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1.xml" ContentType="application/vnd.openxmlformats-officedocument.drawing+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tables/table6.xml" ContentType="application/vnd.openxmlformats-officedocument.spreadsheetml.table+xml"/>
  <Override PartName="/xl/tables/table7.xml" ContentType="application/vnd.openxmlformats-officedocument.spreadsheetml.table+xml"/>
  <Override PartName="/xl/comments6.xml" ContentType="application/vnd.openxmlformats-officedocument.spreadsheetml.comments+xml"/>
  <Override PartName="/xl/threadedComments/threadedComment6.xml" ContentType="application/vnd.ms-excel.threadedcomments+xml"/>
  <Override PartName="/xl/drawings/drawing3.xml" ContentType="application/vnd.openxmlformats-officedocument.drawing+xml"/>
  <Override PartName="/xl/tables/table8.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ink/ink1.xml" ContentType="application/inkml+xml"/>
  <Override PartName="/xl/drawings/drawing4.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tables/table44.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drawings/drawing5.xml" ContentType="application/vnd.openxmlformats-officedocument.drawing+xml"/>
  <Override PartName="/xl/comments10.xml" ContentType="application/vnd.openxmlformats-officedocument.spreadsheetml.comments+xml"/>
  <Override PartName="/xl/threadedComments/threadedComment10.xml" ContentType="application/vnd.ms-excel.threadedcomments+xml"/>
  <Override PartName="/xl/tables/table45.xml" ContentType="application/vnd.openxmlformats-officedocument.spreadsheetml.table+xml"/>
  <Override PartName="/xl/comments11.xml" ContentType="application/vnd.openxmlformats-officedocument.spreadsheetml.comments+xml"/>
  <Override PartName="/xl/threadedComments/threadedComment11.xml" ContentType="application/vnd.ms-excel.threadedcomments+xml"/>
  <Override PartName="/xl/drawings/drawing6.xml" ContentType="application/vnd.openxmlformats-officedocument.drawing+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ml.chartshapes+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omments12.xml" ContentType="application/vnd.openxmlformats-officedocument.spreadsheetml.comments+xml"/>
  <Override PartName="/xl/threadedComments/threadedComment12.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8"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8_{CE71EC2E-48F4-CA45-9827-FEF66A4BD8BA}" xr6:coauthVersionLast="47" xr6:coauthVersionMax="47" xr10:uidLastSave="{00000000-0000-0000-0000-000000000000}"/>
  <bookViews>
    <workbookView xWindow="-19160" yWindow="-20980" windowWidth="38400" windowHeight="20980" firstSheet="3" activeTab="11" xr2:uid="{1CED7326-1206-4C4F-83EC-25DA65BC3A90}"/>
  </bookViews>
  <sheets>
    <sheet name="Research" sheetId="24" r:id="rId1"/>
    <sheet name="DocComments" sheetId="26" r:id="rId2"/>
    <sheet name="Doc" sheetId="19" r:id="rId3"/>
    <sheet name="Ranks" sheetId="20" r:id="rId4"/>
    <sheet name="StrategySummary" sheetId="29" r:id="rId5"/>
    <sheet name="Markov" sheetId="70" r:id="rId6"/>
    <sheet name="SORTING" sheetId="1" r:id="rId7"/>
    <sheet name="ID" sheetId="27" r:id="rId8"/>
    <sheet name="Trader" sheetId="69" r:id="rId9"/>
    <sheet name="Calc" sheetId="4" r:id="rId10"/>
    <sheet name="MSG" sheetId="9" r:id="rId11"/>
    <sheet name="DataShift" sheetId="13" r:id="rId12"/>
    <sheet name="Reg" sheetId="12" r:id="rId13"/>
    <sheet name="Entries" sheetId="15" r:id="rId14"/>
    <sheet name="Mail" sheetId="7" r:id="rId15"/>
    <sheet name="TraceMatrix_FIFO" sheetId="68" r:id="rId16"/>
    <sheet name="Consolid" sheetId="71" r:id="rId17"/>
    <sheet name="BankCheck" sheetId="22" r:id="rId18"/>
    <sheet name="ChaRSI" sheetId="23" r:id="rId19"/>
    <sheet name="ChaCha" sheetId="14" r:id="rId20"/>
    <sheet name="MessUpd" sheetId="8" r:id="rId21"/>
    <sheet name="Timer" sheetId="5" r:id="rId22"/>
  </sheets>
  <externalReferences>
    <externalReference r:id="rId23"/>
  </externalReferences>
  <definedNames>
    <definedName name="_xlnm._FilterDatabase" localSheetId="9" hidden="1">Calc!$DA$1:$DB$29</definedName>
    <definedName name="_xlnm._FilterDatabase" localSheetId="19" hidden="1">ChaCha!$R$1:$S$2</definedName>
    <definedName name="_xlnm._FilterDatabase" localSheetId="13" hidden="1">Entries!$A$44:$J$571</definedName>
    <definedName name="_xlnm._FilterDatabase" localSheetId="7" hidden="1">ID!$K$3:$L$24</definedName>
    <definedName name="_xlnm._FilterDatabase" localSheetId="5" hidden="1">Markov!$G$4:$G$198</definedName>
    <definedName name="_xlnm._FilterDatabase" localSheetId="6" hidden="1">SORTING!$A$2:$AQ$97</definedName>
    <definedName name="_xlnm._FilterDatabase" localSheetId="8" hidden="1">Trader!$O$1:$AL$1</definedName>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OR" hidden="1" xlm="1">#NAME?</definedName>
    <definedName name="_xleta.PRICE" hidden="1" xlm="1">#NAME?</definedName>
    <definedName name="_xleta.RIGHT" hidden="1" xlm="1">#NAME?</definedName>
    <definedName name="_xleta.ROUND" hidden="1" xlm="1">#NAME?</definedName>
    <definedName name="_xleta.ROW" hidden="1" xlm="1">#NAME?</definedName>
    <definedName name="_xleta.SEQUENCE"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WORKDAY" hidden="1" xlm="1">#NAME?</definedName>
    <definedName name="_xleta.XLOOKUP" hidden="1" xlm="1">#NAME?</definedName>
    <definedName name="_xlpm._" hidden="1" xlm="1">#NAME?</definedName>
    <definedName name="_xlpm.A" hidden="1" xlm="1">#NAME?</definedName>
    <definedName name="_xlpm.A_Next" hidden="1" xlm="1">#NAME?</definedName>
    <definedName name="_xlpm.A_vals" hidden="1" xlm="1">#NAME?</definedName>
    <definedName name="_xlpm.AbP" hidden="1" xlm="1">#NAME?</definedName>
    <definedName name="_xlpm.AbsBP" hidden="1" xlm="1">#NAME?</definedName>
    <definedName name="_xlpm.AbsLBP" hidden="1" xlm="1">#NAME?</definedName>
    <definedName name="_xlpm.AbsP" hidden="1" xlm="1">#NAME?</definedName>
    <definedName name="_xlpm.ac"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t" hidden="1" xlm="1">#NAME?</definedName>
    <definedName name="_xlpm.ay" hidden="1" xlm="1">#NAME?</definedName>
    <definedName name="_xlpm.ayChg" hidden="1" xlm="1">#NAME?</definedName>
    <definedName name="_xlpm.B_vals" hidden="1" xlm="1">#NAME?</definedName>
    <definedName name="_xlpm.block" hidden="1" xlm="1">#NAME?</definedName>
    <definedName name="_xlpm.BuyChange" hidden="1" xlm="1">#NAME?</definedName>
    <definedName name="_xlpm.c" hidden="1" xlm="1">#NAME?</definedName>
    <definedName name="_xlpm.cale" hidden="1" xlm="1">#NAME?</definedName>
    <definedName name="_xlpm.ChgYest"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1Name" hidden="1" xlm="1">#NAME?</definedName>
    <definedName name="_xlpm.col2Name" hidden="1" xlm="1">#NAME?</definedName>
    <definedName name="_xlpm.colName1" hidden="1" xlm="1">#NAME?</definedName>
    <definedName name="_xlpm.colName2" hidden="1" xlm="1">#NAME?</definedName>
    <definedName name="_xlpm.colStart" hidden="1" xlm="1">#NAME?</definedName>
    <definedName name="_xlpm.ct" hidden="1" xlm="1">#NAME?</definedName>
    <definedName name="_xlpm.cy" hidden="1" xlm="1">#NAME?</definedName>
    <definedName name="_xlpm.d" hidden="1" xlm="1">#NAME?</definedName>
    <definedName name="_xlpm.DayC" hidden="1" xlm="1">#NAME?</definedName>
    <definedName name="_xlpm.DayCH" hidden="1" xlm="1">#NAME?</definedName>
    <definedName name="_xlpm.DayChg" hidden="1" xlm="1">#NAME?</definedName>
    <definedName name="_xlpm.DeltaPrice" hidden="1" xlm="1">#NAME?</definedName>
    <definedName name="_xlpm.div" hidden="1" xlm="1">#NAME?</definedName>
    <definedName name="_xlpm.DyCHG" hidden="1" xlm="1">#NAME?</definedName>
    <definedName name="_xlpm.Filtered_A" hidden="1" xlm="1">#NAME?</definedName>
    <definedName name="_xlpm.FilteredA" hidden="1" xlm="1">#NAME?</definedName>
    <definedName name="_xlpm.GL" hidden="1" xlm="1">#NAME?</definedName>
    <definedName name="_xlpm.GLK" hidden="1" xlm="1">#NAME?</definedName>
    <definedName name="_xlpm.hdrRange" hidden="1" xlm="1">#NAME?</definedName>
    <definedName name="_xlpm.headers" hidden="1" xlm="1">#NAME?</definedName>
    <definedName name="_xlpm.index1" hidden="1" xlm="1">#NAME?</definedName>
    <definedName name="_xlpm.index2" hidden="1" xlm="1">#NAME?</definedName>
    <definedName name="_xlpm.kept" hidden="1" xlm="1">#NAME?</definedName>
    <definedName name="_xlpm.L_Bp" hidden="1" xlm="1">#NAME?</definedName>
    <definedName name="_xlpm.L_Sp" hidden="1" xlm="1">#NAME?</definedName>
    <definedName name="_xlpm.LaSP" hidden="1" xlm="1">#NAME?</definedName>
    <definedName name="_xlpm.LasSP"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LBp" hidden="1" xlm="1">#NAME?</definedName>
    <definedName name="_xlpm.MLSP" hidden="1" xlm="1">#NAME?</definedName>
    <definedName name="_xlpm.MU" hidden="1" xlm="1">#NAME?</definedName>
    <definedName name="_xlpm.MU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ame" hidden="1" xlm="1">#NAME?</definedName>
    <definedName name="_xlpm.names" hidden="1" xlm="1">#NAME?</definedName>
    <definedName name="_xlpm.next" hidden="1" xlm="1">#NAME?</definedName>
    <definedName name="_xlpm.nm" hidden="1" xlm="1">#NAME?</definedName>
    <definedName name="_xlpm.nma" hidden="1" xlm="1">#NAME?</definedName>
    <definedName name="_xlpm.nToSell" hidden="1" xlm="1">#NAME?</definedName>
    <definedName name="_xlpm.nz" hidden="1" xlm="1">#NAME?</definedName>
    <definedName name="_xlpm.P" hidden="1" xlm="1">#NAME?</definedName>
    <definedName name="_xlpm.PChgYest" hidden="1" xlm="1">#NAME?</definedName>
    <definedName name="_xlpm.PeChgYest" hidden="1" xlm="1">#NAME?</definedName>
    <definedName name="_xlpm.PercChgYest" hidden="1" xlm="1">#NAME?</definedName>
    <definedName name="_xlpm.PercChY" hidden="1" xlm="1">#NAME?</definedName>
    <definedName name="_xlpm.PercChYe" hidden="1" xlm="1">#NAME?</definedName>
    <definedName name="_xlpm.PercChYes" hidden="1" xlm="1">#NAME?</definedName>
    <definedName name="_xlpm.PercChYest" hidden="1" xlm="1">#NAME?</definedName>
    <definedName name="_xlpm.PerceChgYest" hidden="1" xlm="1">#NAME?</definedName>
    <definedName name="_xlpm.PercenChgYest" hidden="1" xlm="1">#NAME?</definedName>
    <definedName name="_xlpm.PercentChgYest" hidden="1" xlm="1">#NAME?</definedName>
    <definedName name="_xlpm.PerChgYest" hidden="1" xlm="1">#NAME?</definedName>
    <definedName name="_xlpm.PILE"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venue" hidden="1" xlm="1">#NAME?</definedName>
    <definedName name="_xlpm.RevGL18" hidden="1" xlm="1">#NAME?</definedName>
    <definedName name="_xlpm.rng" hidden="1" xlm="1">#NAME?</definedName>
    <definedName name="_xlpm.row" hidden="1" xlm="1">#NAME?</definedName>
    <definedName name="_xlpm.rowVals" hidden="1" xlm="1">#NAME?</definedName>
    <definedName name="_xlpm.s" hidden="1" xlm="1">#NAME?</definedName>
    <definedName name="_xlpm.Sald"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orted" hidden="1" xlm="1">#NAME?</definedName>
    <definedName name="_xlpm.SP" hidden="1" xlm="1">#NAME?</definedName>
    <definedName name="_xlpm.Stock"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able" hidden="1" xlm="1">#NAME?</definedName>
    <definedName name="_xlpm.target" hidden="1" xlm="1">#NAME?</definedName>
    <definedName name="_xlpm.Target1Y" hidden="1" xlm="1">#NAME?</definedName>
    <definedName name="_xlpm.TayChg" hidden="1" xlm="1">#NAME?</definedName>
    <definedName name="_xlpm.Tick" hidden="1" xlm="1">#NAME?</definedName>
    <definedName name="_xlpm.Ticker" hidden="1" xlm="1">#NAME?</definedName>
    <definedName name="_xlpm.ToayChg"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odayChPerc" hidden="1" xlm="1">#NAME?</definedName>
    <definedName name="_xlpm.TodayChPerce" hidden="1" xlm="1">#NAME?</definedName>
    <definedName name="_xlpm.TodayChPercen" hidden="1" xlm="1">#NAME?</definedName>
    <definedName name="_xlpm.TodayChPercent" hidden="1" xlm="1">#NAME?</definedName>
    <definedName name="_xlpm.Traps" hidden="1" xlm="1">#NAME?</definedName>
    <definedName name="_xlpm.tripletCols" hidden="1" xlm="1">#NAME?</definedName>
    <definedName name="_xlpm.triplets" hidden="1" xlm="1">#NAME?</definedName>
    <definedName name="_xlpm.v" hidden="1" xlm="1">#NAME?</definedName>
    <definedName name="_xlpm.v0" hidden="1" xlm="1">#NAME?</definedName>
    <definedName name="_xlpm.VaChg" hidden="1" xlm="1">#NAME?</definedName>
    <definedName name="_xlpm.VaChgYest" hidden="1" xlm="1">#NAME?</definedName>
    <definedName name="_xlpm.VaDayChg" hidden="1" xlm="1">#NAME?</definedName>
    <definedName name="_xlpm.ValChg" hidden="1" xlm="1">#NAME?</definedName>
    <definedName name="_xlpm.ValChgOPen" hidden="1" xlm="1">#NAME?</definedName>
    <definedName name="_xlpm.ValChgYest" hidden="1" xlm="1">#NAME?</definedName>
    <definedName name="_xlpm.ValChO" hidden="1" xlm="1">#NAME?</definedName>
    <definedName name="_xlpm.ValChOP" hidden="1" xlm="1">#NAME?</definedName>
    <definedName name="_xlpm.ValChOPe" hidden="1" xlm="1">#NAME?</definedName>
    <definedName name="_xlpm.ValChOPen" hidden="1" xlm="1">#NAME?</definedName>
    <definedName name="_xlpm.ValDayChg" hidden="1" xlm="1">#NAME?</definedName>
    <definedName name="_xlpm.valRange" hidden="1" xlm="1">#NAME?</definedName>
    <definedName name="_xlpm.vals" hidden="1" xlm="1">#NAME?</definedName>
    <definedName name="_xlpm.ValuChg" hidden="1" xlm="1">#NAME?</definedName>
    <definedName name="_xlpm.ValuChgOPen" hidden="1" xlm="1">#NAME?</definedName>
    <definedName name="_xlpm.ValuChgYest"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ChgYest" hidden="1" xlm="1">#NAME?</definedName>
    <definedName name="_xlpm.VDayChg" hidden="1" xlm="1">#NAME?</definedName>
    <definedName name="_xlpm.VYesChg" hidden="1" xlm="1">#NAME?</definedName>
    <definedName name="_xlpm.x" hidden="1" xlm="1">#NAME?</definedName>
    <definedName name="_xlpm.YesChg"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BS_A">ID!$P$21</definedName>
    <definedName name="Acct2">Mail!$D$5</definedName>
    <definedName name="AcctJB">Mail!$D$7</definedName>
    <definedName name="AcctMVE">Mail!$D$4</definedName>
    <definedName name="AcctSAF">Mail!$D$6</definedName>
    <definedName name="ACET">Timer!$B$7</definedName>
    <definedName name="ACETZoneShift">Timer!$B$3</definedName>
    <definedName name="AcloseTrade">Timer!$F$24</definedName>
    <definedName name="ActTime">Timer!$B$6</definedName>
    <definedName name="ActTimeCET">Timer!$F$23</definedName>
    <definedName name="ACurrencyList">TabCalc[Cur]</definedName>
    <definedName name="ADeltaMinus">Research!$E$3</definedName>
    <definedName name="ADeltaPlus">Research!$E$4</definedName>
    <definedName name="ALastTimeEoan">Timer!$D$7</definedName>
    <definedName name="ANonWorkingDayCriteria">Timer!$D$8</definedName>
    <definedName name="AOpenPost">Timer!$G$22</definedName>
    <definedName name="AOpenPre">Timer!$E$22</definedName>
    <definedName name="AOpenTrade">Timer!$F$22</definedName>
    <definedName name="ArraySortedBy">SORTING!$D$2:$J$102</definedName>
    <definedName name="ASummerTimeShift">Timer!$D$3</definedName>
    <definedName name="AtMarket">Mail!$E$4</definedName>
    <definedName name="AtPrice">Mail!$F$4</definedName>
    <definedName name="AZ">ID!$B$22</definedName>
    <definedName name="BdeltaMinus">Research!$F$3</definedName>
    <definedName name="BdeltaPlus">Research!$F$4</definedName>
    <definedName name="BeginCost">ID!$D$21</definedName>
    <definedName name="BoundMax">ChaCha!$C$53</definedName>
    <definedName name="BoundMaxRSI">ChaRSI!$C$52</definedName>
    <definedName name="BoundMin">ChaCha!$B$53</definedName>
    <definedName name="BoundMinRSI">ChaRSI!$B$52</definedName>
    <definedName name="BZ">ID!$B$21</definedName>
    <definedName name="CalcComments">DocComments!$B$2:$B$110</definedName>
    <definedName name="CashGain">ID!$F$19</definedName>
    <definedName name="CET">Timer!$B$7</definedName>
    <definedName name="CETZoneShift">Timer!$B$3</definedName>
    <definedName name="ChaChaTicker">ChaCha!$R$1</definedName>
    <definedName name="ChaRSITicker">ChaRSI!$R$1</definedName>
    <definedName name="ComContent">DocComments!$C$2:$C$110</definedName>
    <definedName name="ComFactor">Trader!$AD$104</definedName>
    <definedName name="Commission">Trader!$AD$111</definedName>
    <definedName name="CurrentValue">ID!$I$19</definedName>
    <definedName name="DataShiftChartTicker">DataShift!$A$1</definedName>
    <definedName name="DeltaP">Research!$P$3</definedName>
    <definedName name="DeltaPercent">Research!$E$4</definedName>
    <definedName name="DesiredBuyGain">Trader!$F$1</definedName>
    <definedName name="DesiredSaleGain">Trader!$B$1</definedName>
    <definedName name="DivPercent">ID!$J$16</definedName>
    <definedName name="DMinusPercent">Research!$E$3</definedName>
    <definedName name="DregN">ID!$Z$21:$Z$99</definedName>
    <definedName name="DregP">ID!$Y$21:$Y$99</definedName>
    <definedName name="DregPSSorted">ID!$AA$20:$AB$49</definedName>
    <definedName name="Duration">Timer!$F$25</definedName>
    <definedName name="EntryList">Entries!$A$3:$D$16</definedName>
    <definedName name="FirstLot">ID!$C$21</definedName>
    <definedName name="GBpScale">ID!$J$10</definedName>
    <definedName name="GL_Now">ID!$I$16</definedName>
    <definedName name="GLperShare">ID!$C$15</definedName>
    <definedName name="ID_A">ID!$D$19</definedName>
    <definedName name="ID_Currency">ID!$J$6</definedName>
    <definedName name="ID_Down150">ID!$F$12</definedName>
    <definedName name="ID_Down20">ID!$C$12</definedName>
    <definedName name="ID_M">ID!$J$5</definedName>
    <definedName name="ID_M_Value">ID!$E$18</definedName>
    <definedName name="ID_Up150">ID!$F$9</definedName>
    <definedName name="ID_Up20">ID!$C$9</definedName>
    <definedName name="IDASort">ID!$V$20:$V$99</definedName>
    <definedName name="IDBarChartTitle">ID!$X$1</definedName>
    <definedName name="IDMSort">ID!$W$20:$W$99</definedName>
    <definedName name="IDNSort">ID!$U$20:$U$99</definedName>
    <definedName name="IDPSort">ID!$T$20:$T$99</definedName>
    <definedName name="IDTick1">ID!$J$9</definedName>
    <definedName name="IDTick2">ID!$J$8</definedName>
    <definedName name="IDTICKER">ID!$J$7</definedName>
    <definedName name="Last2Days">Markov!$W$15</definedName>
    <definedName name="LastMark3">Markov!$AO$34</definedName>
    <definedName name="LastSaleMax">ChaCha!$C$52</definedName>
    <definedName name="LastSaleMaxRSI">ChaRSI!$C$53</definedName>
    <definedName name="LastSaleMin">ChaCha!$B$52</definedName>
    <definedName name="LastSaleMinRSI">ChaRSI!$B$53</definedName>
    <definedName name="LastShift">DataShift!$E$2</definedName>
    <definedName name="LastT">Trader!$AD$100</definedName>
    <definedName name="LastTradeTimeEOAN">Timer!$D$7</definedName>
    <definedName name="ListAct">TabCalc[Pile?]</definedName>
    <definedName name="ListAgio">TabCalc[Agiotage]</definedName>
    <definedName name="ListAuxRevBuy2">TabCalc[vReverse]</definedName>
    <definedName name="ListAuxRevSale2">TabCalc[BuyCost]</definedName>
    <definedName name="ListCur">TabCalc[Cur]</definedName>
    <definedName name="ListE">TabCalc[E]</definedName>
    <definedName name="ListExtra_n" comment="Additional stock amount GT stock begin">TabCalc[Extran]</definedName>
    <definedName name="ListGL">TabCalc[GL]</definedName>
    <definedName name="ListGravity">TabCalc[Gravity]</definedName>
    <definedName name="ListLastBuyn">TabCalc[L_Bn]</definedName>
    <definedName name="ListLastBuyp">TabCalc[L_Bp]</definedName>
    <definedName name="ListLastSalen">TabCalc[L_Sn]</definedName>
    <definedName name="ListLastSalep">TabCalc[L_Sp]</definedName>
    <definedName name="ListM">TabCalc[M]</definedName>
    <definedName name="ListMinStock">TabCalc[Rev(MinStock)]</definedName>
    <definedName name="ListN">TabCalc[NAfter]</definedName>
    <definedName name="ListntoBuy">TabCalc[ntoBuy]</definedName>
    <definedName name="ListntoSell">TabCalc[ntoSell]</definedName>
    <definedName name="ListPile">TabCalc[Pile?]</definedName>
    <definedName name="ListRefill">TabCalc[Refill1]</definedName>
    <definedName name="ListResale">TabCalc[Resale]</definedName>
    <definedName name="ListReverseB">TabCalc[ReverseB]</definedName>
    <definedName name="ListReverseS">TabCalc[Rev(MinStock)]</definedName>
    <definedName name="ListScale">TabCalc[Scale]</definedName>
    <definedName name="ListSortedAgio">SORTING!$E$3:$E$94</definedName>
    <definedName name="ListSortedGL">SORTING!$G$3:$G$94</definedName>
    <definedName name="ListSortedXChaange">SORTING!$I$3:$I$94</definedName>
    <definedName name="ListTickers">TabCalc[Ticker]</definedName>
    <definedName name="ListY">TabCalc[Y]</definedName>
    <definedName name="MDown">Trader!$AD$106</definedName>
    <definedName name="MgtY">Trader!$AD$107</definedName>
    <definedName name="MinCost">ID!$T$20</definedName>
    <definedName name="MinLot">ID!$U$20</definedName>
    <definedName name="MUp">Trader!$AD$102</definedName>
    <definedName name="NetCash">Calc!$AZ$103</definedName>
    <definedName name="NeutralZoneM">ID!$B$20</definedName>
    <definedName name="NONWORKINGDAYCRITERIA">Timer!$D$8</definedName>
    <definedName name="NoOriMax">ChaCha!$C$54</definedName>
    <definedName name="NoOriMaxRSI">ChaRSI!$C$54</definedName>
    <definedName name="NoOriMin">ChaCha!$B$54</definedName>
    <definedName name="NoOriMinRSI">ChaRSI!$B$54</definedName>
    <definedName name="NoStock">Trader!$AD$109</definedName>
    <definedName name="NZ">ID!$B$23</definedName>
    <definedName name="OpenPost">Timer!$G$22</definedName>
    <definedName name="OpenPre">Timer!$E$22</definedName>
    <definedName name="OpenTrade">Timer!$F$22</definedName>
    <definedName name="PP">Markov!$K$5:$M$7</definedName>
    <definedName name="PPPP">Markov!$K$5:$M$7</definedName>
    <definedName name="QQQ">Markov!$J$33:$M$36</definedName>
    <definedName name="QQQQ">Markov!$J$55:$Q$62</definedName>
    <definedName name="QQQQ1">Markov!$J$33:$M$36</definedName>
    <definedName name="QQQQQ">Markov!$J$55:$Q$62</definedName>
    <definedName name="ReBuy5K">ID!$M$3:$M$47</definedName>
    <definedName name="RePurchaseGain">Trader!$AD$105</definedName>
    <definedName name="ReSale5K">ID!$K$3:$K$47</definedName>
    <definedName name="ReSaleGain">Trader!$AD$101</definedName>
    <definedName name="SeeDelta">Trader!$AD$103</definedName>
    <definedName name="Sell">Mail!$B$4</definedName>
    <definedName name="SellMorePercentGain">Trader!$AD$102</definedName>
    <definedName name="SelRow">34</definedName>
    <definedName name="SelRowNum">1767</definedName>
    <definedName name="StockNow">ID!$E$19</definedName>
    <definedName name="SummerTimeShift">Timer!$D$3</definedName>
    <definedName name="TabRev">[1]ExtEntry!#REF!</definedName>
    <definedName name="TextBuy">Mail!$B$5</definedName>
    <definedName name="TotalCost">ID!$H$19</definedName>
    <definedName name="TradeArchive">Entries!$A$43:$D$1000</definedName>
    <definedName name="TradeDatan">ID!$A$21:$A$100</definedName>
    <definedName name="TradeDatap">ID!$B$21:$B$100</definedName>
    <definedName name="TradeIncome">ID!$G$19</definedName>
    <definedName name="TranParam">Entries!$D$21:$F$34</definedName>
    <definedName name="Transaction">Entries!$A$21:$C$34</definedName>
    <definedName name="UpPercent">Markov!$AO$35</definedName>
    <definedName name="ValidNames">Consolid!$B$1:$JZ$1</definedName>
    <definedName name="Xvals">ID!$X$20:$X$99</definedName>
    <definedName name="Y1T">ID!$B$6</definedName>
    <definedName name="YY">Markov!$J$80:$Q$87</definedName>
    <definedName name="YYYY">Markov!$J$80:$Q$87</definedName>
    <definedName name="ZPercent">Markov!$E$3</definedName>
    <definedName name="ZZ">Markov!$K$23:$M$25</definedName>
    <definedName name="ZZZZ">Markov!$K$23:$M$25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9" i="27" l="1"/>
  <c r="G45" i="27"/>
  <c r="H45" i="27"/>
  <c r="G44" i="27"/>
  <c r="H44" i="27"/>
  <c r="G43" i="27"/>
  <c r="H43" i="27"/>
  <c r="G42" i="27"/>
  <c r="H42" i="27"/>
  <c r="G41" i="27"/>
  <c r="H41" i="27"/>
  <c r="G40" i="27"/>
  <c r="H40" i="27"/>
  <c r="G39" i="27"/>
  <c r="H39" i="27"/>
  <c r="G38" i="27"/>
  <c r="H38" i="27"/>
  <c r="G37" i="27"/>
  <c r="H37" i="27"/>
  <c r="G36" i="27"/>
  <c r="H36" i="27"/>
  <c r="G35" i="27"/>
  <c r="H35" i="27"/>
  <c r="G34" i="27"/>
  <c r="H34" i="27"/>
  <c r="G33" i="27"/>
  <c r="H33" i="27"/>
  <c r="G32" i="27"/>
  <c r="H32" i="27"/>
  <c r="G31" i="27"/>
  <c r="H31" i="27"/>
  <c r="G30" i="27"/>
  <c r="H30" i="27"/>
  <c r="G29" i="27"/>
  <c r="H29" i="27"/>
  <c r="G28" i="27"/>
  <c r="H28" i="27"/>
  <c r="O37" i="9"/>
  <c r="G27" i="27"/>
  <c r="H27" i="27"/>
  <c r="G26" i="27"/>
  <c r="H26" i="27"/>
  <c r="G25" i="27"/>
  <c r="H25" i="27"/>
  <c r="G24" i="27"/>
  <c r="H24" i="27"/>
  <c r="G23" i="27"/>
  <c r="H23" i="27"/>
  <c r="O18" i="27" l="1"/>
  <c r="G22" i="27"/>
  <c r="H22" i="27"/>
  <c r="S6" i="15"/>
  <c r="T6" i="15"/>
  <c r="T7" i="15" s="1"/>
  <c r="AS1766" i="13" l="1"/>
  <c r="D51" i="27" a="1"/>
  <c r="D51" i="27" s="1"/>
  <c r="JU56" i="12" a="1"/>
  <c r="JU56" i="12" s="1"/>
  <c r="JU57" i="12" a="1"/>
  <c r="JU57" i="12" s="1"/>
  <c r="JU58" i="12" a="1"/>
  <c r="JU58" i="12" s="1"/>
  <c r="JU59" i="12" a="1"/>
  <c r="JU59" i="12" s="1"/>
  <c r="JU60" i="12" a="1"/>
  <c r="JU60" i="12" s="1"/>
  <c r="JU61" i="12" a="1"/>
  <c r="JU61" i="12" s="1"/>
  <c r="JU62" i="12" a="1"/>
  <c r="JU62" i="12" s="1"/>
  <c r="JU63" i="12" a="1"/>
  <c r="JU63" i="12" s="1"/>
  <c r="JV56" i="12" a="1"/>
  <c r="JV56" i="12" s="1"/>
  <c r="JV57" i="12" a="1"/>
  <c r="JV57" i="12" s="1"/>
  <c r="JV58" i="12" a="1"/>
  <c r="JV58" i="12" s="1"/>
  <c r="JV59" i="12" a="1"/>
  <c r="JV59" i="12" s="1"/>
  <c r="JV60" i="12" a="1"/>
  <c r="JV60" i="12" s="1"/>
  <c r="JV61" i="12" a="1"/>
  <c r="JV61" i="12" s="1"/>
  <c r="JV62" i="12" a="1"/>
  <c r="JV62" i="12" s="1"/>
  <c r="JV63" i="12" a="1"/>
  <c r="JV63" i="12" s="1"/>
  <c r="JW56" i="12" a="1"/>
  <c r="JW56" i="12" s="1"/>
  <c r="JW57" i="12" a="1"/>
  <c r="JW57" i="12" s="1"/>
  <c r="JW58" i="12" a="1"/>
  <c r="JW58" i="12" s="1"/>
  <c r="JW59" i="12" a="1"/>
  <c r="JW59" i="12" s="1"/>
  <c r="JW60" i="12" a="1"/>
  <c r="JW60" i="12" s="1"/>
  <c r="JW61" i="12" a="1"/>
  <c r="JW61" i="12" s="1"/>
  <c r="JW62" i="12" a="1"/>
  <c r="JW62" i="12" s="1"/>
  <c r="JW63" i="12" a="1"/>
  <c r="JW63" i="12" s="1"/>
  <c r="JX56" i="12" a="1"/>
  <c r="JX56" i="12" s="1"/>
  <c r="JX57" i="12" a="1"/>
  <c r="JX57" i="12" s="1"/>
  <c r="JX58" i="12" a="1"/>
  <c r="JX58" i="12" s="1"/>
  <c r="JX59" i="12" a="1"/>
  <c r="JX59" i="12" s="1"/>
  <c r="JX60" i="12" a="1"/>
  <c r="JX60" i="12" s="1"/>
  <c r="JX61" i="12" a="1"/>
  <c r="JX61" i="12" s="1"/>
  <c r="JX62" i="12" a="1"/>
  <c r="JX62" i="12" s="1"/>
  <c r="JX63" i="12" a="1"/>
  <c r="JX63" i="12" s="1"/>
  <c r="JY56" i="12" a="1"/>
  <c r="JY56" i="12" s="1"/>
  <c r="JY57" i="12" a="1"/>
  <c r="JY57" i="12" s="1"/>
  <c r="JY58" i="12" a="1"/>
  <c r="JY58" i="12" s="1"/>
  <c r="JY59" i="12" a="1"/>
  <c r="JY59" i="12" s="1"/>
  <c r="JY60" i="12" a="1"/>
  <c r="JY60" i="12" s="1"/>
  <c r="JY61" i="12" a="1"/>
  <c r="JY61" i="12" s="1"/>
  <c r="JY62" i="12" a="1"/>
  <c r="JY62" i="12" s="1"/>
  <c r="JY63" i="12" a="1"/>
  <c r="JY63" i="12" s="1"/>
  <c r="JZ56" i="12" a="1"/>
  <c r="JZ56" i="12" s="1"/>
  <c r="JZ57" i="12" a="1"/>
  <c r="JZ57" i="12" s="1"/>
  <c r="JZ58" i="12" a="1"/>
  <c r="JZ58" i="12" s="1"/>
  <c r="JZ59" i="12" a="1"/>
  <c r="JZ59" i="12" s="1"/>
  <c r="JZ60" i="12" a="1"/>
  <c r="JZ60" i="12" s="1"/>
  <c r="JZ61" i="12" a="1"/>
  <c r="JZ61" i="12" s="1"/>
  <c r="JZ62" i="12" a="1"/>
  <c r="JZ62" i="12" s="1"/>
  <c r="JZ63" i="12" a="1"/>
  <c r="JZ63" i="12" s="1"/>
  <c r="KA56" i="12" a="1"/>
  <c r="KA56" i="12" s="1"/>
  <c r="KA57" i="12" a="1"/>
  <c r="KA57" i="12" s="1"/>
  <c r="KA58" i="12" a="1"/>
  <c r="KA58" i="12" s="1"/>
  <c r="KA59" i="12" a="1"/>
  <c r="KA59" i="12" s="1"/>
  <c r="KA60" i="12" a="1"/>
  <c r="KA60" i="12" s="1"/>
  <c r="KA61" i="12" a="1"/>
  <c r="KA61" i="12" s="1"/>
  <c r="KA62" i="12" a="1"/>
  <c r="KA62" i="12" s="1"/>
  <c r="KA63" i="12" a="1"/>
  <c r="KA63" i="12" s="1"/>
  <c r="KB56" i="12" a="1"/>
  <c r="KB56" i="12" s="1"/>
  <c r="KB57" i="12" a="1"/>
  <c r="KB57" i="12" s="1"/>
  <c r="KB58" i="12" a="1"/>
  <c r="KB58" i="12" s="1"/>
  <c r="KB59" i="12" a="1"/>
  <c r="KB59" i="12" s="1"/>
  <c r="KB60" i="12" a="1"/>
  <c r="KB60" i="12" s="1"/>
  <c r="KB61" i="12" a="1"/>
  <c r="KB61" i="12" s="1"/>
  <c r="KB62" i="12" a="1"/>
  <c r="KB62" i="12" s="1"/>
  <c r="KB63" i="12" a="1"/>
  <c r="KB63" i="12" s="1"/>
  <c r="KC56" i="12" a="1"/>
  <c r="KC56" i="12" s="1"/>
  <c r="KC57" i="12" a="1"/>
  <c r="KC57" i="12" s="1"/>
  <c r="KC58" i="12" a="1"/>
  <c r="KC58" i="12" s="1"/>
  <c r="KC59" i="12" a="1"/>
  <c r="KC59" i="12" s="1"/>
  <c r="KC60" i="12" a="1"/>
  <c r="KC60" i="12" s="1"/>
  <c r="KC61" i="12" a="1"/>
  <c r="KC61" i="12" s="1"/>
  <c r="KC62" i="12" a="1"/>
  <c r="KC62" i="12" s="1"/>
  <c r="KC63" i="12" a="1"/>
  <c r="KC63" i="12" s="1"/>
  <c r="KD56" i="12" a="1"/>
  <c r="KD56" i="12" s="1"/>
  <c r="KD57" i="12" a="1"/>
  <c r="KD57" i="12" s="1"/>
  <c r="KD58" i="12" a="1"/>
  <c r="KD58" i="12" s="1"/>
  <c r="KD59" i="12" a="1"/>
  <c r="KD59" i="12" s="1"/>
  <c r="KD60" i="12" a="1"/>
  <c r="KD60" i="12" s="1"/>
  <c r="KD61" i="12" a="1"/>
  <c r="KD61" i="12" s="1"/>
  <c r="KD62" i="12" a="1"/>
  <c r="KD62" i="12" s="1"/>
  <c r="KD63" i="12" a="1"/>
  <c r="KD63" i="12" s="1"/>
  <c r="KE56" i="12" a="1"/>
  <c r="KE56" i="12" s="1"/>
  <c r="KE57" i="12" a="1"/>
  <c r="KE57" i="12" s="1"/>
  <c r="KE58" i="12" a="1"/>
  <c r="KE58" i="12" s="1"/>
  <c r="KE59" i="12" a="1"/>
  <c r="KE59" i="12" s="1"/>
  <c r="KE60" i="12" a="1"/>
  <c r="KE60" i="12" s="1"/>
  <c r="KE61" i="12" a="1"/>
  <c r="KE61" i="12" s="1"/>
  <c r="KE62" i="12" a="1"/>
  <c r="KE62" i="12" s="1"/>
  <c r="KE63" i="12" a="1"/>
  <c r="KE63" i="12" s="1"/>
  <c r="KF56" i="12" a="1"/>
  <c r="KF56" i="12" s="1"/>
  <c r="KF57" i="12" a="1"/>
  <c r="KF57" i="12" s="1"/>
  <c r="KF58" i="12" a="1"/>
  <c r="KF58" i="12" s="1"/>
  <c r="KF59" i="12" a="1"/>
  <c r="KF59" i="12" s="1"/>
  <c r="KF60" i="12" a="1"/>
  <c r="KF60" i="12" s="1"/>
  <c r="KF61" i="12" a="1"/>
  <c r="KF61" i="12" s="1"/>
  <c r="KF62" i="12" a="1"/>
  <c r="KF62" i="12" s="1"/>
  <c r="KF63" i="12" a="1"/>
  <c r="KF63" i="12" s="1"/>
  <c r="JU64" i="12" a="1"/>
  <c r="JU64" i="12" s="1"/>
  <c r="JU65" i="12" a="1"/>
  <c r="JU65" i="12" s="1"/>
  <c r="JU66" i="12" a="1"/>
  <c r="JU66" i="12" s="1"/>
  <c r="JU67" i="12" a="1"/>
  <c r="JU67" i="12" s="1"/>
  <c r="JV64" i="12" a="1"/>
  <c r="JV64" i="12" s="1"/>
  <c r="JV65" i="12" a="1"/>
  <c r="JV65" i="12" s="1"/>
  <c r="JV66" i="12" a="1"/>
  <c r="JV66" i="12" s="1"/>
  <c r="JV67" i="12" a="1"/>
  <c r="JV67" i="12" s="1"/>
  <c r="JW64" i="12" a="1"/>
  <c r="JW64" i="12" s="1"/>
  <c r="JW65" i="12" a="1"/>
  <c r="JW65" i="12" s="1"/>
  <c r="JW66" i="12" a="1"/>
  <c r="JW66" i="12" s="1"/>
  <c r="JW67" i="12" a="1"/>
  <c r="JW67" i="12" s="1"/>
  <c r="JX64" i="12" a="1"/>
  <c r="JX64" i="12" s="1"/>
  <c r="JX65" i="12" a="1"/>
  <c r="JX65" i="12" s="1"/>
  <c r="JX66" i="12" a="1"/>
  <c r="JX66" i="12" s="1"/>
  <c r="JX67" i="12" a="1"/>
  <c r="JX67" i="12" s="1"/>
  <c r="JY64" i="12" a="1"/>
  <c r="JY64" i="12" s="1"/>
  <c r="JY65" i="12" a="1"/>
  <c r="JY65" i="12" s="1"/>
  <c r="JY66" i="12" a="1"/>
  <c r="JY66" i="12" s="1"/>
  <c r="JY67" i="12" a="1"/>
  <c r="JY67" i="12" s="1"/>
  <c r="JZ64" i="12" a="1"/>
  <c r="JZ64" i="12" s="1"/>
  <c r="JZ65" i="12" a="1"/>
  <c r="JZ65" i="12" s="1"/>
  <c r="JZ66" i="12" a="1"/>
  <c r="JZ66" i="12" s="1"/>
  <c r="JZ67" i="12" a="1"/>
  <c r="JZ67" i="12" s="1"/>
  <c r="KA64" i="12" a="1"/>
  <c r="KA64" i="12" s="1"/>
  <c r="KA65" i="12" a="1"/>
  <c r="KA65" i="12" s="1"/>
  <c r="KA66" i="12" a="1"/>
  <c r="KA66" i="12" s="1"/>
  <c r="KA67" i="12" a="1"/>
  <c r="KA67" i="12" s="1"/>
  <c r="KB64" i="12" a="1"/>
  <c r="KB64" i="12" s="1"/>
  <c r="KB65" i="12" a="1"/>
  <c r="KB65" i="12" s="1"/>
  <c r="KB66" i="12" a="1"/>
  <c r="KB66" i="12" s="1"/>
  <c r="KB67" i="12" a="1"/>
  <c r="KB67" i="12" s="1"/>
  <c r="KC64" i="12" a="1"/>
  <c r="KC64" i="12" s="1"/>
  <c r="KC65" i="12" a="1"/>
  <c r="KC65" i="12" s="1"/>
  <c r="KC66" i="12" a="1"/>
  <c r="KC66" i="12" s="1"/>
  <c r="KC67" i="12" a="1"/>
  <c r="KC67" i="12" s="1"/>
  <c r="KD64" i="12" a="1"/>
  <c r="KD64" i="12" s="1"/>
  <c r="KD65" i="12" a="1"/>
  <c r="KD65" i="12" s="1"/>
  <c r="KD66" i="12" a="1"/>
  <c r="KD66" i="12" s="1"/>
  <c r="KD67" i="12" a="1"/>
  <c r="KD67" i="12" s="1"/>
  <c r="KE64" i="12" a="1"/>
  <c r="KE64" i="12" s="1"/>
  <c r="KE65" i="12" a="1"/>
  <c r="KE65" i="12" s="1"/>
  <c r="KE66" i="12" a="1"/>
  <c r="KE66" i="12" s="1"/>
  <c r="KE67" i="12" a="1"/>
  <c r="KE67" i="12" s="1"/>
  <c r="KF64" i="12" a="1"/>
  <c r="KF64" i="12" s="1"/>
  <c r="KF65" i="12" a="1"/>
  <c r="KF65" i="12" s="1"/>
  <c r="KF66" i="12" a="1"/>
  <c r="KF66" i="12" s="1"/>
  <c r="KF67" i="12" a="1"/>
  <c r="KF67" i="12" s="1"/>
  <c r="JU68" i="12" a="1"/>
  <c r="JU68" i="12" s="1"/>
  <c r="JU69" i="12" a="1"/>
  <c r="JU69" i="12" s="1"/>
  <c r="JV68" i="12" a="1"/>
  <c r="JV68" i="12" s="1"/>
  <c r="JV69" i="12" a="1"/>
  <c r="JV69" i="12" s="1"/>
  <c r="JW68" i="12" a="1"/>
  <c r="JW68" i="12" s="1"/>
  <c r="JW69" i="12" a="1"/>
  <c r="JW69" i="12" s="1"/>
  <c r="JX68" i="12" a="1"/>
  <c r="JX68" i="12" s="1"/>
  <c r="JX69" i="12" a="1"/>
  <c r="JX69" i="12" s="1"/>
  <c r="JY68" i="12" a="1"/>
  <c r="JY68" i="12" s="1"/>
  <c r="JY69" i="12" a="1"/>
  <c r="JY69" i="12" s="1"/>
  <c r="JZ68" i="12" a="1"/>
  <c r="JZ68" i="12" s="1"/>
  <c r="JZ69" i="12" a="1"/>
  <c r="JZ69" i="12" s="1"/>
  <c r="KA68" i="12" a="1"/>
  <c r="KA68" i="12" s="1"/>
  <c r="KA69" i="12" a="1"/>
  <c r="KA69" i="12" s="1"/>
  <c r="KB68" i="12" a="1"/>
  <c r="KB68" i="12" s="1"/>
  <c r="KB69" i="12" a="1"/>
  <c r="KB69" i="12" s="1"/>
  <c r="KC68" i="12" a="1"/>
  <c r="KC68" i="12" s="1"/>
  <c r="KC69" i="12" a="1"/>
  <c r="KC69" i="12" s="1"/>
  <c r="KD68" i="12" a="1"/>
  <c r="KD68" i="12" s="1"/>
  <c r="KD69" i="12" a="1"/>
  <c r="KD69" i="12" s="1"/>
  <c r="KE68" i="12" a="1"/>
  <c r="KE68" i="12" s="1"/>
  <c r="KE69" i="12" a="1"/>
  <c r="KE69" i="12" s="1"/>
  <c r="KF68" i="12" a="1"/>
  <c r="KF68" i="12" s="1"/>
  <c r="KF69" i="12" a="1"/>
  <c r="KF69" i="12" s="1"/>
  <c r="JU70" i="12" a="1"/>
  <c r="JU70" i="12" s="1"/>
  <c r="JV70" i="12" a="1"/>
  <c r="JV70" i="12" s="1"/>
  <c r="JW70" i="12" a="1"/>
  <c r="JW70" i="12" s="1"/>
  <c r="JX70" i="12" a="1"/>
  <c r="JX70" i="12" s="1"/>
  <c r="JY70" i="12" a="1"/>
  <c r="JY70" i="12" s="1"/>
  <c r="JZ70" i="12" a="1"/>
  <c r="JZ70" i="12" s="1"/>
  <c r="KA70" i="12" a="1"/>
  <c r="KA70" i="12" s="1"/>
  <c r="KB70" i="12" a="1"/>
  <c r="KB70" i="12" s="1"/>
  <c r="KC70" i="12" a="1"/>
  <c r="KC70" i="12" s="1"/>
  <c r="KD70" i="12" a="1"/>
  <c r="KD70" i="12" s="1"/>
  <c r="KE70" i="12" a="1"/>
  <c r="KE70" i="12" s="1"/>
  <c r="KF70" i="12" a="1"/>
  <c r="KF70" i="12" s="1"/>
  <c r="F573" i="15" a="1"/>
  <c r="F573" i="15" s="1"/>
  <c r="H573" i="15" a="1"/>
  <c r="H573" i="15" s="1"/>
  <c r="I573" i="15" a="1"/>
  <c r="I573" i="15" s="1"/>
  <c r="F576" i="15" a="1"/>
  <c r="F576" i="15" s="1"/>
  <c r="G576" i="15" s="1"/>
  <c r="H576" i="15" a="1"/>
  <c r="H576" i="15" s="1"/>
  <c r="I576" i="15" a="1"/>
  <c r="I576" i="15" s="1"/>
  <c r="F577" i="15" a="1"/>
  <c r="F577" i="15" s="1"/>
  <c r="G577" i="15" s="1"/>
  <c r="H577" i="15" a="1"/>
  <c r="H577" i="15" s="1"/>
  <c r="I577" i="15" a="1"/>
  <c r="I577" i="15" s="1"/>
  <c r="F578" i="15" a="1"/>
  <c r="F578" i="15" s="1"/>
  <c r="G578" i="15" s="1"/>
  <c r="H578" i="15" a="1"/>
  <c r="H578" i="15" s="1"/>
  <c r="I578" i="15" a="1"/>
  <c r="I578" i="15" s="1"/>
  <c r="G573" i="15" l="1"/>
  <c r="W6" i="70" l="1" a="1"/>
  <c r="W6" i="70" s="1"/>
  <c r="J19" i="70"/>
  <c r="K19" i="70"/>
  <c r="L19" i="70"/>
  <c r="M19" i="70"/>
  <c r="L24" i="70" s="1"/>
  <c r="N19" i="70"/>
  <c r="J27" i="70"/>
  <c r="J33" i="70" s="1"/>
  <c r="K27" i="70"/>
  <c r="K31" i="70" s="1"/>
  <c r="L27" i="70"/>
  <c r="M27" i="70"/>
  <c r="W27" i="70"/>
  <c r="J28" i="70"/>
  <c r="L34" i="70" s="1"/>
  <c r="K28" i="70"/>
  <c r="L28" i="70"/>
  <c r="M28" i="70"/>
  <c r="J29" i="70"/>
  <c r="J35" i="70" s="1"/>
  <c r="K29" i="70"/>
  <c r="K35" i="70" s="1"/>
  <c r="L29" i="70"/>
  <c r="L35" i="70" s="1"/>
  <c r="M29" i="70"/>
  <c r="J30" i="70"/>
  <c r="J36" i="70" s="1"/>
  <c r="K30" i="70"/>
  <c r="K36" i="70" s="1"/>
  <c r="L30" i="70"/>
  <c r="L36" i="70" s="1"/>
  <c r="M30" i="70"/>
  <c r="M36" i="70" s="1"/>
  <c r="AA35" i="70"/>
  <c r="W36" i="70"/>
  <c r="AA36" i="70"/>
  <c r="AA39" i="70"/>
  <c r="AA41" i="70"/>
  <c r="AC41" i="70"/>
  <c r="W44" i="70"/>
  <c r="AA44" i="70"/>
  <c r="AA46" i="70"/>
  <c r="W25" i="70" l="1"/>
  <c r="AI3" i="70"/>
  <c r="N31" i="70"/>
  <c r="J31" i="70"/>
  <c r="K33" i="70"/>
  <c r="M35" i="70"/>
  <c r="M24" i="70"/>
  <c r="M34" i="70"/>
  <c r="L31" i="70"/>
  <c r="L33" i="70"/>
  <c r="J34" i="70"/>
  <c r="K34" i="70"/>
  <c r="M33" i="70"/>
  <c r="M31" i="70"/>
  <c r="AS100" i="1" l="1"/>
  <c r="AQ100" i="1"/>
  <c r="BR37" i="70"/>
  <c r="BR38" i="70"/>
  <c r="BR39" i="70"/>
  <c r="BR40" i="70"/>
  <c r="BR41" i="70"/>
  <c r="BR42" i="70"/>
  <c r="BR43" i="70"/>
  <c r="BR44" i="70"/>
  <c r="BR45" i="70"/>
  <c r="BR46" i="70"/>
  <c r="BR47" i="70"/>
  <c r="BR48" i="70"/>
  <c r="BR49" i="70"/>
  <c r="BR50" i="70"/>
  <c r="BR51" i="70"/>
  <c r="BR52" i="70"/>
  <c r="BR53" i="70"/>
  <c r="BR54" i="70"/>
  <c r="BR55" i="70"/>
  <c r="BR56" i="70"/>
  <c r="BR57" i="70"/>
  <c r="BR58" i="70"/>
  <c r="BR59" i="70"/>
  <c r="BR60" i="70"/>
  <c r="BR61" i="70"/>
  <c r="AR62" i="70"/>
  <c r="AS62" i="70"/>
  <c r="AT62" i="70"/>
  <c r="AU62" i="70"/>
  <c r="AV62" i="70"/>
  <c r="AW62" i="70"/>
  <c r="AX62" i="70"/>
  <c r="AY62" i="70"/>
  <c r="AZ62" i="70"/>
  <c r="BA62" i="70"/>
  <c r="BB62" i="70"/>
  <c r="BC62" i="70"/>
  <c r="BD62" i="70"/>
  <c r="BE62" i="70"/>
  <c r="BF62" i="70"/>
  <c r="BG62" i="70"/>
  <c r="BH62" i="70"/>
  <c r="BI62" i="70"/>
  <c r="BJ62" i="70"/>
  <c r="BK62" i="70"/>
  <c r="BL62" i="70"/>
  <c r="BM62" i="70"/>
  <c r="BN62" i="70"/>
  <c r="BO62" i="70"/>
  <c r="BP62" i="70"/>
  <c r="BQ62" i="70"/>
  <c r="BR62" i="70"/>
  <c r="BR36" i="70"/>
  <c r="AQ90" i="70"/>
  <c r="AP63" i="70"/>
  <c r="BS37" i="70"/>
  <c r="BS38" i="70"/>
  <c r="BS39" i="70"/>
  <c r="BS40" i="70"/>
  <c r="BS41" i="70"/>
  <c r="BS42" i="70"/>
  <c r="BS43" i="70"/>
  <c r="BS44" i="70"/>
  <c r="BS45" i="70"/>
  <c r="BS46" i="70"/>
  <c r="BS47" i="70"/>
  <c r="BS48" i="70"/>
  <c r="BS49" i="70"/>
  <c r="BS50" i="70"/>
  <c r="BS51" i="70"/>
  <c r="BS52" i="70"/>
  <c r="BS53" i="70"/>
  <c r="BS54" i="70"/>
  <c r="BS55" i="70"/>
  <c r="BS56" i="70"/>
  <c r="BS57" i="70"/>
  <c r="BS58" i="70"/>
  <c r="BS59" i="70"/>
  <c r="BS60" i="70"/>
  <c r="BS61" i="70"/>
  <c r="BS62" i="70"/>
  <c r="AR63" i="70"/>
  <c r="AS63" i="70"/>
  <c r="AT63" i="70"/>
  <c r="AU63" i="70"/>
  <c r="AV63" i="70"/>
  <c r="AW63" i="70"/>
  <c r="AX63" i="70"/>
  <c r="AY63" i="70"/>
  <c r="AZ63" i="70"/>
  <c r="BA63" i="70"/>
  <c r="BB63" i="70"/>
  <c r="BC63" i="70"/>
  <c r="BD63" i="70"/>
  <c r="BE63" i="70"/>
  <c r="BF63" i="70"/>
  <c r="BG63" i="70"/>
  <c r="BH63" i="70"/>
  <c r="BI63" i="70"/>
  <c r="BJ63" i="70"/>
  <c r="BK63" i="70"/>
  <c r="BL63" i="70"/>
  <c r="BM63" i="70"/>
  <c r="BN63" i="70"/>
  <c r="BO63" i="70"/>
  <c r="BP63" i="70"/>
  <c r="BQ63" i="70"/>
  <c r="BR63" i="70"/>
  <c r="BS63" i="70"/>
  <c r="BS36" i="70"/>
  <c r="BP64" i="70"/>
  <c r="BQ64" i="70"/>
  <c r="BR64" i="70"/>
  <c r="BS64" i="70"/>
  <c r="X77" i="22" l="1"/>
  <c r="X60" i="22"/>
  <c r="X91" i="22"/>
  <c r="X92" i="22"/>
  <c r="X93" i="22"/>
  <c r="X94" i="22"/>
  <c r="X95" i="22"/>
  <c r="X96" i="22"/>
  <c r="X97" i="22"/>
  <c r="X98" i="22"/>
  <c r="X90" i="22"/>
  <c r="X87" i="22"/>
  <c r="O13" i="9"/>
  <c r="F551" i="15" a="1"/>
  <c r="F551" i="15" s="1"/>
  <c r="G551" i="15" s="1"/>
  <c r="H551" i="15" a="1"/>
  <c r="H551" i="15" s="1"/>
  <c r="F552" i="15" a="1"/>
  <c r="F552" i="15" s="1"/>
  <c r="G552" i="15" s="1"/>
  <c r="H552" i="15" a="1"/>
  <c r="H552" i="15" s="1"/>
  <c r="F553" i="15" a="1"/>
  <c r="F553" i="15" s="1"/>
  <c r="G553" i="15" s="1"/>
  <c r="H553" i="15" a="1"/>
  <c r="H553" i="15" s="1"/>
  <c r="F556" i="15" a="1"/>
  <c r="F556" i="15" s="1"/>
  <c r="G556" i="15" s="1"/>
  <c r="H556" i="15" a="1"/>
  <c r="H556" i="15" s="1"/>
  <c r="O76" i="9" l="1"/>
  <c r="O5" i="9"/>
  <c r="O6" i="9"/>
  <c r="O7" i="9"/>
  <c r="O8" i="9"/>
  <c r="O9" i="9"/>
  <c r="O10" i="9"/>
  <c r="O11" i="9"/>
  <c r="O12" i="9"/>
  <c r="O14" i="9"/>
  <c r="O15" i="9"/>
  <c r="O16" i="9"/>
  <c r="O17" i="9"/>
  <c r="O18" i="9"/>
  <c r="O19" i="9"/>
  <c r="O20" i="9"/>
  <c r="O21" i="9"/>
  <c r="O22" i="9"/>
  <c r="O23" i="9"/>
  <c r="O24" i="9"/>
  <c r="O25" i="9"/>
  <c r="O26" i="9"/>
  <c r="O27" i="9"/>
  <c r="O28" i="9"/>
  <c r="O29" i="9"/>
  <c r="O30" i="9"/>
  <c r="O31" i="9"/>
  <c r="O32" i="9"/>
  <c r="O33" i="9"/>
  <c r="O34" i="9"/>
  <c r="O35" i="9"/>
  <c r="O36" i="9"/>
  <c r="O38" i="9"/>
  <c r="O39" i="9"/>
  <c r="O40" i="9"/>
  <c r="O41" i="9"/>
  <c r="O42" i="9"/>
  <c r="O43" i="9"/>
  <c r="O44" i="9"/>
  <c r="O45" i="9"/>
  <c r="O46" i="9"/>
  <c r="O47" i="9"/>
  <c r="O48" i="9"/>
  <c r="O49" i="9"/>
  <c r="O50" i="9"/>
  <c r="O51" i="9"/>
  <c r="O52" i="9"/>
  <c r="O53" i="9"/>
  <c r="O54" i="9"/>
  <c r="O55" i="9"/>
  <c r="O56" i="9"/>
  <c r="O57" i="9"/>
  <c r="O58" i="9"/>
  <c r="O59" i="9"/>
  <c r="O60" i="9"/>
  <c r="O61" i="9"/>
  <c r="O62" i="9"/>
  <c r="O63" i="9"/>
  <c r="O64" i="9"/>
  <c r="O65" i="9"/>
  <c r="O66" i="9"/>
  <c r="O67" i="9"/>
  <c r="O68" i="9"/>
  <c r="O69" i="9"/>
  <c r="O70" i="9"/>
  <c r="O71" i="9"/>
  <c r="O72" i="9"/>
  <c r="O73" i="9"/>
  <c r="O74" i="9"/>
  <c r="O75" i="9"/>
  <c r="O77" i="9"/>
  <c r="O78" i="9"/>
  <c r="O79" i="9"/>
  <c r="O80" i="9"/>
  <c r="O81" i="9"/>
  <c r="O82" i="9"/>
  <c r="O83" i="9"/>
  <c r="O84" i="9"/>
  <c r="O85" i="9"/>
  <c r="O86" i="9"/>
  <c r="O87" i="9"/>
  <c r="O88" i="9"/>
  <c r="O89" i="9"/>
  <c r="O90" i="9"/>
  <c r="O91" i="9"/>
  <c r="O92" i="9"/>
  <c r="O93" i="9"/>
  <c r="O94" i="9"/>
  <c r="O95" i="9"/>
  <c r="O96" i="9"/>
  <c r="O97" i="9"/>
  <c r="O98" i="9"/>
  <c r="AO113" i="69"/>
  <c r="AO112" i="69"/>
  <c r="AO111" i="69"/>
  <c r="B3" i="9"/>
  <c r="AO114" i="69" l="1"/>
  <c r="F1" i="12"/>
  <c r="C1200" i="13" l="1" a="1"/>
  <c r="C1200" i="13" s="1"/>
  <c r="C1101" i="13" a="1"/>
  <c r="C1101" i="13" s="1"/>
  <c r="C1002" i="13" a="1"/>
  <c r="C1002" i="13" s="1"/>
  <c r="AV1092" i="13"/>
  <c r="AV1093" i="13"/>
  <c r="AV1094" i="13"/>
  <c r="AV1095" i="13"/>
  <c r="AV849" i="13" l="1"/>
  <c r="AV1597" i="13"/>
  <c r="AV1598" i="13"/>
  <c r="AV1599" i="13"/>
  <c r="AV1600" i="13"/>
  <c r="Z1598" i="13"/>
  <c r="Z1599" i="13"/>
  <c r="Z1600" i="13"/>
  <c r="Z1601" i="13"/>
  <c r="AV1003" i="13"/>
  <c r="AV1004" i="13"/>
  <c r="AV1005" i="13"/>
  <c r="AV1006" i="13"/>
  <c r="AV1007" i="13"/>
  <c r="AV1008" i="13"/>
  <c r="AV1009" i="13"/>
  <c r="AV1010" i="13"/>
  <c r="AV1011" i="13"/>
  <c r="AV1012" i="13"/>
  <c r="AV1013" i="13"/>
  <c r="AV1014" i="13"/>
  <c r="AV1015" i="13"/>
  <c r="AV1016" i="13"/>
  <c r="AV1017" i="13"/>
  <c r="AV1018" i="13"/>
  <c r="AV1019" i="13"/>
  <c r="AV1020" i="13"/>
  <c r="AV1021" i="13"/>
  <c r="AV1022" i="13"/>
  <c r="AV1023" i="13"/>
  <c r="AV1024" i="13"/>
  <c r="AV1025" i="13"/>
  <c r="AV1026" i="13"/>
  <c r="AV1027" i="13"/>
  <c r="AV1028" i="13"/>
  <c r="AV1029" i="13"/>
  <c r="AV1030" i="13"/>
  <c r="AV1031" i="13"/>
  <c r="AV1032" i="13"/>
  <c r="AV1033" i="13"/>
  <c r="AV1034" i="13"/>
  <c r="AV1035" i="13"/>
  <c r="AV1036" i="13"/>
  <c r="AV1037" i="13"/>
  <c r="AV1038" i="13"/>
  <c r="AV1039" i="13"/>
  <c r="AV1040" i="13"/>
  <c r="AV1041" i="13"/>
  <c r="AV1042" i="13"/>
  <c r="AV1043" i="13"/>
  <c r="AV1044" i="13"/>
  <c r="AV1045" i="13"/>
  <c r="AV1046" i="13"/>
  <c r="AV1047" i="13"/>
  <c r="AV1048" i="13"/>
  <c r="AV1049" i="13"/>
  <c r="AV1050" i="13"/>
  <c r="AV1051" i="13"/>
  <c r="AV1052" i="13"/>
  <c r="AV1053" i="13"/>
  <c r="AV1054" i="13"/>
  <c r="AV1055" i="13"/>
  <c r="AV1056" i="13"/>
  <c r="AV1057" i="13"/>
  <c r="AV1058" i="13"/>
  <c r="AV1059" i="13"/>
  <c r="AV1060" i="13"/>
  <c r="AV1061" i="13"/>
  <c r="AV1062" i="13"/>
  <c r="AV1063" i="13"/>
  <c r="AV1064" i="13"/>
  <c r="AV1065" i="13"/>
  <c r="AV1066" i="13"/>
  <c r="AV1067" i="13"/>
  <c r="AV1068" i="13"/>
  <c r="AV1069" i="13"/>
  <c r="AV1070" i="13"/>
  <c r="AV1071" i="13"/>
  <c r="AV1072" i="13"/>
  <c r="AV1073" i="13"/>
  <c r="AV1074" i="13"/>
  <c r="AV1075" i="13"/>
  <c r="AV1076" i="13"/>
  <c r="AV1077" i="13"/>
  <c r="AV1078" i="13"/>
  <c r="AV1079" i="13"/>
  <c r="AV1080" i="13"/>
  <c r="AV1081" i="13"/>
  <c r="AV1082" i="13"/>
  <c r="AV1083" i="13"/>
  <c r="AV1084" i="13"/>
  <c r="AV1085" i="13"/>
  <c r="AV1086" i="13"/>
  <c r="AV1087" i="13"/>
  <c r="AV1088" i="13"/>
  <c r="AV1089" i="13"/>
  <c r="AV1090" i="13"/>
  <c r="AV1091" i="13"/>
  <c r="AV904" i="13"/>
  <c r="AV905" i="13"/>
  <c r="AV906" i="13"/>
  <c r="AV907" i="13"/>
  <c r="AV908" i="13"/>
  <c r="AV909" i="13"/>
  <c r="AV910" i="13"/>
  <c r="AV911" i="13"/>
  <c r="AV912" i="13"/>
  <c r="AV913" i="13"/>
  <c r="AV914" i="13"/>
  <c r="AV915" i="13"/>
  <c r="AV916" i="13"/>
  <c r="AV917" i="13"/>
  <c r="AV918" i="13"/>
  <c r="AV919" i="13"/>
  <c r="AV920" i="13"/>
  <c r="AV921" i="13"/>
  <c r="AV922" i="13"/>
  <c r="AV923" i="13"/>
  <c r="AV924" i="13"/>
  <c r="AV925" i="13"/>
  <c r="AV926" i="13"/>
  <c r="AV927" i="13"/>
  <c r="AV928" i="13"/>
  <c r="AV929" i="13"/>
  <c r="AV930" i="13"/>
  <c r="AV931" i="13"/>
  <c r="AV932" i="13"/>
  <c r="AV933" i="13"/>
  <c r="AV934" i="13"/>
  <c r="AV935" i="13"/>
  <c r="AV936" i="13"/>
  <c r="AV937" i="13"/>
  <c r="AV938" i="13"/>
  <c r="AV939" i="13"/>
  <c r="AV940" i="13"/>
  <c r="AV941" i="13"/>
  <c r="AV942" i="13"/>
  <c r="AV943" i="13"/>
  <c r="AV944" i="13"/>
  <c r="AV945" i="13"/>
  <c r="AV946" i="13"/>
  <c r="AV947" i="13"/>
  <c r="AV948" i="13"/>
  <c r="AV949" i="13"/>
  <c r="AV950" i="13"/>
  <c r="AV951" i="13"/>
  <c r="AV952" i="13"/>
  <c r="AV953" i="13"/>
  <c r="AV954" i="13"/>
  <c r="AV955" i="13"/>
  <c r="AV956" i="13"/>
  <c r="AV957" i="13"/>
  <c r="AV958" i="13"/>
  <c r="AV959" i="13"/>
  <c r="AV960" i="13"/>
  <c r="AV961" i="13"/>
  <c r="AV962" i="13"/>
  <c r="AV963" i="13"/>
  <c r="AV964" i="13"/>
  <c r="AV965" i="13"/>
  <c r="AV966" i="13"/>
  <c r="AV967" i="13"/>
  <c r="AV968" i="13"/>
  <c r="AV969" i="13"/>
  <c r="AV970" i="13"/>
  <c r="AV971" i="13"/>
  <c r="AV972" i="13"/>
  <c r="AV973" i="13"/>
  <c r="AV974" i="13"/>
  <c r="AV975" i="13"/>
  <c r="AV976" i="13"/>
  <c r="AV977" i="13"/>
  <c r="AV978" i="13"/>
  <c r="AV979" i="13"/>
  <c r="AV980" i="13"/>
  <c r="AV981" i="13"/>
  <c r="AV982" i="13"/>
  <c r="AV983" i="13"/>
  <c r="AV984" i="13"/>
  <c r="AV985" i="13"/>
  <c r="AV986" i="13"/>
  <c r="AV987" i="13"/>
  <c r="AV988" i="13"/>
  <c r="AV989" i="13"/>
  <c r="AV990" i="13"/>
  <c r="AV991" i="13"/>
  <c r="AV992" i="13"/>
  <c r="AV993" i="13"/>
  <c r="AV994" i="13"/>
  <c r="AV995" i="13"/>
  <c r="AV996" i="13"/>
  <c r="AV805" i="13"/>
  <c r="AV806" i="13"/>
  <c r="AV807" i="13"/>
  <c r="AV808" i="13"/>
  <c r="AV809" i="13"/>
  <c r="AV810" i="13"/>
  <c r="AV811" i="13"/>
  <c r="AV812" i="13"/>
  <c r="AV813" i="13"/>
  <c r="AV814" i="13"/>
  <c r="AV815" i="13"/>
  <c r="AV816" i="13"/>
  <c r="AV817" i="13"/>
  <c r="AV818" i="13"/>
  <c r="AV819" i="13"/>
  <c r="AV820" i="13"/>
  <c r="AV821" i="13"/>
  <c r="AV822" i="13"/>
  <c r="AV823" i="13"/>
  <c r="AV824" i="13"/>
  <c r="AV825" i="13"/>
  <c r="AV826" i="13"/>
  <c r="AV827" i="13"/>
  <c r="AV828" i="13"/>
  <c r="AV829" i="13"/>
  <c r="AV830" i="13"/>
  <c r="AV831" i="13"/>
  <c r="AV832" i="13"/>
  <c r="AV833" i="13"/>
  <c r="AV834" i="13"/>
  <c r="AV835" i="13"/>
  <c r="AV836" i="13"/>
  <c r="AV837" i="13"/>
  <c r="AV838" i="13"/>
  <c r="AV839" i="13"/>
  <c r="AV840" i="13"/>
  <c r="AV841" i="13"/>
  <c r="AV842" i="13"/>
  <c r="AV843" i="13"/>
  <c r="AV844" i="13"/>
  <c r="AV845" i="13"/>
  <c r="AV846" i="13"/>
  <c r="AV847" i="13"/>
  <c r="AV848" i="13"/>
  <c r="AV850" i="13"/>
  <c r="AV851" i="13"/>
  <c r="AV852" i="13"/>
  <c r="AV853" i="13"/>
  <c r="AV854" i="13"/>
  <c r="AV855" i="13"/>
  <c r="AV856" i="13"/>
  <c r="AV857" i="13"/>
  <c r="AV858" i="13"/>
  <c r="AV859" i="13"/>
  <c r="AV860" i="13"/>
  <c r="AV861" i="13"/>
  <c r="AV862" i="13"/>
  <c r="AV863" i="13"/>
  <c r="AV864" i="13"/>
  <c r="AV865" i="13"/>
  <c r="AV866" i="13"/>
  <c r="AV867" i="13"/>
  <c r="AV868" i="13"/>
  <c r="AV869" i="13"/>
  <c r="AV870" i="13"/>
  <c r="AV871" i="13"/>
  <c r="AV872" i="13"/>
  <c r="AV873" i="13"/>
  <c r="AV874" i="13"/>
  <c r="AV875" i="13"/>
  <c r="AV876" i="13"/>
  <c r="AV877" i="13"/>
  <c r="AV878" i="13"/>
  <c r="AV879" i="13"/>
  <c r="AV880" i="13"/>
  <c r="AV881" i="13"/>
  <c r="AV882" i="13"/>
  <c r="AV883" i="13"/>
  <c r="AV884" i="13"/>
  <c r="AV885" i="13"/>
  <c r="AV886" i="13"/>
  <c r="AV887" i="13"/>
  <c r="AV888" i="13"/>
  <c r="AV889" i="13"/>
  <c r="AV890" i="13"/>
  <c r="AV891" i="13"/>
  <c r="AV892" i="13"/>
  <c r="AV893" i="13"/>
  <c r="AV894" i="13"/>
  <c r="AV895" i="13"/>
  <c r="AV896" i="13"/>
  <c r="AV897" i="13"/>
  <c r="AV705" i="13"/>
  <c r="AV706" i="13"/>
  <c r="AV707" i="13"/>
  <c r="AV708" i="13"/>
  <c r="AV709" i="13"/>
  <c r="AV710" i="13"/>
  <c r="AV711" i="13"/>
  <c r="AV712" i="13"/>
  <c r="AV713" i="13"/>
  <c r="AV714" i="13"/>
  <c r="AV715" i="13"/>
  <c r="AV716" i="13"/>
  <c r="AV717" i="13"/>
  <c r="AV718" i="13"/>
  <c r="AV719" i="13"/>
  <c r="AV720" i="13"/>
  <c r="AV721" i="13"/>
  <c r="AV722" i="13"/>
  <c r="AV723" i="13"/>
  <c r="AV724" i="13"/>
  <c r="AV725" i="13"/>
  <c r="AV726" i="13"/>
  <c r="AV727" i="13"/>
  <c r="AV728" i="13"/>
  <c r="AV729" i="13"/>
  <c r="AV730" i="13"/>
  <c r="AV731" i="13"/>
  <c r="AV732" i="13"/>
  <c r="AV733" i="13"/>
  <c r="AV734" i="13"/>
  <c r="AV735" i="13"/>
  <c r="AV736" i="13"/>
  <c r="AV737" i="13"/>
  <c r="AV738" i="13"/>
  <c r="AV739" i="13"/>
  <c r="AV740" i="13"/>
  <c r="AV741" i="13"/>
  <c r="AV742" i="13"/>
  <c r="AV743" i="13"/>
  <c r="AV744" i="13"/>
  <c r="AV745" i="13"/>
  <c r="AV746" i="13"/>
  <c r="AV747" i="13"/>
  <c r="AV748" i="13"/>
  <c r="AV749" i="13"/>
  <c r="AV750" i="13"/>
  <c r="AV751" i="13"/>
  <c r="AV752" i="13"/>
  <c r="AV753" i="13"/>
  <c r="AV754" i="13"/>
  <c r="AV755" i="13"/>
  <c r="AV756" i="13"/>
  <c r="AV757" i="13"/>
  <c r="AV758" i="13"/>
  <c r="AV759" i="13"/>
  <c r="AV760" i="13"/>
  <c r="AV761" i="13"/>
  <c r="AV762" i="13"/>
  <c r="AV763" i="13"/>
  <c r="AV764" i="13"/>
  <c r="AV765" i="13"/>
  <c r="AV766" i="13"/>
  <c r="AV767" i="13"/>
  <c r="AV768" i="13"/>
  <c r="AV769" i="13"/>
  <c r="AV770" i="13"/>
  <c r="AV771" i="13"/>
  <c r="AV772" i="13"/>
  <c r="AV773" i="13"/>
  <c r="AV774" i="13"/>
  <c r="AV775" i="13"/>
  <c r="AV776" i="13"/>
  <c r="AV777" i="13"/>
  <c r="AV778" i="13"/>
  <c r="AV779" i="13"/>
  <c r="AV780" i="13"/>
  <c r="AV781" i="13"/>
  <c r="AV782" i="13"/>
  <c r="AV783" i="13"/>
  <c r="AV784" i="13"/>
  <c r="AV785" i="13"/>
  <c r="AV786" i="13"/>
  <c r="AV787" i="13"/>
  <c r="AV788" i="13"/>
  <c r="AV789" i="13"/>
  <c r="AV790" i="13"/>
  <c r="AV791" i="13"/>
  <c r="AV792" i="13"/>
  <c r="AV793" i="13"/>
  <c r="AV794" i="13"/>
  <c r="AV795" i="13"/>
  <c r="AV796" i="13"/>
  <c r="AV797" i="13"/>
  <c r="O10" i="4" l="1"/>
  <c r="P10" i="4"/>
  <c r="R10" i="4"/>
  <c r="O9" i="4"/>
  <c r="P9" i="4"/>
  <c r="R9" i="4"/>
  <c r="H21" i="27" l="1"/>
  <c r="G21" i="27"/>
  <c r="JZ1" i="71" l="1"/>
  <c r="JY1" i="71"/>
  <c r="JX1" i="71"/>
  <c r="JW1" i="71"/>
  <c r="JV1" i="71"/>
  <c r="JU1" i="71"/>
  <c r="JT1" i="71"/>
  <c r="JS1" i="71"/>
  <c r="JR1" i="71"/>
  <c r="JQ1" i="71"/>
  <c r="JP1" i="71"/>
  <c r="JO1" i="71"/>
  <c r="JN1" i="71"/>
  <c r="JM1" i="71"/>
  <c r="JL1" i="71"/>
  <c r="JK1" i="71"/>
  <c r="JJ1" i="71"/>
  <c r="JI1" i="71"/>
  <c r="JH1" i="71"/>
  <c r="JG1" i="71"/>
  <c r="JF1" i="71"/>
  <c r="JE1" i="71"/>
  <c r="JD1" i="71"/>
  <c r="JC1" i="71"/>
  <c r="JB1" i="71"/>
  <c r="JA1" i="71"/>
  <c r="IZ1" i="71"/>
  <c r="IY1" i="71"/>
  <c r="IX1" i="71"/>
  <c r="IW1" i="71"/>
  <c r="IV1" i="71"/>
  <c r="IU1" i="71"/>
  <c r="IT1" i="71"/>
  <c r="IS1" i="71"/>
  <c r="IR1" i="71"/>
  <c r="IQ1" i="71"/>
  <c r="IP1" i="71"/>
  <c r="IO1" i="71"/>
  <c r="IN1" i="71"/>
  <c r="IM1" i="71"/>
  <c r="IL1" i="71"/>
  <c r="IK1" i="71"/>
  <c r="IJ1" i="71"/>
  <c r="II1" i="71"/>
  <c r="IH1" i="71"/>
  <c r="IG1" i="71"/>
  <c r="IF1" i="71"/>
  <c r="IE1" i="71"/>
  <c r="ID1" i="71"/>
  <c r="IC1" i="71"/>
  <c r="IB1" i="71"/>
  <c r="IA1" i="71"/>
  <c r="HZ1" i="71"/>
  <c r="HY1" i="71"/>
  <c r="HX1" i="71"/>
  <c r="HW1" i="71"/>
  <c r="HV1" i="71"/>
  <c r="HU1" i="71"/>
  <c r="HT1" i="71"/>
  <c r="HS1" i="71"/>
  <c r="HR1" i="71"/>
  <c r="HQ1" i="71"/>
  <c r="HP1" i="71"/>
  <c r="HO1" i="71"/>
  <c r="HN1" i="71"/>
  <c r="HM1" i="71"/>
  <c r="HL1" i="71"/>
  <c r="HK1" i="71"/>
  <c r="HJ1" i="71"/>
  <c r="HI1" i="71"/>
  <c r="HH1" i="71"/>
  <c r="HG1" i="71"/>
  <c r="HF1" i="71"/>
  <c r="HE1" i="71"/>
  <c r="HD1" i="71"/>
  <c r="HC1" i="71"/>
  <c r="HB1" i="71"/>
  <c r="HA1" i="71"/>
  <c r="GZ1" i="71"/>
  <c r="GY1" i="71"/>
  <c r="GX1" i="71"/>
  <c r="GW1" i="71"/>
  <c r="GV1" i="71"/>
  <c r="GU1" i="71"/>
  <c r="GT1" i="71"/>
  <c r="GS1" i="71"/>
  <c r="GR1" i="71"/>
  <c r="GQ1" i="71"/>
  <c r="GP1" i="71"/>
  <c r="GO1" i="71"/>
  <c r="GN1" i="71"/>
  <c r="GM1" i="71"/>
  <c r="GL1" i="71"/>
  <c r="GK1" i="71"/>
  <c r="GJ1" i="71"/>
  <c r="GI1" i="71"/>
  <c r="GH1" i="71"/>
  <c r="GG1" i="71"/>
  <c r="GF1" i="71"/>
  <c r="GE1" i="71"/>
  <c r="GD1" i="71"/>
  <c r="GC1" i="71"/>
  <c r="GB1" i="71"/>
  <c r="GA1" i="71"/>
  <c r="FZ1" i="71"/>
  <c r="FY1" i="71"/>
  <c r="FX1" i="71"/>
  <c r="FW1" i="71"/>
  <c r="FV1" i="71"/>
  <c r="FU1" i="71"/>
  <c r="FT1" i="71"/>
  <c r="FS1" i="71"/>
  <c r="FR1" i="71"/>
  <c r="FQ1" i="71"/>
  <c r="FP1" i="71"/>
  <c r="FO1" i="71"/>
  <c r="FN1" i="71"/>
  <c r="FM1" i="71"/>
  <c r="FL1" i="71"/>
  <c r="FK1" i="71"/>
  <c r="FJ1" i="71"/>
  <c r="FI1" i="71"/>
  <c r="FH1" i="71"/>
  <c r="FG1" i="71"/>
  <c r="FF1" i="71"/>
  <c r="FE1" i="71"/>
  <c r="FD1" i="71"/>
  <c r="FC1" i="71"/>
  <c r="FB1" i="71"/>
  <c r="FA1" i="71"/>
  <c r="EZ1" i="71"/>
  <c r="EY1" i="71"/>
  <c r="EX1" i="71"/>
  <c r="EW1" i="71"/>
  <c r="EV1" i="71"/>
  <c r="EU1" i="71"/>
  <c r="ET1" i="71"/>
  <c r="ES1" i="71"/>
  <c r="ER1" i="71"/>
  <c r="EQ1" i="71"/>
  <c r="EP1" i="71"/>
  <c r="EO1" i="71"/>
  <c r="EN1" i="71"/>
  <c r="EM1" i="71"/>
  <c r="EL1" i="71"/>
  <c r="EK1" i="71"/>
  <c r="EJ1" i="71"/>
  <c r="EI1" i="71"/>
  <c r="EH1" i="71"/>
  <c r="EG1" i="71"/>
  <c r="EF1" i="71"/>
  <c r="EE1" i="71"/>
  <c r="ED1" i="71"/>
  <c r="EC1" i="71"/>
  <c r="EB1" i="71"/>
  <c r="EA1" i="71"/>
  <c r="DZ1" i="71"/>
  <c r="DY1" i="71"/>
  <c r="DX1" i="71"/>
  <c r="DW1" i="71"/>
  <c r="DV1" i="71"/>
  <c r="DU1" i="71"/>
  <c r="DT1" i="71"/>
  <c r="DS1" i="71"/>
  <c r="DR1" i="71"/>
  <c r="DQ1" i="71"/>
  <c r="DP1" i="71"/>
  <c r="DO1" i="71"/>
  <c r="DN1" i="71"/>
  <c r="DM1" i="71"/>
  <c r="DL1" i="71"/>
  <c r="DK1" i="71"/>
  <c r="DJ1" i="71"/>
  <c r="DI1" i="71"/>
  <c r="DH1" i="71"/>
  <c r="DG1" i="71"/>
  <c r="DF1" i="71"/>
  <c r="DE1" i="71"/>
  <c r="DD1" i="71"/>
  <c r="DC1" i="71"/>
  <c r="DB1" i="71"/>
  <c r="DA1" i="71"/>
  <c r="CZ1" i="71"/>
  <c r="CY1" i="71"/>
  <c r="CX1" i="71"/>
  <c r="CW1" i="71"/>
  <c r="CV1" i="71"/>
  <c r="CU1" i="71"/>
  <c r="CT1" i="71"/>
  <c r="CS1" i="71"/>
  <c r="CR1" i="71"/>
  <c r="CQ1" i="71"/>
  <c r="CP1" i="71"/>
  <c r="CO1" i="71"/>
  <c r="CN1" i="71"/>
  <c r="CM1" i="71"/>
  <c r="CL1" i="71"/>
  <c r="CK1" i="71"/>
  <c r="CJ1" i="71"/>
  <c r="CI1" i="71"/>
  <c r="CH1" i="71"/>
  <c r="CG1" i="71"/>
  <c r="CF1" i="71"/>
  <c r="CE1" i="71"/>
  <c r="CD1" i="71"/>
  <c r="CC1" i="71"/>
  <c r="CB1" i="71"/>
  <c r="CA1" i="71"/>
  <c r="BZ1" i="71"/>
  <c r="BY1" i="71"/>
  <c r="BX1" i="71"/>
  <c r="BW1" i="71"/>
  <c r="BV1" i="71"/>
  <c r="BU1" i="71"/>
  <c r="BT1" i="71"/>
  <c r="BS1" i="71"/>
  <c r="BR1" i="71"/>
  <c r="BQ1" i="71"/>
  <c r="BP1" i="71"/>
  <c r="BO1" i="71"/>
  <c r="BN1" i="71"/>
  <c r="BM1" i="71"/>
  <c r="BL1" i="71"/>
  <c r="BK1" i="71"/>
  <c r="BJ1" i="71"/>
  <c r="BI1" i="71"/>
  <c r="BH1" i="71"/>
  <c r="BG1" i="71"/>
  <c r="BF1" i="71"/>
  <c r="BE1" i="71"/>
  <c r="BD1" i="71"/>
  <c r="BC1" i="71"/>
  <c r="BB1" i="71"/>
  <c r="BA1" i="71"/>
  <c r="AZ1" i="71"/>
  <c r="AY1" i="71"/>
  <c r="AX1" i="71"/>
  <c r="AW1" i="71"/>
  <c r="AV1" i="71"/>
  <c r="AU1" i="71"/>
  <c r="AT1" i="71"/>
  <c r="AS1" i="71"/>
  <c r="AR1" i="71"/>
  <c r="AQ1" i="71"/>
  <c r="AP1" i="71"/>
  <c r="AO1" i="71"/>
  <c r="AN1" i="71"/>
  <c r="AM1" i="71"/>
  <c r="AL1" i="71"/>
  <c r="AK1" i="71"/>
  <c r="AJ1" i="71"/>
  <c r="AI1" i="71"/>
  <c r="AH1" i="71"/>
  <c r="AG1" i="71"/>
  <c r="AF1" i="71"/>
  <c r="AE1" i="71"/>
  <c r="AD1" i="71"/>
  <c r="AC1" i="71"/>
  <c r="AB1" i="71"/>
  <c r="AA1" i="71"/>
  <c r="Z1" i="71"/>
  <c r="Y1" i="71"/>
  <c r="X1" i="71"/>
  <c r="W1" i="71"/>
  <c r="V1" i="71"/>
  <c r="U1" i="71"/>
  <c r="T1" i="71"/>
  <c r="S1" i="71"/>
  <c r="R1" i="71"/>
  <c r="Q1" i="71"/>
  <c r="P1" i="71"/>
  <c r="O1" i="71"/>
  <c r="N1" i="71"/>
  <c r="M1" i="71"/>
  <c r="L1" i="71"/>
  <c r="K1" i="71"/>
  <c r="J1" i="71"/>
  <c r="I1" i="71"/>
  <c r="H1" i="71"/>
  <c r="G1" i="71"/>
  <c r="F1" i="71"/>
  <c r="E1" i="71"/>
  <c r="D1" i="71"/>
  <c r="C1" i="71"/>
  <c r="B1" i="71"/>
  <c r="B2" i="71" a="1"/>
  <c r="B2" i="71" s="1"/>
  <c r="A4" i="71" a="1"/>
  <c r="A4" i="71" s="1"/>
  <c r="D97" i="13" l="1"/>
  <c r="D98" i="13"/>
  <c r="I3" i="9" l="1"/>
  <c r="W97" i="4"/>
  <c r="C46" i="27"/>
  <c r="E46" i="27"/>
  <c r="F46" i="27"/>
  <c r="X76" i="22"/>
  <c r="AC1731" i="13" l="1"/>
  <c r="AD1731" i="13"/>
  <c r="AE1731" i="13"/>
  <c r="AF1731" i="13"/>
  <c r="AG1731" i="13"/>
  <c r="AH1731" i="13"/>
  <c r="AI1731" i="13"/>
  <c r="AJ1731" i="13"/>
  <c r="AK1731" i="13"/>
  <c r="AL1731" i="13"/>
  <c r="AM1731" i="13"/>
  <c r="AN1731" i="13"/>
  <c r="AO1731" i="13"/>
  <c r="AP1731" i="13"/>
  <c r="AQ1731" i="13"/>
  <c r="AR1731" i="13"/>
  <c r="AS1731" i="13"/>
  <c r="AT1731" i="13"/>
  <c r="AU1731" i="13"/>
  <c r="AC1728" i="13"/>
  <c r="AD1728" i="13"/>
  <c r="AE1728" i="13"/>
  <c r="AF1728" i="13"/>
  <c r="AG1728" i="13"/>
  <c r="AH1728" i="13"/>
  <c r="AI1728" i="13"/>
  <c r="AJ1728" i="13"/>
  <c r="AK1728" i="13"/>
  <c r="AL1728" i="13"/>
  <c r="AM1728" i="13"/>
  <c r="AN1728" i="13"/>
  <c r="AO1728" i="13"/>
  <c r="AP1728" i="13"/>
  <c r="AQ1728" i="13"/>
  <c r="AR1728" i="13"/>
  <c r="AS1728" i="13"/>
  <c r="AT1728" i="13"/>
  <c r="AU1728" i="13"/>
  <c r="AD1774" i="13"/>
  <c r="AE1774" i="13"/>
  <c r="AG1774" i="13"/>
  <c r="AH1774" i="13"/>
  <c r="AI1774" i="13"/>
  <c r="AJ1774" i="13"/>
  <c r="AL1774" i="13"/>
  <c r="AM1774" i="13"/>
  <c r="AO1774" i="13"/>
  <c r="AP1774" i="13"/>
  <c r="AQ1774" i="13"/>
  <c r="AS1774" i="13"/>
  <c r="AT1774" i="13"/>
  <c r="AU1774" i="13"/>
  <c r="AC1774" i="13"/>
  <c r="F508" i="15" a="1"/>
  <c r="F508" i="15" s="1"/>
  <c r="G508" i="15" s="1"/>
  <c r="H508" i="15" a="1"/>
  <c r="H508" i="15" s="1"/>
  <c r="I508" i="15" a="1"/>
  <c r="I508" i="15" s="1"/>
  <c r="K508" i="15" a="1"/>
  <c r="K508" i="15" s="1"/>
  <c r="L508" i="15" a="1"/>
  <c r="L508" i="15" s="1"/>
  <c r="M508" i="15" a="1"/>
  <c r="M508" i="15" s="1"/>
  <c r="N508" i="15" a="1"/>
  <c r="N508" i="15" s="1"/>
  <c r="F502" i="15" a="1"/>
  <c r="F502" i="15" s="1"/>
  <c r="G502" i="15" s="1"/>
  <c r="H502" i="15" a="1"/>
  <c r="H502" i="15" s="1"/>
  <c r="I502" i="15" a="1"/>
  <c r="I502" i="15" s="1"/>
  <c r="K502" i="15" a="1"/>
  <c r="K502" i="15" s="1"/>
  <c r="L502" i="15" a="1"/>
  <c r="L502" i="15" s="1"/>
  <c r="M502" i="15" a="1"/>
  <c r="M502" i="15" s="1"/>
  <c r="N502" i="15" a="1"/>
  <c r="N502" i="15" s="1"/>
  <c r="F503" i="15" a="1"/>
  <c r="F503" i="15" s="1"/>
  <c r="G503" i="15" s="1"/>
  <c r="H503" i="15" a="1"/>
  <c r="H503" i="15" s="1"/>
  <c r="I503" i="15" a="1"/>
  <c r="I503" i="15" s="1"/>
  <c r="K503" i="15" a="1"/>
  <c r="K503" i="15" s="1"/>
  <c r="L503" i="15" a="1"/>
  <c r="L503" i="15" s="1"/>
  <c r="M503" i="15" a="1"/>
  <c r="M503" i="15" s="1"/>
  <c r="N503" i="15" a="1"/>
  <c r="N503" i="15" s="1"/>
  <c r="F504" i="15" a="1"/>
  <c r="F504" i="15" s="1"/>
  <c r="G504" i="15" s="1"/>
  <c r="H504" i="15" a="1"/>
  <c r="H504" i="15" s="1"/>
  <c r="I504" i="15" a="1"/>
  <c r="I504" i="15" s="1"/>
  <c r="K504" i="15" a="1"/>
  <c r="K504" i="15" s="1"/>
  <c r="L504" i="15" a="1"/>
  <c r="L504" i="15" s="1"/>
  <c r="M504" i="15" a="1"/>
  <c r="M504" i="15" s="1"/>
  <c r="N504" i="15" a="1"/>
  <c r="N504" i="15" s="1"/>
  <c r="F505" i="15" a="1"/>
  <c r="F505" i="15" s="1"/>
  <c r="G505" i="15" s="1"/>
  <c r="H505" i="15" a="1"/>
  <c r="H505" i="15" s="1"/>
  <c r="I505" i="15" a="1"/>
  <c r="I505" i="15" s="1"/>
  <c r="K505" i="15" a="1"/>
  <c r="K505" i="15" s="1"/>
  <c r="L505" i="15" a="1"/>
  <c r="L505" i="15" s="1"/>
  <c r="M505" i="15" a="1"/>
  <c r="M505" i="15" s="1"/>
  <c r="N505" i="15" a="1"/>
  <c r="N505" i="15" s="1"/>
  <c r="F506" i="15" a="1"/>
  <c r="F506" i="15" s="1"/>
  <c r="G506" i="15" s="1"/>
  <c r="H506" i="15" a="1"/>
  <c r="H506" i="15" s="1"/>
  <c r="I506" i="15" a="1"/>
  <c r="I506" i="15" s="1"/>
  <c r="K506" i="15" a="1"/>
  <c r="K506" i="15" s="1"/>
  <c r="L506" i="15" a="1"/>
  <c r="L506" i="15" s="1"/>
  <c r="M506" i="15" a="1"/>
  <c r="M506" i="15" s="1"/>
  <c r="N506" i="15" a="1"/>
  <c r="N506" i="15" s="1"/>
  <c r="F507" i="15" a="1"/>
  <c r="F507" i="15" s="1"/>
  <c r="G507" i="15" s="1"/>
  <c r="H507" i="15" a="1"/>
  <c r="H507" i="15" s="1"/>
  <c r="I507" i="15" a="1"/>
  <c r="I507" i="15" s="1"/>
  <c r="K507" i="15" a="1"/>
  <c r="K507" i="15" s="1"/>
  <c r="L507" i="15" a="1"/>
  <c r="L507" i="15" s="1"/>
  <c r="M507" i="15" a="1"/>
  <c r="M507" i="15" s="1"/>
  <c r="N507" i="15" a="1"/>
  <c r="N507" i="15" s="1"/>
  <c r="F509" i="15" a="1"/>
  <c r="F509" i="15" s="1"/>
  <c r="G509" i="15" s="1"/>
  <c r="H509" i="15" a="1"/>
  <c r="H509" i="15" s="1"/>
  <c r="F511" i="15" a="1"/>
  <c r="F511" i="15" s="1"/>
  <c r="G511" i="15" s="1"/>
  <c r="H511" i="15" a="1"/>
  <c r="H511" i="15" s="1"/>
  <c r="I511" i="15" a="1"/>
  <c r="I511" i="15" s="1"/>
  <c r="K511" i="15" a="1"/>
  <c r="K511" i="15" s="1"/>
  <c r="L511" i="15" a="1"/>
  <c r="L511" i="15" s="1"/>
  <c r="M511" i="15" a="1"/>
  <c r="M511" i="15" s="1"/>
  <c r="N511" i="15" a="1"/>
  <c r="N511" i="15" s="1"/>
  <c r="F512" i="15" a="1"/>
  <c r="F512" i="15" s="1"/>
  <c r="G512" i="15" s="1"/>
  <c r="H512" i="15" a="1"/>
  <c r="H512" i="15" s="1"/>
  <c r="I512" i="15" a="1"/>
  <c r="I512" i="15" s="1"/>
  <c r="F514" i="15" a="1"/>
  <c r="F514" i="15" s="1"/>
  <c r="G514" i="15" s="1"/>
  <c r="H514" i="15" a="1"/>
  <c r="H514" i="15" s="1"/>
  <c r="I514" i="15" a="1"/>
  <c r="I514" i="15" s="1"/>
  <c r="F515" i="15" a="1"/>
  <c r="F515" i="15" s="1"/>
  <c r="G515" i="15" s="1"/>
  <c r="H515" i="15" a="1"/>
  <c r="H515" i="15" s="1"/>
  <c r="F518" i="15" a="1"/>
  <c r="F518" i="15" s="1"/>
  <c r="G518" i="15" s="1"/>
  <c r="H518" i="15" a="1"/>
  <c r="H518" i="15" s="1"/>
  <c r="I518" i="15" a="1"/>
  <c r="I518" i="15" s="1"/>
  <c r="F519" i="15" a="1"/>
  <c r="F519" i="15" s="1"/>
  <c r="G519" i="15" s="1"/>
  <c r="H519" i="15" a="1"/>
  <c r="H519" i="15" s="1"/>
  <c r="I519" i="15" a="1"/>
  <c r="I519" i="15" s="1"/>
  <c r="F521" i="15" a="1"/>
  <c r="F521" i="15" s="1"/>
  <c r="G521" i="15" s="1"/>
  <c r="H521" i="15" a="1"/>
  <c r="H521" i="15" s="1"/>
  <c r="I521" i="15" a="1"/>
  <c r="I521" i="15" s="1"/>
  <c r="K521" i="15" a="1"/>
  <c r="K521" i="15" s="1"/>
  <c r="L521" i="15" a="1"/>
  <c r="L521" i="15" s="1"/>
  <c r="M521" i="15" a="1"/>
  <c r="M521" i="15" s="1"/>
  <c r="N521" i="15" a="1"/>
  <c r="N521" i="15" s="1"/>
  <c r="F522" i="15" a="1"/>
  <c r="F522" i="15" s="1"/>
  <c r="G522" i="15" s="1"/>
  <c r="H522" i="15" a="1"/>
  <c r="H522" i="15" s="1"/>
  <c r="I522" i="15" a="1"/>
  <c r="I522" i="15" s="1"/>
  <c r="F523" i="15" a="1"/>
  <c r="F523" i="15" s="1"/>
  <c r="G523" i="15" s="1"/>
  <c r="H523" i="15" a="1"/>
  <c r="H523" i="15" s="1"/>
  <c r="I523" i="15" a="1"/>
  <c r="I523" i="15" s="1"/>
  <c r="F525" i="15" a="1"/>
  <c r="F525" i="15" s="1"/>
  <c r="G525" i="15" s="1"/>
  <c r="H525" i="15" a="1"/>
  <c r="H525" i="15" s="1"/>
  <c r="F526" i="15" a="1"/>
  <c r="F526" i="15" s="1"/>
  <c r="G526" i="15" s="1"/>
  <c r="H526" i="15" a="1"/>
  <c r="H526" i="15" s="1"/>
  <c r="I526" i="15" a="1"/>
  <c r="I526" i="15" s="1"/>
  <c r="F528" i="15" a="1"/>
  <c r="F528" i="15" s="1"/>
  <c r="G528" i="15" s="1"/>
  <c r="H528" i="15" a="1"/>
  <c r="H528" i="15" s="1"/>
  <c r="F529" i="15" a="1"/>
  <c r="F529" i="15" s="1"/>
  <c r="G529" i="15" s="1"/>
  <c r="H529" i="15" a="1"/>
  <c r="H529" i="15" s="1"/>
  <c r="I529" i="15" a="1"/>
  <c r="I529" i="15" s="1"/>
  <c r="F530" i="15" a="1"/>
  <c r="F530" i="15" s="1"/>
  <c r="G530" i="15" s="1"/>
  <c r="H530" i="15" a="1"/>
  <c r="H530" i="15" s="1"/>
  <c r="I530" i="15" a="1"/>
  <c r="I530" i="15" s="1"/>
  <c r="K530" i="15" a="1"/>
  <c r="K530" i="15" s="1"/>
  <c r="L530" i="15" a="1"/>
  <c r="L530" i="15" s="1"/>
  <c r="M530" i="15" a="1"/>
  <c r="M530" i="15" s="1"/>
  <c r="N530" i="15" a="1"/>
  <c r="N530" i="15" s="1"/>
  <c r="F531" i="15" a="1"/>
  <c r="F531" i="15" s="1"/>
  <c r="G531" i="15" s="1"/>
  <c r="H531" i="15" a="1"/>
  <c r="H531" i="15" s="1"/>
  <c r="I531" i="15" a="1"/>
  <c r="I531" i="15" s="1"/>
  <c r="K531" i="15" a="1"/>
  <c r="K531" i="15" s="1"/>
  <c r="L531" i="15" a="1"/>
  <c r="L531" i="15" s="1"/>
  <c r="M531" i="15" a="1"/>
  <c r="M531" i="15" s="1"/>
  <c r="N531" i="15" a="1"/>
  <c r="N531" i="15" s="1"/>
  <c r="F533" i="15" a="1"/>
  <c r="F533" i="15" s="1"/>
  <c r="G533" i="15" s="1"/>
  <c r="H533" i="15" a="1"/>
  <c r="H533" i="15" s="1"/>
  <c r="I533" i="15" a="1"/>
  <c r="I533" i="15" s="1"/>
  <c r="F534" i="15" a="1"/>
  <c r="F534" i="15" s="1"/>
  <c r="G534" i="15" s="1"/>
  <c r="H534" i="15" a="1"/>
  <c r="H534" i="15" s="1"/>
  <c r="I534" i="15" a="1"/>
  <c r="I534" i="15" s="1"/>
  <c r="K534" i="15" a="1"/>
  <c r="K534" i="15" s="1"/>
  <c r="L534" i="15" a="1"/>
  <c r="L534" i="15" s="1"/>
  <c r="M534" i="15" a="1"/>
  <c r="M534" i="15" s="1"/>
  <c r="N534" i="15" a="1"/>
  <c r="N534" i="15" s="1"/>
  <c r="F535" i="15" a="1"/>
  <c r="F535" i="15" s="1"/>
  <c r="G535" i="15" s="1"/>
  <c r="H535" i="15" a="1"/>
  <c r="H535" i="15" s="1"/>
  <c r="I535" i="15" a="1"/>
  <c r="I535" i="15" s="1"/>
  <c r="K535" i="15" a="1"/>
  <c r="K535" i="15" s="1"/>
  <c r="L535" i="15" a="1"/>
  <c r="L535" i="15" s="1"/>
  <c r="M535" i="15" a="1"/>
  <c r="M535" i="15" s="1"/>
  <c r="N535" i="15" a="1"/>
  <c r="N535" i="15" s="1"/>
  <c r="F538" i="15" a="1"/>
  <c r="F538" i="15" s="1"/>
  <c r="G538" i="15" s="1"/>
  <c r="H538" i="15" a="1"/>
  <c r="H538" i="15" s="1"/>
  <c r="F540" i="15" a="1"/>
  <c r="F540" i="15" s="1"/>
  <c r="G540" i="15" s="1"/>
  <c r="H540" i="15" a="1"/>
  <c r="H540" i="15" s="1"/>
  <c r="I540" i="15" a="1"/>
  <c r="I540" i="15" s="1"/>
  <c r="K540" i="15" a="1"/>
  <c r="K540" i="15" s="1"/>
  <c r="L540" i="15" a="1"/>
  <c r="L540" i="15" s="1"/>
  <c r="M540" i="15" a="1"/>
  <c r="M540" i="15" s="1"/>
  <c r="N540" i="15" a="1"/>
  <c r="N540" i="15" s="1"/>
  <c r="F542" i="15" a="1"/>
  <c r="F542" i="15" s="1"/>
  <c r="G542" i="15" s="1"/>
  <c r="H542" i="15" a="1"/>
  <c r="H542" i="15" s="1"/>
  <c r="I542" i="15" a="1"/>
  <c r="I542" i="15" s="1"/>
  <c r="K542" i="15" a="1"/>
  <c r="K542" i="15" s="1"/>
  <c r="L542" i="15" a="1"/>
  <c r="L542" i="15" s="1"/>
  <c r="M542" i="15" a="1"/>
  <c r="M542" i="15" s="1"/>
  <c r="N542" i="15" a="1"/>
  <c r="N542" i="15" s="1"/>
  <c r="F543" i="15" a="1"/>
  <c r="F543" i="15" s="1"/>
  <c r="G543" i="15" s="1"/>
  <c r="H543" i="15" a="1"/>
  <c r="H543" i="15" s="1"/>
  <c r="I543" i="15" a="1"/>
  <c r="I543" i="15" s="1"/>
  <c r="K543" i="15" a="1"/>
  <c r="K543" i="15" s="1"/>
  <c r="L543" i="15" a="1"/>
  <c r="L543" i="15" s="1"/>
  <c r="M543" i="15" a="1"/>
  <c r="M543" i="15" s="1"/>
  <c r="N543" i="15" a="1"/>
  <c r="N543" i="15" s="1"/>
  <c r="F544" i="15" a="1"/>
  <c r="F544" i="15" s="1"/>
  <c r="G544" i="15" s="1"/>
  <c r="H544" i="15" a="1"/>
  <c r="H544" i="15" s="1"/>
  <c r="F545" i="15" a="1"/>
  <c r="F545" i="15" s="1"/>
  <c r="H545" i="15" a="1"/>
  <c r="H545" i="15" s="1"/>
  <c r="F546" i="15" a="1"/>
  <c r="F546" i="15" s="1"/>
  <c r="G546" i="15" s="1"/>
  <c r="H546" i="15" a="1"/>
  <c r="H546" i="15" s="1"/>
  <c r="I546" i="15" a="1"/>
  <c r="I546" i="15" s="1"/>
  <c r="F547" i="15" a="1"/>
  <c r="F547" i="15" s="1"/>
  <c r="G547" i="15" s="1"/>
  <c r="H547" i="15" a="1"/>
  <c r="H547" i="15" s="1"/>
  <c r="I547" i="15" a="1"/>
  <c r="I547" i="15" s="1"/>
  <c r="F548" i="15" a="1"/>
  <c r="F548" i="15" s="1"/>
  <c r="G548" i="15" s="1"/>
  <c r="H548" i="15" a="1"/>
  <c r="H548" i="15" s="1"/>
  <c r="I548" i="15" a="1"/>
  <c r="I548" i="15" s="1"/>
  <c r="F549" i="15" a="1"/>
  <c r="F549" i="15" s="1"/>
  <c r="G549" i="15" s="1"/>
  <c r="H549" i="15" a="1"/>
  <c r="H549" i="15" s="1"/>
  <c r="I552" i="15" a="1"/>
  <c r="I552" i="15" s="1"/>
  <c r="K552" i="15" a="1"/>
  <c r="K552" i="15" s="1"/>
  <c r="L552" i="15" a="1"/>
  <c r="L552" i="15" s="1"/>
  <c r="M552" i="15" a="1"/>
  <c r="M552" i="15" s="1"/>
  <c r="N552" i="15" a="1"/>
  <c r="N552" i="15" s="1"/>
  <c r="I553" i="15" a="1"/>
  <c r="I553" i="15" s="1"/>
  <c r="K553" i="15" a="1"/>
  <c r="K553" i="15" s="1"/>
  <c r="L553" i="15" a="1"/>
  <c r="L553" i="15" s="1"/>
  <c r="M553" i="15" a="1"/>
  <c r="M553" i="15" s="1"/>
  <c r="N553" i="15" a="1"/>
  <c r="N553" i="15" s="1"/>
  <c r="F559" i="15" a="1"/>
  <c r="F559" i="15" s="1"/>
  <c r="G559" i="15" s="1"/>
  <c r="H559" i="15" a="1"/>
  <c r="H559" i="15" s="1"/>
  <c r="F560" i="15" a="1"/>
  <c r="F560" i="15" s="1"/>
  <c r="G560" i="15" s="1"/>
  <c r="H560" i="15" a="1"/>
  <c r="H560" i="15" s="1"/>
  <c r="I560" i="15" a="1"/>
  <c r="I560" i="15" s="1"/>
  <c r="F562" i="15" a="1"/>
  <c r="F562" i="15" s="1"/>
  <c r="G562" i="15" s="1"/>
  <c r="H562" i="15" a="1"/>
  <c r="H562" i="15" s="1"/>
  <c r="F563" i="15" a="1"/>
  <c r="F563" i="15" s="1"/>
  <c r="G563" i="15" s="1"/>
  <c r="H563" i="15" a="1"/>
  <c r="H563" i="15" s="1"/>
  <c r="I563" i="15" a="1"/>
  <c r="I563" i="15" s="1"/>
  <c r="K563" i="15" a="1"/>
  <c r="K563" i="15" s="1"/>
  <c r="L563" i="15" a="1"/>
  <c r="L563" i="15" s="1"/>
  <c r="M563" i="15" a="1"/>
  <c r="M563" i="15" s="1"/>
  <c r="N563" i="15" a="1"/>
  <c r="N563" i="15" s="1"/>
  <c r="F564" i="15" a="1"/>
  <c r="F564" i="15" s="1"/>
  <c r="G564" i="15" s="1"/>
  <c r="H564" i="15" a="1"/>
  <c r="H564" i="15" s="1"/>
  <c r="I564" i="15" a="1"/>
  <c r="I564" i="15" s="1"/>
  <c r="F565" i="15" a="1"/>
  <c r="F565" i="15" s="1"/>
  <c r="G565" i="15" s="1"/>
  <c r="H565" i="15" a="1"/>
  <c r="H565" i="15" s="1"/>
  <c r="I565" i="15" a="1"/>
  <c r="I565" i="15" s="1"/>
  <c r="K565" i="15" a="1"/>
  <c r="K565" i="15" s="1"/>
  <c r="L565" i="15" a="1"/>
  <c r="L565" i="15" s="1"/>
  <c r="M565" i="15" a="1"/>
  <c r="M565" i="15" s="1"/>
  <c r="N565" i="15" a="1"/>
  <c r="N565" i="15" s="1"/>
  <c r="F566" i="15" a="1"/>
  <c r="F566" i="15" s="1"/>
  <c r="G566" i="15" s="1"/>
  <c r="H566" i="15" a="1"/>
  <c r="H566" i="15" s="1"/>
  <c r="F567" i="15" a="1"/>
  <c r="F567" i="15" s="1"/>
  <c r="G567" i="15" s="1"/>
  <c r="H567" i="15" a="1"/>
  <c r="H567" i="15" s="1"/>
  <c r="I567" i="15" a="1"/>
  <c r="I567" i="15" s="1"/>
  <c r="F568" i="15" a="1"/>
  <c r="F568" i="15" s="1"/>
  <c r="G568" i="15" s="1"/>
  <c r="H568" i="15" a="1"/>
  <c r="H568" i="15" s="1"/>
  <c r="I568" i="15" a="1"/>
  <c r="I568" i="15" s="1"/>
  <c r="K568" i="15" a="1"/>
  <c r="K568" i="15" s="1"/>
  <c r="L568" i="15" a="1"/>
  <c r="L568" i="15" s="1"/>
  <c r="M568" i="15" a="1"/>
  <c r="M568" i="15" s="1"/>
  <c r="N568" i="15" a="1"/>
  <c r="N568" i="15" s="1"/>
  <c r="F570" i="15" a="1"/>
  <c r="F570" i="15" s="1"/>
  <c r="G570" i="15" s="1"/>
  <c r="H570" i="15" a="1"/>
  <c r="H570" i="15" s="1"/>
  <c r="F571" i="15" a="1"/>
  <c r="F571" i="15" s="1"/>
  <c r="G571" i="15" s="1"/>
  <c r="H571" i="15" a="1"/>
  <c r="H571" i="15" s="1"/>
  <c r="I571" i="15" a="1"/>
  <c r="I571" i="15" s="1"/>
  <c r="K571" i="15" a="1"/>
  <c r="K571" i="15" s="1"/>
  <c r="L571" i="15" a="1"/>
  <c r="L571" i="15" s="1"/>
  <c r="M571" i="15" a="1"/>
  <c r="M571" i="15" s="1"/>
  <c r="N571" i="15" a="1"/>
  <c r="N571" i="15" s="1"/>
  <c r="K576" i="15" a="1"/>
  <c r="K576" i="15" s="1"/>
  <c r="L576" i="15" a="1"/>
  <c r="L576" i="15" s="1"/>
  <c r="M576" i="15" a="1"/>
  <c r="M576" i="15" s="1"/>
  <c r="N576" i="15" a="1"/>
  <c r="N576" i="15" s="1"/>
  <c r="K577" i="15" a="1"/>
  <c r="K577" i="15" s="1"/>
  <c r="L577" i="15" a="1"/>
  <c r="L577" i="15" s="1"/>
  <c r="M577" i="15" a="1"/>
  <c r="M577" i="15" s="1"/>
  <c r="N577" i="15" a="1"/>
  <c r="N577" i="15" s="1"/>
  <c r="K578" i="15" a="1"/>
  <c r="K578" i="15" s="1"/>
  <c r="L578" i="15" a="1"/>
  <c r="L578" i="15" s="1"/>
  <c r="M578" i="15" a="1"/>
  <c r="M578" i="15" s="1"/>
  <c r="N578" i="15" a="1"/>
  <c r="N578" i="15" s="1"/>
  <c r="F580" i="15" a="1"/>
  <c r="F580" i="15" s="1"/>
  <c r="G580" i="15" s="1"/>
  <c r="H580" i="15" a="1"/>
  <c r="H580" i="15" s="1"/>
  <c r="I580" i="15" a="1"/>
  <c r="I580" i="15" s="1"/>
  <c r="K580" i="15" a="1"/>
  <c r="K580" i="15" s="1"/>
  <c r="L580" i="15" a="1"/>
  <c r="L580" i="15" s="1"/>
  <c r="M580" i="15" a="1"/>
  <c r="M580" i="15" s="1"/>
  <c r="N580" i="15" a="1"/>
  <c r="N580" i="15" s="1"/>
  <c r="F581" i="15" a="1"/>
  <c r="F581" i="15" s="1"/>
  <c r="G581" i="15" s="1"/>
  <c r="H581" i="15" a="1"/>
  <c r="H581" i="15" s="1"/>
  <c r="I581" i="15" a="1"/>
  <c r="I581" i="15" s="1"/>
  <c r="K581" i="15" a="1"/>
  <c r="K581" i="15" s="1"/>
  <c r="L581" i="15" a="1"/>
  <c r="L581" i="15" s="1"/>
  <c r="M581" i="15" a="1"/>
  <c r="M581" i="15" s="1"/>
  <c r="N581" i="15" a="1"/>
  <c r="N581" i="15" s="1"/>
  <c r="F583" i="15" a="1"/>
  <c r="F583" i="15" s="1"/>
  <c r="G583" i="15" s="1"/>
  <c r="H583" i="15" a="1"/>
  <c r="H583" i="15" s="1"/>
  <c r="I583" i="15" a="1"/>
  <c r="I583" i="15" s="1"/>
  <c r="K583" i="15" a="1"/>
  <c r="K583" i="15" s="1"/>
  <c r="L583" i="15" a="1"/>
  <c r="L583" i="15" s="1"/>
  <c r="M583" i="15" a="1"/>
  <c r="M583" i="15" s="1"/>
  <c r="N583" i="15" a="1"/>
  <c r="N583" i="15" s="1"/>
  <c r="F585" i="15" a="1"/>
  <c r="F585" i="15" s="1"/>
  <c r="G585" i="15" s="1"/>
  <c r="H585" i="15" a="1"/>
  <c r="H585" i="15" s="1"/>
  <c r="I585" i="15" a="1"/>
  <c r="I585" i="15" s="1"/>
  <c r="F586" i="15" a="1"/>
  <c r="F586" i="15" s="1"/>
  <c r="G586" i="15" s="1"/>
  <c r="H586" i="15" a="1"/>
  <c r="H586" i="15" s="1"/>
  <c r="I586" i="15" a="1"/>
  <c r="I586" i="15" s="1"/>
  <c r="K586" i="15" a="1"/>
  <c r="K586" i="15" s="1"/>
  <c r="L586" i="15" a="1"/>
  <c r="L586" i="15" s="1"/>
  <c r="M586" i="15" a="1"/>
  <c r="M586" i="15" s="1"/>
  <c r="N586" i="15" a="1"/>
  <c r="N586" i="15" s="1"/>
  <c r="F587" i="15" a="1"/>
  <c r="F587" i="15" s="1"/>
  <c r="G587" i="15" s="1"/>
  <c r="H587" i="15" a="1"/>
  <c r="H587" i="15" s="1"/>
  <c r="I587" i="15" a="1"/>
  <c r="I587" i="15" s="1"/>
  <c r="K587" i="15" a="1"/>
  <c r="K587" i="15" s="1"/>
  <c r="L587" i="15" a="1"/>
  <c r="L587" i="15" s="1"/>
  <c r="M587" i="15" a="1"/>
  <c r="M587" i="15" s="1"/>
  <c r="N587" i="15" a="1"/>
  <c r="N587" i="15" s="1"/>
  <c r="F588" i="15" a="1"/>
  <c r="F588" i="15" s="1"/>
  <c r="G588" i="15" s="1"/>
  <c r="H588" i="15" a="1"/>
  <c r="H588" i="15" s="1"/>
  <c r="I588" i="15" a="1"/>
  <c r="I588" i="15" s="1"/>
  <c r="F590" i="15" a="1"/>
  <c r="F590" i="15" s="1"/>
  <c r="G590" i="15" s="1"/>
  <c r="H590" i="15" a="1"/>
  <c r="H590" i="15" s="1"/>
  <c r="I590" i="15" a="1"/>
  <c r="I590" i="15" s="1"/>
  <c r="K590" i="15" a="1"/>
  <c r="K590" i="15" s="1"/>
  <c r="L590" i="15" a="1"/>
  <c r="L590" i="15" s="1"/>
  <c r="M590" i="15" a="1"/>
  <c r="M590" i="15" s="1"/>
  <c r="N590" i="15" a="1"/>
  <c r="N590" i="15" s="1"/>
  <c r="F591" i="15" a="1"/>
  <c r="F591" i="15" s="1"/>
  <c r="G591" i="15" s="1"/>
  <c r="H591" i="15" a="1"/>
  <c r="H591" i="15" s="1"/>
  <c r="F592" i="15" a="1"/>
  <c r="F592" i="15" s="1"/>
  <c r="G592" i="15" s="1"/>
  <c r="H592" i="15" a="1"/>
  <c r="H592" i="15" s="1"/>
  <c r="I592" i="15" a="1"/>
  <c r="I592" i="15" s="1"/>
  <c r="K592" i="15" a="1"/>
  <c r="K592" i="15" s="1"/>
  <c r="L592" i="15" a="1"/>
  <c r="L592" i="15" s="1"/>
  <c r="M592" i="15" a="1"/>
  <c r="M592" i="15" s="1"/>
  <c r="N592" i="15" a="1"/>
  <c r="N592" i="15" s="1"/>
  <c r="F593" i="15" a="1"/>
  <c r="F593" i="15" s="1"/>
  <c r="G593" i="15" s="1"/>
  <c r="H593" i="15" a="1"/>
  <c r="H593" i="15" s="1"/>
  <c r="I593" i="15" a="1"/>
  <c r="I593" i="15" s="1"/>
  <c r="F594" i="15" a="1"/>
  <c r="F594" i="15" s="1"/>
  <c r="G594" i="15" s="1"/>
  <c r="H594" i="15" a="1"/>
  <c r="H594" i="15" s="1"/>
  <c r="F605" i="15" a="1"/>
  <c r="F605" i="15" s="1"/>
  <c r="G605" i="15" s="1"/>
  <c r="H605" i="15" a="1"/>
  <c r="H605" i="15" s="1"/>
  <c r="I605" i="15" a="1"/>
  <c r="I605" i="15" s="1"/>
  <c r="K605" i="15" a="1"/>
  <c r="K605" i="15" s="1"/>
  <c r="L605" i="15" a="1"/>
  <c r="L605" i="15" s="1"/>
  <c r="M605" i="15" a="1"/>
  <c r="M605" i="15" s="1"/>
  <c r="N605" i="15" a="1"/>
  <c r="N605" i="15" s="1"/>
  <c r="F612" i="15" a="1"/>
  <c r="F612" i="15" s="1"/>
  <c r="G612" i="15" s="1"/>
  <c r="H612" i="15" a="1"/>
  <c r="H612" i="15" s="1"/>
  <c r="I612" i="15" a="1"/>
  <c r="I612" i="15" s="1"/>
  <c r="K612" i="15" a="1"/>
  <c r="K612" i="15" s="1"/>
  <c r="L612" i="15" a="1"/>
  <c r="L612" i="15" s="1"/>
  <c r="M612" i="15" a="1"/>
  <c r="M612" i="15" s="1"/>
  <c r="N612" i="15" a="1"/>
  <c r="N612" i="15" s="1"/>
  <c r="F618" i="15" a="1"/>
  <c r="F618" i="15" s="1"/>
  <c r="G618" i="15" s="1"/>
  <c r="H618" i="15" a="1"/>
  <c r="H618" i="15" s="1"/>
  <c r="I618" i="15" a="1"/>
  <c r="I618" i="15" s="1"/>
  <c r="K618" i="15" a="1"/>
  <c r="K618" i="15" s="1"/>
  <c r="L618" i="15" a="1"/>
  <c r="L618" i="15" s="1"/>
  <c r="M618" i="15" a="1"/>
  <c r="M618" i="15" s="1"/>
  <c r="N618" i="15" a="1"/>
  <c r="N618" i="15" s="1"/>
  <c r="F619" i="15" a="1"/>
  <c r="F619" i="15" s="1"/>
  <c r="G619" i="15" s="1"/>
  <c r="H619" i="15" a="1"/>
  <c r="H619" i="15" s="1"/>
  <c r="I619" i="15" a="1"/>
  <c r="I619" i="15" s="1"/>
  <c r="K619" i="15" a="1"/>
  <c r="K619" i="15" s="1"/>
  <c r="L619" i="15" a="1"/>
  <c r="L619" i="15" s="1"/>
  <c r="M619" i="15" a="1"/>
  <c r="M619" i="15" s="1"/>
  <c r="N619" i="15" a="1"/>
  <c r="N619" i="15" s="1"/>
  <c r="F622" i="15" a="1"/>
  <c r="F622" i="15" s="1"/>
  <c r="G622" i="15" s="1"/>
  <c r="H622" i="15" a="1"/>
  <c r="H622" i="15" s="1"/>
  <c r="I622" i="15" a="1"/>
  <c r="I622" i="15" s="1"/>
  <c r="K622" i="15" a="1"/>
  <c r="K622" i="15" s="1"/>
  <c r="L622" i="15" a="1"/>
  <c r="L622" i="15" s="1"/>
  <c r="M622" i="15" a="1"/>
  <c r="M622" i="15" s="1"/>
  <c r="N622" i="15" a="1"/>
  <c r="N622" i="15" s="1"/>
  <c r="F623" i="15" a="1"/>
  <c r="F623" i="15" s="1"/>
  <c r="G623" i="15" s="1"/>
  <c r="H623" i="15" a="1"/>
  <c r="H623" i="15" s="1"/>
  <c r="I623" i="15" a="1"/>
  <c r="I623" i="15" s="1"/>
  <c r="K623" i="15" a="1"/>
  <c r="K623" i="15" s="1"/>
  <c r="L623" i="15" a="1"/>
  <c r="L623" i="15" s="1"/>
  <c r="M623" i="15" a="1"/>
  <c r="M623" i="15" s="1"/>
  <c r="N623" i="15" a="1"/>
  <c r="N623" i="15" s="1"/>
  <c r="F624" i="15" a="1"/>
  <c r="F624" i="15" s="1"/>
  <c r="G624" i="15" s="1"/>
  <c r="H624" i="15" a="1"/>
  <c r="H624" i="15" s="1"/>
  <c r="I624" i="15" a="1"/>
  <c r="I624" i="15" s="1"/>
  <c r="K624" i="15" a="1"/>
  <c r="K624" i="15" s="1"/>
  <c r="L624" i="15" a="1"/>
  <c r="L624" i="15" s="1"/>
  <c r="M624" i="15" a="1"/>
  <c r="M624" i="15" s="1"/>
  <c r="N624" i="15" a="1"/>
  <c r="N624" i="15" s="1"/>
  <c r="F625" i="15" a="1"/>
  <c r="F625" i="15" s="1"/>
  <c r="G625" i="15" s="1"/>
  <c r="H625" i="15" a="1"/>
  <c r="H625" i="15" s="1"/>
  <c r="I625" i="15" a="1"/>
  <c r="I625" i="15" s="1"/>
  <c r="K625" i="15" a="1"/>
  <c r="K625" i="15" s="1"/>
  <c r="L625" i="15" a="1"/>
  <c r="L625" i="15" s="1"/>
  <c r="M625" i="15" a="1"/>
  <c r="M625" i="15" s="1"/>
  <c r="N625" i="15" a="1"/>
  <c r="N625" i="15" s="1"/>
  <c r="F626" i="15" a="1"/>
  <c r="F626" i="15" s="1"/>
  <c r="G626" i="15" s="1"/>
  <c r="H626" i="15" a="1"/>
  <c r="H626" i="15" s="1"/>
  <c r="I626" i="15" a="1"/>
  <c r="I626" i="15" s="1"/>
  <c r="K626" i="15" a="1"/>
  <c r="K626" i="15" s="1"/>
  <c r="L626" i="15" a="1"/>
  <c r="L626" i="15" s="1"/>
  <c r="M626" i="15" a="1"/>
  <c r="M626" i="15" s="1"/>
  <c r="N626" i="15" a="1"/>
  <c r="N626" i="15" s="1"/>
  <c r="F627" i="15" a="1"/>
  <c r="F627" i="15" s="1"/>
  <c r="G627" i="15" s="1"/>
  <c r="H627" i="15" a="1"/>
  <c r="H627" i="15" s="1"/>
  <c r="I627" i="15" a="1"/>
  <c r="I627" i="15" s="1"/>
  <c r="K627" i="15" a="1"/>
  <c r="K627" i="15" s="1"/>
  <c r="L627" i="15" a="1"/>
  <c r="L627" i="15" s="1"/>
  <c r="M627" i="15" a="1"/>
  <c r="M627" i="15" s="1"/>
  <c r="N627" i="15" a="1"/>
  <c r="N627" i="15" s="1"/>
  <c r="F628" i="15" a="1"/>
  <c r="F628" i="15" s="1"/>
  <c r="G628" i="15" s="1"/>
  <c r="H628" i="15" a="1"/>
  <c r="H628" i="15" s="1"/>
  <c r="I628" i="15" a="1"/>
  <c r="I628" i="15" s="1"/>
  <c r="K628" i="15" a="1"/>
  <c r="K628" i="15" s="1"/>
  <c r="L628" i="15" a="1"/>
  <c r="L628" i="15" s="1"/>
  <c r="M628" i="15" a="1"/>
  <c r="M628" i="15" s="1"/>
  <c r="N628" i="15" a="1"/>
  <c r="N628" i="15" s="1"/>
  <c r="F629" i="15" a="1"/>
  <c r="F629" i="15" s="1"/>
  <c r="G629" i="15" s="1"/>
  <c r="H629" i="15" a="1"/>
  <c r="H629" i="15" s="1"/>
  <c r="I629" i="15" a="1"/>
  <c r="I629" i="15" s="1"/>
  <c r="K629" i="15" a="1"/>
  <c r="K629" i="15" s="1"/>
  <c r="L629" i="15" a="1"/>
  <c r="L629" i="15" s="1"/>
  <c r="M629" i="15" a="1"/>
  <c r="M629" i="15" s="1"/>
  <c r="N629" i="15" a="1"/>
  <c r="N629" i="15" s="1"/>
  <c r="F630" i="15" a="1"/>
  <c r="F630" i="15" s="1"/>
  <c r="G630" i="15" s="1"/>
  <c r="H630" i="15" a="1"/>
  <c r="H630" i="15" s="1"/>
  <c r="I630" i="15" a="1"/>
  <c r="I630" i="15" s="1"/>
  <c r="K630" i="15" a="1"/>
  <c r="K630" i="15" s="1"/>
  <c r="L630" i="15" a="1"/>
  <c r="L630" i="15" s="1"/>
  <c r="M630" i="15" a="1"/>
  <c r="M630" i="15" s="1"/>
  <c r="N630" i="15" a="1"/>
  <c r="N630" i="15" s="1"/>
  <c r="F631" i="15" a="1"/>
  <c r="F631" i="15" s="1"/>
  <c r="G631" i="15" s="1"/>
  <c r="H631" i="15" a="1"/>
  <c r="H631" i="15" s="1"/>
  <c r="I631" i="15" a="1"/>
  <c r="I631" i="15" s="1"/>
  <c r="K631" i="15" a="1"/>
  <c r="K631" i="15" s="1"/>
  <c r="L631" i="15" a="1"/>
  <c r="L631" i="15" s="1"/>
  <c r="M631" i="15" a="1"/>
  <c r="M631" i="15" s="1"/>
  <c r="N631" i="15" a="1"/>
  <c r="N631" i="15" s="1"/>
  <c r="F632" i="15" a="1"/>
  <c r="F632" i="15" s="1"/>
  <c r="G632" i="15" s="1"/>
  <c r="H632" i="15" a="1"/>
  <c r="H632" i="15" s="1"/>
  <c r="I632" i="15" a="1"/>
  <c r="I632" i="15" s="1"/>
  <c r="K632" i="15" a="1"/>
  <c r="K632" i="15" s="1"/>
  <c r="L632" i="15" a="1"/>
  <c r="L632" i="15" s="1"/>
  <c r="M632" i="15" a="1"/>
  <c r="M632" i="15" s="1"/>
  <c r="N632" i="15" a="1"/>
  <c r="N632" i="15" s="1"/>
  <c r="F633" i="15" a="1"/>
  <c r="F633" i="15" s="1"/>
  <c r="G633" i="15" s="1"/>
  <c r="H633" i="15" a="1"/>
  <c r="H633" i="15" s="1"/>
  <c r="I633" i="15" a="1"/>
  <c r="I633" i="15" s="1"/>
  <c r="K633" i="15" a="1"/>
  <c r="K633" i="15" s="1"/>
  <c r="L633" i="15" a="1"/>
  <c r="L633" i="15" s="1"/>
  <c r="M633" i="15" a="1"/>
  <c r="M633" i="15" s="1"/>
  <c r="N633" i="15" a="1"/>
  <c r="N633" i="15" s="1"/>
  <c r="F634" i="15" a="1"/>
  <c r="F634" i="15" s="1"/>
  <c r="G634" i="15" s="1"/>
  <c r="H634" i="15" a="1"/>
  <c r="H634" i="15" s="1"/>
  <c r="I634" i="15" a="1"/>
  <c r="I634" i="15" s="1"/>
  <c r="K634" i="15" a="1"/>
  <c r="K634" i="15" s="1"/>
  <c r="L634" i="15" a="1"/>
  <c r="L634" i="15" s="1"/>
  <c r="M634" i="15" a="1"/>
  <c r="M634" i="15" s="1"/>
  <c r="N634" i="15" a="1"/>
  <c r="N634" i="15" s="1"/>
  <c r="F635" i="15" a="1"/>
  <c r="F635" i="15" s="1"/>
  <c r="G635" i="15" s="1"/>
  <c r="H635" i="15" a="1"/>
  <c r="H635" i="15" s="1"/>
  <c r="I635" i="15" a="1"/>
  <c r="I635" i="15" s="1"/>
  <c r="K635" i="15" a="1"/>
  <c r="K635" i="15" s="1"/>
  <c r="L635" i="15" a="1"/>
  <c r="L635" i="15" s="1"/>
  <c r="M635" i="15" a="1"/>
  <c r="M635" i="15" s="1"/>
  <c r="N635" i="15" a="1"/>
  <c r="N635" i="15" s="1"/>
  <c r="F636" i="15" a="1"/>
  <c r="F636" i="15" s="1"/>
  <c r="G636" i="15" s="1"/>
  <c r="H636" i="15" a="1"/>
  <c r="H636" i="15" s="1"/>
  <c r="I636" i="15" a="1"/>
  <c r="I636" i="15" s="1"/>
  <c r="K636" i="15" a="1"/>
  <c r="K636" i="15" s="1"/>
  <c r="L636" i="15" a="1"/>
  <c r="L636" i="15" s="1"/>
  <c r="M636" i="15" a="1"/>
  <c r="M636" i="15" s="1"/>
  <c r="N636" i="15" a="1"/>
  <c r="N636" i="15" s="1"/>
  <c r="F637" i="15" a="1"/>
  <c r="F637" i="15" s="1"/>
  <c r="G637" i="15" s="1"/>
  <c r="H637" i="15" a="1"/>
  <c r="H637" i="15" s="1"/>
  <c r="I637" i="15" a="1"/>
  <c r="I637" i="15" s="1"/>
  <c r="K637" i="15" a="1"/>
  <c r="K637" i="15" s="1"/>
  <c r="L637" i="15" a="1"/>
  <c r="L637" i="15" s="1"/>
  <c r="M637" i="15" a="1"/>
  <c r="M637" i="15" s="1"/>
  <c r="N637" i="15" a="1"/>
  <c r="N637" i="15" s="1"/>
  <c r="F638" i="15" a="1"/>
  <c r="F638" i="15" s="1"/>
  <c r="G638" i="15" s="1"/>
  <c r="H638" i="15" a="1"/>
  <c r="H638" i="15" s="1"/>
  <c r="I638" i="15" a="1"/>
  <c r="I638" i="15" s="1"/>
  <c r="K638" i="15" a="1"/>
  <c r="K638" i="15" s="1"/>
  <c r="L638" i="15" a="1"/>
  <c r="L638" i="15" s="1"/>
  <c r="M638" i="15" a="1"/>
  <c r="M638" i="15" s="1"/>
  <c r="N638" i="15" a="1"/>
  <c r="N638" i="15" s="1"/>
  <c r="F639" i="15" a="1"/>
  <c r="F639" i="15" s="1"/>
  <c r="G639" i="15" s="1"/>
  <c r="H639" i="15" a="1"/>
  <c r="H639" i="15" s="1"/>
  <c r="I639" i="15" a="1"/>
  <c r="I639" i="15" s="1"/>
  <c r="K639" i="15" a="1"/>
  <c r="K639" i="15" s="1"/>
  <c r="L639" i="15" a="1"/>
  <c r="L639" i="15" s="1"/>
  <c r="M639" i="15" a="1"/>
  <c r="M639" i="15" s="1"/>
  <c r="N639" i="15" a="1"/>
  <c r="N639" i="15" s="1"/>
  <c r="F640" i="15" a="1"/>
  <c r="F640" i="15" s="1"/>
  <c r="G640" i="15" s="1"/>
  <c r="H640" i="15" a="1"/>
  <c r="H640" i="15" s="1"/>
  <c r="I640" i="15" a="1"/>
  <c r="I640" i="15" s="1"/>
  <c r="K640" i="15" a="1"/>
  <c r="K640" i="15" s="1"/>
  <c r="L640" i="15" a="1"/>
  <c r="L640" i="15" s="1"/>
  <c r="M640" i="15" a="1"/>
  <c r="M640" i="15" s="1"/>
  <c r="N640" i="15" a="1"/>
  <c r="N640" i="15" s="1"/>
  <c r="F641" i="15" a="1"/>
  <c r="F641" i="15" s="1"/>
  <c r="G641" i="15" s="1"/>
  <c r="H641" i="15" a="1"/>
  <c r="H641" i="15" s="1"/>
  <c r="I641" i="15" a="1"/>
  <c r="I641" i="15" s="1"/>
  <c r="K641" i="15" a="1"/>
  <c r="K641" i="15" s="1"/>
  <c r="L641" i="15" a="1"/>
  <c r="L641" i="15" s="1"/>
  <c r="M641" i="15" a="1"/>
  <c r="M641" i="15" s="1"/>
  <c r="N641" i="15" a="1"/>
  <c r="N641" i="15" s="1"/>
  <c r="F642" i="15" a="1"/>
  <c r="F642" i="15" s="1"/>
  <c r="G642" i="15" s="1"/>
  <c r="H642" i="15" a="1"/>
  <c r="H642" i="15" s="1"/>
  <c r="I642" i="15" a="1"/>
  <c r="I642" i="15" s="1"/>
  <c r="K642" i="15" a="1"/>
  <c r="K642" i="15" s="1"/>
  <c r="L642" i="15" a="1"/>
  <c r="L642" i="15" s="1"/>
  <c r="M642" i="15" a="1"/>
  <c r="M642" i="15" s="1"/>
  <c r="N642" i="15" a="1"/>
  <c r="N642" i="15" s="1"/>
  <c r="F643" i="15" a="1"/>
  <c r="F643" i="15" s="1"/>
  <c r="G643" i="15" s="1"/>
  <c r="H643" i="15" a="1"/>
  <c r="H643" i="15" s="1"/>
  <c r="I643" i="15" a="1"/>
  <c r="I643" i="15" s="1"/>
  <c r="K643" i="15" a="1"/>
  <c r="K643" i="15" s="1"/>
  <c r="L643" i="15" a="1"/>
  <c r="L643" i="15" s="1"/>
  <c r="M643" i="15" a="1"/>
  <c r="M643" i="15" s="1"/>
  <c r="N643" i="15" a="1"/>
  <c r="N643" i="15" s="1"/>
  <c r="F644" i="15" a="1"/>
  <c r="F644" i="15" s="1"/>
  <c r="G644" i="15" s="1"/>
  <c r="H644" i="15" a="1"/>
  <c r="H644" i="15" s="1"/>
  <c r="I644" i="15" a="1"/>
  <c r="I644" i="15" s="1"/>
  <c r="K644" i="15" a="1"/>
  <c r="K644" i="15" s="1"/>
  <c r="L644" i="15" a="1"/>
  <c r="L644" i="15" s="1"/>
  <c r="M644" i="15" a="1"/>
  <c r="M644" i="15" s="1"/>
  <c r="N644" i="15" a="1"/>
  <c r="N644" i="15" s="1"/>
  <c r="F645" i="15" a="1"/>
  <c r="F645" i="15" s="1"/>
  <c r="G645" i="15" s="1"/>
  <c r="H645" i="15" a="1"/>
  <c r="H645" i="15" s="1"/>
  <c r="I645" i="15" a="1"/>
  <c r="I645" i="15" s="1"/>
  <c r="K645" i="15" a="1"/>
  <c r="K645" i="15" s="1"/>
  <c r="L645" i="15" a="1"/>
  <c r="L645" i="15" s="1"/>
  <c r="M645" i="15" a="1"/>
  <c r="M645" i="15" s="1"/>
  <c r="N645" i="15" a="1"/>
  <c r="N645" i="15" s="1"/>
  <c r="F646" i="15" a="1"/>
  <c r="F646" i="15" s="1"/>
  <c r="G646" i="15" s="1"/>
  <c r="H646" i="15" a="1"/>
  <c r="H646" i="15" s="1"/>
  <c r="I646" i="15" a="1"/>
  <c r="I646" i="15" s="1"/>
  <c r="K646" i="15" a="1"/>
  <c r="K646" i="15" s="1"/>
  <c r="L646" i="15" a="1"/>
  <c r="L646" i="15" s="1"/>
  <c r="M646" i="15" a="1"/>
  <c r="M646" i="15" s="1"/>
  <c r="N646" i="15" a="1"/>
  <c r="N646" i="15" s="1"/>
  <c r="F647" i="15" a="1"/>
  <c r="F647" i="15" s="1"/>
  <c r="G647" i="15" s="1"/>
  <c r="H647" i="15" a="1"/>
  <c r="H647" i="15" s="1"/>
  <c r="I647" i="15" a="1"/>
  <c r="I647" i="15" s="1"/>
  <c r="K647" i="15" a="1"/>
  <c r="K647" i="15" s="1"/>
  <c r="L647" i="15" a="1"/>
  <c r="L647" i="15" s="1"/>
  <c r="M647" i="15" a="1"/>
  <c r="M647" i="15" s="1"/>
  <c r="N647" i="15" a="1"/>
  <c r="N647" i="15" s="1"/>
  <c r="F648" i="15" a="1"/>
  <c r="F648" i="15" s="1"/>
  <c r="G648" i="15" s="1"/>
  <c r="H648" i="15" a="1"/>
  <c r="H648" i="15" s="1"/>
  <c r="I648" i="15" a="1"/>
  <c r="I648" i="15" s="1"/>
  <c r="K648" i="15" a="1"/>
  <c r="K648" i="15" s="1"/>
  <c r="L648" i="15" a="1"/>
  <c r="L648" i="15" s="1"/>
  <c r="M648" i="15" a="1"/>
  <c r="M648" i="15" s="1"/>
  <c r="N648" i="15" a="1"/>
  <c r="N648" i="15" s="1"/>
  <c r="F649" i="15" a="1"/>
  <c r="F649" i="15" s="1"/>
  <c r="G649" i="15" s="1"/>
  <c r="H649" i="15" a="1"/>
  <c r="H649" i="15" s="1"/>
  <c r="I649" i="15" a="1"/>
  <c r="I649" i="15" s="1"/>
  <c r="K649" i="15" a="1"/>
  <c r="K649" i="15" s="1"/>
  <c r="L649" i="15" a="1"/>
  <c r="L649" i="15" s="1"/>
  <c r="M649" i="15" a="1"/>
  <c r="M649" i="15" s="1"/>
  <c r="N649" i="15" a="1"/>
  <c r="N649" i="15" s="1"/>
  <c r="F650" i="15" a="1"/>
  <c r="F650" i="15" s="1"/>
  <c r="G650" i="15" s="1"/>
  <c r="H650" i="15" a="1"/>
  <c r="H650" i="15" s="1"/>
  <c r="I650" i="15" a="1"/>
  <c r="I650" i="15" s="1"/>
  <c r="K650" i="15" a="1"/>
  <c r="K650" i="15" s="1"/>
  <c r="L650" i="15" a="1"/>
  <c r="L650" i="15" s="1"/>
  <c r="M650" i="15" a="1"/>
  <c r="M650" i="15" s="1"/>
  <c r="N650" i="15" a="1"/>
  <c r="N650" i="15" s="1"/>
  <c r="F651" i="15" a="1"/>
  <c r="F651" i="15" s="1"/>
  <c r="G651" i="15" s="1"/>
  <c r="H651" i="15" a="1"/>
  <c r="H651" i="15" s="1"/>
  <c r="I651" i="15" a="1"/>
  <c r="I651" i="15" s="1"/>
  <c r="K651" i="15" a="1"/>
  <c r="K651" i="15" s="1"/>
  <c r="L651" i="15" a="1"/>
  <c r="L651" i="15" s="1"/>
  <c r="M651" i="15" a="1"/>
  <c r="M651" i="15" s="1"/>
  <c r="N651" i="15" a="1"/>
  <c r="N651" i="15" s="1"/>
  <c r="F652" i="15" a="1"/>
  <c r="F652" i="15" s="1"/>
  <c r="G652" i="15" s="1"/>
  <c r="H652" i="15" a="1"/>
  <c r="H652" i="15" s="1"/>
  <c r="I652" i="15" a="1"/>
  <c r="I652" i="15" s="1"/>
  <c r="K652" i="15" a="1"/>
  <c r="K652" i="15" s="1"/>
  <c r="L652" i="15" a="1"/>
  <c r="L652" i="15" s="1"/>
  <c r="M652" i="15" a="1"/>
  <c r="M652" i="15" s="1"/>
  <c r="N652" i="15" a="1"/>
  <c r="N652" i="15" s="1"/>
  <c r="F653" i="15" a="1"/>
  <c r="F653" i="15" s="1"/>
  <c r="G653" i="15" s="1"/>
  <c r="H653" i="15" a="1"/>
  <c r="H653" i="15" s="1"/>
  <c r="I653" i="15" a="1"/>
  <c r="I653" i="15" s="1"/>
  <c r="K653" i="15" a="1"/>
  <c r="K653" i="15" s="1"/>
  <c r="L653" i="15" a="1"/>
  <c r="L653" i="15" s="1"/>
  <c r="M653" i="15" a="1"/>
  <c r="M653" i="15" s="1"/>
  <c r="N653" i="15" a="1"/>
  <c r="N653" i="15" s="1"/>
  <c r="F654" i="15" a="1"/>
  <c r="F654" i="15" s="1"/>
  <c r="G654" i="15" s="1"/>
  <c r="H654" i="15" a="1"/>
  <c r="H654" i="15" s="1"/>
  <c r="I654" i="15" a="1"/>
  <c r="I654" i="15" s="1"/>
  <c r="K654" i="15" a="1"/>
  <c r="K654" i="15" s="1"/>
  <c r="L654" i="15" a="1"/>
  <c r="L654" i="15" s="1"/>
  <c r="M654" i="15" a="1"/>
  <c r="M654" i="15" s="1"/>
  <c r="N654" i="15" a="1"/>
  <c r="N654" i="15" s="1"/>
  <c r="F655" i="15" a="1"/>
  <c r="F655" i="15" s="1"/>
  <c r="G655" i="15" s="1"/>
  <c r="H655" i="15" a="1"/>
  <c r="H655" i="15" s="1"/>
  <c r="I655" i="15" a="1"/>
  <c r="I655" i="15" s="1"/>
  <c r="K655" i="15" a="1"/>
  <c r="K655" i="15" s="1"/>
  <c r="L655" i="15" a="1"/>
  <c r="L655" i="15" s="1"/>
  <c r="M655" i="15" a="1"/>
  <c r="M655" i="15" s="1"/>
  <c r="N655" i="15" a="1"/>
  <c r="N655" i="15" s="1"/>
  <c r="F656" i="15" a="1"/>
  <c r="F656" i="15" s="1"/>
  <c r="G656" i="15" s="1"/>
  <c r="H656" i="15" a="1"/>
  <c r="H656" i="15" s="1"/>
  <c r="I656" i="15" a="1"/>
  <c r="I656" i="15" s="1"/>
  <c r="K656" i="15" a="1"/>
  <c r="K656" i="15" s="1"/>
  <c r="L656" i="15" a="1"/>
  <c r="L656" i="15" s="1"/>
  <c r="M656" i="15" a="1"/>
  <c r="M656" i="15" s="1"/>
  <c r="N656" i="15" a="1"/>
  <c r="N656" i="15" s="1"/>
  <c r="F657" i="15" a="1"/>
  <c r="F657" i="15" s="1"/>
  <c r="G657" i="15" s="1"/>
  <c r="H657" i="15" a="1"/>
  <c r="H657" i="15" s="1"/>
  <c r="I657" i="15" a="1"/>
  <c r="I657" i="15" s="1"/>
  <c r="K657" i="15" a="1"/>
  <c r="K657" i="15" s="1"/>
  <c r="L657" i="15" a="1"/>
  <c r="L657" i="15" s="1"/>
  <c r="M657" i="15" a="1"/>
  <c r="M657" i="15" s="1"/>
  <c r="N657" i="15" a="1"/>
  <c r="N657" i="15" s="1"/>
  <c r="F658" i="15" a="1"/>
  <c r="F658" i="15" s="1"/>
  <c r="G658" i="15" s="1"/>
  <c r="H658" i="15" a="1"/>
  <c r="H658" i="15" s="1"/>
  <c r="I658" i="15" a="1"/>
  <c r="I658" i="15" s="1"/>
  <c r="K658" i="15" a="1"/>
  <c r="K658" i="15" s="1"/>
  <c r="L658" i="15" a="1"/>
  <c r="L658" i="15" s="1"/>
  <c r="M658" i="15" a="1"/>
  <c r="M658" i="15" s="1"/>
  <c r="N658" i="15" a="1"/>
  <c r="N658" i="15" s="1"/>
  <c r="F659" i="15" a="1"/>
  <c r="F659" i="15" s="1"/>
  <c r="G659" i="15" s="1"/>
  <c r="H659" i="15" a="1"/>
  <c r="H659" i="15" s="1"/>
  <c r="I659" i="15" a="1"/>
  <c r="I659" i="15" s="1"/>
  <c r="K659" i="15" a="1"/>
  <c r="K659" i="15" s="1"/>
  <c r="L659" i="15" a="1"/>
  <c r="L659" i="15" s="1"/>
  <c r="M659" i="15" a="1"/>
  <c r="M659" i="15" s="1"/>
  <c r="N659" i="15" a="1"/>
  <c r="N659" i="15" s="1"/>
  <c r="F660" i="15" a="1"/>
  <c r="F660" i="15" s="1"/>
  <c r="G660" i="15" s="1"/>
  <c r="H660" i="15" a="1"/>
  <c r="H660" i="15" s="1"/>
  <c r="I660" i="15" a="1"/>
  <c r="I660" i="15" s="1"/>
  <c r="K660" i="15" a="1"/>
  <c r="K660" i="15" s="1"/>
  <c r="L660" i="15" a="1"/>
  <c r="L660" i="15" s="1"/>
  <c r="M660" i="15" a="1"/>
  <c r="M660" i="15" s="1"/>
  <c r="N660" i="15" a="1"/>
  <c r="N660" i="15" s="1"/>
  <c r="F661" i="15" a="1"/>
  <c r="F661" i="15" s="1"/>
  <c r="G661" i="15" s="1"/>
  <c r="H661" i="15" a="1"/>
  <c r="H661" i="15" s="1"/>
  <c r="I661" i="15" a="1"/>
  <c r="I661" i="15" s="1"/>
  <c r="K661" i="15" a="1"/>
  <c r="K661" i="15" s="1"/>
  <c r="L661" i="15" a="1"/>
  <c r="L661" i="15" s="1"/>
  <c r="M661" i="15" a="1"/>
  <c r="M661" i="15" s="1"/>
  <c r="N661" i="15" a="1"/>
  <c r="N661" i="15" s="1"/>
  <c r="F662" i="15" a="1"/>
  <c r="F662" i="15" s="1"/>
  <c r="G662" i="15" s="1"/>
  <c r="H662" i="15" a="1"/>
  <c r="H662" i="15" s="1"/>
  <c r="I662" i="15" a="1"/>
  <c r="I662" i="15" s="1"/>
  <c r="K662" i="15" a="1"/>
  <c r="K662" i="15" s="1"/>
  <c r="L662" i="15" a="1"/>
  <c r="L662" i="15" s="1"/>
  <c r="M662" i="15" a="1"/>
  <c r="M662" i="15" s="1"/>
  <c r="N662" i="15" a="1"/>
  <c r="N662" i="15" s="1"/>
  <c r="F663" i="15" a="1"/>
  <c r="F663" i="15" s="1"/>
  <c r="G663" i="15" s="1"/>
  <c r="H663" i="15" a="1"/>
  <c r="H663" i="15" s="1"/>
  <c r="I663" i="15" a="1"/>
  <c r="I663" i="15" s="1"/>
  <c r="K663" i="15" a="1"/>
  <c r="K663" i="15" s="1"/>
  <c r="L663" i="15" a="1"/>
  <c r="L663" i="15" s="1"/>
  <c r="M663" i="15" a="1"/>
  <c r="M663" i="15" s="1"/>
  <c r="N663" i="15" a="1"/>
  <c r="N663" i="15" s="1"/>
  <c r="F664" i="15" a="1"/>
  <c r="F664" i="15" s="1"/>
  <c r="G664" i="15" s="1"/>
  <c r="H664" i="15" a="1"/>
  <c r="H664" i="15" s="1"/>
  <c r="I664" i="15" a="1"/>
  <c r="I664" i="15" s="1"/>
  <c r="K664" i="15" a="1"/>
  <c r="K664" i="15" s="1"/>
  <c r="L664" i="15" a="1"/>
  <c r="L664" i="15" s="1"/>
  <c r="M664" i="15" a="1"/>
  <c r="M664" i="15" s="1"/>
  <c r="N664" i="15" a="1"/>
  <c r="N664" i="15" s="1"/>
  <c r="F665" i="15" a="1"/>
  <c r="F665" i="15" s="1"/>
  <c r="G665" i="15" s="1"/>
  <c r="H665" i="15" a="1"/>
  <c r="H665" i="15" s="1"/>
  <c r="I665" i="15" a="1"/>
  <c r="I665" i="15" s="1"/>
  <c r="K665" i="15" a="1"/>
  <c r="K665" i="15" s="1"/>
  <c r="L665" i="15" a="1"/>
  <c r="L665" i="15" s="1"/>
  <c r="M665" i="15" a="1"/>
  <c r="M665" i="15" s="1"/>
  <c r="N665" i="15" a="1"/>
  <c r="N665" i="15" s="1"/>
  <c r="F666" i="15" a="1"/>
  <c r="F666" i="15" s="1"/>
  <c r="G666" i="15" s="1"/>
  <c r="H666" i="15" a="1"/>
  <c r="H666" i="15" s="1"/>
  <c r="I666" i="15" a="1"/>
  <c r="I666" i="15" s="1"/>
  <c r="K666" i="15" a="1"/>
  <c r="K666" i="15" s="1"/>
  <c r="L666" i="15" a="1"/>
  <c r="L666" i="15" s="1"/>
  <c r="M666" i="15" a="1"/>
  <c r="M666" i="15" s="1"/>
  <c r="N666" i="15" a="1"/>
  <c r="N666" i="15" s="1"/>
  <c r="F667" i="15" a="1"/>
  <c r="F667" i="15" s="1"/>
  <c r="G667" i="15" s="1"/>
  <c r="H667" i="15" a="1"/>
  <c r="H667" i="15" s="1"/>
  <c r="I667" i="15" a="1"/>
  <c r="I667" i="15" s="1"/>
  <c r="K667" i="15" a="1"/>
  <c r="K667" i="15" s="1"/>
  <c r="L667" i="15" a="1"/>
  <c r="L667" i="15" s="1"/>
  <c r="M667" i="15" a="1"/>
  <c r="M667" i="15" s="1"/>
  <c r="N667" i="15" a="1"/>
  <c r="N667" i="15" s="1"/>
  <c r="F668" i="15" a="1"/>
  <c r="F668" i="15" s="1"/>
  <c r="G668" i="15" s="1"/>
  <c r="H668" i="15" a="1"/>
  <c r="H668" i="15" s="1"/>
  <c r="I668" i="15" a="1"/>
  <c r="I668" i="15" s="1"/>
  <c r="K668" i="15" a="1"/>
  <c r="K668" i="15" s="1"/>
  <c r="L668" i="15" a="1"/>
  <c r="L668" i="15" s="1"/>
  <c r="M668" i="15" a="1"/>
  <c r="M668" i="15" s="1"/>
  <c r="N668" i="15" a="1"/>
  <c r="N668" i="15" s="1"/>
  <c r="F669" i="15" a="1"/>
  <c r="F669" i="15" s="1"/>
  <c r="G669" i="15" s="1"/>
  <c r="H669" i="15" a="1"/>
  <c r="H669" i="15" s="1"/>
  <c r="I669" i="15" a="1"/>
  <c r="I669" i="15" s="1"/>
  <c r="K669" i="15" a="1"/>
  <c r="K669" i="15" s="1"/>
  <c r="L669" i="15" a="1"/>
  <c r="L669" i="15" s="1"/>
  <c r="M669" i="15" a="1"/>
  <c r="M669" i="15" s="1"/>
  <c r="N669" i="15" a="1"/>
  <c r="N669" i="15" s="1"/>
  <c r="F670" i="15" a="1"/>
  <c r="F670" i="15" s="1"/>
  <c r="G670" i="15" s="1"/>
  <c r="H670" i="15" a="1"/>
  <c r="H670" i="15" s="1"/>
  <c r="I670" i="15" a="1"/>
  <c r="I670" i="15" s="1"/>
  <c r="K670" i="15" a="1"/>
  <c r="K670" i="15" s="1"/>
  <c r="L670" i="15" a="1"/>
  <c r="L670" i="15" s="1"/>
  <c r="M670" i="15" a="1"/>
  <c r="M670" i="15" s="1"/>
  <c r="N670" i="15" a="1"/>
  <c r="N670" i="15" s="1"/>
  <c r="F671" i="15" a="1"/>
  <c r="F671" i="15" s="1"/>
  <c r="G671" i="15" s="1"/>
  <c r="H671" i="15" a="1"/>
  <c r="H671" i="15" s="1"/>
  <c r="I671" i="15" a="1"/>
  <c r="I671" i="15" s="1"/>
  <c r="K671" i="15" a="1"/>
  <c r="K671" i="15" s="1"/>
  <c r="L671" i="15" a="1"/>
  <c r="L671" i="15" s="1"/>
  <c r="M671" i="15" a="1"/>
  <c r="M671" i="15" s="1"/>
  <c r="N671" i="15" a="1"/>
  <c r="N671" i="15" s="1"/>
  <c r="F672" i="15" a="1"/>
  <c r="F672" i="15" s="1"/>
  <c r="G672" i="15" s="1"/>
  <c r="H672" i="15" a="1"/>
  <c r="H672" i="15" s="1"/>
  <c r="I672" i="15" a="1"/>
  <c r="I672" i="15" s="1"/>
  <c r="K672" i="15" a="1"/>
  <c r="K672" i="15" s="1"/>
  <c r="L672" i="15" a="1"/>
  <c r="L672" i="15" s="1"/>
  <c r="M672" i="15" a="1"/>
  <c r="M672" i="15" s="1"/>
  <c r="N672" i="15" a="1"/>
  <c r="N672" i="15" s="1"/>
  <c r="F673" i="15" a="1"/>
  <c r="F673" i="15" s="1"/>
  <c r="G673" i="15" s="1"/>
  <c r="H673" i="15" a="1"/>
  <c r="H673" i="15" s="1"/>
  <c r="I673" i="15" a="1"/>
  <c r="I673" i="15" s="1"/>
  <c r="K673" i="15" a="1"/>
  <c r="K673" i="15" s="1"/>
  <c r="L673" i="15" a="1"/>
  <c r="L673" i="15" s="1"/>
  <c r="M673" i="15" a="1"/>
  <c r="M673" i="15" s="1"/>
  <c r="N673" i="15" a="1"/>
  <c r="N673" i="15" s="1"/>
  <c r="F674" i="15" a="1"/>
  <c r="F674" i="15" s="1"/>
  <c r="G674" i="15" s="1"/>
  <c r="H674" i="15" a="1"/>
  <c r="H674" i="15" s="1"/>
  <c r="I674" i="15" a="1"/>
  <c r="I674" i="15" s="1"/>
  <c r="K674" i="15" a="1"/>
  <c r="K674" i="15" s="1"/>
  <c r="L674" i="15" a="1"/>
  <c r="L674" i="15" s="1"/>
  <c r="M674" i="15" a="1"/>
  <c r="M674" i="15" s="1"/>
  <c r="N674" i="15" a="1"/>
  <c r="N674" i="15" s="1"/>
  <c r="F675" i="15" a="1"/>
  <c r="F675" i="15" s="1"/>
  <c r="G675" i="15" s="1"/>
  <c r="H675" i="15" a="1"/>
  <c r="H675" i="15" s="1"/>
  <c r="I675" i="15" a="1"/>
  <c r="I675" i="15" s="1"/>
  <c r="K675" i="15" a="1"/>
  <c r="K675" i="15" s="1"/>
  <c r="L675" i="15" a="1"/>
  <c r="L675" i="15" s="1"/>
  <c r="M675" i="15" a="1"/>
  <c r="M675" i="15" s="1"/>
  <c r="N675" i="15" a="1"/>
  <c r="N675" i="15" s="1"/>
  <c r="F676" i="15" a="1"/>
  <c r="F676" i="15" s="1"/>
  <c r="G676" i="15" s="1"/>
  <c r="H676" i="15" a="1"/>
  <c r="H676" i="15" s="1"/>
  <c r="I676" i="15" a="1"/>
  <c r="I676" i="15" s="1"/>
  <c r="K676" i="15" a="1"/>
  <c r="K676" i="15" s="1"/>
  <c r="L676" i="15" a="1"/>
  <c r="L676" i="15" s="1"/>
  <c r="M676" i="15" a="1"/>
  <c r="M676" i="15" s="1"/>
  <c r="N676" i="15" a="1"/>
  <c r="N676" i="15" s="1"/>
  <c r="F677" i="15" a="1"/>
  <c r="F677" i="15" s="1"/>
  <c r="G677" i="15" s="1"/>
  <c r="H677" i="15" a="1"/>
  <c r="H677" i="15" s="1"/>
  <c r="I677" i="15" a="1"/>
  <c r="I677" i="15" s="1"/>
  <c r="K677" i="15" a="1"/>
  <c r="K677" i="15" s="1"/>
  <c r="L677" i="15" a="1"/>
  <c r="L677" i="15" s="1"/>
  <c r="M677" i="15" a="1"/>
  <c r="M677" i="15" s="1"/>
  <c r="N677" i="15" a="1"/>
  <c r="N677" i="15" s="1"/>
  <c r="F678" i="15" a="1"/>
  <c r="F678" i="15" s="1"/>
  <c r="G678" i="15" s="1"/>
  <c r="H678" i="15" a="1"/>
  <c r="H678" i="15" s="1"/>
  <c r="I678" i="15" a="1"/>
  <c r="I678" i="15" s="1"/>
  <c r="K678" i="15" a="1"/>
  <c r="K678" i="15" s="1"/>
  <c r="L678" i="15" a="1"/>
  <c r="L678" i="15" s="1"/>
  <c r="M678" i="15" a="1"/>
  <c r="M678" i="15" s="1"/>
  <c r="N678" i="15" a="1"/>
  <c r="N678" i="15" s="1"/>
  <c r="F679" i="15" a="1"/>
  <c r="F679" i="15" s="1"/>
  <c r="G679" i="15" s="1"/>
  <c r="H679" i="15" a="1"/>
  <c r="H679" i="15" s="1"/>
  <c r="I679" i="15" a="1"/>
  <c r="I679" i="15" s="1"/>
  <c r="K679" i="15" a="1"/>
  <c r="K679" i="15" s="1"/>
  <c r="L679" i="15" a="1"/>
  <c r="L679" i="15" s="1"/>
  <c r="M679" i="15" a="1"/>
  <c r="M679" i="15" s="1"/>
  <c r="N679" i="15" a="1"/>
  <c r="N679" i="15" s="1"/>
  <c r="F680" i="15" a="1"/>
  <c r="F680" i="15" s="1"/>
  <c r="G680" i="15" s="1"/>
  <c r="H680" i="15" a="1"/>
  <c r="H680" i="15" s="1"/>
  <c r="I680" i="15" a="1"/>
  <c r="I680" i="15" s="1"/>
  <c r="K680" i="15" a="1"/>
  <c r="K680" i="15" s="1"/>
  <c r="L680" i="15" a="1"/>
  <c r="L680" i="15" s="1"/>
  <c r="M680" i="15" a="1"/>
  <c r="M680" i="15" s="1"/>
  <c r="N680" i="15" a="1"/>
  <c r="N680" i="15" s="1"/>
  <c r="F681" i="15" a="1"/>
  <c r="F681" i="15" s="1"/>
  <c r="G681" i="15" s="1"/>
  <c r="H681" i="15" a="1"/>
  <c r="H681" i="15" s="1"/>
  <c r="I681" i="15" a="1"/>
  <c r="I681" i="15" s="1"/>
  <c r="K681" i="15" a="1"/>
  <c r="K681" i="15" s="1"/>
  <c r="L681" i="15" a="1"/>
  <c r="L681" i="15" s="1"/>
  <c r="M681" i="15" a="1"/>
  <c r="M681" i="15" s="1"/>
  <c r="N681" i="15" a="1"/>
  <c r="N681" i="15" s="1"/>
  <c r="F682" i="15" a="1"/>
  <c r="F682" i="15" s="1"/>
  <c r="G682" i="15" s="1"/>
  <c r="H682" i="15" a="1"/>
  <c r="H682" i="15" s="1"/>
  <c r="I682" i="15" a="1"/>
  <c r="I682" i="15" s="1"/>
  <c r="K682" i="15" a="1"/>
  <c r="K682" i="15" s="1"/>
  <c r="L682" i="15" a="1"/>
  <c r="L682" i="15" s="1"/>
  <c r="M682" i="15" a="1"/>
  <c r="M682" i="15" s="1"/>
  <c r="N682" i="15" a="1"/>
  <c r="N682" i="15" s="1"/>
  <c r="F683" i="15" a="1"/>
  <c r="F683" i="15" s="1"/>
  <c r="G683" i="15" s="1"/>
  <c r="H683" i="15" a="1"/>
  <c r="H683" i="15" s="1"/>
  <c r="I683" i="15" a="1"/>
  <c r="I683" i="15" s="1"/>
  <c r="K683" i="15" a="1"/>
  <c r="K683" i="15" s="1"/>
  <c r="L683" i="15" a="1"/>
  <c r="L683" i="15" s="1"/>
  <c r="M683" i="15" a="1"/>
  <c r="M683" i="15" s="1"/>
  <c r="N683" i="15" a="1"/>
  <c r="N683" i="15" s="1"/>
  <c r="F684" i="15" a="1"/>
  <c r="F684" i="15" s="1"/>
  <c r="G684" i="15" s="1"/>
  <c r="H684" i="15" a="1"/>
  <c r="H684" i="15" s="1"/>
  <c r="I684" i="15" a="1"/>
  <c r="I684" i="15" s="1"/>
  <c r="K684" i="15" a="1"/>
  <c r="K684" i="15" s="1"/>
  <c r="L684" i="15" a="1"/>
  <c r="L684" i="15" s="1"/>
  <c r="M684" i="15" a="1"/>
  <c r="M684" i="15" s="1"/>
  <c r="N684" i="15" a="1"/>
  <c r="N684" i="15" s="1"/>
  <c r="F685" i="15" a="1"/>
  <c r="F685" i="15" s="1"/>
  <c r="G685" i="15" s="1"/>
  <c r="H685" i="15" a="1"/>
  <c r="H685" i="15" s="1"/>
  <c r="I685" i="15" a="1"/>
  <c r="I685" i="15" s="1"/>
  <c r="K685" i="15" a="1"/>
  <c r="K685" i="15" s="1"/>
  <c r="L685" i="15" a="1"/>
  <c r="L685" i="15" s="1"/>
  <c r="M685" i="15" a="1"/>
  <c r="M685" i="15" s="1"/>
  <c r="N685" i="15" a="1"/>
  <c r="N685" i="15" s="1"/>
  <c r="F686" i="15" a="1"/>
  <c r="F686" i="15" s="1"/>
  <c r="G686" i="15" s="1"/>
  <c r="H686" i="15" a="1"/>
  <c r="H686" i="15" s="1"/>
  <c r="I686" i="15" a="1"/>
  <c r="I686" i="15" s="1"/>
  <c r="K686" i="15" a="1"/>
  <c r="K686" i="15" s="1"/>
  <c r="L686" i="15" a="1"/>
  <c r="L686" i="15" s="1"/>
  <c r="M686" i="15" a="1"/>
  <c r="M686" i="15" s="1"/>
  <c r="N686" i="15" a="1"/>
  <c r="N686" i="15" s="1"/>
  <c r="F687" i="15" a="1"/>
  <c r="F687" i="15" s="1"/>
  <c r="G687" i="15" s="1"/>
  <c r="H687" i="15" a="1"/>
  <c r="H687" i="15" s="1"/>
  <c r="I687" i="15" a="1"/>
  <c r="I687" i="15" s="1"/>
  <c r="K687" i="15" a="1"/>
  <c r="K687" i="15" s="1"/>
  <c r="L687" i="15" a="1"/>
  <c r="L687" i="15" s="1"/>
  <c r="M687" i="15" a="1"/>
  <c r="M687" i="15" s="1"/>
  <c r="N687" i="15" a="1"/>
  <c r="N687" i="15" s="1"/>
  <c r="F688" i="15" a="1"/>
  <c r="F688" i="15" s="1"/>
  <c r="G688" i="15" s="1"/>
  <c r="H688" i="15" a="1"/>
  <c r="H688" i="15" s="1"/>
  <c r="I688" i="15" a="1"/>
  <c r="I688" i="15" s="1"/>
  <c r="K688" i="15" a="1"/>
  <c r="K688" i="15" s="1"/>
  <c r="L688" i="15" a="1"/>
  <c r="L688" i="15" s="1"/>
  <c r="M688" i="15" a="1"/>
  <c r="M688" i="15" s="1"/>
  <c r="N688" i="15" a="1"/>
  <c r="N688" i="15" s="1"/>
  <c r="F689" i="15" a="1"/>
  <c r="F689" i="15" s="1"/>
  <c r="G689" i="15" s="1"/>
  <c r="H689" i="15" a="1"/>
  <c r="H689" i="15" s="1"/>
  <c r="I689" i="15" a="1"/>
  <c r="I689" i="15" s="1"/>
  <c r="K689" i="15" a="1"/>
  <c r="K689" i="15" s="1"/>
  <c r="L689" i="15" a="1"/>
  <c r="L689" i="15" s="1"/>
  <c r="M689" i="15" a="1"/>
  <c r="M689" i="15" s="1"/>
  <c r="N689" i="15" a="1"/>
  <c r="N689" i="15" s="1"/>
  <c r="F690" i="15" a="1"/>
  <c r="F690" i="15" s="1"/>
  <c r="G690" i="15" s="1"/>
  <c r="H690" i="15" a="1"/>
  <c r="H690" i="15" s="1"/>
  <c r="I690" i="15" a="1"/>
  <c r="I690" i="15" s="1"/>
  <c r="K690" i="15" a="1"/>
  <c r="K690" i="15" s="1"/>
  <c r="L690" i="15" a="1"/>
  <c r="L690" i="15" s="1"/>
  <c r="M690" i="15" a="1"/>
  <c r="M690" i="15" s="1"/>
  <c r="N690" i="15" a="1"/>
  <c r="N690" i="15" s="1"/>
  <c r="F691" i="15" a="1"/>
  <c r="F691" i="15" s="1"/>
  <c r="G691" i="15" s="1"/>
  <c r="H691" i="15" a="1"/>
  <c r="H691" i="15" s="1"/>
  <c r="I691" i="15" a="1"/>
  <c r="I691" i="15" s="1"/>
  <c r="K691" i="15" a="1"/>
  <c r="K691" i="15" s="1"/>
  <c r="L691" i="15" a="1"/>
  <c r="L691" i="15" s="1"/>
  <c r="M691" i="15" a="1"/>
  <c r="M691" i="15" s="1"/>
  <c r="N691" i="15" a="1"/>
  <c r="N691" i="15" s="1"/>
  <c r="F692" i="15" a="1"/>
  <c r="F692" i="15" s="1"/>
  <c r="G692" i="15" s="1"/>
  <c r="H692" i="15" a="1"/>
  <c r="H692" i="15" s="1"/>
  <c r="I692" i="15" a="1"/>
  <c r="I692" i="15" s="1"/>
  <c r="K692" i="15" a="1"/>
  <c r="K692" i="15" s="1"/>
  <c r="L692" i="15" a="1"/>
  <c r="L692" i="15" s="1"/>
  <c r="M692" i="15" a="1"/>
  <c r="M692" i="15" s="1"/>
  <c r="N692" i="15" a="1"/>
  <c r="N692" i="15" s="1"/>
  <c r="F693" i="15" a="1"/>
  <c r="F693" i="15" s="1"/>
  <c r="G693" i="15" s="1"/>
  <c r="H693" i="15" a="1"/>
  <c r="H693" i="15" s="1"/>
  <c r="I693" i="15" a="1"/>
  <c r="I693" i="15" s="1"/>
  <c r="K693" i="15" a="1"/>
  <c r="K693" i="15" s="1"/>
  <c r="L693" i="15" a="1"/>
  <c r="L693" i="15" s="1"/>
  <c r="M693" i="15" a="1"/>
  <c r="M693" i="15" s="1"/>
  <c r="N693" i="15" a="1"/>
  <c r="N693" i="15" s="1"/>
  <c r="F694" i="15" a="1"/>
  <c r="F694" i="15" s="1"/>
  <c r="G694" i="15" s="1"/>
  <c r="H694" i="15" a="1"/>
  <c r="H694" i="15" s="1"/>
  <c r="I694" i="15" a="1"/>
  <c r="I694" i="15" s="1"/>
  <c r="K694" i="15" a="1"/>
  <c r="K694" i="15" s="1"/>
  <c r="L694" i="15" a="1"/>
  <c r="L694" i="15" s="1"/>
  <c r="M694" i="15" a="1"/>
  <c r="M694" i="15" s="1"/>
  <c r="N694" i="15" a="1"/>
  <c r="N694" i="15" s="1"/>
  <c r="F695" i="15" a="1"/>
  <c r="F695" i="15" s="1"/>
  <c r="G695" i="15" s="1"/>
  <c r="H695" i="15" a="1"/>
  <c r="H695" i="15" s="1"/>
  <c r="I695" i="15" a="1"/>
  <c r="I695" i="15" s="1"/>
  <c r="K695" i="15" a="1"/>
  <c r="K695" i="15" s="1"/>
  <c r="L695" i="15" a="1"/>
  <c r="L695" i="15" s="1"/>
  <c r="M695" i="15" a="1"/>
  <c r="M695" i="15" s="1"/>
  <c r="N695" i="15" a="1"/>
  <c r="N695" i="15" s="1"/>
  <c r="F696" i="15" a="1"/>
  <c r="F696" i="15" s="1"/>
  <c r="G696" i="15" s="1"/>
  <c r="H696" i="15" a="1"/>
  <c r="H696" i="15" s="1"/>
  <c r="I696" i="15" a="1"/>
  <c r="I696" i="15" s="1"/>
  <c r="K696" i="15" a="1"/>
  <c r="K696" i="15" s="1"/>
  <c r="L696" i="15" a="1"/>
  <c r="L696" i="15" s="1"/>
  <c r="M696" i="15" a="1"/>
  <c r="M696" i="15" s="1"/>
  <c r="N696" i="15" a="1"/>
  <c r="N696" i="15" s="1"/>
  <c r="F697" i="15" a="1"/>
  <c r="F697" i="15" s="1"/>
  <c r="G697" i="15" s="1"/>
  <c r="H697" i="15" a="1"/>
  <c r="H697" i="15" s="1"/>
  <c r="I697" i="15" a="1"/>
  <c r="I697" i="15" s="1"/>
  <c r="K697" i="15" a="1"/>
  <c r="K697" i="15" s="1"/>
  <c r="L697" i="15" a="1"/>
  <c r="L697" i="15" s="1"/>
  <c r="M697" i="15" a="1"/>
  <c r="M697" i="15" s="1"/>
  <c r="N697" i="15" a="1"/>
  <c r="N697" i="15" s="1"/>
  <c r="F698" i="15" a="1"/>
  <c r="F698" i="15" s="1"/>
  <c r="G698" i="15" s="1"/>
  <c r="H698" i="15" a="1"/>
  <c r="H698" i="15" s="1"/>
  <c r="I698" i="15" a="1"/>
  <c r="I698" i="15" s="1"/>
  <c r="K698" i="15" a="1"/>
  <c r="K698" i="15" s="1"/>
  <c r="L698" i="15" a="1"/>
  <c r="L698" i="15" s="1"/>
  <c r="M698" i="15" a="1"/>
  <c r="M698" i="15" s="1"/>
  <c r="N698" i="15" a="1"/>
  <c r="N698" i="15" s="1"/>
  <c r="F699" i="15" a="1"/>
  <c r="F699" i="15" s="1"/>
  <c r="G699" i="15" s="1"/>
  <c r="H699" i="15" a="1"/>
  <c r="H699" i="15" s="1"/>
  <c r="I699" i="15" a="1"/>
  <c r="I699" i="15" s="1"/>
  <c r="K699" i="15" a="1"/>
  <c r="K699" i="15" s="1"/>
  <c r="L699" i="15" a="1"/>
  <c r="L699" i="15" s="1"/>
  <c r="M699" i="15" a="1"/>
  <c r="M699" i="15" s="1"/>
  <c r="N699" i="15" a="1"/>
  <c r="N699" i="15" s="1"/>
  <c r="F700" i="15" a="1"/>
  <c r="F700" i="15" s="1"/>
  <c r="G700" i="15" s="1"/>
  <c r="H700" i="15" a="1"/>
  <c r="H700" i="15" s="1"/>
  <c r="I700" i="15" a="1"/>
  <c r="I700" i="15" s="1"/>
  <c r="K700" i="15" a="1"/>
  <c r="K700" i="15" s="1"/>
  <c r="L700" i="15" a="1"/>
  <c r="L700" i="15" s="1"/>
  <c r="M700" i="15" a="1"/>
  <c r="M700" i="15" s="1"/>
  <c r="N700" i="15" a="1"/>
  <c r="N700" i="15" s="1"/>
  <c r="F701" i="15" a="1"/>
  <c r="F701" i="15" s="1"/>
  <c r="G701" i="15" s="1"/>
  <c r="H701" i="15" a="1"/>
  <c r="H701" i="15" s="1"/>
  <c r="I701" i="15" a="1"/>
  <c r="I701" i="15" s="1"/>
  <c r="K701" i="15" a="1"/>
  <c r="K701" i="15" s="1"/>
  <c r="L701" i="15" a="1"/>
  <c r="L701" i="15" s="1"/>
  <c r="M701" i="15" a="1"/>
  <c r="M701" i="15" s="1"/>
  <c r="N701" i="15" a="1"/>
  <c r="N701" i="15" s="1"/>
  <c r="F702" i="15" a="1"/>
  <c r="F702" i="15" s="1"/>
  <c r="G702" i="15" s="1"/>
  <c r="H702" i="15" a="1"/>
  <c r="H702" i="15" s="1"/>
  <c r="I702" i="15" a="1"/>
  <c r="I702" i="15" s="1"/>
  <c r="K702" i="15" a="1"/>
  <c r="K702" i="15" s="1"/>
  <c r="L702" i="15" a="1"/>
  <c r="L702" i="15" s="1"/>
  <c r="M702" i="15" a="1"/>
  <c r="M702" i="15" s="1"/>
  <c r="N702" i="15" a="1"/>
  <c r="N702" i="15" s="1"/>
  <c r="F703" i="15" a="1"/>
  <c r="F703" i="15" s="1"/>
  <c r="G703" i="15" s="1"/>
  <c r="H703" i="15" a="1"/>
  <c r="H703" i="15" s="1"/>
  <c r="I703" i="15" a="1"/>
  <c r="I703" i="15" s="1"/>
  <c r="K703" i="15" a="1"/>
  <c r="K703" i="15" s="1"/>
  <c r="L703" i="15" a="1"/>
  <c r="L703" i="15" s="1"/>
  <c r="M703" i="15" a="1"/>
  <c r="M703" i="15" s="1"/>
  <c r="N703" i="15" a="1"/>
  <c r="N703" i="15" s="1"/>
  <c r="F704" i="15" a="1"/>
  <c r="F704" i="15" s="1"/>
  <c r="G704" i="15" s="1"/>
  <c r="H704" i="15" a="1"/>
  <c r="H704" i="15" s="1"/>
  <c r="I704" i="15" a="1"/>
  <c r="I704" i="15" s="1"/>
  <c r="K704" i="15" a="1"/>
  <c r="K704" i="15" s="1"/>
  <c r="L704" i="15" a="1"/>
  <c r="L704" i="15" s="1"/>
  <c r="M704" i="15" a="1"/>
  <c r="M704" i="15" s="1"/>
  <c r="N704" i="15" a="1"/>
  <c r="N704" i="15" s="1"/>
  <c r="F705" i="15" a="1"/>
  <c r="F705" i="15" s="1"/>
  <c r="G705" i="15" s="1"/>
  <c r="H705" i="15" a="1"/>
  <c r="H705" i="15" s="1"/>
  <c r="I705" i="15" a="1"/>
  <c r="I705" i="15" s="1"/>
  <c r="K705" i="15" a="1"/>
  <c r="K705" i="15" s="1"/>
  <c r="L705" i="15" a="1"/>
  <c r="L705" i="15" s="1"/>
  <c r="M705" i="15" a="1"/>
  <c r="M705" i="15" s="1"/>
  <c r="N705" i="15" a="1"/>
  <c r="N705" i="15" s="1"/>
  <c r="F706" i="15" a="1"/>
  <c r="F706" i="15" s="1"/>
  <c r="G706" i="15" s="1"/>
  <c r="H706" i="15" a="1"/>
  <c r="H706" i="15" s="1"/>
  <c r="I706" i="15" a="1"/>
  <c r="I706" i="15" s="1"/>
  <c r="K706" i="15" a="1"/>
  <c r="K706" i="15" s="1"/>
  <c r="L706" i="15" a="1"/>
  <c r="L706" i="15" s="1"/>
  <c r="M706" i="15" a="1"/>
  <c r="M706" i="15" s="1"/>
  <c r="N706" i="15" a="1"/>
  <c r="N706" i="15" s="1"/>
  <c r="F707" i="15" a="1"/>
  <c r="F707" i="15" s="1"/>
  <c r="G707" i="15" s="1"/>
  <c r="H707" i="15" a="1"/>
  <c r="H707" i="15" s="1"/>
  <c r="I707" i="15" a="1"/>
  <c r="I707" i="15" s="1"/>
  <c r="K707" i="15" a="1"/>
  <c r="K707" i="15" s="1"/>
  <c r="L707" i="15" a="1"/>
  <c r="L707" i="15" s="1"/>
  <c r="M707" i="15" a="1"/>
  <c r="M707" i="15" s="1"/>
  <c r="N707" i="15" a="1"/>
  <c r="N707" i="15" s="1"/>
  <c r="F708" i="15" a="1"/>
  <c r="F708" i="15" s="1"/>
  <c r="G708" i="15" s="1"/>
  <c r="H708" i="15" a="1"/>
  <c r="H708" i="15" s="1"/>
  <c r="I708" i="15" a="1"/>
  <c r="I708" i="15" s="1"/>
  <c r="K708" i="15" a="1"/>
  <c r="K708" i="15" s="1"/>
  <c r="L708" i="15" a="1"/>
  <c r="L708" i="15" s="1"/>
  <c r="M708" i="15" a="1"/>
  <c r="M708" i="15" s="1"/>
  <c r="N708" i="15" a="1"/>
  <c r="N708" i="15" s="1"/>
  <c r="F709" i="15" a="1"/>
  <c r="F709" i="15" s="1"/>
  <c r="G709" i="15" s="1"/>
  <c r="H709" i="15" a="1"/>
  <c r="H709" i="15" s="1"/>
  <c r="I709" i="15" a="1"/>
  <c r="I709" i="15" s="1"/>
  <c r="K709" i="15" a="1"/>
  <c r="K709" i="15" s="1"/>
  <c r="L709" i="15" a="1"/>
  <c r="L709" i="15" s="1"/>
  <c r="M709" i="15" a="1"/>
  <c r="M709" i="15" s="1"/>
  <c r="N709" i="15" a="1"/>
  <c r="N709" i="15" s="1"/>
  <c r="F710" i="15" a="1"/>
  <c r="F710" i="15" s="1"/>
  <c r="G710" i="15" s="1"/>
  <c r="H710" i="15" a="1"/>
  <c r="H710" i="15" s="1"/>
  <c r="I710" i="15" a="1"/>
  <c r="I710" i="15" s="1"/>
  <c r="K710" i="15" a="1"/>
  <c r="K710" i="15" s="1"/>
  <c r="L710" i="15" a="1"/>
  <c r="L710" i="15" s="1"/>
  <c r="M710" i="15" a="1"/>
  <c r="M710" i="15" s="1"/>
  <c r="N710" i="15" a="1"/>
  <c r="N710" i="15" s="1"/>
  <c r="F711" i="15" a="1"/>
  <c r="F711" i="15" s="1"/>
  <c r="G711" i="15" s="1"/>
  <c r="H711" i="15" a="1"/>
  <c r="H711" i="15" s="1"/>
  <c r="I711" i="15" a="1"/>
  <c r="I711" i="15" s="1"/>
  <c r="K711" i="15" a="1"/>
  <c r="K711" i="15" s="1"/>
  <c r="L711" i="15" a="1"/>
  <c r="L711" i="15" s="1"/>
  <c r="M711" i="15" a="1"/>
  <c r="M711" i="15" s="1"/>
  <c r="N711" i="15" a="1"/>
  <c r="N711" i="15" s="1"/>
  <c r="F712" i="15" a="1"/>
  <c r="F712" i="15" s="1"/>
  <c r="G712" i="15" s="1"/>
  <c r="H712" i="15" a="1"/>
  <c r="H712" i="15" s="1"/>
  <c r="I712" i="15" a="1"/>
  <c r="I712" i="15" s="1"/>
  <c r="K712" i="15" a="1"/>
  <c r="K712" i="15" s="1"/>
  <c r="L712" i="15" a="1"/>
  <c r="L712" i="15" s="1"/>
  <c r="M712" i="15" a="1"/>
  <c r="M712" i="15" s="1"/>
  <c r="N712" i="15" a="1"/>
  <c r="N712" i="15" s="1"/>
  <c r="F713" i="15" a="1"/>
  <c r="F713" i="15" s="1"/>
  <c r="G713" i="15" s="1"/>
  <c r="H713" i="15" a="1"/>
  <c r="H713" i="15" s="1"/>
  <c r="I713" i="15" a="1"/>
  <c r="I713" i="15" s="1"/>
  <c r="K713" i="15" a="1"/>
  <c r="K713" i="15" s="1"/>
  <c r="L713" i="15" a="1"/>
  <c r="L713" i="15" s="1"/>
  <c r="M713" i="15" a="1"/>
  <c r="M713" i="15" s="1"/>
  <c r="N713" i="15" a="1"/>
  <c r="N713" i="15" s="1"/>
  <c r="F714" i="15" a="1"/>
  <c r="F714" i="15" s="1"/>
  <c r="G714" i="15" s="1"/>
  <c r="H714" i="15" a="1"/>
  <c r="H714" i="15" s="1"/>
  <c r="I714" i="15" a="1"/>
  <c r="I714" i="15" s="1"/>
  <c r="K714" i="15" a="1"/>
  <c r="K714" i="15" s="1"/>
  <c r="L714" i="15" a="1"/>
  <c r="L714" i="15" s="1"/>
  <c r="M714" i="15" a="1"/>
  <c r="M714" i="15" s="1"/>
  <c r="N714" i="15" a="1"/>
  <c r="N714" i="15" s="1"/>
  <c r="F715" i="15" a="1"/>
  <c r="F715" i="15" s="1"/>
  <c r="G715" i="15" s="1"/>
  <c r="H715" i="15" a="1"/>
  <c r="H715" i="15" s="1"/>
  <c r="I715" i="15" a="1"/>
  <c r="I715" i="15" s="1"/>
  <c r="K715" i="15" a="1"/>
  <c r="K715" i="15" s="1"/>
  <c r="L715" i="15" a="1"/>
  <c r="L715" i="15" s="1"/>
  <c r="M715" i="15" a="1"/>
  <c r="M715" i="15" s="1"/>
  <c r="N715" i="15" a="1"/>
  <c r="N715" i="15" s="1"/>
  <c r="F716" i="15" a="1"/>
  <c r="F716" i="15" s="1"/>
  <c r="G716" i="15" s="1"/>
  <c r="H716" i="15" a="1"/>
  <c r="H716" i="15" s="1"/>
  <c r="I716" i="15" a="1"/>
  <c r="I716" i="15" s="1"/>
  <c r="K716" i="15" a="1"/>
  <c r="K716" i="15" s="1"/>
  <c r="L716" i="15" a="1"/>
  <c r="L716" i="15" s="1"/>
  <c r="M716" i="15" a="1"/>
  <c r="M716" i="15" s="1"/>
  <c r="N716" i="15" a="1"/>
  <c r="N716" i="15" s="1"/>
  <c r="F717" i="15" a="1"/>
  <c r="F717" i="15" s="1"/>
  <c r="G717" i="15" s="1"/>
  <c r="H717" i="15" a="1"/>
  <c r="H717" i="15" s="1"/>
  <c r="I717" i="15" a="1"/>
  <c r="I717" i="15" s="1"/>
  <c r="K717" i="15" a="1"/>
  <c r="K717" i="15" s="1"/>
  <c r="L717" i="15" a="1"/>
  <c r="L717" i="15" s="1"/>
  <c r="M717" i="15" a="1"/>
  <c r="M717" i="15" s="1"/>
  <c r="N717" i="15" a="1"/>
  <c r="N717" i="15" s="1"/>
  <c r="F718" i="15" a="1"/>
  <c r="F718" i="15" s="1"/>
  <c r="G718" i="15" s="1"/>
  <c r="H718" i="15" a="1"/>
  <c r="H718" i="15" s="1"/>
  <c r="I718" i="15" a="1"/>
  <c r="I718" i="15" s="1"/>
  <c r="K718" i="15" a="1"/>
  <c r="K718" i="15" s="1"/>
  <c r="L718" i="15" a="1"/>
  <c r="L718" i="15" s="1"/>
  <c r="M718" i="15" a="1"/>
  <c r="M718" i="15" s="1"/>
  <c r="N718" i="15" a="1"/>
  <c r="N718" i="15" s="1"/>
  <c r="F719" i="15" a="1"/>
  <c r="F719" i="15" s="1"/>
  <c r="G719" i="15" s="1"/>
  <c r="H719" i="15" a="1"/>
  <c r="H719" i="15" s="1"/>
  <c r="I719" i="15" a="1"/>
  <c r="I719" i="15" s="1"/>
  <c r="K719" i="15" a="1"/>
  <c r="K719" i="15" s="1"/>
  <c r="L719" i="15" a="1"/>
  <c r="L719" i="15" s="1"/>
  <c r="M719" i="15" a="1"/>
  <c r="M719" i="15" s="1"/>
  <c r="N719" i="15" a="1"/>
  <c r="N719" i="15" s="1"/>
  <c r="F720" i="15" a="1"/>
  <c r="F720" i="15" s="1"/>
  <c r="G720" i="15" s="1"/>
  <c r="H720" i="15" a="1"/>
  <c r="H720" i="15" s="1"/>
  <c r="I720" i="15" a="1"/>
  <c r="I720" i="15" s="1"/>
  <c r="K720" i="15" a="1"/>
  <c r="K720" i="15" s="1"/>
  <c r="L720" i="15" a="1"/>
  <c r="L720" i="15" s="1"/>
  <c r="M720" i="15" a="1"/>
  <c r="M720" i="15" s="1"/>
  <c r="N720" i="15" a="1"/>
  <c r="N720" i="15" s="1"/>
  <c r="F721" i="15" a="1"/>
  <c r="F721" i="15" s="1"/>
  <c r="G721" i="15" s="1"/>
  <c r="H721" i="15" a="1"/>
  <c r="H721" i="15" s="1"/>
  <c r="I721" i="15" a="1"/>
  <c r="I721" i="15" s="1"/>
  <c r="K721" i="15" a="1"/>
  <c r="K721" i="15" s="1"/>
  <c r="L721" i="15" a="1"/>
  <c r="L721" i="15" s="1"/>
  <c r="M721" i="15" a="1"/>
  <c r="M721" i="15" s="1"/>
  <c r="N721" i="15" a="1"/>
  <c r="N721" i="15" s="1"/>
  <c r="F722" i="15" a="1"/>
  <c r="F722" i="15" s="1"/>
  <c r="G722" i="15" s="1"/>
  <c r="H722" i="15" a="1"/>
  <c r="H722" i="15" s="1"/>
  <c r="I722" i="15" a="1"/>
  <c r="I722" i="15" s="1"/>
  <c r="K722" i="15" a="1"/>
  <c r="K722" i="15" s="1"/>
  <c r="L722" i="15" a="1"/>
  <c r="L722" i="15" s="1"/>
  <c r="M722" i="15" a="1"/>
  <c r="M722" i="15" s="1"/>
  <c r="N722" i="15" a="1"/>
  <c r="N722" i="15" s="1"/>
  <c r="F723" i="15" a="1"/>
  <c r="F723" i="15" s="1"/>
  <c r="G723" i="15" s="1"/>
  <c r="H723" i="15" a="1"/>
  <c r="H723" i="15" s="1"/>
  <c r="I723" i="15" a="1"/>
  <c r="I723" i="15" s="1"/>
  <c r="K723" i="15" a="1"/>
  <c r="K723" i="15" s="1"/>
  <c r="L723" i="15" a="1"/>
  <c r="L723" i="15" s="1"/>
  <c r="M723" i="15" a="1"/>
  <c r="M723" i="15" s="1"/>
  <c r="N723" i="15" a="1"/>
  <c r="N723" i="15" s="1"/>
  <c r="F724" i="15" a="1"/>
  <c r="F724" i="15" s="1"/>
  <c r="G724" i="15" s="1"/>
  <c r="H724" i="15" a="1"/>
  <c r="H724" i="15" s="1"/>
  <c r="I724" i="15" a="1"/>
  <c r="I724" i="15" s="1"/>
  <c r="K724" i="15" a="1"/>
  <c r="K724" i="15" s="1"/>
  <c r="L724" i="15" a="1"/>
  <c r="L724" i="15" s="1"/>
  <c r="M724" i="15" a="1"/>
  <c r="M724" i="15" s="1"/>
  <c r="N724" i="15" a="1"/>
  <c r="N724" i="15" s="1"/>
  <c r="F725" i="15" a="1"/>
  <c r="F725" i="15" s="1"/>
  <c r="G725" i="15" s="1"/>
  <c r="H725" i="15" a="1"/>
  <c r="H725" i="15" s="1"/>
  <c r="I725" i="15" a="1"/>
  <c r="I725" i="15" s="1"/>
  <c r="K725" i="15" a="1"/>
  <c r="K725" i="15" s="1"/>
  <c r="L725" i="15" a="1"/>
  <c r="L725" i="15" s="1"/>
  <c r="M725" i="15" a="1"/>
  <c r="M725" i="15" s="1"/>
  <c r="N725" i="15" a="1"/>
  <c r="N725" i="15" s="1"/>
  <c r="F726" i="15" a="1"/>
  <c r="F726" i="15" s="1"/>
  <c r="G726" i="15" s="1"/>
  <c r="H726" i="15" a="1"/>
  <c r="H726" i="15" s="1"/>
  <c r="I726" i="15" a="1"/>
  <c r="I726" i="15" s="1"/>
  <c r="K726" i="15" a="1"/>
  <c r="K726" i="15" s="1"/>
  <c r="L726" i="15" a="1"/>
  <c r="L726" i="15" s="1"/>
  <c r="M726" i="15" a="1"/>
  <c r="M726" i="15" s="1"/>
  <c r="N726" i="15" a="1"/>
  <c r="N726" i="15" s="1"/>
  <c r="F727" i="15" a="1"/>
  <c r="F727" i="15" s="1"/>
  <c r="G727" i="15" s="1"/>
  <c r="H727" i="15" a="1"/>
  <c r="H727" i="15" s="1"/>
  <c r="I727" i="15" a="1"/>
  <c r="I727" i="15" s="1"/>
  <c r="K727" i="15" a="1"/>
  <c r="K727" i="15" s="1"/>
  <c r="L727" i="15" a="1"/>
  <c r="L727" i="15" s="1"/>
  <c r="M727" i="15" a="1"/>
  <c r="M727" i="15" s="1"/>
  <c r="N727" i="15" a="1"/>
  <c r="N727" i="15" s="1"/>
  <c r="F728" i="15" a="1"/>
  <c r="F728" i="15" s="1"/>
  <c r="G728" i="15" s="1"/>
  <c r="H728" i="15" a="1"/>
  <c r="H728" i="15" s="1"/>
  <c r="I728" i="15" a="1"/>
  <c r="I728" i="15" s="1"/>
  <c r="K728" i="15" a="1"/>
  <c r="K728" i="15" s="1"/>
  <c r="L728" i="15" a="1"/>
  <c r="L728" i="15" s="1"/>
  <c r="M728" i="15" a="1"/>
  <c r="M728" i="15" s="1"/>
  <c r="N728" i="15" a="1"/>
  <c r="N728" i="15" s="1"/>
  <c r="F729" i="15" a="1"/>
  <c r="F729" i="15" s="1"/>
  <c r="G729" i="15" s="1"/>
  <c r="H729" i="15" a="1"/>
  <c r="H729" i="15" s="1"/>
  <c r="I729" i="15" a="1"/>
  <c r="I729" i="15" s="1"/>
  <c r="K729" i="15" a="1"/>
  <c r="K729" i="15" s="1"/>
  <c r="L729" i="15" a="1"/>
  <c r="L729" i="15" s="1"/>
  <c r="M729" i="15" a="1"/>
  <c r="M729" i="15" s="1"/>
  <c r="N729" i="15" a="1"/>
  <c r="N729" i="15" s="1"/>
  <c r="F730" i="15" a="1"/>
  <c r="F730" i="15" s="1"/>
  <c r="G730" i="15" s="1"/>
  <c r="H730" i="15" a="1"/>
  <c r="H730" i="15" s="1"/>
  <c r="I730" i="15" a="1"/>
  <c r="I730" i="15" s="1"/>
  <c r="K730" i="15" a="1"/>
  <c r="K730" i="15" s="1"/>
  <c r="L730" i="15" a="1"/>
  <c r="L730" i="15" s="1"/>
  <c r="M730" i="15" a="1"/>
  <c r="M730" i="15" s="1"/>
  <c r="N730" i="15" a="1"/>
  <c r="N730" i="15" s="1"/>
  <c r="F731" i="15" a="1"/>
  <c r="F731" i="15" s="1"/>
  <c r="G731" i="15" s="1"/>
  <c r="H731" i="15" a="1"/>
  <c r="H731" i="15" s="1"/>
  <c r="I731" i="15" a="1"/>
  <c r="I731" i="15" s="1"/>
  <c r="K731" i="15" a="1"/>
  <c r="K731" i="15" s="1"/>
  <c r="L731" i="15" a="1"/>
  <c r="L731" i="15" s="1"/>
  <c r="M731" i="15" a="1"/>
  <c r="M731" i="15" s="1"/>
  <c r="N731" i="15" a="1"/>
  <c r="N731" i="15" s="1"/>
  <c r="F732" i="15" a="1"/>
  <c r="F732" i="15" s="1"/>
  <c r="G732" i="15" s="1"/>
  <c r="H732" i="15" a="1"/>
  <c r="H732" i="15" s="1"/>
  <c r="I732" i="15" a="1"/>
  <c r="I732" i="15" s="1"/>
  <c r="K732" i="15" a="1"/>
  <c r="K732" i="15" s="1"/>
  <c r="L732" i="15" a="1"/>
  <c r="L732" i="15" s="1"/>
  <c r="M732" i="15" a="1"/>
  <c r="M732" i="15" s="1"/>
  <c r="N732" i="15" a="1"/>
  <c r="N732" i="15" s="1"/>
  <c r="F733" i="15" a="1"/>
  <c r="F733" i="15" s="1"/>
  <c r="G733" i="15" s="1"/>
  <c r="H733" i="15" a="1"/>
  <c r="H733" i="15" s="1"/>
  <c r="I733" i="15" a="1"/>
  <c r="I733" i="15" s="1"/>
  <c r="K733" i="15" a="1"/>
  <c r="K733" i="15" s="1"/>
  <c r="L733" i="15" a="1"/>
  <c r="L733" i="15" s="1"/>
  <c r="M733" i="15" a="1"/>
  <c r="M733" i="15" s="1"/>
  <c r="N733" i="15" a="1"/>
  <c r="N733" i="15" s="1"/>
  <c r="F734" i="15" a="1"/>
  <c r="F734" i="15" s="1"/>
  <c r="G734" i="15" s="1"/>
  <c r="H734" i="15" a="1"/>
  <c r="H734" i="15" s="1"/>
  <c r="I734" i="15" a="1"/>
  <c r="I734" i="15" s="1"/>
  <c r="K734" i="15" a="1"/>
  <c r="K734" i="15" s="1"/>
  <c r="L734" i="15" a="1"/>
  <c r="L734" i="15" s="1"/>
  <c r="M734" i="15" a="1"/>
  <c r="M734" i="15" s="1"/>
  <c r="N734" i="15" a="1"/>
  <c r="N734" i="15" s="1"/>
  <c r="F735" i="15" a="1"/>
  <c r="F735" i="15" s="1"/>
  <c r="G735" i="15" s="1"/>
  <c r="H735" i="15" a="1"/>
  <c r="H735" i="15" s="1"/>
  <c r="I735" i="15" a="1"/>
  <c r="I735" i="15" s="1"/>
  <c r="K735" i="15" a="1"/>
  <c r="K735" i="15" s="1"/>
  <c r="L735" i="15" a="1"/>
  <c r="L735" i="15" s="1"/>
  <c r="M735" i="15" a="1"/>
  <c r="M735" i="15" s="1"/>
  <c r="N735" i="15" a="1"/>
  <c r="N735" i="15" s="1"/>
  <c r="F736" i="15" a="1"/>
  <c r="F736" i="15" s="1"/>
  <c r="G736" i="15" s="1"/>
  <c r="H736" i="15" a="1"/>
  <c r="H736" i="15" s="1"/>
  <c r="I736" i="15" a="1"/>
  <c r="I736" i="15" s="1"/>
  <c r="K736" i="15" a="1"/>
  <c r="K736" i="15" s="1"/>
  <c r="L736" i="15" a="1"/>
  <c r="L736" i="15" s="1"/>
  <c r="M736" i="15" a="1"/>
  <c r="M736" i="15" s="1"/>
  <c r="N736" i="15" a="1"/>
  <c r="N736" i="15" s="1"/>
  <c r="F737" i="15" a="1"/>
  <c r="F737" i="15" s="1"/>
  <c r="G737" i="15" s="1"/>
  <c r="H737" i="15" a="1"/>
  <c r="H737" i="15" s="1"/>
  <c r="I737" i="15" a="1"/>
  <c r="I737" i="15" s="1"/>
  <c r="K737" i="15" a="1"/>
  <c r="K737" i="15" s="1"/>
  <c r="L737" i="15" a="1"/>
  <c r="L737" i="15" s="1"/>
  <c r="M737" i="15" a="1"/>
  <c r="M737" i="15" s="1"/>
  <c r="N737" i="15" a="1"/>
  <c r="N737" i="15" s="1"/>
  <c r="F738" i="15" a="1"/>
  <c r="F738" i="15" s="1"/>
  <c r="G738" i="15" s="1"/>
  <c r="H738" i="15" a="1"/>
  <c r="H738" i="15" s="1"/>
  <c r="I738" i="15" a="1"/>
  <c r="I738" i="15" s="1"/>
  <c r="K738" i="15" a="1"/>
  <c r="K738" i="15" s="1"/>
  <c r="L738" i="15" a="1"/>
  <c r="L738" i="15" s="1"/>
  <c r="M738" i="15" a="1"/>
  <c r="M738" i="15" s="1"/>
  <c r="N738" i="15" a="1"/>
  <c r="N738" i="15" s="1"/>
  <c r="F739" i="15" a="1"/>
  <c r="F739" i="15" s="1"/>
  <c r="G739" i="15" s="1"/>
  <c r="H739" i="15" a="1"/>
  <c r="H739" i="15" s="1"/>
  <c r="I739" i="15" a="1"/>
  <c r="I739" i="15" s="1"/>
  <c r="K739" i="15" a="1"/>
  <c r="K739" i="15" s="1"/>
  <c r="L739" i="15" a="1"/>
  <c r="L739" i="15" s="1"/>
  <c r="M739" i="15" a="1"/>
  <c r="M739" i="15" s="1"/>
  <c r="N739" i="15" a="1"/>
  <c r="N739" i="15" s="1"/>
  <c r="F740" i="15" a="1"/>
  <c r="F740" i="15" s="1"/>
  <c r="G740" i="15" s="1"/>
  <c r="H740" i="15" a="1"/>
  <c r="H740" i="15" s="1"/>
  <c r="I740" i="15" a="1"/>
  <c r="I740" i="15" s="1"/>
  <c r="K740" i="15" a="1"/>
  <c r="K740" i="15" s="1"/>
  <c r="L740" i="15" a="1"/>
  <c r="L740" i="15" s="1"/>
  <c r="M740" i="15" a="1"/>
  <c r="M740" i="15" s="1"/>
  <c r="N740" i="15" a="1"/>
  <c r="N740" i="15" s="1"/>
  <c r="F741" i="15" a="1"/>
  <c r="F741" i="15" s="1"/>
  <c r="G741" i="15" s="1"/>
  <c r="H741" i="15" a="1"/>
  <c r="H741" i="15" s="1"/>
  <c r="I741" i="15" a="1"/>
  <c r="I741" i="15" s="1"/>
  <c r="K741" i="15" a="1"/>
  <c r="K741" i="15" s="1"/>
  <c r="L741" i="15" a="1"/>
  <c r="L741" i="15" s="1"/>
  <c r="M741" i="15" a="1"/>
  <c r="M741" i="15" s="1"/>
  <c r="N741" i="15" a="1"/>
  <c r="N741" i="15" s="1"/>
  <c r="F742" i="15" a="1"/>
  <c r="F742" i="15" s="1"/>
  <c r="G742" i="15" s="1"/>
  <c r="H742" i="15" a="1"/>
  <c r="H742" i="15" s="1"/>
  <c r="I742" i="15" a="1"/>
  <c r="I742" i="15" s="1"/>
  <c r="K742" i="15" a="1"/>
  <c r="K742" i="15" s="1"/>
  <c r="L742" i="15" a="1"/>
  <c r="L742" i="15" s="1"/>
  <c r="M742" i="15" a="1"/>
  <c r="M742" i="15" s="1"/>
  <c r="N742" i="15" a="1"/>
  <c r="N742" i="15" s="1"/>
  <c r="F743" i="15" a="1"/>
  <c r="F743" i="15" s="1"/>
  <c r="G743" i="15" s="1"/>
  <c r="H743" i="15" a="1"/>
  <c r="H743" i="15" s="1"/>
  <c r="I743" i="15" a="1"/>
  <c r="I743" i="15" s="1"/>
  <c r="K743" i="15" a="1"/>
  <c r="K743" i="15" s="1"/>
  <c r="L743" i="15" a="1"/>
  <c r="L743" i="15" s="1"/>
  <c r="M743" i="15" a="1"/>
  <c r="M743" i="15" s="1"/>
  <c r="N743" i="15" a="1"/>
  <c r="N743" i="15" s="1"/>
  <c r="F744" i="15" a="1"/>
  <c r="F744" i="15" s="1"/>
  <c r="G744" i="15" s="1"/>
  <c r="H744" i="15" a="1"/>
  <c r="H744" i="15" s="1"/>
  <c r="I744" i="15" a="1"/>
  <c r="I744" i="15" s="1"/>
  <c r="K744" i="15" a="1"/>
  <c r="K744" i="15" s="1"/>
  <c r="L744" i="15" a="1"/>
  <c r="L744" i="15" s="1"/>
  <c r="M744" i="15" a="1"/>
  <c r="M744" i="15" s="1"/>
  <c r="N744" i="15" a="1"/>
  <c r="N744" i="15" s="1"/>
  <c r="F745" i="15" a="1"/>
  <c r="F745" i="15" s="1"/>
  <c r="G745" i="15" s="1"/>
  <c r="H745" i="15" a="1"/>
  <c r="H745" i="15" s="1"/>
  <c r="I745" i="15" a="1"/>
  <c r="I745" i="15" s="1"/>
  <c r="K745" i="15" a="1"/>
  <c r="K745" i="15" s="1"/>
  <c r="L745" i="15" a="1"/>
  <c r="L745" i="15" s="1"/>
  <c r="M745" i="15" a="1"/>
  <c r="M745" i="15" s="1"/>
  <c r="N745" i="15" a="1"/>
  <c r="N745" i="15" s="1"/>
  <c r="F746" i="15" a="1"/>
  <c r="F746" i="15" s="1"/>
  <c r="G746" i="15" s="1"/>
  <c r="H746" i="15" a="1"/>
  <c r="H746" i="15" s="1"/>
  <c r="I746" i="15" a="1"/>
  <c r="I746" i="15" s="1"/>
  <c r="K746" i="15" a="1"/>
  <c r="K746" i="15" s="1"/>
  <c r="L746" i="15" a="1"/>
  <c r="L746" i="15" s="1"/>
  <c r="M746" i="15" a="1"/>
  <c r="M746" i="15" s="1"/>
  <c r="N746" i="15" a="1"/>
  <c r="N746" i="15" s="1"/>
  <c r="F747" i="15" a="1"/>
  <c r="F747" i="15" s="1"/>
  <c r="G747" i="15" s="1"/>
  <c r="H747" i="15" a="1"/>
  <c r="H747" i="15" s="1"/>
  <c r="I747" i="15" a="1"/>
  <c r="I747" i="15" s="1"/>
  <c r="K747" i="15" a="1"/>
  <c r="K747" i="15" s="1"/>
  <c r="L747" i="15" a="1"/>
  <c r="L747" i="15" s="1"/>
  <c r="M747" i="15" a="1"/>
  <c r="M747" i="15" s="1"/>
  <c r="N747" i="15" a="1"/>
  <c r="N747" i="15" s="1"/>
  <c r="F748" i="15" a="1"/>
  <c r="F748" i="15" s="1"/>
  <c r="G748" i="15" s="1"/>
  <c r="H748" i="15" a="1"/>
  <c r="H748" i="15" s="1"/>
  <c r="I748" i="15" a="1"/>
  <c r="I748" i="15" s="1"/>
  <c r="K748" i="15" a="1"/>
  <c r="K748" i="15" s="1"/>
  <c r="L748" i="15" a="1"/>
  <c r="L748" i="15" s="1"/>
  <c r="M748" i="15" a="1"/>
  <c r="M748" i="15" s="1"/>
  <c r="N748" i="15" a="1"/>
  <c r="N748" i="15" s="1"/>
  <c r="F749" i="15" a="1"/>
  <c r="F749" i="15" s="1"/>
  <c r="G749" i="15" s="1"/>
  <c r="H749" i="15" a="1"/>
  <c r="H749" i="15" s="1"/>
  <c r="I749" i="15" a="1"/>
  <c r="I749" i="15" s="1"/>
  <c r="K749" i="15" a="1"/>
  <c r="K749" i="15" s="1"/>
  <c r="L749" i="15" a="1"/>
  <c r="L749" i="15" s="1"/>
  <c r="M749" i="15" a="1"/>
  <c r="M749" i="15" s="1"/>
  <c r="N749" i="15" a="1"/>
  <c r="N749" i="15" s="1"/>
  <c r="F750" i="15" a="1"/>
  <c r="F750" i="15" s="1"/>
  <c r="G750" i="15" s="1"/>
  <c r="H750" i="15" a="1"/>
  <c r="H750" i="15" s="1"/>
  <c r="I750" i="15" a="1"/>
  <c r="I750" i="15" s="1"/>
  <c r="K750" i="15" a="1"/>
  <c r="K750" i="15" s="1"/>
  <c r="L750" i="15" a="1"/>
  <c r="L750" i="15" s="1"/>
  <c r="M750" i="15" a="1"/>
  <c r="M750" i="15" s="1"/>
  <c r="N750" i="15" a="1"/>
  <c r="N750" i="15" s="1"/>
  <c r="F751" i="15" a="1"/>
  <c r="F751" i="15" s="1"/>
  <c r="G751" i="15" s="1"/>
  <c r="H751" i="15" a="1"/>
  <c r="H751" i="15" s="1"/>
  <c r="I751" i="15" a="1"/>
  <c r="I751" i="15" s="1"/>
  <c r="K751" i="15" a="1"/>
  <c r="K751" i="15" s="1"/>
  <c r="L751" i="15" a="1"/>
  <c r="L751" i="15" s="1"/>
  <c r="M751" i="15" a="1"/>
  <c r="M751" i="15" s="1"/>
  <c r="N751" i="15" a="1"/>
  <c r="N751" i="15" s="1"/>
  <c r="F752" i="15" a="1"/>
  <c r="F752" i="15" s="1"/>
  <c r="G752" i="15" s="1"/>
  <c r="H752" i="15" a="1"/>
  <c r="H752" i="15" s="1"/>
  <c r="I752" i="15" a="1"/>
  <c r="I752" i="15" s="1"/>
  <c r="K752" i="15" a="1"/>
  <c r="K752" i="15" s="1"/>
  <c r="L752" i="15" a="1"/>
  <c r="L752" i="15" s="1"/>
  <c r="M752" i="15" a="1"/>
  <c r="M752" i="15" s="1"/>
  <c r="N752" i="15" a="1"/>
  <c r="N752" i="15" s="1"/>
  <c r="F753" i="15" a="1"/>
  <c r="F753" i="15" s="1"/>
  <c r="G753" i="15" s="1"/>
  <c r="H753" i="15" a="1"/>
  <c r="H753" i="15" s="1"/>
  <c r="I753" i="15" a="1"/>
  <c r="I753" i="15" s="1"/>
  <c r="K753" i="15" a="1"/>
  <c r="K753" i="15" s="1"/>
  <c r="L753" i="15" a="1"/>
  <c r="L753" i="15" s="1"/>
  <c r="M753" i="15" a="1"/>
  <c r="M753" i="15" s="1"/>
  <c r="N753" i="15" a="1"/>
  <c r="N753" i="15" s="1"/>
  <c r="F754" i="15" a="1"/>
  <c r="F754" i="15" s="1"/>
  <c r="G754" i="15" s="1"/>
  <c r="H754" i="15" a="1"/>
  <c r="H754" i="15" s="1"/>
  <c r="I754" i="15" a="1"/>
  <c r="I754" i="15" s="1"/>
  <c r="K754" i="15" a="1"/>
  <c r="K754" i="15" s="1"/>
  <c r="L754" i="15" a="1"/>
  <c r="L754" i="15" s="1"/>
  <c r="M754" i="15" a="1"/>
  <c r="M754" i="15" s="1"/>
  <c r="N754" i="15" a="1"/>
  <c r="N754" i="15" s="1"/>
  <c r="F755" i="15" a="1"/>
  <c r="F755" i="15" s="1"/>
  <c r="G755" i="15" s="1"/>
  <c r="H755" i="15" a="1"/>
  <c r="H755" i="15" s="1"/>
  <c r="I755" i="15" a="1"/>
  <c r="I755" i="15" s="1"/>
  <c r="K755" i="15" a="1"/>
  <c r="K755" i="15" s="1"/>
  <c r="L755" i="15" a="1"/>
  <c r="L755" i="15" s="1"/>
  <c r="M755" i="15" a="1"/>
  <c r="M755" i="15" s="1"/>
  <c r="N755" i="15" a="1"/>
  <c r="N755" i="15" s="1"/>
  <c r="F756" i="15" a="1"/>
  <c r="F756" i="15" s="1"/>
  <c r="G756" i="15" s="1"/>
  <c r="H756" i="15" a="1"/>
  <c r="H756" i="15" s="1"/>
  <c r="I756" i="15" a="1"/>
  <c r="I756" i="15" s="1"/>
  <c r="K756" i="15" a="1"/>
  <c r="K756" i="15" s="1"/>
  <c r="L756" i="15" a="1"/>
  <c r="L756" i="15" s="1"/>
  <c r="M756" i="15" a="1"/>
  <c r="M756" i="15" s="1"/>
  <c r="N756" i="15" a="1"/>
  <c r="N756" i="15" s="1"/>
  <c r="F757" i="15" a="1"/>
  <c r="F757" i="15" s="1"/>
  <c r="G757" i="15" s="1"/>
  <c r="H757" i="15" a="1"/>
  <c r="H757" i="15" s="1"/>
  <c r="I757" i="15" a="1"/>
  <c r="I757" i="15" s="1"/>
  <c r="K757" i="15" a="1"/>
  <c r="K757" i="15" s="1"/>
  <c r="L757" i="15" a="1"/>
  <c r="L757" i="15" s="1"/>
  <c r="M757" i="15" a="1"/>
  <c r="M757" i="15" s="1"/>
  <c r="N757" i="15" a="1"/>
  <c r="N757" i="15" s="1"/>
  <c r="F758" i="15" a="1"/>
  <c r="F758" i="15" s="1"/>
  <c r="G758" i="15" s="1"/>
  <c r="H758" i="15" a="1"/>
  <c r="H758" i="15" s="1"/>
  <c r="I758" i="15" a="1"/>
  <c r="I758" i="15" s="1"/>
  <c r="K758" i="15" a="1"/>
  <c r="K758" i="15" s="1"/>
  <c r="L758" i="15" a="1"/>
  <c r="L758" i="15" s="1"/>
  <c r="M758" i="15" a="1"/>
  <c r="M758" i="15" s="1"/>
  <c r="N758" i="15" a="1"/>
  <c r="N758" i="15" s="1"/>
  <c r="F759" i="15" a="1"/>
  <c r="F759" i="15" s="1"/>
  <c r="G759" i="15" s="1"/>
  <c r="H759" i="15" a="1"/>
  <c r="H759" i="15" s="1"/>
  <c r="I759" i="15" a="1"/>
  <c r="I759" i="15" s="1"/>
  <c r="K759" i="15" a="1"/>
  <c r="K759" i="15" s="1"/>
  <c r="L759" i="15" a="1"/>
  <c r="L759" i="15" s="1"/>
  <c r="M759" i="15" a="1"/>
  <c r="M759" i="15" s="1"/>
  <c r="N759" i="15" a="1"/>
  <c r="N759" i="15" s="1"/>
  <c r="F760" i="15" a="1"/>
  <c r="F760" i="15" s="1"/>
  <c r="G760" i="15" s="1"/>
  <c r="H760" i="15" a="1"/>
  <c r="H760" i="15" s="1"/>
  <c r="I760" i="15" a="1"/>
  <c r="I760" i="15" s="1"/>
  <c r="K760" i="15" a="1"/>
  <c r="K760" i="15" s="1"/>
  <c r="L760" i="15" a="1"/>
  <c r="L760" i="15" s="1"/>
  <c r="M760" i="15" a="1"/>
  <c r="M760" i="15" s="1"/>
  <c r="N760" i="15" a="1"/>
  <c r="N760" i="15" s="1"/>
  <c r="F761" i="15" a="1"/>
  <c r="F761" i="15" s="1"/>
  <c r="G761" i="15" s="1"/>
  <c r="H761" i="15" a="1"/>
  <c r="H761" i="15" s="1"/>
  <c r="I761" i="15" a="1"/>
  <c r="I761" i="15" s="1"/>
  <c r="K761" i="15" a="1"/>
  <c r="K761" i="15" s="1"/>
  <c r="L761" i="15" a="1"/>
  <c r="L761" i="15" s="1"/>
  <c r="M761" i="15" a="1"/>
  <c r="M761" i="15" s="1"/>
  <c r="N761" i="15" a="1"/>
  <c r="N761" i="15" s="1"/>
  <c r="F762" i="15" a="1"/>
  <c r="F762" i="15" s="1"/>
  <c r="G762" i="15" s="1"/>
  <c r="H762" i="15" a="1"/>
  <c r="H762" i="15" s="1"/>
  <c r="I762" i="15" a="1"/>
  <c r="I762" i="15" s="1"/>
  <c r="K762" i="15" a="1"/>
  <c r="K762" i="15" s="1"/>
  <c r="L762" i="15" a="1"/>
  <c r="L762" i="15" s="1"/>
  <c r="M762" i="15" a="1"/>
  <c r="M762" i="15" s="1"/>
  <c r="N762" i="15" a="1"/>
  <c r="N762" i="15" s="1"/>
  <c r="F763" i="15" a="1"/>
  <c r="F763" i="15" s="1"/>
  <c r="G763" i="15" s="1"/>
  <c r="H763" i="15" a="1"/>
  <c r="H763" i="15" s="1"/>
  <c r="I763" i="15" a="1"/>
  <c r="I763" i="15" s="1"/>
  <c r="K763" i="15" a="1"/>
  <c r="K763" i="15" s="1"/>
  <c r="L763" i="15" a="1"/>
  <c r="L763" i="15" s="1"/>
  <c r="M763" i="15" a="1"/>
  <c r="M763" i="15" s="1"/>
  <c r="N763" i="15" a="1"/>
  <c r="N763" i="15" s="1"/>
  <c r="F764" i="15" a="1"/>
  <c r="F764" i="15" s="1"/>
  <c r="G764" i="15" s="1"/>
  <c r="H764" i="15" a="1"/>
  <c r="H764" i="15" s="1"/>
  <c r="I764" i="15" a="1"/>
  <c r="I764" i="15" s="1"/>
  <c r="K764" i="15" a="1"/>
  <c r="K764" i="15" s="1"/>
  <c r="L764" i="15" a="1"/>
  <c r="L764" i="15" s="1"/>
  <c r="M764" i="15" a="1"/>
  <c r="M764" i="15" s="1"/>
  <c r="N764" i="15" a="1"/>
  <c r="N764" i="15" s="1"/>
  <c r="F765" i="15" a="1"/>
  <c r="F765" i="15" s="1"/>
  <c r="G765" i="15" s="1"/>
  <c r="H765" i="15" a="1"/>
  <c r="H765" i="15" s="1"/>
  <c r="I765" i="15" a="1"/>
  <c r="I765" i="15" s="1"/>
  <c r="K765" i="15" a="1"/>
  <c r="K765" i="15" s="1"/>
  <c r="L765" i="15" a="1"/>
  <c r="L765" i="15" s="1"/>
  <c r="M765" i="15" a="1"/>
  <c r="M765" i="15" s="1"/>
  <c r="N765" i="15" a="1"/>
  <c r="N765" i="15" s="1"/>
  <c r="F766" i="15" a="1"/>
  <c r="F766" i="15" s="1"/>
  <c r="G766" i="15" s="1"/>
  <c r="H766" i="15" a="1"/>
  <c r="H766" i="15" s="1"/>
  <c r="I766" i="15" a="1"/>
  <c r="I766" i="15" s="1"/>
  <c r="K766" i="15" a="1"/>
  <c r="K766" i="15" s="1"/>
  <c r="L766" i="15" a="1"/>
  <c r="L766" i="15" s="1"/>
  <c r="M766" i="15" a="1"/>
  <c r="M766" i="15" s="1"/>
  <c r="N766" i="15" a="1"/>
  <c r="N766" i="15" s="1"/>
  <c r="F767" i="15" a="1"/>
  <c r="F767" i="15" s="1"/>
  <c r="G767" i="15" s="1"/>
  <c r="H767" i="15" a="1"/>
  <c r="H767" i="15" s="1"/>
  <c r="I767" i="15" a="1"/>
  <c r="I767" i="15" s="1"/>
  <c r="K767" i="15" a="1"/>
  <c r="K767" i="15" s="1"/>
  <c r="L767" i="15" a="1"/>
  <c r="L767" i="15" s="1"/>
  <c r="M767" i="15" a="1"/>
  <c r="M767" i="15" s="1"/>
  <c r="N767" i="15" a="1"/>
  <c r="N767" i="15" s="1"/>
  <c r="F768" i="15" a="1"/>
  <c r="F768" i="15" s="1"/>
  <c r="G768" i="15" s="1"/>
  <c r="H768" i="15" a="1"/>
  <c r="H768" i="15" s="1"/>
  <c r="I768" i="15" a="1"/>
  <c r="I768" i="15" s="1"/>
  <c r="K768" i="15" a="1"/>
  <c r="K768" i="15" s="1"/>
  <c r="L768" i="15" a="1"/>
  <c r="L768" i="15" s="1"/>
  <c r="M768" i="15" a="1"/>
  <c r="M768" i="15" s="1"/>
  <c r="N768" i="15" a="1"/>
  <c r="N768" i="15" s="1"/>
  <c r="F769" i="15" a="1"/>
  <c r="F769" i="15" s="1"/>
  <c r="G769" i="15" s="1"/>
  <c r="H769" i="15" a="1"/>
  <c r="H769" i="15" s="1"/>
  <c r="I769" i="15" a="1"/>
  <c r="I769" i="15" s="1"/>
  <c r="K769" i="15" a="1"/>
  <c r="K769" i="15" s="1"/>
  <c r="L769" i="15" a="1"/>
  <c r="L769" i="15" s="1"/>
  <c r="M769" i="15" a="1"/>
  <c r="M769" i="15" s="1"/>
  <c r="N769" i="15" a="1"/>
  <c r="N769" i="15" s="1"/>
  <c r="F770" i="15" a="1"/>
  <c r="F770" i="15" s="1"/>
  <c r="G770" i="15" s="1"/>
  <c r="H770" i="15" a="1"/>
  <c r="H770" i="15" s="1"/>
  <c r="I770" i="15" a="1"/>
  <c r="I770" i="15" s="1"/>
  <c r="K770" i="15" a="1"/>
  <c r="K770" i="15" s="1"/>
  <c r="L770" i="15" a="1"/>
  <c r="L770" i="15" s="1"/>
  <c r="M770" i="15" a="1"/>
  <c r="M770" i="15" s="1"/>
  <c r="N770" i="15" a="1"/>
  <c r="N770" i="15" s="1"/>
  <c r="F771" i="15" a="1"/>
  <c r="F771" i="15" s="1"/>
  <c r="G771" i="15" s="1"/>
  <c r="H771" i="15" a="1"/>
  <c r="H771" i="15" s="1"/>
  <c r="I771" i="15" a="1"/>
  <c r="I771" i="15" s="1"/>
  <c r="K771" i="15" a="1"/>
  <c r="K771" i="15" s="1"/>
  <c r="L771" i="15" a="1"/>
  <c r="L771" i="15" s="1"/>
  <c r="M771" i="15" a="1"/>
  <c r="M771" i="15" s="1"/>
  <c r="N771" i="15" a="1"/>
  <c r="N771" i="15" s="1"/>
  <c r="F772" i="15" a="1"/>
  <c r="F772" i="15" s="1"/>
  <c r="G772" i="15" s="1"/>
  <c r="H772" i="15" a="1"/>
  <c r="H772" i="15" s="1"/>
  <c r="I772" i="15" a="1"/>
  <c r="I772" i="15" s="1"/>
  <c r="K772" i="15" a="1"/>
  <c r="K772" i="15" s="1"/>
  <c r="L772" i="15" a="1"/>
  <c r="L772" i="15" s="1"/>
  <c r="M772" i="15" a="1"/>
  <c r="M772" i="15" s="1"/>
  <c r="N772" i="15" a="1"/>
  <c r="N772" i="15" s="1"/>
  <c r="F773" i="15" a="1"/>
  <c r="F773" i="15" s="1"/>
  <c r="G773" i="15" s="1"/>
  <c r="H773" i="15" a="1"/>
  <c r="H773" i="15" s="1"/>
  <c r="I773" i="15" a="1"/>
  <c r="I773" i="15" s="1"/>
  <c r="K773" i="15" a="1"/>
  <c r="K773" i="15" s="1"/>
  <c r="L773" i="15" a="1"/>
  <c r="L773" i="15" s="1"/>
  <c r="M773" i="15" a="1"/>
  <c r="M773" i="15" s="1"/>
  <c r="N773" i="15" a="1"/>
  <c r="N773" i="15" s="1"/>
  <c r="F774" i="15" a="1"/>
  <c r="F774" i="15" s="1"/>
  <c r="G774" i="15" s="1"/>
  <c r="H774" i="15" a="1"/>
  <c r="H774" i="15" s="1"/>
  <c r="I774" i="15" a="1"/>
  <c r="I774" i="15" s="1"/>
  <c r="K774" i="15" a="1"/>
  <c r="K774" i="15" s="1"/>
  <c r="L774" i="15" a="1"/>
  <c r="L774" i="15" s="1"/>
  <c r="M774" i="15" a="1"/>
  <c r="M774" i="15" s="1"/>
  <c r="N774" i="15" a="1"/>
  <c r="N774" i="15" s="1"/>
  <c r="F775" i="15" a="1"/>
  <c r="F775" i="15" s="1"/>
  <c r="G775" i="15" s="1"/>
  <c r="H775" i="15" a="1"/>
  <c r="H775" i="15" s="1"/>
  <c r="I775" i="15" a="1"/>
  <c r="I775" i="15" s="1"/>
  <c r="K775" i="15" a="1"/>
  <c r="K775" i="15" s="1"/>
  <c r="L775" i="15" a="1"/>
  <c r="L775" i="15" s="1"/>
  <c r="M775" i="15" a="1"/>
  <c r="M775" i="15" s="1"/>
  <c r="N775" i="15" a="1"/>
  <c r="N775" i="15" s="1"/>
  <c r="F776" i="15" a="1"/>
  <c r="F776" i="15" s="1"/>
  <c r="G776" i="15" s="1"/>
  <c r="H776" i="15" a="1"/>
  <c r="H776" i="15" s="1"/>
  <c r="I776" i="15" a="1"/>
  <c r="I776" i="15" s="1"/>
  <c r="K776" i="15" a="1"/>
  <c r="K776" i="15" s="1"/>
  <c r="L776" i="15" a="1"/>
  <c r="L776" i="15" s="1"/>
  <c r="M776" i="15" a="1"/>
  <c r="M776" i="15" s="1"/>
  <c r="N776" i="15" a="1"/>
  <c r="N776" i="15" s="1"/>
  <c r="F777" i="15" a="1"/>
  <c r="F777" i="15" s="1"/>
  <c r="G777" i="15" s="1"/>
  <c r="H777" i="15" a="1"/>
  <c r="H777" i="15" s="1"/>
  <c r="I777" i="15" a="1"/>
  <c r="I777" i="15" s="1"/>
  <c r="K777" i="15" a="1"/>
  <c r="K777" i="15" s="1"/>
  <c r="L777" i="15" a="1"/>
  <c r="L777" i="15" s="1"/>
  <c r="M777" i="15" a="1"/>
  <c r="M777" i="15" s="1"/>
  <c r="N777" i="15" a="1"/>
  <c r="N777" i="15" s="1"/>
  <c r="F778" i="15" a="1"/>
  <c r="F778" i="15" s="1"/>
  <c r="G778" i="15" s="1"/>
  <c r="H778" i="15" a="1"/>
  <c r="H778" i="15" s="1"/>
  <c r="I778" i="15" a="1"/>
  <c r="I778" i="15" s="1"/>
  <c r="K778" i="15" a="1"/>
  <c r="K778" i="15" s="1"/>
  <c r="L778" i="15" a="1"/>
  <c r="L778" i="15" s="1"/>
  <c r="M778" i="15" a="1"/>
  <c r="M778" i="15" s="1"/>
  <c r="N778" i="15" a="1"/>
  <c r="N778" i="15" s="1"/>
  <c r="F779" i="15" a="1"/>
  <c r="F779" i="15" s="1"/>
  <c r="G779" i="15" s="1"/>
  <c r="H779" i="15" a="1"/>
  <c r="H779" i="15" s="1"/>
  <c r="I779" i="15" a="1"/>
  <c r="I779" i="15" s="1"/>
  <c r="K779" i="15" a="1"/>
  <c r="K779" i="15" s="1"/>
  <c r="L779" i="15" a="1"/>
  <c r="L779" i="15" s="1"/>
  <c r="M779" i="15" a="1"/>
  <c r="M779" i="15" s="1"/>
  <c r="N779" i="15" a="1"/>
  <c r="N779" i="15" s="1"/>
  <c r="F780" i="15" a="1"/>
  <c r="F780" i="15" s="1"/>
  <c r="G780" i="15" s="1"/>
  <c r="H780" i="15" a="1"/>
  <c r="H780" i="15" s="1"/>
  <c r="I780" i="15" a="1"/>
  <c r="I780" i="15" s="1"/>
  <c r="K780" i="15" a="1"/>
  <c r="K780" i="15" s="1"/>
  <c r="L780" i="15" a="1"/>
  <c r="L780" i="15" s="1"/>
  <c r="M780" i="15" a="1"/>
  <c r="M780" i="15" s="1"/>
  <c r="N780" i="15" a="1"/>
  <c r="N780" i="15" s="1"/>
  <c r="F781" i="15" a="1"/>
  <c r="F781" i="15" s="1"/>
  <c r="G781" i="15" s="1"/>
  <c r="H781" i="15" a="1"/>
  <c r="H781" i="15" s="1"/>
  <c r="I781" i="15" a="1"/>
  <c r="I781" i="15" s="1"/>
  <c r="K781" i="15" a="1"/>
  <c r="K781" i="15" s="1"/>
  <c r="L781" i="15" a="1"/>
  <c r="L781" i="15" s="1"/>
  <c r="M781" i="15" a="1"/>
  <c r="M781" i="15" s="1"/>
  <c r="N781" i="15" a="1"/>
  <c r="N781" i="15" s="1"/>
  <c r="F782" i="15" a="1"/>
  <c r="F782" i="15" s="1"/>
  <c r="G782" i="15" s="1"/>
  <c r="H782" i="15" a="1"/>
  <c r="H782" i="15" s="1"/>
  <c r="I782" i="15" a="1"/>
  <c r="I782" i="15" s="1"/>
  <c r="K782" i="15" a="1"/>
  <c r="K782" i="15" s="1"/>
  <c r="L782" i="15" a="1"/>
  <c r="L782" i="15" s="1"/>
  <c r="M782" i="15" a="1"/>
  <c r="M782" i="15" s="1"/>
  <c r="N782" i="15" a="1"/>
  <c r="N782" i="15" s="1"/>
  <c r="F783" i="15" a="1"/>
  <c r="F783" i="15" s="1"/>
  <c r="G783" i="15" s="1"/>
  <c r="H783" i="15" a="1"/>
  <c r="H783" i="15" s="1"/>
  <c r="I783" i="15" a="1"/>
  <c r="I783" i="15" s="1"/>
  <c r="K783" i="15" a="1"/>
  <c r="K783" i="15" s="1"/>
  <c r="L783" i="15" a="1"/>
  <c r="L783" i="15" s="1"/>
  <c r="M783" i="15" a="1"/>
  <c r="M783" i="15" s="1"/>
  <c r="N783" i="15" a="1"/>
  <c r="N783" i="15" s="1"/>
  <c r="F784" i="15" a="1"/>
  <c r="F784" i="15" s="1"/>
  <c r="G784" i="15" s="1"/>
  <c r="H784" i="15" a="1"/>
  <c r="H784" i="15" s="1"/>
  <c r="I784" i="15" a="1"/>
  <c r="I784" i="15" s="1"/>
  <c r="K784" i="15" a="1"/>
  <c r="K784" i="15" s="1"/>
  <c r="L784" i="15" a="1"/>
  <c r="L784" i="15" s="1"/>
  <c r="M784" i="15" a="1"/>
  <c r="M784" i="15" s="1"/>
  <c r="N784" i="15" a="1"/>
  <c r="N784" i="15" s="1"/>
  <c r="F785" i="15" a="1"/>
  <c r="F785" i="15" s="1"/>
  <c r="G785" i="15" s="1"/>
  <c r="H785" i="15" a="1"/>
  <c r="H785" i="15" s="1"/>
  <c r="I785" i="15" a="1"/>
  <c r="I785" i="15" s="1"/>
  <c r="K785" i="15" a="1"/>
  <c r="K785" i="15" s="1"/>
  <c r="L785" i="15" a="1"/>
  <c r="L785" i="15" s="1"/>
  <c r="M785" i="15" a="1"/>
  <c r="M785" i="15" s="1"/>
  <c r="N785" i="15" a="1"/>
  <c r="N785" i="15" s="1"/>
  <c r="F786" i="15" a="1"/>
  <c r="F786" i="15" s="1"/>
  <c r="G786" i="15" s="1"/>
  <c r="H786" i="15" a="1"/>
  <c r="H786" i="15" s="1"/>
  <c r="I786" i="15" a="1"/>
  <c r="I786" i="15" s="1"/>
  <c r="K786" i="15" a="1"/>
  <c r="K786" i="15" s="1"/>
  <c r="L786" i="15" a="1"/>
  <c r="L786" i="15" s="1"/>
  <c r="M786" i="15" a="1"/>
  <c r="M786" i="15" s="1"/>
  <c r="N786" i="15" a="1"/>
  <c r="N786" i="15" s="1"/>
  <c r="F787" i="15" a="1"/>
  <c r="F787" i="15" s="1"/>
  <c r="G787" i="15" s="1"/>
  <c r="H787" i="15" a="1"/>
  <c r="H787" i="15" s="1"/>
  <c r="I787" i="15" a="1"/>
  <c r="I787" i="15" s="1"/>
  <c r="K787" i="15" a="1"/>
  <c r="K787" i="15" s="1"/>
  <c r="L787" i="15" a="1"/>
  <c r="L787" i="15" s="1"/>
  <c r="M787" i="15" a="1"/>
  <c r="M787" i="15" s="1"/>
  <c r="N787" i="15" a="1"/>
  <c r="N787" i="15" s="1"/>
  <c r="F788" i="15" a="1"/>
  <c r="F788" i="15" s="1"/>
  <c r="G788" i="15" s="1"/>
  <c r="H788" i="15" a="1"/>
  <c r="H788" i="15" s="1"/>
  <c r="I788" i="15" a="1"/>
  <c r="I788" i="15" s="1"/>
  <c r="K788" i="15" a="1"/>
  <c r="K788" i="15" s="1"/>
  <c r="L788" i="15" a="1"/>
  <c r="L788" i="15" s="1"/>
  <c r="M788" i="15" a="1"/>
  <c r="M788" i="15" s="1"/>
  <c r="N788" i="15" a="1"/>
  <c r="N788" i="15" s="1"/>
  <c r="F789" i="15" a="1"/>
  <c r="F789" i="15" s="1"/>
  <c r="G789" i="15" s="1"/>
  <c r="H789" i="15" a="1"/>
  <c r="H789" i="15" s="1"/>
  <c r="I789" i="15" a="1"/>
  <c r="I789" i="15" s="1"/>
  <c r="K789" i="15" a="1"/>
  <c r="K789" i="15" s="1"/>
  <c r="L789" i="15" a="1"/>
  <c r="L789" i="15" s="1"/>
  <c r="M789" i="15" a="1"/>
  <c r="M789" i="15" s="1"/>
  <c r="N789" i="15" a="1"/>
  <c r="N789" i="15" s="1"/>
  <c r="F790" i="15" a="1"/>
  <c r="F790" i="15" s="1"/>
  <c r="G790" i="15" s="1"/>
  <c r="H790" i="15" a="1"/>
  <c r="H790" i="15" s="1"/>
  <c r="I790" i="15" a="1"/>
  <c r="I790" i="15" s="1"/>
  <c r="K790" i="15" a="1"/>
  <c r="K790" i="15" s="1"/>
  <c r="L790" i="15" a="1"/>
  <c r="L790" i="15" s="1"/>
  <c r="M790" i="15" a="1"/>
  <c r="M790" i="15" s="1"/>
  <c r="N790" i="15" a="1"/>
  <c r="N790" i="15" s="1"/>
  <c r="F791" i="15" a="1"/>
  <c r="F791" i="15" s="1"/>
  <c r="G791" i="15" s="1"/>
  <c r="H791" i="15" a="1"/>
  <c r="H791" i="15" s="1"/>
  <c r="I791" i="15" a="1"/>
  <c r="I791" i="15" s="1"/>
  <c r="K791" i="15" a="1"/>
  <c r="K791" i="15" s="1"/>
  <c r="L791" i="15" a="1"/>
  <c r="L791" i="15" s="1"/>
  <c r="M791" i="15" a="1"/>
  <c r="M791" i="15" s="1"/>
  <c r="N791" i="15" a="1"/>
  <c r="N791" i="15" s="1"/>
  <c r="F792" i="15" a="1"/>
  <c r="F792" i="15" s="1"/>
  <c r="G792" i="15" s="1"/>
  <c r="H792" i="15" a="1"/>
  <c r="H792" i="15" s="1"/>
  <c r="I792" i="15" a="1"/>
  <c r="I792" i="15" s="1"/>
  <c r="K792" i="15" a="1"/>
  <c r="K792" i="15" s="1"/>
  <c r="L792" i="15" a="1"/>
  <c r="L792" i="15" s="1"/>
  <c r="M792" i="15" a="1"/>
  <c r="M792" i="15" s="1"/>
  <c r="N792" i="15" a="1"/>
  <c r="N792" i="15" s="1"/>
  <c r="F793" i="15" a="1"/>
  <c r="F793" i="15" s="1"/>
  <c r="G793" i="15" s="1"/>
  <c r="H793" i="15" a="1"/>
  <c r="H793" i="15" s="1"/>
  <c r="I793" i="15" a="1"/>
  <c r="I793" i="15" s="1"/>
  <c r="K793" i="15" a="1"/>
  <c r="K793" i="15" s="1"/>
  <c r="L793" i="15" a="1"/>
  <c r="L793" i="15" s="1"/>
  <c r="M793" i="15" a="1"/>
  <c r="M793" i="15" s="1"/>
  <c r="N793" i="15" a="1"/>
  <c r="N793" i="15" s="1"/>
  <c r="F794" i="15" a="1"/>
  <c r="F794" i="15" s="1"/>
  <c r="G794" i="15" s="1"/>
  <c r="H794" i="15" a="1"/>
  <c r="H794" i="15" s="1"/>
  <c r="I794" i="15" a="1"/>
  <c r="I794" i="15" s="1"/>
  <c r="K794" i="15" a="1"/>
  <c r="K794" i="15" s="1"/>
  <c r="L794" i="15" a="1"/>
  <c r="L794" i="15" s="1"/>
  <c r="M794" i="15" a="1"/>
  <c r="M794" i="15" s="1"/>
  <c r="N794" i="15" a="1"/>
  <c r="N794" i="15" s="1"/>
  <c r="F795" i="15" a="1"/>
  <c r="F795" i="15" s="1"/>
  <c r="G795" i="15" s="1"/>
  <c r="H795" i="15" a="1"/>
  <c r="H795" i="15" s="1"/>
  <c r="I795" i="15" a="1"/>
  <c r="I795" i="15" s="1"/>
  <c r="K795" i="15" a="1"/>
  <c r="K795" i="15" s="1"/>
  <c r="L795" i="15" a="1"/>
  <c r="L795" i="15" s="1"/>
  <c r="M795" i="15" a="1"/>
  <c r="M795" i="15" s="1"/>
  <c r="N795" i="15" a="1"/>
  <c r="N795" i="15" s="1"/>
  <c r="F796" i="15" a="1"/>
  <c r="F796" i="15" s="1"/>
  <c r="G796" i="15" s="1"/>
  <c r="H796" i="15" a="1"/>
  <c r="H796" i="15" s="1"/>
  <c r="I796" i="15" a="1"/>
  <c r="I796" i="15" s="1"/>
  <c r="K796" i="15" a="1"/>
  <c r="K796" i="15" s="1"/>
  <c r="L796" i="15" a="1"/>
  <c r="L796" i="15" s="1"/>
  <c r="M796" i="15" a="1"/>
  <c r="M796" i="15" s="1"/>
  <c r="N796" i="15" a="1"/>
  <c r="N796" i="15" s="1"/>
  <c r="F797" i="15" a="1"/>
  <c r="F797" i="15" s="1"/>
  <c r="G797" i="15" s="1"/>
  <c r="H797" i="15" a="1"/>
  <c r="H797" i="15" s="1"/>
  <c r="I797" i="15" a="1"/>
  <c r="I797" i="15" s="1"/>
  <c r="K797" i="15" a="1"/>
  <c r="K797" i="15" s="1"/>
  <c r="L797" i="15" a="1"/>
  <c r="L797" i="15" s="1"/>
  <c r="M797" i="15" a="1"/>
  <c r="M797" i="15" s="1"/>
  <c r="N797" i="15" a="1"/>
  <c r="N797" i="15" s="1"/>
  <c r="F798" i="15" a="1"/>
  <c r="F798" i="15" s="1"/>
  <c r="G798" i="15" s="1"/>
  <c r="H798" i="15" a="1"/>
  <c r="H798" i="15" s="1"/>
  <c r="I798" i="15" a="1"/>
  <c r="I798" i="15" s="1"/>
  <c r="K798" i="15" a="1"/>
  <c r="K798" i="15" s="1"/>
  <c r="L798" i="15" a="1"/>
  <c r="L798" i="15" s="1"/>
  <c r="M798" i="15" a="1"/>
  <c r="M798" i="15" s="1"/>
  <c r="N798" i="15" a="1"/>
  <c r="N798" i="15" s="1"/>
  <c r="F799" i="15" a="1"/>
  <c r="F799" i="15" s="1"/>
  <c r="G799" i="15" s="1"/>
  <c r="H799" i="15" a="1"/>
  <c r="H799" i="15" s="1"/>
  <c r="I799" i="15" a="1"/>
  <c r="I799" i="15" s="1"/>
  <c r="K799" i="15" a="1"/>
  <c r="K799" i="15" s="1"/>
  <c r="L799" i="15" a="1"/>
  <c r="L799" i="15" s="1"/>
  <c r="M799" i="15" a="1"/>
  <c r="M799" i="15" s="1"/>
  <c r="N799" i="15" a="1"/>
  <c r="N799" i="15" s="1"/>
  <c r="F800" i="15" a="1"/>
  <c r="F800" i="15" s="1"/>
  <c r="G800" i="15" s="1"/>
  <c r="H800" i="15" a="1"/>
  <c r="H800" i="15" s="1"/>
  <c r="I800" i="15" a="1"/>
  <c r="I800" i="15" s="1"/>
  <c r="K800" i="15" a="1"/>
  <c r="K800" i="15" s="1"/>
  <c r="L800" i="15" a="1"/>
  <c r="L800" i="15" s="1"/>
  <c r="M800" i="15" a="1"/>
  <c r="M800" i="15" s="1"/>
  <c r="N800" i="15" a="1"/>
  <c r="N800" i="15" s="1"/>
  <c r="F801" i="15" a="1"/>
  <c r="F801" i="15" s="1"/>
  <c r="G801" i="15" s="1"/>
  <c r="H801" i="15" a="1"/>
  <c r="H801" i="15" s="1"/>
  <c r="I801" i="15" a="1"/>
  <c r="I801" i="15" s="1"/>
  <c r="K801" i="15" a="1"/>
  <c r="K801" i="15" s="1"/>
  <c r="L801" i="15" a="1"/>
  <c r="L801" i="15" s="1"/>
  <c r="M801" i="15" a="1"/>
  <c r="M801" i="15" s="1"/>
  <c r="N801" i="15" a="1"/>
  <c r="N801" i="15" s="1"/>
  <c r="F802" i="15" a="1"/>
  <c r="F802" i="15" s="1"/>
  <c r="G802" i="15" s="1"/>
  <c r="H802" i="15" a="1"/>
  <c r="H802" i="15" s="1"/>
  <c r="I802" i="15" a="1"/>
  <c r="I802" i="15" s="1"/>
  <c r="K802" i="15" a="1"/>
  <c r="K802" i="15" s="1"/>
  <c r="L802" i="15" a="1"/>
  <c r="L802" i="15" s="1"/>
  <c r="M802" i="15" a="1"/>
  <c r="M802" i="15" s="1"/>
  <c r="N802" i="15" a="1"/>
  <c r="N802" i="15" s="1"/>
  <c r="F803" i="15" a="1"/>
  <c r="F803" i="15" s="1"/>
  <c r="G803" i="15" s="1"/>
  <c r="H803" i="15" a="1"/>
  <c r="H803" i="15" s="1"/>
  <c r="I803" i="15" a="1"/>
  <c r="I803" i="15" s="1"/>
  <c r="K803" i="15" a="1"/>
  <c r="K803" i="15" s="1"/>
  <c r="L803" i="15" a="1"/>
  <c r="L803" i="15" s="1"/>
  <c r="M803" i="15" a="1"/>
  <c r="M803" i="15" s="1"/>
  <c r="N803" i="15" a="1"/>
  <c r="N803" i="15" s="1"/>
  <c r="F804" i="15" a="1"/>
  <c r="F804" i="15" s="1"/>
  <c r="G804" i="15" s="1"/>
  <c r="H804" i="15" a="1"/>
  <c r="H804" i="15" s="1"/>
  <c r="I804" i="15" a="1"/>
  <c r="I804" i="15" s="1"/>
  <c r="K804" i="15" a="1"/>
  <c r="K804" i="15" s="1"/>
  <c r="L804" i="15" a="1"/>
  <c r="L804" i="15" s="1"/>
  <c r="M804" i="15" a="1"/>
  <c r="M804" i="15" s="1"/>
  <c r="N804" i="15" a="1"/>
  <c r="N804" i="15" s="1"/>
  <c r="F805" i="15" a="1"/>
  <c r="F805" i="15" s="1"/>
  <c r="G805" i="15" s="1"/>
  <c r="H805" i="15" a="1"/>
  <c r="H805" i="15" s="1"/>
  <c r="I805" i="15" a="1"/>
  <c r="I805" i="15" s="1"/>
  <c r="K805" i="15" a="1"/>
  <c r="K805" i="15" s="1"/>
  <c r="L805" i="15" a="1"/>
  <c r="L805" i="15" s="1"/>
  <c r="M805" i="15" a="1"/>
  <c r="M805" i="15" s="1"/>
  <c r="N805" i="15" a="1"/>
  <c r="N805" i="15" s="1"/>
  <c r="F806" i="15" a="1"/>
  <c r="F806" i="15" s="1"/>
  <c r="G806" i="15" s="1"/>
  <c r="H806" i="15" a="1"/>
  <c r="H806" i="15" s="1"/>
  <c r="I806" i="15" a="1"/>
  <c r="I806" i="15" s="1"/>
  <c r="K806" i="15" a="1"/>
  <c r="K806" i="15" s="1"/>
  <c r="L806" i="15" a="1"/>
  <c r="L806" i="15" s="1"/>
  <c r="M806" i="15" a="1"/>
  <c r="M806" i="15" s="1"/>
  <c r="N806" i="15" a="1"/>
  <c r="N806" i="15" s="1"/>
  <c r="F807" i="15" a="1"/>
  <c r="F807" i="15" s="1"/>
  <c r="G807" i="15" s="1"/>
  <c r="H807" i="15" a="1"/>
  <c r="H807" i="15" s="1"/>
  <c r="I807" i="15" a="1"/>
  <c r="I807" i="15" s="1"/>
  <c r="K807" i="15" a="1"/>
  <c r="K807" i="15" s="1"/>
  <c r="L807" i="15" a="1"/>
  <c r="L807" i="15" s="1"/>
  <c r="M807" i="15" a="1"/>
  <c r="M807" i="15" s="1"/>
  <c r="N807" i="15" a="1"/>
  <c r="N807" i="15" s="1"/>
  <c r="F808" i="15" a="1"/>
  <c r="F808" i="15" s="1"/>
  <c r="G808" i="15" s="1"/>
  <c r="H808" i="15" a="1"/>
  <c r="H808" i="15" s="1"/>
  <c r="I808" i="15" a="1"/>
  <c r="I808" i="15" s="1"/>
  <c r="K808" i="15" a="1"/>
  <c r="K808" i="15" s="1"/>
  <c r="L808" i="15" a="1"/>
  <c r="L808" i="15" s="1"/>
  <c r="M808" i="15" a="1"/>
  <c r="M808" i="15" s="1"/>
  <c r="N808" i="15" a="1"/>
  <c r="N808" i="15" s="1"/>
  <c r="F809" i="15" a="1"/>
  <c r="F809" i="15" s="1"/>
  <c r="G809" i="15" s="1"/>
  <c r="H809" i="15" a="1"/>
  <c r="H809" i="15" s="1"/>
  <c r="I809" i="15" a="1"/>
  <c r="I809" i="15" s="1"/>
  <c r="K809" i="15" a="1"/>
  <c r="K809" i="15" s="1"/>
  <c r="L809" i="15" a="1"/>
  <c r="L809" i="15" s="1"/>
  <c r="M809" i="15" a="1"/>
  <c r="M809" i="15" s="1"/>
  <c r="N809" i="15" a="1"/>
  <c r="N809" i="15" s="1"/>
  <c r="F810" i="15" a="1"/>
  <c r="F810" i="15" s="1"/>
  <c r="G810" i="15" s="1"/>
  <c r="H810" i="15" a="1"/>
  <c r="H810" i="15" s="1"/>
  <c r="I810" i="15" a="1"/>
  <c r="I810" i="15" s="1"/>
  <c r="K810" i="15" a="1"/>
  <c r="K810" i="15" s="1"/>
  <c r="L810" i="15" a="1"/>
  <c r="L810" i="15" s="1"/>
  <c r="M810" i="15" a="1"/>
  <c r="M810" i="15" s="1"/>
  <c r="N810" i="15" a="1"/>
  <c r="N810" i="15" s="1"/>
  <c r="F811" i="15" a="1"/>
  <c r="F811" i="15" s="1"/>
  <c r="G811" i="15" s="1"/>
  <c r="H811" i="15" a="1"/>
  <c r="H811" i="15" s="1"/>
  <c r="I811" i="15" a="1"/>
  <c r="I811" i="15" s="1"/>
  <c r="K811" i="15" a="1"/>
  <c r="K811" i="15" s="1"/>
  <c r="L811" i="15" a="1"/>
  <c r="L811" i="15" s="1"/>
  <c r="M811" i="15" a="1"/>
  <c r="M811" i="15" s="1"/>
  <c r="N811" i="15" a="1"/>
  <c r="N811" i="15" s="1"/>
  <c r="F812" i="15" a="1"/>
  <c r="F812" i="15" s="1"/>
  <c r="G812" i="15" s="1"/>
  <c r="H812" i="15" a="1"/>
  <c r="H812" i="15" s="1"/>
  <c r="I812" i="15" a="1"/>
  <c r="I812" i="15" s="1"/>
  <c r="K812" i="15" a="1"/>
  <c r="K812" i="15" s="1"/>
  <c r="L812" i="15" a="1"/>
  <c r="L812" i="15" s="1"/>
  <c r="M812" i="15" a="1"/>
  <c r="M812" i="15" s="1"/>
  <c r="N812" i="15" a="1"/>
  <c r="N812" i="15" s="1"/>
  <c r="F813" i="15" a="1"/>
  <c r="F813" i="15" s="1"/>
  <c r="G813" i="15" s="1"/>
  <c r="H813" i="15" a="1"/>
  <c r="H813" i="15" s="1"/>
  <c r="I813" i="15" a="1"/>
  <c r="I813" i="15" s="1"/>
  <c r="K813" i="15" a="1"/>
  <c r="K813" i="15" s="1"/>
  <c r="L813" i="15" a="1"/>
  <c r="L813" i="15" s="1"/>
  <c r="M813" i="15" a="1"/>
  <c r="M813" i="15" s="1"/>
  <c r="N813" i="15" a="1"/>
  <c r="N813" i="15" s="1"/>
  <c r="F814" i="15" a="1"/>
  <c r="F814" i="15" s="1"/>
  <c r="G814" i="15" s="1"/>
  <c r="H814" i="15" a="1"/>
  <c r="H814" i="15" s="1"/>
  <c r="I814" i="15" a="1"/>
  <c r="I814" i="15" s="1"/>
  <c r="K814" i="15" a="1"/>
  <c r="K814" i="15" s="1"/>
  <c r="L814" i="15" a="1"/>
  <c r="L814" i="15" s="1"/>
  <c r="M814" i="15" a="1"/>
  <c r="M814" i="15" s="1"/>
  <c r="N814" i="15" a="1"/>
  <c r="N814" i="15" s="1"/>
  <c r="F815" i="15" a="1"/>
  <c r="F815" i="15" s="1"/>
  <c r="G815" i="15" s="1"/>
  <c r="H815" i="15" a="1"/>
  <c r="H815" i="15" s="1"/>
  <c r="I815" i="15" a="1"/>
  <c r="I815" i="15" s="1"/>
  <c r="K815" i="15" a="1"/>
  <c r="K815" i="15" s="1"/>
  <c r="L815" i="15" a="1"/>
  <c r="L815" i="15" s="1"/>
  <c r="M815" i="15" a="1"/>
  <c r="M815" i="15" s="1"/>
  <c r="N815" i="15" a="1"/>
  <c r="N815" i="15" s="1"/>
  <c r="F816" i="15" a="1"/>
  <c r="F816" i="15" s="1"/>
  <c r="G816" i="15" s="1"/>
  <c r="H816" i="15" a="1"/>
  <c r="H816" i="15" s="1"/>
  <c r="I816" i="15" a="1"/>
  <c r="I816" i="15" s="1"/>
  <c r="K816" i="15" a="1"/>
  <c r="K816" i="15" s="1"/>
  <c r="L816" i="15" a="1"/>
  <c r="L816" i="15" s="1"/>
  <c r="M816" i="15" a="1"/>
  <c r="M816" i="15" s="1"/>
  <c r="N816" i="15" a="1"/>
  <c r="N816" i="15" s="1"/>
  <c r="F817" i="15" a="1"/>
  <c r="F817" i="15" s="1"/>
  <c r="G817" i="15" s="1"/>
  <c r="H817" i="15" a="1"/>
  <c r="H817" i="15" s="1"/>
  <c r="I817" i="15" a="1"/>
  <c r="I817" i="15" s="1"/>
  <c r="K817" i="15" a="1"/>
  <c r="K817" i="15" s="1"/>
  <c r="L817" i="15" a="1"/>
  <c r="L817" i="15" s="1"/>
  <c r="M817" i="15" a="1"/>
  <c r="M817" i="15" s="1"/>
  <c r="N817" i="15" a="1"/>
  <c r="N817" i="15" s="1"/>
  <c r="F818" i="15" a="1"/>
  <c r="F818" i="15" s="1"/>
  <c r="G818" i="15" s="1"/>
  <c r="H818" i="15" a="1"/>
  <c r="H818" i="15" s="1"/>
  <c r="I818" i="15" a="1"/>
  <c r="I818" i="15" s="1"/>
  <c r="K818" i="15" a="1"/>
  <c r="K818" i="15" s="1"/>
  <c r="L818" i="15" a="1"/>
  <c r="L818" i="15" s="1"/>
  <c r="M818" i="15" a="1"/>
  <c r="M818" i="15" s="1"/>
  <c r="N818" i="15" a="1"/>
  <c r="N818" i="15" s="1"/>
  <c r="F819" i="15" a="1"/>
  <c r="F819" i="15" s="1"/>
  <c r="G819" i="15" s="1"/>
  <c r="H819" i="15" a="1"/>
  <c r="H819" i="15" s="1"/>
  <c r="I819" i="15" a="1"/>
  <c r="I819" i="15" s="1"/>
  <c r="K819" i="15" a="1"/>
  <c r="K819" i="15" s="1"/>
  <c r="L819" i="15" a="1"/>
  <c r="L819" i="15" s="1"/>
  <c r="M819" i="15" a="1"/>
  <c r="M819" i="15" s="1"/>
  <c r="N819" i="15" a="1"/>
  <c r="N819" i="15" s="1"/>
  <c r="F820" i="15" a="1"/>
  <c r="F820" i="15" s="1"/>
  <c r="G820" i="15" s="1"/>
  <c r="H820" i="15" a="1"/>
  <c r="H820" i="15" s="1"/>
  <c r="I820" i="15" a="1"/>
  <c r="I820" i="15" s="1"/>
  <c r="K820" i="15" a="1"/>
  <c r="K820" i="15" s="1"/>
  <c r="L820" i="15" a="1"/>
  <c r="L820" i="15" s="1"/>
  <c r="M820" i="15" a="1"/>
  <c r="M820" i="15" s="1"/>
  <c r="N820" i="15" a="1"/>
  <c r="N820" i="15" s="1"/>
  <c r="F821" i="15" a="1"/>
  <c r="F821" i="15" s="1"/>
  <c r="G821" i="15" s="1"/>
  <c r="H821" i="15" a="1"/>
  <c r="H821" i="15" s="1"/>
  <c r="I821" i="15" a="1"/>
  <c r="I821" i="15" s="1"/>
  <c r="K821" i="15" a="1"/>
  <c r="K821" i="15" s="1"/>
  <c r="L821" i="15" a="1"/>
  <c r="L821" i="15" s="1"/>
  <c r="M821" i="15" a="1"/>
  <c r="M821" i="15" s="1"/>
  <c r="N821" i="15" a="1"/>
  <c r="N821" i="15" s="1"/>
  <c r="F822" i="15" a="1"/>
  <c r="F822" i="15" s="1"/>
  <c r="G822" i="15" s="1"/>
  <c r="H822" i="15" a="1"/>
  <c r="H822" i="15" s="1"/>
  <c r="I822" i="15" a="1"/>
  <c r="I822" i="15" s="1"/>
  <c r="K822" i="15" a="1"/>
  <c r="K822" i="15" s="1"/>
  <c r="L822" i="15" a="1"/>
  <c r="L822" i="15" s="1"/>
  <c r="M822" i="15" a="1"/>
  <c r="M822" i="15" s="1"/>
  <c r="N822" i="15" a="1"/>
  <c r="N822" i="15" s="1"/>
  <c r="F823" i="15" a="1"/>
  <c r="F823" i="15" s="1"/>
  <c r="G823" i="15" s="1"/>
  <c r="H823" i="15" a="1"/>
  <c r="H823" i="15" s="1"/>
  <c r="I823" i="15" a="1"/>
  <c r="I823" i="15" s="1"/>
  <c r="K823" i="15" a="1"/>
  <c r="K823" i="15" s="1"/>
  <c r="L823" i="15" a="1"/>
  <c r="L823" i="15" s="1"/>
  <c r="M823" i="15" a="1"/>
  <c r="M823" i="15" s="1"/>
  <c r="N823" i="15" a="1"/>
  <c r="N823" i="15" s="1"/>
  <c r="F824" i="15" a="1"/>
  <c r="F824" i="15" s="1"/>
  <c r="G824" i="15" s="1"/>
  <c r="H824" i="15" a="1"/>
  <c r="H824" i="15" s="1"/>
  <c r="I824" i="15" a="1"/>
  <c r="I824" i="15" s="1"/>
  <c r="K824" i="15" a="1"/>
  <c r="K824" i="15" s="1"/>
  <c r="L824" i="15" a="1"/>
  <c r="L824" i="15" s="1"/>
  <c r="M824" i="15" a="1"/>
  <c r="M824" i="15" s="1"/>
  <c r="N824" i="15" a="1"/>
  <c r="N824" i="15" s="1"/>
  <c r="F825" i="15" a="1"/>
  <c r="F825" i="15" s="1"/>
  <c r="G825" i="15" s="1"/>
  <c r="H825" i="15" a="1"/>
  <c r="H825" i="15" s="1"/>
  <c r="I825" i="15" a="1"/>
  <c r="I825" i="15" s="1"/>
  <c r="K825" i="15" a="1"/>
  <c r="K825" i="15" s="1"/>
  <c r="L825" i="15" a="1"/>
  <c r="L825" i="15" s="1"/>
  <c r="M825" i="15" a="1"/>
  <c r="M825" i="15" s="1"/>
  <c r="N825" i="15" a="1"/>
  <c r="N825" i="15" s="1"/>
  <c r="F826" i="15" a="1"/>
  <c r="F826" i="15" s="1"/>
  <c r="G826" i="15" s="1"/>
  <c r="H826" i="15" a="1"/>
  <c r="H826" i="15" s="1"/>
  <c r="I826" i="15" a="1"/>
  <c r="I826" i="15" s="1"/>
  <c r="K826" i="15" a="1"/>
  <c r="K826" i="15" s="1"/>
  <c r="L826" i="15" a="1"/>
  <c r="L826" i="15" s="1"/>
  <c r="M826" i="15" a="1"/>
  <c r="M826" i="15" s="1"/>
  <c r="N826" i="15" a="1"/>
  <c r="N826" i="15" s="1"/>
  <c r="F827" i="15" a="1"/>
  <c r="F827" i="15" s="1"/>
  <c r="G827" i="15" s="1"/>
  <c r="H827" i="15" a="1"/>
  <c r="H827" i="15" s="1"/>
  <c r="I827" i="15" a="1"/>
  <c r="I827" i="15" s="1"/>
  <c r="K827" i="15" a="1"/>
  <c r="K827" i="15" s="1"/>
  <c r="L827" i="15" a="1"/>
  <c r="L827" i="15" s="1"/>
  <c r="M827" i="15" a="1"/>
  <c r="M827" i="15" s="1"/>
  <c r="N827" i="15" a="1"/>
  <c r="N827" i="15" s="1"/>
  <c r="F828" i="15" a="1"/>
  <c r="F828" i="15" s="1"/>
  <c r="G828" i="15" s="1"/>
  <c r="H828" i="15" a="1"/>
  <c r="H828" i="15" s="1"/>
  <c r="I828" i="15" a="1"/>
  <c r="I828" i="15" s="1"/>
  <c r="K828" i="15" a="1"/>
  <c r="K828" i="15" s="1"/>
  <c r="L828" i="15" a="1"/>
  <c r="L828" i="15" s="1"/>
  <c r="M828" i="15" a="1"/>
  <c r="M828" i="15" s="1"/>
  <c r="N828" i="15" a="1"/>
  <c r="N828" i="15" s="1"/>
  <c r="F829" i="15" a="1"/>
  <c r="F829" i="15" s="1"/>
  <c r="G829" i="15" s="1"/>
  <c r="H829" i="15" a="1"/>
  <c r="H829" i="15" s="1"/>
  <c r="I829" i="15" a="1"/>
  <c r="I829" i="15" s="1"/>
  <c r="K829" i="15" a="1"/>
  <c r="K829" i="15" s="1"/>
  <c r="L829" i="15" a="1"/>
  <c r="L829" i="15" s="1"/>
  <c r="M829" i="15" a="1"/>
  <c r="M829" i="15" s="1"/>
  <c r="N829" i="15" a="1"/>
  <c r="N829" i="15" s="1"/>
  <c r="F830" i="15" a="1"/>
  <c r="F830" i="15" s="1"/>
  <c r="G830" i="15" s="1"/>
  <c r="H830" i="15" a="1"/>
  <c r="H830" i="15" s="1"/>
  <c r="I830" i="15" a="1"/>
  <c r="I830" i="15" s="1"/>
  <c r="K830" i="15" a="1"/>
  <c r="K830" i="15" s="1"/>
  <c r="L830" i="15" a="1"/>
  <c r="L830" i="15" s="1"/>
  <c r="M830" i="15" a="1"/>
  <c r="M830" i="15" s="1"/>
  <c r="N830" i="15" a="1"/>
  <c r="N830" i="15" s="1"/>
  <c r="F831" i="15" a="1"/>
  <c r="F831" i="15" s="1"/>
  <c r="G831" i="15" s="1"/>
  <c r="H831" i="15" a="1"/>
  <c r="H831" i="15" s="1"/>
  <c r="I831" i="15" a="1"/>
  <c r="I831" i="15" s="1"/>
  <c r="K831" i="15" a="1"/>
  <c r="K831" i="15" s="1"/>
  <c r="L831" i="15" a="1"/>
  <c r="L831" i="15" s="1"/>
  <c r="M831" i="15" a="1"/>
  <c r="M831" i="15" s="1"/>
  <c r="N831" i="15" a="1"/>
  <c r="N831" i="15" s="1"/>
  <c r="F832" i="15" a="1"/>
  <c r="F832" i="15" s="1"/>
  <c r="G832" i="15" s="1"/>
  <c r="H832" i="15" a="1"/>
  <c r="H832" i="15" s="1"/>
  <c r="I832" i="15" a="1"/>
  <c r="I832" i="15" s="1"/>
  <c r="K832" i="15" a="1"/>
  <c r="K832" i="15" s="1"/>
  <c r="L832" i="15" a="1"/>
  <c r="L832" i="15" s="1"/>
  <c r="M832" i="15" a="1"/>
  <c r="M832" i="15" s="1"/>
  <c r="N832" i="15" a="1"/>
  <c r="N832" i="15" s="1"/>
  <c r="F833" i="15" a="1"/>
  <c r="F833" i="15" s="1"/>
  <c r="G833" i="15" s="1"/>
  <c r="H833" i="15" a="1"/>
  <c r="H833" i="15" s="1"/>
  <c r="I833" i="15" a="1"/>
  <c r="I833" i="15" s="1"/>
  <c r="K833" i="15" a="1"/>
  <c r="K833" i="15" s="1"/>
  <c r="L833" i="15" a="1"/>
  <c r="L833" i="15" s="1"/>
  <c r="M833" i="15" a="1"/>
  <c r="M833" i="15" s="1"/>
  <c r="N833" i="15" a="1"/>
  <c r="N833" i="15" s="1"/>
  <c r="F834" i="15" a="1"/>
  <c r="F834" i="15" s="1"/>
  <c r="G834" i="15" s="1"/>
  <c r="H834" i="15" a="1"/>
  <c r="H834" i="15" s="1"/>
  <c r="I834" i="15" a="1"/>
  <c r="I834" i="15" s="1"/>
  <c r="K834" i="15" a="1"/>
  <c r="K834" i="15" s="1"/>
  <c r="L834" i="15" a="1"/>
  <c r="L834" i="15" s="1"/>
  <c r="M834" i="15" a="1"/>
  <c r="M834" i="15" s="1"/>
  <c r="N834" i="15" a="1"/>
  <c r="N834" i="15" s="1"/>
  <c r="F835" i="15" a="1"/>
  <c r="F835" i="15" s="1"/>
  <c r="G835" i="15" s="1"/>
  <c r="H835" i="15" a="1"/>
  <c r="H835" i="15" s="1"/>
  <c r="I835" i="15" a="1"/>
  <c r="I835" i="15" s="1"/>
  <c r="K835" i="15" a="1"/>
  <c r="K835" i="15" s="1"/>
  <c r="L835" i="15" a="1"/>
  <c r="L835" i="15" s="1"/>
  <c r="M835" i="15" a="1"/>
  <c r="M835" i="15" s="1"/>
  <c r="N835" i="15" a="1"/>
  <c r="N835" i="15" s="1"/>
  <c r="F836" i="15" a="1"/>
  <c r="F836" i="15" s="1"/>
  <c r="G836" i="15" s="1"/>
  <c r="H836" i="15" a="1"/>
  <c r="H836" i="15" s="1"/>
  <c r="I836" i="15" a="1"/>
  <c r="I836" i="15" s="1"/>
  <c r="K836" i="15" a="1"/>
  <c r="K836" i="15" s="1"/>
  <c r="L836" i="15" a="1"/>
  <c r="L836" i="15" s="1"/>
  <c r="M836" i="15" a="1"/>
  <c r="M836" i="15" s="1"/>
  <c r="N836" i="15" a="1"/>
  <c r="N836" i="15" s="1"/>
  <c r="F837" i="15" a="1"/>
  <c r="F837" i="15" s="1"/>
  <c r="G837" i="15" s="1"/>
  <c r="H837" i="15" a="1"/>
  <c r="H837" i="15" s="1"/>
  <c r="I837" i="15" a="1"/>
  <c r="I837" i="15" s="1"/>
  <c r="K837" i="15" a="1"/>
  <c r="K837" i="15" s="1"/>
  <c r="L837" i="15" a="1"/>
  <c r="L837" i="15" s="1"/>
  <c r="M837" i="15" a="1"/>
  <c r="M837" i="15" s="1"/>
  <c r="N837" i="15" a="1"/>
  <c r="N837" i="15" s="1"/>
  <c r="F838" i="15" a="1"/>
  <c r="F838" i="15" s="1"/>
  <c r="G838" i="15" s="1"/>
  <c r="H838" i="15" a="1"/>
  <c r="H838" i="15" s="1"/>
  <c r="I838" i="15" a="1"/>
  <c r="I838" i="15" s="1"/>
  <c r="K838" i="15" a="1"/>
  <c r="K838" i="15" s="1"/>
  <c r="L838" i="15" a="1"/>
  <c r="L838" i="15" s="1"/>
  <c r="M838" i="15" a="1"/>
  <c r="M838" i="15" s="1"/>
  <c r="N838" i="15" a="1"/>
  <c r="N838" i="15" s="1"/>
  <c r="F839" i="15" a="1"/>
  <c r="F839" i="15" s="1"/>
  <c r="G839" i="15" s="1"/>
  <c r="H839" i="15" a="1"/>
  <c r="H839" i="15" s="1"/>
  <c r="I839" i="15" a="1"/>
  <c r="I839" i="15" s="1"/>
  <c r="K839" i="15" a="1"/>
  <c r="K839" i="15" s="1"/>
  <c r="L839" i="15" a="1"/>
  <c r="L839" i="15" s="1"/>
  <c r="M839" i="15" a="1"/>
  <c r="M839" i="15" s="1"/>
  <c r="N839" i="15" a="1"/>
  <c r="N839" i="15" s="1"/>
  <c r="F840" i="15" a="1"/>
  <c r="F840" i="15" s="1"/>
  <c r="G840" i="15" s="1"/>
  <c r="H840" i="15" a="1"/>
  <c r="H840" i="15" s="1"/>
  <c r="I840" i="15" a="1"/>
  <c r="I840" i="15" s="1"/>
  <c r="K840" i="15" a="1"/>
  <c r="K840" i="15" s="1"/>
  <c r="L840" i="15" a="1"/>
  <c r="L840" i="15" s="1"/>
  <c r="M840" i="15" a="1"/>
  <c r="M840" i="15" s="1"/>
  <c r="N840" i="15" a="1"/>
  <c r="N840" i="15" s="1"/>
  <c r="F841" i="15" a="1"/>
  <c r="F841" i="15" s="1"/>
  <c r="G841" i="15" s="1"/>
  <c r="H841" i="15" a="1"/>
  <c r="H841" i="15" s="1"/>
  <c r="I841" i="15" a="1"/>
  <c r="I841" i="15" s="1"/>
  <c r="K841" i="15" a="1"/>
  <c r="K841" i="15" s="1"/>
  <c r="L841" i="15" a="1"/>
  <c r="L841" i="15" s="1"/>
  <c r="M841" i="15" a="1"/>
  <c r="M841" i="15" s="1"/>
  <c r="N841" i="15" a="1"/>
  <c r="N841" i="15" s="1"/>
  <c r="F842" i="15" a="1"/>
  <c r="F842" i="15" s="1"/>
  <c r="G842" i="15" s="1"/>
  <c r="H842" i="15" a="1"/>
  <c r="H842" i="15" s="1"/>
  <c r="I842" i="15" a="1"/>
  <c r="I842" i="15" s="1"/>
  <c r="K842" i="15" a="1"/>
  <c r="K842" i="15" s="1"/>
  <c r="L842" i="15" a="1"/>
  <c r="L842" i="15" s="1"/>
  <c r="M842" i="15" a="1"/>
  <c r="M842" i="15" s="1"/>
  <c r="N842" i="15" a="1"/>
  <c r="N842" i="15" s="1"/>
  <c r="F843" i="15" a="1"/>
  <c r="F843" i="15" s="1"/>
  <c r="G843" i="15" s="1"/>
  <c r="H843" i="15" a="1"/>
  <c r="H843" i="15" s="1"/>
  <c r="I843" i="15" a="1"/>
  <c r="I843" i="15" s="1"/>
  <c r="K843" i="15" a="1"/>
  <c r="K843" i="15" s="1"/>
  <c r="L843" i="15" a="1"/>
  <c r="L843" i="15" s="1"/>
  <c r="M843" i="15" a="1"/>
  <c r="M843" i="15" s="1"/>
  <c r="N843" i="15" a="1"/>
  <c r="N843" i="15" s="1"/>
  <c r="F844" i="15" a="1"/>
  <c r="F844" i="15" s="1"/>
  <c r="G844" i="15" s="1"/>
  <c r="H844" i="15" a="1"/>
  <c r="H844" i="15" s="1"/>
  <c r="I844" i="15" a="1"/>
  <c r="I844" i="15" s="1"/>
  <c r="K844" i="15" a="1"/>
  <c r="K844" i="15" s="1"/>
  <c r="L844" i="15" a="1"/>
  <c r="L844" i="15" s="1"/>
  <c r="M844" i="15" a="1"/>
  <c r="M844" i="15" s="1"/>
  <c r="N844" i="15" a="1"/>
  <c r="N844" i="15" s="1"/>
  <c r="F845" i="15" a="1"/>
  <c r="F845" i="15" s="1"/>
  <c r="G845" i="15" s="1"/>
  <c r="H845" i="15" a="1"/>
  <c r="H845" i="15" s="1"/>
  <c r="I845" i="15" a="1"/>
  <c r="I845" i="15" s="1"/>
  <c r="K845" i="15" a="1"/>
  <c r="K845" i="15" s="1"/>
  <c r="L845" i="15" a="1"/>
  <c r="L845" i="15" s="1"/>
  <c r="M845" i="15" a="1"/>
  <c r="M845" i="15" s="1"/>
  <c r="N845" i="15" a="1"/>
  <c r="N845" i="15" s="1"/>
  <c r="F846" i="15" a="1"/>
  <c r="F846" i="15" s="1"/>
  <c r="G846" i="15" s="1"/>
  <c r="H846" i="15" a="1"/>
  <c r="H846" i="15" s="1"/>
  <c r="I846" i="15" a="1"/>
  <c r="I846" i="15" s="1"/>
  <c r="K846" i="15" a="1"/>
  <c r="K846" i="15" s="1"/>
  <c r="L846" i="15" a="1"/>
  <c r="L846" i="15" s="1"/>
  <c r="M846" i="15" a="1"/>
  <c r="M846" i="15" s="1"/>
  <c r="N846" i="15" a="1"/>
  <c r="N846" i="15" s="1"/>
  <c r="F847" i="15" a="1"/>
  <c r="F847" i="15" s="1"/>
  <c r="G847" i="15" s="1"/>
  <c r="H847" i="15" a="1"/>
  <c r="H847" i="15" s="1"/>
  <c r="I847" i="15" a="1"/>
  <c r="I847" i="15" s="1"/>
  <c r="K847" i="15" a="1"/>
  <c r="K847" i="15" s="1"/>
  <c r="L847" i="15" a="1"/>
  <c r="L847" i="15" s="1"/>
  <c r="M847" i="15" a="1"/>
  <c r="M847" i="15" s="1"/>
  <c r="N847" i="15" a="1"/>
  <c r="N847" i="15" s="1"/>
  <c r="F848" i="15" a="1"/>
  <c r="F848" i="15" s="1"/>
  <c r="G848" i="15" s="1"/>
  <c r="H848" i="15" a="1"/>
  <c r="H848" i="15" s="1"/>
  <c r="I848" i="15" a="1"/>
  <c r="I848" i="15" s="1"/>
  <c r="K848" i="15" a="1"/>
  <c r="K848" i="15" s="1"/>
  <c r="L848" i="15" a="1"/>
  <c r="L848" i="15" s="1"/>
  <c r="M848" i="15" a="1"/>
  <c r="M848" i="15" s="1"/>
  <c r="N848" i="15" a="1"/>
  <c r="N848" i="15" s="1"/>
  <c r="F849" i="15" a="1"/>
  <c r="F849" i="15" s="1"/>
  <c r="G849" i="15" s="1"/>
  <c r="H849" i="15" a="1"/>
  <c r="H849" i="15" s="1"/>
  <c r="I849" i="15" a="1"/>
  <c r="I849" i="15" s="1"/>
  <c r="K849" i="15" a="1"/>
  <c r="K849" i="15" s="1"/>
  <c r="L849" i="15" a="1"/>
  <c r="L849" i="15" s="1"/>
  <c r="M849" i="15" a="1"/>
  <c r="M849" i="15" s="1"/>
  <c r="N849" i="15" a="1"/>
  <c r="N849" i="15" s="1"/>
  <c r="F850" i="15" a="1"/>
  <c r="F850" i="15" s="1"/>
  <c r="G850" i="15" s="1"/>
  <c r="H850" i="15" a="1"/>
  <c r="H850" i="15" s="1"/>
  <c r="I850" i="15" a="1"/>
  <c r="I850" i="15" s="1"/>
  <c r="K850" i="15" a="1"/>
  <c r="K850" i="15" s="1"/>
  <c r="L850" i="15" a="1"/>
  <c r="L850" i="15" s="1"/>
  <c r="M850" i="15" a="1"/>
  <c r="M850" i="15" s="1"/>
  <c r="N850" i="15" a="1"/>
  <c r="N850" i="15" s="1"/>
  <c r="F851" i="15" a="1"/>
  <c r="F851" i="15" s="1"/>
  <c r="G851" i="15" s="1"/>
  <c r="H851" i="15" a="1"/>
  <c r="H851" i="15" s="1"/>
  <c r="I851" i="15" a="1"/>
  <c r="I851" i="15" s="1"/>
  <c r="K851" i="15" a="1"/>
  <c r="K851" i="15" s="1"/>
  <c r="L851" i="15" a="1"/>
  <c r="L851" i="15" s="1"/>
  <c r="M851" i="15" a="1"/>
  <c r="M851" i="15" s="1"/>
  <c r="N851" i="15" a="1"/>
  <c r="N851" i="15" s="1"/>
  <c r="F852" i="15" a="1"/>
  <c r="F852" i="15" s="1"/>
  <c r="G852" i="15" s="1"/>
  <c r="H852" i="15" a="1"/>
  <c r="H852" i="15" s="1"/>
  <c r="I852" i="15" a="1"/>
  <c r="I852" i="15" s="1"/>
  <c r="K852" i="15" a="1"/>
  <c r="K852" i="15" s="1"/>
  <c r="L852" i="15" a="1"/>
  <c r="L852" i="15" s="1"/>
  <c r="M852" i="15" a="1"/>
  <c r="M852" i="15" s="1"/>
  <c r="N852" i="15" a="1"/>
  <c r="N852" i="15" s="1"/>
  <c r="F853" i="15" a="1"/>
  <c r="F853" i="15" s="1"/>
  <c r="G853" i="15" s="1"/>
  <c r="H853" i="15" a="1"/>
  <c r="H853" i="15" s="1"/>
  <c r="I853" i="15" a="1"/>
  <c r="I853" i="15" s="1"/>
  <c r="K853" i="15" a="1"/>
  <c r="K853" i="15" s="1"/>
  <c r="L853" i="15" a="1"/>
  <c r="L853" i="15" s="1"/>
  <c r="M853" i="15" a="1"/>
  <c r="M853" i="15" s="1"/>
  <c r="N853" i="15" a="1"/>
  <c r="N853" i="15" s="1"/>
  <c r="F854" i="15" a="1"/>
  <c r="F854" i="15" s="1"/>
  <c r="G854" i="15" s="1"/>
  <c r="H854" i="15" a="1"/>
  <c r="H854" i="15" s="1"/>
  <c r="I854" i="15" a="1"/>
  <c r="I854" i="15" s="1"/>
  <c r="K854" i="15" a="1"/>
  <c r="K854" i="15" s="1"/>
  <c r="L854" i="15" a="1"/>
  <c r="L854" i="15" s="1"/>
  <c r="M854" i="15" a="1"/>
  <c r="M854" i="15" s="1"/>
  <c r="N854" i="15" a="1"/>
  <c r="N854" i="15" s="1"/>
  <c r="F855" i="15" a="1"/>
  <c r="F855" i="15" s="1"/>
  <c r="G855" i="15" s="1"/>
  <c r="H855" i="15" a="1"/>
  <c r="H855" i="15" s="1"/>
  <c r="I855" i="15" a="1"/>
  <c r="I855" i="15" s="1"/>
  <c r="K855" i="15" a="1"/>
  <c r="K855" i="15" s="1"/>
  <c r="L855" i="15" a="1"/>
  <c r="L855" i="15" s="1"/>
  <c r="M855" i="15" a="1"/>
  <c r="M855" i="15" s="1"/>
  <c r="N855" i="15" a="1"/>
  <c r="N855" i="15" s="1"/>
  <c r="F856" i="15" a="1"/>
  <c r="F856" i="15" s="1"/>
  <c r="G856" i="15" s="1"/>
  <c r="H856" i="15" a="1"/>
  <c r="H856" i="15" s="1"/>
  <c r="I856" i="15" a="1"/>
  <c r="I856" i="15" s="1"/>
  <c r="K856" i="15" a="1"/>
  <c r="K856" i="15" s="1"/>
  <c r="L856" i="15" a="1"/>
  <c r="L856" i="15" s="1"/>
  <c r="M856" i="15" a="1"/>
  <c r="M856" i="15" s="1"/>
  <c r="N856" i="15" a="1"/>
  <c r="N856" i="15" s="1"/>
  <c r="F857" i="15" a="1"/>
  <c r="F857" i="15" s="1"/>
  <c r="G857" i="15" s="1"/>
  <c r="H857" i="15" a="1"/>
  <c r="H857" i="15" s="1"/>
  <c r="I857" i="15" a="1"/>
  <c r="I857" i="15" s="1"/>
  <c r="K857" i="15" a="1"/>
  <c r="K857" i="15" s="1"/>
  <c r="L857" i="15" a="1"/>
  <c r="L857" i="15" s="1"/>
  <c r="M857" i="15" a="1"/>
  <c r="M857" i="15" s="1"/>
  <c r="N857" i="15" a="1"/>
  <c r="N857" i="15" s="1"/>
  <c r="F858" i="15" a="1"/>
  <c r="F858" i="15" s="1"/>
  <c r="G858" i="15" s="1"/>
  <c r="H858" i="15" a="1"/>
  <c r="H858" i="15" s="1"/>
  <c r="I858" i="15" a="1"/>
  <c r="I858" i="15" s="1"/>
  <c r="K858" i="15" a="1"/>
  <c r="K858" i="15" s="1"/>
  <c r="L858" i="15" a="1"/>
  <c r="L858" i="15" s="1"/>
  <c r="M858" i="15" a="1"/>
  <c r="M858" i="15" s="1"/>
  <c r="N858" i="15" a="1"/>
  <c r="N858" i="15" s="1"/>
  <c r="F859" i="15" a="1"/>
  <c r="F859" i="15" s="1"/>
  <c r="G859" i="15" s="1"/>
  <c r="H859" i="15" a="1"/>
  <c r="H859" i="15" s="1"/>
  <c r="I859" i="15" a="1"/>
  <c r="I859" i="15" s="1"/>
  <c r="K859" i="15" a="1"/>
  <c r="K859" i="15" s="1"/>
  <c r="L859" i="15" a="1"/>
  <c r="L859" i="15" s="1"/>
  <c r="M859" i="15" a="1"/>
  <c r="M859" i="15" s="1"/>
  <c r="N859" i="15" a="1"/>
  <c r="N859" i="15" s="1"/>
  <c r="F860" i="15" a="1"/>
  <c r="F860" i="15" s="1"/>
  <c r="G860" i="15" s="1"/>
  <c r="H860" i="15" a="1"/>
  <c r="H860" i="15" s="1"/>
  <c r="I860" i="15" a="1"/>
  <c r="I860" i="15" s="1"/>
  <c r="K860" i="15" a="1"/>
  <c r="K860" i="15" s="1"/>
  <c r="L860" i="15" a="1"/>
  <c r="L860" i="15" s="1"/>
  <c r="M860" i="15" a="1"/>
  <c r="M860" i="15" s="1"/>
  <c r="N860" i="15" a="1"/>
  <c r="N860" i="15" s="1"/>
  <c r="F861" i="15" a="1"/>
  <c r="F861" i="15" s="1"/>
  <c r="G861" i="15" s="1"/>
  <c r="H861" i="15" a="1"/>
  <c r="H861" i="15" s="1"/>
  <c r="I861" i="15" a="1"/>
  <c r="I861" i="15" s="1"/>
  <c r="K861" i="15" a="1"/>
  <c r="K861" i="15" s="1"/>
  <c r="L861" i="15" a="1"/>
  <c r="L861" i="15" s="1"/>
  <c r="M861" i="15" a="1"/>
  <c r="M861" i="15" s="1"/>
  <c r="N861" i="15" a="1"/>
  <c r="N861" i="15" s="1"/>
  <c r="F862" i="15" a="1"/>
  <c r="F862" i="15" s="1"/>
  <c r="G862" i="15" s="1"/>
  <c r="H862" i="15" a="1"/>
  <c r="H862" i="15" s="1"/>
  <c r="I862" i="15" a="1"/>
  <c r="I862" i="15" s="1"/>
  <c r="K862" i="15" a="1"/>
  <c r="K862" i="15" s="1"/>
  <c r="L862" i="15" a="1"/>
  <c r="L862" i="15" s="1"/>
  <c r="M862" i="15" a="1"/>
  <c r="M862" i="15" s="1"/>
  <c r="N862" i="15" a="1"/>
  <c r="N862" i="15" s="1"/>
  <c r="F863" i="15" a="1"/>
  <c r="F863" i="15" s="1"/>
  <c r="G863" i="15" s="1"/>
  <c r="H863" i="15" a="1"/>
  <c r="H863" i="15" s="1"/>
  <c r="I863" i="15" a="1"/>
  <c r="I863" i="15" s="1"/>
  <c r="K863" i="15" a="1"/>
  <c r="K863" i="15" s="1"/>
  <c r="L863" i="15" a="1"/>
  <c r="L863" i="15" s="1"/>
  <c r="M863" i="15" a="1"/>
  <c r="M863" i="15" s="1"/>
  <c r="N863" i="15" a="1"/>
  <c r="N863" i="15" s="1"/>
  <c r="F864" i="15" a="1"/>
  <c r="F864" i="15" s="1"/>
  <c r="G864" i="15" s="1"/>
  <c r="H864" i="15" a="1"/>
  <c r="H864" i="15" s="1"/>
  <c r="I864" i="15" a="1"/>
  <c r="I864" i="15" s="1"/>
  <c r="K864" i="15" a="1"/>
  <c r="K864" i="15" s="1"/>
  <c r="L864" i="15" a="1"/>
  <c r="L864" i="15" s="1"/>
  <c r="M864" i="15" a="1"/>
  <c r="M864" i="15" s="1"/>
  <c r="N864" i="15" a="1"/>
  <c r="N864" i="15" s="1"/>
  <c r="F865" i="15" a="1"/>
  <c r="F865" i="15" s="1"/>
  <c r="G865" i="15" s="1"/>
  <c r="H865" i="15" a="1"/>
  <c r="H865" i="15" s="1"/>
  <c r="I865" i="15" a="1"/>
  <c r="I865" i="15" s="1"/>
  <c r="K865" i="15" a="1"/>
  <c r="K865" i="15" s="1"/>
  <c r="L865" i="15" a="1"/>
  <c r="L865" i="15" s="1"/>
  <c r="M865" i="15" a="1"/>
  <c r="M865" i="15" s="1"/>
  <c r="N865" i="15" a="1"/>
  <c r="N865" i="15" s="1"/>
  <c r="F866" i="15" a="1"/>
  <c r="F866" i="15" s="1"/>
  <c r="G866" i="15" s="1"/>
  <c r="H866" i="15" a="1"/>
  <c r="H866" i="15" s="1"/>
  <c r="I866" i="15" a="1"/>
  <c r="I866" i="15" s="1"/>
  <c r="K866" i="15" a="1"/>
  <c r="K866" i="15" s="1"/>
  <c r="L866" i="15" a="1"/>
  <c r="L866" i="15" s="1"/>
  <c r="M866" i="15" a="1"/>
  <c r="M866" i="15" s="1"/>
  <c r="N866" i="15" a="1"/>
  <c r="N866" i="15" s="1"/>
  <c r="F867" i="15" a="1"/>
  <c r="F867" i="15" s="1"/>
  <c r="G867" i="15" s="1"/>
  <c r="H867" i="15" a="1"/>
  <c r="H867" i="15" s="1"/>
  <c r="I867" i="15" a="1"/>
  <c r="I867" i="15" s="1"/>
  <c r="K867" i="15" a="1"/>
  <c r="K867" i="15" s="1"/>
  <c r="L867" i="15" a="1"/>
  <c r="L867" i="15" s="1"/>
  <c r="M867" i="15" a="1"/>
  <c r="M867" i="15" s="1"/>
  <c r="N867" i="15" a="1"/>
  <c r="N867" i="15" s="1"/>
  <c r="F868" i="15" a="1"/>
  <c r="F868" i="15" s="1"/>
  <c r="G868" i="15" s="1"/>
  <c r="H868" i="15" a="1"/>
  <c r="H868" i="15" s="1"/>
  <c r="I868" i="15" a="1"/>
  <c r="I868" i="15" s="1"/>
  <c r="K868" i="15" a="1"/>
  <c r="K868" i="15" s="1"/>
  <c r="L868" i="15" a="1"/>
  <c r="L868" i="15" s="1"/>
  <c r="M868" i="15" a="1"/>
  <c r="M868" i="15" s="1"/>
  <c r="N868" i="15" a="1"/>
  <c r="N868" i="15" s="1"/>
  <c r="F869" i="15" a="1"/>
  <c r="F869" i="15" s="1"/>
  <c r="G869" i="15" s="1"/>
  <c r="H869" i="15" a="1"/>
  <c r="H869" i="15" s="1"/>
  <c r="I869" i="15" a="1"/>
  <c r="I869" i="15" s="1"/>
  <c r="K869" i="15" a="1"/>
  <c r="K869" i="15" s="1"/>
  <c r="L869" i="15" a="1"/>
  <c r="L869" i="15" s="1"/>
  <c r="M869" i="15" a="1"/>
  <c r="M869" i="15" s="1"/>
  <c r="N869" i="15" a="1"/>
  <c r="N869" i="15" s="1"/>
  <c r="F870" i="15" a="1"/>
  <c r="F870" i="15" s="1"/>
  <c r="G870" i="15" s="1"/>
  <c r="H870" i="15" a="1"/>
  <c r="H870" i="15" s="1"/>
  <c r="I870" i="15" a="1"/>
  <c r="I870" i="15" s="1"/>
  <c r="K870" i="15" a="1"/>
  <c r="K870" i="15" s="1"/>
  <c r="L870" i="15" a="1"/>
  <c r="L870" i="15" s="1"/>
  <c r="M870" i="15" a="1"/>
  <c r="M870" i="15" s="1"/>
  <c r="N870" i="15" a="1"/>
  <c r="N870" i="15" s="1"/>
  <c r="F871" i="15" a="1"/>
  <c r="F871" i="15" s="1"/>
  <c r="G871" i="15" s="1"/>
  <c r="H871" i="15" a="1"/>
  <c r="H871" i="15" s="1"/>
  <c r="I871" i="15" a="1"/>
  <c r="I871" i="15" s="1"/>
  <c r="K871" i="15" a="1"/>
  <c r="K871" i="15" s="1"/>
  <c r="L871" i="15" a="1"/>
  <c r="L871" i="15" s="1"/>
  <c r="M871" i="15" a="1"/>
  <c r="M871" i="15" s="1"/>
  <c r="N871" i="15" a="1"/>
  <c r="N871" i="15" s="1"/>
  <c r="F872" i="15" a="1"/>
  <c r="F872" i="15" s="1"/>
  <c r="G872" i="15" s="1"/>
  <c r="H872" i="15" a="1"/>
  <c r="H872" i="15" s="1"/>
  <c r="I872" i="15" a="1"/>
  <c r="I872" i="15" s="1"/>
  <c r="K872" i="15" a="1"/>
  <c r="K872" i="15" s="1"/>
  <c r="L872" i="15" a="1"/>
  <c r="L872" i="15" s="1"/>
  <c r="M872" i="15" a="1"/>
  <c r="M872" i="15" s="1"/>
  <c r="N872" i="15" a="1"/>
  <c r="N872" i="15" s="1"/>
  <c r="F873" i="15" a="1"/>
  <c r="F873" i="15" s="1"/>
  <c r="G873" i="15" s="1"/>
  <c r="H873" i="15" a="1"/>
  <c r="H873" i="15" s="1"/>
  <c r="I873" i="15" a="1"/>
  <c r="I873" i="15" s="1"/>
  <c r="K873" i="15" a="1"/>
  <c r="K873" i="15" s="1"/>
  <c r="L873" i="15" a="1"/>
  <c r="L873" i="15" s="1"/>
  <c r="M873" i="15" a="1"/>
  <c r="M873" i="15" s="1"/>
  <c r="N873" i="15" a="1"/>
  <c r="N873" i="15" s="1"/>
  <c r="F874" i="15" a="1"/>
  <c r="F874" i="15" s="1"/>
  <c r="G874" i="15" s="1"/>
  <c r="H874" i="15" a="1"/>
  <c r="H874" i="15" s="1"/>
  <c r="I874" i="15" a="1"/>
  <c r="I874" i="15" s="1"/>
  <c r="K874" i="15" a="1"/>
  <c r="K874" i="15" s="1"/>
  <c r="L874" i="15" a="1"/>
  <c r="L874" i="15" s="1"/>
  <c r="M874" i="15" a="1"/>
  <c r="M874" i="15" s="1"/>
  <c r="N874" i="15" a="1"/>
  <c r="N874" i="15" s="1"/>
  <c r="F875" i="15" a="1"/>
  <c r="F875" i="15" s="1"/>
  <c r="G875" i="15" s="1"/>
  <c r="H875" i="15" a="1"/>
  <c r="H875" i="15" s="1"/>
  <c r="I875" i="15" a="1"/>
  <c r="I875" i="15" s="1"/>
  <c r="K875" i="15" a="1"/>
  <c r="K875" i="15" s="1"/>
  <c r="L875" i="15" a="1"/>
  <c r="L875" i="15" s="1"/>
  <c r="M875" i="15" a="1"/>
  <c r="M875" i="15" s="1"/>
  <c r="N875" i="15" a="1"/>
  <c r="N875" i="15" s="1"/>
  <c r="F876" i="15" a="1"/>
  <c r="F876" i="15" s="1"/>
  <c r="G876" i="15" s="1"/>
  <c r="H876" i="15" a="1"/>
  <c r="H876" i="15" s="1"/>
  <c r="I876" i="15" a="1"/>
  <c r="I876" i="15" s="1"/>
  <c r="K876" i="15" a="1"/>
  <c r="K876" i="15" s="1"/>
  <c r="L876" i="15" a="1"/>
  <c r="L876" i="15" s="1"/>
  <c r="M876" i="15" a="1"/>
  <c r="M876" i="15" s="1"/>
  <c r="N876" i="15" a="1"/>
  <c r="N876" i="15" s="1"/>
  <c r="F877" i="15" a="1"/>
  <c r="F877" i="15" s="1"/>
  <c r="G877" i="15" s="1"/>
  <c r="H877" i="15" a="1"/>
  <c r="H877" i="15" s="1"/>
  <c r="I877" i="15" a="1"/>
  <c r="I877" i="15" s="1"/>
  <c r="K877" i="15" a="1"/>
  <c r="K877" i="15" s="1"/>
  <c r="L877" i="15" a="1"/>
  <c r="L877" i="15" s="1"/>
  <c r="M877" i="15" a="1"/>
  <c r="M877" i="15" s="1"/>
  <c r="N877" i="15" a="1"/>
  <c r="N877" i="15" s="1"/>
  <c r="F878" i="15" a="1"/>
  <c r="F878" i="15" s="1"/>
  <c r="G878" i="15" s="1"/>
  <c r="H878" i="15" a="1"/>
  <c r="H878" i="15" s="1"/>
  <c r="I878" i="15" a="1"/>
  <c r="I878" i="15" s="1"/>
  <c r="K878" i="15" a="1"/>
  <c r="K878" i="15" s="1"/>
  <c r="L878" i="15" a="1"/>
  <c r="L878" i="15" s="1"/>
  <c r="M878" i="15" a="1"/>
  <c r="M878" i="15" s="1"/>
  <c r="N878" i="15" a="1"/>
  <c r="N878" i="15" s="1"/>
  <c r="F879" i="15" a="1"/>
  <c r="F879" i="15" s="1"/>
  <c r="G879" i="15" s="1"/>
  <c r="H879" i="15" a="1"/>
  <c r="H879" i="15" s="1"/>
  <c r="I879" i="15" a="1"/>
  <c r="I879" i="15" s="1"/>
  <c r="K879" i="15" a="1"/>
  <c r="K879" i="15" s="1"/>
  <c r="L879" i="15" a="1"/>
  <c r="L879" i="15" s="1"/>
  <c r="M879" i="15" a="1"/>
  <c r="M879" i="15" s="1"/>
  <c r="N879" i="15" a="1"/>
  <c r="N879" i="15" s="1"/>
  <c r="F880" i="15" a="1"/>
  <c r="F880" i="15" s="1"/>
  <c r="G880" i="15" s="1"/>
  <c r="H880" i="15" a="1"/>
  <c r="H880" i="15" s="1"/>
  <c r="I880" i="15" a="1"/>
  <c r="I880" i="15" s="1"/>
  <c r="K880" i="15" a="1"/>
  <c r="K880" i="15" s="1"/>
  <c r="L880" i="15" a="1"/>
  <c r="L880" i="15" s="1"/>
  <c r="M880" i="15" a="1"/>
  <c r="M880" i="15" s="1"/>
  <c r="N880" i="15" a="1"/>
  <c r="N880" i="15" s="1"/>
  <c r="F881" i="15" a="1"/>
  <c r="F881" i="15" s="1"/>
  <c r="G881" i="15" s="1"/>
  <c r="H881" i="15" a="1"/>
  <c r="H881" i="15" s="1"/>
  <c r="I881" i="15" a="1"/>
  <c r="I881" i="15" s="1"/>
  <c r="K881" i="15" a="1"/>
  <c r="K881" i="15" s="1"/>
  <c r="L881" i="15" a="1"/>
  <c r="L881" i="15" s="1"/>
  <c r="M881" i="15" a="1"/>
  <c r="M881" i="15" s="1"/>
  <c r="N881" i="15" a="1"/>
  <c r="N881" i="15" s="1"/>
  <c r="F882" i="15" a="1"/>
  <c r="F882" i="15" s="1"/>
  <c r="G882" i="15" s="1"/>
  <c r="H882" i="15" a="1"/>
  <c r="H882" i="15" s="1"/>
  <c r="I882" i="15" a="1"/>
  <c r="I882" i="15" s="1"/>
  <c r="K882" i="15" a="1"/>
  <c r="K882" i="15" s="1"/>
  <c r="L882" i="15" a="1"/>
  <c r="L882" i="15" s="1"/>
  <c r="M882" i="15" a="1"/>
  <c r="M882" i="15" s="1"/>
  <c r="N882" i="15" a="1"/>
  <c r="N882" i="15" s="1"/>
  <c r="F883" i="15" a="1"/>
  <c r="F883" i="15" s="1"/>
  <c r="G883" i="15" s="1"/>
  <c r="H883" i="15" a="1"/>
  <c r="H883" i="15" s="1"/>
  <c r="I883" i="15" a="1"/>
  <c r="I883" i="15" s="1"/>
  <c r="K883" i="15" a="1"/>
  <c r="K883" i="15" s="1"/>
  <c r="L883" i="15" a="1"/>
  <c r="L883" i="15" s="1"/>
  <c r="M883" i="15" a="1"/>
  <c r="M883" i="15" s="1"/>
  <c r="N883" i="15" a="1"/>
  <c r="N883" i="15" s="1"/>
  <c r="F884" i="15" a="1"/>
  <c r="F884" i="15" s="1"/>
  <c r="G884" i="15" s="1"/>
  <c r="H884" i="15" a="1"/>
  <c r="H884" i="15" s="1"/>
  <c r="I884" i="15" a="1"/>
  <c r="I884" i="15" s="1"/>
  <c r="K884" i="15" a="1"/>
  <c r="K884" i="15" s="1"/>
  <c r="L884" i="15" a="1"/>
  <c r="L884" i="15" s="1"/>
  <c r="M884" i="15" a="1"/>
  <c r="M884" i="15" s="1"/>
  <c r="N884" i="15" a="1"/>
  <c r="N884" i="15" s="1"/>
  <c r="F885" i="15" a="1"/>
  <c r="F885" i="15" s="1"/>
  <c r="G885" i="15" s="1"/>
  <c r="H885" i="15" a="1"/>
  <c r="H885" i="15" s="1"/>
  <c r="I885" i="15" a="1"/>
  <c r="I885" i="15" s="1"/>
  <c r="K885" i="15" a="1"/>
  <c r="K885" i="15" s="1"/>
  <c r="L885" i="15" a="1"/>
  <c r="L885" i="15" s="1"/>
  <c r="M885" i="15" a="1"/>
  <c r="M885" i="15" s="1"/>
  <c r="N885" i="15" a="1"/>
  <c r="N885" i="15" s="1"/>
  <c r="F886" i="15" a="1"/>
  <c r="F886" i="15" s="1"/>
  <c r="G886" i="15" s="1"/>
  <c r="H886" i="15" a="1"/>
  <c r="H886" i="15" s="1"/>
  <c r="I886" i="15" a="1"/>
  <c r="I886" i="15" s="1"/>
  <c r="K886" i="15" a="1"/>
  <c r="K886" i="15" s="1"/>
  <c r="L886" i="15" a="1"/>
  <c r="L886" i="15" s="1"/>
  <c r="M886" i="15" a="1"/>
  <c r="M886" i="15" s="1"/>
  <c r="N886" i="15" a="1"/>
  <c r="N886" i="15" s="1"/>
  <c r="F887" i="15" a="1"/>
  <c r="F887" i="15" s="1"/>
  <c r="G887" i="15" s="1"/>
  <c r="H887" i="15" a="1"/>
  <c r="H887" i="15" s="1"/>
  <c r="I887" i="15" a="1"/>
  <c r="I887" i="15" s="1"/>
  <c r="K887" i="15" a="1"/>
  <c r="K887" i="15" s="1"/>
  <c r="L887" i="15" a="1"/>
  <c r="L887" i="15" s="1"/>
  <c r="M887" i="15" a="1"/>
  <c r="M887" i="15" s="1"/>
  <c r="N887" i="15" a="1"/>
  <c r="N887" i="15" s="1"/>
  <c r="F888" i="15" a="1"/>
  <c r="F888" i="15" s="1"/>
  <c r="G888" i="15" s="1"/>
  <c r="H888" i="15" a="1"/>
  <c r="H888" i="15" s="1"/>
  <c r="I888" i="15" a="1"/>
  <c r="I888" i="15" s="1"/>
  <c r="K888" i="15" a="1"/>
  <c r="K888" i="15" s="1"/>
  <c r="L888" i="15" a="1"/>
  <c r="L888" i="15" s="1"/>
  <c r="M888" i="15" a="1"/>
  <c r="M888" i="15" s="1"/>
  <c r="N888" i="15" a="1"/>
  <c r="N888" i="15" s="1"/>
  <c r="F889" i="15" a="1"/>
  <c r="F889" i="15" s="1"/>
  <c r="G889" i="15" s="1"/>
  <c r="H889" i="15" a="1"/>
  <c r="H889" i="15" s="1"/>
  <c r="I889" i="15" a="1"/>
  <c r="I889" i="15" s="1"/>
  <c r="K889" i="15" a="1"/>
  <c r="K889" i="15" s="1"/>
  <c r="L889" i="15" a="1"/>
  <c r="L889" i="15" s="1"/>
  <c r="M889" i="15" a="1"/>
  <c r="M889" i="15" s="1"/>
  <c r="N889" i="15" a="1"/>
  <c r="N889" i="15" s="1"/>
  <c r="F890" i="15" a="1"/>
  <c r="F890" i="15" s="1"/>
  <c r="G890" i="15" s="1"/>
  <c r="H890" i="15" a="1"/>
  <c r="H890" i="15" s="1"/>
  <c r="I890" i="15" a="1"/>
  <c r="I890" i="15" s="1"/>
  <c r="K890" i="15" a="1"/>
  <c r="K890" i="15" s="1"/>
  <c r="L890" i="15" a="1"/>
  <c r="L890" i="15" s="1"/>
  <c r="M890" i="15" a="1"/>
  <c r="M890" i="15" s="1"/>
  <c r="N890" i="15" a="1"/>
  <c r="N890" i="15" s="1"/>
  <c r="F891" i="15" a="1"/>
  <c r="F891" i="15" s="1"/>
  <c r="G891" i="15" s="1"/>
  <c r="H891" i="15" a="1"/>
  <c r="H891" i="15" s="1"/>
  <c r="I891" i="15" a="1"/>
  <c r="I891" i="15" s="1"/>
  <c r="K891" i="15" a="1"/>
  <c r="K891" i="15" s="1"/>
  <c r="L891" i="15" a="1"/>
  <c r="L891" i="15" s="1"/>
  <c r="M891" i="15" a="1"/>
  <c r="M891" i="15" s="1"/>
  <c r="N891" i="15" a="1"/>
  <c r="N891" i="15" s="1"/>
  <c r="F892" i="15" a="1"/>
  <c r="F892" i="15" s="1"/>
  <c r="G892" i="15" s="1"/>
  <c r="H892" i="15" a="1"/>
  <c r="H892" i="15" s="1"/>
  <c r="I892" i="15" a="1"/>
  <c r="I892" i="15" s="1"/>
  <c r="K892" i="15" a="1"/>
  <c r="K892" i="15" s="1"/>
  <c r="L892" i="15" a="1"/>
  <c r="L892" i="15" s="1"/>
  <c r="M892" i="15" a="1"/>
  <c r="M892" i="15" s="1"/>
  <c r="N892" i="15" a="1"/>
  <c r="N892" i="15" s="1"/>
  <c r="F893" i="15" a="1"/>
  <c r="F893" i="15" s="1"/>
  <c r="G893" i="15" s="1"/>
  <c r="H893" i="15" a="1"/>
  <c r="H893" i="15" s="1"/>
  <c r="I893" i="15" a="1"/>
  <c r="I893" i="15" s="1"/>
  <c r="K893" i="15" a="1"/>
  <c r="K893" i="15" s="1"/>
  <c r="L893" i="15" a="1"/>
  <c r="L893" i="15" s="1"/>
  <c r="M893" i="15" a="1"/>
  <c r="M893" i="15" s="1"/>
  <c r="N893" i="15" a="1"/>
  <c r="N893" i="15" s="1"/>
  <c r="F894" i="15" a="1"/>
  <c r="F894" i="15" s="1"/>
  <c r="G894" i="15" s="1"/>
  <c r="H894" i="15" a="1"/>
  <c r="H894" i="15" s="1"/>
  <c r="I894" i="15" a="1"/>
  <c r="I894" i="15" s="1"/>
  <c r="K894" i="15" a="1"/>
  <c r="K894" i="15" s="1"/>
  <c r="L894" i="15" a="1"/>
  <c r="L894" i="15" s="1"/>
  <c r="M894" i="15" a="1"/>
  <c r="M894" i="15" s="1"/>
  <c r="N894" i="15" a="1"/>
  <c r="N894" i="15" s="1"/>
  <c r="F895" i="15" a="1"/>
  <c r="F895" i="15" s="1"/>
  <c r="G895" i="15" s="1"/>
  <c r="H895" i="15" a="1"/>
  <c r="H895" i="15" s="1"/>
  <c r="I895" i="15" a="1"/>
  <c r="I895" i="15" s="1"/>
  <c r="K895" i="15" a="1"/>
  <c r="K895" i="15" s="1"/>
  <c r="L895" i="15" a="1"/>
  <c r="L895" i="15" s="1"/>
  <c r="M895" i="15" a="1"/>
  <c r="M895" i="15" s="1"/>
  <c r="N895" i="15" a="1"/>
  <c r="N895" i="15" s="1"/>
  <c r="F896" i="15" a="1"/>
  <c r="F896" i="15" s="1"/>
  <c r="G896" i="15" s="1"/>
  <c r="H896" i="15" a="1"/>
  <c r="H896" i="15" s="1"/>
  <c r="I896" i="15" a="1"/>
  <c r="I896" i="15" s="1"/>
  <c r="K896" i="15" a="1"/>
  <c r="K896" i="15" s="1"/>
  <c r="L896" i="15" a="1"/>
  <c r="L896" i="15" s="1"/>
  <c r="M896" i="15" a="1"/>
  <c r="M896" i="15" s="1"/>
  <c r="N896" i="15" a="1"/>
  <c r="N896" i="15" s="1"/>
  <c r="F897" i="15" a="1"/>
  <c r="F897" i="15" s="1"/>
  <c r="G897" i="15" s="1"/>
  <c r="H897" i="15" a="1"/>
  <c r="H897" i="15" s="1"/>
  <c r="I897" i="15" a="1"/>
  <c r="I897" i="15" s="1"/>
  <c r="K897" i="15" a="1"/>
  <c r="K897" i="15" s="1"/>
  <c r="L897" i="15" a="1"/>
  <c r="L897" i="15" s="1"/>
  <c r="M897" i="15" a="1"/>
  <c r="M897" i="15" s="1"/>
  <c r="N897" i="15" a="1"/>
  <c r="N897" i="15" s="1"/>
  <c r="F898" i="15" a="1"/>
  <c r="F898" i="15" s="1"/>
  <c r="G898" i="15" s="1"/>
  <c r="H898" i="15" a="1"/>
  <c r="H898" i="15" s="1"/>
  <c r="I898" i="15" a="1"/>
  <c r="I898" i="15" s="1"/>
  <c r="K898" i="15" a="1"/>
  <c r="K898" i="15" s="1"/>
  <c r="L898" i="15" a="1"/>
  <c r="L898" i="15" s="1"/>
  <c r="M898" i="15" a="1"/>
  <c r="M898" i="15" s="1"/>
  <c r="N898" i="15" a="1"/>
  <c r="N898" i="15" s="1"/>
  <c r="F899" i="15" a="1"/>
  <c r="F899" i="15" s="1"/>
  <c r="G899" i="15" s="1"/>
  <c r="H899" i="15" a="1"/>
  <c r="H899" i="15" s="1"/>
  <c r="I899" i="15" a="1"/>
  <c r="I899" i="15" s="1"/>
  <c r="K899" i="15" a="1"/>
  <c r="K899" i="15" s="1"/>
  <c r="L899" i="15" a="1"/>
  <c r="L899" i="15" s="1"/>
  <c r="M899" i="15" a="1"/>
  <c r="M899" i="15" s="1"/>
  <c r="N899" i="15" a="1"/>
  <c r="N899" i="15" s="1"/>
  <c r="F900" i="15" a="1"/>
  <c r="F900" i="15" s="1"/>
  <c r="G900" i="15" s="1"/>
  <c r="H900" i="15" a="1"/>
  <c r="H900" i="15" s="1"/>
  <c r="I900" i="15" a="1"/>
  <c r="I900" i="15" s="1"/>
  <c r="K900" i="15" a="1"/>
  <c r="K900" i="15" s="1"/>
  <c r="L900" i="15" a="1"/>
  <c r="L900" i="15" s="1"/>
  <c r="M900" i="15" a="1"/>
  <c r="M900" i="15" s="1"/>
  <c r="N900" i="15" a="1"/>
  <c r="N900" i="15" s="1"/>
  <c r="F901" i="15" a="1"/>
  <c r="F901" i="15" s="1"/>
  <c r="G901" i="15" s="1"/>
  <c r="H901" i="15" a="1"/>
  <c r="H901" i="15" s="1"/>
  <c r="I901" i="15" a="1"/>
  <c r="I901" i="15" s="1"/>
  <c r="K901" i="15" a="1"/>
  <c r="K901" i="15" s="1"/>
  <c r="L901" i="15" a="1"/>
  <c r="L901" i="15" s="1"/>
  <c r="M901" i="15" a="1"/>
  <c r="M901" i="15" s="1"/>
  <c r="N901" i="15" a="1"/>
  <c r="N901" i="15" s="1"/>
  <c r="F902" i="15" a="1"/>
  <c r="F902" i="15" s="1"/>
  <c r="G902" i="15" s="1"/>
  <c r="H902" i="15" a="1"/>
  <c r="H902" i="15" s="1"/>
  <c r="I902" i="15" a="1"/>
  <c r="I902" i="15" s="1"/>
  <c r="K902" i="15" a="1"/>
  <c r="K902" i="15" s="1"/>
  <c r="L902" i="15" a="1"/>
  <c r="L902" i="15" s="1"/>
  <c r="M902" i="15" a="1"/>
  <c r="M902" i="15" s="1"/>
  <c r="N902" i="15" a="1"/>
  <c r="N902" i="15" s="1"/>
  <c r="F903" i="15" a="1"/>
  <c r="F903" i="15" s="1"/>
  <c r="G903" i="15" s="1"/>
  <c r="H903" i="15" a="1"/>
  <c r="H903" i="15" s="1"/>
  <c r="I903" i="15" a="1"/>
  <c r="I903" i="15" s="1"/>
  <c r="K903" i="15" a="1"/>
  <c r="K903" i="15" s="1"/>
  <c r="L903" i="15" a="1"/>
  <c r="L903" i="15" s="1"/>
  <c r="M903" i="15" a="1"/>
  <c r="M903" i="15" s="1"/>
  <c r="N903" i="15" a="1"/>
  <c r="N903" i="15" s="1"/>
  <c r="F904" i="15" a="1"/>
  <c r="F904" i="15" s="1"/>
  <c r="G904" i="15" s="1"/>
  <c r="H904" i="15" a="1"/>
  <c r="H904" i="15" s="1"/>
  <c r="I904" i="15" a="1"/>
  <c r="I904" i="15" s="1"/>
  <c r="K904" i="15" a="1"/>
  <c r="K904" i="15" s="1"/>
  <c r="L904" i="15" a="1"/>
  <c r="L904" i="15" s="1"/>
  <c r="M904" i="15" a="1"/>
  <c r="M904" i="15" s="1"/>
  <c r="N904" i="15" a="1"/>
  <c r="N904" i="15" s="1"/>
  <c r="F905" i="15" a="1"/>
  <c r="F905" i="15" s="1"/>
  <c r="G905" i="15" s="1"/>
  <c r="H905" i="15" a="1"/>
  <c r="H905" i="15" s="1"/>
  <c r="I905" i="15" a="1"/>
  <c r="I905" i="15" s="1"/>
  <c r="K905" i="15" a="1"/>
  <c r="K905" i="15" s="1"/>
  <c r="L905" i="15" a="1"/>
  <c r="L905" i="15" s="1"/>
  <c r="M905" i="15" a="1"/>
  <c r="M905" i="15" s="1"/>
  <c r="N905" i="15" a="1"/>
  <c r="N905" i="15" s="1"/>
  <c r="F906" i="15" a="1"/>
  <c r="F906" i="15" s="1"/>
  <c r="G906" i="15" s="1"/>
  <c r="H906" i="15" a="1"/>
  <c r="H906" i="15" s="1"/>
  <c r="I906" i="15" a="1"/>
  <c r="I906" i="15" s="1"/>
  <c r="K906" i="15" a="1"/>
  <c r="K906" i="15" s="1"/>
  <c r="L906" i="15" a="1"/>
  <c r="L906" i="15" s="1"/>
  <c r="M906" i="15" a="1"/>
  <c r="M906" i="15" s="1"/>
  <c r="N906" i="15" a="1"/>
  <c r="N906" i="15" s="1"/>
  <c r="F907" i="15" a="1"/>
  <c r="F907" i="15" s="1"/>
  <c r="G907" i="15" s="1"/>
  <c r="H907" i="15" a="1"/>
  <c r="H907" i="15" s="1"/>
  <c r="I907" i="15" a="1"/>
  <c r="I907" i="15" s="1"/>
  <c r="K907" i="15" a="1"/>
  <c r="K907" i="15" s="1"/>
  <c r="L907" i="15" a="1"/>
  <c r="L907" i="15" s="1"/>
  <c r="M907" i="15" a="1"/>
  <c r="M907" i="15" s="1"/>
  <c r="N907" i="15" a="1"/>
  <c r="N907" i="15" s="1"/>
  <c r="F908" i="15" a="1"/>
  <c r="F908" i="15" s="1"/>
  <c r="G908" i="15" s="1"/>
  <c r="H908" i="15" a="1"/>
  <c r="H908" i="15" s="1"/>
  <c r="I908" i="15" a="1"/>
  <c r="I908" i="15" s="1"/>
  <c r="K908" i="15" a="1"/>
  <c r="K908" i="15" s="1"/>
  <c r="L908" i="15" a="1"/>
  <c r="L908" i="15" s="1"/>
  <c r="M908" i="15" a="1"/>
  <c r="M908" i="15" s="1"/>
  <c r="N908" i="15" a="1"/>
  <c r="N908" i="15" s="1"/>
  <c r="F909" i="15" a="1"/>
  <c r="F909" i="15" s="1"/>
  <c r="G909" i="15" s="1"/>
  <c r="H909" i="15" a="1"/>
  <c r="H909" i="15" s="1"/>
  <c r="I909" i="15" a="1"/>
  <c r="I909" i="15" s="1"/>
  <c r="K909" i="15" a="1"/>
  <c r="K909" i="15" s="1"/>
  <c r="L909" i="15" a="1"/>
  <c r="L909" i="15" s="1"/>
  <c r="M909" i="15" a="1"/>
  <c r="M909" i="15" s="1"/>
  <c r="N909" i="15" a="1"/>
  <c r="N909" i="15" s="1"/>
  <c r="F910" i="15" a="1"/>
  <c r="F910" i="15" s="1"/>
  <c r="G910" i="15" s="1"/>
  <c r="H910" i="15" a="1"/>
  <c r="H910" i="15" s="1"/>
  <c r="I910" i="15" a="1"/>
  <c r="I910" i="15" s="1"/>
  <c r="K910" i="15" a="1"/>
  <c r="K910" i="15" s="1"/>
  <c r="L910" i="15" a="1"/>
  <c r="L910" i="15" s="1"/>
  <c r="M910" i="15" a="1"/>
  <c r="M910" i="15" s="1"/>
  <c r="N910" i="15" a="1"/>
  <c r="N910" i="15" s="1"/>
  <c r="F911" i="15" a="1"/>
  <c r="F911" i="15" s="1"/>
  <c r="G911" i="15" s="1"/>
  <c r="H911" i="15" a="1"/>
  <c r="H911" i="15" s="1"/>
  <c r="I911" i="15" a="1"/>
  <c r="I911" i="15" s="1"/>
  <c r="K911" i="15" a="1"/>
  <c r="K911" i="15" s="1"/>
  <c r="L911" i="15" a="1"/>
  <c r="L911" i="15" s="1"/>
  <c r="M911" i="15" a="1"/>
  <c r="M911" i="15" s="1"/>
  <c r="N911" i="15" a="1"/>
  <c r="N911" i="15" s="1"/>
  <c r="F912" i="15" a="1"/>
  <c r="F912" i="15" s="1"/>
  <c r="G912" i="15" s="1"/>
  <c r="H912" i="15" a="1"/>
  <c r="H912" i="15" s="1"/>
  <c r="I912" i="15" a="1"/>
  <c r="I912" i="15" s="1"/>
  <c r="K912" i="15" a="1"/>
  <c r="K912" i="15" s="1"/>
  <c r="L912" i="15" a="1"/>
  <c r="L912" i="15" s="1"/>
  <c r="M912" i="15" a="1"/>
  <c r="M912" i="15" s="1"/>
  <c r="N912" i="15" a="1"/>
  <c r="N912" i="15" s="1"/>
  <c r="F913" i="15" a="1"/>
  <c r="F913" i="15" s="1"/>
  <c r="G913" i="15" s="1"/>
  <c r="H913" i="15" a="1"/>
  <c r="H913" i="15" s="1"/>
  <c r="I913" i="15" a="1"/>
  <c r="I913" i="15" s="1"/>
  <c r="K913" i="15" a="1"/>
  <c r="K913" i="15" s="1"/>
  <c r="L913" i="15" a="1"/>
  <c r="L913" i="15" s="1"/>
  <c r="M913" i="15" a="1"/>
  <c r="M913" i="15" s="1"/>
  <c r="N913" i="15" a="1"/>
  <c r="N913" i="15" s="1"/>
  <c r="F914" i="15" a="1"/>
  <c r="F914" i="15" s="1"/>
  <c r="G914" i="15" s="1"/>
  <c r="H914" i="15" a="1"/>
  <c r="H914" i="15" s="1"/>
  <c r="I914" i="15" a="1"/>
  <c r="I914" i="15" s="1"/>
  <c r="K914" i="15" a="1"/>
  <c r="K914" i="15" s="1"/>
  <c r="L914" i="15" a="1"/>
  <c r="L914" i="15" s="1"/>
  <c r="M914" i="15" a="1"/>
  <c r="M914" i="15" s="1"/>
  <c r="N914" i="15" a="1"/>
  <c r="N914" i="15" s="1"/>
  <c r="F915" i="15" a="1"/>
  <c r="F915" i="15" s="1"/>
  <c r="G915" i="15" s="1"/>
  <c r="H915" i="15" a="1"/>
  <c r="H915" i="15" s="1"/>
  <c r="I915" i="15" a="1"/>
  <c r="I915" i="15" s="1"/>
  <c r="K915" i="15" a="1"/>
  <c r="K915" i="15" s="1"/>
  <c r="L915" i="15" a="1"/>
  <c r="L915" i="15" s="1"/>
  <c r="M915" i="15" a="1"/>
  <c r="M915" i="15" s="1"/>
  <c r="N915" i="15" a="1"/>
  <c r="N915" i="15" s="1"/>
  <c r="F916" i="15" a="1"/>
  <c r="F916" i="15" s="1"/>
  <c r="G916" i="15" s="1"/>
  <c r="H916" i="15" a="1"/>
  <c r="H916" i="15" s="1"/>
  <c r="I916" i="15" a="1"/>
  <c r="I916" i="15" s="1"/>
  <c r="K916" i="15" a="1"/>
  <c r="K916" i="15" s="1"/>
  <c r="L916" i="15" a="1"/>
  <c r="L916" i="15" s="1"/>
  <c r="M916" i="15" a="1"/>
  <c r="M916" i="15" s="1"/>
  <c r="N916" i="15" a="1"/>
  <c r="N916" i="15" s="1"/>
  <c r="F917" i="15" a="1"/>
  <c r="F917" i="15" s="1"/>
  <c r="G917" i="15" s="1"/>
  <c r="H917" i="15" a="1"/>
  <c r="H917" i="15" s="1"/>
  <c r="I917" i="15" a="1"/>
  <c r="I917" i="15" s="1"/>
  <c r="K917" i="15" a="1"/>
  <c r="K917" i="15" s="1"/>
  <c r="L917" i="15" a="1"/>
  <c r="L917" i="15" s="1"/>
  <c r="M917" i="15" a="1"/>
  <c r="M917" i="15" s="1"/>
  <c r="N917" i="15" a="1"/>
  <c r="N917" i="15" s="1"/>
  <c r="F918" i="15" a="1"/>
  <c r="F918" i="15" s="1"/>
  <c r="G918" i="15" s="1"/>
  <c r="H918" i="15" a="1"/>
  <c r="H918" i="15" s="1"/>
  <c r="I918" i="15" a="1"/>
  <c r="I918" i="15" s="1"/>
  <c r="K918" i="15" a="1"/>
  <c r="K918" i="15" s="1"/>
  <c r="L918" i="15" a="1"/>
  <c r="L918" i="15" s="1"/>
  <c r="M918" i="15" a="1"/>
  <c r="M918" i="15" s="1"/>
  <c r="N918" i="15" a="1"/>
  <c r="N918" i="15" s="1"/>
  <c r="F919" i="15" a="1"/>
  <c r="F919" i="15" s="1"/>
  <c r="G919" i="15" s="1"/>
  <c r="H919" i="15" a="1"/>
  <c r="H919" i="15" s="1"/>
  <c r="I919" i="15" a="1"/>
  <c r="I919" i="15" s="1"/>
  <c r="K919" i="15" a="1"/>
  <c r="K919" i="15" s="1"/>
  <c r="L919" i="15" a="1"/>
  <c r="L919" i="15" s="1"/>
  <c r="M919" i="15" a="1"/>
  <c r="M919" i="15" s="1"/>
  <c r="N919" i="15" a="1"/>
  <c r="N919" i="15" s="1"/>
  <c r="F920" i="15" a="1"/>
  <c r="F920" i="15" s="1"/>
  <c r="G920" i="15" s="1"/>
  <c r="H920" i="15" a="1"/>
  <c r="H920" i="15" s="1"/>
  <c r="I920" i="15" a="1"/>
  <c r="I920" i="15" s="1"/>
  <c r="K920" i="15" a="1"/>
  <c r="K920" i="15" s="1"/>
  <c r="L920" i="15" a="1"/>
  <c r="L920" i="15" s="1"/>
  <c r="M920" i="15" a="1"/>
  <c r="M920" i="15" s="1"/>
  <c r="N920" i="15" a="1"/>
  <c r="N920" i="15" s="1"/>
  <c r="F921" i="15" a="1"/>
  <c r="F921" i="15" s="1"/>
  <c r="G921" i="15" s="1"/>
  <c r="H921" i="15" a="1"/>
  <c r="H921" i="15" s="1"/>
  <c r="I921" i="15" a="1"/>
  <c r="I921" i="15" s="1"/>
  <c r="K921" i="15" a="1"/>
  <c r="K921" i="15" s="1"/>
  <c r="L921" i="15" a="1"/>
  <c r="L921" i="15" s="1"/>
  <c r="M921" i="15" a="1"/>
  <c r="M921" i="15" s="1"/>
  <c r="N921" i="15" a="1"/>
  <c r="N921" i="15" s="1"/>
  <c r="F922" i="15" a="1"/>
  <c r="F922" i="15" s="1"/>
  <c r="G922" i="15" s="1"/>
  <c r="H922" i="15" a="1"/>
  <c r="H922" i="15" s="1"/>
  <c r="I922" i="15" a="1"/>
  <c r="I922" i="15" s="1"/>
  <c r="K922" i="15" a="1"/>
  <c r="K922" i="15" s="1"/>
  <c r="L922" i="15" a="1"/>
  <c r="L922" i="15" s="1"/>
  <c r="M922" i="15" a="1"/>
  <c r="M922" i="15" s="1"/>
  <c r="N922" i="15" a="1"/>
  <c r="N922" i="15" s="1"/>
  <c r="F923" i="15" a="1"/>
  <c r="F923" i="15" s="1"/>
  <c r="G923" i="15" s="1"/>
  <c r="H923" i="15" a="1"/>
  <c r="H923" i="15" s="1"/>
  <c r="I923" i="15" a="1"/>
  <c r="I923" i="15" s="1"/>
  <c r="K923" i="15" a="1"/>
  <c r="K923" i="15" s="1"/>
  <c r="L923" i="15" a="1"/>
  <c r="L923" i="15" s="1"/>
  <c r="M923" i="15" a="1"/>
  <c r="M923" i="15" s="1"/>
  <c r="N923" i="15" a="1"/>
  <c r="N923" i="15" s="1"/>
  <c r="F924" i="15" a="1"/>
  <c r="F924" i="15" s="1"/>
  <c r="G924" i="15" s="1"/>
  <c r="H924" i="15" a="1"/>
  <c r="H924" i="15" s="1"/>
  <c r="I924" i="15" a="1"/>
  <c r="I924" i="15" s="1"/>
  <c r="K924" i="15" a="1"/>
  <c r="K924" i="15" s="1"/>
  <c r="L924" i="15" a="1"/>
  <c r="L924" i="15" s="1"/>
  <c r="M924" i="15" a="1"/>
  <c r="M924" i="15" s="1"/>
  <c r="N924" i="15" a="1"/>
  <c r="N924" i="15" s="1"/>
  <c r="F925" i="15" a="1"/>
  <c r="F925" i="15" s="1"/>
  <c r="G925" i="15" s="1"/>
  <c r="H925" i="15" a="1"/>
  <c r="H925" i="15" s="1"/>
  <c r="I925" i="15" a="1"/>
  <c r="I925" i="15" s="1"/>
  <c r="K925" i="15" a="1"/>
  <c r="K925" i="15" s="1"/>
  <c r="L925" i="15" a="1"/>
  <c r="L925" i="15" s="1"/>
  <c r="M925" i="15" a="1"/>
  <c r="M925" i="15" s="1"/>
  <c r="N925" i="15" a="1"/>
  <c r="N925" i="15" s="1"/>
  <c r="F926" i="15" a="1"/>
  <c r="F926" i="15" s="1"/>
  <c r="G926" i="15" s="1"/>
  <c r="H926" i="15" a="1"/>
  <c r="H926" i="15" s="1"/>
  <c r="I926" i="15" a="1"/>
  <c r="I926" i="15" s="1"/>
  <c r="K926" i="15" a="1"/>
  <c r="K926" i="15" s="1"/>
  <c r="L926" i="15" a="1"/>
  <c r="L926" i="15" s="1"/>
  <c r="M926" i="15" a="1"/>
  <c r="M926" i="15" s="1"/>
  <c r="N926" i="15" a="1"/>
  <c r="N926" i="15" s="1"/>
  <c r="F927" i="15" a="1"/>
  <c r="F927" i="15" s="1"/>
  <c r="G927" i="15" s="1"/>
  <c r="H927" i="15" a="1"/>
  <c r="H927" i="15" s="1"/>
  <c r="I927" i="15" a="1"/>
  <c r="I927" i="15" s="1"/>
  <c r="K927" i="15" a="1"/>
  <c r="K927" i="15" s="1"/>
  <c r="L927" i="15" a="1"/>
  <c r="L927" i="15" s="1"/>
  <c r="M927" i="15" a="1"/>
  <c r="M927" i="15" s="1"/>
  <c r="N927" i="15" a="1"/>
  <c r="N927" i="15" s="1"/>
  <c r="F928" i="15" a="1"/>
  <c r="F928" i="15" s="1"/>
  <c r="G928" i="15" s="1"/>
  <c r="H928" i="15" a="1"/>
  <c r="H928" i="15" s="1"/>
  <c r="I928" i="15" a="1"/>
  <c r="I928" i="15" s="1"/>
  <c r="K928" i="15" a="1"/>
  <c r="K928" i="15" s="1"/>
  <c r="L928" i="15" a="1"/>
  <c r="L928" i="15" s="1"/>
  <c r="M928" i="15" a="1"/>
  <c r="M928" i="15" s="1"/>
  <c r="N928" i="15" a="1"/>
  <c r="N928" i="15" s="1"/>
  <c r="F929" i="15" a="1"/>
  <c r="F929" i="15" s="1"/>
  <c r="G929" i="15" s="1"/>
  <c r="H929" i="15" a="1"/>
  <c r="H929" i="15" s="1"/>
  <c r="I929" i="15" a="1"/>
  <c r="I929" i="15" s="1"/>
  <c r="K929" i="15" a="1"/>
  <c r="K929" i="15" s="1"/>
  <c r="L929" i="15" a="1"/>
  <c r="L929" i="15" s="1"/>
  <c r="M929" i="15" a="1"/>
  <c r="M929" i="15" s="1"/>
  <c r="N929" i="15" a="1"/>
  <c r="N929" i="15" s="1"/>
  <c r="F930" i="15" a="1"/>
  <c r="F930" i="15" s="1"/>
  <c r="G930" i="15" s="1"/>
  <c r="H930" i="15" a="1"/>
  <c r="H930" i="15" s="1"/>
  <c r="I930" i="15" a="1"/>
  <c r="I930" i="15" s="1"/>
  <c r="K930" i="15" a="1"/>
  <c r="K930" i="15" s="1"/>
  <c r="L930" i="15" a="1"/>
  <c r="L930" i="15" s="1"/>
  <c r="M930" i="15" a="1"/>
  <c r="M930" i="15" s="1"/>
  <c r="N930" i="15" a="1"/>
  <c r="N930" i="15" s="1"/>
  <c r="F931" i="15" a="1"/>
  <c r="F931" i="15" s="1"/>
  <c r="G931" i="15" s="1"/>
  <c r="H931" i="15" a="1"/>
  <c r="H931" i="15" s="1"/>
  <c r="I931" i="15" a="1"/>
  <c r="I931" i="15" s="1"/>
  <c r="K931" i="15" a="1"/>
  <c r="K931" i="15" s="1"/>
  <c r="L931" i="15" a="1"/>
  <c r="L931" i="15" s="1"/>
  <c r="M931" i="15" a="1"/>
  <c r="M931" i="15" s="1"/>
  <c r="N931" i="15" a="1"/>
  <c r="N931" i="15" s="1"/>
  <c r="F932" i="15" a="1"/>
  <c r="F932" i="15" s="1"/>
  <c r="G932" i="15" s="1"/>
  <c r="H932" i="15" a="1"/>
  <c r="H932" i="15" s="1"/>
  <c r="I932" i="15" a="1"/>
  <c r="I932" i="15" s="1"/>
  <c r="K932" i="15" a="1"/>
  <c r="K932" i="15" s="1"/>
  <c r="L932" i="15" a="1"/>
  <c r="L932" i="15" s="1"/>
  <c r="M932" i="15" a="1"/>
  <c r="M932" i="15" s="1"/>
  <c r="N932" i="15" a="1"/>
  <c r="N932" i="15" s="1"/>
  <c r="F933" i="15" a="1"/>
  <c r="F933" i="15" s="1"/>
  <c r="G933" i="15" s="1"/>
  <c r="H933" i="15" a="1"/>
  <c r="H933" i="15" s="1"/>
  <c r="I933" i="15" a="1"/>
  <c r="I933" i="15" s="1"/>
  <c r="K933" i="15" a="1"/>
  <c r="K933" i="15" s="1"/>
  <c r="L933" i="15" a="1"/>
  <c r="L933" i="15" s="1"/>
  <c r="M933" i="15" a="1"/>
  <c r="M933" i="15" s="1"/>
  <c r="N933" i="15" a="1"/>
  <c r="N933" i="15" s="1"/>
  <c r="F934" i="15" a="1"/>
  <c r="F934" i="15" s="1"/>
  <c r="G934" i="15" s="1"/>
  <c r="H934" i="15" a="1"/>
  <c r="H934" i="15" s="1"/>
  <c r="I934" i="15" a="1"/>
  <c r="I934" i="15" s="1"/>
  <c r="K934" i="15" a="1"/>
  <c r="K934" i="15" s="1"/>
  <c r="L934" i="15" a="1"/>
  <c r="L934" i="15" s="1"/>
  <c r="M934" i="15" a="1"/>
  <c r="M934" i="15" s="1"/>
  <c r="N934" i="15" a="1"/>
  <c r="N934" i="15" s="1"/>
  <c r="F935" i="15" a="1"/>
  <c r="F935" i="15" s="1"/>
  <c r="G935" i="15" s="1"/>
  <c r="H935" i="15" a="1"/>
  <c r="H935" i="15" s="1"/>
  <c r="I935" i="15" a="1"/>
  <c r="I935" i="15" s="1"/>
  <c r="K935" i="15" a="1"/>
  <c r="K935" i="15" s="1"/>
  <c r="L935" i="15" a="1"/>
  <c r="L935" i="15" s="1"/>
  <c r="M935" i="15" a="1"/>
  <c r="M935" i="15" s="1"/>
  <c r="N935" i="15" a="1"/>
  <c r="N935" i="15" s="1"/>
  <c r="F936" i="15" a="1"/>
  <c r="F936" i="15" s="1"/>
  <c r="G936" i="15" s="1"/>
  <c r="H936" i="15" a="1"/>
  <c r="H936" i="15" s="1"/>
  <c r="I936" i="15" a="1"/>
  <c r="I936" i="15" s="1"/>
  <c r="K936" i="15" a="1"/>
  <c r="K936" i="15" s="1"/>
  <c r="L936" i="15" a="1"/>
  <c r="L936" i="15" s="1"/>
  <c r="M936" i="15" a="1"/>
  <c r="M936" i="15" s="1"/>
  <c r="N936" i="15" a="1"/>
  <c r="N936" i="15" s="1"/>
  <c r="F937" i="15" a="1"/>
  <c r="F937" i="15" s="1"/>
  <c r="G937" i="15" s="1"/>
  <c r="H937" i="15" a="1"/>
  <c r="H937" i="15" s="1"/>
  <c r="I937" i="15" a="1"/>
  <c r="I937" i="15" s="1"/>
  <c r="K937" i="15" a="1"/>
  <c r="K937" i="15" s="1"/>
  <c r="L937" i="15" a="1"/>
  <c r="L937" i="15" s="1"/>
  <c r="M937" i="15" a="1"/>
  <c r="M937" i="15" s="1"/>
  <c r="N937" i="15" a="1"/>
  <c r="N937" i="15" s="1"/>
  <c r="F938" i="15" a="1"/>
  <c r="F938" i="15" s="1"/>
  <c r="G938" i="15" s="1"/>
  <c r="H938" i="15" a="1"/>
  <c r="H938" i="15" s="1"/>
  <c r="I938" i="15" a="1"/>
  <c r="I938" i="15" s="1"/>
  <c r="K938" i="15" a="1"/>
  <c r="K938" i="15" s="1"/>
  <c r="L938" i="15" a="1"/>
  <c r="L938" i="15" s="1"/>
  <c r="M938" i="15" a="1"/>
  <c r="M938" i="15" s="1"/>
  <c r="N938" i="15" a="1"/>
  <c r="N938" i="15" s="1"/>
  <c r="F939" i="15" a="1"/>
  <c r="F939" i="15" s="1"/>
  <c r="G939" i="15" s="1"/>
  <c r="H939" i="15" a="1"/>
  <c r="H939" i="15" s="1"/>
  <c r="I939" i="15" a="1"/>
  <c r="I939" i="15" s="1"/>
  <c r="K939" i="15" a="1"/>
  <c r="K939" i="15" s="1"/>
  <c r="L939" i="15" a="1"/>
  <c r="L939" i="15" s="1"/>
  <c r="M939" i="15" a="1"/>
  <c r="M939" i="15" s="1"/>
  <c r="N939" i="15" a="1"/>
  <c r="N939" i="15" s="1"/>
  <c r="F940" i="15" a="1"/>
  <c r="F940" i="15" s="1"/>
  <c r="G940" i="15" s="1"/>
  <c r="H940" i="15" a="1"/>
  <c r="H940" i="15" s="1"/>
  <c r="I940" i="15" a="1"/>
  <c r="I940" i="15" s="1"/>
  <c r="K940" i="15" a="1"/>
  <c r="K940" i="15" s="1"/>
  <c r="L940" i="15" a="1"/>
  <c r="L940" i="15" s="1"/>
  <c r="M940" i="15" a="1"/>
  <c r="M940" i="15" s="1"/>
  <c r="N940" i="15" a="1"/>
  <c r="N940" i="15" s="1"/>
  <c r="F941" i="15" a="1"/>
  <c r="F941" i="15" s="1"/>
  <c r="G941" i="15" s="1"/>
  <c r="H941" i="15" a="1"/>
  <c r="H941" i="15" s="1"/>
  <c r="I941" i="15" a="1"/>
  <c r="I941" i="15" s="1"/>
  <c r="K941" i="15" a="1"/>
  <c r="K941" i="15" s="1"/>
  <c r="L941" i="15" a="1"/>
  <c r="L941" i="15" s="1"/>
  <c r="M941" i="15" a="1"/>
  <c r="M941" i="15" s="1"/>
  <c r="N941" i="15" a="1"/>
  <c r="N941" i="15" s="1"/>
  <c r="F942" i="15" a="1"/>
  <c r="F942" i="15" s="1"/>
  <c r="G942" i="15" s="1"/>
  <c r="H942" i="15" a="1"/>
  <c r="H942" i="15" s="1"/>
  <c r="I942" i="15" a="1"/>
  <c r="I942" i="15" s="1"/>
  <c r="K942" i="15" a="1"/>
  <c r="K942" i="15" s="1"/>
  <c r="L942" i="15" a="1"/>
  <c r="L942" i="15" s="1"/>
  <c r="M942" i="15" a="1"/>
  <c r="M942" i="15" s="1"/>
  <c r="N942" i="15" a="1"/>
  <c r="N942" i="15" s="1"/>
  <c r="F943" i="15" a="1"/>
  <c r="F943" i="15" s="1"/>
  <c r="G943" i="15" s="1"/>
  <c r="H943" i="15" a="1"/>
  <c r="H943" i="15" s="1"/>
  <c r="I943" i="15" a="1"/>
  <c r="I943" i="15" s="1"/>
  <c r="K943" i="15" a="1"/>
  <c r="K943" i="15" s="1"/>
  <c r="L943" i="15" a="1"/>
  <c r="L943" i="15" s="1"/>
  <c r="M943" i="15" a="1"/>
  <c r="M943" i="15" s="1"/>
  <c r="N943" i="15" a="1"/>
  <c r="N943" i="15" s="1"/>
  <c r="F944" i="15" a="1"/>
  <c r="F944" i="15" s="1"/>
  <c r="G944" i="15" s="1"/>
  <c r="H944" i="15" a="1"/>
  <c r="H944" i="15" s="1"/>
  <c r="I944" i="15" a="1"/>
  <c r="I944" i="15" s="1"/>
  <c r="K944" i="15" a="1"/>
  <c r="K944" i="15" s="1"/>
  <c r="L944" i="15" a="1"/>
  <c r="L944" i="15" s="1"/>
  <c r="M944" i="15" a="1"/>
  <c r="M944" i="15" s="1"/>
  <c r="N944" i="15" a="1"/>
  <c r="N944" i="15" s="1"/>
  <c r="F945" i="15" a="1"/>
  <c r="F945" i="15" s="1"/>
  <c r="G945" i="15" s="1"/>
  <c r="H945" i="15" a="1"/>
  <c r="H945" i="15" s="1"/>
  <c r="I945" i="15" a="1"/>
  <c r="I945" i="15" s="1"/>
  <c r="K945" i="15" a="1"/>
  <c r="K945" i="15" s="1"/>
  <c r="L945" i="15" a="1"/>
  <c r="L945" i="15" s="1"/>
  <c r="M945" i="15" a="1"/>
  <c r="M945" i="15" s="1"/>
  <c r="N945" i="15" a="1"/>
  <c r="N945" i="15" s="1"/>
  <c r="F946" i="15" a="1"/>
  <c r="F946" i="15" s="1"/>
  <c r="G946" i="15" s="1"/>
  <c r="H946" i="15" a="1"/>
  <c r="H946" i="15" s="1"/>
  <c r="I946" i="15" a="1"/>
  <c r="I946" i="15" s="1"/>
  <c r="K946" i="15" a="1"/>
  <c r="K946" i="15" s="1"/>
  <c r="L946" i="15" a="1"/>
  <c r="L946" i="15" s="1"/>
  <c r="M946" i="15" a="1"/>
  <c r="M946" i="15" s="1"/>
  <c r="N946" i="15" a="1"/>
  <c r="N946" i="15" s="1"/>
  <c r="F947" i="15" a="1"/>
  <c r="F947" i="15" s="1"/>
  <c r="G947" i="15" s="1"/>
  <c r="H947" i="15" a="1"/>
  <c r="H947" i="15" s="1"/>
  <c r="I947" i="15" a="1"/>
  <c r="I947" i="15" s="1"/>
  <c r="K947" i="15" a="1"/>
  <c r="K947" i="15" s="1"/>
  <c r="L947" i="15" a="1"/>
  <c r="L947" i="15" s="1"/>
  <c r="M947" i="15" a="1"/>
  <c r="M947" i="15" s="1"/>
  <c r="N947" i="15" a="1"/>
  <c r="N947" i="15" s="1"/>
  <c r="F948" i="15" a="1"/>
  <c r="F948" i="15" s="1"/>
  <c r="G948" i="15" s="1"/>
  <c r="H948" i="15" a="1"/>
  <c r="H948" i="15" s="1"/>
  <c r="I948" i="15" a="1"/>
  <c r="I948" i="15" s="1"/>
  <c r="K948" i="15" a="1"/>
  <c r="K948" i="15" s="1"/>
  <c r="L948" i="15" a="1"/>
  <c r="L948" i="15" s="1"/>
  <c r="M948" i="15" a="1"/>
  <c r="M948" i="15" s="1"/>
  <c r="N948" i="15" a="1"/>
  <c r="N948" i="15" s="1"/>
  <c r="F949" i="15" a="1"/>
  <c r="F949" i="15" s="1"/>
  <c r="G949" i="15" s="1"/>
  <c r="H949" i="15" a="1"/>
  <c r="H949" i="15" s="1"/>
  <c r="I949" i="15" a="1"/>
  <c r="I949" i="15" s="1"/>
  <c r="K949" i="15" a="1"/>
  <c r="K949" i="15" s="1"/>
  <c r="L949" i="15" a="1"/>
  <c r="L949" i="15" s="1"/>
  <c r="M949" i="15" a="1"/>
  <c r="M949" i="15" s="1"/>
  <c r="N949" i="15" a="1"/>
  <c r="N949" i="15" s="1"/>
  <c r="F950" i="15" a="1"/>
  <c r="F950" i="15" s="1"/>
  <c r="G950" i="15" s="1"/>
  <c r="H950" i="15" a="1"/>
  <c r="H950" i="15" s="1"/>
  <c r="I950" i="15" a="1"/>
  <c r="I950" i="15" s="1"/>
  <c r="K950" i="15" a="1"/>
  <c r="K950" i="15" s="1"/>
  <c r="L950" i="15" a="1"/>
  <c r="L950" i="15" s="1"/>
  <c r="M950" i="15" a="1"/>
  <c r="M950" i="15" s="1"/>
  <c r="N950" i="15" a="1"/>
  <c r="N950" i="15" s="1"/>
  <c r="F951" i="15" a="1"/>
  <c r="F951" i="15" s="1"/>
  <c r="G951" i="15" s="1"/>
  <c r="H951" i="15" a="1"/>
  <c r="H951" i="15" s="1"/>
  <c r="I951" i="15" a="1"/>
  <c r="I951" i="15" s="1"/>
  <c r="K951" i="15" a="1"/>
  <c r="K951" i="15" s="1"/>
  <c r="L951" i="15" a="1"/>
  <c r="L951" i="15" s="1"/>
  <c r="M951" i="15" a="1"/>
  <c r="M951" i="15" s="1"/>
  <c r="N951" i="15" a="1"/>
  <c r="N951" i="15" s="1"/>
  <c r="F952" i="15" a="1"/>
  <c r="F952" i="15" s="1"/>
  <c r="G952" i="15" s="1"/>
  <c r="H952" i="15" a="1"/>
  <c r="H952" i="15" s="1"/>
  <c r="I952" i="15" a="1"/>
  <c r="I952" i="15" s="1"/>
  <c r="K952" i="15" a="1"/>
  <c r="K952" i="15" s="1"/>
  <c r="L952" i="15" a="1"/>
  <c r="L952" i="15" s="1"/>
  <c r="M952" i="15" a="1"/>
  <c r="M952" i="15" s="1"/>
  <c r="N952" i="15" a="1"/>
  <c r="N952" i="15" s="1"/>
  <c r="F953" i="15" a="1"/>
  <c r="F953" i="15" s="1"/>
  <c r="G953" i="15" s="1"/>
  <c r="H953" i="15" a="1"/>
  <c r="H953" i="15" s="1"/>
  <c r="I953" i="15" a="1"/>
  <c r="I953" i="15" s="1"/>
  <c r="K953" i="15" a="1"/>
  <c r="K953" i="15" s="1"/>
  <c r="L953" i="15" a="1"/>
  <c r="L953" i="15" s="1"/>
  <c r="M953" i="15" a="1"/>
  <c r="M953" i="15" s="1"/>
  <c r="N953" i="15" a="1"/>
  <c r="N953" i="15" s="1"/>
  <c r="F954" i="15" a="1"/>
  <c r="F954" i="15" s="1"/>
  <c r="G954" i="15" s="1"/>
  <c r="H954" i="15" a="1"/>
  <c r="H954" i="15" s="1"/>
  <c r="I954" i="15" a="1"/>
  <c r="I954" i="15" s="1"/>
  <c r="K954" i="15" a="1"/>
  <c r="K954" i="15" s="1"/>
  <c r="L954" i="15" a="1"/>
  <c r="L954" i="15" s="1"/>
  <c r="M954" i="15" a="1"/>
  <c r="M954" i="15" s="1"/>
  <c r="N954" i="15" a="1"/>
  <c r="N954" i="15" s="1"/>
  <c r="F955" i="15" a="1"/>
  <c r="F955" i="15" s="1"/>
  <c r="G955" i="15" s="1"/>
  <c r="H955" i="15" a="1"/>
  <c r="H955" i="15" s="1"/>
  <c r="I955" i="15" a="1"/>
  <c r="I955" i="15" s="1"/>
  <c r="K955" i="15" a="1"/>
  <c r="K955" i="15" s="1"/>
  <c r="L955" i="15" a="1"/>
  <c r="L955" i="15" s="1"/>
  <c r="M955" i="15" a="1"/>
  <c r="M955" i="15" s="1"/>
  <c r="N955" i="15" a="1"/>
  <c r="N955" i="15" s="1"/>
  <c r="F956" i="15" a="1"/>
  <c r="F956" i="15" s="1"/>
  <c r="G956" i="15" s="1"/>
  <c r="H956" i="15" a="1"/>
  <c r="H956" i="15" s="1"/>
  <c r="I956" i="15" a="1"/>
  <c r="I956" i="15" s="1"/>
  <c r="K956" i="15" a="1"/>
  <c r="K956" i="15" s="1"/>
  <c r="L956" i="15" a="1"/>
  <c r="L956" i="15" s="1"/>
  <c r="M956" i="15" a="1"/>
  <c r="M956" i="15" s="1"/>
  <c r="N956" i="15" a="1"/>
  <c r="N956" i="15" s="1"/>
  <c r="F957" i="15" a="1"/>
  <c r="F957" i="15" s="1"/>
  <c r="G957" i="15" s="1"/>
  <c r="H957" i="15" a="1"/>
  <c r="H957" i="15" s="1"/>
  <c r="I957" i="15" a="1"/>
  <c r="I957" i="15" s="1"/>
  <c r="K957" i="15" a="1"/>
  <c r="K957" i="15" s="1"/>
  <c r="L957" i="15" a="1"/>
  <c r="L957" i="15" s="1"/>
  <c r="M957" i="15" a="1"/>
  <c r="M957" i="15" s="1"/>
  <c r="N957" i="15" a="1"/>
  <c r="N957" i="15" s="1"/>
  <c r="F958" i="15" a="1"/>
  <c r="F958" i="15" s="1"/>
  <c r="G958" i="15" s="1"/>
  <c r="H958" i="15" a="1"/>
  <c r="H958" i="15" s="1"/>
  <c r="I958" i="15" a="1"/>
  <c r="I958" i="15" s="1"/>
  <c r="K958" i="15" a="1"/>
  <c r="K958" i="15" s="1"/>
  <c r="L958" i="15" a="1"/>
  <c r="L958" i="15" s="1"/>
  <c r="M958" i="15" a="1"/>
  <c r="M958" i="15" s="1"/>
  <c r="N958" i="15" a="1"/>
  <c r="N958" i="15" s="1"/>
  <c r="F959" i="15" a="1"/>
  <c r="F959" i="15" s="1"/>
  <c r="G959" i="15" s="1"/>
  <c r="H959" i="15" a="1"/>
  <c r="H959" i="15" s="1"/>
  <c r="I959" i="15" a="1"/>
  <c r="I959" i="15" s="1"/>
  <c r="K959" i="15" a="1"/>
  <c r="K959" i="15" s="1"/>
  <c r="L959" i="15" a="1"/>
  <c r="L959" i="15" s="1"/>
  <c r="M959" i="15" a="1"/>
  <c r="M959" i="15" s="1"/>
  <c r="N959" i="15" a="1"/>
  <c r="N959" i="15" s="1"/>
  <c r="F960" i="15" a="1"/>
  <c r="F960" i="15" s="1"/>
  <c r="G960" i="15" s="1"/>
  <c r="H960" i="15" a="1"/>
  <c r="H960" i="15" s="1"/>
  <c r="I960" i="15" a="1"/>
  <c r="I960" i="15" s="1"/>
  <c r="K960" i="15" a="1"/>
  <c r="K960" i="15" s="1"/>
  <c r="L960" i="15" a="1"/>
  <c r="L960" i="15" s="1"/>
  <c r="M960" i="15" a="1"/>
  <c r="M960" i="15" s="1"/>
  <c r="N960" i="15" a="1"/>
  <c r="N960" i="15" s="1"/>
  <c r="F961" i="15" a="1"/>
  <c r="F961" i="15" s="1"/>
  <c r="G961" i="15" s="1"/>
  <c r="H961" i="15" a="1"/>
  <c r="H961" i="15" s="1"/>
  <c r="I961" i="15" a="1"/>
  <c r="I961" i="15" s="1"/>
  <c r="K961" i="15" a="1"/>
  <c r="K961" i="15" s="1"/>
  <c r="L961" i="15" a="1"/>
  <c r="L961" i="15" s="1"/>
  <c r="M961" i="15" a="1"/>
  <c r="M961" i="15" s="1"/>
  <c r="N961" i="15" a="1"/>
  <c r="N961" i="15" s="1"/>
  <c r="F962" i="15" a="1"/>
  <c r="F962" i="15" s="1"/>
  <c r="G962" i="15" s="1"/>
  <c r="H962" i="15" a="1"/>
  <c r="H962" i="15" s="1"/>
  <c r="I962" i="15" a="1"/>
  <c r="I962" i="15" s="1"/>
  <c r="K962" i="15" a="1"/>
  <c r="K962" i="15" s="1"/>
  <c r="L962" i="15" a="1"/>
  <c r="L962" i="15" s="1"/>
  <c r="M962" i="15" a="1"/>
  <c r="M962" i="15" s="1"/>
  <c r="N962" i="15" a="1"/>
  <c r="N962" i="15" s="1"/>
  <c r="F963" i="15" a="1"/>
  <c r="F963" i="15" s="1"/>
  <c r="G963" i="15" s="1"/>
  <c r="H963" i="15" a="1"/>
  <c r="H963" i="15" s="1"/>
  <c r="I963" i="15" a="1"/>
  <c r="I963" i="15" s="1"/>
  <c r="K963" i="15" a="1"/>
  <c r="K963" i="15" s="1"/>
  <c r="L963" i="15" a="1"/>
  <c r="L963" i="15" s="1"/>
  <c r="M963" i="15" a="1"/>
  <c r="M963" i="15" s="1"/>
  <c r="N963" i="15" a="1"/>
  <c r="N963" i="15" s="1"/>
  <c r="F964" i="15" a="1"/>
  <c r="F964" i="15" s="1"/>
  <c r="G964" i="15" s="1"/>
  <c r="H964" i="15" a="1"/>
  <c r="H964" i="15" s="1"/>
  <c r="I964" i="15" a="1"/>
  <c r="I964" i="15" s="1"/>
  <c r="K964" i="15" a="1"/>
  <c r="K964" i="15" s="1"/>
  <c r="L964" i="15" a="1"/>
  <c r="L964" i="15" s="1"/>
  <c r="M964" i="15" a="1"/>
  <c r="M964" i="15" s="1"/>
  <c r="N964" i="15" a="1"/>
  <c r="N964" i="15" s="1"/>
  <c r="F965" i="15" a="1"/>
  <c r="F965" i="15" s="1"/>
  <c r="G965" i="15" s="1"/>
  <c r="H965" i="15" a="1"/>
  <c r="H965" i="15" s="1"/>
  <c r="I965" i="15" a="1"/>
  <c r="I965" i="15" s="1"/>
  <c r="K965" i="15" a="1"/>
  <c r="K965" i="15" s="1"/>
  <c r="L965" i="15" a="1"/>
  <c r="L965" i="15" s="1"/>
  <c r="M965" i="15" a="1"/>
  <c r="M965" i="15" s="1"/>
  <c r="N965" i="15" a="1"/>
  <c r="N965" i="15" s="1"/>
  <c r="F966" i="15" a="1"/>
  <c r="F966" i="15" s="1"/>
  <c r="G966" i="15" s="1"/>
  <c r="H966" i="15" a="1"/>
  <c r="H966" i="15" s="1"/>
  <c r="I966" i="15" a="1"/>
  <c r="I966" i="15" s="1"/>
  <c r="K966" i="15" a="1"/>
  <c r="K966" i="15" s="1"/>
  <c r="L966" i="15" a="1"/>
  <c r="L966" i="15" s="1"/>
  <c r="M966" i="15" a="1"/>
  <c r="M966" i="15" s="1"/>
  <c r="N966" i="15" a="1"/>
  <c r="N966" i="15" s="1"/>
  <c r="F967" i="15" a="1"/>
  <c r="F967" i="15" s="1"/>
  <c r="G967" i="15" s="1"/>
  <c r="H967" i="15" a="1"/>
  <c r="H967" i="15" s="1"/>
  <c r="I967" i="15" a="1"/>
  <c r="I967" i="15" s="1"/>
  <c r="K967" i="15" a="1"/>
  <c r="K967" i="15" s="1"/>
  <c r="L967" i="15" a="1"/>
  <c r="L967" i="15" s="1"/>
  <c r="M967" i="15" a="1"/>
  <c r="M967" i="15" s="1"/>
  <c r="N967" i="15" a="1"/>
  <c r="N967" i="15" s="1"/>
  <c r="F968" i="15" a="1"/>
  <c r="F968" i="15" s="1"/>
  <c r="G968" i="15" s="1"/>
  <c r="H968" i="15" a="1"/>
  <c r="H968" i="15" s="1"/>
  <c r="I968" i="15" a="1"/>
  <c r="I968" i="15" s="1"/>
  <c r="K968" i="15" a="1"/>
  <c r="K968" i="15" s="1"/>
  <c r="L968" i="15" a="1"/>
  <c r="L968" i="15" s="1"/>
  <c r="M968" i="15" a="1"/>
  <c r="M968" i="15" s="1"/>
  <c r="N968" i="15" a="1"/>
  <c r="N968" i="15" s="1"/>
  <c r="F969" i="15" a="1"/>
  <c r="F969" i="15" s="1"/>
  <c r="G969" i="15" s="1"/>
  <c r="H969" i="15" a="1"/>
  <c r="H969" i="15" s="1"/>
  <c r="I969" i="15" a="1"/>
  <c r="I969" i="15" s="1"/>
  <c r="K969" i="15" a="1"/>
  <c r="K969" i="15" s="1"/>
  <c r="L969" i="15" a="1"/>
  <c r="L969" i="15" s="1"/>
  <c r="M969" i="15" a="1"/>
  <c r="M969" i="15" s="1"/>
  <c r="N969" i="15" a="1"/>
  <c r="N969" i="15" s="1"/>
  <c r="F970" i="15" a="1"/>
  <c r="F970" i="15" s="1"/>
  <c r="G970" i="15" s="1"/>
  <c r="H970" i="15" a="1"/>
  <c r="H970" i="15" s="1"/>
  <c r="I970" i="15" a="1"/>
  <c r="I970" i="15" s="1"/>
  <c r="K970" i="15" a="1"/>
  <c r="K970" i="15" s="1"/>
  <c r="L970" i="15" a="1"/>
  <c r="L970" i="15" s="1"/>
  <c r="M970" i="15" a="1"/>
  <c r="M970" i="15" s="1"/>
  <c r="N970" i="15" a="1"/>
  <c r="N970" i="15" s="1"/>
  <c r="F971" i="15" a="1"/>
  <c r="F971" i="15" s="1"/>
  <c r="G971" i="15" s="1"/>
  <c r="H971" i="15" a="1"/>
  <c r="H971" i="15" s="1"/>
  <c r="I971" i="15" a="1"/>
  <c r="I971" i="15" s="1"/>
  <c r="K971" i="15" a="1"/>
  <c r="K971" i="15" s="1"/>
  <c r="L971" i="15" a="1"/>
  <c r="L971" i="15" s="1"/>
  <c r="M971" i="15" a="1"/>
  <c r="M971" i="15" s="1"/>
  <c r="N971" i="15" a="1"/>
  <c r="N971" i="15" s="1"/>
  <c r="F972" i="15" a="1"/>
  <c r="F972" i="15" s="1"/>
  <c r="G972" i="15" s="1"/>
  <c r="H972" i="15" a="1"/>
  <c r="H972" i="15" s="1"/>
  <c r="I972" i="15" a="1"/>
  <c r="I972" i="15" s="1"/>
  <c r="K972" i="15" a="1"/>
  <c r="K972" i="15" s="1"/>
  <c r="L972" i="15" a="1"/>
  <c r="L972" i="15" s="1"/>
  <c r="M972" i="15" a="1"/>
  <c r="M972" i="15" s="1"/>
  <c r="N972" i="15" a="1"/>
  <c r="N972" i="15" s="1"/>
  <c r="F973" i="15" a="1"/>
  <c r="F973" i="15" s="1"/>
  <c r="G973" i="15" s="1"/>
  <c r="H973" i="15" a="1"/>
  <c r="H973" i="15" s="1"/>
  <c r="I973" i="15" a="1"/>
  <c r="I973" i="15" s="1"/>
  <c r="K973" i="15" a="1"/>
  <c r="K973" i="15" s="1"/>
  <c r="L973" i="15" a="1"/>
  <c r="L973" i="15" s="1"/>
  <c r="M973" i="15" a="1"/>
  <c r="M973" i="15" s="1"/>
  <c r="N973" i="15" a="1"/>
  <c r="N973" i="15" s="1"/>
  <c r="F974" i="15" a="1"/>
  <c r="F974" i="15" s="1"/>
  <c r="G974" i="15" s="1"/>
  <c r="H974" i="15" a="1"/>
  <c r="H974" i="15" s="1"/>
  <c r="I974" i="15" a="1"/>
  <c r="I974" i="15" s="1"/>
  <c r="K974" i="15" a="1"/>
  <c r="K974" i="15" s="1"/>
  <c r="L974" i="15" a="1"/>
  <c r="L974" i="15" s="1"/>
  <c r="M974" i="15" a="1"/>
  <c r="M974" i="15" s="1"/>
  <c r="N974" i="15" a="1"/>
  <c r="N974" i="15" s="1"/>
  <c r="F975" i="15" a="1"/>
  <c r="F975" i="15" s="1"/>
  <c r="G975" i="15" s="1"/>
  <c r="H975" i="15" a="1"/>
  <c r="H975" i="15" s="1"/>
  <c r="I975" i="15" a="1"/>
  <c r="I975" i="15" s="1"/>
  <c r="K975" i="15" a="1"/>
  <c r="K975" i="15" s="1"/>
  <c r="L975" i="15" a="1"/>
  <c r="L975" i="15" s="1"/>
  <c r="M975" i="15" a="1"/>
  <c r="M975" i="15" s="1"/>
  <c r="N975" i="15" a="1"/>
  <c r="N975" i="15" s="1"/>
  <c r="F976" i="15" a="1"/>
  <c r="F976" i="15" s="1"/>
  <c r="G976" i="15" s="1"/>
  <c r="H976" i="15" a="1"/>
  <c r="H976" i="15" s="1"/>
  <c r="I976" i="15" a="1"/>
  <c r="I976" i="15" s="1"/>
  <c r="K976" i="15" a="1"/>
  <c r="K976" i="15" s="1"/>
  <c r="L976" i="15" a="1"/>
  <c r="L976" i="15" s="1"/>
  <c r="M976" i="15" a="1"/>
  <c r="M976" i="15" s="1"/>
  <c r="N976" i="15" a="1"/>
  <c r="N976" i="15" s="1"/>
  <c r="F977" i="15" a="1"/>
  <c r="F977" i="15" s="1"/>
  <c r="G977" i="15" s="1"/>
  <c r="H977" i="15" a="1"/>
  <c r="H977" i="15" s="1"/>
  <c r="I977" i="15" a="1"/>
  <c r="I977" i="15" s="1"/>
  <c r="K977" i="15" a="1"/>
  <c r="K977" i="15" s="1"/>
  <c r="L977" i="15" a="1"/>
  <c r="L977" i="15" s="1"/>
  <c r="M977" i="15" a="1"/>
  <c r="M977" i="15" s="1"/>
  <c r="N977" i="15" a="1"/>
  <c r="N977" i="15" s="1"/>
  <c r="F978" i="15" a="1"/>
  <c r="F978" i="15" s="1"/>
  <c r="G978" i="15" s="1"/>
  <c r="H978" i="15" a="1"/>
  <c r="H978" i="15" s="1"/>
  <c r="I978" i="15" a="1"/>
  <c r="I978" i="15" s="1"/>
  <c r="K978" i="15" a="1"/>
  <c r="K978" i="15" s="1"/>
  <c r="L978" i="15" a="1"/>
  <c r="L978" i="15" s="1"/>
  <c r="M978" i="15" a="1"/>
  <c r="M978" i="15" s="1"/>
  <c r="N978" i="15" a="1"/>
  <c r="N978" i="15" s="1"/>
  <c r="F979" i="15" a="1"/>
  <c r="F979" i="15" s="1"/>
  <c r="G979" i="15" s="1"/>
  <c r="H979" i="15" a="1"/>
  <c r="H979" i="15" s="1"/>
  <c r="I979" i="15" a="1"/>
  <c r="I979" i="15" s="1"/>
  <c r="K979" i="15" a="1"/>
  <c r="K979" i="15" s="1"/>
  <c r="L979" i="15" a="1"/>
  <c r="L979" i="15" s="1"/>
  <c r="M979" i="15" a="1"/>
  <c r="M979" i="15" s="1"/>
  <c r="N979" i="15" a="1"/>
  <c r="N979" i="15" s="1"/>
  <c r="F980" i="15" a="1"/>
  <c r="F980" i="15" s="1"/>
  <c r="G980" i="15" s="1"/>
  <c r="H980" i="15" a="1"/>
  <c r="H980" i="15" s="1"/>
  <c r="I980" i="15" a="1"/>
  <c r="I980" i="15" s="1"/>
  <c r="K980" i="15" a="1"/>
  <c r="K980" i="15" s="1"/>
  <c r="L980" i="15" a="1"/>
  <c r="L980" i="15" s="1"/>
  <c r="M980" i="15" a="1"/>
  <c r="M980" i="15" s="1"/>
  <c r="N980" i="15" a="1"/>
  <c r="N980" i="15" s="1"/>
  <c r="F981" i="15" a="1"/>
  <c r="F981" i="15" s="1"/>
  <c r="G981" i="15" s="1"/>
  <c r="H981" i="15" a="1"/>
  <c r="H981" i="15" s="1"/>
  <c r="I981" i="15" a="1"/>
  <c r="I981" i="15" s="1"/>
  <c r="K981" i="15" a="1"/>
  <c r="K981" i="15" s="1"/>
  <c r="L981" i="15" a="1"/>
  <c r="L981" i="15" s="1"/>
  <c r="M981" i="15" a="1"/>
  <c r="M981" i="15" s="1"/>
  <c r="N981" i="15" a="1"/>
  <c r="N981" i="15" s="1"/>
  <c r="F982" i="15" a="1"/>
  <c r="F982" i="15" s="1"/>
  <c r="G982" i="15" s="1"/>
  <c r="H982" i="15" a="1"/>
  <c r="H982" i="15" s="1"/>
  <c r="I982" i="15" a="1"/>
  <c r="I982" i="15" s="1"/>
  <c r="K982" i="15" a="1"/>
  <c r="K982" i="15" s="1"/>
  <c r="L982" i="15" a="1"/>
  <c r="L982" i="15" s="1"/>
  <c r="M982" i="15" a="1"/>
  <c r="M982" i="15" s="1"/>
  <c r="N982" i="15" a="1"/>
  <c r="N982" i="15" s="1"/>
  <c r="F983" i="15" a="1"/>
  <c r="F983" i="15" s="1"/>
  <c r="G983" i="15" s="1"/>
  <c r="H983" i="15" a="1"/>
  <c r="H983" i="15" s="1"/>
  <c r="I983" i="15" a="1"/>
  <c r="I983" i="15" s="1"/>
  <c r="K983" i="15" a="1"/>
  <c r="K983" i="15" s="1"/>
  <c r="L983" i="15" a="1"/>
  <c r="L983" i="15" s="1"/>
  <c r="M983" i="15" a="1"/>
  <c r="M983" i="15" s="1"/>
  <c r="N983" i="15" a="1"/>
  <c r="N983" i="15" s="1"/>
  <c r="F984" i="15" a="1"/>
  <c r="F984" i="15" s="1"/>
  <c r="G984" i="15" s="1"/>
  <c r="H984" i="15" a="1"/>
  <c r="H984" i="15" s="1"/>
  <c r="I984" i="15" a="1"/>
  <c r="I984" i="15" s="1"/>
  <c r="K984" i="15" a="1"/>
  <c r="K984" i="15" s="1"/>
  <c r="L984" i="15" a="1"/>
  <c r="L984" i="15" s="1"/>
  <c r="M984" i="15" a="1"/>
  <c r="M984" i="15" s="1"/>
  <c r="N984" i="15" a="1"/>
  <c r="N984" i="15" s="1"/>
  <c r="F985" i="15" a="1"/>
  <c r="F985" i="15" s="1"/>
  <c r="G985" i="15" s="1"/>
  <c r="H985" i="15" a="1"/>
  <c r="H985" i="15" s="1"/>
  <c r="I985" i="15" a="1"/>
  <c r="I985" i="15" s="1"/>
  <c r="K985" i="15" a="1"/>
  <c r="K985" i="15" s="1"/>
  <c r="L985" i="15" a="1"/>
  <c r="L985" i="15" s="1"/>
  <c r="M985" i="15" a="1"/>
  <c r="M985" i="15" s="1"/>
  <c r="N985" i="15" a="1"/>
  <c r="N985" i="15" s="1"/>
  <c r="F986" i="15" a="1"/>
  <c r="F986" i="15" s="1"/>
  <c r="G986" i="15" s="1"/>
  <c r="H986" i="15" a="1"/>
  <c r="H986" i="15" s="1"/>
  <c r="I986" i="15" a="1"/>
  <c r="I986" i="15" s="1"/>
  <c r="K986" i="15" a="1"/>
  <c r="K986" i="15" s="1"/>
  <c r="L986" i="15" a="1"/>
  <c r="L986" i="15" s="1"/>
  <c r="M986" i="15" a="1"/>
  <c r="M986" i="15" s="1"/>
  <c r="N986" i="15" a="1"/>
  <c r="N986" i="15" s="1"/>
  <c r="F987" i="15" a="1"/>
  <c r="F987" i="15" s="1"/>
  <c r="G987" i="15" s="1"/>
  <c r="H987" i="15" a="1"/>
  <c r="H987" i="15" s="1"/>
  <c r="I987" i="15" a="1"/>
  <c r="I987" i="15" s="1"/>
  <c r="K987" i="15" a="1"/>
  <c r="K987" i="15" s="1"/>
  <c r="L987" i="15" a="1"/>
  <c r="L987" i="15" s="1"/>
  <c r="M987" i="15" a="1"/>
  <c r="M987" i="15" s="1"/>
  <c r="N987" i="15" a="1"/>
  <c r="N987" i="15" s="1"/>
  <c r="F988" i="15" a="1"/>
  <c r="F988" i="15" s="1"/>
  <c r="G988" i="15" s="1"/>
  <c r="H988" i="15" a="1"/>
  <c r="H988" i="15" s="1"/>
  <c r="I988" i="15" a="1"/>
  <c r="I988" i="15" s="1"/>
  <c r="K988" i="15" a="1"/>
  <c r="K988" i="15" s="1"/>
  <c r="L988" i="15" a="1"/>
  <c r="L988" i="15" s="1"/>
  <c r="M988" i="15" a="1"/>
  <c r="M988" i="15" s="1"/>
  <c r="N988" i="15" a="1"/>
  <c r="N988" i="15" s="1"/>
  <c r="F989" i="15" a="1"/>
  <c r="F989" i="15" s="1"/>
  <c r="G989" i="15" s="1"/>
  <c r="H989" i="15" a="1"/>
  <c r="H989" i="15" s="1"/>
  <c r="I989" i="15" a="1"/>
  <c r="I989" i="15" s="1"/>
  <c r="K989" i="15" a="1"/>
  <c r="K989" i="15" s="1"/>
  <c r="L989" i="15" a="1"/>
  <c r="L989" i="15" s="1"/>
  <c r="M989" i="15" a="1"/>
  <c r="M989" i="15" s="1"/>
  <c r="N989" i="15" a="1"/>
  <c r="N989" i="15" s="1"/>
  <c r="F990" i="15" a="1"/>
  <c r="F990" i="15" s="1"/>
  <c r="G990" i="15" s="1"/>
  <c r="H990" i="15" a="1"/>
  <c r="H990" i="15" s="1"/>
  <c r="I990" i="15" a="1"/>
  <c r="I990" i="15" s="1"/>
  <c r="K990" i="15" a="1"/>
  <c r="K990" i="15" s="1"/>
  <c r="L990" i="15" a="1"/>
  <c r="L990" i="15" s="1"/>
  <c r="M990" i="15" a="1"/>
  <c r="M990" i="15" s="1"/>
  <c r="N990" i="15" a="1"/>
  <c r="N990" i="15" s="1"/>
  <c r="F991" i="15" a="1"/>
  <c r="F991" i="15" s="1"/>
  <c r="G991" i="15" s="1"/>
  <c r="H991" i="15" a="1"/>
  <c r="H991" i="15" s="1"/>
  <c r="I991" i="15" a="1"/>
  <c r="I991" i="15" s="1"/>
  <c r="K991" i="15" a="1"/>
  <c r="K991" i="15" s="1"/>
  <c r="L991" i="15" a="1"/>
  <c r="L991" i="15" s="1"/>
  <c r="M991" i="15" a="1"/>
  <c r="M991" i="15" s="1"/>
  <c r="N991" i="15" a="1"/>
  <c r="N991" i="15" s="1"/>
  <c r="F992" i="15" a="1"/>
  <c r="F992" i="15" s="1"/>
  <c r="G992" i="15" s="1"/>
  <c r="H992" i="15" a="1"/>
  <c r="H992" i="15" s="1"/>
  <c r="I992" i="15" a="1"/>
  <c r="I992" i="15" s="1"/>
  <c r="K992" i="15" a="1"/>
  <c r="K992" i="15" s="1"/>
  <c r="L992" i="15" a="1"/>
  <c r="L992" i="15" s="1"/>
  <c r="M992" i="15" a="1"/>
  <c r="M992" i="15" s="1"/>
  <c r="N992" i="15" a="1"/>
  <c r="N992" i="15" s="1"/>
  <c r="F993" i="15" a="1"/>
  <c r="F993" i="15" s="1"/>
  <c r="G993" i="15" s="1"/>
  <c r="H993" i="15" a="1"/>
  <c r="H993" i="15" s="1"/>
  <c r="I993" i="15" a="1"/>
  <c r="I993" i="15" s="1"/>
  <c r="K993" i="15" a="1"/>
  <c r="K993" i="15" s="1"/>
  <c r="L993" i="15" a="1"/>
  <c r="L993" i="15" s="1"/>
  <c r="M993" i="15" a="1"/>
  <c r="M993" i="15" s="1"/>
  <c r="N993" i="15" a="1"/>
  <c r="N993" i="15" s="1"/>
  <c r="F994" i="15" a="1"/>
  <c r="F994" i="15" s="1"/>
  <c r="G994" i="15" s="1"/>
  <c r="H994" i="15" a="1"/>
  <c r="H994" i="15" s="1"/>
  <c r="I994" i="15" a="1"/>
  <c r="I994" i="15" s="1"/>
  <c r="K994" i="15" a="1"/>
  <c r="K994" i="15" s="1"/>
  <c r="L994" i="15" a="1"/>
  <c r="L994" i="15" s="1"/>
  <c r="M994" i="15" a="1"/>
  <c r="M994" i="15" s="1"/>
  <c r="N994" i="15" a="1"/>
  <c r="N994" i="15" s="1"/>
  <c r="F995" i="15" a="1"/>
  <c r="F995" i="15" s="1"/>
  <c r="G995" i="15" s="1"/>
  <c r="H995" i="15" a="1"/>
  <c r="H995" i="15" s="1"/>
  <c r="I995" i="15" a="1"/>
  <c r="I995" i="15" s="1"/>
  <c r="K995" i="15" a="1"/>
  <c r="K995" i="15" s="1"/>
  <c r="L995" i="15" a="1"/>
  <c r="L995" i="15" s="1"/>
  <c r="M995" i="15" a="1"/>
  <c r="M995" i="15" s="1"/>
  <c r="N995" i="15" a="1"/>
  <c r="N995" i="15" s="1"/>
  <c r="F996" i="15" a="1"/>
  <c r="F996" i="15" s="1"/>
  <c r="G996" i="15" s="1"/>
  <c r="H996" i="15" a="1"/>
  <c r="H996" i="15" s="1"/>
  <c r="I996" i="15" a="1"/>
  <c r="I996" i="15" s="1"/>
  <c r="K996" i="15" a="1"/>
  <c r="K996" i="15" s="1"/>
  <c r="L996" i="15" a="1"/>
  <c r="L996" i="15" s="1"/>
  <c r="M996" i="15" a="1"/>
  <c r="M996" i="15" s="1"/>
  <c r="N996" i="15" a="1"/>
  <c r="N996" i="15" s="1"/>
  <c r="F997" i="15" a="1"/>
  <c r="F997" i="15" s="1"/>
  <c r="G997" i="15" s="1"/>
  <c r="H997" i="15" a="1"/>
  <c r="H997" i="15" s="1"/>
  <c r="I997" i="15" a="1"/>
  <c r="I997" i="15" s="1"/>
  <c r="K997" i="15" a="1"/>
  <c r="K997" i="15" s="1"/>
  <c r="L997" i="15" a="1"/>
  <c r="L997" i="15" s="1"/>
  <c r="M997" i="15" a="1"/>
  <c r="M997" i="15" s="1"/>
  <c r="N997" i="15" a="1"/>
  <c r="N997" i="15" s="1"/>
  <c r="F998" i="15" a="1"/>
  <c r="F998" i="15" s="1"/>
  <c r="G998" i="15" s="1"/>
  <c r="H998" i="15" a="1"/>
  <c r="H998" i="15" s="1"/>
  <c r="I998" i="15" a="1"/>
  <c r="I998" i="15" s="1"/>
  <c r="K998" i="15" a="1"/>
  <c r="K998" i="15" s="1"/>
  <c r="L998" i="15" a="1"/>
  <c r="L998" i="15" s="1"/>
  <c r="M998" i="15" a="1"/>
  <c r="M998" i="15" s="1"/>
  <c r="N998" i="15" a="1"/>
  <c r="N998" i="15" s="1"/>
  <c r="F999" i="15" a="1"/>
  <c r="F999" i="15" s="1"/>
  <c r="G999" i="15" s="1"/>
  <c r="H999" i="15" a="1"/>
  <c r="H999" i="15" s="1"/>
  <c r="I999" i="15" a="1"/>
  <c r="I999" i="15" s="1"/>
  <c r="K999" i="15" a="1"/>
  <c r="K999" i="15" s="1"/>
  <c r="L999" i="15" a="1"/>
  <c r="L999" i="15" s="1"/>
  <c r="M999" i="15" a="1"/>
  <c r="M999" i="15" s="1"/>
  <c r="N999" i="15" a="1"/>
  <c r="N999" i="15" s="1"/>
  <c r="F1000" i="15" a="1"/>
  <c r="F1000" i="15" s="1"/>
  <c r="G1000" i="15" s="1"/>
  <c r="H1000" i="15" a="1"/>
  <c r="H1000" i="15" s="1"/>
  <c r="I1000" i="15" a="1"/>
  <c r="I1000" i="15" s="1"/>
  <c r="K1000" i="15" a="1"/>
  <c r="K1000" i="15" s="1"/>
  <c r="L1000" i="15" a="1"/>
  <c r="L1000" i="15" s="1"/>
  <c r="M1000" i="15" a="1"/>
  <c r="M1000" i="15" s="1"/>
  <c r="N1000" i="15" a="1"/>
  <c r="N1000" i="15" s="1"/>
  <c r="H44" i="15" a="1"/>
  <c r="H44" i="15" s="1"/>
  <c r="H45" i="15" a="1"/>
  <c r="H45" i="15" s="1"/>
  <c r="H46" i="15" a="1"/>
  <c r="H46" i="15" s="1"/>
  <c r="H47" i="15" a="1"/>
  <c r="H47" i="15" s="1"/>
  <c r="H48" i="15" a="1"/>
  <c r="H48" i="15" s="1"/>
  <c r="H49" i="15" a="1"/>
  <c r="H49" i="15" s="1"/>
  <c r="H50" i="15" a="1"/>
  <c r="H50" i="15" s="1"/>
  <c r="H51" i="15" a="1"/>
  <c r="H51" i="15" s="1"/>
  <c r="H52" i="15" a="1"/>
  <c r="H52" i="15" s="1"/>
  <c r="H53" i="15" a="1"/>
  <c r="H53" i="15" s="1"/>
  <c r="H54" i="15" a="1"/>
  <c r="H54" i="15" s="1"/>
  <c r="H56" i="15" a="1"/>
  <c r="H56" i="15" s="1"/>
  <c r="H57" i="15" a="1"/>
  <c r="H57" i="15" s="1"/>
  <c r="H58" i="15" a="1"/>
  <c r="H58" i="15" s="1"/>
  <c r="H59" i="15" a="1"/>
  <c r="H59" i="15" s="1"/>
  <c r="H60" i="15" a="1"/>
  <c r="H60" i="15" s="1"/>
  <c r="H61" i="15" a="1"/>
  <c r="H61" i="15" s="1"/>
  <c r="H63" i="15" a="1"/>
  <c r="H63" i="15" s="1"/>
  <c r="H64" i="15" a="1"/>
  <c r="H64" i="15" s="1"/>
  <c r="H65" i="15" a="1"/>
  <c r="H65" i="15" s="1"/>
  <c r="H66" i="15" a="1"/>
  <c r="H66" i="15" s="1"/>
  <c r="H67" i="15" a="1"/>
  <c r="H67" i="15" s="1"/>
  <c r="H68" i="15" a="1"/>
  <c r="H68" i="15" s="1"/>
  <c r="H69" i="15" a="1"/>
  <c r="H69" i="15" s="1"/>
  <c r="H72" i="15" a="1"/>
  <c r="H72" i="15" s="1"/>
  <c r="H73" i="15" a="1"/>
  <c r="H73" i="15" s="1"/>
  <c r="H74" i="15" a="1"/>
  <c r="H74" i="15" s="1"/>
  <c r="H75" i="15" a="1"/>
  <c r="H75" i="15" s="1"/>
  <c r="H77" i="15" a="1"/>
  <c r="H77" i="15" s="1"/>
  <c r="H78" i="15" a="1"/>
  <c r="H78" i="15" s="1"/>
  <c r="H79" i="15" a="1"/>
  <c r="H79" i="15" s="1"/>
  <c r="H80" i="15" a="1"/>
  <c r="H80" i="15" s="1"/>
  <c r="H82" i="15" a="1"/>
  <c r="H82" i="15" s="1"/>
  <c r="H83" i="15" a="1"/>
  <c r="H83" i="15" s="1"/>
  <c r="H84" i="15" a="1"/>
  <c r="H84" i="15" s="1"/>
  <c r="H85" i="15" a="1"/>
  <c r="H85" i="15" s="1"/>
  <c r="H86" i="15" a="1"/>
  <c r="H86" i="15" s="1"/>
  <c r="H87" i="15" a="1"/>
  <c r="H87" i="15" s="1"/>
  <c r="H88" i="15" a="1"/>
  <c r="H88" i="15" s="1"/>
  <c r="H89" i="15" a="1"/>
  <c r="H89" i="15" s="1"/>
  <c r="H90" i="15" a="1"/>
  <c r="H90" i="15" s="1"/>
  <c r="H92" i="15" a="1"/>
  <c r="H92" i="15" s="1"/>
  <c r="H93" i="15" a="1"/>
  <c r="H93" i="15" s="1"/>
  <c r="H94" i="15" a="1"/>
  <c r="H94" i="15" s="1"/>
  <c r="H95" i="15" a="1"/>
  <c r="H95" i="15" s="1"/>
  <c r="H96" i="15" a="1"/>
  <c r="H96" i="15" s="1"/>
  <c r="H97" i="15" a="1"/>
  <c r="H97" i="15" s="1"/>
  <c r="H98" i="15" a="1"/>
  <c r="H98" i="15" s="1"/>
  <c r="H99" i="15" a="1"/>
  <c r="H99" i="15" s="1"/>
  <c r="H100" i="15" a="1"/>
  <c r="H100" i="15" s="1"/>
  <c r="H101" i="15" a="1"/>
  <c r="H101" i="15" s="1"/>
  <c r="H103" i="15" a="1"/>
  <c r="H103" i="15" s="1"/>
  <c r="H104" i="15" a="1"/>
  <c r="H104" i="15" s="1"/>
  <c r="H105" i="15" a="1"/>
  <c r="H105" i="15" s="1"/>
  <c r="H106" i="15" a="1"/>
  <c r="H106" i="15" s="1"/>
  <c r="H109" i="15" a="1"/>
  <c r="H109" i="15" s="1"/>
  <c r="H111" i="15" a="1"/>
  <c r="H111" i="15" s="1"/>
  <c r="H112" i="15" a="1"/>
  <c r="H112" i="15" s="1"/>
  <c r="H113" i="15" a="1"/>
  <c r="H113" i="15" s="1"/>
  <c r="H114" i="15" a="1"/>
  <c r="H114" i="15" s="1"/>
  <c r="H115" i="15" a="1"/>
  <c r="H115" i="15" s="1"/>
  <c r="H116" i="15" a="1"/>
  <c r="H116" i="15" s="1"/>
  <c r="H117" i="15" a="1"/>
  <c r="H117" i="15" s="1"/>
  <c r="H118" i="15" a="1"/>
  <c r="H118" i="15" s="1"/>
  <c r="H119" i="15" a="1"/>
  <c r="H119" i="15" s="1"/>
  <c r="H121" i="15" a="1"/>
  <c r="H121" i="15" s="1"/>
  <c r="H122" i="15" a="1"/>
  <c r="H122" i="15" s="1"/>
  <c r="H123" i="15" a="1"/>
  <c r="H123" i="15" s="1"/>
  <c r="H124" i="15" a="1"/>
  <c r="H124" i="15" s="1"/>
  <c r="H125" i="15" a="1"/>
  <c r="H125" i="15" s="1"/>
  <c r="H126" i="15" a="1"/>
  <c r="H126" i="15" s="1"/>
  <c r="H127" i="15" a="1"/>
  <c r="H127" i="15" s="1"/>
  <c r="H128" i="15" a="1"/>
  <c r="H128" i="15" s="1"/>
  <c r="H129" i="15" a="1"/>
  <c r="H129" i="15" s="1"/>
  <c r="H130" i="15" a="1"/>
  <c r="H130" i="15" s="1"/>
  <c r="H132" i="15" a="1"/>
  <c r="H132" i="15" s="1"/>
  <c r="H133" i="15" a="1"/>
  <c r="H133" i="15" s="1"/>
  <c r="H134" i="15" a="1"/>
  <c r="H134" i="15" s="1"/>
  <c r="H135" i="15" a="1"/>
  <c r="H135" i="15" s="1"/>
  <c r="H136" i="15" a="1"/>
  <c r="H136" i="15" s="1"/>
  <c r="H137" i="15" a="1"/>
  <c r="H137" i="15" s="1"/>
  <c r="H138" i="15" a="1"/>
  <c r="H138" i="15" s="1"/>
  <c r="H139" i="15" a="1"/>
  <c r="H139" i="15" s="1"/>
  <c r="H140" i="15" a="1"/>
  <c r="H140" i="15" s="1"/>
  <c r="H143" i="15" a="1"/>
  <c r="H143" i="15" s="1"/>
  <c r="H144" i="15" a="1"/>
  <c r="H144" i="15" s="1"/>
  <c r="H145" i="15" a="1"/>
  <c r="H145" i="15" s="1"/>
  <c r="H146" i="15" a="1"/>
  <c r="H146" i="15" s="1"/>
  <c r="H147" i="15" a="1"/>
  <c r="H147" i="15" s="1"/>
  <c r="H148" i="15" a="1"/>
  <c r="H148" i="15" s="1"/>
  <c r="H149" i="15" a="1"/>
  <c r="H149" i="15" s="1"/>
  <c r="H150" i="15" a="1"/>
  <c r="H150" i="15" s="1"/>
  <c r="H151" i="15" a="1"/>
  <c r="H151" i="15" s="1"/>
  <c r="H152" i="15" a="1"/>
  <c r="H152" i="15" s="1"/>
  <c r="H153" i="15" a="1"/>
  <c r="H153" i="15" s="1"/>
  <c r="H155" i="15" a="1"/>
  <c r="H155" i="15" s="1"/>
  <c r="H156" i="15" a="1"/>
  <c r="H156" i="15" s="1"/>
  <c r="H157" i="15" a="1"/>
  <c r="H157" i="15" s="1"/>
  <c r="H158" i="15" a="1"/>
  <c r="H158" i="15" s="1"/>
  <c r="H159" i="15" a="1"/>
  <c r="H159" i="15" s="1"/>
  <c r="H160" i="15" a="1"/>
  <c r="H160" i="15" s="1"/>
  <c r="H161" i="15" a="1"/>
  <c r="H161" i="15" s="1"/>
  <c r="H162" i="15" a="1"/>
  <c r="H162" i="15" s="1"/>
  <c r="H163" i="15" a="1"/>
  <c r="H163" i="15" s="1"/>
  <c r="H165" i="15" a="1"/>
  <c r="H165" i="15" s="1"/>
  <c r="H167" i="15" a="1"/>
  <c r="H167" i="15" s="1"/>
  <c r="H168" i="15" a="1"/>
  <c r="H168" i="15" s="1"/>
  <c r="H169" i="15" a="1"/>
  <c r="H169" i="15" s="1"/>
  <c r="H170" i="15" a="1"/>
  <c r="H170" i="15" s="1"/>
  <c r="H171" i="15" a="1"/>
  <c r="H171" i="15" s="1"/>
  <c r="H173" i="15" a="1"/>
  <c r="H173" i="15" s="1"/>
  <c r="H174" i="15" a="1"/>
  <c r="H174" i="15" s="1"/>
  <c r="H175" i="15" a="1"/>
  <c r="H175" i="15" s="1"/>
  <c r="H176" i="15" a="1"/>
  <c r="H176" i="15" s="1"/>
  <c r="H177" i="15" a="1"/>
  <c r="H177" i="15" s="1"/>
  <c r="H178" i="15" a="1"/>
  <c r="H178" i="15" s="1"/>
  <c r="H180" i="15" a="1"/>
  <c r="H180" i="15" s="1"/>
  <c r="H181" i="15" a="1"/>
  <c r="H181" i="15" s="1"/>
  <c r="H182" i="15" a="1"/>
  <c r="H182" i="15" s="1"/>
  <c r="H183" i="15" a="1"/>
  <c r="H183" i="15" s="1"/>
  <c r="H184" i="15" a="1"/>
  <c r="H184" i="15" s="1"/>
  <c r="H186" i="15" a="1"/>
  <c r="H186" i="15" s="1"/>
  <c r="H187" i="15" a="1"/>
  <c r="H187" i="15" s="1"/>
  <c r="H188" i="15" a="1"/>
  <c r="H188" i="15" s="1"/>
  <c r="H189" i="15" a="1"/>
  <c r="H189" i="15" s="1"/>
  <c r="H190" i="15" a="1"/>
  <c r="H190" i="15" s="1"/>
  <c r="H192" i="15" a="1"/>
  <c r="H192" i="15" s="1"/>
  <c r="H193" i="15" a="1"/>
  <c r="H193" i="15" s="1"/>
  <c r="H194" i="15" a="1"/>
  <c r="H194" i="15" s="1"/>
  <c r="H196" i="15" a="1"/>
  <c r="H196" i="15" s="1"/>
  <c r="H197" i="15" a="1"/>
  <c r="H197" i="15" s="1"/>
  <c r="H198" i="15" a="1"/>
  <c r="H198" i="15" s="1"/>
  <c r="H199" i="15" a="1"/>
  <c r="H199" i="15" s="1"/>
  <c r="H201" i="15" a="1"/>
  <c r="H201" i="15" s="1"/>
  <c r="H202" i="15" a="1"/>
  <c r="H202" i="15" s="1"/>
  <c r="H203" i="15" a="1"/>
  <c r="H203" i="15" s="1"/>
  <c r="H204" i="15" a="1"/>
  <c r="H204" i="15" s="1"/>
  <c r="H205" i="15" a="1"/>
  <c r="H205" i="15" s="1"/>
  <c r="H206" i="15" a="1"/>
  <c r="H206" i="15" s="1"/>
  <c r="H207" i="15" a="1"/>
  <c r="H207" i="15" s="1"/>
  <c r="H211" i="15" a="1"/>
  <c r="H211" i="15" s="1"/>
  <c r="H212" i="15" a="1"/>
  <c r="H212" i="15" s="1"/>
  <c r="H213" i="15" a="1"/>
  <c r="H213" i="15" s="1"/>
  <c r="H214" i="15" a="1"/>
  <c r="H214" i="15" s="1"/>
  <c r="H216" i="15" a="1"/>
  <c r="H216" i="15" s="1"/>
  <c r="H217" i="15" a="1"/>
  <c r="H217" i="15" s="1"/>
  <c r="H218" i="15" a="1"/>
  <c r="H218" i="15" s="1"/>
  <c r="H219" i="15" a="1"/>
  <c r="H219" i="15" s="1"/>
  <c r="H220" i="15" a="1"/>
  <c r="H220" i="15" s="1"/>
  <c r="H221" i="15" a="1"/>
  <c r="H221" i="15" s="1"/>
  <c r="H222" i="15" a="1"/>
  <c r="H222" i="15" s="1"/>
  <c r="H224" i="15" a="1"/>
  <c r="H224" i="15" s="1"/>
  <c r="H225" i="15" a="1"/>
  <c r="H225" i="15" s="1"/>
  <c r="H227" i="15" a="1"/>
  <c r="H227" i="15" s="1"/>
  <c r="H229" i="15" a="1"/>
  <c r="H229" i="15" s="1"/>
  <c r="H230" i="15" a="1"/>
  <c r="H230" i="15" s="1"/>
  <c r="H232" i="15" a="1"/>
  <c r="H232" i="15" s="1"/>
  <c r="H234" i="15" a="1"/>
  <c r="H234" i="15" s="1"/>
  <c r="H236" i="15" a="1"/>
  <c r="H236" i="15" s="1"/>
  <c r="H237" i="15" a="1"/>
  <c r="H237" i="15" s="1"/>
  <c r="H239" i="15" a="1"/>
  <c r="H239" i="15" s="1"/>
  <c r="H243" i="15" a="1"/>
  <c r="H243" i="15" s="1"/>
  <c r="H244" i="15" a="1"/>
  <c r="H244" i="15" s="1"/>
  <c r="H245" i="15" a="1"/>
  <c r="H245" i="15" s="1"/>
  <c r="H246" i="15" a="1"/>
  <c r="H246" i="15" s="1"/>
  <c r="H248" i="15" a="1"/>
  <c r="H248" i="15" s="1"/>
  <c r="H249" i="15" a="1"/>
  <c r="H249" i="15" s="1"/>
  <c r="H251" i="15" a="1"/>
  <c r="H251" i="15" s="1"/>
  <c r="H252" i="15" a="1"/>
  <c r="H252" i="15" s="1"/>
  <c r="H253" i="15" a="1"/>
  <c r="H253" i="15" s="1"/>
  <c r="H254" i="15" a="1"/>
  <c r="H254" i="15" s="1"/>
  <c r="H256" i="15" a="1"/>
  <c r="H256" i="15" s="1"/>
  <c r="H261" i="15" a="1"/>
  <c r="H261" i="15" s="1"/>
  <c r="H263" i="15" a="1"/>
  <c r="H263" i="15" s="1"/>
  <c r="H264" i="15" a="1"/>
  <c r="H264" i="15" s="1"/>
  <c r="H265" i="15" a="1"/>
  <c r="H265" i="15" s="1"/>
  <c r="H267" i="15" a="1"/>
  <c r="H267" i="15" s="1"/>
  <c r="H271" i="15" a="1"/>
  <c r="H271" i="15" s="1"/>
  <c r="H272" i="15" a="1"/>
  <c r="H272" i="15" s="1"/>
  <c r="H273" i="15" a="1"/>
  <c r="H273" i="15" s="1"/>
  <c r="H274" i="15" a="1"/>
  <c r="H274" i="15" s="1"/>
  <c r="H276" i="15" a="1"/>
  <c r="H276" i="15" s="1"/>
  <c r="H277" i="15" a="1"/>
  <c r="H277" i="15" s="1"/>
  <c r="H278" i="15" a="1"/>
  <c r="H278" i="15" s="1"/>
  <c r="H281" i="15" a="1"/>
  <c r="H281" i="15" s="1"/>
  <c r="H283" i="15" a="1"/>
  <c r="H283" i="15" s="1"/>
  <c r="H286" i="15" a="1"/>
  <c r="H286" i="15" s="1"/>
  <c r="H287" i="15" a="1"/>
  <c r="H287" i="15" s="1"/>
  <c r="H288" i="15" a="1"/>
  <c r="H288" i="15" s="1"/>
  <c r="H289" i="15" a="1"/>
  <c r="H289" i="15" s="1"/>
  <c r="H290" i="15" a="1"/>
  <c r="H290" i="15" s="1"/>
  <c r="H291" i="15" a="1"/>
  <c r="H291" i="15" s="1"/>
  <c r="H292" i="15" a="1"/>
  <c r="H292" i="15" s="1"/>
  <c r="H293" i="15" a="1"/>
  <c r="H293" i="15" s="1"/>
  <c r="H294" i="15" a="1"/>
  <c r="H294" i="15" s="1"/>
  <c r="H295" i="15" a="1"/>
  <c r="H295" i="15" s="1"/>
  <c r="H298" i="15" a="1"/>
  <c r="H298" i="15" s="1"/>
  <c r="H299" i="15" a="1"/>
  <c r="H299" i="15" s="1"/>
  <c r="H301" i="15" a="1"/>
  <c r="H301" i="15" s="1"/>
  <c r="H302" i="15" a="1"/>
  <c r="H302" i="15" s="1"/>
  <c r="H303" i="15" a="1"/>
  <c r="H303" i="15" s="1"/>
  <c r="H304" i="15" a="1"/>
  <c r="H304" i="15" s="1"/>
  <c r="H306" i="15" a="1"/>
  <c r="H306" i="15" s="1"/>
  <c r="H309" i="15" a="1"/>
  <c r="H309" i="15" s="1"/>
  <c r="H310" i="15" a="1"/>
  <c r="H310" i="15" s="1"/>
  <c r="H312" i="15" a="1"/>
  <c r="H312" i="15" s="1"/>
  <c r="H313" i="15" a="1"/>
  <c r="H313" i="15" s="1"/>
  <c r="H314" i="15" a="1"/>
  <c r="H314" i="15" s="1"/>
  <c r="H315" i="15" a="1"/>
  <c r="H315" i="15" s="1"/>
  <c r="H316" i="15" a="1"/>
  <c r="H316" i="15" s="1"/>
  <c r="H317" i="15" a="1"/>
  <c r="H317" i="15" s="1"/>
  <c r="H318" i="15" a="1"/>
  <c r="H318" i="15" s="1"/>
  <c r="H319" i="15" a="1"/>
  <c r="H319" i="15" s="1"/>
  <c r="H320" i="15" a="1"/>
  <c r="H320" i="15" s="1"/>
  <c r="H321" i="15" a="1"/>
  <c r="H321" i="15" s="1"/>
  <c r="H322" i="15" a="1"/>
  <c r="H322" i="15" s="1"/>
  <c r="H323" i="15" a="1"/>
  <c r="H323" i="15" s="1"/>
  <c r="H324" i="15" a="1"/>
  <c r="H324" i="15" s="1"/>
  <c r="H325" i="15" a="1"/>
  <c r="H325" i="15" s="1"/>
  <c r="H326" i="15" a="1"/>
  <c r="H326" i="15" s="1"/>
  <c r="H329" i="15" a="1"/>
  <c r="H329" i="15" s="1"/>
  <c r="H330" i="15" a="1"/>
  <c r="H330" i="15" s="1"/>
  <c r="H331" i="15" a="1"/>
  <c r="H331" i="15" s="1"/>
  <c r="H332" i="15" a="1"/>
  <c r="H332" i="15" s="1"/>
  <c r="H333" i="15" a="1"/>
  <c r="H333" i="15" s="1"/>
  <c r="H334" i="15" a="1"/>
  <c r="H334" i="15" s="1"/>
  <c r="H335" i="15" a="1"/>
  <c r="H335" i="15" s="1"/>
  <c r="H336" i="15" a="1"/>
  <c r="H336" i="15" s="1"/>
  <c r="H339" i="15" a="1"/>
  <c r="H339" i="15" s="1"/>
  <c r="H340" i="15" a="1"/>
  <c r="H340" i="15" s="1"/>
  <c r="H342" i="15" a="1"/>
  <c r="H342" i="15" s="1"/>
  <c r="H343" i="15" a="1"/>
  <c r="H343" i="15" s="1"/>
  <c r="H344" i="15" a="1"/>
  <c r="H344" i="15" s="1"/>
  <c r="H345" i="15" a="1"/>
  <c r="H345" i="15" s="1"/>
  <c r="H346" i="15" a="1"/>
  <c r="H346" i="15" s="1"/>
  <c r="H347" i="15" a="1"/>
  <c r="H347" i="15" s="1"/>
  <c r="H348" i="15" a="1"/>
  <c r="H348" i="15" s="1"/>
  <c r="H350" i="15" a="1"/>
  <c r="H350" i="15" s="1"/>
  <c r="H351" i="15" a="1"/>
  <c r="H351" i="15" s="1"/>
  <c r="H352" i="15" a="1"/>
  <c r="H352" i="15" s="1"/>
  <c r="H353" i="15" a="1"/>
  <c r="H353" i="15" s="1"/>
  <c r="H354" i="15" a="1"/>
  <c r="H354" i="15" s="1"/>
  <c r="H357" i="15" a="1"/>
  <c r="H357" i="15" s="1"/>
  <c r="H358" i="15" a="1"/>
  <c r="H358" i="15" s="1"/>
  <c r="H360" i="15" a="1"/>
  <c r="H360" i="15" s="1"/>
  <c r="H363" i="15" a="1"/>
  <c r="H363" i="15" s="1"/>
  <c r="H364" i="15" a="1"/>
  <c r="H364" i="15" s="1"/>
  <c r="H365" i="15" a="1"/>
  <c r="H365" i="15" s="1"/>
  <c r="H366" i="15" a="1"/>
  <c r="H366" i="15" s="1"/>
  <c r="H367" i="15" a="1"/>
  <c r="H367" i="15" s="1"/>
  <c r="H371" i="15" a="1"/>
  <c r="H371" i="15" s="1"/>
  <c r="H372" i="15" a="1"/>
  <c r="H372" i="15" s="1"/>
  <c r="H373" i="15" a="1"/>
  <c r="H373" i="15" s="1"/>
  <c r="H375" i="15" a="1"/>
  <c r="H375" i="15" s="1"/>
  <c r="H377" i="15" a="1"/>
  <c r="H377" i="15" s="1"/>
  <c r="H379" i="15" a="1"/>
  <c r="H379" i="15" s="1"/>
  <c r="H380" i="15" a="1"/>
  <c r="H380" i="15" s="1"/>
  <c r="H381" i="15" a="1"/>
  <c r="H381" i="15" s="1"/>
  <c r="H382" i="15" a="1"/>
  <c r="H382" i="15" s="1"/>
  <c r="H383" i="15" a="1"/>
  <c r="H383" i="15" s="1"/>
  <c r="H384" i="15" a="1"/>
  <c r="H384" i="15" s="1"/>
  <c r="H385" i="15" a="1"/>
  <c r="H385" i="15" s="1"/>
  <c r="H386" i="15" a="1"/>
  <c r="H386" i="15" s="1"/>
  <c r="H387" i="15" a="1"/>
  <c r="H387" i="15" s="1"/>
  <c r="H388" i="15" a="1"/>
  <c r="H388" i="15" s="1"/>
  <c r="H389" i="15" a="1"/>
  <c r="H389" i="15" s="1"/>
  <c r="H390" i="15" a="1"/>
  <c r="H390" i="15" s="1"/>
  <c r="H392" i="15" a="1"/>
  <c r="H392" i="15" s="1"/>
  <c r="H393" i="15" a="1"/>
  <c r="H393" i="15" s="1"/>
  <c r="H394" i="15" a="1"/>
  <c r="H394" i="15" s="1"/>
  <c r="H395" i="15" a="1"/>
  <c r="H395" i="15" s="1"/>
  <c r="H402" i="15" a="1"/>
  <c r="H402" i="15" s="1"/>
  <c r="H404" i="15" a="1"/>
  <c r="H404" i="15" s="1"/>
  <c r="H407" i="15" a="1"/>
  <c r="H407" i="15" s="1"/>
  <c r="H408" i="15" a="1"/>
  <c r="H408" i="15" s="1"/>
  <c r="H409" i="15" a="1"/>
  <c r="H409" i="15" s="1"/>
  <c r="H410" i="15" a="1"/>
  <c r="H410" i="15" s="1"/>
  <c r="H411" i="15" a="1"/>
  <c r="H411" i="15" s="1"/>
  <c r="H412" i="15" a="1"/>
  <c r="H412" i="15" s="1"/>
  <c r="H413" i="15" a="1"/>
  <c r="H413" i="15" s="1"/>
  <c r="H415" i="15" a="1"/>
  <c r="H415" i="15" s="1"/>
  <c r="H416" i="15" a="1"/>
  <c r="H416" i="15" s="1"/>
  <c r="H417" i="15" a="1"/>
  <c r="H417" i="15" s="1"/>
  <c r="H418" i="15" a="1"/>
  <c r="H418" i="15" s="1"/>
  <c r="H419" i="15" a="1"/>
  <c r="H419" i="15" s="1"/>
  <c r="H421" i="15" a="1"/>
  <c r="H421" i="15" s="1"/>
  <c r="H424" i="15" a="1"/>
  <c r="H424" i="15" s="1"/>
  <c r="H425" i="15" a="1"/>
  <c r="H425" i="15" s="1"/>
  <c r="H427" i="15" a="1"/>
  <c r="H427" i="15" s="1"/>
  <c r="H428" i="15" a="1"/>
  <c r="H428" i="15" s="1"/>
  <c r="H430" i="15" a="1"/>
  <c r="H430" i="15" s="1"/>
  <c r="H431" i="15" a="1"/>
  <c r="H431" i="15" s="1"/>
  <c r="H432" i="15" a="1"/>
  <c r="H432" i="15" s="1"/>
  <c r="H435" i="15" a="1"/>
  <c r="H435" i="15" s="1"/>
  <c r="H436" i="15" a="1"/>
  <c r="H436" i="15" s="1"/>
  <c r="H438" i="15" a="1"/>
  <c r="H438" i="15" s="1"/>
  <c r="H440" i="15" a="1"/>
  <c r="H440" i="15" s="1"/>
  <c r="H445" i="15" a="1"/>
  <c r="H445" i="15" s="1"/>
  <c r="H448" i="15" a="1"/>
  <c r="H448" i="15" s="1"/>
  <c r="H450" i="15" a="1"/>
  <c r="H450" i="15" s="1"/>
  <c r="H451" i="15" a="1"/>
  <c r="H451" i="15" s="1"/>
  <c r="H452" i="15" a="1"/>
  <c r="H452" i="15" s="1"/>
  <c r="H454" i="15" a="1"/>
  <c r="H454" i="15" s="1"/>
  <c r="H455" i="15" a="1"/>
  <c r="H455" i="15" s="1"/>
  <c r="H456" i="15" a="1"/>
  <c r="H456" i="15" s="1"/>
  <c r="H457" i="15" a="1"/>
  <c r="H457" i="15" s="1"/>
  <c r="H459" i="15" a="1"/>
  <c r="H459" i="15" s="1"/>
  <c r="H460" i="15" a="1"/>
  <c r="H460" i="15" s="1"/>
  <c r="H461" i="15" a="1"/>
  <c r="H461" i="15" s="1"/>
  <c r="H463" i="15" a="1"/>
  <c r="H463" i="15" s="1"/>
  <c r="H464" i="15" a="1"/>
  <c r="H464" i="15" s="1"/>
  <c r="H467" i="15" a="1"/>
  <c r="H467" i="15" s="1"/>
  <c r="H468" i="15" a="1"/>
  <c r="H468" i="15" s="1"/>
  <c r="H470" i="15" a="1"/>
  <c r="H470" i="15" s="1"/>
  <c r="H471" i="15" a="1"/>
  <c r="H471" i="15" s="1"/>
  <c r="H474" i="15" a="1"/>
  <c r="H474" i="15" s="1"/>
  <c r="H476" i="15" a="1"/>
  <c r="H476" i="15" s="1"/>
  <c r="H477" i="15" a="1"/>
  <c r="H477" i="15" s="1"/>
  <c r="H478" i="15" a="1"/>
  <c r="H478" i="15" s="1"/>
  <c r="H484" i="15" a="1"/>
  <c r="H484" i="15" s="1"/>
  <c r="H485" i="15" a="1"/>
  <c r="H485" i="15" s="1"/>
  <c r="H486" i="15" a="1"/>
  <c r="H486" i="15" s="1"/>
  <c r="H488" i="15" a="1"/>
  <c r="H488" i="15" s="1"/>
  <c r="H490" i="15" a="1"/>
  <c r="H490" i="15" s="1"/>
  <c r="H492" i="15" a="1"/>
  <c r="H492" i="15" s="1"/>
  <c r="H493" i="15" a="1"/>
  <c r="H493" i="15" s="1"/>
  <c r="H494" i="15" a="1"/>
  <c r="H494" i="15" s="1"/>
  <c r="H496" i="15" a="1"/>
  <c r="H496" i="15" s="1"/>
  <c r="H497" i="15" a="1"/>
  <c r="H497" i="15" s="1"/>
  <c r="H500" i="15" a="1"/>
  <c r="H500" i="15" s="1"/>
  <c r="F44" i="15" a="1"/>
  <c r="F44" i="15" s="1"/>
  <c r="G44" i="15" s="1"/>
  <c r="I44" i="15" a="1"/>
  <c r="I44" i="15" s="1"/>
  <c r="F45" i="15" a="1"/>
  <c r="F45" i="15" s="1"/>
  <c r="G45" i="15" s="1"/>
  <c r="I45" i="15" a="1"/>
  <c r="I45" i="15" s="1"/>
  <c r="F46" i="15" a="1"/>
  <c r="F46" i="15" s="1"/>
  <c r="G46" i="15" s="1"/>
  <c r="I46" i="15" a="1"/>
  <c r="I46" i="15" s="1"/>
  <c r="F47" i="15" a="1"/>
  <c r="F47" i="15" s="1"/>
  <c r="G47" i="15" s="1"/>
  <c r="I47" i="15" a="1"/>
  <c r="I47" i="15" s="1"/>
  <c r="F48" i="15" a="1"/>
  <c r="F48" i="15" s="1"/>
  <c r="G48" i="15" s="1"/>
  <c r="I48" i="15" a="1"/>
  <c r="I48" i="15" s="1"/>
  <c r="F49" i="15" a="1"/>
  <c r="F49" i="15" s="1"/>
  <c r="G49" i="15" s="1"/>
  <c r="I49" i="15" a="1"/>
  <c r="I49" i="15" s="1"/>
  <c r="F50" i="15" a="1"/>
  <c r="F50" i="15" s="1"/>
  <c r="G50" i="15" s="1"/>
  <c r="I50" i="15" a="1"/>
  <c r="I50" i="15" s="1"/>
  <c r="F51" i="15" a="1"/>
  <c r="F51" i="15" s="1"/>
  <c r="G51" i="15" s="1"/>
  <c r="I51" i="15" a="1"/>
  <c r="I51" i="15" s="1"/>
  <c r="F52" i="15" a="1"/>
  <c r="F52" i="15" s="1"/>
  <c r="G52" i="15" s="1"/>
  <c r="I52" i="15" a="1"/>
  <c r="I52" i="15" s="1"/>
  <c r="F53" i="15" a="1"/>
  <c r="F53" i="15" s="1"/>
  <c r="G53" i="15" s="1"/>
  <c r="I53" i="15" a="1"/>
  <c r="I53" i="15" s="1"/>
  <c r="F54" i="15" a="1"/>
  <c r="F54" i="15" s="1"/>
  <c r="G54" i="15" s="1"/>
  <c r="I54" i="15" a="1"/>
  <c r="I54" i="15" s="1"/>
  <c r="F56" i="15" a="1"/>
  <c r="F56" i="15" s="1"/>
  <c r="G56" i="15" s="1"/>
  <c r="I56" i="15" a="1"/>
  <c r="I56" i="15" s="1"/>
  <c r="F57" i="15" a="1"/>
  <c r="F57" i="15" s="1"/>
  <c r="G57" i="15" s="1"/>
  <c r="I57" i="15" a="1"/>
  <c r="I57" i="15" s="1"/>
  <c r="F58" i="15" a="1"/>
  <c r="F58" i="15" s="1"/>
  <c r="G58" i="15" s="1"/>
  <c r="I58" i="15" a="1"/>
  <c r="I58" i="15" s="1"/>
  <c r="F59" i="15" a="1"/>
  <c r="F59" i="15" s="1"/>
  <c r="G59" i="15" s="1"/>
  <c r="I59" i="15" a="1"/>
  <c r="I59" i="15" s="1"/>
  <c r="F60" i="15" a="1"/>
  <c r="F60" i="15" s="1"/>
  <c r="G60" i="15" s="1"/>
  <c r="I60" i="15" a="1"/>
  <c r="I60" i="15" s="1"/>
  <c r="F61" i="15" a="1"/>
  <c r="F61" i="15" s="1"/>
  <c r="G61" i="15" s="1"/>
  <c r="I61" i="15" a="1"/>
  <c r="I61" i="15" s="1"/>
  <c r="F63" i="15" a="1"/>
  <c r="F63" i="15" s="1"/>
  <c r="G63" i="15" s="1"/>
  <c r="I63" i="15" a="1"/>
  <c r="I63" i="15" s="1"/>
  <c r="F64" i="15" a="1"/>
  <c r="F64" i="15" s="1"/>
  <c r="G64" i="15" s="1"/>
  <c r="I64" i="15" a="1"/>
  <c r="I64" i="15" s="1"/>
  <c r="F65" i="15" a="1"/>
  <c r="F65" i="15" s="1"/>
  <c r="G65" i="15" s="1"/>
  <c r="I65" i="15" a="1"/>
  <c r="I65" i="15" s="1"/>
  <c r="F66" i="15" a="1"/>
  <c r="F66" i="15" s="1"/>
  <c r="G66" i="15" s="1"/>
  <c r="I66" i="15" a="1"/>
  <c r="I66" i="15" s="1"/>
  <c r="F67" i="15" a="1"/>
  <c r="F67" i="15" s="1"/>
  <c r="G67" i="15" s="1"/>
  <c r="I67" i="15" a="1"/>
  <c r="I67" i="15" s="1"/>
  <c r="F68" i="15" a="1"/>
  <c r="F68" i="15" s="1"/>
  <c r="G68" i="15" s="1"/>
  <c r="I68" i="15" a="1"/>
  <c r="I68" i="15" s="1"/>
  <c r="F69" i="15" a="1"/>
  <c r="F69" i="15" s="1"/>
  <c r="G69" i="15" s="1"/>
  <c r="I69" i="15" a="1"/>
  <c r="I69" i="15" s="1"/>
  <c r="F72" i="15" a="1"/>
  <c r="F72" i="15" s="1"/>
  <c r="G72" i="15" s="1"/>
  <c r="I72" i="15" a="1"/>
  <c r="I72" i="15" s="1"/>
  <c r="F73" i="15" a="1"/>
  <c r="F73" i="15" s="1"/>
  <c r="G73" i="15" s="1"/>
  <c r="I73" i="15" a="1"/>
  <c r="I73" i="15" s="1"/>
  <c r="F74" i="15" a="1"/>
  <c r="F74" i="15" s="1"/>
  <c r="G74" i="15" s="1"/>
  <c r="I74" i="15" a="1"/>
  <c r="I74" i="15" s="1"/>
  <c r="F75" i="15" a="1"/>
  <c r="F75" i="15" s="1"/>
  <c r="G75" i="15" s="1"/>
  <c r="I75" i="15" a="1"/>
  <c r="I75" i="15" s="1"/>
  <c r="F77" i="15" a="1"/>
  <c r="F77" i="15" s="1"/>
  <c r="G77" i="15" s="1"/>
  <c r="I77" i="15" a="1"/>
  <c r="I77" i="15" s="1"/>
  <c r="F78" i="15" a="1"/>
  <c r="F78" i="15" s="1"/>
  <c r="G78" i="15" s="1"/>
  <c r="I78" i="15" a="1"/>
  <c r="I78" i="15" s="1"/>
  <c r="F79" i="15" a="1"/>
  <c r="F79" i="15" s="1"/>
  <c r="G79" i="15" s="1"/>
  <c r="I79" i="15" a="1"/>
  <c r="I79" i="15" s="1"/>
  <c r="F80" i="15" a="1"/>
  <c r="F80" i="15" s="1"/>
  <c r="G80" i="15" s="1"/>
  <c r="I80" i="15" a="1"/>
  <c r="I80" i="15" s="1"/>
  <c r="F82" i="15" a="1"/>
  <c r="F82" i="15" s="1"/>
  <c r="G82" i="15" s="1"/>
  <c r="I82" i="15" a="1"/>
  <c r="I82" i="15" s="1"/>
  <c r="F83" i="15" a="1"/>
  <c r="F83" i="15" s="1"/>
  <c r="G83" i="15" s="1"/>
  <c r="I83" i="15" a="1"/>
  <c r="I83" i="15" s="1"/>
  <c r="F84" i="15" a="1"/>
  <c r="F84" i="15" s="1"/>
  <c r="G84" i="15" s="1"/>
  <c r="I84" i="15" a="1"/>
  <c r="I84" i="15" s="1"/>
  <c r="F85" i="15" a="1"/>
  <c r="F85" i="15" s="1"/>
  <c r="G85" i="15" s="1"/>
  <c r="I85" i="15" a="1"/>
  <c r="I85" i="15" s="1"/>
  <c r="F86" i="15" a="1"/>
  <c r="F86" i="15" s="1"/>
  <c r="G86" i="15" s="1"/>
  <c r="I86" i="15" a="1"/>
  <c r="I86" i="15" s="1"/>
  <c r="F87" i="15" a="1"/>
  <c r="F87" i="15" s="1"/>
  <c r="G87" i="15" s="1"/>
  <c r="I87" i="15" a="1"/>
  <c r="I87" i="15" s="1"/>
  <c r="F88" i="15" a="1"/>
  <c r="F88" i="15" s="1"/>
  <c r="G88" i="15" s="1"/>
  <c r="I88" i="15" a="1"/>
  <c r="I88" i="15" s="1"/>
  <c r="F89" i="15" a="1"/>
  <c r="F89" i="15" s="1"/>
  <c r="G89" i="15" s="1"/>
  <c r="I89" i="15" a="1"/>
  <c r="I89" i="15" s="1"/>
  <c r="F90" i="15" a="1"/>
  <c r="F90" i="15" s="1"/>
  <c r="G90" i="15" s="1"/>
  <c r="I90" i="15" a="1"/>
  <c r="I90" i="15" s="1"/>
  <c r="F92" i="15" a="1"/>
  <c r="F92" i="15" s="1"/>
  <c r="G92" i="15" s="1"/>
  <c r="I92" i="15" a="1"/>
  <c r="I92" i="15" s="1"/>
  <c r="F93" i="15" a="1"/>
  <c r="F93" i="15" s="1"/>
  <c r="G93" i="15" s="1"/>
  <c r="I93" i="15" a="1"/>
  <c r="I93" i="15" s="1"/>
  <c r="F94" i="15" a="1"/>
  <c r="F94" i="15" s="1"/>
  <c r="G94" i="15" s="1"/>
  <c r="I94" i="15" a="1"/>
  <c r="I94" i="15" s="1"/>
  <c r="F95" i="15" a="1"/>
  <c r="F95" i="15" s="1"/>
  <c r="G95" i="15" s="1"/>
  <c r="I95" i="15" a="1"/>
  <c r="I95" i="15" s="1"/>
  <c r="F96" i="15" a="1"/>
  <c r="F96" i="15" s="1"/>
  <c r="G96" i="15" s="1"/>
  <c r="I96" i="15" a="1"/>
  <c r="I96" i="15" s="1"/>
  <c r="F97" i="15" a="1"/>
  <c r="F97" i="15" s="1"/>
  <c r="G97" i="15" s="1"/>
  <c r="I97" i="15" a="1"/>
  <c r="I97" i="15" s="1"/>
  <c r="F98" i="15" a="1"/>
  <c r="F98" i="15" s="1"/>
  <c r="G98" i="15" s="1"/>
  <c r="I98" i="15" a="1"/>
  <c r="I98" i="15" s="1"/>
  <c r="F99" i="15" a="1"/>
  <c r="F99" i="15" s="1"/>
  <c r="G99" i="15" s="1"/>
  <c r="I99" i="15" a="1"/>
  <c r="I99" i="15" s="1"/>
  <c r="F100" i="15" a="1"/>
  <c r="F100" i="15" s="1"/>
  <c r="G100" i="15" s="1"/>
  <c r="I100" i="15" a="1"/>
  <c r="I100" i="15" s="1"/>
  <c r="F101" i="15" a="1"/>
  <c r="F101" i="15" s="1"/>
  <c r="G101" i="15" s="1"/>
  <c r="I101" i="15" a="1"/>
  <c r="I101" i="15" s="1"/>
  <c r="F103" i="15" a="1"/>
  <c r="F103" i="15" s="1"/>
  <c r="G103" i="15" s="1"/>
  <c r="I103" i="15" a="1"/>
  <c r="I103" i="15" s="1"/>
  <c r="F104" i="15" a="1"/>
  <c r="F104" i="15" s="1"/>
  <c r="G104" i="15" s="1"/>
  <c r="I104" i="15" a="1"/>
  <c r="I104" i="15" s="1"/>
  <c r="F105" i="15" a="1"/>
  <c r="F105" i="15" s="1"/>
  <c r="G105" i="15" s="1"/>
  <c r="I105" i="15" a="1"/>
  <c r="I105" i="15" s="1"/>
  <c r="F106" i="15" a="1"/>
  <c r="F106" i="15" s="1"/>
  <c r="G106" i="15" s="1"/>
  <c r="I106" i="15" a="1"/>
  <c r="I106" i="15" s="1"/>
  <c r="F109" i="15" a="1"/>
  <c r="F109" i="15" s="1"/>
  <c r="G109" i="15" s="1"/>
  <c r="I109" i="15" a="1"/>
  <c r="I109" i="15" s="1"/>
  <c r="F111" i="15" a="1"/>
  <c r="F111" i="15" s="1"/>
  <c r="G111" i="15" s="1"/>
  <c r="I111" i="15" a="1"/>
  <c r="I111" i="15" s="1"/>
  <c r="F112" i="15" a="1"/>
  <c r="F112" i="15" s="1"/>
  <c r="G112" i="15" s="1"/>
  <c r="I112" i="15" a="1"/>
  <c r="I112" i="15" s="1"/>
  <c r="F113" i="15" a="1"/>
  <c r="F113" i="15" s="1"/>
  <c r="G113" i="15" s="1"/>
  <c r="I113" i="15" a="1"/>
  <c r="I113" i="15" s="1"/>
  <c r="F114" i="15" a="1"/>
  <c r="F114" i="15" s="1"/>
  <c r="G114" i="15" s="1"/>
  <c r="I114" i="15" a="1"/>
  <c r="I114" i="15" s="1"/>
  <c r="F115" i="15" a="1"/>
  <c r="F115" i="15" s="1"/>
  <c r="G115" i="15" s="1"/>
  <c r="I115" i="15" a="1"/>
  <c r="I115" i="15" s="1"/>
  <c r="F116" i="15" a="1"/>
  <c r="F116" i="15" s="1"/>
  <c r="G116" i="15" s="1"/>
  <c r="I116" i="15" a="1"/>
  <c r="I116" i="15" s="1"/>
  <c r="F117" i="15" a="1"/>
  <c r="F117" i="15" s="1"/>
  <c r="G117" i="15" s="1"/>
  <c r="I117" i="15" a="1"/>
  <c r="I117" i="15" s="1"/>
  <c r="F118" i="15" a="1"/>
  <c r="F118" i="15" s="1"/>
  <c r="G118" i="15" s="1"/>
  <c r="I118" i="15" a="1"/>
  <c r="I118" i="15" s="1"/>
  <c r="F119" i="15" a="1"/>
  <c r="F119" i="15" s="1"/>
  <c r="G119" i="15" s="1"/>
  <c r="I119" i="15" a="1"/>
  <c r="I119" i="15" s="1"/>
  <c r="F121" i="15" a="1"/>
  <c r="F121" i="15" s="1"/>
  <c r="G121" i="15" s="1"/>
  <c r="I121" i="15" a="1"/>
  <c r="I121" i="15" s="1"/>
  <c r="F122" i="15" a="1"/>
  <c r="F122" i="15" s="1"/>
  <c r="G122" i="15" s="1"/>
  <c r="I122" i="15" a="1"/>
  <c r="I122" i="15" s="1"/>
  <c r="F123" i="15" a="1"/>
  <c r="F123" i="15" s="1"/>
  <c r="G123" i="15" s="1"/>
  <c r="I123" i="15" a="1"/>
  <c r="I123" i="15" s="1"/>
  <c r="F124" i="15" a="1"/>
  <c r="F124" i="15" s="1"/>
  <c r="G124" i="15" s="1"/>
  <c r="I124" i="15" a="1"/>
  <c r="I124" i="15" s="1"/>
  <c r="F125" i="15" a="1"/>
  <c r="F125" i="15" s="1"/>
  <c r="G125" i="15" s="1"/>
  <c r="I125" i="15" a="1"/>
  <c r="I125" i="15" s="1"/>
  <c r="F126" i="15" a="1"/>
  <c r="F126" i="15" s="1"/>
  <c r="G126" i="15" s="1"/>
  <c r="I126" i="15" a="1"/>
  <c r="I126" i="15" s="1"/>
  <c r="F127" i="15" a="1"/>
  <c r="F127" i="15" s="1"/>
  <c r="G127" i="15" s="1"/>
  <c r="I127" i="15" a="1"/>
  <c r="I127" i="15" s="1"/>
  <c r="F128" i="15" a="1"/>
  <c r="F128" i="15" s="1"/>
  <c r="G128" i="15" s="1"/>
  <c r="I128" i="15" a="1"/>
  <c r="I128" i="15" s="1"/>
  <c r="F129" i="15" a="1"/>
  <c r="F129" i="15" s="1"/>
  <c r="G129" i="15" s="1"/>
  <c r="I129" i="15" a="1"/>
  <c r="I129" i="15" s="1"/>
  <c r="F130" i="15" a="1"/>
  <c r="F130" i="15" s="1"/>
  <c r="G130" i="15" s="1"/>
  <c r="I130" i="15" a="1"/>
  <c r="I130" i="15" s="1"/>
  <c r="F132" i="15" a="1"/>
  <c r="F132" i="15" s="1"/>
  <c r="G132" i="15" s="1"/>
  <c r="I132" i="15" a="1"/>
  <c r="I132" i="15" s="1"/>
  <c r="F133" i="15" a="1"/>
  <c r="F133" i="15" s="1"/>
  <c r="G133" i="15" s="1"/>
  <c r="I133" i="15" a="1"/>
  <c r="I133" i="15" s="1"/>
  <c r="F134" i="15" a="1"/>
  <c r="F134" i="15" s="1"/>
  <c r="G134" i="15" s="1"/>
  <c r="I134" i="15" a="1"/>
  <c r="I134" i="15" s="1"/>
  <c r="F135" i="15" a="1"/>
  <c r="F135" i="15" s="1"/>
  <c r="G135" i="15" s="1"/>
  <c r="I135" i="15" a="1"/>
  <c r="I135" i="15" s="1"/>
  <c r="F136" i="15" a="1"/>
  <c r="F136" i="15" s="1"/>
  <c r="G136" i="15" s="1"/>
  <c r="I136" i="15" a="1"/>
  <c r="I136" i="15" s="1"/>
  <c r="F137" i="15" a="1"/>
  <c r="F137" i="15" s="1"/>
  <c r="G137" i="15" s="1"/>
  <c r="I137" i="15" a="1"/>
  <c r="I137" i="15" s="1"/>
  <c r="F138" i="15" a="1"/>
  <c r="F138" i="15" s="1"/>
  <c r="G138" i="15" s="1"/>
  <c r="I138" i="15" a="1"/>
  <c r="I138" i="15" s="1"/>
  <c r="F139" i="15" a="1"/>
  <c r="F139" i="15" s="1"/>
  <c r="G139" i="15" s="1"/>
  <c r="I139" i="15" a="1"/>
  <c r="I139" i="15" s="1"/>
  <c r="F140" i="15" a="1"/>
  <c r="F140" i="15" s="1"/>
  <c r="G140" i="15" s="1"/>
  <c r="I140" i="15" a="1"/>
  <c r="I140" i="15" s="1"/>
  <c r="F143" i="15" a="1"/>
  <c r="F143" i="15" s="1"/>
  <c r="G143" i="15" s="1"/>
  <c r="I143" i="15" a="1"/>
  <c r="I143" i="15" s="1"/>
  <c r="F144" i="15" a="1"/>
  <c r="F144" i="15" s="1"/>
  <c r="G144" i="15" s="1"/>
  <c r="I144" i="15" a="1"/>
  <c r="I144" i="15" s="1"/>
  <c r="F145" i="15" a="1"/>
  <c r="F145" i="15" s="1"/>
  <c r="G145" i="15" s="1"/>
  <c r="I145" i="15" a="1"/>
  <c r="I145" i="15" s="1"/>
  <c r="F146" i="15" a="1"/>
  <c r="F146" i="15" s="1"/>
  <c r="G146" i="15" s="1"/>
  <c r="I146" i="15" a="1"/>
  <c r="I146" i="15" s="1"/>
  <c r="F147" i="15" a="1"/>
  <c r="F147" i="15" s="1"/>
  <c r="G147" i="15" s="1"/>
  <c r="I147" i="15" a="1"/>
  <c r="I147" i="15" s="1"/>
  <c r="F148" i="15" a="1"/>
  <c r="F148" i="15" s="1"/>
  <c r="G148" i="15" s="1"/>
  <c r="I148" i="15" a="1"/>
  <c r="I148" i="15" s="1"/>
  <c r="F149" i="15" a="1"/>
  <c r="F149" i="15" s="1"/>
  <c r="G149" i="15" s="1"/>
  <c r="I149" i="15" a="1"/>
  <c r="I149" i="15" s="1"/>
  <c r="F150" i="15" a="1"/>
  <c r="F150" i="15" s="1"/>
  <c r="G150" i="15" s="1"/>
  <c r="I150" i="15" a="1"/>
  <c r="I150" i="15" s="1"/>
  <c r="F151" i="15" a="1"/>
  <c r="F151" i="15" s="1"/>
  <c r="G151" i="15" s="1"/>
  <c r="I151" i="15" a="1"/>
  <c r="I151" i="15" s="1"/>
  <c r="F152" i="15" a="1"/>
  <c r="F152" i="15" s="1"/>
  <c r="G152" i="15" s="1"/>
  <c r="I152" i="15" a="1"/>
  <c r="I152" i="15" s="1"/>
  <c r="F153" i="15" a="1"/>
  <c r="F153" i="15" s="1"/>
  <c r="G153" i="15" s="1"/>
  <c r="I153" i="15" a="1"/>
  <c r="I153" i="15" s="1"/>
  <c r="F155" i="15" a="1"/>
  <c r="F155" i="15" s="1"/>
  <c r="G155" i="15" s="1"/>
  <c r="I155" i="15" a="1"/>
  <c r="I155" i="15" s="1"/>
  <c r="F156" i="15" a="1"/>
  <c r="F156" i="15" s="1"/>
  <c r="G156" i="15" s="1"/>
  <c r="I156" i="15" a="1"/>
  <c r="I156" i="15" s="1"/>
  <c r="F157" i="15" a="1"/>
  <c r="F157" i="15" s="1"/>
  <c r="G157" i="15" s="1"/>
  <c r="I157" i="15" a="1"/>
  <c r="I157" i="15" s="1"/>
  <c r="F158" i="15" a="1"/>
  <c r="F158" i="15" s="1"/>
  <c r="G158" i="15" s="1"/>
  <c r="I158" i="15" a="1"/>
  <c r="I158" i="15" s="1"/>
  <c r="F159" i="15" a="1"/>
  <c r="F159" i="15" s="1"/>
  <c r="G159" i="15" s="1"/>
  <c r="I159" i="15" a="1"/>
  <c r="I159" i="15" s="1"/>
  <c r="F160" i="15" a="1"/>
  <c r="F160" i="15" s="1"/>
  <c r="G160" i="15" s="1"/>
  <c r="I160" i="15" a="1"/>
  <c r="I160" i="15" s="1"/>
  <c r="F161" i="15" a="1"/>
  <c r="F161" i="15" s="1"/>
  <c r="G161" i="15" s="1"/>
  <c r="I161" i="15" a="1"/>
  <c r="I161" i="15" s="1"/>
  <c r="F162" i="15" a="1"/>
  <c r="F162" i="15" s="1"/>
  <c r="G162" i="15" s="1"/>
  <c r="I162" i="15" a="1"/>
  <c r="I162" i="15" s="1"/>
  <c r="F163" i="15" a="1"/>
  <c r="F163" i="15" s="1"/>
  <c r="G163" i="15" s="1"/>
  <c r="I163" i="15" a="1"/>
  <c r="I163" i="15" s="1"/>
  <c r="F165" i="15" a="1"/>
  <c r="F165" i="15" s="1"/>
  <c r="G165" i="15" s="1"/>
  <c r="I165" i="15" a="1"/>
  <c r="I165" i="15" s="1"/>
  <c r="F167" i="15" a="1"/>
  <c r="F167" i="15" s="1"/>
  <c r="G167" i="15" s="1"/>
  <c r="I167" i="15" a="1"/>
  <c r="I167" i="15" s="1"/>
  <c r="F168" i="15" a="1"/>
  <c r="F168" i="15" s="1"/>
  <c r="G168" i="15" s="1"/>
  <c r="I168" i="15" a="1"/>
  <c r="I168" i="15" s="1"/>
  <c r="F169" i="15" a="1"/>
  <c r="F169" i="15" s="1"/>
  <c r="G169" i="15" s="1"/>
  <c r="I169" i="15" a="1"/>
  <c r="I169" i="15" s="1"/>
  <c r="F170" i="15" a="1"/>
  <c r="F170" i="15" s="1"/>
  <c r="G170" i="15" s="1"/>
  <c r="I170" i="15" a="1"/>
  <c r="I170" i="15" s="1"/>
  <c r="F171" i="15" a="1"/>
  <c r="F171" i="15" s="1"/>
  <c r="G171" i="15" s="1"/>
  <c r="I171" i="15" a="1"/>
  <c r="I171" i="15" s="1"/>
  <c r="F173" i="15" a="1"/>
  <c r="F173" i="15" s="1"/>
  <c r="G173" i="15" s="1"/>
  <c r="I173" i="15" a="1"/>
  <c r="I173" i="15" s="1"/>
  <c r="F174" i="15" a="1"/>
  <c r="F174" i="15" s="1"/>
  <c r="G174" i="15" s="1"/>
  <c r="I174" i="15" a="1"/>
  <c r="I174" i="15" s="1"/>
  <c r="F175" i="15" a="1"/>
  <c r="F175" i="15" s="1"/>
  <c r="G175" i="15" s="1"/>
  <c r="I175" i="15" a="1"/>
  <c r="I175" i="15" s="1"/>
  <c r="F176" i="15" a="1"/>
  <c r="F176" i="15" s="1"/>
  <c r="G176" i="15" s="1"/>
  <c r="I176" i="15" a="1"/>
  <c r="I176" i="15" s="1"/>
  <c r="F177" i="15" a="1"/>
  <c r="F177" i="15" s="1"/>
  <c r="G177" i="15" s="1"/>
  <c r="I177" i="15" a="1"/>
  <c r="I177" i="15" s="1"/>
  <c r="F178" i="15" a="1"/>
  <c r="F178" i="15" s="1"/>
  <c r="G178" i="15" s="1"/>
  <c r="I178" i="15" a="1"/>
  <c r="I178" i="15" s="1"/>
  <c r="F180" i="15" a="1"/>
  <c r="F180" i="15" s="1"/>
  <c r="G180" i="15" s="1"/>
  <c r="I180" i="15" a="1"/>
  <c r="I180" i="15" s="1"/>
  <c r="F181" i="15" a="1"/>
  <c r="F181" i="15" s="1"/>
  <c r="G181" i="15" s="1"/>
  <c r="I181" i="15" a="1"/>
  <c r="I181" i="15" s="1"/>
  <c r="F182" i="15" a="1"/>
  <c r="F182" i="15" s="1"/>
  <c r="G182" i="15" s="1"/>
  <c r="I182" i="15" a="1"/>
  <c r="I182" i="15" s="1"/>
  <c r="F183" i="15" a="1"/>
  <c r="F183" i="15" s="1"/>
  <c r="G183" i="15" s="1"/>
  <c r="I183" i="15" a="1"/>
  <c r="I183" i="15" s="1"/>
  <c r="F184" i="15" a="1"/>
  <c r="F184" i="15" s="1"/>
  <c r="G184" i="15" s="1"/>
  <c r="I184" i="15" a="1"/>
  <c r="I184" i="15" s="1"/>
  <c r="F186" i="15" a="1"/>
  <c r="F186" i="15" s="1"/>
  <c r="G186" i="15" s="1"/>
  <c r="I186" i="15" a="1"/>
  <c r="I186" i="15" s="1"/>
  <c r="F187" i="15" a="1"/>
  <c r="F187" i="15" s="1"/>
  <c r="G187" i="15" s="1"/>
  <c r="I187" i="15" a="1"/>
  <c r="I187" i="15" s="1"/>
  <c r="F188" i="15" a="1"/>
  <c r="F188" i="15" s="1"/>
  <c r="G188" i="15" s="1"/>
  <c r="I188" i="15" a="1"/>
  <c r="I188" i="15" s="1"/>
  <c r="F189" i="15" a="1"/>
  <c r="F189" i="15" s="1"/>
  <c r="G189" i="15" s="1"/>
  <c r="I189" i="15" a="1"/>
  <c r="I189" i="15" s="1"/>
  <c r="F190" i="15" a="1"/>
  <c r="F190" i="15" s="1"/>
  <c r="G190" i="15" s="1"/>
  <c r="I190" i="15" a="1"/>
  <c r="I190" i="15" s="1"/>
  <c r="F192" i="15" a="1"/>
  <c r="F192" i="15" s="1"/>
  <c r="G192" i="15" s="1"/>
  <c r="I192" i="15" a="1"/>
  <c r="I192" i="15" s="1"/>
  <c r="F193" i="15" a="1"/>
  <c r="F193" i="15" s="1"/>
  <c r="G193" i="15" s="1"/>
  <c r="I193" i="15" a="1"/>
  <c r="I193" i="15" s="1"/>
  <c r="F194" i="15" a="1"/>
  <c r="F194" i="15" s="1"/>
  <c r="G194" i="15" s="1"/>
  <c r="I194" i="15" a="1"/>
  <c r="I194" i="15" s="1"/>
  <c r="F196" i="15" a="1"/>
  <c r="F196" i="15" s="1"/>
  <c r="G196" i="15" s="1"/>
  <c r="I196" i="15" a="1"/>
  <c r="I196" i="15" s="1"/>
  <c r="F197" i="15" a="1"/>
  <c r="F197" i="15" s="1"/>
  <c r="G197" i="15" s="1"/>
  <c r="I197" i="15" a="1"/>
  <c r="I197" i="15" s="1"/>
  <c r="F198" i="15" a="1"/>
  <c r="F198" i="15" s="1"/>
  <c r="G198" i="15" s="1"/>
  <c r="I198" i="15" a="1"/>
  <c r="I198" i="15" s="1"/>
  <c r="F199" i="15" a="1"/>
  <c r="F199" i="15" s="1"/>
  <c r="G199" i="15" s="1"/>
  <c r="I199" i="15" a="1"/>
  <c r="I199" i="15" s="1"/>
  <c r="F201" i="15" a="1"/>
  <c r="F201" i="15" s="1"/>
  <c r="G201" i="15" s="1"/>
  <c r="I201" i="15" a="1"/>
  <c r="I201" i="15" s="1"/>
  <c r="F202" i="15" a="1"/>
  <c r="F202" i="15" s="1"/>
  <c r="G202" i="15" s="1"/>
  <c r="I202" i="15" a="1"/>
  <c r="I202" i="15" s="1"/>
  <c r="F203" i="15" a="1"/>
  <c r="F203" i="15" s="1"/>
  <c r="G203" i="15" s="1"/>
  <c r="I203" i="15" a="1"/>
  <c r="I203" i="15" s="1"/>
  <c r="F204" i="15" a="1"/>
  <c r="F204" i="15" s="1"/>
  <c r="G204" i="15" s="1"/>
  <c r="I204" i="15" a="1"/>
  <c r="I204" i="15" s="1"/>
  <c r="F205" i="15" a="1"/>
  <c r="F205" i="15" s="1"/>
  <c r="G205" i="15" s="1"/>
  <c r="I205" i="15" a="1"/>
  <c r="I205" i="15" s="1"/>
  <c r="F206" i="15" a="1"/>
  <c r="F206" i="15" s="1"/>
  <c r="G206" i="15" s="1"/>
  <c r="I206" i="15" a="1"/>
  <c r="I206" i="15" s="1"/>
  <c r="F207" i="15" a="1"/>
  <c r="F207" i="15" s="1"/>
  <c r="G207" i="15" s="1"/>
  <c r="I207" i="15" a="1"/>
  <c r="I207" i="15" s="1"/>
  <c r="F211" i="15" a="1"/>
  <c r="F211" i="15" s="1"/>
  <c r="G211" i="15" s="1"/>
  <c r="I211" i="15" a="1"/>
  <c r="I211" i="15" s="1"/>
  <c r="F212" i="15" a="1"/>
  <c r="F212" i="15" s="1"/>
  <c r="G212" i="15" s="1"/>
  <c r="I212" i="15" a="1"/>
  <c r="I212" i="15" s="1"/>
  <c r="F213" i="15" a="1"/>
  <c r="F213" i="15" s="1"/>
  <c r="G213" i="15" s="1"/>
  <c r="I213" i="15" a="1"/>
  <c r="I213" i="15" s="1"/>
  <c r="F214" i="15" a="1"/>
  <c r="F214" i="15" s="1"/>
  <c r="G214" i="15" s="1"/>
  <c r="I214" i="15" a="1"/>
  <c r="I214" i="15" s="1"/>
  <c r="F216" i="15" a="1"/>
  <c r="F216" i="15" s="1"/>
  <c r="G216" i="15" s="1"/>
  <c r="I216" i="15" a="1"/>
  <c r="I216" i="15" s="1"/>
  <c r="F217" i="15" a="1"/>
  <c r="F217" i="15" s="1"/>
  <c r="G217" i="15" s="1"/>
  <c r="I217" i="15" a="1"/>
  <c r="I217" i="15" s="1"/>
  <c r="F218" i="15" a="1"/>
  <c r="F218" i="15" s="1"/>
  <c r="G218" i="15" s="1"/>
  <c r="I218" i="15" a="1"/>
  <c r="I218" i="15" s="1"/>
  <c r="F219" i="15" a="1"/>
  <c r="F219" i="15" s="1"/>
  <c r="G219" i="15" s="1"/>
  <c r="I219" i="15" a="1"/>
  <c r="I219" i="15" s="1"/>
  <c r="F220" i="15" a="1"/>
  <c r="F220" i="15" s="1"/>
  <c r="G220" i="15" s="1"/>
  <c r="I220" i="15" a="1"/>
  <c r="I220" i="15" s="1"/>
  <c r="F221" i="15" a="1"/>
  <c r="F221" i="15" s="1"/>
  <c r="G221" i="15" s="1"/>
  <c r="I221" i="15" a="1"/>
  <c r="I221" i="15" s="1"/>
  <c r="F222" i="15" a="1"/>
  <c r="F222" i="15" s="1"/>
  <c r="G222" i="15" s="1"/>
  <c r="I222" i="15" a="1"/>
  <c r="I222" i="15" s="1"/>
  <c r="F224" i="15" a="1"/>
  <c r="F224" i="15" s="1"/>
  <c r="G224" i="15" s="1"/>
  <c r="I224" i="15" a="1"/>
  <c r="I224" i="15" s="1"/>
  <c r="F225" i="15" a="1"/>
  <c r="F225" i="15" s="1"/>
  <c r="G225" i="15" s="1"/>
  <c r="I225" i="15" a="1"/>
  <c r="I225" i="15" s="1"/>
  <c r="F227" i="15" a="1"/>
  <c r="F227" i="15" s="1"/>
  <c r="G227" i="15" s="1"/>
  <c r="I227" i="15" a="1"/>
  <c r="I227" i="15" s="1"/>
  <c r="F229" i="15" a="1"/>
  <c r="F229" i="15" s="1"/>
  <c r="G229" i="15" s="1"/>
  <c r="I229" i="15" a="1"/>
  <c r="I229" i="15" s="1"/>
  <c r="F230" i="15" a="1"/>
  <c r="F230" i="15" s="1"/>
  <c r="G230" i="15" s="1"/>
  <c r="I230" i="15" a="1"/>
  <c r="I230" i="15" s="1"/>
  <c r="F232" i="15" a="1"/>
  <c r="F232" i="15" s="1"/>
  <c r="G232" i="15" s="1"/>
  <c r="I232" i="15" a="1"/>
  <c r="I232" i="15" s="1"/>
  <c r="F234" i="15" a="1"/>
  <c r="F234" i="15" s="1"/>
  <c r="G234" i="15" s="1"/>
  <c r="I234" i="15" a="1"/>
  <c r="I234" i="15" s="1"/>
  <c r="F236" i="15" a="1"/>
  <c r="F236" i="15" s="1"/>
  <c r="G236" i="15" s="1"/>
  <c r="I236" i="15" a="1"/>
  <c r="I236" i="15" s="1"/>
  <c r="F237" i="15" a="1"/>
  <c r="F237" i="15" s="1"/>
  <c r="G237" i="15" s="1"/>
  <c r="I237" i="15" a="1"/>
  <c r="I237" i="15" s="1"/>
  <c r="F239" i="15" a="1"/>
  <c r="F239" i="15" s="1"/>
  <c r="G239" i="15" s="1"/>
  <c r="I239" i="15" a="1"/>
  <c r="I239" i="15" s="1"/>
  <c r="F243" i="15" a="1"/>
  <c r="F243" i="15" s="1"/>
  <c r="G243" i="15" s="1"/>
  <c r="I243" i="15" a="1"/>
  <c r="I243" i="15" s="1"/>
  <c r="F244" i="15" a="1"/>
  <c r="F244" i="15" s="1"/>
  <c r="G244" i="15" s="1"/>
  <c r="I244" i="15" a="1"/>
  <c r="I244" i="15" s="1"/>
  <c r="F245" i="15" a="1"/>
  <c r="F245" i="15" s="1"/>
  <c r="G245" i="15" s="1"/>
  <c r="I245" i="15" a="1"/>
  <c r="I245" i="15" s="1"/>
  <c r="F246" i="15" a="1"/>
  <c r="F246" i="15" s="1"/>
  <c r="G246" i="15" s="1"/>
  <c r="I246" i="15" a="1"/>
  <c r="I246" i="15" s="1"/>
  <c r="F248" i="15" a="1"/>
  <c r="F248" i="15" s="1"/>
  <c r="G248" i="15" s="1"/>
  <c r="I248" i="15" a="1"/>
  <c r="I248" i="15" s="1"/>
  <c r="F249" i="15" a="1"/>
  <c r="F249" i="15" s="1"/>
  <c r="G249" i="15" s="1"/>
  <c r="I249" i="15" a="1"/>
  <c r="I249" i="15" s="1"/>
  <c r="F251" i="15" a="1"/>
  <c r="F251" i="15" s="1"/>
  <c r="G251" i="15" s="1"/>
  <c r="I251" i="15" a="1"/>
  <c r="I251" i="15" s="1"/>
  <c r="F252" i="15" a="1"/>
  <c r="F252" i="15" s="1"/>
  <c r="G252" i="15" s="1"/>
  <c r="I252" i="15" a="1"/>
  <c r="I252" i="15" s="1"/>
  <c r="F253" i="15" a="1"/>
  <c r="F253" i="15" s="1"/>
  <c r="G253" i="15" s="1"/>
  <c r="I253" i="15" a="1"/>
  <c r="I253" i="15" s="1"/>
  <c r="F254" i="15" a="1"/>
  <c r="F254" i="15" s="1"/>
  <c r="G254" i="15" s="1"/>
  <c r="I254" i="15" a="1"/>
  <c r="I254" i="15" s="1"/>
  <c r="F256" i="15" a="1"/>
  <c r="F256" i="15" s="1"/>
  <c r="G256" i="15" s="1"/>
  <c r="I256" i="15" a="1"/>
  <c r="I256" i="15" s="1"/>
  <c r="F261" i="15" a="1"/>
  <c r="F261" i="15" s="1"/>
  <c r="G261" i="15" s="1"/>
  <c r="I261" i="15" a="1"/>
  <c r="I261" i="15" s="1"/>
  <c r="F263" i="15" a="1"/>
  <c r="F263" i="15" s="1"/>
  <c r="G263" i="15" s="1"/>
  <c r="I263" i="15" a="1"/>
  <c r="I263" i="15" s="1"/>
  <c r="F264" i="15" a="1"/>
  <c r="F264" i="15" s="1"/>
  <c r="G264" i="15" s="1"/>
  <c r="I264" i="15" a="1"/>
  <c r="I264" i="15" s="1"/>
  <c r="F265" i="15" a="1"/>
  <c r="F265" i="15" s="1"/>
  <c r="G265" i="15" s="1"/>
  <c r="I265" i="15" a="1"/>
  <c r="I265" i="15" s="1"/>
  <c r="F267" i="15" a="1"/>
  <c r="F267" i="15" s="1"/>
  <c r="G267" i="15" s="1"/>
  <c r="I267" i="15" a="1"/>
  <c r="I267" i="15" s="1"/>
  <c r="F271" i="15" a="1"/>
  <c r="F271" i="15" s="1"/>
  <c r="G271" i="15" s="1"/>
  <c r="I271" i="15" a="1"/>
  <c r="I271" i="15" s="1"/>
  <c r="F272" i="15" a="1"/>
  <c r="F272" i="15" s="1"/>
  <c r="G272" i="15" s="1"/>
  <c r="I272" i="15" a="1"/>
  <c r="I272" i="15" s="1"/>
  <c r="F273" i="15" a="1"/>
  <c r="F273" i="15" s="1"/>
  <c r="G273" i="15" s="1"/>
  <c r="I273" i="15" a="1"/>
  <c r="I273" i="15" s="1"/>
  <c r="F274" i="15" a="1"/>
  <c r="F274" i="15" s="1"/>
  <c r="G274" i="15" s="1"/>
  <c r="I274" i="15" a="1"/>
  <c r="I274" i="15" s="1"/>
  <c r="F276" i="15" a="1"/>
  <c r="F276" i="15" s="1"/>
  <c r="G276" i="15" s="1"/>
  <c r="I276" i="15" a="1"/>
  <c r="I276" i="15" s="1"/>
  <c r="F277" i="15" a="1"/>
  <c r="F277" i="15" s="1"/>
  <c r="G277" i="15" s="1"/>
  <c r="I277" i="15" a="1"/>
  <c r="I277" i="15" s="1"/>
  <c r="F278" i="15" a="1"/>
  <c r="F278" i="15" s="1"/>
  <c r="G278" i="15" s="1"/>
  <c r="I278" i="15" a="1"/>
  <c r="I278" i="15" s="1"/>
  <c r="F281" i="15" a="1"/>
  <c r="F281" i="15" s="1"/>
  <c r="G281" i="15" s="1"/>
  <c r="I281" i="15" a="1"/>
  <c r="I281" i="15" s="1"/>
  <c r="F283" i="15" a="1"/>
  <c r="F283" i="15" s="1"/>
  <c r="G283" i="15" s="1"/>
  <c r="I283" i="15" a="1"/>
  <c r="I283" i="15" s="1"/>
  <c r="F286" i="15" a="1"/>
  <c r="F286" i="15" s="1"/>
  <c r="G286" i="15" s="1"/>
  <c r="I286" i="15" a="1"/>
  <c r="I286" i="15" s="1"/>
  <c r="F287" i="15" a="1"/>
  <c r="F287" i="15" s="1"/>
  <c r="G287" i="15" s="1"/>
  <c r="I287" i="15" a="1"/>
  <c r="I287" i="15" s="1"/>
  <c r="F288" i="15" a="1"/>
  <c r="F288" i="15" s="1"/>
  <c r="G288" i="15" s="1"/>
  <c r="I288" i="15" a="1"/>
  <c r="I288" i="15" s="1"/>
  <c r="F289" i="15" a="1"/>
  <c r="F289" i="15" s="1"/>
  <c r="G289" i="15" s="1"/>
  <c r="I289" i="15" a="1"/>
  <c r="I289" i="15" s="1"/>
  <c r="F290" i="15" a="1"/>
  <c r="F290" i="15" s="1"/>
  <c r="G290" i="15" s="1"/>
  <c r="I290" i="15" a="1"/>
  <c r="I290" i="15" s="1"/>
  <c r="F291" i="15" a="1"/>
  <c r="F291" i="15" s="1"/>
  <c r="G291" i="15" s="1"/>
  <c r="I291" i="15" a="1"/>
  <c r="I291" i="15" s="1"/>
  <c r="F292" i="15" a="1"/>
  <c r="F292" i="15" s="1"/>
  <c r="G292" i="15" s="1"/>
  <c r="I292" i="15" a="1"/>
  <c r="I292" i="15" s="1"/>
  <c r="F293" i="15" a="1"/>
  <c r="F293" i="15" s="1"/>
  <c r="G293" i="15" s="1"/>
  <c r="I293" i="15" a="1"/>
  <c r="I293" i="15" s="1"/>
  <c r="F294" i="15" a="1"/>
  <c r="F294" i="15" s="1"/>
  <c r="G294" i="15" s="1"/>
  <c r="I294" i="15" a="1"/>
  <c r="I294" i="15" s="1"/>
  <c r="F295" i="15" a="1"/>
  <c r="F295" i="15" s="1"/>
  <c r="G295" i="15" s="1"/>
  <c r="I295" i="15" a="1"/>
  <c r="I295" i="15" s="1"/>
  <c r="F298" i="15" a="1"/>
  <c r="F298" i="15" s="1"/>
  <c r="G298" i="15" s="1"/>
  <c r="I298" i="15" a="1"/>
  <c r="I298" i="15" s="1"/>
  <c r="F299" i="15" a="1"/>
  <c r="F299" i="15" s="1"/>
  <c r="G299" i="15" s="1"/>
  <c r="I299" i="15" a="1"/>
  <c r="I299" i="15" s="1"/>
  <c r="F301" i="15" a="1"/>
  <c r="F301" i="15" s="1"/>
  <c r="G301" i="15" s="1"/>
  <c r="I301" i="15" a="1"/>
  <c r="I301" i="15" s="1"/>
  <c r="F302" i="15" a="1"/>
  <c r="F302" i="15" s="1"/>
  <c r="G302" i="15" s="1"/>
  <c r="I302" i="15" a="1"/>
  <c r="I302" i="15" s="1"/>
  <c r="F303" i="15" a="1"/>
  <c r="F303" i="15" s="1"/>
  <c r="G303" i="15" s="1"/>
  <c r="I303" i="15" a="1"/>
  <c r="I303" i="15" s="1"/>
  <c r="F304" i="15" a="1"/>
  <c r="F304" i="15" s="1"/>
  <c r="G304" i="15" s="1"/>
  <c r="I304" i="15" a="1"/>
  <c r="I304" i="15" s="1"/>
  <c r="F306" i="15" a="1"/>
  <c r="F306" i="15" s="1"/>
  <c r="G306" i="15" s="1"/>
  <c r="I306" i="15" a="1"/>
  <c r="I306" i="15" s="1"/>
  <c r="F309" i="15" a="1"/>
  <c r="F309" i="15" s="1"/>
  <c r="G309" i="15" s="1"/>
  <c r="I309" i="15" a="1"/>
  <c r="I309" i="15" s="1"/>
  <c r="F310" i="15" a="1"/>
  <c r="F310" i="15" s="1"/>
  <c r="G310" i="15" s="1"/>
  <c r="I310" i="15" a="1"/>
  <c r="I310" i="15" s="1"/>
  <c r="F312" i="15" a="1"/>
  <c r="F312" i="15" s="1"/>
  <c r="G312" i="15" s="1"/>
  <c r="I312" i="15" a="1"/>
  <c r="I312" i="15" s="1"/>
  <c r="F313" i="15" a="1"/>
  <c r="F313" i="15" s="1"/>
  <c r="G313" i="15" s="1"/>
  <c r="I313" i="15" a="1"/>
  <c r="I313" i="15" s="1"/>
  <c r="F314" i="15" a="1"/>
  <c r="F314" i="15" s="1"/>
  <c r="G314" i="15" s="1"/>
  <c r="I314" i="15" a="1"/>
  <c r="I314" i="15" s="1"/>
  <c r="F315" i="15" a="1"/>
  <c r="F315" i="15" s="1"/>
  <c r="G315" i="15" s="1"/>
  <c r="I315" i="15" a="1"/>
  <c r="I315" i="15" s="1"/>
  <c r="F316" i="15" a="1"/>
  <c r="F316" i="15" s="1"/>
  <c r="G316" i="15" s="1"/>
  <c r="I316" i="15" a="1"/>
  <c r="I316" i="15" s="1"/>
  <c r="F317" i="15" a="1"/>
  <c r="F317" i="15" s="1"/>
  <c r="G317" i="15" s="1"/>
  <c r="I317" i="15" a="1"/>
  <c r="I317" i="15" s="1"/>
  <c r="F318" i="15" a="1"/>
  <c r="F318" i="15" s="1"/>
  <c r="G318" i="15" s="1"/>
  <c r="I318" i="15" a="1"/>
  <c r="I318" i="15" s="1"/>
  <c r="F319" i="15" a="1"/>
  <c r="F319" i="15" s="1"/>
  <c r="G319" i="15" s="1"/>
  <c r="I319" i="15" a="1"/>
  <c r="I319" i="15" s="1"/>
  <c r="F320" i="15" a="1"/>
  <c r="F320" i="15" s="1"/>
  <c r="G320" i="15" s="1"/>
  <c r="I320" i="15" a="1"/>
  <c r="I320" i="15" s="1"/>
  <c r="F321" i="15" a="1"/>
  <c r="F321" i="15" s="1"/>
  <c r="G321" i="15" s="1"/>
  <c r="I321" i="15" a="1"/>
  <c r="I321" i="15" s="1"/>
  <c r="F322" i="15" a="1"/>
  <c r="F322" i="15" s="1"/>
  <c r="G322" i="15" s="1"/>
  <c r="I322" i="15" a="1"/>
  <c r="I322" i="15" s="1"/>
  <c r="F323" i="15" a="1"/>
  <c r="F323" i="15" s="1"/>
  <c r="G323" i="15" s="1"/>
  <c r="I323" i="15" a="1"/>
  <c r="I323" i="15" s="1"/>
  <c r="F324" i="15" a="1"/>
  <c r="F324" i="15" s="1"/>
  <c r="G324" i="15" s="1"/>
  <c r="I324" i="15" a="1"/>
  <c r="I324" i="15" s="1"/>
  <c r="F325" i="15" a="1"/>
  <c r="F325" i="15" s="1"/>
  <c r="G325" i="15" s="1"/>
  <c r="I325" i="15" a="1"/>
  <c r="I325" i="15" s="1"/>
  <c r="F326" i="15" a="1"/>
  <c r="F326" i="15" s="1"/>
  <c r="G326" i="15" s="1"/>
  <c r="I326" i="15" a="1"/>
  <c r="I326" i="15" s="1"/>
  <c r="F329" i="15" a="1"/>
  <c r="F329" i="15" s="1"/>
  <c r="G329" i="15" s="1"/>
  <c r="I329" i="15" a="1"/>
  <c r="I329" i="15" s="1"/>
  <c r="F330" i="15" a="1"/>
  <c r="F330" i="15" s="1"/>
  <c r="G330" i="15" s="1"/>
  <c r="I330" i="15" a="1"/>
  <c r="I330" i="15" s="1"/>
  <c r="F331" i="15" a="1"/>
  <c r="F331" i="15" s="1"/>
  <c r="G331" i="15" s="1"/>
  <c r="I331" i="15" a="1"/>
  <c r="I331" i="15" s="1"/>
  <c r="F332" i="15" a="1"/>
  <c r="F332" i="15" s="1"/>
  <c r="G332" i="15" s="1"/>
  <c r="I332" i="15" a="1"/>
  <c r="I332" i="15" s="1"/>
  <c r="F333" i="15" a="1"/>
  <c r="F333" i="15" s="1"/>
  <c r="G333" i="15" s="1"/>
  <c r="I333" i="15" a="1"/>
  <c r="I333" i="15" s="1"/>
  <c r="F334" i="15" a="1"/>
  <c r="F334" i="15" s="1"/>
  <c r="G334" i="15" s="1"/>
  <c r="I334" i="15" a="1"/>
  <c r="I334" i="15" s="1"/>
  <c r="F335" i="15" a="1"/>
  <c r="F335" i="15" s="1"/>
  <c r="G335" i="15" s="1"/>
  <c r="I335" i="15" a="1"/>
  <c r="I335" i="15" s="1"/>
  <c r="F336" i="15" a="1"/>
  <c r="F336" i="15" s="1"/>
  <c r="G336" i="15" s="1"/>
  <c r="I336" i="15" a="1"/>
  <c r="I336" i="15" s="1"/>
  <c r="F339" i="15" a="1"/>
  <c r="F339" i="15" s="1"/>
  <c r="G339" i="15" s="1"/>
  <c r="I339" i="15" a="1"/>
  <c r="I339" i="15" s="1"/>
  <c r="F340" i="15" a="1"/>
  <c r="F340" i="15" s="1"/>
  <c r="G340" i="15" s="1"/>
  <c r="I340" i="15" a="1"/>
  <c r="I340" i="15" s="1"/>
  <c r="F342" i="15" a="1"/>
  <c r="F342" i="15" s="1"/>
  <c r="G342" i="15" s="1"/>
  <c r="I342" i="15" a="1"/>
  <c r="I342" i="15" s="1"/>
  <c r="F343" i="15" a="1"/>
  <c r="F343" i="15" s="1"/>
  <c r="G343" i="15" s="1"/>
  <c r="I343" i="15" a="1"/>
  <c r="I343" i="15" s="1"/>
  <c r="F344" i="15" a="1"/>
  <c r="F344" i="15" s="1"/>
  <c r="G344" i="15" s="1"/>
  <c r="I344" i="15" a="1"/>
  <c r="I344" i="15" s="1"/>
  <c r="F345" i="15" a="1"/>
  <c r="F345" i="15" s="1"/>
  <c r="G345" i="15" s="1"/>
  <c r="I345" i="15" a="1"/>
  <c r="I345" i="15" s="1"/>
  <c r="F346" i="15" a="1"/>
  <c r="F346" i="15" s="1"/>
  <c r="G346" i="15" s="1"/>
  <c r="I346" i="15" a="1"/>
  <c r="I346" i="15" s="1"/>
  <c r="F347" i="15" a="1"/>
  <c r="F347" i="15" s="1"/>
  <c r="G347" i="15" s="1"/>
  <c r="I347" i="15" a="1"/>
  <c r="I347" i="15" s="1"/>
  <c r="F348" i="15" a="1"/>
  <c r="F348" i="15" s="1"/>
  <c r="G348" i="15" s="1"/>
  <c r="I348" i="15" a="1"/>
  <c r="I348" i="15" s="1"/>
  <c r="F350" i="15" a="1"/>
  <c r="F350" i="15" s="1"/>
  <c r="G350" i="15" s="1"/>
  <c r="I350" i="15" a="1"/>
  <c r="I350" i="15" s="1"/>
  <c r="F351" i="15" a="1"/>
  <c r="F351" i="15" s="1"/>
  <c r="G351" i="15" s="1"/>
  <c r="I351" i="15" a="1"/>
  <c r="I351" i="15" s="1"/>
  <c r="F352" i="15" a="1"/>
  <c r="F352" i="15" s="1"/>
  <c r="G352" i="15" s="1"/>
  <c r="I352" i="15" a="1"/>
  <c r="I352" i="15" s="1"/>
  <c r="F353" i="15" a="1"/>
  <c r="F353" i="15" s="1"/>
  <c r="G353" i="15" s="1"/>
  <c r="I353" i="15" a="1"/>
  <c r="I353" i="15" s="1"/>
  <c r="F354" i="15" a="1"/>
  <c r="F354" i="15" s="1"/>
  <c r="G354" i="15" s="1"/>
  <c r="I354" i="15" a="1"/>
  <c r="I354" i="15" s="1"/>
  <c r="F357" i="15" a="1"/>
  <c r="F357" i="15" s="1"/>
  <c r="G357" i="15" s="1"/>
  <c r="I357" i="15" a="1"/>
  <c r="I357" i="15" s="1"/>
  <c r="F358" i="15" a="1"/>
  <c r="F358" i="15" s="1"/>
  <c r="G358" i="15" s="1"/>
  <c r="I358" i="15" a="1"/>
  <c r="I358" i="15" s="1"/>
  <c r="F360" i="15" a="1"/>
  <c r="F360" i="15" s="1"/>
  <c r="G360" i="15" s="1"/>
  <c r="I360" i="15" a="1"/>
  <c r="I360" i="15" s="1"/>
  <c r="F363" i="15" a="1"/>
  <c r="F363" i="15" s="1"/>
  <c r="G363" i="15" s="1"/>
  <c r="I363" i="15" a="1"/>
  <c r="I363" i="15" s="1"/>
  <c r="F364" i="15" a="1"/>
  <c r="F364" i="15" s="1"/>
  <c r="G364" i="15" s="1"/>
  <c r="I364" i="15" a="1"/>
  <c r="I364" i="15" s="1"/>
  <c r="F365" i="15" a="1"/>
  <c r="F365" i="15" s="1"/>
  <c r="G365" i="15" s="1"/>
  <c r="I365" i="15" a="1"/>
  <c r="I365" i="15" s="1"/>
  <c r="F366" i="15" a="1"/>
  <c r="F366" i="15" s="1"/>
  <c r="G366" i="15" s="1"/>
  <c r="I366" i="15" a="1"/>
  <c r="I366" i="15" s="1"/>
  <c r="F367" i="15" a="1"/>
  <c r="F367" i="15" s="1"/>
  <c r="G367" i="15" s="1"/>
  <c r="I367" i="15" a="1"/>
  <c r="I367" i="15" s="1"/>
  <c r="F371" i="15" a="1"/>
  <c r="F371" i="15" s="1"/>
  <c r="G371" i="15" s="1"/>
  <c r="I371" i="15" a="1"/>
  <c r="I371" i="15" s="1"/>
  <c r="F372" i="15" a="1"/>
  <c r="F372" i="15" s="1"/>
  <c r="G372" i="15" s="1"/>
  <c r="I372" i="15" a="1"/>
  <c r="I372" i="15" s="1"/>
  <c r="F373" i="15" a="1"/>
  <c r="F373" i="15" s="1"/>
  <c r="G373" i="15" s="1"/>
  <c r="I373" i="15" a="1"/>
  <c r="I373" i="15" s="1"/>
  <c r="F375" i="15" a="1"/>
  <c r="F375" i="15" s="1"/>
  <c r="G375" i="15" s="1"/>
  <c r="I375" i="15" a="1"/>
  <c r="I375" i="15" s="1"/>
  <c r="F377" i="15" a="1"/>
  <c r="F377" i="15" s="1"/>
  <c r="G377" i="15" s="1"/>
  <c r="I377" i="15" a="1"/>
  <c r="I377" i="15" s="1"/>
  <c r="F379" i="15" a="1"/>
  <c r="F379" i="15" s="1"/>
  <c r="G379" i="15" s="1"/>
  <c r="I379" i="15" a="1"/>
  <c r="I379" i="15" s="1"/>
  <c r="F380" i="15" a="1"/>
  <c r="F380" i="15" s="1"/>
  <c r="G380" i="15" s="1"/>
  <c r="I380" i="15" a="1"/>
  <c r="I380" i="15" s="1"/>
  <c r="F381" i="15" a="1"/>
  <c r="F381" i="15" s="1"/>
  <c r="G381" i="15" s="1"/>
  <c r="I381" i="15" a="1"/>
  <c r="I381" i="15" s="1"/>
  <c r="F382" i="15" a="1"/>
  <c r="F382" i="15" s="1"/>
  <c r="G382" i="15" s="1"/>
  <c r="I382" i="15" a="1"/>
  <c r="I382" i="15" s="1"/>
  <c r="F383" i="15" a="1"/>
  <c r="F383" i="15" s="1"/>
  <c r="G383" i="15" s="1"/>
  <c r="I383" i="15" a="1"/>
  <c r="I383" i="15" s="1"/>
  <c r="F384" i="15" a="1"/>
  <c r="F384" i="15" s="1"/>
  <c r="G384" i="15" s="1"/>
  <c r="I384" i="15" a="1"/>
  <c r="I384" i="15" s="1"/>
  <c r="F385" i="15" a="1"/>
  <c r="F385" i="15" s="1"/>
  <c r="G385" i="15" s="1"/>
  <c r="I385" i="15" a="1"/>
  <c r="I385" i="15" s="1"/>
  <c r="F386" i="15" a="1"/>
  <c r="F386" i="15" s="1"/>
  <c r="G386" i="15" s="1"/>
  <c r="I386" i="15" a="1"/>
  <c r="I386" i="15" s="1"/>
  <c r="F387" i="15" a="1"/>
  <c r="F387" i="15" s="1"/>
  <c r="G387" i="15" s="1"/>
  <c r="I387" i="15" a="1"/>
  <c r="I387" i="15" s="1"/>
  <c r="F388" i="15" a="1"/>
  <c r="F388" i="15" s="1"/>
  <c r="G388" i="15" s="1"/>
  <c r="I388" i="15" a="1"/>
  <c r="I388" i="15" s="1"/>
  <c r="F389" i="15" a="1"/>
  <c r="F389" i="15" s="1"/>
  <c r="G389" i="15" s="1"/>
  <c r="I389" i="15" a="1"/>
  <c r="I389" i="15" s="1"/>
  <c r="F390" i="15" a="1"/>
  <c r="F390" i="15" s="1"/>
  <c r="G390" i="15" s="1"/>
  <c r="I390" i="15" a="1"/>
  <c r="I390" i="15" s="1"/>
  <c r="F392" i="15" a="1"/>
  <c r="F392" i="15" s="1"/>
  <c r="G392" i="15" s="1"/>
  <c r="I392" i="15" a="1"/>
  <c r="I392" i="15" s="1"/>
  <c r="F393" i="15" a="1"/>
  <c r="F393" i="15" s="1"/>
  <c r="G393" i="15" s="1"/>
  <c r="I393" i="15" a="1"/>
  <c r="I393" i="15" s="1"/>
  <c r="F394" i="15" a="1"/>
  <c r="F394" i="15" s="1"/>
  <c r="G394" i="15" s="1"/>
  <c r="I394" i="15" a="1"/>
  <c r="I394" i="15" s="1"/>
  <c r="F395" i="15" a="1"/>
  <c r="F395" i="15" s="1"/>
  <c r="G395" i="15" s="1"/>
  <c r="I395" i="15" a="1"/>
  <c r="I395" i="15" s="1"/>
  <c r="F402" i="15" a="1"/>
  <c r="F402" i="15" s="1"/>
  <c r="G402" i="15" s="1"/>
  <c r="I402" i="15" a="1"/>
  <c r="I402" i="15" s="1"/>
  <c r="F404" i="15" a="1"/>
  <c r="F404" i="15" s="1"/>
  <c r="G404" i="15" s="1"/>
  <c r="I404" i="15" a="1"/>
  <c r="I404" i="15" s="1"/>
  <c r="F407" i="15" a="1"/>
  <c r="F407" i="15" s="1"/>
  <c r="G407" i="15" s="1"/>
  <c r="I407" i="15" a="1"/>
  <c r="I407" i="15" s="1"/>
  <c r="F408" i="15" a="1"/>
  <c r="F408" i="15" s="1"/>
  <c r="G408" i="15" s="1"/>
  <c r="I408" i="15" a="1"/>
  <c r="I408" i="15" s="1"/>
  <c r="F409" i="15" a="1"/>
  <c r="F409" i="15" s="1"/>
  <c r="G409" i="15" s="1"/>
  <c r="I409" i="15" a="1"/>
  <c r="I409" i="15" s="1"/>
  <c r="F410" i="15" a="1"/>
  <c r="F410" i="15" s="1"/>
  <c r="G410" i="15" s="1"/>
  <c r="I410" i="15" a="1"/>
  <c r="I410" i="15" s="1"/>
  <c r="F411" i="15" a="1"/>
  <c r="F411" i="15" s="1"/>
  <c r="G411" i="15" s="1"/>
  <c r="I411" i="15" a="1"/>
  <c r="I411" i="15" s="1"/>
  <c r="F412" i="15" a="1"/>
  <c r="F412" i="15" s="1"/>
  <c r="G412" i="15" s="1"/>
  <c r="I412" i="15" a="1"/>
  <c r="I412" i="15" s="1"/>
  <c r="F413" i="15" a="1"/>
  <c r="F413" i="15" s="1"/>
  <c r="G413" i="15" s="1"/>
  <c r="I413" i="15" a="1"/>
  <c r="I413" i="15" s="1"/>
  <c r="F415" i="15" a="1"/>
  <c r="F415" i="15" s="1"/>
  <c r="G415" i="15" s="1"/>
  <c r="I415" i="15" a="1"/>
  <c r="I415" i="15" s="1"/>
  <c r="F416" i="15" a="1"/>
  <c r="F416" i="15" s="1"/>
  <c r="G416" i="15" s="1"/>
  <c r="I416" i="15" a="1"/>
  <c r="I416" i="15" s="1"/>
  <c r="F417" i="15" a="1"/>
  <c r="F417" i="15" s="1"/>
  <c r="G417" i="15" s="1"/>
  <c r="I417" i="15" a="1"/>
  <c r="I417" i="15" s="1"/>
  <c r="F418" i="15" a="1"/>
  <c r="F418" i="15" s="1"/>
  <c r="G418" i="15" s="1"/>
  <c r="I418" i="15" a="1"/>
  <c r="I418" i="15" s="1"/>
  <c r="F419" i="15" a="1"/>
  <c r="F419" i="15" s="1"/>
  <c r="G419" i="15" s="1"/>
  <c r="I419" i="15" a="1"/>
  <c r="I419" i="15" s="1"/>
  <c r="F421" i="15" a="1"/>
  <c r="F421" i="15" s="1"/>
  <c r="G421" i="15" s="1"/>
  <c r="I421" i="15" a="1"/>
  <c r="I421" i="15" s="1"/>
  <c r="F424" i="15" a="1"/>
  <c r="F424" i="15" s="1"/>
  <c r="G424" i="15" s="1"/>
  <c r="I424" i="15" a="1"/>
  <c r="I424" i="15" s="1"/>
  <c r="F425" i="15" a="1"/>
  <c r="F425" i="15" s="1"/>
  <c r="G425" i="15" s="1"/>
  <c r="I425" i="15" a="1"/>
  <c r="I425" i="15" s="1"/>
  <c r="F427" i="15" a="1"/>
  <c r="F427" i="15" s="1"/>
  <c r="G427" i="15" s="1"/>
  <c r="I427" i="15" a="1"/>
  <c r="I427" i="15" s="1"/>
  <c r="F428" i="15" a="1"/>
  <c r="F428" i="15" s="1"/>
  <c r="G428" i="15" s="1"/>
  <c r="I428" i="15" a="1"/>
  <c r="I428" i="15" s="1"/>
  <c r="F430" i="15" a="1"/>
  <c r="F430" i="15" s="1"/>
  <c r="G430" i="15" s="1"/>
  <c r="I430" i="15" a="1"/>
  <c r="I430" i="15" s="1"/>
  <c r="F431" i="15" a="1"/>
  <c r="F431" i="15" s="1"/>
  <c r="G431" i="15" s="1"/>
  <c r="I431" i="15" a="1"/>
  <c r="I431" i="15" s="1"/>
  <c r="F432" i="15" a="1"/>
  <c r="F432" i="15" s="1"/>
  <c r="G432" i="15" s="1"/>
  <c r="I432" i="15" a="1"/>
  <c r="I432" i="15" s="1"/>
  <c r="F435" i="15" a="1"/>
  <c r="F435" i="15" s="1"/>
  <c r="G435" i="15" s="1"/>
  <c r="I435" i="15" a="1"/>
  <c r="I435" i="15" s="1"/>
  <c r="F436" i="15" a="1"/>
  <c r="F436" i="15" s="1"/>
  <c r="G436" i="15" s="1"/>
  <c r="I436" i="15" a="1"/>
  <c r="I436" i="15" s="1"/>
  <c r="F438" i="15" a="1"/>
  <c r="F438" i="15" s="1"/>
  <c r="G438" i="15" s="1"/>
  <c r="I438" i="15" a="1"/>
  <c r="I438" i="15" s="1"/>
  <c r="F440" i="15" a="1"/>
  <c r="F440" i="15" s="1"/>
  <c r="G440" i="15" s="1"/>
  <c r="I440" i="15" a="1"/>
  <c r="I440" i="15" s="1"/>
  <c r="F445" i="15" a="1"/>
  <c r="F445" i="15" s="1"/>
  <c r="G445" i="15" s="1"/>
  <c r="I445" i="15" a="1"/>
  <c r="I445" i="15" s="1"/>
  <c r="F448" i="15" a="1"/>
  <c r="F448" i="15" s="1"/>
  <c r="G448" i="15" s="1"/>
  <c r="I448" i="15" a="1"/>
  <c r="I448" i="15" s="1"/>
  <c r="F450" i="15" a="1"/>
  <c r="F450" i="15" s="1"/>
  <c r="G450" i="15" s="1"/>
  <c r="I450" i="15" a="1"/>
  <c r="I450" i="15" s="1"/>
  <c r="F451" i="15" a="1"/>
  <c r="F451" i="15" s="1"/>
  <c r="G451" i="15" s="1"/>
  <c r="I451" i="15" a="1"/>
  <c r="I451" i="15" s="1"/>
  <c r="F452" i="15" a="1"/>
  <c r="F452" i="15" s="1"/>
  <c r="G452" i="15" s="1"/>
  <c r="I452" i="15" a="1"/>
  <c r="I452" i="15" s="1"/>
  <c r="F454" i="15" a="1"/>
  <c r="F454" i="15" s="1"/>
  <c r="G454" i="15" s="1"/>
  <c r="I454" i="15" a="1"/>
  <c r="I454" i="15" s="1"/>
  <c r="F455" i="15" a="1"/>
  <c r="F455" i="15" s="1"/>
  <c r="G455" i="15" s="1"/>
  <c r="I455" i="15" a="1"/>
  <c r="I455" i="15" s="1"/>
  <c r="F456" i="15" a="1"/>
  <c r="F456" i="15" s="1"/>
  <c r="G456" i="15" s="1"/>
  <c r="I456" i="15" a="1"/>
  <c r="I456" i="15" s="1"/>
  <c r="F457" i="15" a="1"/>
  <c r="F457" i="15" s="1"/>
  <c r="G457" i="15" s="1"/>
  <c r="I457" i="15" a="1"/>
  <c r="I457" i="15" s="1"/>
  <c r="F459" i="15" a="1"/>
  <c r="F459" i="15" s="1"/>
  <c r="G459" i="15" s="1"/>
  <c r="I459" i="15" a="1"/>
  <c r="I459" i="15" s="1"/>
  <c r="F460" i="15" a="1"/>
  <c r="F460" i="15" s="1"/>
  <c r="G460" i="15" s="1"/>
  <c r="I460" i="15" a="1"/>
  <c r="I460" i="15" s="1"/>
  <c r="F461" i="15" a="1"/>
  <c r="F461" i="15" s="1"/>
  <c r="G461" i="15" s="1"/>
  <c r="I461" i="15" a="1"/>
  <c r="I461" i="15" s="1"/>
  <c r="F463" i="15" a="1"/>
  <c r="F463" i="15" s="1"/>
  <c r="G463" i="15" s="1"/>
  <c r="I463" i="15" a="1"/>
  <c r="I463" i="15" s="1"/>
  <c r="F464" i="15" a="1"/>
  <c r="F464" i="15" s="1"/>
  <c r="G464" i="15" s="1"/>
  <c r="I464" i="15" a="1"/>
  <c r="I464" i="15" s="1"/>
  <c r="F467" i="15" a="1"/>
  <c r="F467" i="15" s="1"/>
  <c r="G467" i="15" s="1"/>
  <c r="I467" i="15" a="1"/>
  <c r="I467" i="15" s="1"/>
  <c r="F468" i="15" a="1"/>
  <c r="F468" i="15" s="1"/>
  <c r="G468" i="15" s="1"/>
  <c r="I468" i="15" a="1"/>
  <c r="I468" i="15" s="1"/>
  <c r="F470" i="15" a="1"/>
  <c r="F470" i="15" s="1"/>
  <c r="G470" i="15" s="1"/>
  <c r="I470" i="15" a="1"/>
  <c r="I470" i="15" s="1"/>
  <c r="F471" i="15" a="1"/>
  <c r="F471" i="15" s="1"/>
  <c r="G471" i="15" s="1"/>
  <c r="I471" i="15" a="1"/>
  <c r="I471" i="15" s="1"/>
  <c r="F474" i="15" a="1"/>
  <c r="F474" i="15" s="1"/>
  <c r="G474" i="15" s="1"/>
  <c r="I474" i="15" a="1"/>
  <c r="I474" i="15" s="1"/>
  <c r="F476" i="15" a="1"/>
  <c r="F476" i="15" s="1"/>
  <c r="G476" i="15" s="1"/>
  <c r="I476" i="15" a="1"/>
  <c r="I476" i="15" s="1"/>
  <c r="F477" i="15" a="1"/>
  <c r="F477" i="15" s="1"/>
  <c r="G477" i="15" s="1"/>
  <c r="I477" i="15" a="1"/>
  <c r="I477" i="15" s="1"/>
  <c r="F478" i="15" a="1"/>
  <c r="F478" i="15" s="1"/>
  <c r="G478" i="15" s="1"/>
  <c r="I478" i="15" a="1"/>
  <c r="I478" i="15" s="1"/>
  <c r="F484" i="15" a="1"/>
  <c r="F484" i="15" s="1"/>
  <c r="G484" i="15" s="1"/>
  <c r="I484" i="15" a="1"/>
  <c r="I484" i="15" s="1"/>
  <c r="F485" i="15" a="1"/>
  <c r="F485" i="15" s="1"/>
  <c r="G485" i="15" s="1"/>
  <c r="I485" i="15" a="1"/>
  <c r="I485" i="15" s="1"/>
  <c r="F486" i="15" a="1"/>
  <c r="F486" i="15" s="1"/>
  <c r="G486" i="15" s="1"/>
  <c r="I486" i="15" a="1"/>
  <c r="I486" i="15" s="1"/>
  <c r="F488" i="15" a="1"/>
  <c r="F488" i="15" s="1"/>
  <c r="G488" i="15" s="1"/>
  <c r="I488" i="15" a="1"/>
  <c r="I488" i="15" s="1"/>
  <c r="F490" i="15" a="1"/>
  <c r="F490" i="15" s="1"/>
  <c r="G490" i="15" s="1"/>
  <c r="I490" i="15" a="1"/>
  <c r="I490" i="15" s="1"/>
  <c r="F492" i="15" a="1"/>
  <c r="F492" i="15" s="1"/>
  <c r="G492" i="15" s="1"/>
  <c r="I492" i="15" a="1"/>
  <c r="I492" i="15" s="1"/>
  <c r="F493" i="15" a="1"/>
  <c r="F493" i="15" s="1"/>
  <c r="G493" i="15" s="1"/>
  <c r="I493" i="15" a="1"/>
  <c r="I493" i="15" s="1"/>
  <c r="F494" i="15" a="1"/>
  <c r="F494" i="15" s="1"/>
  <c r="G494" i="15" s="1"/>
  <c r="I494" i="15" a="1"/>
  <c r="I494" i="15" s="1"/>
  <c r="F496" i="15" a="1"/>
  <c r="F496" i="15" s="1"/>
  <c r="G496" i="15" s="1"/>
  <c r="I496" i="15" a="1"/>
  <c r="I496" i="15" s="1"/>
  <c r="F497" i="15" a="1"/>
  <c r="F497" i="15" s="1"/>
  <c r="G497" i="15" s="1"/>
  <c r="I497" i="15" a="1"/>
  <c r="I497" i="15" s="1"/>
  <c r="B2" i="9"/>
  <c r="I594" i="15" l="1" a="1"/>
  <c r="I594" i="15" s="1"/>
  <c r="I591" i="15" a="1"/>
  <c r="I591" i="15" s="1"/>
  <c r="I570" i="15" a="1"/>
  <c r="I570" i="15" s="1"/>
  <c r="I566" i="15" a="1"/>
  <c r="I566" i="15" s="1"/>
  <c r="I562" i="15" a="1"/>
  <c r="I562" i="15" s="1"/>
  <c r="I559" i="15" a="1"/>
  <c r="I559" i="15" s="1"/>
  <c r="G545" i="15"/>
  <c r="I551" i="15" a="1"/>
  <c r="I551" i="15" s="1"/>
  <c r="I549" i="15" a="1"/>
  <c r="I549" i="15" s="1"/>
  <c r="I545" i="15" a="1"/>
  <c r="I545" i="15" s="1"/>
  <c r="I544" i="15" a="1"/>
  <c r="I544" i="15" s="1"/>
  <c r="I538" i="15" a="1"/>
  <c r="I538" i="15" s="1"/>
  <c r="I528" i="15" a="1"/>
  <c r="I528" i="15" s="1"/>
  <c r="I525" i="15" a="1"/>
  <c r="I525" i="15" s="1"/>
  <c r="I515" i="15" a="1"/>
  <c r="I515" i="15" s="1"/>
  <c r="AR1774" i="13"/>
  <c r="AF1774" i="13"/>
  <c r="AK1774" i="13"/>
  <c r="AN1774" i="13"/>
  <c r="I509" i="15" a="1"/>
  <c r="I509" i="15" s="1"/>
  <c r="F500" i="15" a="1"/>
  <c r="F500" i="15" s="1"/>
  <c r="G500" i="15" s="1"/>
  <c r="I500" i="15" a="1"/>
  <c r="I500" i="15" s="1"/>
  <c r="K500" i="15" a="1"/>
  <c r="K500" i="15" s="1"/>
  <c r="L500" i="15" a="1"/>
  <c r="L500" i="15" s="1"/>
  <c r="M500" i="15" a="1"/>
  <c r="M500" i="15" s="1"/>
  <c r="N500" i="15" a="1"/>
  <c r="N500" i="15" s="1"/>
  <c r="O52" i="4" l="1"/>
  <c r="AC1773" i="13"/>
  <c r="AD1773" i="13"/>
  <c r="AE1773" i="13"/>
  <c r="AF1773" i="13"/>
  <c r="AG1773" i="13"/>
  <c r="AH1773" i="13"/>
  <c r="AI1773" i="13"/>
  <c r="AJ1773" i="13"/>
  <c r="AK1773" i="13"/>
  <c r="AL1773" i="13"/>
  <c r="AM1773" i="13"/>
  <c r="AN1773" i="13"/>
  <c r="AO1773" i="13"/>
  <c r="AP1773" i="13"/>
  <c r="AQ1773" i="13"/>
  <c r="AR1773" i="13"/>
  <c r="AS1773" i="13"/>
  <c r="AT1773" i="13"/>
  <c r="AU1773" i="13"/>
  <c r="K496" i="15" a="1"/>
  <c r="K496" i="15" s="1"/>
  <c r="L496" i="15" a="1"/>
  <c r="L496" i="15" s="1"/>
  <c r="M496" i="15" a="1"/>
  <c r="M496" i="15" s="1"/>
  <c r="N496" i="15" a="1"/>
  <c r="N496" i="15" s="1"/>
  <c r="K497" i="15" a="1"/>
  <c r="K497" i="15" s="1"/>
  <c r="L497" i="15" a="1"/>
  <c r="L497" i="15" s="1"/>
  <c r="M497" i="15" a="1"/>
  <c r="M497" i="15" s="1"/>
  <c r="N497" i="15" a="1"/>
  <c r="N497" i="15" s="1"/>
  <c r="W99" i="4" l="1"/>
  <c r="Z3" i="13"/>
  <c r="H2" i="13"/>
  <c r="I2" i="13"/>
  <c r="J2" i="13"/>
  <c r="K2" i="13"/>
  <c r="L2" i="13"/>
  <c r="M2" i="13"/>
  <c r="N2" i="13"/>
  <c r="O2" i="13"/>
  <c r="P2" i="13"/>
  <c r="Q2" i="13"/>
  <c r="R2" i="13"/>
  <c r="S2" i="13"/>
  <c r="T2" i="13"/>
  <c r="U2" i="13"/>
  <c r="V2" i="13"/>
  <c r="W2" i="13"/>
  <c r="X2" i="13"/>
  <c r="Y2" i="13"/>
  <c r="Z2" i="13"/>
  <c r="K492" i="15" a="1"/>
  <c r="K492" i="15" s="1"/>
  <c r="L492" i="15" a="1"/>
  <c r="L492" i="15" s="1"/>
  <c r="M492" i="15" a="1"/>
  <c r="M492" i="15" s="1"/>
  <c r="N492" i="15" a="1"/>
  <c r="N492" i="15" s="1"/>
  <c r="K493" i="15" a="1"/>
  <c r="K493" i="15" s="1"/>
  <c r="L493" i="15" a="1"/>
  <c r="L493" i="15" s="1"/>
  <c r="M493" i="15" a="1"/>
  <c r="M493" i="15" s="1"/>
  <c r="N493" i="15" a="1"/>
  <c r="N493" i="15" s="1"/>
  <c r="B73" i="12" a="1"/>
  <c r="B73" i="12" s="1"/>
  <c r="Y3" i="13" l="1"/>
  <c r="X3" i="13" s="1"/>
  <c r="W3" i="13" s="1"/>
  <c r="V3" i="13" s="1"/>
  <c r="U3" i="13" s="1"/>
  <c r="T3" i="13" s="1"/>
  <c r="S3" i="13" s="1"/>
  <c r="R3" i="13" s="1"/>
  <c r="Q3" i="13" s="1"/>
  <c r="P3" i="13" s="1"/>
  <c r="O3" i="13" s="1"/>
  <c r="N3" i="13" s="1"/>
  <c r="M3" i="13" s="1"/>
  <c r="L3" i="13" s="1"/>
  <c r="K3" i="13" s="1"/>
  <c r="J3" i="13" s="1"/>
  <c r="I3" i="13" s="1"/>
  <c r="H3" i="13" s="1"/>
  <c r="G3" i="13" s="1"/>
  <c r="F3" i="13" s="1"/>
  <c r="EN85" i="19" a="1"/>
  <c r="EN85" i="19" s="1"/>
  <c r="DV85" i="19" a="1"/>
  <c r="DV85" i="19" s="1"/>
  <c r="EK112" i="19"/>
  <c r="ED103" i="19"/>
  <c r="EH103" i="19"/>
  <c r="EG103" i="19"/>
  <c r="DZ85" i="19" a="1"/>
  <c r="DZ85" i="19" s="1"/>
  <c r="K488" i="15" l="1" a="1"/>
  <c r="K488" i="15" s="1"/>
  <c r="L488" i="15" a="1"/>
  <c r="L488" i="15" s="1"/>
  <c r="M488" i="15" a="1"/>
  <c r="M488" i="15" s="1"/>
  <c r="N488" i="15" a="1"/>
  <c r="N488" i="15" s="1"/>
  <c r="K484" i="15" l="1" a="1"/>
  <c r="K484" i="15" s="1"/>
  <c r="L484" i="15" a="1"/>
  <c r="L484" i="15" s="1"/>
  <c r="M484" i="15" a="1"/>
  <c r="M484" i="15" s="1"/>
  <c r="N484" i="15" a="1"/>
  <c r="N484" i="15" s="1"/>
  <c r="K485" i="15" a="1"/>
  <c r="K485" i="15" s="1"/>
  <c r="L485" i="15" a="1"/>
  <c r="L485" i="15" s="1"/>
  <c r="M485" i="15" a="1"/>
  <c r="M485" i="15" s="1"/>
  <c r="N485" i="15" a="1"/>
  <c r="N485" i="15" s="1"/>
  <c r="K486" i="15" a="1"/>
  <c r="K486" i="15" s="1"/>
  <c r="L486" i="15" a="1"/>
  <c r="L486" i="15" s="1"/>
  <c r="M486" i="15" a="1"/>
  <c r="M486" i="15" s="1"/>
  <c r="N486" i="15" a="1"/>
  <c r="N486" i="15" s="1"/>
  <c r="BA107" i="13"/>
  <c r="K477" i="15" a="1"/>
  <c r="K477" i="15" s="1"/>
  <c r="L477" i="15" a="1"/>
  <c r="L477" i="15" s="1"/>
  <c r="M477" i="15" a="1"/>
  <c r="M477" i="15" s="1"/>
  <c r="N477" i="15" a="1"/>
  <c r="N477" i="15" s="1"/>
  <c r="K478" i="15" a="1"/>
  <c r="K478" i="15" s="1"/>
  <c r="L478" i="15" a="1"/>
  <c r="L478" i="15" s="1"/>
  <c r="M478" i="15" a="1"/>
  <c r="M478" i="15" s="1"/>
  <c r="N478" i="15" a="1"/>
  <c r="N478" i="15" s="1"/>
  <c r="G1702" i="13"/>
  <c r="H1702" i="13"/>
  <c r="J1702" i="13"/>
  <c r="K1702" i="13"/>
  <c r="L1702" i="13"/>
  <c r="M1702" i="13"/>
  <c r="N1702" i="13"/>
  <c r="O1702" i="13"/>
  <c r="P1702" i="13"/>
  <c r="Q1702" i="13"/>
  <c r="R1702" i="13"/>
  <c r="S1702" i="13"/>
  <c r="T1702" i="13"/>
  <c r="U1702" i="13"/>
  <c r="V1702" i="13"/>
  <c r="W1702" i="13"/>
  <c r="X1702" i="13"/>
  <c r="Y1702" i="13"/>
  <c r="Z1702" i="13"/>
  <c r="AA1702" i="13"/>
  <c r="G1703" i="13"/>
  <c r="H1703" i="13"/>
  <c r="J1703" i="13"/>
  <c r="K1703" i="13"/>
  <c r="L1703" i="13"/>
  <c r="M1703" i="13"/>
  <c r="N1703" i="13"/>
  <c r="O1703" i="13"/>
  <c r="P1703" i="13"/>
  <c r="Q1703" i="13"/>
  <c r="R1703" i="13"/>
  <c r="S1703" i="13"/>
  <c r="T1703" i="13"/>
  <c r="U1703" i="13"/>
  <c r="V1703" i="13"/>
  <c r="W1703" i="13"/>
  <c r="X1703" i="13"/>
  <c r="Y1703" i="13"/>
  <c r="Z1703" i="13"/>
  <c r="AA1703" i="13"/>
  <c r="F1703" i="13"/>
  <c r="F1702" i="13"/>
  <c r="BL1695" i="13"/>
  <c r="BM1695" i="13"/>
  <c r="AT1703" i="13"/>
  <c r="AU1703" i="13"/>
  <c r="AV1703" i="13"/>
  <c r="AW1695" i="13"/>
  <c r="AY1695" i="13"/>
  <c r="AZ1695" i="13"/>
  <c r="BA1695" i="13"/>
  <c r="BB1695" i="13"/>
  <c r="BC1695" i="13"/>
  <c r="BD1695" i="13"/>
  <c r="BE1695" i="13"/>
  <c r="BF1695" i="13"/>
  <c r="BG1695" i="13"/>
  <c r="BH1695" i="13"/>
  <c r="BI1695" i="13"/>
  <c r="BJ1695" i="13"/>
  <c r="BK1695" i="13"/>
  <c r="O7" i="4"/>
  <c r="F1697" i="13" l="1"/>
  <c r="F1698" i="13" s="1" a="1"/>
  <c r="F1698" i="13" s="1"/>
  <c r="F1699" i="13" s="1"/>
  <c r="M1704" i="13" s="1"/>
  <c r="AK3" i="70"/>
  <c r="AI4" i="70" a="1"/>
  <c r="AI4" i="70" l="1"/>
  <c r="AH1704" i="13"/>
  <c r="Q1704" i="13"/>
  <c r="AK1704" i="13"/>
  <c r="AS1704" i="13"/>
  <c r="AL1704" i="13"/>
  <c r="F1704" i="13"/>
  <c r="AO1704" i="13"/>
  <c r="AA1704" i="13"/>
  <c r="AQ1704" i="13"/>
  <c r="R1704" i="13"/>
  <c r="Z1704" i="13"/>
  <c r="AD1704" i="13"/>
  <c r="O1704" i="13"/>
  <c r="AM1704" i="13"/>
  <c r="S1704" i="13"/>
  <c r="AJ1704" i="13"/>
  <c r="AI1704" i="13"/>
  <c r="H1704" i="13"/>
  <c r="AF1704" i="13"/>
  <c r="T1704" i="13"/>
  <c r="AE1704" i="13"/>
  <c r="AN1704" i="13"/>
  <c r="Y1704" i="13"/>
  <c r="U1704" i="13"/>
  <c r="AC1704" i="13"/>
  <c r="I1704" i="13"/>
  <c r="AB1704" i="13"/>
  <c r="P1704" i="13"/>
  <c r="V1704" i="13"/>
  <c r="AG1704" i="13"/>
  <c r="G1704" i="13"/>
  <c r="W1704" i="13"/>
  <c r="K1704" i="13"/>
  <c r="AP1704" i="13"/>
  <c r="AR1704" i="13"/>
  <c r="N1704" i="13"/>
  <c r="L1704" i="13"/>
  <c r="X1704" i="13"/>
  <c r="J1704" i="13"/>
  <c r="F28" i="7"/>
  <c r="JU45" i="12" l="1" a="1"/>
  <c r="JU45" i="12" s="1"/>
  <c r="JU46" i="12" a="1"/>
  <c r="JU46" i="12" s="1"/>
  <c r="JU47" i="12" a="1"/>
  <c r="JU47" i="12" s="1"/>
  <c r="JU48" i="12" a="1"/>
  <c r="JU48" i="12" s="1"/>
  <c r="JU49" i="12" a="1"/>
  <c r="JU49" i="12" s="1"/>
  <c r="JU50" i="12" a="1"/>
  <c r="JU50" i="12" s="1"/>
  <c r="JV45" i="12" a="1"/>
  <c r="JV45" i="12" s="1"/>
  <c r="JV46" i="12" a="1"/>
  <c r="JV46" i="12" s="1"/>
  <c r="JV47" i="12" a="1"/>
  <c r="JV47" i="12" s="1"/>
  <c r="JV48" i="12" a="1"/>
  <c r="JV48" i="12" s="1"/>
  <c r="JV49" i="12" a="1"/>
  <c r="JV49" i="12" s="1"/>
  <c r="JV50" i="12" a="1"/>
  <c r="JV50" i="12" s="1"/>
  <c r="JW45" i="12" a="1"/>
  <c r="JW45" i="12" s="1"/>
  <c r="JW46" i="12" a="1"/>
  <c r="JW46" i="12" s="1"/>
  <c r="JW47" i="12" a="1"/>
  <c r="JW47" i="12" s="1"/>
  <c r="JW48" i="12" a="1"/>
  <c r="JW48" i="12" s="1"/>
  <c r="JW49" i="12" a="1"/>
  <c r="JW49" i="12" s="1"/>
  <c r="JW50" i="12" a="1"/>
  <c r="JW50" i="12" s="1"/>
  <c r="JX45" i="12" a="1"/>
  <c r="JX45" i="12" s="1"/>
  <c r="JX46" i="12" a="1"/>
  <c r="JX46" i="12" s="1"/>
  <c r="JX47" i="12" a="1"/>
  <c r="JX47" i="12" s="1"/>
  <c r="JX48" i="12" a="1"/>
  <c r="JX48" i="12" s="1"/>
  <c r="JX49" i="12" a="1"/>
  <c r="JX49" i="12" s="1"/>
  <c r="JX50" i="12" a="1"/>
  <c r="JX50" i="12" s="1"/>
  <c r="JY45" i="12" a="1"/>
  <c r="JY45" i="12" s="1"/>
  <c r="JY46" i="12" a="1"/>
  <c r="JY46" i="12" s="1"/>
  <c r="JY47" i="12" a="1"/>
  <c r="JY47" i="12" s="1"/>
  <c r="JY48" i="12" a="1"/>
  <c r="JY48" i="12" s="1"/>
  <c r="JY49" i="12" a="1"/>
  <c r="JY49" i="12" s="1"/>
  <c r="JY50" i="12" a="1"/>
  <c r="JY50" i="12" s="1"/>
  <c r="JZ45" i="12" a="1"/>
  <c r="JZ45" i="12" s="1"/>
  <c r="JZ46" i="12" a="1"/>
  <c r="JZ46" i="12" s="1"/>
  <c r="JZ47" i="12" a="1"/>
  <c r="JZ47" i="12" s="1"/>
  <c r="JZ48" i="12" a="1"/>
  <c r="JZ48" i="12" s="1"/>
  <c r="JZ49" i="12" a="1"/>
  <c r="JZ49" i="12" s="1"/>
  <c r="JZ50" i="12" a="1"/>
  <c r="JZ50" i="12" s="1"/>
  <c r="KA45" i="12" a="1"/>
  <c r="KA45" i="12" s="1"/>
  <c r="KA46" i="12" a="1"/>
  <c r="KA46" i="12" s="1"/>
  <c r="KA47" i="12" a="1"/>
  <c r="KA47" i="12" s="1"/>
  <c r="KA48" i="12" a="1"/>
  <c r="KA48" i="12" s="1"/>
  <c r="KA49" i="12" a="1"/>
  <c r="KA49" i="12" s="1"/>
  <c r="KA50" i="12" a="1"/>
  <c r="KA50" i="12" s="1"/>
  <c r="KB45" i="12" a="1"/>
  <c r="KB45" i="12" s="1"/>
  <c r="KB46" i="12" a="1"/>
  <c r="KB46" i="12" s="1"/>
  <c r="KB47" i="12" a="1"/>
  <c r="KB47" i="12" s="1"/>
  <c r="KB48" i="12" a="1"/>
  <c r="KB48" i="12" s="1"/>
  <c r="KB49" i="12" a="1"/>
  <c r="KB49" i="12" s="1"/>
  <c r="KB50" i="12" a="1"/>
  <c r="KB50" i="12" s="1"/>
  <c r="KC45" i="12" a="1"/>
  <c r="KC45" i="12" s="1"/>
  <c r="KC46" i="12" a="1"/>
  <c r="KC46" i="12" s="1"/>
  <c r="KC47" i="12" a="1"/>
  <c r="KC47" i="12" s="1"/>
  <c r="KC48" i="12" a="1"/>
  <c r="KC48" i="12" s="1"/>
  <c r="KC49" i="12" a="1"/>
  <c r="KC49" i="12" s="1"/>
  <c r="KC50" i="12" a="1"/>
  <c r="KC50" i="12" s="1"/>
  <c r="KD45" i="12" a="1"/>
  <c r="KD45" i="12" s="1"/>
  <c r="KD46" i="12" a="1"/>
  <c r="KD46" i="12" s="1"/>
  <c r="KD47" i="12" a="1"/>
  <c r="KD47" i="12" s="1"/>
  <c r="KD48" i="12" a="1"/>
  <c r="KD48" i="12" s="1"/>
  <c r="KD49" i="12" a="1"/>
  <c r="KD49" i="12" s="1"/>
  <c r="KD50" i="12" a="1"/>
  <c r="KD50" i="12" s="1"/>
  <c r="KE45" i="12" a="1"/>
  <c r="KE45" i="12" s="1"/>
  <c r="KE46" i="12" a="1"/>
  <c r="KE46" i="12" s="1"/>
  <c r="KE47" i="12" a="1"/>
  <c r="KE47" i="12" s="1"/>
  <c r="KE48" i="12" a="1"/>
  <c r="KE48" i="12" s="1"/>
  <c r="KE49" i="12" a="1"/>
  <c r="KE49" i="12" s="1"/>
  <c r="KE50" i="12" a="1"/>
  <c r="KE50" i="12" s="1"/>
  <c r="KF45" i="12" a="1"/>
  <c r="KF45" i="12" s="1"/>
  <c r="KF46" i="12" a="1"/>
  <c r="KF46" i="12" s="1"/>
  <c r="KF47" i="12" a="1"/>
  <c r="KF47" i="12" s="1"/>
  <c r="KF48" i="12" a="1"/>
  <c r="KF48" i="12" s="1"/>
  <c r="KF49" i="12" a="1"/>
  <c r="KF49" i="12" s="1"/>
  <c r="KF50" i="12" a="1"/>
  <c r="KF50" i="12" s="1"/>
  <c r="JU51" i="12" a="1"/>
  <c r="JU51" i="12" s="1"/>
  <c r="JU52" i="12" a="1"/>
  <c r="JU52" i="12" s="1"/>
  <c r="JU53" i="12" a="1"/>
  <c r="JU53" i="12" s="1"/>
  <c r="JV51" i="12" a="1"/>
  <c r="JV51" i="12" s="1"/>
  <c r="JV52" i="12" a="1"/>
  <c r="JV52" i="12" s="1"/>
  <c r="JV53" i="12" a="1"/>
  <c r="JV53" i="12" s="1"/>
  <c r="JW51" i="12" a="1"/>
  <c r="JW51" i="12" s="1"/>
  <c r="JW52" i="12" a="1"/>
  <c r="JW52" i="12" s="1"/>
  <c r="JW53" i="12" a="1"/>
  <c r="JW53" i="12" s="1"/>
  <c r="JX51" i="12" a="1"/>
  <c r="JX51" i="12" s="1"/>
  <c r="JX52" i="12" a="1"/>
  <c r="JX52" i="12" s="1"/>
  <c r="JX53" i="12" a="1"/>
  <c r="JX53" i="12" s="1"/>
  <c r="JY51" i="12" a="1"/>
  <c r="JY51" i="12" s="1"/>
  <c r="JY52" i="12" a="1"/>
  <c r="JY52" i="12" s="1"/>
  <c r="JY53" i="12" a="1"/>
  <c r="JY53" i="12" s="1"/>
  <c r="JZ51" i="12" a="1"/>
  <c r="JZ51" i="12" s="1"/>
  <c r="JZ52" i="12" a="1"/>
  <c r="JZ52" i="12" s="1"/>
  <c r="JZ53" i="12" a="1"/>
  <c r="JZ53" i="12" s="1"/>
  <c r="KA51" i="12" a="1"/>
  <c r="KA51" i="12" s="1"/>
  <c r="KA52" i="12" a="1"/>
  <c r="KA52" i="12" s="1"/>
  <c r="KA53" i="12" a="1"/>
  <c r="KA53" i="12" s="1"/>
  <c r="KB51" i="12" a="1"/>
  <c r="KB51" i="12" s="1"/>
  <c r="KB52" i="12" a="1"/>
  <c r="KB52" i="12" s="1"/>
  <c r="KB53" i="12" a="1"/>
  <c r="KB53" i="12" s="1"/>
  <c r="KC51" i="12" a="1"/>
  <c r="KC51" i="12" s="1"/>
  <c r="KC52" i="12" a="1"/>
  <c r="KC52" i="12" s="1"/>
  <c r="KC53" i="12" a="1"/>
  <c r="KC53" i="12" s="1"/>
  <c r="KD51" i="12" a="1"/>
  <c r="KD51" i="12" s="1"/>
  <c r="KD52" i="12" a="1"/>
  <c r="KD52" i="12" s="1"/>
  <c r="KD53" i="12" a="1"/>
  <c r="KD53" i="12" s="1"/>
  <c r="KE51" i="12" a="1"/>
  <c r="KE51" i="12" s="1"/>
  <c r="KE52" i="12" a="1"/>
  <c r="KE52" i="12" s="1"/>
  <c r="KE53" i="12" a="1"/>
  <c r="KE53" i="12" s="1"/>
  <c r="KF51" i="12" a="1"/>
  <c r="KF51" i="12" s="1"/>
  <c r="KF52" i="12" a="1"/>
  <c r="KF52" i="12" s="1"/>
  <c r="KF53" i="12" a="1"/>
  <c r="KF53" i="12" s="1"/>
  <c r="JU71" i="12" a="1"/>
  <c r="JU71" i="12" s="1"/>
  <c r="JV71" i="12" a="1"/>
  <c r="JV71" i="12" s="1"/>
  <c r="JW71" i="12" a="1"/>
  <c r="JW71" i="12" s="1"/>
  <c r="JX71" i="12" a="1"/>
  <c r="JX71" i="12" s="1"/>
  <c r="JY71" i="12" a="1"/>
  <c r="JY71" i="12" s="1"/>
  <c r="JZ71" i="12" a="1"/>
  <c r="JZ71" i="12" s="1"/>
  <c r="KA71" i="12" a="1"/>
  <c r="KA71" i="12" s="1"/>
  <c r="KB71" i="12" a="1"/>
  <c r="KB71" i="12" s="1"/>
  <c r="KC71" i="12" a="1"/>
  <c r="KC71" i="12" s="1"/>
  <c r="KD71" i="12" a="1"/>
  <c r="KD71" i="12" s="1"/>
  <c r="KE71" i="12" a="1"/>
  <c r="KE71" i="12" s="1"/>
  <c r="KF71" i="12" a="1"/>
  <c r="KF71" i="12" s="1"/>
  <c r="JU55" i="12" a="1"/>
  <c r="JU55" i="12" s="1"/>
  <c r="JV55" i="12" a="1"/>
  <c r="JV55" i="12" s="1"/>
  <c r="JW55" i="12" a="1"/>
  <c r="JW55" i="12" s="1"/>
  <c r="JX55" i="12" a="1"/>
  <c r="JX55" i="12" s="1"/>
  <c r="JY55" i="12" a="1"/>
  <c r="JY55" i="12" s="1"/>
  <c r="JZ55" i="12" a="1"/>
  <c r="JZ55" i="12" s="1"/>
  <c r="KA55" i="12" a="1"/>
  <c r="KA55" i="12" s="1"/>
  <c r="KB55" i="12" a="1"/>
  <c r="KB55" i="12" s="1"/>
  <c r="KC55" i="12" a="1"/>
  <c r="KC55" i="12" s="1"/>
  <c r="KD55" i="12" a="1"/>
  <c r="KD55" i="12" s="1"/>
  <c r="KE55" i="12" a="1"/>
  <c r="KE55" i="12" s="1"/>
  <c r="KF55" i="12" a="1"/>
  <c r="KF55" i="12" s="1"/>
  <c r="R4" i="4" l="1"/>
  <c r="R5" i="4"/>
  <c r="R6" i="4"/>
  <c r="R7" i="4"/>
  <c r="R8" i="4"/>
  <c r="R11" i="4"/>
  <c r="R12" i="4"/>
  <c r="R13" i="4"/>
  <c r="R14" i="4"/>
  <c r="R15" i="4"/>
  <c r="R16" i="4"/>
  <c r="R17" i="4"/>
  <c r="R18" i="4"/>
  <c r="R19" i="4"/>
  <c r="R20" i="4"/>
  <c r="R21" i="4"/>
  <c r="R22" i="4"/>
  <c r="R23" i="4"/>
  <c r="R24" i="4"/>
  <c r="R25" i="4"/>
  <c r="R26" i="4"/>
  <c r="R27" i="4"/>
  <c r="R28" i="4"/>
  <c r="R29" i="4"/>
  <c r="R30" i="4"/>
  <c r="R31" i="4"/>
  <c r="R32" i="4"/>
  <c r="R33" i="4"/>
  <c r="R34" i="4"/>
  <c r="R35" i="4"/>
  <c r="R36" i="4"/>
  <c r="R37" i="4"/>
  <c r="R38" i="4"/>
  <c r="R39" i="4"/>
  <c r="R40" i="4"/>
  <c r="R41" i="4"/>
  <c r="R42" i="4"/>
  <c r="R43" i="4"/>
  <c r="R44" i="4"/>
  <c r="R45" i="4"/>
  <c r="R46" i="4"/>
  <c r="R47" i="4"/>
  <c r="R48" i="4"/>
  <c r="R49" i="4"/>
  <c r="R50" i="4"/>
  <c r="R51" i="4"/>
  <c r="R52" i="4"/>
  <c r="R53" i="4"/>
  <c r="R54" i="4"/>
  <c r="R55" i="4"/>
  <c r="R56" i="4"/>
  <c r="R57" i="4"/>
  <c r="R58" i="4"/>
  <c r="R59" i="4"/>
  <c r="R60"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3" i="4"/>
  <c r="O3" i="4"/>
  <c r="O4" i="4"/>
  <c r="O5" i="4"/>
  <c r="O6" i="4"/>
  <c r="O8"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P3" i="4"/>
  <c r="P4" i="4"/>
  <c r="P5" i="4"/>
  <c r="P6" i="4"/>
  <c r="P7" i="4"/>
  <c r="P8"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BM204" i="4" l="1"/>
  <c r="BC1764" i="13" l="1"/>
  <c r="BC201" i="4"/>
  <c r="BA201" i="4"/>
  <c r="C76" i="12"/>
  <c r="C4" i="27"/>
  <c r="C5" i="27"/>
  <c r="D6" i="27"/>
  <c r="D7" i="27"/>
  <c r="C8" i="27"/>
  <c r="D8" i="27"/>
  <c r="E8" i="27"/>
  <c r="G8" i="27"/>
  <c r="D10" i="27"/>
  <c r="C11" i="27"/>
  <c r="D11" i="27"/>
  <c r="E11" i="27"/>
  <c r="G11" i="27"/>
  <c r="H11" i="27"/>
  <c r="E3" i="27"/>
  <c r="F3" i="27"/>
  <c r="H3" i="27"/>
  <c r="C3" i="27"/>
  <c r="F11" i="27"/>
  <c r="G10" i="27"/>
  <c r="H8" i="27"/>
  <c r="F8" i="27"/>
  <c r="G7" i="27"/>
  <c r="G6" i="27"/>
  <c r="F5" i="27"/>
  <c r="F4" i="27"/>
  <c r="AK2" i="70"/>
  <c r="AJ2" i="70"/>
  <c r="AC1772" i="13"/>
  <c r="AD1772" i="13"/>
  <c r="AE1772" i="13"/>
  <c r="AF1772" i="13"/>
  <c r="AG1772" i="13"/>
  <c r="AH1772" i="13"/>
  <c r="AI1772" i="13"/>
  <c r="AJ1772" i="13"/>
  <c r="AK1772" i="13"/>
  <c r="AL1772" i="13"/>
  <c r="AM1772" i="13"/>
  <c r="AN1772" i="13"/>
  <c r="AO1772" i="13"/>
  <c r="AP1772" i="13"/>
  <c r="AQ1772" i="13"/>
  <c r="AR1772" i="13"/>
  <c r="AS1772" i="13"/>
  <c r="AT1772" i="13"/>
  <c r="AU1772" i="13"/>
  <c r="AC1770" i="13"/>
  <c r="AD1770" i="13"/>
  <c r="AE1770" i="13"/>
  <c r="AF1770" i="13"/>
  <c r="AG1770" i="13"/>
  <c r="AH1770" i="13"/>
  <c r="AI1770" i="13"/>
  <c r="AJ1770" i="13"/>
  <c r="AK1770" i="13"/>
  <c r="AL1770" i="13"/>
  <c r="AM1770" i="13"/>
  <c r="AN1770" i="13"/>
  <c r="AO1770" i="13"/>
  <c r="AP1770" i="13"/>
  <c r="AQ1770" i="13"/>
  <c r="AR1770" i="13"/>
  <c r="AS1770" i="13"/>
  <c r="AT1770" i="13"/>
  <c r="AU1770" i="13"/>
  <c r="AC1769" i="13"/>
  <c r="AD1769" i="13"/>
  <c r="AE1769" i="13"/>
  <c r="AF1769" i="13"/>
  <c r="AG1769" i="13"/>
  <c r="AH1769" i="13"/>
  <c r="AI1769" i="13"/>
  <c r="AJ1769" i="13"/>
  <c r="AK1769" i="13"/>
  <c r="AL1769" i="13"/>
  <c r="AM1769" i="13"/>
  <c r="AN1769" i="13"/>
  <c r="AO1769" i="13"/>
  <c r="AP1769" i="13"/>
  <c r="AQ1769" i="13"/>
  <c r="AR1769" i="13"/>
  <c r="AS1769" i="13"/>
  <c r="AT1769" i="13"/>
  <c r="AU1769" i="13"/>
  <c r="D1" i="69"/>
  <c r="E1" i="69"/>
  <c r="AD104" i="69"/>
  <c r="BB1764" i="13" l="1"/>
  <c r="B3" i="70"/>
  <c r="Q102" i="22"/>
  <c r="Q101" i="22"/>
  <c r="P81" i="22"/>
  <c r="AC1713" i="13"/>
  <c r="AD1713" i="13"/>
  <c r="AE1713" i="13"/>
  <c r="AF1713" i="13"/>
  <c r="AG1713" i="13"/>
  <c r="AH1713" i="13"/>
  <c r="AI1713" i="13"/>
  <c r="AJ1713" i="13"/>
  <c r="AK1713" i="13"/>
  <c r="AL1713" i="13"/>
  <c r="AM1713" i="13"/>
  <c r="AN1713" i="13"/>
  <c r="AO1713" i="13"/>
  <c r="AP1713" i="13"/>
  <c r="AQ1713" i="13"/>
  <c r="AR1713" i="13"/>
  <c r="AS1713" i="13"/>
  <c r="AT1713" i="13"/>
  <c r="AU1713" i="13"/>
  <c r="AC1714" i="13"/>
  <c r="AD1714" i="13"/>
  <c r="AE1714" i="13"/>
  <c r="AF1714" i="13"/>
  <c r="AG1714" i="13"/>
  <c r="AH1714" i="13"/>
  <c r="AI1714" i="13"/>
  <c r="AJ1714" i="13"/>
  <c r="AK1714" i="13"/>
  <c r="AL1714" i="13"/>
  <c r="AM1714" i="13"/>
  <c r="AN1714" i="13"/>
  <c r="AO1714" i="13"/>
  <c r="AP1714" i="13"/>
  <c r="AQ1714" i="13"/>
  <c r="AR1714" i="13"/>
  <c r="AS1714" i="13"/>
  <c r="AT1714" i="13"/>
  <c r="AU1714" i="13"/>
  <c r="AC1715" i="13"/>
  <c r="AD1715" i="13"/>
  <c r="AE1715" i="13"/>
  <c r="AF1715" i="13"/>
  <c r="AG1715" i="13"/>
  <c r="AH1715" i="13"/>
  <c r="AI1715" i="13"/>
  <c r="AJ1715" i="13"/>
  <c r="AK1715" i="13"/>
  <c r="AL1715" i="13"/>
  <c r="AM1715" i="13"/>
  <c r="AN1715" i="13"/>
  <c r="AO1715" i="13"/>
  <c r="AP1715" i="13"/>
  <c r="AQ1715" i="13"/>
  <c r="AR1715" i="13"/>
  <c r="AS1715" i="13"/>
  <c r="AT1715" i="13"/>
  <c r="AU1715" i="13"/>
  <c r="AC1716" i="13"/>
  <c r="AD1716" i="13"/>
  <c r="AE1716" i="13"/>
  <c r="AF1716" i="13"/>
  <c r="AG1716" i="13"/>
  <c r="AH1716" i="13"/>
  <c r="AI1716" i="13"/>
  <c r="AJ1716" i="13"/>
  <c r="AK1716" i="13"/>
  <c r="AL1716" i="13"/>
  <c r="AM1716" i="13"/>
  <c r="AN1716" i="13"/>
  <c r="AO1716" i="13"/>
  <c r="AP1716" i="13"/>
  <c r="AQ1716" i="13"/>
  <c r="AR1716" i="13"/>
  <c r="AS1716" i="13"/>
  <c r="AT1716" i="13"/>
  <c r="AU1716" i="13"/>
  <c r="AC1717" i="13"/>
  <c r="AD1717" i="13"/>
  <c r="AE1717" i="13"/>
  <c r="AF1717" i="13"/>
  <c r="AG1717" i="13"/>
  <c r="AH1717" i="13"/>
  <c r="AI1717" i="13"/>
  <c r="AJ1717" i="13"/>
  <c r="AK1717" i="13"/>
  <c r="AL1717" i="13"/>
  <c r="AM1717" i="13"/>
  <c r="AN1717" i="13"/>
  <c r="AO1717" i="13"/>
  <c r="AP1717" i="13"/>
  <c r="AQ1717" i="13"/>
  <c r="AR1717" i="13"/>
  <c r="AS1717" i="13"/>
  <c r="AT1717" i="13"/>
  <c r="AU1717" i="13"/>
  <c r="AC1718" i="13"/>
  <c r="AD1718" i="13"/>
  <c r="AE1718" i="13"/>
  <c r="AF1718" i="13"/>
  <c r="AG1718" i="13"/>
  <c r="AH1718" i="13"/>
  <c r="AI1718" i="13"/>
  <c r="AJ1718" i="13"/>
  <c r="AK1718" i="13"/>
  <c r="AL1718" i="13"/>
  <c r="AM1718" i="13"/>
  <c r="AN1718" i="13"/>
  <c r="AO1718" i="13"/>
  <c r="AP1718" i="13"/>
  <c r="AQ1718" i="13"/>
  <c r="AR1718" i="13"/>
  <c r="AS1718" i="13"/>
  <c r="AT1718" i="13"/>
  <c r="AU1718" i="13"/>
  <c r="AC1719" i="13"/>
  <c r="AD1719" i="13"/>
  <c r="AE1719" i="13"/>
  <c r="AF1719" i="13"/>
  <c r="AG1719" i="13"/>
  <c r="AH1719" i="13"/>
  <c r="AI1719" i="13"/>
  <c r="AJ1719" i="13"/>
  <c r="AK1719" i="13"/>
  <c r="AL1719" i="13"/>
  <c r="AM1719" i="13"/>
  <c r="AN1719" i="13"/>
  <c r="AO1719" i="13"/>
  <c r="AP1719" i="13"/>
  <c r="AQ1719" i="13"/>
  <c r="AR1719" i="13"/>
  <c r="AS1719" i="13"/>
  <c r="AT1719" i="13"/>
  <c r="AU1719" i="13"/>
  <c r="AC1720" i="13"/>
  <c r="AD1720" i="13"/>
  <c r="AE1720" i="13"/>
  <c r="AF1720" i="13"/>
  <c r="AG1720" i="13"/>
  <c r="AH1720" i="13"/>
  <c r="AI1720" i="13"/>
  <c r="AJ1720" i="13"/>
  <c r="AK1720" i="13"/>
  <c r="AL1720" i="13"/>
  <c r="AM1720" i="13"/>
  <c r="AN1720" i="13"/>
  <c r="AO1720" i="13"/>
  <c r="AP1720" i="13"/>
  <c r="AQ1720" i="13"/>
  <c r="AR1720" i="13"/>
  <c r="AS1720" i="13"/>
  <c r="AT1720" i="13"/>
  <c r="AU1720" i="13"/>
  <c r="AC1721" i="13"/>
  <c r="AD1721" i="13"/>
  <c r="AE1721" i="13"/>
  <c r="AF1721" i="13"/>
  <c r="AG1721" i="13"/>
  <c r="AH1721" i="13"/>
  <c r="AI1721" i="13"/>
  <c r="AJ1721" i="13"/>
  <c r="AK1721" i="13"/>
  <c r="AL1721" i="13"/>
  <c r="AM1721" i="13"/>
  <c r="AN1721" i="13"/>
  <c r="AO1721" i="13"/>
  <c r="AP1721" i="13"/>
  <c r="AQ1721" i="13"/>
  <c r="AR1721" i="13"/>
  <c r="AS1721" i="13"/>
  <c r="AT1721" i="13"/>
  <c r="AU1721" i="13"/>
  <c r="AC1722" i="13"/>
  <c r="AD1722" i="13"/>
  <c r="AE1722" i="13"/>
  <c r="AF1722" i="13"/>
  <c r="AG1722" i="13"/>
  <c r="AH1722" i="13"/>
  <c r="AI1722" i="13"/>
  <c r="AJ1722" i="13"/>
  <c r="AK1722" i="13"/>
  <c r="AL1722" i="13"/>
  <c r="AM1722" i="13"/>
  <c r="AN1722" i="13"/>
  <c r="AO1722" i="13"/>
  <c r="AP1722" i="13"/>
  <c r="AQ1722" i="13"/>
  <c r="AR1722" i="13"/>
  <c r="AS1722" i="13"/>
  <c r="AT1722" i="13"/>
  <c r="AU1722" i="13"/>
  <c r="AC1723" i="13"/>
  <c r="AD1723" i="13"/>
  <c r="AE1723" i="13"/>
  <c r="AF1723" i="13"/>
  <c r="AG1723" i="13"/>
  <c r="AH1723" i="13"/>
  <c r="AI1723" i="13"/>
  <c r="AJ1723" i="13"/>
  <c r="AK1723" i="13"/>
  <c r="AL1723" i="13"/>
  <c r="AM1723" i="13"/>
  <c r="AN1723" i="13"/>
  <c r="AO1723" i="13"/>
  <c r="AP1723" i="13"/>
  <c r="AQ1723" i="13"/>
  <c r="AR1723" i="13"/>
  <c r="AS1723" i="13"/>
  <c r="AT1723" i="13"/>
  <c r="AU1723" i="13"/>
  <c r="AC1724" i="13"/>
  <c r="AD1724" i="13"/>
  <c r="AE1724" i="13"/>
  <c r="AF1724" i="13"/>
  <c r="AG1724" i="13"/>
  <c r="AH1724" i="13"/>
  <c r="AI1724" i="13"/>
  <c r="AJ1724" i="13"/>
  <c r="AK1724" i="13"/>
  <c r="AL1724" i="13"/>
  <c r="AM1724" i="13"/>
  <c r="AN1724" i="13"/>
  <c r="AO1724" i="13"/>
  <c r="AP1724" i="13"/>
  <c r="AQ1724" i="13"/>
  <c r="AR1724" i="13"/>
  <c r="AS1724" i="13"/>
  <c r="AT1724" i="13"/>
  <c r="AU1724" i="13"/>
  <c r="AC1725" i="13"/>
  <c r="AD1725" i="13"/>
  <c r="AE1725" i="13"/>
  <c r="AF1725" i="13"/>
  <c r="AG1725" i="13"/>
  <c r="AH1725" i="13"/>
  <c r="AI1725" i="13"/>
  <c r="AJ1725" i="13"/>
  <c r="AK1725" i="13"/>
  <c r="AL1725" i="13"/>
  <c r="AM1725" i="13"/>
  <c r="AN1725" i="13"/>
  <c r="AO1725" i="13"/>
  <c r="AP1725" i="13"/>
  <c r="AQ1725" i="13"/>
  <c r="AR1725" i="13"/>
  <c r="AS1725" i="13"/>
  <c r="AT1725" i="13"/>
  <c r="AU1725" i="13"/>
  <c r="AC1726" i="13"/>
  <c r="AD1726" i="13"/>
  <c r="AE1726" i="13"/>
  <c r="AF1726" i="13"/>
  <c r="AG1726" i="13"/>
  <c r="AH1726" i="13"/>
  <c r="AI1726" i="13"/>
  <c r="AJ1726" i="13"/>
  <c r="AK1726" i="13"/>
  <c r="AL1726" i="13"/>
  <c r="AM1726" i="13"/>
  <c r="AN1726" i="13"/>
  <c r="AO1726" i="13"/>
  <c r="AP1726" i="13"/>
  <c r="AQ1726" i="13"/>
  <c r="AR1726" i="13"/>
  <c r="AS1726" i="13"/>
  <c r="AT1726" i="13"/>
  <c r="AU1726" i="13"/>
  <c r="AC1727" i="13"/>
  <c r="AD1727" i="13"/>
  <c r="AE1727" i="13"/>
  <c r="AF1727" i="13"/>
  <c r="AG1727" i="13"/>
  <c r="AH1727" i="13"/>
  <c r="AI1727" i="13"/>
  <c r="AJ1727" i="13"/>
  <c r="AK1727" i="13"/>
  <c r="AL1727" i="13"/>
  <c r="AM1727" i="13"/>
  <c r="AN1727" i="13"/>
  <c r="AO1727" i="13"/>
  <c r="AP1727" i="13"/>
  <c r="AQ1727" i="13"/>
  <c r="AR1727" i="13"/>
  <c r="AS1727" i="13"/>
  <c r="AT1727" i="13"/>
  <c r="AU1727" i="13"/>
  <c r="AC1729" i="13"/>
  <c r="AD1729" i="13"/>
  <c r="AE1729" i="13"/>
  <c r="AF1729" i="13"/>
  <c r="AG1729" i="13"/>
  <c r="AH1729" i="13"/>
  <c r="AI1729" i="13"/>
  <c r="AJ1729" i="13"/>
  <c r="AK1729" i="13"/>
  <c r="AL1729" i="13"/>
  <c r="AM1729" i="13"/>
  <c r="AN1729" i="13"/>
  <c r="AO1729" i="13"/>
  <c r="AP1729" i="13"/>
  <c r="AQ1729" i="13"/>
  <c r="AR1729" i="13"/>
  <c r="AS1729" i="13"/>
  <c r="AT1729" i="13"/>
  <c r="AU1729" i="13"/>
  <c r="AC1733" i="13"/>
  <c r="AD1733" i="13"/>
  <c r="AE1733" i="13"/>
  <c r="AF1733" i="13"/>
  <c r="AG1733" i="13"/>
  <c r="AH1733" i="13"/>
  <c r="AI1733" i="13"/>
  <c r="AJ1733" i="13"/>
  <c r="AK1733" i="13"/>
  <c r="AL1733" i="13"/>
  <c r="AM1733" i="13"/>
  <c r="AN1733" i="13"/>
  <c r="AO1733" i="13"/>
  <c r="AP1733" i="13"/>
  <c r="AQ1733" i="13"/>
  <c r="AR1733" i="13"/>
  <c r="AS1733" i="13"/>
  <c r="AT1733" i="13"/>
  <c r="AU1733" i="13"/>
  <c r="AC1734" i="13"/>
  <c r="AD1734" i="13"/>
  <c r="AE1734" i="13"/>
  <c r="AF1734" i="13"/>
  <c r="AG1734" i="13"/>
  <c r="AH1734" i="13"/>
  <c r="AI1734" i="13"/>
  <c r="AJ1734" i="13"/>
  <c r="AK1734" i="13"/>
  <c r="AL1734" i="13"/>
  <c r="AM1734" i="13"/>
  <c r="AN1734" i="13"/>
  <c r="AO1734" i="13"/>
  <c r="AP1734" i="13"/>
  <c r="AQ1734" i="13"/>
  <c r="AR1734" i="13"/>
  <c r="AS1734" i="13"/>
  <c r="AT1734" i="13"/>
  <c r="AU1734" i="13"/>
  <c r="AC1735" i="13"/>
  <c r="AD1735" i="13"/>
  <c r="AE1735" i="13"/>
  <c r="AF1735" i="13"/>
  <c r="AG1735" i="13"/>
  <c r="AH1735" i="13"/>
  <c r="AI1735" i="13"/>
  <c r="AJ1735" i="13"/>
  <c r="AK1735" i="13"/>
  <c r="AL1735" i="13"/>
  <c r="AM1735" i="13"/>
  <c r="AN1735" i="13"/>
  <c r="AO1735" i="13"/>
  <c r="AP1735" i="13"/>
  <c r="AQ1735" i="13"/>
  <c r="AR1735" i="13"/>
  <c r="AS1735" i="13"/>
  <c r="AT1735" i="13"/>
  <c r="AU1735" i="13"/>
  <c r="AC1736" i="13"/>
  <c r="AD1736" i="13"/>
  <c r="AE1736" i="13"/>
  <c r="AF1736" i="13"/>
  <c r="AG1736" i="13"/>
  <c r="AH1736" i="13"/>
  <c r="AI1736" i="13"/>
  <c r="AJ1736" i="13"/>
  <c r="AK1736" i="13"/>
  <c r="AL1736" i="13"/>
  <c r="AM1736" i="13"/>
  <c r="AN1736" i="13"/>
  <c r="AO1736" i="13"/>
  <c r="AP1736" i="13"/>
  <c r="AQ1736" i="13"/>
  <c r="AR1736" i="13"/>
  <c r="AS1736" i="13"/>
  <c r="AT1736" i="13"/>
  <c r="AU1736" i="13"/>
  <c r="AC1737" i="13"/>
  <c r="AD1737" i="13"/>
  <c r="AE1737" i="13"/>
  <c r="AF1737" i="13"/>
  <c r="AG1737" i="13"/>
  <c r="AH1737" i="13"/>
  <c r="AI1737" i="13"/>
  <c r="AJ1737" i="13"/>
  <c r="AK1737" i="13"/>
  <c r="AL1737" i="13"/>
  <c r="AM1737" i="13"/>
  <c r="AN1737" i="13"/>
  <c r="AO1737" i="13"/>
  <c r="AP1737" i="13"/>
  <c r="AQ1737" i="13"/>
  <c r="AR1737" i="13"/>
  <c r="AS1737" i="13"/>
  <c r="AT1737" i="13"/>
  <c r="AU1737" i="13"/>
  <c r="AC1738" i="13"/>
  <c r="AD1738" i="13"/>
  <c r="AE1738" i="13"/>
  <c r="AF1738" i="13"/>
  <c r="AG1738" i="13"/>
  <c r="AH1738" i="13"/>
  <c r="AI1738" i="13"/>
  <c r="AJ1738" i="13"/>
  <c r="AK1738" i="13"/>
  <c r="AL1738" i="13"/>
  <c r="AM1738" i="13"/>
  <c r="AN1738" i="13"/>
  <c r="AO1738" i="13"/>
  <c r="AP1738" i="13"/>
  <c r="AQ1738" i="13"/>
  <c r="AR1738" i="13"/>
  <c r="AS1738" i="13"/>
  <c r="AT1738" i="13"/>
  <c r="AU1738" i="13"/>
  <c r="AC1739" i="13"/>
  <c r="AD1739" i="13"/>
  <c r="AE1739" i="13"/>
  <c r="AF1739" i="13"/>
  <c r="AG1739" i="13"/>
  <c r="AH1739" i="13"/>
  <c r="AI1739" i="13"/>
  <c r="AJ1739" i="13"/>
  <c r="AK1739" i="13"/>
  <c r="AL1739" i="13"/>
  <c r="AM1739" i="13"/>
  <c r="AN1739" i="13"/>
  <c r="AO1739" i="13"/>
  <c r="AP1739" i="13"/>
  <c r="AQ1739" i="13"/>
  <c r="AR1739" i="13"/>
  <c r="AC1740" i="13"/>
  <c r="AD1740" i="13"/>
  <c r="AE1740" i="13"/>
  <c r="AF1740" i="13"/>
  <c r="AG1740" i="13"/>
  <c r="AH1740" i="13"/>
  <c r="AI1740" i="13"/>
  <c r="AJ1740" i="13"/>
  <c r="AK1740" i="13"/>
  <c r="AL1740" i="13"/>
  <c r="AM1740" i="13"/>
  <c r="AN1740" i="13"/>
  <c r="AO1740" i="13"/>
  <c r="AP1740" i="13"/>
  <c r="AQ1740" i="13"/>
  <c r="AR1740" i="13"/>
  <c r="AS1740" i="13"/>
  <c r="AT1740" i="13"/>
  <c r="AU1740" i="13"/>
  <c r="AC1741" i="13"/>
  <c r="AD1741" i="13"/>
  <c r="AE1741" i="13"/>
  <c r="AF1741" i="13"/>
  <c r="AG1741" i="13"/>
  <c r="AH1741" i="13"/>
  <c r="AI1741" i="13"/>
  <c r="AJ1741" i="13"/>
  <c r="AK1741" i="13"/>
  <c r="AL1741" i="13"/>
  <c r="AM1741" i="13"/>
  <c r="AN1741" i="13"/>
  <c r="AO1741" i="13"/>
  <c r="AP1741" i="13"/>
  <c r="AQ1741" i="13"/>
  <c r="AR1741" i="13"/>
  <c r="AS1741" i="13"/>
  <c r="AT1741" i="13"/>
  <c r="AU1741" i="13"/>
  <c r="AC1742" i="13"/>
  <c r="AD1742" i="13"/>
  <c r="AE1742" i="13"/>
  <c r="AF1742" i="13"/>
  <c r="AG1742" i="13"/>
  <c r="AH1742" i="13"/>
  <c r="AI1742" i="13"/>
  <c r="AJ1742" i="13"/>
  <c r="AK1742" i="13"/>
  <c r="AL1742" i="13"/>
  <c r="AM1742" i="13"/>
  <c r="AN1742" i="13"/>
  <c r="AO1742" i="13"/>
  <c r="AP1742" i="13"/>
  <c r="AQ1742" i="13"/>
  <c r="AR1742" i="13"/>
  <c r="AS1742" i="13"/>
  <c r="AT1742" i="13"/>
  <c r="AU1742" i="13"/>
  <c r="AC1743" i="13"/>
  <c r="AD1743" i="13"/>
  <c r="AE1743" i="13"/>
  <c r="AF1743" i="13"/>
  <c r="AG1743" i="13"/>
  <c r="AH1743" i="13"/>
  <c r="AI1743" i="13"/>
  <c r="AJ1743" i="13"/>
  <c r="AK1743" i="13"/>
  <c r="AL1743" i="13"/>
  <c r="AM1743" i="13"/>
  <c r="AN1743" i="13"/>
  <c r="AO1743" i="13"/>
  <c r="AP1743" i="13"/>
  <c r="AQ1743" i="13"/>
  <c r="AR1743" i="13"/>
  <c r="AS1743" i="13"/>
  <c r="AT1743" i="13"/>
  <c r="AU1743" i="13"/>
  <c r="AC1744" i="13"/>
  <c r="AD1744" i="13"/>
  <c r="AE1744" i="13"/>
  <c r="AF1744" i="13"/>
  <c r="AG1744" i="13"/>
  <c r="AH1744" i="13"/>
  <c r="AI1744" i="13"/>
  <c r="AJ1744" i="13"/>
  <c r="AK1744" i="13"/>
  <c r="AL1744" i="13"/>
  <c r="AM1744" i="13"/>
  <c r="AN1744" i="13"/>
  <c r="AO1744" i="13"/>
  <c r="AP1744" i="13"/>
  <c r="AQ1744" i="13"/>
  <c r="AR1744" i="13"/>
  <c r="AS1744" i="13"/>
  <c r="AT1744" i="13"/>
  <c r="AU1744" i="13"/>
  <c r="AC1745" i="13"/>
  <c r="AD1745" i="13"/>
  <c r="AE1745" i="13"/>
  <c r="AF1745" i="13"/>
  <c r="AG1745" i="13"/>
  <c r="AH1745" i="13"/>
  <c r="AI1745" i="13"/>
  <c r="AJ1745" i="13"/>
  <c r="AK1745" i="13"/>
  <c r="AL1745" i="13"/>
  <c r="AM1745" i="13"/>
  <c r="AN1745" i="13"/>
  <c r="AO1745" i="13"/>
  <c r="AP1745" i="13"/>
  <c r="AQ1745" i="13"/>
  <c r="AR1745" i="13"/>
  <c r="AS1745" i="13"/>
  <c r="AT1745" i="13"/>
  <c r="AU1745" i="13"/>
  <c r="AC1746" i="13"/>
  <c r="AD1746" i="13"/>
  <c r="AE1746" i="13"/>
  <c r="AF1746" i="13"/>
  <c r="AG1746" i="13"/>
  <c r="AH1746" i="13"/>
  <c r="AI1746" i="13"/>
  <c r="AJ1746" i="13"/>
  <c r="AK1746" i="13"/>
  <c r="AL1746" i="13"/>
  <c r="AM1746" i="13"/>
  <c r="AN1746" i="13"/>
  <c r="AO1746" i="13"/>
  <c r="AP1746" i="13"/>
  <c r="AQ1746" i="13"/>
  <c r="AR1746" i="13"/>
  <c r="AS1746" i="13"/>
  <c r="AT1746" i="13"/>
  <c r="AU1746" i="13"/>
  <c r="AC1747" i="13"/>
  <c r="AD1747" i="13"/>
  <c r="AE1747" i="13"/>
  <c r="AF1747" i="13"/>
  <c r="AG1747" i="13"/>
  <c r="AH1747" i="13"/>
  <c r="AI1747" i="13"/>
  <c r="AJ1747" i="13"/>
  <c r="AK1747" i="13"/>
  <c r="AL1747" i="13"/>
  <c r="AM1747" i="13"/>
  <c r="AN1747" i="13"/>
  <c r="AO1747" i="13"/>
  <c r="AP1747" i="13"/>
  <c r="AQ1747" i="13"/>
  <c r="AR1747" i="13"/>
  <c r="AS1747" i="13"/>
  <c r="AT1747" i="13"/>
  <c r="AU1747" i="13"/>
  <c r="AC1748" i="13"/>
  <c r="AD1748" i="13"/>
  <c r="AE1748" i="13"/>
  <c r="AF1748" i="13"/>
  <c r="AG1748" i="13"/>
  <c r="AH1748" i="13"/>
  <c r="AI1748" i="13"/>
  <c r="AJ1748" i="13"/>
  <c r="AK1748" i="13"/>
  <c r="AL1748" i="13"/>
  <c r="AM1748" i="13"/>
  <c r="AN1748" i="13"/>
  <c r="AO1748" i="13"/>
  <c r="AP1748" i="13"/>
  <c r="AQ1748" i="13"/>
  <c r="AR1748" i="13"/>
  <c r="AS1748" i="13"/>
  <c r="AT1748" i="13"/>
  <c r="AU1748" i="13"/>
  <c r="AC1749" i="13"/>
  <c r="AD1749" i="13"/>
  <c r="AE1749" i="13"/>
  <c r="AF1749" i="13"/>
  <c r="AG1749" i="13"/>
  <c r="AH1749" i="13"/>
  <c r="AI1749" i="13"/>
  <c r="AJ1749" i="13"/>
  <c r="AK1749" i="13"/>
  <c r="AL1749" i="13"/>
  <c r="AM1749" i="13"/>
  <c r="AN1749" i="13"/>
  <c r="AO1749" i="13"/>
  <c r="AP1749" i="13"/>
  <c r="AQ1749" i="13"/>
  <c r="AR1749" i="13"/>
  <c r="AS1749" i="13"/>
  <c r="AT1749" i="13"/>
  <c r="AU1749" i="13"/>
  <c r="AC1750" i="13"/>
  <c r="AD1750" i="13"/>
  <c r="AE1750" i="13"/>
  <c r="AF1750" i="13"/>
  <c r="AG1750" i="13"/>
  <c r="AH1750" i="13"/>
  <c r="AI1750" i="13"/>
  <c r="AJ1750" i="13"/>
  <c r="AK1750" i="13"/>
  <c r="AL1750" i="13"/>
  <c r="AM1750" i="13"/>
  <c r="AN1750" i="13"/>
  <c r="AO1750" i="13"/>
  <c r="AP1750" i="13"/>
  <c r="AQ1750" i="13"/>
  <c r="AR1750" i="13"/>
  <c r="AS1750" i="13"/>
  <c r="AT1750" i="13"/>
  <c r="AU1750" i="13"/>
  <c r="AC1754" i="13"/>
  <c r="AD1754" i="13"/>
  <c r="AE1754" i="13"/>
  <c r="AF1754" i="13"/>
  <c r="AG1754" i="13"/>
  <c r="AH1754" i="13"/>
  <c r="AI1754" i="13"/>
  <c r="AJ1754" i="13"/>
  <c r="AK1754" i="13"/>
  <c r="AL1754" i="13"/>
  <c r="AM1754" i="13"/>
  <c r="AN1754" i="13"/>
  <c r="AO1754" i="13"/>
  <c r="AP1754" i="13"/>
  <c r="AQ1754" i="13"/>
  <c r="AR1754" i="13"/>
  <c r="AS1754" i="13"/>
  <c r="AT1754" i="13"/>
  <c r="AU1754" i="13"/>
  <c r="AC1755" i="13"/>
  <c r="AD1755" i="13"/>
  <c r="AE1755" i="13"/>
  <c r="AF1755" i="13"/>
  <c r="AG1755" i="13"/>
  <c r="AH1755" i="13"/>
  <c r="AI1755" i="13"/>
  <c r="AJ1755" i="13"/>
  <c r="AK1755" i="13"/>
  <c r="AL1755" i="13"/>
  <c r="AM1755" i="13"/>
  <c r="AN1755" i="13"/>
  <c r="AO1755" i="13"/>
  <c r="AP1755" i="13"/>
  <c r="AQ1755" i="13"/>
  <c r="AR1755" i="13"/>
  <c r="AS1755" i="13"/>
  <c r="AT1755" i="13"/>
  <c r="AU1755" i="13"/>
  <c r="AC1756" i="13"/>
  <c r="AD1756" i="13"/>
  <c r="AE1756" i="13"/>
  <c r="AF1756" i="13"/>
  <c r="AG1756" i="13"/>
  <c r="AH1756" i="13"/>
  <c r="AI1756" i="13"/>
  <c r="AJ1756" i="13"/>
  <c r="AK1756" i="13"/>
  <c r="AL1756" i="13"/>
  <c r="AM1756" i="13"/>
  <c r="AN1756" i="13"/>
  <c r="AO1756" i="13"/>
  <c r="AP1756" i="13"/>
  <c r="AQ1756" i="13"/>
  <c r="AR1756" i="13"/>
  <c r="AS1756" i="13"/>
  <c r="AT1756" i="13"/>
  <c r="AU1756" i="13"/>
  <c r="AC1757" i="13"/>
  <c r="AD1757" i="13"/>
  <c r="AE1757" i="13"/>
  <c r="AF1757" i="13"/>
  <c r="AG1757" i="13"/>
  <c r="AH1757" i="13"/>
  <c r="AI1757" i="13"/>
  <c r="AJ1757" i="13"/>
  <c r="AK1757" i="13"/>
  <c r="AL1757" i="13"/>
  <c r="AM1757" i="13"/>
  <c r="AN1757" i="13"/>
  <c r="AO1757" i="13"/>
  <c r="AP1757" i="13"/>
  <c r="AQ1757" i="13"/>
  <c r="AR1757" i="13"/>
  <c r="AS1757" i="13"/>
  <c r="AT1757" i="13"/>
  <c r="AU1757" i="13"/>
  <c r="AC1758" i="13"/>
  <c r="AD1758" i="13"/>
  <c r="AE1758" i="13"/>
  <c r="AF1758" i="13"/>
  <c r="AG1758" i="13"/>
  <c r="AH1758" i="13"/>
  <c r="AI1758" i="13"/>
  <c r="AJ1758" i="13"/>
  <c r="AK1758" i="13"/>
  <c r="AL1758" i="13"/>
  <c r="AM1758" i="13"/>
  <c r="AN1758" i="13"/>
  <c r="AO1758" i="13"/>
  <c r="AP1758" i="13"/>
  <c r="AQ1758" i="13"/>
  <c r="AR1758" i="13"/>
  <c r="AS1758" i="13"/>
  <c r="AT1758" i="13"/>
  <c r="AU1758" i="13"/>
  <c r="AC1759" i="13"/>
  <c r="AD1759" i="13"/>
  <c r="AE1759" i="13"/>
  <c r="AF1759" i="13"/>
  <c r="AG1759" i="13"/>
  <c r="AH1759" i="13"/>
  <c r="AI1759" i="13"/>
  <c r="AJ1759" i="13"/>
  <c r="AK1759" i="13"/>
  <c r="AL1759" i="13"/>
  <c r="AM1759" i="13"/>
  <c r="AN1759" i="13"/>
  <c r="AO1759" i="13"/>
  <c r="AP1759" i="13"/>
  <c r="AQ1759" i="13"/>
  <c r="AR1759" i="13"/>
  <c r="AS1759" i="13"/>
  <c r="AT1759" i="13"/>
  <c r="AU1759" i="13"/>
  <c r="AC1760" i="13"/>
  <c r="AD1760" i="13"/>
  <c r="AE1760" i="13"/>
  <c r="AF1760" i="13"/>
  <c r="AG1760" i="13"/>
  <c r="AH1760" i="13"/>
  <c r="AI1760" i="13"/>
  <c r="AJ1760" i="13"/>
  <c r="AK1760" i="13"/>
  <c r="AL1760" i="13"/>
  <c r="AM1760" i="13"/>
  <c r="AN1760" i="13"/>
  <c r="AO1760" i="13"/>
  <c r="AP1760" i="13"/>
  <c r="AQ1760" i="13"/>
  <c r="AR1760" i="13"/>
  <c r="AS1760" i="13"/>
  <c r="AT1760" i="13"/>
  <c r="AU1760" i="13"/>
  <c r="AC1761" i="13"/>
  <c r="AD1761" i="13"/>
  <c r="AE1761" i="13"/>
  <c r="AF1761" i="13"/>
  <c r="AG1761" i="13"/>
  <c r="AH1761" i="13"/>
  <c r="AI1761" i="13"/>
  <c r="AJ1761" i="13"/>
  <c r="AK1761" i="13"/>
  <c r="AL1761" i="13"/>
  <c r="AM1761" i="13"/>
  <c r="AN1761" i="13"/>
  <c r="AO1761" i="13"/>
  <c r="AP1761" i="13"/>
  <c r="AQ1761" i="13"/>
  <c r="AR1761" i="13"/>
  <c r="AS1761" i="13"/>
  <c r="AT1761" i="13"/>
  <c r="AU1761" i="13"/>
  <c r="AC1762" i="13"/>
  <c r="AD1762" i="13"/>
  <c r="AE1762" i="13"/>
  <c r="AF1762" i="13"/>
  <c r="AG1762" i="13"/>
  <c r="AH1762" i="13"/>
  <c r="AI1762" i="13"/>
  <c r="AJ1762" i="13"/>
  <c r="AK1762" i="13"/>
  <c r="AL1762" i="13"/>
  <c r="AM1762" i="13"/>
  <c r="AN1762" i="13"/>
  <c r="AO1762" i="13"/>
  <c r="AP1762" i="13"/>
  <c r="AQ1762" i="13"/>
  <c r="AR1762" i="13"/>
  <c r="AS1762" i="13"/>
  <c r="AT1762" i="13"/>
  <c r="AU1762" i="13"/>
  <c r="AC1763" i="13"/>
  <c r="AD1763" i="13"/>
  <c r="AE1763" i="13"/>
  <c r="AF1763" i="13"/>
  <c r="AG1763" i="13"/>
  <c r="AH1763" i="13"/>
  <c r="AI1763" i="13"/>
  <c r="AJ1763" i="13"/>
  <c r="AK1763" i="13"/>
  <c r="AL1763" i="13"/>
  <c r="AM1763" i="13"/>
  <c r="AN1763" i="13"/>
  <c r="AO1763" i="13"/>
  <c r="AP1763" i="13"/>
  <c r="AQ1763" i="13"/>
  <c r="AR1763" i="13"/>
  <c r="AS1763" i="13"/>
  <c r="AT1763" i="13"/>
  <c r="AU1763" i="13"/>
  <c r="AC1764" i="13"/>
  <c r="AD1764" i="13"/>
  <c r="AE1764" i="13"/>
  <c r="AF1764" i="13"/>
  <c r="AG1764" i="13"/>
  <c r="AH1764" i="13"/>
  <c r="AI1764" i="13"/>
  <c r="AJ1764" i="13"/>
  <c r="AK1764" i="13"/>
  <c r="AL1764" i="13"/>
  <c r="AM1764" i="13"/>
  <c r="AN1764" i="13"/>
  <c r="AO1764" i="13"/>
  <c r="AP1764" i="13"/>
  <c r="AQ1764" i="13"/>
  <c r="AR1764" i="13"/>
  <c r="AS1764" i="13"/>
  <c r="AT1764" i="13"/>
  <c r="AU1764" i="13"/>
  <c r="AC1765" i="13"/>
  <c r="AD1765" i="13"/>
  <c r="AE1765" i="13"/>
  <c r="AF1765" i="13"/>
  <c r="AG1765" i="13"/>
  <c r="AH1765" i="13"/>
  <c r="AI1765" i="13"/>
  <c r="AJ1765" i="13"/>
  <c r="AK1765" i="13"/>
  <c r="AL1765" i="13"/>
  <c r="AM1765" i="13"/>
  <c r="AN1765" i="13"/>
  <c r="AO1765" i="13"/>
  <c r="AP1765" i="13"/>
  <c r="AQ1765" i="13"/>
  <c r="AR1765" i="13"/>
  <c r="AS1765" i="13"/>
  <c r="AT1765" i="13"/>
  <c r="AU1765" i="13"/>
  <c r="AC1766" i="13"/>
  <c r="AD1766" i="13"/>
  <c r="AE1766" i="13"/>
  <c r="AF1766" i="13"/>
  <c r="AG1766" i="13"/>
  <c r="AH1766" i="13"/>
  <c r="AI1766" i="13"/>
  <c r="AJ1766" i="13"/>
  <c r="AK1766" i="13"/>
  <c r="AL1766" i="13"/>
  <c r="AM1766" i="13"/>
  <c r="AN1766" i="13"/>
  <c r="AO1766" i="13"/>
  <c r="AP1766" i="13"/>
  <c r="AQ1766" i="13"/>
  <c r="AR1766" i="13"/>
  <c r="AT1766" i="13"/>
  <c r="AU1766" i="13"/>
  <c r="AC1767" i="13"/>
  <c r="AD1767" i="13"/>
  <c r="AE1767" i="13"/>
  <c r="AF1767" i="13"/>
  <c r="AG1767" i="13"/>
  <c r="AH1767" i="13"/>
  <c r="AI1767" i="13"/>
  <c r="AJ1767" i="13"/>
  <c r="AK1767" i="13"/>
  <c r="AL1767" i="13"/>
  <c r="AM1767" i="13"/>
  <c r="AN1767" i="13"/>
  <c r="AO1767" i="13"/>
  <c r="AP1767" i="13"/>
  <c r="AQ1767" i="13"/>
  <c r="AR1767" i="13"/>
  <c r="AS1767" i="13"/>
  <c r="AT1767" i="13"/>
  <c r="AU1767" i="13"/>
  <c r="AC1768" i="13"/>
  <c r="AD1768" i="13"/>
  <c r="AE1768" i="13"/>
  <c r="AF1768" i="13"/>
  <c r="AG1768" i="13"/>
  <c r="AH1768" i="13"/>
  <c r="AI1768" i="13"/>
  <c r="AJ1768" i="13"/>
  <c r="AK1768" i="13"/>
  <c r="AL1768" i="13"/>
  <c r="AM1768" i="13"/>
  <c r="AN1768" i="13"/>
  <c r="AO1768" i="13"/>
  <c r="AP1768" i="13"/>
  <c r="AQ1768" i="13"/>
  <c r="AR1768" i="13"/>
  <c r="AS1768" i="13"/>
  <c r="AT1768" i="13"/>
  <c r="AU1768" i="13"/>
  <c r="AC1771" i="13"/>
  <c r="AD1771" i="13"/>
  <c r="AE1771" i="13"/>
  <c r="AF1771" i="13"/>
  <c r="AG1771" i="13"/>
  <c r="AH1771" i="13"/>
  <c r="AI1771" i="13"/>
  <c r="AJ1771" i="13"/>
  <c r="AK1771" i="13"/>
  <c r="AL1771" i="13"/>
  <c r="AM1771" i="13"/>
  <c r="AN1771" i="13"/>
  <c r="AO1771" i="13"/>
  <c r="AP1771" i="13"/>
  <c r="AQ1771" i="13"/>
  <c r="AR1771" i="13"/>
  <c r="AS1771" i="13"/>
  <c r="AT1771" i="13"/>
  <c r="AU1771" i="13"/>
  <c r="AC1712" i="13"/>
  <c r="AD1712" i="13"/>
  <c r="AE1712" i="13"/>
  <c r="AF1712" i="13"/>
  <c r="AG1712" i="13"/>
  <c r="AH1712" i="13"/>
  <c r="AI1712" i="13"/>
  <c r="AJ1712" i="13"/>
  <c r="AK1712" i="13"/>
  <c r="AL1712" i="13"/>
  <c r="AM1712" i="13"/>
  <c r="AN1712" i="13"/>
  <c r="AO1712" i="13"/>
  <c r="AP1712" i="13"/>
  <c r="AQ1712" i="13"/>
  <c r="AR1712" i="13"/>
  <c r="AS1712" i="13"/>
  <c r="AT1712" i="13"/>
  <c r="AU1712" i="13"/>
  <c r="Q22" i="27" a="1"/>
  <c r="Q22" i="27" s="1"/>
  <c r="H46" i="27"/>
  <c r="G46" i="27"/>
  <c r="R1" i="14"/>
  <c r="A4" i="1"/>
  <c r="E41" i="15"/>
  <c r="D41" i="15"/>
  <c r="P22" i="27" a="1"/>
  <c r="P22" i="27" s="1"/>
  <c r="A1" i="13"/>
  <c r="R1" i="23"/>
  <c r="X73" i="22"/>
  <c r="B5" i="70" l="1" a="1"/>
  <c r="B5" i="70" s="1"/>
  <c r="AO93" i="70"/>
  <c r="AO32" i="70"/>
  <c r="AP79" i="70"/>
  <c r="R21" i="27"/>
  <c r="S20" i="27" s="1"/>
  <c r="Y22" i="27" a="1"/>
  <c r="Y22" i="27" s="1"/>
  <c r="BA1764" i="13"/>
  <c r="AL3" i="70"/>
  <c r="JU42" i="12" a="1"/>
  <c r="JU42" i="12" s="1"/>
  <c r="JU43" i="12" a="1"/>
  <c r="JU43" i="12" s="1"/>
  <c r="JV42" i="12" a="1"/>
  <c r="JV42" i="12" s="1"/>
  <c r="JV43" i="12" a="1"/>
  <c r="JV43" i="12" s="1"/>
  <c r="JW42" i="12" a="1"/>
  <c r="JW42" i="12" s="1"/>
  <c r="JW43" i="12" a="1"/>
  <c r="JW43" i="12" s="1"/>
  <c r="JX42" i="12" a="1"/>
  <c r="JX42" i="12" s="1"/>
  <c r="JX43" i="12" a="1"/>
  <c r="JX43" i="12" s="1"/>
  <c r="JY42" i="12" a="1"/>
  <c r="JY42" i="12" s="1"/>
  <c r="JY43" i="12" a="1"/>
  <c r="JY43" i="12" s="1"/>
  <c r="JZ42" i="12" a="1"/>
  <c r="JZ42" i="12" s="1"/>
  <c r="JZ43" i="12" a="1"/>
  <c r="JZ43" i="12" s="1"/>
  <c r="KA42" i="12" a="1"/>
  <c r="KA42" i="12" s="1"/>
  <c r="KA43" i="12" a="1"/>
  <c r="KA43" i="12" s="1"/>
  <c r="KB42" i="12" a="1"/>
  <c r="KB42" i="12" s="1"/>
  <c r="KB43" i="12" a="1"/>
  <c r="KB43" i="12" s="1"/>
  <c r="KC42" i="12" a="1"/>
  <c r="KC42" i="12" s="1"/>
  <c r="KC43" i="12" a="1"/>
  <c r="KC43" i="12" s="1"/>
  <c r="KD42" i="12" a="1"/>
  <c r="KD42" i="12" s="1"/>
  <c r="KD43" i="12" a="1"/>
  <c r="KD43" i="12" s="1"/>
  <c r="KE42" i="12" a="1"/>
  <c r="KE42" i="12" s="1"/>
  <c r="KE43" i="12" a="1"/>
  <c r="KE43" i="12" s="1"/>
  <c r="KF42" i="12" a="1"/>
  <c r="KF42" i="12" s="1"/>
  <c r="KF43" i="12" a="1"/>
  <c r="KF43" i="12" s="1"/>
  <c r="JU54" i="12" a="1"/>
  <c r="JU54" i="12" s="1"/>
  <c r="JV54" i="12" a="1"/>
  <c r="JV54" i="12" s="1"/>
  <c r="JW54" i="12" a="1"/>
  <c r="JW54" i="12" s="1"/>
  <c r="JX54" i="12" a="1"/>
  <c r="JX54" i="12" s="1"/>
  <c r="JY54" i="12" a="1"/>
  <c r="JY54" i="12" s="1"/>
  <c r="JZ54" i="12" a="1"/>
  <c r="JZ54" i="12" s="1"/>
  <c r="KA54" i="12" a="1"/>
  <c r="KA54" i="12" s="1"/>
  <c r="KB54" i="12" a="1"/>
  <c r="KB54" i="12" s="1"/>
  <c r="KC54" i="12" a="1"/>
  <c r="KC54" i="12" s="1"/>
  <c r="KD54" i="12" a="1"/>
  <c r="KD54" i="12" s="1"/>
  <c r="KE54" i="12" a="1"/>
  <c r="KE54" i="12" s="1"/>
  <c r="KF54" i="12" a="1"/>
  <c r="KF54" i="12" s="1"/>
  <c r="JU44" i="12" a="1"/>
  <c r="JU44" i="12" s="1"/>
  <c r="JV44" i="12" a="1"/>
  <c r="JV44" i="12" s="1"/>
  <c r="JW44" i="12" a="1"/>
  <c r="JW44" i="12" s="1"/>
  <c r="JX44" i="12" a="1"/>
  <c r="JX44" i="12" s="1"/>
  <c r="JY44" i="12" a="1"/>
  <c r="JY44" i="12" s="1"/>
  <c r="JZ44" i="12" a="1"/>
  <c r="JZ44" i="12" s="1"/>
  <c r="KA44" i="12" a="1"/>
  <c r="KA44" i="12" s="1"/>
  <c r="KB44" i="12" a="1"/>
  <c r="KB44" i="12" s="1"/>
  <c r="KC44" i="12" a="1"/>
  <c r="KC44" i="12" s="1"/>
  <c r="KD44" i="12" a="1"/>
  <c r="KD44" i="12" s="1"/>
  <c r="KE44" i="12" a="1"/>
  <c r="KE44" i="12" s="1"/>
  <c r="KF44" i="12" a="1"/>
  <c r="KF44" i="12" s="1"/>
  <c r="JU41" i="12" a="1"/>
  <c r="JU41" i="12" s="1"/>
  <c r="JV41" i="12" a="1"/>
  <c r="JV41" i="12" s="1"/>
  <c r="JW41" i="12" a="1"/>
  <c r="JW41" i="12" s="1"/>
  <c r="JX41" i="12" a="1"/>
  <c r="JX41" i="12" s="1"/>
  <c r="JY41" i="12" a="1"/>
  <c r="JY41" i="12" s="1"/>
  <c r="JZ41" i="12" a="1"/>
  <c r="JZ41" i="12" s="1"/>
  <c r="KA41" i="12" a="1"/>
  <c r="KA41" i="12" s="1"/>
  <c r="KB41" i="12" a="1"/>
  <c r="KB41" i="12" s="1"/>
  <c r="KC41" i="12" a="1"/>
  <c r="KC41" i="12" s="1"/>
  <c r="KD41" i="12" a="1"/>
  <c r="KD41" i="12" s="1"/>
  <c r="KE41" i="12" a="1"/>
  <c r="KE41" i="12" s="1"/>
  <c r="KF41" i="12" a="1"/>
  <c r="KF41" i="12" s="1"/>
  <c r="JU40" i="12" a="1"/>
  <c r="JU40" i="12" s="1"/>
  <c r="JV40" i="12" a="1"/>
  <c r="JV40" i="12" s="1"/>
  <c r="JW40" i="12" a="1"/>
  <c r="JW40" i="12" s="1"/>
  <c r="JX40" i="12" a="1"/>
  <c r="JX40" i="12" s="1"/>
  <c r="JY40" i="12" a="1"/>
  <c r="JY40" i="12" s="1"/>
  <c r="JZ40" i="12" a="1"/>
  <c r="JZ40" i="12" s="1"/>
  <c r="KA40" i="12" a="1"/>
  <c r="KA40" i="12" s="1"/>
  <c r="KB40" i="12" a="1"/>
  <c r="KB40" i="12" s="1"/>
  <c r="KC40" i="12" a="1"/>
  <c r="KC40" i="12" s="1"/>
  <c r="KD40" i="12" a="1"/>
  <c r="KD40" i="12" s="1"/>
  <c r="KE40" i="12" a="1"/>
  <c r="KE40" i="12" s="1"/>
  <c r="KF40" i="12" a="1"/>
  <c r="KF40" i="12" s="1"/>
  <c r="D165" i="70" l="1"/>
  <c r="E165" i="70" s="1" a="1"/>
  <c r="E165" i="70" s="1"/>
  <c r="D177" i="70"/>
  <c r="E177" i="70" s="1" a="1"/>
  <c r="E177" i="70" s="1"/>
  <c r="D189" i="70"/>
  <c r="E189" i="70" s="1" a="1"/>
  <c r="E189" i="70" s="1"/>
  <c r="D201" i="70"/>
  <c r="E201" i="70" s="1" a="1"/>
  <c r="E201" i="70" s="1"/>
  <c r="D168" i="70"/>
  <c r="E168" i="70" s="1" a="1"/>
  <c r="E168" i="70" s="1"/>
  <c r="D180" i="70"/>
  <c r="E180" i="70" s="1" a="1"/>
  <c r="E180" i="70" s="1"/>
  <c r="D192" i="70"/>
  <c r="E192" i="70" s="1" a="1"/>
  <c r="E192" i="70" s="1"/>
  <c r="D173" i="70"/>
  <c r="E173" i="70" s="1" a="1"/>
  <c r="E173" i="70" s="1"/>
  <c r="D185" i="70"/>
  <c r="E185" i="70" s="1" a="1"/>
  <c r="E185" i="70" s="1"/>
  <c r="D197" i="70"/>
  <c r="E197" i="70" s="1" a="1"/>
  <c r="E197" i="70" s="1"/>
  <c r="D200" i="70"/>
  <c r="E200" i="70" s="1" a="1"/>
  <c r="E200" i="70" s="1"/>
  <c r="D193" i="70"/>
  <c r="E193" i="70" s="1" a="1"/>
  <c r="E193" i="70" s="1"/>
  <c r="D167" i="70"/>
  <c r="E167" i="70" s="1" a="1"/>
  <c r="E167" i="70" s="1"/>
  <c r="D172" i="70"/>
  <c r="E172" i="70" s="1" a="1"/>
  <c r="E172" i="70" s="1"/>
  <c r="D184" i="70"/>
  <c r="E184" i="70" s="1" a="1"/>
  <c r="E184" i="70" s="1"/>
  <c r="D170" i="70"/>
  <c r="E170" i="70" s="1" a="1"/>
  <c r="E170" i="70" s="1"/>
  <c r="D182" i="70"/>
  <c r="E182" i="70" s="1" a="1"/>
  <c r="E182" i="70" s="1"/>
  <c r="D194" i="70"/>
  <c r="E194" i="70" s="1" a="1"/>
  <c r="E194" i="70" s="1"/>
  <c r="D175" i="70"/>
  <c r="E175" i="70" s="1" a="1"/>
  <c r="E175" i="70" s="1"/>
  <c r="D187" i="70"/>
  <c r="E187" i="70" s="1" a="1"/>
  <c r="E187" i="70" s="1"/>
  <c r="D199" i="70"/>
  <c r="E199" i="70" s="1" a="1"/>
  <c r="E199" i="70" s="1"/>
  <c r="D176" i="70"/>
  <c r="E176" i="70" s="1" a="1"/>
  <c r="E176" i="70" s="1"/>
  <c r="D188" i="70"/>
  <c r="E188" i="70" s="1" a="1"/>
  <c r="E188" i="70" s="1"/>
  <c r="D169" i="70"/>
  <c r="E169" i="70" s="1" a="1"/>
  <c r="E169" i="70" s="1"/>
  <c r="D181" i="70"/>
  <c r="E181" i="70" s="1" a="1"/>
  <c r="E181" i="70" s="1"/>
  <c r="D174" i="70"/>
  <c r="E174" i="70" s="1" a="1"/>
  <c r="E174" i="70" s="1"/>
  <c r="D186" i="70"/>
  <c r="E186" i="70" s="1" a="1"/>
  <c r="E186" i="70" s="1"/>
  <c r="D198" i="70"/>
  <c r="E198" i="70" s="1" a="1"/>
  <c r="E198" i="70" s="1"/>
  <c r="D179" i="70"/>
  <c r="E179" i="70" s="1" a="1"/>
  <c r="E179" i="70" s="1"/>
  <c r="D191" i="70"/>
  <c r="E191" i="70" s="1" a="1"/>
  <c r="E191" i="70" s="1"/>
  <c r="D196" i="70"/>
  <c r="E196" i="70" s="1" a="1"/>
  <c r="E196" i="70" s="1"/>
  <c r="D166" i="70"/>
  <c r="E166" i="70" s="1" a="1"/>
  <c r="E166" i="70" s="1"/>
  <c r="D178" i="70"/>
  <c r="E178" i="70" s="1" a="1"/>
  <c r="E178" i="70" s="1"/>
  <c r="D190" i="70"/>
  <c r="E190" i="70" s="1" a="1"/>
  <c r="E190" i="70" s="1"/>
  <c r="D171" i="70"/>
  <c r="E171" i="70" s="1" a="1"/>
  <c r="E171" i="70" s="1"/>
  <c r="D183" i="70"/>
  <c r="E183" i="70" s="1" a="1"/>
  <c r="E183" i="70" s="1"/>
  <c r="D195" i="70"/>
  <c r="E195" i="70" s="1" a="1"/>
  <c r="E195" i="70" s="1"/>
  <c r="D160" i="70"/>
  <c r="E160" i="70" s="1" a="1"/>
  <c r="E160" i="70" s="1"/>
  <c r="D161" i="70"/>
  <c r="E161" i="70" s="1" a="1"/>
  <c r="E161" i="70" s="1"/>
  <c r="D163" i="70"/>
  <c r="E163" i="70" s="1" a="1"/>
  <c r="E163" i="70" s="1"/>
  <c r="D164" i="70"/>
  <c r="E164" i="70" s="1" a="1"/>
  <c r="E164" i="70" s="1"/>
  <c r="D162" i="70"/>
  <c r="E162" i="70" s="1" a="1"/>
  <c r="E162" i="70" s="1"/>
  <c r="D119" i="70"/>
  <c r="D105" i="70"/>
  <c r="D93" i="70"/>
  <c r="D120" i="70"/>
  <c r="D106" i="70"/>
  <c r="D94" i="70"/>
  <c r="D157" i="70"/>
  <c r="E157" i="70" s="1" a="1"/>
  <c r="E157" i="70" s="1"/>
  <c r="D153" i="70"/>
  <c r="E153" i="70" s="1" a="1"/>
  <c r="E153" i="70" s="1"/>
  <c r="D149" i="70"/>
  <c r="E149" i="70" s="1" a="1"/>
  <c r="E149" i="70" s="1"/>
  <c r="D145" i="70"/>
  <c r="E145" i="70" s="1" a="1"/>
  <c r="E145" i="70" s="1"/>
  <c r="D141" i="70"/>
  <c r="E141" i="70" s="1" a="1"/>
  <c r="E141" i="70" s="1"/>
  <c r="D137" i="70"/>
  <c r="E137" i="70" s="1" a="1"/>
  <c r="E137" i="70" s="1"/>
  <c r="D133" i="70"/>
  <c r="E133" i="70" s="1" a="1"/>
  <c r="E133" i="70" s="1"/>
  <c r="D129" i="70"/>
  <c r="E129" i="70" s="1" a="1"/>
  <c r="E129" i="70" s="1"/>
  <c r="D121" i="70"/>
  <c r="D107" i="70"/>
  <c r="D95" i="70"/>
  <c r="D75" i="70"/>
  <c r="D125" i="70"/>
  <c r="D111" i="70"/>
  <c r="D99" i="70"/>
  <c r="D123" i="70"/>
  <c r="D102" i="70"/>
  <c r="D97" i="70"/>
  <c r="D71" i="70"/>
  <c r="D65" i="70"/>
  <c r="D62" i="70"/>
  <c r="D150" i="70"/>
  <c r="E150" i="70" s="1" a="1"/>
  <c r="E150" i="70" s="1"/>
  <c r="D146" i="70"/>
  <c r="E146" i="70" s="1" a="1"/>
  <c r="E146" i="70" s="1"/>
  <c r="D142" i="70"/>
  <c r="E142" i="70" s="1" a="1"/>
  <c r="E142" i="70" s="1"/>
  <c r="D138" i="70"/>
  <c r="E138" i="70" s="1" a="1"/>
  <c r="E138" i="70" s="1"/>
  <c r="D134" i="70"/>
  <c r="E134" i="70" s="1" a="1"/>
  <c r="E134" i="70" s="1"/>
  <c r="D130" i="70"/>
  <c r="E130" i="70" s="1" a="1"/>
  <c r="E130" i="70" s="1"/>
  <c r="D115" i="70"/>
  <c r="D110" i="70"/>
  <c r="D159" i="70"/>
  <c r="E159" i="70" s="1" a="1"/>
  <c r="E159" i="70" s="1"/>
  <c r="D148" i="70"/>
  <c r="E148" i="70" s="1" a="1"/>
  <c r="E148" i="70" s="1"/>
  <c r="D144" i="70"/>
  <c r="E144" i="70" s="1" a="1"/>
  <c r="E144" i="70" s="1"/>
  <c r="D140" i="70"/>
  <c r="E140" i="70" s="1" a="1"/>
  <c r="E140" i="70" s="1"/>
  <c r="D136" i="70"/>
  <c r="E136" i="70" s="1" a="1"/>
  <c r="E136" i="70" s="1"/>
  <c r="D132" i="70"/>
  <c r="E132" i="70" s="1" a="1"/>
  <c r="E132" i="70" s="1"/>
  <c r="D128" i="70"/>
  <c r="E128" i="70" s="1" a="1"/>
  <c r="E128" i="70" s="1"/>
  <c r="D126" i="70"/>
  <c r="D118" i="70"/>
  <c r="D100" i="70"/>
  <c r="D92" i="70"/>
  <c r="D77" i="70"/>
  <c r="D158" i="70"/>
  <c r="E158" i="70" s="1" a="1"/>
  <c r="E158" i="70" s="1"/>
  <c r="D156" i="70"/>
  <c r="E156" i="70" s="1" a="1"/>
  <c r="E156" i="70" s="1"/>
  <c r="D147" i="70"/>
  <c r="E147" i="70" s="1" a="1"/>
  <c r="E147" i="70" s="1"/>
  <c r="D143" i="70"/>
  <c r="E143" i="70" s="1" a="1"/>
  <c r="E143" i="70" s="1"/>
  <c r="D139" i="70"/>
  <c r="E139" i="70" s="1" a="1"/>
  <c r="E139" i="70" s="1"/>
  <c r="D135" i="70"/>
  <c r="E135" i="70" s="1" a="1"/>
  <c r="E135" i="70" s="1"/>
  <c r="D131" i="70"/>
  <c r="E131" i="70" s="1" a="1"/>
  <c r="E131" i="70" s="1"/>
  <c r="D127" i="70"/>
  <c r="E127" i="70" s="1" a="1"/>
  <c r="E127" i="70" s="1"/>
  <c r="D122" i="70"/>
  <c r="D101" i="70"/>
  <c r="D96" i="70"/>
  <c r="D87" i="70"/>
  <c r="D83" i="70"/>
  <c r="D151" i="70"/>
  <c r="E151" i="70" s="1" a="1"/>
  <c r="E151" i="70" s="1"/>
  <c r="D82" i="70"/>
  <c r="D70" i="70"/>
  <c r="D61" i="70"/>
  <c r="D48" i="70"/>
  <c r="D45" i="70"/>
  <c r="D37" i="70"/>
  <c r="D17" i="70"/>
  <c r="D155" i="70"/>
  <c r="E155" i="70" s="1" a="1"/>
  <c r="E155" i="70" s="1"/>
  <c r="D117" i="70"/>
  <c r="D90" i="70"/>
  <c r="D84" i="70"/>
  <c r="D56" i="70"/>
  <c r="D154" i="70"/>
  <c r="E154" i="70" s="1" a="1"/>
  <c r="E154" i="70" s="1"/>
  <c r="D124" i="70"/>
  <c r="D112" i="70"/>
  <c r="D85" i="70"/>
  <c r="D76" i="70"/>
  <c r="D67" i="70"/>
  <c r="D39" i="70"/>
  <c r="D33" i="70"/>
  <c r="D28" i="70"/>
  <c r="D81" i="70"/>
  <c r="D116" i="70"/>
  <c r="D89" i="70"/>
  <c r="D73" i="70"/>
  <c r="D72" i="70"/>
  <c r="D58" i="70"/>
  <c r="D52" i="70"/>
  <c r="D44" i="70"/>
  <c r="D43" i="70"/>
  <c r="D19" i="70"/>
  <c r="D11" i="70"/>
  <c r="D47" i="70"/>
  <c r="D36" i="70"/>
  <c r="D25" i="70"/>
  <c r="D7" i="70"/>
  <c r="D109" i="70"/>
  <c r="D86" i="70"/>
  <c r="D98" i="70"/>
  <c r="D55" i="70"/>
  <c r="D74" i="70"/>
  <c r="D114" i="70"/>
  <c r="D78" i="70"/>
  <c r="D59" i="70"/>
  <c r="D46" i="70"/>
  <c r="D41" i="70"/>
  <c r="D24" i="70"/>
  <c r="D12" i="70"/>
  <c r="D6" i="70"/>
  <c r="D13" i="70"/>
  <c r="D10" i="70"/>
  <c r="D5" i="70"/>
  <c r="D53" i="70"/>
  <c r="D113" i="70"/>
  <c r="D88" i="70"/>
  <c r="D108" i="70"/>
  <c r="D66" i="70"/>
  <c r="D29" i="70"/>
  <c r="D27" i="70"/>
  <c r="D16" i="70"/>
  <c r="D104" i="70"/>
  <c r="D79" i="70"/>
  <c r="D57" i="70"/>
  <c r="D54" i="70"/>
  <c r="D80" i="70"/>
  <c r="D63" i="70"/>
  <c r="D35" i="70"/>
  <c r="D26" i="70"/>
  <c r="D51" i="70"/>
  <c r="D30" i="70"/>
  <c r="D152" i="70"/>
  <c r="E152" i="70" s="1" a="1"/>
  <c r="E152" i="70" s="1"/>
  <c r="D15" i="70"/>
  <c r="D8" i="70"/>
  <c r="D91" i="70"/>
  <c r="D42" i="70"/>
  <c r="D60" i="70"/>
  <c r="D49" i="70"/>
  <c r="D22" i="70"/>
  <c r="D68" i="70"/>
  <c r="D40" i="70"/>
  <c r="D20" i="70"/>
  <c r="D9" i="70"/>
  <c r="D18" i="70"/>
  <c r="D69" i="70"/>
  <c r="D32" i="70"/>
  <c r="D21" i="70"/>
  <c r="D50" i="70"/>
  <c r="D14" i="70"/>
  <c r="D64" i="70"/>
  <c r="D34" i="70"/>
  <c r="D103" i="70"/>
  <c r="D38" i="70"/>
  <c r="D31" i="70"/>
  <c r="D23" i="70"/>
  <c r="AO100" i="1"/>
  <c r="AM100" i="1"/>
  <c r="AK100" i="1"/>
  <c r="AI100" i="1"/>
  <c r="AG100" i="1"/>
  <c r="AE100" i="1"/>
  <c r="AC100" i="1"/>
  <c r="AA100" i="1"/>
  <c r="Y100" i="1"/>
  <c r="W100" i="1"/>
  <c r="U100" i="1"/>
  <c r="S100" i="1"/>
  <c r="Q100" i="1"/>
  <c r="O100" i="1"/>
  <c r="M100" i="1"/>
  <c r="K100" i="1"/>
  <c r="I100" i="1"/>
  <c r="G100" i="1"/>
  <c r="E100" i="1"/>
  <c r="E31" i="7" a="1"/>
  <c r="E31" i="7" s="1"/>
  <c r="F31" i="7" s="1"/>
  <c r="E32" i="7" a="1"/>
  <c r="E32" i="7" s="1"/>
  <c r="F32" i="7" s="1"/>
  <c r="E33" i="7" a="1"/>
  <c r="E33" i="7" s="1"/>
  <c r="F33" i="7" s="1"/>
  <c r="E34" i="7" a="1"/>
  <c r="E34" i="7" s="1"/>
  <c r="F34" i="7" s="1"/>
  <c r="E30" i="7" a="1"/>
  <c r="E30" i="7" s="1"/>
  <c r="AD103" i="69"/>
  <c r="F165" i="70" l="1"/>
  <c r="F160" i="70"/>
  <c r="F196" i="70"/>
  <c r="G195" i="70"/>
  <c r="G181" i="70"/>
  <c r="F182" i="70"/>
  <c r="G167" i="70"/>
  <c r="F168" i="70"/>
  <c r="G191" i="70"/>
  <c r="F192" i="70"/>
  <c r="G169" i="70"/>
  <c r="F170" i="70"/>
  <c r="G186" i="70"/>
  <c r="F187" i="70"/>
  <c r="G198" i="70"/>
  <c r="F199" i="70"/>
  <c r="F191" i="70"/>
  <c r="G190" i="70"/>
  <c r="G189" i="70"/>
  <c r="F190" i="70"/>
  <c r="F193" i="70"/>
  <c r="G192" i="70"/>
  <c r="G178" i="70"/>
  <c r="F179" i="70"/>
  <c r="F178" i="70"/>
  <c r="G177" i="70"/>
  <c r="G180" i="70"/>
  <c r="F181" i="70"/>
  <c r="F167" i="70"/>
  <c r="G166" i="70"/>
  <c r="G196" i="70"/>
  <c r="F197" i="70"/>
  <c r="G168" i="70"/>
  <c r="F169" i="70"/>
  <c r="G201" i="70"/>
  <c r="F201" i="70"/>
  <c r="F200" i="70"/>
  <c r="G200" i="70"/>
  <c r="G199" i="70"/>
  <c r="G174" i="70"/>
  <c r="F175" i="70"/>
  <c r="F177" i="70"/>
  <c r="G176" i="70"/>
  <c r="F186" i="70"/>
  <c r="G185" i="70"/>
  <c r="F174" i="70"/>
  <c r="G173" i="70"/>
  <c r="G184" i="70"/>
  <c r="F185" i="70"/>
  <c r="F183" i="70"/>
  <c r="G182" i="70"/>
  <c r="F188" i="70"/>
  <c r="G187" i="70"/>
  <c r="G188" i="70"/>
  <c r="F189" i="70"/>
  <c r="G183" i="70"/>
  <c r="F184" i="70"/>
  <c r="F195" i="70"/>
  <c r="G194" i="70"/>
  <c r="F173" i="70"/>
  <c r="G172" i="70"/>
  <c r="F171" i="70"/>
  <c r="G170" i="70"/>
  <c r="F176" i="70"/>
  <c r="G175" i="70"/>
  <c r="F198" i="70"/>
  <c r="G197" i="70"/>
  <c r="F172" i="70"/>
  <c r="G171" i="70"/>
  <c r="G193" i="70"/>
  <c r="F194" i="70"/>
  <c r="G179" i="70"/>
  <c r="F180" i="70"/>
  <c r="G165" i="70"/>
  <c r="F166" i="70"/>
  <c r="G160" i="70"/>
  <c r="F161" i="70"/>
  <c r="G164" i="70"/>
  <c r="F164" i="70"/>
  <c r="G162" i="70"/>
  <c r="F163" i="70"/>
  <c r="G163" i="70"/>
  <c r="F162" i="70"/>
  <c r="G161" i="70"/>
  <c r="E89" i="70" a="1"/>
  <c r="E89" i="70" s="1"/>
  <c r="T89" i="70"/>
  <c r="U89" i="70"/>
  <c r="E56" i="70" a="1"/>
  <c r="E56" i="70" s="1"/>
  <c r="U56" i="70"/>
  <c r="T56" i="70"/>
  <c r="E23" i="70" a="1"/>
  <c r="E23" i="70" s="1"/>
  <c r="U23" i="70"/>
  <c r="T23" i="70"/>
  <c r="E18" i="70" a="1"/>
  <c r="E18" i="70" s="1"/>
  <c r="T18" i="70"/>
  <c r="U18" i="70"/>
  <c r="E27" i="70" a="1"/>
  <c r="E27" i="70" s="1"/>
  <c r="U27" i="70"/>
  <c r="T27" i="70"/>
  <c r="E24" i="70" a="1"/>
  <c r="E24" i="70" s="1"/>
  <c r="T24" i="70"/>
  <c r="U24" i="70"/>
  <c r="E83" i="70" a="1"/>
  <c r="E83" i="70" s="1"/>
  <c r="T83" i="70"/>
  <c r="U83" i="70"/>
  <c r="E97" i="70" a="1"/>
  <c r="E97" i="70" s="1"/>
  <c r="T97" i="70"/>
  <c r="U97" i="70"/>
  <c r="E42" i="70" a="1"/>
  <c r="E42" i="70" s="1"/>
  <c r="T42" i="70"/>
  <c r="U42" i="70"/>
  <c r="E10" i="70" a="1"/>
  <c r="E10" i="70" s="1"/>
  <c r="T10" i="70"/>
  <c r="U10" i="70"/>
  <c r="E98" i="70" a="1"/>
  <c r="E98" i="70" s="1"/>
  <c r="T98" i="70"/>
  <c r="U98" i="70"/>
  <c r="E58" i="70" a="1"/>
  <c r="E58" i="70" s="1"/>
  <c r="T58" i="70"/>
  <c r="U58" i="70"/>
  <c r="E112" i="70" a="1"/>
  <c r="E112" i="70" s="1"/>
  <c r="U112" i="70"/>
  <c r="T112" i="70"/>
  <c r="E69" i="70" a="1"/>
  <c r="E69" i="70" s="1"/>
  <c r="U69" i="70"/>
  <c r="T69" i="70"/>
  <c r="E25" i="70" a="1"/>
  <c r="E25" i="70" s="1"/>
  <c r="T25" i="70"/>
  <c r="U25" i="70"/>
  <c r="E116" i="70" a="1"/>
  <c r="E116" i="70" s="1"/>
  <c r="T116" i="70"/>
  <c r="U116" i="70"/>
  <c r="E84" i="70" a="1"/>
  <c r="E84" i="70" s="1"/>
  <c r="T84" i="70"/>
  <c r="U84" i="70"/>
  <c r="E31" i="70" a="1"/>
  <c r="E31" i="70" s="1"/>
  <c r="T31" i="70"/>
  <c r="U31" i="70"/>
  <c r="E9" i="70" a="1"/>
  <c r="E9" i="70" s="1"/>
  <c r="T9" i="70"/>
  <c r="U9" i="70"/>
  <c r="E30" i="70" a="1"/>
  <c r="E30" i="70" s="1"/>
  <c r="T30" i="70"/>
  <c r="U30" i="70"/>
  <c r="E29" i="70" a="1"/>
  <c r="E29" i="70" s="1"/>
  <c r="T29" i="70"/>
  <c r="U29" i="70"/>
  <c r="E41" i="70" a="1"/>
  <c r="E41" i="70" s="1"/>
  <c r="T41" i="70"/>
  <c r="U41" i="70"/>
  <c r="E36" i="70" a="1"/>
  <c r="E36" i="70" s="1"/>
  <c r="T36" i="70"/>
  <c r="U36" i="70"/>
  <c r="E81" i="70" a="1"/>
  <c r="E81" i="70" s="1"/>
  <c r="U81" i="70"/>
  <c r="T81" i="70"/>
  <c r="E90" i="70" a="1"/>
  <c r="E90" i="70" s="1"/>
  <c r="U90" i="70"/>
  <c r="T90" i="70"/>
  <c r="E87" i="70" a="1"/>
  <c r="E87" i="70" s="1"/>
  <c r="U87" i="70"/>
  <c r="T87" i="70"/>
  <c r="E77" i="70" a="1"/>
  <c r="E77" i="70" s="1"/>
  <c r="T77" i="70"/>
  <c r="U77" i="70"/>
  <c r="E110" i="70" a="1"/>
  <c r="E110" i="70" s="1"/>
  <c r="T110" i="70"/>
  <c r="U110" i="70"/>
  <c r="E102" i="70" a="1"/>
  <c r="E102" i="70" s="1"/>
  <c r="T102" i="70"/>
  <c r="U102" i="70"/>
  <c r="E16" i="70" a="1"/>
  <c r="E16" i="70" s="1"/>
  <c r="T16" i="70"/>
  <c r="U16" i="70"/>
  <c r="E12" i="70" a="1"/>
  <c r="E12" i="70" s="1"/>
  <c r="U12" i="70"/>
  <c r="T12" i="70"/>
  <c r="E7" i="70" a="1"/>
  <c r="E7" i="70" s="1"/>
  <c r="U7" i="70"/>
  <c r="T7" i="70"/>
  <c r="E38" i="70" a="1"/>
  <c r="E38" i="70" s="1"/>
  <c r="U38" i="70"/>
  <c r="T38" i="70"/>
  <c r="E20" i="70" a="1"/>
  <c r="E20" i="70" s="1"/>
  <c r="T20" i="70"/>
  <c r="U20" i="70"/>
  <c r="E51" i="70" a="1"/>
  <c r="E51" i="70" s="1"/>
  <c r="T51" i="70"/>
  <c r="U51" i="70"/>
  <c r="E66" i="70" a="1"/>
  <c r="E66" i="70" s="1"/>
  <c r="T66" i="70"/>
  <c r="U66" i="70"/>
  <c r="E28" i="70" a="1"/>
  <c r="E28" i="70" s="1"/>
  <c r="U28" i="70"/>
  <c r="T28" i="70"/>
  <c r="E117" i="70" a="1"/>
  <c r="E117" i="70" s="1"/>
  <c r="U117" i="70"/>
  <c r="T117" i="70"/>
  <c r="E96" i="70" a="1"/>
  <c r="E96" i="70" s="1"/>
  <c r="T96" i="70"/>
  <c r="U96" i="70"/>
  <c r="E92" i="70" a="1"/>
  <c r="E92" i="70" s="1"/>
  <c r="T92" i="70"/>
  <c r="U92" i="70"/>
  <c r="E115" i="70" a="1"/>
  <c r="E115" i="70" s="1"/>
  <c r="T115" i="70"/>
  <c r="U115" i="70"/>
  <c r="E123" i="70" a="1"/>
  <c r="E123" i="70" s="1"/>
  <c r="U123" i="70"/>
  <c r="T123" i="70"/>
  <c r="E68" i="70" a="1"/>
  <c r="E68" i="70" s="1"/>
  <c r="T68" i="70"/>
  <c r="U68" i="70"/>
  <c r="E21" i="70" a="1"/>
  <c r="E21" i="70" s="1"/>
  <c r="T21" i="70"/>
  <c r="U21" i="70"/>
  <c r="E46" i="70" a="1"/>
  <c r="E46" i="70" s="1"/>
  <c r="T46" i="70"/>
  <c r="U46" i="70"/>
  <c r="E47" i="70" a="1"/>
  <c r="E47" i="70" s="1"/>
  <c r="T47" i="70"/>
  <c r="U47" i="70"/>
  <c r="E103" i="70" a="1"/>
  <c r="E103" i="70" s="1"/>
  <c r="T103" i="70"/>
  <c r="U103" i="70"/>
  <c r="E40" i="70" a="1"/>
  <c r="E40" i="70" s="1"/>
  <c r="T40" i="70"/>
  <c r="U40" i="70"/>
  <c r="E26" i="70" a="1"/>
  <c r="E26" i="70" s="1"/>
  <c r="T26" i="70"/>
  <c r="U26" i="70"/>
  <c r="E108" i="70" a="1"/>
  <c r="E108" i="70" s="1"/>
  <c r="U108" i="70"/>
  <c r="T108" i="70"/>
  <c r="E59" i="70" a="1"/>
  <c r="E59" i="70" s="1"/>
  <c r="T59" i="70"/>
  <c r="U59" i="70"/>
  <c r="E11" i="70" a="1"/>
  <c r="E11" i="70" s="1"/>
  <c r="T11" i="70"/>
  <c r="U11" i="70"/>
  <c r="E33" i="70" a="1"/>
  <c r="E33" i="70" s="1"/>
  <c r="T33" i="70"/>
  <c r="U33" i="70"/>
  <c r="E101" i="70" a="1"/>
  <c r="E101" i="70" s="1"/>
  <c r="T101" i="70"/>
  <c r="U101" i="70"/>
  <c r="E100" i="70" a="1"/>
  <c r="E100" i="70" s="1"/>
  <c r="U100" i="70"/>
  <c r="T100" i="70"/>
  <c r="E99" i="70" a="1"/>
  <c r="E99" i="70" s="1"/>
  <c r="T99" i="70"/>
  <c r="U99" i="70"/>
  <c r="E111" i="70" a="1"/>
  <c r="E111" i="70" s="1"/>
  <c r="T111" i="70"/>
  <c r="U111" i="70"/>
  <c r="E88" i="70" a="1"/>
  <c r="E88" i="70" s="1"/>
  <c r="U88" i="70"/>
  <c r="T88" i="70"/>
  <c r="E19" i="70" a="1"/>
  <c r="E19" i="70" s="1"/>
  <c r="T19" i="70"/>
  <c r="U19" i="70"/>
  <c r="E39" i="70" a="1"/>
  <c r="E39" i="70" s="1"/>
  <c r="U39" i="70"/>
  <c r="T39" i="70"/>
  <c r="E17" i="70" a="1"/>
  <c r="E17" i="70" s="1"/>
  <c r="T17" i="70"/>
  <c r="U17" i="70"/>
  <c r="E122" i="70" a="1"/>
  <c r="E122" i="70" s="1"/>
  <c r="U122" i="70"/>
  <c r="T122" i="70"/>
  <c r="E118" i="70" a="1"/>
  <c r="E118" i="70" s="1"/>
  <c r="T118" i="70"/>
  <c r="U118" i="70"/>
  <c r="E64" i="70" a="1"/>
  <c r="E64" i="70" s="1"/>
  <c r="T64" i="70"/>
  <c r="U64" i="70"/>
  <c r="E22" i="70" a="1"/>
  <c r="E22" i="70" s="1"/>
  <c r="U22" i="70"/>
  <c r="T22" i="70"/>
  <c r="E63" i="70" a="1"/>
  <c r="E63" i="70" s="1"/>
  <c r="T63" i="70"/>
  <c r="U63" i="70"/>
  <c r="E113" i="70" a="1"/>
  <c r="E113" i="70" s="1"/>
  <c r="T113" i="70"/>
  <c r="U113" i="70"/>
  <c r="E114" i="70" a="1"/>
  <c r="E114" i="70" s="1"/>
  <c r="T114" i="70"/>
  <c r="U114" i="70"/>
  <c r="E43" i="70" a="1"/>
  <c r="E43" i="70" s="1"/>
  <c r="U43" i="70"/>
  <c r="T43" i="70"/>
  <c r="E67" i="70" a="1"/>
  <c r="E67" i="70" s="1"/>
  <c r="T67" i="70"/>
  <c r="U67" i="70"/>
  <c r="E37" i="70" a="1"/>
  <c r="E37" i="70" s="1"/>
  <c r="U37" i="70"/>
  <c r="T37" i="70"/>
  <c r="E126" i="70" a="1"/>
  <c r="E126" i="70" s="1"/>
  <c r="T126" i="70"/>
  <c r="U126" i="70"/>
  <c r="W116" i="70"/>
  <c r="X116" i="70"/>
  <c r="E125" i="70" a="1"/>
  <c r="E125" i="70" s="1"/>
  <c r="U125" i="70"/>
  <c r="T125" i="70"/>
  <c r="E35" i="70" a="1"/>
  <c r="E35" i="70" s="1"/>
  <c r="T35" i="70"/>
  <c r="U35" i="70"/>
  <c r="E78" i="70" a="1"/>
  <c r="E78" i="70" s="1"/>
  <c r="U78" i="70"/>
  <c r="T78" i="70"/>
  <c r="E14" i="70" a="1"/>
  <c r="E14" i="70" s="1"/>
  <c r="T14" i="70"/>
  <c r="U14" i="70"/>
  <c r="E49" i="70" a="1"/>
  <c r="E49" i="70" s="1"/>
  <c r="U49" i="70"/>
  <c r="E80" i="70" a="1"/>
  <c r="E80" i="70" s="1"/>
  <c r="U80" i="70"/>
  <c r="T80" i="70"/>
  <c r="E53" i="70" a="1"/>
  <c r="E53" i="70" s="1"/>
  <c r="T53" i="70"/>
  <c r="U53" i="70"/>
  <c r="E44" i="70" a="1"/>
  <c r="E44" i="70" s="1"/>
  <c r="T44" i="70"/>
  <c r="U44" i="70"/>
  <c r="E76" i="70" a="1"/>
  <c r="E76" i="70" s="1"/>
  <c r="T76" i="70"/>
  <c r="U76" i="70"/>
  <c r="E45" i="70" a="1"/>
  <c r="E45" i="70" s="1"/>
  <c r="T45" i="70"/>
  <c r="U45" i="70"/>
  <c r="E75" i="70" a="1"/>
  <c r="E75" i="70" s="1"/>
  <c r="T75" i="70"/>
  <c r="U75" i="70"/>
  <c r="E94" i="70" a="1"/>
  <c r="E94" i="70" s="1"/>
  <c r="U94" i="70"/>
  <c r="T94" i="70"/>
  <c r="E74" i="70" a="1"/>
  <c r="E74" i="70" s="1"/>
  <c r="T74" i="70"/>
  <c r="U74" i="70"/>
  <c r="E50" i="70" a="1"/>
  <c r="E50" i="70" s="1"/>
  <c r="T50" i="70"/>
  <c r="U50" i="70"/>
  <c r="E60" i="70" a="1"/>
  <c r="E60" i="70" s="1"/>
  <c r="T60" i="70"/>
  <c r="U60" i="70"/>
  <c r="E54" i="70" a="1"/>
  <c r="E54" i="70" s="1"/>
  <c r="T54" i="70"/>
  <c r="U54" i="70"/>
  <c r="E5" i="70" a="1"/>
  <c r="E5" i="70" s="1"/>
  <c r="T5" i="70"/>
  <c r="X8" i="70" a="1"/>
  <c r="U5" i="70"/>
  <c r="J9" i="70"/>
  <c r="K9" i="70"/>
  <c r="L9" i="70"/>
  <c r="E55" i="70" a="1"/>
  <c r="E55" i="70" s="1"/>
  <c r="U55" i="70"/>
  <c r="T55" i="70"/>
  <c r="E52" i="70" a="1"/>
  <c r="E52" i="70" s="1"/>
  <c r="T52" i="70"/>
  <c r="U52" i="70"/>
  <c r="E85" i="70" a="1"/>
  <c r="E85" i="70" s="1"/>
  <c r="U85" i="70"/>
  <c r="T85" i="70"/>
  <c r="E48" i="70" a="1"/>
  <c r="E48" i="70" s="1"/>
  <c r="T48" i="70"/>
  <c r="U48" i="70"/>
  <c r="E95" i="70" a="1"/>
  <c r="E95" i="70" s="1"/>
  <c r="U95" i="70"/>
  <c r="T95" i="70"/>
  <c r="E106" i="70" a="1"/>
  <c r="E106" i="70" s="1"/>
  <c r="U106" i="70"/>
  <c r="T106" i="70"/>
  <c r="E61" i="70" a="1"/>
  <c r="E61" i="70" s="1"/>
  <c r="T61" i="70"/>
  <c r="U61" i="70"/>
  <c r="E107" i="70" a="1"/>
  <c r="E107" i="70" s="1"/>
  <c r="T107" i="70"/>
  <c r="U107" i="70"/>
  <c r="E120" i="70" a="1"/>
  <c r="E120" i="70" s="1"/>
  <c r="T120" i="70"/>
  <c r="U120" i="70"/>
  <c r="E34" i="70" a="1"/>
  <c r="E34" i="70" s="1"/>
  <c r="T34" i="70"/>
  <c r="U34" i="70"/>
  <c r="E62" i="70" a="1"/>
  <c r="E62" i="70" s="1"/>
  <c r="U62" i="70"/>
  <c r="T62" i="70"/>
  <c r="E121" i="70" a="1"/>
  <c r="E121" i="70" s="1"/>
  <c r="T121" i="70"/>
  <c r="U121" i="70"/>
  <c r="E93" i="70" a="1"/>
  <c r="E93" i="70" s="1"/>
  <c r="T93" i="70"/>
  <c r="U93" i="70"/>
  <c r="E91" i="70" a="1"/>
  <c r="E91" i="70" s="1"/>
  <c r="T91" i="70"/>
  <c r="U91" i="70"/>
  <c r="E79" i="70" a="1"/>
  <c r="E79" i="70" s="1"/>
  <c r="T79" i="70"/>
  <c r="U79" i="70"/>
  <c r="E13" i="70" a="1"/>
  <c r="E13" i="70" s="1"/>
  <c r="T13" i="70"/>
  <c r="U13" i="70"/>
  <c r="E86" i="70" a="1"/>
  <c r="E86" i="70" s="1"/>
  <c r="U86" i="70"/>
  <c r="T86" i="70"/>
  <c r="E72" i="70" a="1"/>
  <c r="E72" i="70" s="1"/>
  <c r="U72" i="70"/>
  <c r="T72" i="70"/>
  <c r="E124" i="70" a="1"/>
  <c r="E124" i="70" s="1"/>
  <c r="T124" i="70"/>
  <c r="U124" i="70"/>
  <c r="E70" i="70" a="1"/>
  <c r="E70" i="70" s="1"/>
  <c r="U70" i="70"/>
  <c r="T70" i="70"/>
  <c r="E32" i="70" a="1"/>
  <c r="E32" i="70" s="1"/>
  <c r="T32" i="70"/>
  <c r="U32" i="70"/>
  <c r="E8" i="70" a="1"/>
  <c r="E8" i="70" s="1"/>
  <c r="T8" i="70"/>
  <c r="U8" i="70"/>
  <c r="E104" i="70" a="1"/>
  <c r="E104" i="70" s="1"/>
  <c r="T104" i="70"/>
  <c r="U104" i="70"/>
  <c r="E6" i="70" a="1"/>
  <c r="E6" i="70" s="1"/>
  <c r="T6" i="70"/>
  <c r="U6" i="70"/>
  <c r="E109" i="70" a="1"/>
  <c r="E109" i="70" s="1"/>
  <c r="T109" i="70"/>
  <c r="U109" i="70"/>
  <c r="E73" i="70" a="1"/>
  <c r="E73" i="70" s="1"/>
  <c r="T73" i="70"/>
  <c r="U73" i="70"/>
  <c r="E82" i="70" a="1"/>
  <c r="E82" i="70" s="1"/>
  <c r="U82" i="70"/>
  <c r="T82" i="70"/>
  <c r="E65" i="70" a="1"/>
  <c r="E65" i="70" s="1"/>
  <c r="U65" i="70"/>
  <c r="T65" i="70"/>
  <c r="E105" i="70" a="1"/>
  <c r="E105" i="70" s="1"/>
  <c r="U105" i="70"/>
  <c r="T105" i="70"/>
  <c r="E57" i="70" a="1"/>
  <c r="E57" i="70" s="1"/>
  <c r="U57" i="70"/>
  <c r="T57" i="70"/>
  <c r="E15" i="70" a="1"/>
  <c r="E15" i="70" s="1"/>
  <c r="T15" i="70"/>
  <c r="U15" i="70"/>
  <c r="E71" i="70" a="1"/>
  <c r="E71" i="70" s="1"/>
  <c r="U71" i="70"/>
  <c r="T71" i="70"/>
  <c r="E119" i="70" a="1"/>
  <c r="E119" i="70" s="1"/>
  <c r="T119" i="70"/>
  <c r="U119" i="70"/>
  <c r="B30" i="7"/>
  <c r="F30" i="7"/>
  <c r="AY102" i="69" a="1"/>
  <c r="AY102" i="69" s="1"/>
  <c r="H99" i="22"/>
  <c r="Q100" i="22"/>
  <c r="Q99" i="22"/>
  <c r="A1" i="1"/>
  <c r="A2" i="1" s="1" a="1"/>
  <c r="A2" i="1" s="1"/>
  <c r="AP93" i="70" l="1"/>
  <c r="BD96" i="70" a="1"/>
  <c r="BD96" i="70" s="1"/>
  <c r="BE95" i="70" s="1" a="1"/>
  <c r="BG98" i="70" s="1" a="1"/>
  <c r="BG98" i="70" s="1"/>
  <c r="U4" i="70"/>
  <c r="T4" i="70"/>
  <c r="AA27" i="70"/>
  <c r="AB27" i="70"/>
  <c r="X8" i="70"/>
  <c r="X27" i="70" s="1"/>
  <c r="AC27" i="70"/>
  <c r="AD27" i="70"/>
  <c r="Y27" i="70"/>
  <c r="Z27" i="70"/>
  <c r="K10" i="70"/>
  <c r="L10" i="70"/>
  <c r="J10" i="70"/>
  <c r="F5" i="70"/>
  <c r="F126" i="70"/>
  <c r="G125" i="70"/>
  <c r="H125" i="70" s="1"/>
  <c r="F9" i="70"/>
  <c r="G8" i="70"/>
  <c r="H8" i="70" s="1"/>
  <c r="G39" i="70"/>
  <c r="H39" i="70" s="1"/>
  <c r="F40" i="70"/>
  <c r="F36" i="70"/>
  <c r="G35" i="70"/>
  <c r="G72" i="70"/>
  <c r="H72" i="70" s="1"/>
  <c r="F73" i="70"/>
  <c r="G22" i="70"/>
  <c r="H22" i="70" s="1"/>
  <c r="F23" i="70"/>
  <c r="F137" i="70"/>
  <c r="G136" i="70"/>
  <c r="H136" i="70" s="1"/>
  <c r="G20" i="70"/>
  <c r="H20" i="70" s="1"/>
  <c r="F21" i="70"/>
  <c r="F133" i="70"/>
  <c r="G132" i="70"/>
  <c r="H132" i="70" s="1"/>
  <c r="G113" i="70"/>
  <c r="H113" i="70" s="1"/>
  <c r="F114" i="70"/>
  <c r="G91" i="70"/>
  <c r="H91" i="70" s="1"/>
  <c r="F92" i="70"/>
  <c r="G31" i="70"/>
  <c r="H31" i="70" s="1"/>
  <c r="F32" i="70"/>
  <c r="F26" i="70"/>
  <c r="G25" i="70"/>
  <c r="H25" i="70" s="1"/>
  <c r="F71" i="70"/>
  <c r="G70" i="70"/>
  <c r="H70" i="70" s="1"/>
  <c r="F69" i="70"/>
  <c r="G68" i="70"/>
  <c r="H68" i="70" s="1"/>
  <c r="F6" i="70"/>
  <c r="G5" i="70"/>
  <c r="F94" i="70"/>
  <c r="G93" i="70"/>
  <c r="H93" i="70" s="1"/>
  <c r="F120" i="70"/>
  <c r="G119" i="70"/>
  <c r="H119" i="70" s="1"/>
  <c r="G40" i="70"/>
  <c r="H40" i="70" s="1"/>
  <c r="F41" i="70"/>
  <c r="G13" i="70"/>
  <c r="H13" i="70" s="1"/>
  <c r="F14" i="70"/>
  <c r="F81" i="70"/>
  <c r="G80" i="70"/>
  <c r="H80" i="70" s="1"/>
  <c r="F119" i="70"/>
  <c r="G118" i="70"/>
  <c r="H118" i="70" s="1"/>
  <c r="G96" i="70"/>
  <c r="H96" i="70" s="1"/>
  <c r="F97" i="70"/>
  <c r="G73" i="70"/>
  <c r="H73" i="70" s="1"/>
  <c r="F74" i="70"/>
  <c r="F34" i="70"/>
  <c r="G33" i="70"/>
  <c r="H33" i="70" s="1"/>
  <c r="G98" i="70"/>
  <c r="H98" i="70" s="1"/>
  <c r="F99" i="70"/>
  <c r="F39" i="70"/>
  <c r="G38" i="70"/>
  <c r="H38" i="70" s="1"/>
  <c r="F85" i="70"/>
  <c r="G84" i="70"/>
  <c r="H84" i="70" s="1"/>
  <c r="G46" i="70"/>
  <c r="H46" i="70" s="1"/>
  <c r="F47" i="70"/>
  <c r="G43" i="70"/>
  <c r="H43" i="70" s="1"/>
  <c r="F44" i="70"/>
  <c r="F48" i="70"/>
  <c r="G47" i="70"/>
  <c r="H47" i="70" s="1"/>
  <c r="F129" i="70"/>
  <c r="G128" i="70"/>
  <c r="H128" i="70" s="1"/>
  <c r="G24" i="70"/>
  <c r="H24" i="70" s="1"/>
  <c r="F25" i="70"/>
  <c r="F76" i="70"/>
  <c r="G75" i="70"/>
  <c r="H75" i="70" s="1"/>
  <c r="F30" i="70"/>
  <c r="G29" i="70"/>
  <c r="H29" i="70" s="1"/>
  <c r="F63" i="70"/>
  <c r="G62" i="70"/>
  <c r="H62" i="70" s="1"/>
  <c r="F38" i="70"/>
  <c r="G37" i="70"/>
  <c r="H37" i="70" s="1"/>
  <c r="F139" i="70"/>
  <c r="G138" i="70"/>
  <c r="H138" i="70" s="1"/>
  <c r="F111" i="70"/>
  <c r="G110" i="70"/>
  <c r="H110" i="70" s="1"/>
  <c r="G106" i="70"/>
  <c r="H106" i="70" s="1"/>
  <c r="F107" i="70"/>
  <c r="F113" i="70"/>
  <c r="G112" i="70"/>
  <c r="H112" i="70" s="1"/>
  <c r="G14" i="70"/>
  <c r="H14" i="70" s="1"/>
  <c r="F15" i="70"/>
  <c r="G107" i="70"/>
  <c r="H107" i="70" s="1"/>
  <c r="F108" i="70"/>
  <c r="G127" i="70"/>
  <c r="H127" i="70" s="1"/>
  <c r="F128" i="70"/>
  <c r="F59" i="70"/>
  <c r="G58" i="70"/>
  <c r="H58" i="70" s="1"/>
  <c r="F100" i="70"/>
  <c r="G99" i="70"/>
  <c r="H99" i="70" s="1"/>
  <c r="G143" i="70"/>
  <c r="H143" i="70" s="1"/>
  <c r="F144" i="70"/>
  <c r="F46" i="70"/>
  <c r="G45" i="70"/>
  <c r="H45" i="70" s="1"/>
  <c r="F66" i="70"/>
  <c r="G65" i="70"/>
  <c r="H65" i="70" s="1"/>
  <c r="G116" i="70"/>
  <c r="H116" i="70" s="1"/>
  <c r="F117" i="70"/>
  <c r="G156" i="70"/>
  <c r="H156" i="70" s="1"/>
  <c r="F157" i="70"/>
  <c r="F98" i="70"/>
  <c r="G97" i="70"/>
  <c r="H97" i="70" s="1"/>
  <c r="F53" i="70"/>
  <c r="G52" i="70"/>
  <c r="H52" i="70" s="1"/>
  <c r="G79" i="70"/>
  <c r="H79" i="70" s="1"/>
  <c r="F80" i="70"/>
  <c r="F112" i="70"/>
  <c r="G111" i="70"/>
  <c r="H111" i="70" s="1"/>
  <c r="F17" i="70"/>
  <c r="G16" i="70"/>
  <c r="H16" i="70" s="1"/>
  <c r="F84" i="70"/>
  <c r="G83" i="70"/>
  <c r="H83" i="70" s="1"/>
  <c r="G51" i="70"/>
  <c r="H51" i="70" s="1"/>
  <c r="F52" i="70"/>
  <c r="G71" i="70"/>
  <c r="H71" i="70" s="1"/>
  <c r="F72" i="70"/>
  <c r="F93" i="70"/>
  <c r="G92" i="70"/>
  <c r="H92" i="70" s="1"/>
  <c r="G139" i="70"/>
  <c r="H139" i="70" s="1"/>
  <c r="F140" i="70"/>
  <c r="G74" i="70"/>
  <c r="H74" i="70" s="1"/>
  <c r="F75" i="70"/>
  <c r="F131" i="70"/>
  <c r="G130" i="70"/>
  <c r="H130" i="70" s="1"/>
  <c r="G145" i="70"/>
  <c r="H145" i="70" s="1"/>
  <c r="F146" i="70"/>
  <c r="G109" i="70"/>
  <c r="H109" i="70" s="1"/>
  <c r="F110" i="70"/>
  <c r="F86" i="70"/>
  <c r="G85" i="70"/>
  <c r="H85" i="70" s="1"/>
  <c r="G117" i="70"/>
  <c r="H117" i="70" s="1"/>
  <c r="F118" i="70"/>
  <c r="F58" i="70"/>
  <c r="G57" i="70"/>
  <c r="H57" i="70" s="1"/>
  <c r="G135" i="70"/>
  <c r="H135" i="70" s="1"/>
  <c r="F136" i="70"/>
  <c r="G131" i="70"/>
  <c r="H131" i="70" s="1"/>
  <c r="F132" i="70"/>
  <c r="F149" i="70"/>
  <c r="G148" i="70"/>
  <c r="H148" i="70" s="1"/>
  <c r="G7" i="70"/>
  <c r="F8" i="70"/>
  <c r="G60" i="70"/>
  <c r="H60" i="70" s="1"/>
  <c r="F61" i="70"/>
  <c r="G67" i="70"/>
  <c r="H67" i="70" s="1"/>
  <c r="F68" i="70"/>
  <c r="G101" i="70"/>
  <c r="H101" i="70" s="1"/>
  <c r="F102" i="70"/>
  <c r="F64" i="70"/>
  <c r="G63" i="70"/>
  <c r="H63" i="70" s="1"/>
  <c r="G137" i="70"/>
  <c r="H137" i="70" s="1"/>
  <c r="F138" i="70"/>
  <c r="G133" i="70"/>
  <c r="H133" i="70" s="1"/>
  <c r="F134" i="70"/>
  <c r="G129" i="70"/>
  <c r="H129" i="70" s="1"/>
  <c r="F130" i="70"/>
  <c r="G121" i="70"/>
  <c r="H121" i="70" s="1"/>
  <c r="F122" i="70"/>
  <c r="F12" i="70"/>
  <c r="G11" i="70"/>
  <c r="H11" i="70" s="1"/>
  <c r="G104" i="70"/>
  <c r="H104" i="70" s="1"/>
  <c r="F105" i="70"/>
  <c r="G42" i="70"/>
  <c r="H42" i="70" s="1"/>
  <c r="F43" i="70"/>
  <c r="G49" i="70"/>
  <c r="H49" i="70" s="1"/>
  <c r="F50" i="70"/>
  <c r="G159" i="70"/>
  <c r="F159" i="70"/>
  <c r="G157" i="70"/>
  <c r="H157" i="70" s="1"/>
  <c r="G158" i="70"/>
  <c r="F158" i="70"/>
  <c r="F22" i="70"/>
  <c r="G21" i="70"/>
  <c r="H21" i="70" s="1"/>
  <c r="G64" i="70"/>
  <c r="H64" i="70" s="1"/>
  <c r="F65" i="70"/>
  <c r="G94" i="70"/>
  <c r="H94" i="70" s="1"/>
  <c r="F95" i="70"/>
  <c r="G141" i="70"/>
  <c r="H141" i="70" s="1"/>
  <c r="F142" i="70"/>
  <c r="G66" i="70"/>
  <c r="F67" i="70"/>
  <c r="F88" i="70"/>
  <c r="G87" i="70"/>
  <c r="H87" i="70" s="1"/>
  <c r="F143" i="70"/>
  <c r="G142" i="70"/>
  <c r="H142" i="70" s="1"/>
  <c r="F28" i="70"/>
  <c r="G27" i="70"/>
  <c r="H27" i="70" s="1"/>
  <c r="G53" i="70"/>
  <c r="H53" i="70" s="1"/>
  <c r="F54" i="70"/>
  <c r="F127" i="70"/>
  <c r="G126" i="70"/>
  <c r="H126" i="70" s="1"/>
  <c r="G147" i="70"/>
  <c r="H147" i="70" s="1"/>
  <c r="F148" i="70"/>
  <c r="F29" i="70"/>
  <c r="G28" i="70"/>
  <c r="H28" i="70" s="1"/>
  <c r="F155" i="70"/>
  <c r="G154" i="70"/>
  <c r="H154" i="70" s="1"/>
  <c r="F45" i="70"/>
  <c r="G44" i="70"/>
  <c r="H44" i="70" s="1"/>
  <c r="F27" i="70"/>
  <c r="G26" i="70"/>
  <c r="H26" i="70" s="1"/>
  <c r="G54" i="70"/>
  <c r="H54" i="70" s="1"/>
  <c r="F55" i="70"/>
  <c r="F145" i="70"/>
  <c r="G144" i="70"/>
  <c r="H144" i="70" s="1"/>
  <c r="F141" i="70"/>
  <c r="G140" i="70"/>
  <c r="H140" i="70" s="1"/>
  <c r="G153" i="70"/>
  <c r="H153" i="70" s="1"/>
  <c r="F154" i="70"/>
  <c r="G10" i="70"/>
  <c r="H10" i="70" s="1"/>
  <c r="F11" i="70"/>
  <c r="G69" i="70"/>
  <c r="H69" i="70" s="1"/>
  <c r="F70" i="70"/>
  <c r="G34" i="70"/>
  <c r="H34" i="70" s="1"/>
  <c r="F35" i="70"/>
  <c r="G152" i="70"/>
  <c r="H152" i="70" s="1"/>
  <c r="F153" i="70"/>
  <c r="G30" i="70"/>
  <c r="H30" i="70" s="1"/>
  <c r="F31" i="70"/>
  <c r="F56" i="70"/>
  <c r="G55" i="70"/>
  <c r="H55" i="70" s="1"/>
  <c r="F33" i="70"/>
  <c r="G32" i="70"/>
  <c r="H32" i="70" s="1"/>
  <c r="F10" i="70"/>
  <c r="G9" i="70"/>
  <c r="H9" i="70" s="1"/>
  <c r="G95" i="70"/>
  <c r="H95" i="70" s="1"/>
  <c r="F96" i="70"/>
  <c r="F151" i="70"/>
  <c r="G150" i="70"/>
  <c r="H150" i="70" s="1"/>
  <c r="G122" i="70"/>
  <c r="H122" i="70" s="1"/>
  <c r="F123" i="70"/>
  <c r="F57" i="70"/>
  <c r="G56" i="70"/>
  <c r="H56" i="70" s="1"/>
  <c r="G86" i="70"/>
  <c r="H86" i="70" s="1"/>
  <c r="F87" i="70"/>
  <c r="G90" i="70"/>
  <c r="H90" i="70" s="1"/>
  <c r="F91" i="70"/>
  <c r="G124" i="70"/>
  <c r="H124" i="70" s="1"/>
  <c r="F125" i="70"/>
  <c r="G151" i="70"/>
  <c r="H151" i="70" s="1"/>
  <c r="F152" i="70"/>
  <c r="F121" i="70"/>
  <c r="G120" i="70"/>
  <c r="H120" i="70" s="1"/>
  <c r="G102" i="70"/>
  <c r="H102" i="70" s="1"/>
  <c r="F103" i="70"/>
  <c r="F78" i="70"/>
  <c r="G77" i="70"/>
  <c r="H77" i="70" s="1"/>
  <c r="F106" i="70"/>
  <c r="G105" i="70"/>
  <c r="H105" i="70" s="1"/>
  <c r="F49" i="70"/>
  <c r="G48" i="70"/>
  <c r="H48" i="70" s="1"/>
  <c r="G18" i="70"/>
  <c r="H18" i="70" s="1"/>
  <c r="F19" i="70"/>
  <c r="G115" i="70"/>
  <c r="H115" i="70" s="1"/>
  <c r="F116" i="70"/>
  <c r="F16" i="70"/>
  <c r="G15" i="70"/>
  <c r="H15" i="70" s="1"/>
  <c r="F147" i="70"/>
  <c r="G146" i="70"/>
  <c r="H146" i="70" s="1"/>
  <c r="F109" i="70"/>
  <c r="G108" i="70"/>
  <c r="H108" i="70" s="1"/>
  <c r="F124" i="70"/>
  <c r="G123" i="70"/>
  <c r="H123" i="70" s="1"/>
  <c r="G76" i="70"/>
  <c r="H76" i="70" s="1"/>
  <c r="F77" i="70"/>
  <c r="G103" i="70"/>
  <c r="F104" i="70"/>
  <c r="G6" i="70"/>
  <c r="F7" i="70"/>
  <c r="F82" i="70"/>
  <c r="G81" i="70"/>
  <c r="H81" i="70" s="1"/>
  <c r="F135" i="70"/>
  <c r="G134" i="70"/>
  <c r="H134" i="70" s="1"/>
  <c r="G149" i="70"/>
  <c r="H149" i="70" s="1"/>
  <c r="F150" i="70"/>
  <c r="F101" i="70"/>
  <c r="G100" i="70"/>
  <c r="H100" i="70" s="1"/>
  <c r="F60" i="70"/>
  <c r="G59" i="70"/>
  <c r="H59" i="70" s="1"/>
  <c r="G114" i="70"/>
  <c r="H114" i="70" s="1"/>
  <c r="F115" i="70"/>
  <c r="F79" i="70"/>
  <c r="G78" i="70"/>
  <c r="H78" i="70" s="1"/>
  <c r="F24" i="70"/>
  <c r="G23" i="70"/>
  <c r="H23" i="70" s="1"/>
  <c r="G50" i="70"/>
  <c r="H50" i="70" s="1"/>
  <c r="F51" i="70"/>
  <c r="G36" i="70"/>
  <c r="H36" i="70" s="1"/>
  <c r="F37" i="70"/>
  <c r="G89" i="70"/>
  <c r="H89" i="70" s="1"/>
  <c r="F90" i="70"/>
  <c r="F20" i="70"/>
  <c r="G19" i="70"/>
  <c r="H19" i="70" s="1"/>
  <c r="F13" i="70"/>
  <c r="G12" i="70"/>
  <c r="H12" i="70" s="1"/>
  <c r="F89" i="70"/>
  <c r="G88" i="70"/>
  <c r="H88" i="70" s="1"/>
  <c r="G82" i="70"/>
  <c r="H82" i="70" s="1"/>
  <c r="F83" i="70"/>
  <c r="G155" i="70"/>
  <c r="H155" i="70" s="1"/>
  <c r="F156" i="70"/>
  <c r="F42" i="70"/>
  <c r="G41" i="70"/>
  <c r="H41" i="70" s="1"/>
  <c r="G61" i="70"/>
  <c r="H61" i="70" s="1"/>
  <c r="F62" i="70"/>
  <c r="G17" i="70"/>
  <c r="H17" i="70" s="1"/>
  <c r="F18" i="70"/>
  <c r="F21" i="15"/>
  <c r="E21" i="15"/>
  <c r="D21" i="15"/>
  <c r="A21" i="15"/>
  <c r="B21" i="15" s="1"/>
  <c r="H103" i="70" l="1"/>
  <c r="AQ95" i="70"/>
  <c r="H66" i="70"/>
  <c r="BD80" i="70"/>
  <c r="AQ80" i="70" s="1"/>
  <c r="H35" i="70"/>
  <c r="AQ98" i="70"/>
  <c r="AX98" i="70" s="1"/>
  <c r="AQ97" i="70"/>
  <c r="AX97" i="70" s="1"/>
  <c r="J22" i="70"/>
  <c r="AO34" i="70"/>
  <c r="X26" i="70" a="1"/>
  <c r="X26" i="70" s="1"/>
  <c r="X19" i="70"/>
  <c r="M41" i="70"/>
  <c r="X47" i="70"/>
  <c r="N41" i="70"/>
  <c r="J41" i="70"/>
  <c r="J66" i="70"/>
  <c r="O41" i="70"/>
  <c r="K41" i="70"/>
  <c r="X42" i="70"/>
  <c r="L41" i="70"/>
  <c r="X13" i="70"/>
  <c r="Q41" i="70"/>
  <c r="P41" i="70"/>
  <c r="X7" i="70" a="1"/>
  <c r="X7" i="70" s="1"/>
  <c r="S42" i="70" a="1"/>
  <c r="S42" i="70" s="1"/>
  <c r="X52" i="70"/>
  <c r="X22" i="70"/>
  <c r="K44" i="70" a="1"/>
  <c r="K44" i="70" s="1"/>
  <c r="Q44" i="70" a="1"/>
  <c r="Q44" i="70" s="1"/>
  <c r="K45" i="70" a="1"/>
  <c r="K45" i="70" s="1"/>
  <c r="Q45" i="70" a="1"/>
  <c r="Q45" i="70" s="1"/>
  <c r="N48" i="70" a="1"/>
  <c r="N48" i="70" s="1"/>
  <c r="N69" i="70" a="1"/>
  <c r="N69" i="70" s="1"/>
  <c r="M71" i="70" a="1"/>
  <c r="M71" i="70" s="1"/>
  <c r="L73" i="70" a="1"/>
  <c r="L73" i="70" s="1"/>
  <c r="K75" i="70" a="1"/>
  <c r="K75" i="70" s="1"/>
  <c r="Q75" i="70" a="1"/>
  <c r="Q75" i="70" s="1"/>
  <c r="O43" i="70" a="1"/>
  <c r="O43" i="70" s="1"/>
  <c r="M46" i="70" a="1"/>
  <c r="M46" i="70" s="1"/>
  <c r="O47" i="70" a="1"/>
  <c r="O47" i="70" s="1"/>
  <c r="K49" i="70" a="1"/>
  <c r="K49" i="70" s="1"/>
  <c r="Q49" i="70" a="1"/>
  <c r="Q49" i="70" s="1"/>
  <c r="N50" i="70" a="1"/>
  <c r="N50" i="70" s="1"/>
  <c r="L68" i="70" a="1"/>
  <c r="L68" i="70" s="1"/>
  <c r="K70" i="70" a="1"/>
  <c r="K70" i="70" s="1"/>
  <c r="Q70" i="70" a="1"/>
  <c r="Q70" i="70" s="1"/>
  <c r="J72" i="70" a="1"/>
  <c r="J72" i="70" s="1"/>
  <c r="P72" i="70" a="1"/>
  <c r="P72" i="70" s="1"/>
  <c r="O74" i="70" a="1"/>
  <c r="O74" i="70" s="1"/>
  <c r="L44" i="70" a="1"/>
  <c r="L44" i="70" s="1"/>
  <c r="L45" i="70" a="1"/>
  <c r="L45" i="70" s="1"/>
  <c r="O48" i="70" a="1"/>
  <c r="O48" i="70" s="1"/>
  <c r="O69" i="70" a="1"/>
  <c r="O69" i="70" s="1"/>
  <c r="N71" i="70" a="1"/>
  <c r="N71" i="70" s="1"/>
  <c r="M73" i="70" a="1"/>
  <c r="M73" i="70" s="1"/>
  <c r="L75" i="70" a="1"/>
  <c r="L75" i="70" s="1"/>
  <c r="J43" i="70" a="1"/>
  <c r="J43" i="70" s="1"/>
  <c r="L43" i="70" a="1"/>
  <c r="L43" i="70" s="1"/>
  <c r="J46" i="70" a="1"/>
  <c r="J46" i="70" s="1"/>
  <c r="P46" i="70" a="1"/>
  <c r="P46" i="70" s="1"/>
  <c r="L47" i="70" a="1"/>
  <c r="L47" i="70" s="1"/>
  <c r="N49" i="70" a="1"/>
  <c r="N49" i="70" s="1"/>
  <c r="K50" i="70" a="1"/>
  <c r="K50" i="70" s="1"/>
  <c r="Q50" i="70" a="1"/>
  <c r="Q50" i="70" s="1"/>
  <c r="O68" i="70" a="1"/>
  <c r="O68" i="70" s="1"/>
  <c r="N70" i="70" a="1"/>
  <c r="N70" i="70" s="1"/>
  <c r="M72" i="70" a="1"/>
  <c r="M72" i="70" s="1"/>
  <c r="L74" i="70" a="1"/>
  <c r="L74" i="70" s="1"/>
  <c r="N45" i="70" a="1"/>
  <c r="N45" i="70" s="1"/>
  <c r="N46" i="70" a="1"/>
  <c r="N46" i="70" s="1"/>
  <c r="Q48" i="70" a="1"/>
  <c r="Q48" i="70" s="1"/>
  <c r="P49" i="70" a="1"/>
  <c r="P49" i="70" s="1"/>
  <c r="K68" i="70" a="1"/>
  <c r="K68" i="70" s="1"/>
  <c r="K69" i="70" a="1"/>
  <c r="K69" i="70" s="1"/>
  <c r="J70" i="70" a="1"/>
  <c r="J70" i="70" s="1"/>
  <c r="J71" i="70" a="1"/>
  <c r="J71" i="70" s="1"/>
  <c r="N68" i="70" a="1"/>
  <c r="N68" i="70" s="1"/>
  <c r="M70" i="70" a="1"/>
  <c r="M70" i="70" s="1"/>
  <c r="L71" i="70" a="1"/>
  <c r="L71" i="70" s="1"/>
  <c r="K73" i="70" a="1"/>
  <c r="K73" i="70" s="1"/>
  <c r="N47" i="70" a="1"/>
  <c r="N47" i="70" s="1"/>
  <c r="K43" i="70" a="1"/>
  <c r="K43" i="70" s="1"/>
  <c r="Q43" i="70" a="1"/>
  <c r="Q43" i="70" s="1"/>
  <c r="P44" i="70" a="1"/>
  <c r="P44" i="70" s="1"/>
  <c r="O45" i="70" a="1"/>
  <c r="O45" i="70" s="1"/>
  <c r="M68" i="70" a="1"/>
  <c r="M68" i="70" s="1"/>
  <c r="L69" i="70" a="1"/>
  <c r="L69" i="70" s="1"/>
  <c r="L70" i="70" a="1"/>
  <c r="L70" i="70" s="1"/>
  <c r="K71" i="70" a="1"/>
  <c r="K71" i="70" s="1"/>
  <c r="K72" i="70" a="1"/>
  <c r="K72" i="70" s="1"/>
  <c r="J73" i="70" a="1"/>
  <c r="J73" i="70" s="1"/>
  <c r="J74" i="70" a="1"/>
  <c r="J74" i="70" s="1"/>
  <c r="J50" i="70" a="1"/>
  <c r="J50" i="70" s="1"/>
  <c r="M69" i="70" a="1"/>
  <c r="M69" i="70" s="1"/>
  <c r="L72" i="70" a="1"/>
  <c r="L72" i="70" s="1"/>
  <c r="K74" i="70" a="1"/>
  <c r="K74" i="70" s="1"/>
  <c r="J49" i="70" a="1"/>
  <c r="J49" i="70" s="1"/>
  <c r="J44" i="70" a="1"/>
  <c r="J44" i="70" s="1"/>
  <c r="O46" i="70" a="1"/>
  <c r="O46" i="70" s="1"/>
  <c r="M47" i="70" a="1"/>
  <c r="M47" i="70" s="1"/>
  <c r="J48" i="70" a="1"/>
  <c r="J48" i="70" s="1"/>
  <c r="J75" i="70" a="1"/>
  <c r="J75" i="70" s="1"/>
  <c r="K48" i="70" a="1"/>
  <c r="K48" i="70" s="1"/>
  <c r="P45" i="70" a="1"/>
  <c r="P45" i="70" s="1"/>
  <c r="Q47" i="70" a="1"/>
  <c r="Q47" i="70" s="1"/>
  <c r="M48" i="70" a="1"/>
  <c r="M48" i="70" s="1"/>
  <c r="M49" i="70" a="1"/>
  <c r="M49" i="70" s="1"/>
  <c r="M43" i="70" a="1"/>
  <c r="M43" i="70" s="1"/>
  <c r="M44" i="70" a="1"/>
  <c r="M44" i="70" s="1"/>
  <c r="J45" i="70" a="1"/>
  <c r="J45" i="70" s="1"/>
  <c r="M50" i="70" a="1"/>
  <c r="M50" i="70" s="1"/>
  <c r="Q68" i="70" a="1"/>
  <c r="Q68" i="70" s="1"/>
  <c r="Q69" i="70" a="1"/>
  <c r="Q69" i="70" s="1"/>
  <c r="P70" i="70" a="1"/>
  <c r="P70" i="70" s="1"/>
  <c r="P71" i="70" a="1"/>
  <c r="P71" i="70" s="1"/>
  <c r="O72" i="70" a="1"/>
  <c r="O72" i="70" s="1"/>
  <c r="O73" i="70" a="1"/>
  <c r="O73" i="70" s="1"/>
  <c r="N74" i="70" a="1"/>
  <c r="N74" i="70" s="1"/>
  <c r="N75" i="70" a="1"/>
  <c r="N75" i="70" s="1"/>
  <c r="O44" i="70" a="1"/>
  <c r="O44" i="70" s="1"/>
  <c r="Q46" i="70" a="1"/>
  <c r="Q46" i="70" s="1"/>
  <c r="O70" i="70" a="1"/>
  <c r="O70" i="70" s="1"/>
  <c r="N73" i="70" a="1"/>
  <c r="N73" i="70" s="1"/>
  <c r="P73" i="70" a="1"/>
  <c r="P73" i="70" s="1"/>
  <c r="M45" i="70" a="1"/>
  <c r="M45" i="70" s="1"/>
  <c r="Q71" i="70" a="1"/>
  <c r="Q71" i="70" s="1"/>
  <c r="Q73" i="70" a="1"/>
  <c r="Q73" i="70" s="1"/>
  <c r="L46" i="70" a="1"/>
  <c r="L46" i="70" s="1"/>
  <c r="J68" i="70" a="1"/>
  <c r="J68" i="70" s="1"/>
  <c r="P50" i="70" a="1"/>
  <c r="P50" i="70" s="1"/>
  <c r="M75" i="70" a="1"/>
  <c r="M75" i="70" s="1"/>
  <c r="J47" i="70" a="1"/>
  <c r="J47" i="70" s="1"/>
  <c r="J69" i="70" a="1"/>
  <c r="J69" i="70" s="1"/>
  <c r="P75" i="70" a="1"/>
  <c r="P75" i="70" s="1"/>
  <c r="N72" i="70" a="1"/>
  <c r="N72" i="70" s="1"/>
  <c r="L48" i="70" a="1"/>
  <c r="L48" i="70" s="1"/>
  <c r="Q74" i="70" a="1"/>
  <c r="Q74" i="70" s="1"/>
  <c r="P48" i="70" a="1"/>
  <c r="P48" i="70" s="1"/>
  <c r="P68" i="70" a="1"/>
  <c r="P68" i="70" s="1"/>
  <c r="O75" i="70" a="1"/>
  <c r="O75" i="70" s="1"/>
  <c r="L49" i="70" a="1"/>
  <c r="L49" i="70" s="1"/>
  <c r="K47" i="70" a="1"/>
  <c r="K47" i="70" s="1"/>
  <c r="O71" i="70" a="1"/>
  <c r="O71" i="70" s="1"/>
  <c r="P47" i="70" a="1"/>
  <c r="P47" i="70" s="1"/>
  <c r="O50" i="70" a="1"/>
  <c r="O50" i="70" s="1"/>
  <c r="N43" i="70" a="1"/>
  <c r="N43" i="70" s="1"/>
  <c r="O49" i="70" a="1"/>
  <c r="O49" i="70" s="1"/>
  <c r="P69" i="70" a="1"/>
  <c r="P69" i="70" s="1"/>
  <c r="P43" i="70" a="1"/>
  <c r="P43" i="70" s="1"/>
  <c r="M74" i="70" a="1"/>
  <c r="M74" i="70" s="1"/>
  <c r="K46" i="70" a="1"/>
  <c r="K46" i="70" s="1"/>
  <c r="P74" i="70" a="1"/>
  <c r="P74" i="70" s="1"/>
  <c r="L50" i="70" a="1"/>
  <c r="L50" i="70" s="1"/>
  <c r="N44" i="70" a="1"/>
  <c r="N44" i="70" s="1"/>
  <c r="Q72" i="70" a="1"/>
  <c r="Q72" i="70" s="1"/>
  <c r="AQ79" i="70"/>
  <c r="L20" i="70"/>
  <c r="J20" i="70"/>
  <c r="K20" i="70"/>
  <c r="M20" i="70"/>
  <c r="AQ35" i="70"/>
  <c r="AQ6" i="70" a="1"/>
  <c r="AQ6" i="70" s="1"/>
  <c r="AQ96" i="70"/>
  <c r="AX96" i="70" s="1"/>
  <c r="BF96" i="70" a="1"/>
  <c r="BF96" i="70" s="1"/>
  <c r="BG96" i="70" a="1"/>
  <c r="BG96" i="70" s="1"/>
  <c r="BG97" i="70" a="1"/>
  <c r="BG97" i="70" s="1"/>
  <c r="BF98" i="70" a="1"/>
  <c r="BF98" i="70" s="1"/>
  <c r="BF97" i="70" a="1"/>
  <c r="BF97" i="70" s="1"/>
  <c r="BE95" i="70"/>
  <c r="AS95" i="70"/>
  <c r="AZ95" i="70" s="1"/>
  <c r="AZ94" i="70" s="1"/>
  <c r="AT95" i="70"/>
  <c r="BA95" i="70" s="1"/>
  <c r="BA94" i="70" s="1"/>
  <c r="BD81" i="70" a="1"/>
  <c r="H7" i="70"/>
  <c r="H5" i="70"/>
  <c r="H6" i="70"/>
  <c r="C21" i="15"/>
  <c r="AP32" i="70" l="1"/>
  <c r="AT94" i="70"/>
  <c r="AS94" i="70"/>
  <c r="Y47" i="70"/>
  <c r="R68" i="70"/>
  <c r="R80" i="70" s="1"/>
  <c r="O80" i="70" s="1"/>
  <c r="M66" i="70"/>
  <c r="R72" i="70"/>
  <c r="R84" i="70" s="1"/>
  <c r="Q84" i="70" s="1"/>
  <c r="L66" i="70"/>
  <c r="R74" i="70"/>
  <c r="R86" i="70" s="1"/>
  <c r="K86" i="70" s="1"/>
  <c r="R73" i="70"/>
  <c r="R85" i="70" s="1"/>
  <c r="R75" i="70"/>
  <c r="R87" i="70" s="1"/>
  <c r="K66" i="70"/>
  <c r="Y42" i="70"/>
  <c r="R71" i="70"/>
  <c r="R83" i="70" s="1"/>
  <c r="R70" i="70"/>
  <c r="R82" i="70" s="1"/>
  <c r="O82" i="70" s="1"/>
  <c r="R69" i="70"/>
  <c r="R81" i="70" s="1"/>
  <c r="R41" i="70"/>
  <c r="R49" i="70"/>
  <c r="R61" i="70" s="1"/>
  <c r="K61" i="70" s="1"/>
  <c r="R47" i="70"/>
  <c r="R59" i="70" s="1"/>
  <c r="P59" i="70" s="1"/>
  <c r="R46" i="70"/>
  <c r="R58" i="70" s="1"/>
  <c r="O58" i="70" s="1"/>
  <c r="N20" i="70"/>
  <c r="M25" i="70"/>
  <c r="L25" i="70"/>
  <c r="N66" i="70" s="1"/>
  <c r="R45" i="70"/>
  <c r="R57" i="70" s="1"/>
  <c r="M57" i="70" s="1"/>
  <c r="R50" i="70"/>
  <c r="R62" i="70" s="1"/>
  <c r="P62" i="70" s="1"/>
  <c r="R43" i="70"/>
  <c r="R55" i="70" s="1"/>
  <c r="N55" i="70" s="1"/>
  <c r="R42" i="70"/>
  <c r="W15" i="70"/>
  <c r="AB35" i="70"/>
  <c r="X35" i="70" s="1"/>
  <c r="AB42" i="70"/>
  <c r="Y19" i="70"/>
  <c r="R48" i="70"/>
  <c r="R60" i="70" s="1"/>
  <c r="O60" i="70" s="1"/>
  <c r="R44" i="70"/>
  <c r="R56" i="70" s="1"/>
  <c r="O56" i="70" s="1"/>
  <c r="AB47" i="70"/>
  <c r="Y22" i="70"/>
  <c r="AP62" i="70"/>
  <c r="AQ62" i="70"/>
  <c r="AR95" i="70"/>
  <c r="BE96" i="70" a="1"/>
  <c r="BE96" i="70" s="1"/>
  <c r="BE98" i="70" a="1"/>
  <c r="BE98" i="70" s="1"/>
  <c r="BE97" i="70" a="1"/>
  <c r="BE97" i="70" s="1"/>
  <c r="BD81" i="70"/>
  <c r="BE80" i="70" s="1" a="1"/>
  <c r="AQ82" i="70"/>
  <c r="AQ88" i="70"/>
  <c r="AQ83" i="70"/>
  <c r="AQ86" i="70"/>
  <c r="AQ84" i="70"/>
  <c r="AQ85" i="70"/>
  <c r="AQ87" i="70"/>
  <c r="AQ89" i="70"/>
  <c r="AQ37" i="70"/>
  <c r="AQ49" i="70"/>
  <c r="AQ61" i="70"/>
  <c r="AQ40" i="70"/>
  <c r="AQ41" i="70"/>
  <c r="AQ42" i="70"/>
  <c r="AQ43" i="70"/>
  <c r="AQ56" i="70"/>
  <c r="AQ58" i="70"/>
  <c r="AQ59" i="70"/>
  <c r="AQ48" i="70"/>
  <c r="AQ38" i="70"/>
  <c r="AQ50" i="70"/>
  <c r="AQ52" i="70"/>
  <c r="AQ53" i="70"/>
  <c r="AQ54" i="70"/>
  <c r="AQ57" i="70"/>
  <c r="AQ60" i="70"/>
  <c r="AQ39" i="70"/>
  <c r="AQ51" i="70"/>
  <c r="AQ55" i="70"/>
  <c r="AQ45" i="70"/>
  <c r="AQ46" i="70"/>
  <c r="AQ47" i="70"/>
  <c r="AQ44" i="70"/>
  <c r="D9" i="27"/>
  <c r="D12" i="27"/>
  <c r="BG97" i="69"/>
  <c r="Z37" i="23"/>
  <c r="F37" i="23"/>
  <c r="AY95" i="70" l="1"/>
  <c r="AY94" i="70" s="1"/>
  <c r="AR94" i="70"/>
  <c r="N82" i="70"/>
  <c r="Q82" i="70"/>
  <c r="Q83" i="70" s="1"/>
  <c r="K82" i="70"/>
  <c r="K83" i="70" s="1"/>
  <c r="P82" i="70"/>
  <c r="P83" i="70" s="1"/>
  <c r="P66" i="70"/>
  <c r="N80" i="70"/>
  <c r="N81" i="70" s="1"/>
  <c r="J80" i="70"/>
  <c r="J81" i="70" s="1"/>
  <c r="O66" i="70"/>
  <c r="M80" i="70"/>
  <c r="M81" i="70" s="1"/>
  <c r="L80" i="70"/>
  <c r="L81" i="70" s="1"/>
  <c r="K80" i="70"/>
  <c r="K81" i="70" s="1"/>
  <c r="Q80" i="70"/>
  <c r="Q81" i="70" s="1"/>
  <c r="P80" i="70"/>
  <c r="P81" i="70" s="1"/>
  <c r="J59" i="70"/>
  <c r="AC47" i="70"/>
  <c r="K87" i="70"/>
  <c r="L62" i="70"/>
  <c r="Q55" i="70"/>
  <c r="O83" i="70"/>
  <c r="N83" i="70"/>
  <c r="J55" i="70"/>
  <c r="L57" i="70"/>
  <c r="N57" i="70"/>
  <c r="N59" i="70"/>
  <c r="M61" i="70"/>
  <c r="J56" i="70"/>
  <c r="N86" i="70"/>
  <c r="N87" i="70" s="1"/>
  <c r="J58" i="70"/>
  <c r="O55" i="70"/>
  <c r="K58" i="70"/>
  <c r="L82" i="70"/>
  <c r="L83" i="70" s="1"/>
  <c r="J57" i="70"/>
  <c r="K62" i="70"/>
  <c r="N56" i="70"/>
  <c r="L55" i="70"/>
  <c r="N58" i="70"/>
  <c r="P55" i="70"/>
  <c r="Q86" i="70"/>
  <c r="Q87" i="70" s="1"/>
  <c r="L58" i="70"/>
  <c r="M58" i="70"/>
  <c r="M62" i="70"/>
  <c r="M86" i="70"/>
  <c r="M87" i="70" s="1"/>
  <c r="M56" i="70"/>
  <c r="L86" i="70"/>
  <c r="L87" i="70" s="1"/>
  <c r="Q58" i="70"/>
  <c r="Q62" i="70"/>
  <c r="P61" i="70"/>
  <c r="O61" i="70"/>
  <c r="P86" i="70"/>
  <c r="P87" i="70" s="1"/>
  <c r="K84" i="70"/>
  <c r="K85" i="70" s="1"/>
  <c r="O81" i="70"/>
  <c r="N62" i="70"/>
  <c r="Q59" i="70"/>
  <c r="L59" i="70"/>
  <c r="J82" i="70"/>
  <c r="J83" i="70" s="1"/>
  <c r="J86" i="70"/>
  <c r="J87" i="70" s="1"/>
  <c r="O57" i="70"/>
  <c r="R79" i="70"/>
  <c r="Q61" i="70"/>
  <c r="O86" i="70"/>
  <c r="O87" i="70" s="1"/>
  <c r="N84" i="70"/>
  <c r="N85" i="70" s="1"/>
  <c r="O62" i="70"/>
  <c r="M59" i="70"/>
  <c r="Q85" i="70"/>
  <c r="J84" i="70"/>
  <c r="J85" i="70" s="1"/>
  <c r="Q66" i="70"/>
  <c r="K60" i="70"/>
  <c r="M84" i="70"/>
  <c r="M85" i="70" s="1"/>
  <c r="L60" i="70"/>
  <c r="Q60" i="70"/>
  <c r="M60" i="70"/>
  <c r="K57" i="70"/>
  <c r="K59" i="70"/>
  <c r="P58" i="70"/>
  <c r="L84" i="70"/>
  <c r="L85" i="70" s="1"/>
  <c r="N60" i="70"/>
  <c r="P56" i="70"/>
  <c r="L56" i="70"/>
  <c r="P60" i="70"/>
  <c r="P57" i="70"/>
  <c r="M55" i="70"/>
  <c r="M82" i="70"/>
  <c r="M83" i="70" s="1"/>
  <c r="P84" i="70"/>
  <c r="P85" i="70" s="1"/>
  <c r="J61" i="70"/>
  <c r="N61" i="70"/>
  <c r="K56" i="70"/>
  <c r="Q56" i="70"/>
  <c r="K55" i="70"/>
  <c r="L61" i="70"/>
  <c r="AC42" i="70"/>
  <c r="F9" i="27" s="1"/>
  <c r="J62" i="70"/>
  <c r="O84" i="70"/>
  <c r="O85" i="70" s="1"/>
  <c r="O59" i="70"/>
  <c r="Q57" i="70"/>
  <c r="J60" i="70"/>
  <c r="W20" i="70"/>
  <c r="X14" i="70"/>
  <c r="W17" i="70"/>
  <c r="AA37" i="70"/>
  <c r="AB36" i="70" s="1"/>
  <c r="W40" i="70"/>
  <c r="AA40" i="70" s="1"/>
  <c r="W37" i="70"/>
  <c r="W45" i="70"/>
  <c r="AA45" i="70" s="1"/>
  <c r="AP97" i="70"/>
  <c r="AR97" i="70" s="1"/>
  <c r="AP98" i="70"/>
  <c r="AR98" i="70" s="1"/>
  <c r="AP96" i="70"/>
  <c r="AR96" i="70" s="1"/>
  <c r="BL81" i="70" a="1"/>
  <c r="BL81" i="70" s="1"/>
  <c r="AQ81" i="70"/>
  <c r="BK87" i="70" a="1"/>
  <c r="BK87" i="70" s="1"/>
  <c r="AS80" i="70"/>
  <c r="AX80" i="70"/>
  <c r="AY80" i="70"/>
  <c r="AT80" i="70"/>
  <c r="AW80" i="70"/>
  <c r="AU80" i="70"/>
  <c r="AV80" i="70"/>
  <c r="AZ80" i="70"/>
  <c r="BG86" i="70" a="1"/>
  <c r="BG86" i="70" s="1"/>
  <c r="BK82" i="70" a="1"/>
  <c r="BK82" i="70" s="1"/>
  <c r="BF85" i="70" a="1"/>
  <c r="BF85" i="70" s="1"/>
  <c r="BM88" i="70" a="1"/>
  <c r="BM88" i="70" s="1"/>
  <c r="BH83" i="70" a="1"/>
  <c r="BH83" i="70" s="1"/>
  <c r="BL87" i="70" a="1"/>
  <c r="BL87" i="70" s="1"/>
  <c r="AR5" i="70" a="1"/>
  <c r="BA35" i="70" s="1"/>
  <c r="BI85" i="70" a="1"/>
  <c r="BI85" i="70" s="1"/>
  <c r="BL89" i="70" a="1"/>
  <c r="BL89" i="70" s="1"/>
  <c r="BI82" i="70" a="1"/>
  <c r="BI82" i="70" s="1"/>
  <c r="BH82" i="70" a="1"/>
  <c r="BH82" i="70" s="1"/>
  <c r="BM86" i="70" a="1"/>
  <c r="BM86" i="70" s="1"/>
  <c r="BK84" i="70" a="1"/>
  <c r="BK84" i="70" s="1"/>
  <c r="BF82" i="70" a="1"/>
  <c r="BF82" i="70" s="1"/>
  <c r="BM85" i="70" a="1"/>
  <c r="BM85" i="70" s="1"/>
  <c r="BI84" i="70" a="1"/>
  <c r="BI84" i="70" s="1"/>
  <c r="BH86" i="70" a="1"/>
  <c r="BH86" i="70" s="1"/>
  <c r="BF83" i="70" a="1"/>
  <c r="BF83" i="70" s="1"/>
  <c r="BL82" i="70" a="1"/>
  <c r="BL82" i="70" s="1"/>
  <c r="BF88" i="70" a="1"/>
  <c r="BF88" i="70" s="1"/>
  <c r="BJ87" i="70" a="1"/>
  <c r="BJ87" i="70" s="1"/>
  <c r="BG87" i="70" a="1"/>
  <c r="BG87" i="70" s="1"/>
  <c r="BG82" i="70" a="1"/>
  <c r="BG82" i="70" s="1"/>
  <c r="BL83" i="70" a="1"/>
  <c r="BL83" i="70" s="1"/>
  <c r="BH85" i="70" a="1"/>
  <c r="BH85" i="70" s="1"/>
  <c r="BK88" i="70" a="1"/>
  <c r="BK88" i="70" s="1"/>
  <c r="BJ84" i="70" a="1"/>
  <c r="BJ84" i="70" s="1"/>
  <c r="BG89" i="70" a="1"/>
  <c r="BG89" i="70" s="1"/>
  <c r="BI87" i="70" a="1"/>
  <c r="BI87" i="70" s="1"/>
  <c r="BH88" i="70" a="1"/>
  <c r="BH88" i="70" s="1"/>
  <c r="BJ86" i="70" a="1"/>
  <c r="BJ86" i="70" s="1"/>
  <c r="BF84" i="70" a="1"/>
  <c r="BF84" i="70" s="1"/>
  <c r="BL86" i="70" a="1"/>
  <c r="BL86" i="70" s="1"/>
  <c r="BI89" i="70" a="1"/>
  <c r="BI89" i="70" s="1"/>
  <c r="BE80" i="70"/>
  <c r="BK86" i="70" a="1"/>
  <c r="BK86" i="70" s="1"/>
  <c r="BI83" i="70" a="1"/>
  <c r="BI83" i="70" s="1"/>
  <c r="BL85" i="70" a="1"/>
  <c r="BL85" i="70" s="1"/>
  <c r="BJ89" i="70" a="1"/>
  <c r="BJ89" i="70" s="1"/>
  <c r="BM82" i="70" a="1"/>
  <c r="BM82" i="70" s="1"/>
  <c r="BI86" i="70" a="1"/>
  <c r="BI86" i="70" s="1"/>
  <c r="BH87" i="70" a="1"/>
  <c r="BH87" i="70" s="1"/>
  <c r="BL84" i="70" a="1"/>
  <c r="BL84" i="70" s="1"/>
  <c r="BF89" i="70" a="1"/>
  <c r="BF89" i="70" s="1"/>
  <c r="BK83" i="70" a="1"/>
  <c r="BK83" i="70" s="1"/>
  <c r="BJ83" i="70" a="1"/>
  <c r="BJ83" i="70" s="1"/>
  <c r="BI88" i="70" a="1"/>
  <c r="BI88" i="70" s="1"/>
  <c r="BF86" i="70" a="1"/>
  <c r="BF86" i="70" s="1"/>
  <c r="BJ82" i="70" a="1"/>
  <c r="BJ82" i="70" s="1"/>
  <c r="BK85" i="70" a="1"/>
  <c r="BK85" i="70" s="1"/>
  <c r="BG84" i="70" a="1"/>
  <c r="BG84" i="70" s="1"/>
  <c r="BG83" i="70" a="1"/>
  <c r="BG83" i="70" s="1"/>
  <c r="BH89" i="70" a="1"/>
  <c r="BH89" i="70" s="1"/>
  <c r="BL88" i="70" a="1"/>
  <c r="BL88" i="70" s="1"/>
  <c r="BJ88" i="70" a="1"/>
  <c r="BJ88" i="70" s="1"/>
  <c r="BK89" i="70" a="1"/>
  <c r="BK89" i="70" s="1"/>
  <c r="BJ85" i="70" a="1"/>
  <c r="BJ85" i="70" s="1"/>
  <c r="BM87" i="70" a="1"/>
  <c r="BM87" i="70" s="1"/>
  <c r="BF87" i="70" a="1"/>
  <c r="BF87" i="70" s="1"/>
  <c r="BM83" i="70" a="1"/>
  <c r="BM83" i="70" s="1"/>
  <c r="BM89" i="70" a="1"/>
  <c r="BM89" i="70" s="1"/>
  <c r="BM84" i="70" a="1"/>
  <c r="BM84" i="70" s="1"/>
  <c r="BG88" i="70" a="1"/>
  <c r="BG88" i="70" s="1"/>
  <c r="BH84" i="70" a="1"/>
  <c r="BH84" i="70" s="1"/>
  <c r="BG85" i="70" a="1"/>
  <c r="BG85" i="70" s="1"/>
  <c r="BM81" i="70" a="1"/>
  <c r="BM81" i="70" s="1"/>
  <c r="BI81" i="70" a="1"/>
  <c r="BI81" i="70" s="1"/>
  <c r="BG81" i="70" a="1"/>
  <c r="BG81" i="70" s="1"/>
  <c r="BH81" i="70" a="1"/>
  <c r="BH81" i="70" s="1"/>
  <c r="BJ81" i="70" a="1"/>
  <c r="BJ81" i="70" s="1"/>
  <c r="BK81" i="70" a="1"/>
  <c r="BK81" i="70" s="1"/>
  <c r="BF81" i="70" a="1"/>
  <c r="BF81" i="70" s="1"/>
  <c r="AQ36" i="70"/>
  <c r="E12" i="27"/>
  <c r="C12" i="27"/>
  <c r="E9" i="27"/>
  <c r="G12" i="27"/>
  <c r="G9" i="27"/>
  <c r="G4" i="27"/>
  <c r="D4" i="27"/>
  <c r="DN1292" i="13"/>
  <c r="DO1292" i="13"/>
  <c r="DP1292" i="13"/>
  <c r="DQ1292" i="13"/>
  <c r="DR1292" i="13"/>
  <c r="DS1292" i="13"/>
  <c r="DT1292" i="13"/>
  <c r="DU1292" i="13"/>
  <c r="DV1292" i="13"/>
  <c r="DW1292" i="13"/>
  <c r="DX1292" i="13"/>
  <c r="DY1292" i="13"/>
  <c r="DZ1292" i="13"/>
  <c r="EA1292" i="13"/>
  <c r="EB1292" i="13"/>
  <c r="EC1292" i="13"/>
  <c r="ED1292" i="13"/>
  <c r="EE1292" i="13"/>
  <c r="R66" i="70" l="1"/>
  <c r="W11" i="70" a="1"/>
  <c r="W30" i="70" a="1"/>
  <c r="X36" i="70"/>
  <c r="D5" i="27" s="1"/>
  <c r="AY96" i="70"/>
  <c r="AY98" i="70"/>
  <c r="AY97" i="70"/>
  <c r="BE6" i="70" a="1"/>
  <c r="BE6" i="70" s="1"/>
  <c r="BF16" i="70" a="1"/>
  <c r="BF16" i="70" s="1"/>
  <c r="BC8" i="70" a="1"/>
  <c r="BC8" i="70" s="1"/>
  <c r="AS21" i="70" a="1"/>
  <c r="AS21" i="70" s="1"/>
  <c r="BK22" i="70" a="1"/>
  <c r="BK22" i="70" s="1"/>
  <c r="BP29" i="70" a="1"/>
  <c r="BP29" i="70" s="1"/>
  <c r="AZ25" i="70" a="1"/>
  <c r="AZ25" i="70" s="1"/>
  <c r="BD26" i="70" a="1"/>
  <c r="BD26" i="70" s="1"/>
  <c r="AS28" i="70" a="1"/>
  <c r="AS28" i="70" s="1"/>
  <c r="BK21" i="70" a="1"/>
  <c r="BK21" i="70" s="1"/>
  <c r="AW27" i="70" a="1"/>
  <c r="AW27" i="70" s="1"/>
  <c r="BP10" i="70" a="1"/>
  <c r="BP10" i="70" s="1"/>
  <c r="BM23" i="70" a="1"/>
  <c r="BM23" i="70" s="1"/>
  <c r="BJ27" i="70" a="1"/>
  <c r="BJ27" i="70" s="1"/>
  <c r="BA10" i="70" a="1"/>
  <c r="BA10" i="70" s="1"/>
  <c r="AU16" i="70" a="1"/>
  <c r="AU16" i="70" s="1"/>
  <c r="BH11" i="70" a="1"/>
  <c r="BH11" i="70" s="1"/>
  <c r="BA24" i="70" a="1"/>
  <c r="BA24" i="70" s="1"/>
  <c r="BJ6" i="70" a="1"/>
  <c r="BJ6" i="70" s="1"/>
  <c r="BG12" i="70" a="1"/>
  <c r="BG12" i="70" s="1"/>
  <c r="BL6" i="70" a="1"/>
  <c r="BL6" i="70" s="1"/>
  <c r="BE13" i="70" a="1"/>
  <c r="BE13" i="70" s="1"/>
  <c r="BI6" i="70" a="1"/>
  <c r="BI6" i="70" s="1"/>
  <c r="BO18" i="70" a="1"/>
  <c r="BO18" i="70" s="1"/>
  <c r="AZ14" i="70" a="1"/>
  <c r="AZ14" i="70" s="1"/>
  <c r="BK17" i="70" a="1"/>
  <c r="BK17" i="70" s="1"/>
  <c r="BC14" i="70" a="1"/>
  <c r="BC14" i="70" s="1"/>
  <c r="BN28" i="70" a="1"/>
  <c r="BN28" i="70" s="1"/>
  <c r="BB23" i="70" a="1"/>
  <c r="BB23" i="70" s="1"/>
  <c r="AU6" i="70" a="1"/>
  <c r="AU6" i="70" s="1"/>
  <c r="BO26" i="70" a="1"/>
  <c r="BO26" i="70" s="1"/>
  <c r="BN31" i="70" a="1"/>
  <c r="BN31" i="70" s="1"/>
  <c r="BD24" i="70" a="1"/>
  <c r="BD24" i="70" s="1"/>
  <c r="BN27" i="70" a="1"/>
  <c r="BN27" i="70" s="1"/>
  <c r="BN10" i="70" a="1"/>
  <c r="BN10" i="70" s="1"/>
  <c r="BQ17" i="70" a="1"/>
  <c r="BQ17" i="70" s="1"/>
  <c r="BB28" i="70" a="1"/>
  <c r="BB28" i="70" s="1"/>
  <c r="BJ20" i="70" a="1"/>
  <c r="BJ20" i="70" s="1"/>
  <c r="AW11" i="70" a="1"/>
  <c r="AW11" i="70" s="1"/>
  <c r="BJ21" i="70" a="1"/>
  <c r="BJ21" i="70" s="1"/>
  <c r="BI27" i="70" a="1"/>
  <c r="BI27" i="70" s="1"/>
  <c r="AS10" i="70" a="1"/>
  <c r="AS10" i="70" s="1"/>
  <c r="AR5" i="70"/>
  <c r="AR35" i="70" s="1"/>
  <c r="AW10" i="70" a="1"/>
  <c r="AW10" i="70" s="1"/>
  <c r="BF15" i="70" a="1"/>
  <c r="BF15" i="70" s="1"/>
  <c r="AY29" i="70" a="1"/>
  <c r="AY29" i="70" s="1"/>
  <c r="AV16" i="70" a="1"/>
  <c r="AV16" i="70" s="1"/>
  <c r="BI25" i="70" a="1"/>
  <c r="BI25" i="70" s="1"/>
  <c r="BM15" i="70" a="1"/>
  <c r="BM15" i="70" s="1"/>
  <c r="BB6" i="70" a="1"/>
  <c r="BB6" i="70" s="1"/>
  <c r="BF31" i="70" a="1"/>
  <c r="BF31" i="70" s="1"/>
  <c r="AU19" i="70" a="1"/>
  <c r="AU19" i="70" s="1"/>
  <c r="BN19" i="70" a="1"/>
  <c r="BN19" i="70" s="1"/>
  <c r="BK20" i="70" a="1"/>
  <c r="BK20" i="70" s="1"/>
  <c r="AS17" i="70" a="1"/>
  <c r="AS17" i="70" s="1"/>
  <c r="BQ7" i="70" a="1"/>
  <c r="BQ7" i="70" s="1"/>
  <c r="AY16" i="70" a="1"/>
  <c r="AY16" i="70" s="1"/>
  <c r="BM6" i="70" a="1"/>
  <c r="BM6" i="70" s="1"/>
  <c r="AV13" i="70" a="1"/>
  <c r="AV13" i="70" s="1"/>
  <c r="AX10" i="70" a="1"/>
  <c r="AX10" i="70" s="1"/>
  <c r="BF6" i="70" a="1"/>
  <c r="BF6" i="70" s="1"/>
  <c r="AZ19" i="70" a="1"/>
  <c r="AZ19" i="70" s="1"/>
  <c r="AT28" i="70" a="1"/>
  <c r="AT28" i="70" s="1"/>
  <c r="BE28" i="70" a="1"/>
  <c r="BE28" i="70" s="1"/>
  <c r="AS6" i="70" a="1"/>
  <c r="AS6" i="70" s="1"/>
  <c r="BC20" i="70" a="1"/>
  <c r="BC20" i="70" s="1"/>
  <c r="BH18" i="70" a="1"/>
  <c r="BH18" i="70" s="1"/>
  <c r="AX9" i="70" a="1"/>
  <c r="AX9" i="70" s="1"/>
  <c r="BA13" i="70" a="1"/>
  <c r="BA13" i="70" s="1"/>
  <c r="BI21" i="70" a="1"/>
  <c r="BI21" i="70" s="1"/>
  <c r="BQ8" i="70" a="1"/>
  <c r="BQ8" i="70" s="1"/>
  <c r="AY28" i="70" a="1"/>
  <c r="AY28" i="70" s="1"/>
  <c r="BO21" i="70" a="1"/>
  <c r="BO21" i="70" s="1"/>
  <c r="BL21" i="70" a="1"/>
  <c r="BL21" i="70" s="1"/>
  <c r="BG14" i="70" a="1"/>
  <c r="BG14" i="70" s="1"/>
  <c r="AT25" i="70" a="1"/>
  <c r="AT25" i="70" s="1"/>
  <c r="BF13" i="70" a="1"/>
  <c r="BF13" i="70" s="1"/>
  <c r="AU24" i="70" a="1"/>
  <c r="AU24" i="70" s="1"/>
  <c r="BK13" i="70" a="1"/>
  <c r="BK13" i="70" s="1"/>
  <c r="BF23" i="70" a="1"/>
  <c r="BF23" i="70" s="1"/>
  <c r="AY24" i="70" a="1"/>
  <c r="AY24" i="70" s="1"/>
  <c r="BD27" i="70" a="1"/>
  <c r="BD27" i="70" s="1"/>
  <c r="AY8" i="70" a="1"/>
  <c r="AY8" i="70" s="1"/>
  <c r="BE19" i="70" a="1"/>
  <c r="BE19" i="70" s="1"/>
  <c r="BM21" i="70" a="1"/>
  <c r="BM21" i="70" s="1"/>
  <c r="BD7" i="70" a="1"/>
  <c r="BD7" i="70" s="1"/>
  <c r="BL30" i="70" a="1"/>
  <c r="BL30" i="70" s="1"/>
  <c r="AY11" i="70" a="1"/>
  <c r="AY11" i="70" s="1"/>
  <c r="BJ23" i="70" a="1"/>
  <c r="BJ23" i="70" s="1"/>
  <c r="AV29" i="70" a="1"/>
  <c r="AV29" i="70" s="1"/>
  <c r="BF22" i="70" a="1"/>
  <c r="BF22" i="70" s="1"/>
  <c r="BG8" i="70" a="1"/>
  <c r="BG8" i="70" s="1"/>
  <c r="BO17" i="70" a="1"/>
  <c r="BO17" i="70" s="1"/>
  <c r="BP31" i="70" a="1"/>
  <c r="BP31" i="70" s="1"/>
  <c r="BP28" i="70" a="1"/>
  <c r="BP28" i="70" s="1"/>
  <c r="AT19" i="70" a="1"/>
  <c r="AT19" i="70" s="1"/>
  <c r="BA31" i="70" a="1"/>
  <c r="BA31" i="70" s="1"/>
  <c r="BG20" i="70" a="1"/>
  <c r="BG20" i="70" s="1"/>
  <c r="BO22" i="70" a="1"/>
  <c r="BO22" i="70" s="1"/>
  <c r="BK14" i="70" a="1"/>
  <c r="BK14" i="70" s="1"/>
  <c r="AT14" i="70" a="1"/>
  <c r="AT14" i="70" s="1"/>
  <c r="BM7" i="70" a="1"/>
  <c r="BM7" i="70" s="1"/>
  <c r="BQ14" i="70" a="1"/>
  <c r="BQ14" i="70" s="1"/>
  <c r="BJ17" i="70" a="1"/>
  <c r="BJ17" i="70" s="1"/>
  <c r="BK9" i="70" a="1"/>
  <c r="BK9" i="70" s="1"/>
  <c r="AV9" i="70" a="1"/>
  <c r="AV9" i="70" s="1"/>
  <c r="BD29" i="70" a="1"/>
  <c r="BD29" i="70" s="1"/>
  <c r="BH29" i="70" a="1"/>
  <c r="BH29" i="70" s="1"/>
  <c r="BP18" i="70" a="1"/>
  <c r="BP18" i="70" s="1"/>
  <c r="AV24" i="70" a="1"/>
  <c r="AV24" i="70" s="1"/>
  <c r="AZ13" i="70" a="1"/>
  <c r="AZ13" i="70" s="1"/>
  <c r="AW7" i="70" a="1"/>
  <c r="AW7" i="70" s="1"/>
  <c r="BO27" i="70" a="1"/>
  <c r="BO27" i="70" s="1"/>
  <c r="AY18" i="70" a="1"/>
  <c r="AY18" i="70" s="1"/>
  <c r="AY27" i="70" a="1"/>
  <c r="AY27" i="70" s="1"/>
  <c r="BB13" i="70" a="1"/>
  <c r="BB13" i="70" s="1"/>
  <c r="BJ16" i="70" a="1"/>
  <c r="BJ16" i="70" s="1"/>
  <c r="BQ29" i="70" a="1"/>
  <c r="BQ29" i="70" s="1"/>
  <c r="BM27" i="70" a="1"/>
  <c r="BM27" i="70" s="1"/>
  <c r="BK19" i="70" a="1"/>
  <c r="BK19" i="70" s="1"/>
  <c r="AU14" i="70" a="1"/>
  <c r="AU14" i="70" s="1"/>
  <c r="BK7" i="70" a="1"/>
  <c r="BK7" i="70" s="1"/>
  <c r="BC27" i="70" a="1"/>
  <c r="BC27" i="70" s="1"/>
  <c r="BH7" i="70" a="1"/>
  <c r="BH7" i="70" s="1"/>
  <c r="BF30" i="70" a="1"/>
  <c r="BF30" i="70" s="1"/>
  <c r="AT22" i="70" a="1"/>
  <c r="AT22" i="70" s="1"/>
  <c r="AX16" i="70" a="1"/>
  <c r="AX16" i="70" s="1"/>
  <c r="BE20" i="70" a="1"/>
  <c r="BE20" i="70" s="1"/>
  <c r="AT8" i="70" a="1"/>
  <c r="AT8" i="70" s="1"/>
  <c r="BB16" i="70" a="1"/>
  <c r="BB16" i="70" s="1"/>
  <c r="BP8" i="70" a="1"/>
  <c r="BP8" i="70" s="1"/>
  <c r="BO13" i="70" a="1"/>
  <c r="BO13" i="70" s="1"/>
  <c r="BJ7" i="70" a="1"/>
  <c r="BJ7" i="70" s="1"/>
  <c r="BA27" i="70" a="1"/>
  <c r="BA27" i="70" s="1"/>
  <c r="AV20" i="70" a="1"/>
  <c r="AV20" i="70" s="1"/>
  <c r="BB26" i="70" a="1"/>
  <c r="BB26" i="70" s="1"/>
  <c r="AZ10" i="70" a="1"/>
  <c r="AZ10" i="70" s="1"/>
  <c r="AX12" i="70" a="1"/>
  <c r="AX12" i="70" s="1"/>
  <c r="BF18" i="70" a="1"/>
  <c r="BF18" i="70" s="1"/>
  <c r="BL11" i="70" a="1"/>
  <c r="BL11" i="70" s="1"/>
  <c r="AZ30" i="70" a="1"/>
  <c r="AZ30" i="70" s="1"/>
  <c r="AX25" i="70" a="1"/>
  <c r="AX25" i="70" s="1"/>
  <c r="BQ13" i="70" a="1"/>
  <c r="BQ13" i="70" s="1"/>
  <c r="BM16" i="70" a="1"/>
  <c r="BM16" i="70" s="1"/>
  <c r="BM17" i="70" a="1"/>
  <c r="BM17" i="70" s="1"/>
  <c r="BA26" i="70" a="1"/>
  <c r="BA26" i="70" s="1"/>
  <c r="AY30" i="70" a="1"/>
  <c r="AY30" i="70" s="1"/>
  <c r="BM12" i="70" a="1"/>
  <c r="BM12" i="70" s="1"/>
  <c r="AW18" i="70" a="1"/>
  <c r="AW18" i="70" s="1"/>
  <c r="AT17" i="70" a="1"/>
  <c r="AT17" i="70" s="1"/>
  <c r="AW19" i="70" a="1"/>
  <c r="AW19" i="70" s="1"/>
  <c r="BC12" i="70" a="1"/>
  <c r="BC12" i="70" s="1"/>
  <c r="BM31" i="70" a="1"/>
  <c r="BM31" i="70" s="1"/>
  <c r="BE16" i="70" a="1"/>
  <c r="BE16" i="70" s="1"/>
  <c r="BC21" i="70" a="1"/>
  <c r="BC21" i="70" s="1"/>
  <c r="BL28" i="70" a="1"/>
  <c r="BL28" i="70" s="1"/>
  <c r="BD10" i="70" a="1"/>
  <c r="BD10" i="70" s="1"/>
  <c r="BD35" i="70"/>
  <c r="BI17" i="70" a="1"/>
  <c r="BI17" i="70" s="1"/>
  <c r="BJ35" i="70"/>
  <c r="BJ30" i="70" a="1"/>
  <c r="BJ30" i="70" s="1"/>
  <c r="BF20" i="70" a="1"/>
  <c r="BF20" i="70" s="1"/>
  <c r="AT11" i="70" a="1"/>
  <c r="AT11" i="70" s="1"/>
  <c r="BO7" i="70" a="1"/>
  <c r="BO7" i="70" s="1"/>
  <c r="BF19" i="70" a="1"/>
  <c r="BF19" i="70" s="1"/>
  <c r="BI24" i="70" a="1"/>
  <c r="BI24" i="70" s="1"/>
  <c r="AU7" i="70" a="1"/>
  <c r="AU7" i="70" s="1"/>
  <c r="AX24" i="70" a="1"/>
  <c r="AX24" i="70" s="1"/>
  <c r="BA11" i="70" a="1"/>
  <c r="BA11" i="70" s="1"/>
  <c r="BK6" i="70" a="1"/>
  <c r="BK6" i="70" s="1"/>
  <c r="BH6" i="70" a="1"/>
  <c r="BH6" i="70" s="1"/>
  <c r="BH22" i="70" a="1"/>
  <c r="BH22" i="70" s="1"/>
  <c r="BG7" i="70" a="1"/>
  <c r="BG7" i="70" s="1"/>
  <c r="AV25" i="70" a="1"/>
  <c r="AV25" i="70" s="1"/>
  <c r="BQ15" i="70" a="1"/>
  <c r="BQ15" i="70" s="1"/>
  <c r="BO14" i="70" a="1"/>
  <c r="BO14" i="70" s="1"/>
  <c r="BH19" i="70" a="1"/>
  <c r="BH19" i="70" s="1"/>
  <c r="BG31" i="70" a="1"/>
  <c r="BG31" i="70" s="1"/>
  <c r="BC23" i="70" a="1"/>
  <c r="BC23" i="70" s="1"/>
  <c r="BD23" i="70" a="1"/>
  <c r="BD23" i="70" s="1"/>
  <c r="BH10" i="70" a="1"/>
  <c r="BH10" i="70" s="1"/>
  <c r="BI26" i="70" a="1"/>
  <c r="BI26" i="70" s="1"/>
  <c r="AU8" i="70" a="1"/>
  <c r="AU8" i="70" s="1"/>
  <c r="AY13" i="70" a="1"/>
  <c r="AY13" i="70" s="1"/>
  <c r="BN26" i="70" a="1"/>
  <c r="BN26" i="70" s="1"/>
  <c r="BJ19" i="70" a="1"/>
  <c r="BJ19" i="70" s="1"/>
  <c r="BM14" i="70" a="1"/>
  <c r="BM14" i="70" s="1"/>
  <c r="AY21" i="70" a="1"/>
  <c r="AY21" i="70" s="1"/>
  <c r="BO30" i="70" a="1"/>
  <c r="BO30" i="70" s="1"/>
  <c r="BG27" i="70" a="1"/>
  <c r="BG27" i="70" s="1"/>
  <c r="BP17" i="70" a="1"/>
  <c r="BP17" i="70" s="1"/>
  <c r="BM25" i="70" a="1"/>
  <c r="BM25" i="70" s="1"/>
  <c r="BB30" i="70" a="1"/>
  <c r="BB30" i="70" s="1"/>
  <c r="BA12" i="70" a="1"/>
  <c r="BA12" i="70" s="1"/>
  <c r="BK10" i="70" a="1"/>
  <c r="BK10" i="70" s="1"/>
  <c r="AS12" i="70" a="1"/>
  <c r="AS12" i="70" s="1"/>
  <c r="AW31" i="70" a="1"/>
  <c r="AW31" i="70" s="1"/>
  <c r="BN7" i="70" a="1"/>
  <c r="BN7" i="70" s="1"/>
  <c r="BJ24" i="70" a="1"/>
  <c r="BJ24" i="70" s="1"/>
  <c r="BB22" i="70" a="1"/>
  <c r="BB22" i="70" s="1"/>
  <c r="BL25" i="70" a="1"/>
  <c r="BL25" i="70" s="1"/>
  <c r="AY22" i="70" a="1"/>
  <c r="AY22" i="70" s="1"/>
  <c r="AT30" i="70" a="1"/>
  <c r="AT30" i="70" s="1"/>
  <c r="BP24" i="70" a="1"/>
  <c r="BP24" i="70" s="1"/>
  <c r="AT29" i="70" a="1"/>
  <c r="AT29" i="70" s="1"/>
  <c r="BE12" i="70" a="1"/>
  <c r="BE12" i="70" s="1"/>
  <c r="BP13" i="70" a="1"/>
  <c r="BP13" i="70" s="1"/>
  <c r="AT31" i="70" a="1"/>
  <c r="AT31" i="70" s="1"/>
  <c r="BJ10" i="70" a="1"/>
  <c r="BJ10" i="70" s="1"/>
  <c r="BC18" i="70" a="1"/>
  <c r="BC18" i="70" s="1"/>
  <c r="BL12" i="70" a="1"/>
  <c r="BL12" i="70" s="1"/>
  <c r="AZ8" i="70" a="1"/>
  <c r="AZ8" i="70" s="1"/>
  <c r="BH15" i="70" a="1"/>
  <c r="BH15" i="70" s="1"/>
  <c r="BA28" i="70" a="1"/>
  <c r="BA28" i="70" s="1"/>
  <c r="BH26" i="70" a="1"/>
  <c r="BH26" i="70" s="1"/>
  <c r="BF8" i="70" a="1"/>
  <c r="BF8" i="70" s="1"/>
  <c r="BO9" i="70" a="1"/>
  <c r="BO9" i="70" s="1"/>
  <c r="BC9" i="70" a="1"/>
  <c r="BC9" i="70" s="1"/>
  <c r="AZ17" i="70" a="1"/>
  <c r="AZ17" i="70" s="1"/>
  <c r="BO24" i="70" a="1"/>
  <c r="BO24" i="70" s="1"/>
  <c r="BI23" i="70" a="1"/>
  <c r="BI23" i="70" s="1"/>
  <c r="BI14" i="70" a="1"/>
  <c r="BI14" i="70" s="1"/>
  <c r="BN9" i="70" a="1"/>
  <c r="BN9" i="70" s="1"/>
  <c r="BJ8" i="70" a="1"/>
  <c r="BJ8" i="70" s="1"/>
  <c r="BB35" i="70"/>
  <c r="AW35" i="70"/>
  <c r="AX22" i="70" a="1"/>
  <c r="AX22" i="70" s="1"/>
  <c r="BH30" i="70" a="1"/>
  <c r="BH30" i="70" s="1"/>
  <c r="BQ24" i="70" a="1"/>
  <c r="BQ24" i="70" s="1"/>
  <c r="BH14" i="70" a="1"/>
  <c r="BH14" i="70" s="1"/>
  <c r="BB20" i="70" a="1"/>
  <c r="BB20" i="70" s="1"/>
  <c r="BQ21" i="70" a="1"/>
  <c r="BQ21" i="70" s="1"/>
  <c r="BE9" i="70" a="1"/>
  <c r="BE9" i="70" s="1"/>
  <c r="AW16" i="70" a="1"/>
  <c r="AW16" i="70" s="1"/>
  <c r="BD21" i="70" a="1"/>
  <c r="BD21" i="70" s="1"/>
  <c r="AZ27" i="70" a="1"/>
  <c r="AZ27" i="70" s="1"/>
  <c r="BA20" i="70" a="1"/>
  <c r="BA20" i="70" s="1"/>
  <c r="AS14" i="70" a="1"/>
  <c r="AS14" i="70" s="1"/>
  <c r="AW25" i="70" a="1"/>
  <c r="AW25" i="70" s="1"/>
  <c r="BL7" i="70" a="1"/>
  <c r="BL7" i="70" s="1"/>
  <c r="AX28" i="70" a="1"/>
  <c r="AX28" i="70" s="1"/>
  <c r="AX7" i="70" a="1"/>
  <c r="AX7" i="70" s="1"/>
  <c r="BA22" i="70" a="1"/>
  <c r="BA22" i="70" s="1"/>
  <c r="BE29" i="70" a="1"/>
  <c r="BE29" i="70" s="1"/>
  <c r="BN25" i="70" a="1"/>
  <c r="BN25" i="70" s="1"/>
  <c r="AV11" i="70" a="1"/>
  <c r="AV11" i="70" s="1"/>
  <c r="AV23" i="70" a="1"/>
  <c r="AV23" i="70" s="1"/>
  <c r="BP35" i="70"/>
  <c r="AZ35" i="70"/>
  <c r="BQ35" i="70"/>
  <c r="BK8" i="70" a="1"/>
  <c r="BK8" i="70" s="1"/>
  <c r="BI30" i="70" a="1"/>
  <c r="BI30" i="70" s="1"/>
  <c r="BB31" i="70" a="1"/>
  <c r="BB31" i="70" s="1"/>
  <c r="BN30" i="70" a="1"/>
  <c r="BN30" i="70" s="1"/>
  <c r="BH28" i="70" a="1"/>
  <c r="BH28" i="70" s="1"/>
  <c r="AU11" i="70" a="1"/>
  <c r="AU11" i="70" s="1"/>
  <c r="BL16" i="70" a="1"/>
  <c r="BL16" i="70" s="1"/>
  <c r="AW12" i="70" a="1"/>
  <c r="AW12" i="70" s="1"/>
  <c r="BN15" i="70" a="1"/>
  <c r="BN15" i="70" s="1"/>
  <c r="BG17" i="70" a="1"/>
  <c r="BG17" i="70" s="1"/>
  <c r="BF11" i="70" a="1"/>
  <c r="BF11" i="70" s="1"/>
  <c r="BK23" i="70" a="1"/>
  <c r="BK23" i="70" s="1"/>
  <c r="AU12" i="70" a="1"/>
  <c r="AU12" i="70" s="1"/>
  <c r="AZ29" i="70" a="1"/>
  <c r="AZ29" i="70" s="1"/>
  <c r="AT18" i="70" a="1"/>
  <c r="AT18" i="70" s="1"/>
  <c r="BH23" i="70" a="1"/>
  <c r="BH23" i="70" s="1"/>
  <c r="AV27" i="70" a="1"/>
  <c r="AV27" i="70" s="1"/>
  <c r="BF26" i="70" a="1"/>
  <c r="BF26" i="70" s="1"/>
  <c r="BN17" i="70" a="1"/>
  <c r="BN17" i="70" s="1"/>
  <c r="BM18" i="70" a="1"/>
  <c r="BM18" i="70" s="1"/>
  <c r="BO35" i="70"/>
  <c r="AY35" i="70"/>
  <c r="BE35" i="70"/>
  <c r="BN11" i="70" a="1"/>
  <c r="BN11" i="70" s="1"/>
  <c r="BI10" i="70" a="1"/>
  <c r="BI10" i="70" s="1"/>
  <c r="BL15" i="70" a="1"/>
  <c r="BL15" i="70" s="1"/>
  <c r="AT7" i="70" a="1"/>
  <c r="AT7" i="70" s="1"/>
  <c r="BM24" i="70" a="1"/>
  <c r="BM24" i="70" s="1"/>
  <c r="BM29" i="70" a="1"/>
  <c r="BM29" i="70" s="1"/>
  <c r="BI8" i="70" a="1"/>
  <c r="BI8" i="70" s="1"/>
  <c r="AY19" i="70" a="1"/>
  <c r="AY19" i="70" s="1"/>
  <c r="BQ23" i="70" a="1"/>
  <c r="BQ23" i="70" s="1"/>
  <c r="BJ31" i="70" a="1"/>
  <c r="BJ31" i="70" s="1"/>
  <c r="AV22" i="70" a="1"/>
  <c r="AV22" i="70" s="1"/>
  <c r="AZ9" i="70" a="1"/>
  <c r="AZ9" i="70" s="1"/>
  <c r="AX14" i="70" a="1"/>
  <c r="AX14" i="70" s="1"/>
  <c r="BI18" i="70" a="1"/>
  <c r="BI18" i="70" s="1"/>
  <c r="BP11" i="70" a="1"/>
  <c r="BP11" i="70" s="1"/>
  <c r="AW13" i="70" a="1"/>
  <c r="AW13" i="70" s="1"/>
  <c r="BL13" i="70" a="1"/>
  <c r="BL13" i="70" s="1"/>
  <c r="BD25" i="70" a="1"/>
  <c r="BD25" i="70" s="1"/>
  <c r="BO29" i="70" a="1"/>
  <c r="BO29" i="70" s="1"/>
  <c r="BF9" i="70" a="1"/>
  <c r="BF9" i="70" s="1"/>
  <c r="BF14" i="70" a="1"/>
  <c r="BF14" i="70" s="1"/>
  <c r="BO31" i="70" a="1"/>
  <c r="BO31" i="70" s="1"/>
  <c r="AT12" i="70" a="1"/>
  <c r="AT12" i="70" s="1"/>
  <c r="BH17" i="70" a="1"/>
  <c r="BH17" i="70" s="1"/>
  <c r="BM35" i="70"/>
  <c r="AX35" i="70"/>
  <c r="AS35" i="70"/>
  <c r="AW8" i="70" a="1"/>
  <c r="AW8" i="70" s="1"/>
  <c r="AV8" i="70" a="1"/>
  <c r="AV8" i="70" s="1"/>
  <c r="BH21" i="70" a="1"/>
  <c r="BH21" i="70" s="1"/>
  <c r="AW20" i="70" a="1"/>
  <c r="AW20" i="70" s="1"/>
  <c r="BD15" i="70" a="1"/>
  <c r="BD15" i="70" s="1"/>
  <c r="BI12" i="70" a="1"/>
  <c r="BI12" i="70" s="1"/>
  <c r="BI15" i="70" a="1"/>
  <c r="BI15" i="70" s="1"/>
  <c r="BE24" i="70" a="1"/>
  <c r="BE24" i="70" s="1"/>
  <c r="BL27" i="70" a="1"/>
  <c r="BL27" i="70" s="1"/>
  <c r="BB21" i="70" a="1"/>
  <c r="BB21" i="70" s="1"/>
  <c r="AX23" i="70" a="1"/>
  <c r="AX23" i="70" s="1"/>
  <c r="BO12" i="70" a="1"/>
  <c r="BO12" i="70" s="1"/>
  <c r="BH24" i="70" a="1"/>
  <c r="BH24" i="70" s="1"/>
  <c r="BK31" i="70" a="1"/>
  <c r="BK31" i="70" s="1"/>
  <c r="AT10" i="70" a="1"/>
  <c r="AT10" i="70" s="1"/>
  <c r="BK29" i="70" a="1"/>
  <c r="BK29" i="70" s="1"/>
  <c r="AS31" i="70" a="1"/>
  <c r="AS31" i="70" s="1"/>
  <c r="AZ7" i="70" a="1"/>
  <c r="AZ7" i="70" s="1"/>
  <c r="BG18" i="70" a="1"/>
  <c r="BG18" i="70" s="1"/>
  <c r="AX27" i="70" a="1"/>
  <c r="AX27" i="70" s="1"/>
  <c r="BF10" i="70" a="1"/>
  <c r="BF10" i="70" s="1"/>
  <c r="BN20" i="70" a="1"/>
  <c r="BN20" i="70" s="1"/>
  <c r="BB18" i="70" a="1"/>
  <c r="BB18" i="70" s="1"/>
  <c r="BL35" i="70"/>
  <c r="AV35" i="70"/>
  <c r="AZ31" i="70" a="1"/>
  <c r="AZ31" i="70" s="1"/>
  <c r="BG13" i="70" a="1"/>
  <c r="BG13" i="70" s="1"/>
  <c r="AZ20" i="70" a="1"/>
  <c r="AZ20" i="70" s="1"/>
  <c r="BB25" i="70" a="1"/>
  <c r="BB25" i="70" s="1"/>
  <c r="AV6" i="70" a="1"/>
  <c r="AV6" i="70" s="1"/>
  <c r="AX6" i="70" a="1"/>
  <c r="AX6" i="70" s="1"/>
  <c r="BE21" i="70" a="1"/>
  <c r="BE21" i="70" s="1"/>
  <c r="BQ28" i="70" a="1"/>
  <c r="BQ28" i="70" s="1"/>
  <c r="AS19" i="70" a="1"/>
  <c r="AS19" i="70" s="1"/>
  <c r="AY31" i="70" a="1"/>
  <c r="AY31" i="70" s="1"/>
  <c r="BP30" i="70" a="1"/>
  <c r="BP30" i="70" s="1"/>
  <c r="BE14" i="70" a="1"/>
  <c r="BE14" i="70" s="1"/>
  <c r="BA17" i="70" a="1"/>
  <c r="BA17" i="70" s="1"/>
  <c r="BQ6" i="70" a="1"/>
  <c r="BQ6" i="70" s="1"/>
  <c r="BJ22" i="70" a="1"/>
  <c r="BJ22" i="70" s="1"/>
  <c r="BA14" i="70" a="1"/>
  <c r="BA14" i="70" s="1"/>
  <c r="AV31" i="70" a="1"/>
  <c r="AV31" i="70" s="1"/>
  <c r="AT20" i="70" a="1"/>
  <c r="AT20" i="70" s="1"/>
  <c r="BQ18" i="70" a="1"/>
  <c r="BQ18" i="70" s="1"/>
  <c r="AY26" i="70" a="1"/>
  <c r="AY26" i="70" s="1"/>
  <c r="AU25" i="70" a="1"/>
  <c r="AU25" i="70" s="1"/>
  <c r="AS23" i="70" a="1"/>
  <c r="AS23" i="70" s="1"/>
  <c r="AS22" i="70" a="1"/>
  <c r="AS22" i="70" s="1"/>
  <c r="BB11" i="70" a="1"/>
  <c r="BB11" i="70" s="1"/>
  <c r="BM19" i="70" a="1"/>
  <c r="BM19" i="70" s="1"/>
  <c r="AV17" i="70" a="1"/>
  <c r="AV17" i="70" s="1"/>
  <c r="BJ11" i="70" a="1"/>
  <c r="BJ11" i="70" s="1"/>
  <c r="BO25" i="70" a="1"/>
  <c r="BO25" i="70" s="1"/>
  <c r="BE31" i="70" a="1"/>
  <c r="BE31" i="70" s="1"/>
  <c r="AV7" i="70" a="1"/>
  <c r="AV7" i="70" s="1"/>
  <c r="AT16" i="70" a="1"/>
  <c r="AT16" i="70" s="1"/>
  <c r="BJ15" i="70" a="1"/>
  <c r="BJ15" i="70" s="1"/>
  <c r="BG11" i="70" a="1"/>
  <c r="BG11" i="70" s="1"/>
  <c r="BL22" i="70" a="1"/>
  <c r="BL22" i="70" s="1"/>
  <c r="BF29" i="70" a="1"/>
  <c r="BF29" i="70" s="1"/>
  <c r="BQ25" i="70" a="1"/>
  <c r="BQ25" i="70" s="1"/>
  <c r="AU21" i="70" a="1"/>
  <c r="AU21" i="70" s="1"/>
  <c r="BI13" i="70" a="1"/>
  <c r="BI13" i="70" s="1"/>
  <c r="BD22" i="70" a="1"/>
  <c r="BD22" i="70" s="1"/>
  <c r="BC13" i="70" a="1"/>
  <c r="BC13" i="70" s="1"/>
  <c r="BE11" i="70" a="1"/>
  <c r="BE11" i="70" s="1"/>
  <c r="BL14" i="70" a="1"/>
  <c r="BL14" i="70" s="1"/>
  <c r="AZ22" i="70" a="1"/>
  <c r="AZ22" i="70" s="1"/>
  <c r="BP27" i="70" a="1"/>
  <c r="BP27" i="70" s="1"/>
  <c r="BC17" i="70" a="1"/>
  <c r="BC17" i="70" s="1"/>
  <c r="BQ26" i="70" a="1"/>
  <c r="BQ26" i="70" s="1"/>
  <c r="AW28" i="70" a="1"/>
  <c r="AW28" i="70" s="1"/>
  <c r="BF12" i="70" a="1"/>
  <c r="BF12" i="70" s="1"/>
  <c r="BM9" i="70" a="1"/>
  <c r="BM9" i="70" s="1"/>
  <c r="AV12" i="70" a="1"/>
  <c r="AV12" i="70" s="1"/>
  <c r="BL29" i="70" a="1"/>
  <c r="BL29" i="70" s="1"/>
  <c r="BE30" i="70" a="1"/>
  <c r="BE30" i="70" s="1"/>
  <c r="BC19" i="70" a="1"/>
  <c r="BC19" i="70" s="1"/>
  <c r="BA8" i="70" a="1"/>
  <c r="BA8" i="70" s="1"/>
  <c r="AX31" i="70" a="1"/>
  <c r="AX31" i="70" s="1"/>
  <c r="BD30" i="70" a="1"/>
  <c r="BD30" i="70" s="1"/>
  <c r="AU9" i="70" a="1"/>
  <c r="AU9" i="70" s="1"/>
  <c r="BN12" i="70" a="1"/>
  <c r="BN12" i="70" s="1"/>
  <c r="BK35" i="70"/>
  <c r="BD28" i="70" a="1"/>
  <c r="BD28" i="70" s="1"/>
  <c r="BA19" i="70" a="1"/>
  <c r="BA19" i="70" s="1"/>
  <c r="BF28" i="70" a="1"/>
  <c r="BF28" i="70" s="1"/>
  <c r="AZ6" i="70" a="1"/>
  <c r="AZ6" i="70" s="1"/>
  <c r="BC6" i="70" a="1"/>
  <c r="BC6" i="70" s="1"/>
  <c r="BK18" i="70" a="1"/>
  <c r="BK18" i="70" s="1"/>
  <c r="BE22" i="70" a="1"/>
  <c r="BE22" i="70" s="1"/>
  <c r="BC24" i="70" a="1"/>
  <c r="BC24" i="70" s="1"/>
  <c r="BE8" i="70" a="1"/>
  <c r="BE8" i="70" s="1"/>
  <c r="BB8" i="70" a="1"/>
  <c r="BB8" i="70" s="1"/>
  <c r="BO19" i="70" a="1"/>
  <c r="BO19" i="70" s="1"/>
  <c r="BK15" i="70" a="1"/>
  <c r="BK15" i="70" s="1"/>
  <c r="BA16" i="70" a="1"/>
  <c r="BA16" i="70" s="1"/>
  <c r="BG28" i="70" a="1"/>
  <c r="BG28" i="70" s="1"/>
  <c r="BE17" i="70" a="1"/>
  <c r="BE17" i="70" s="1"/>
  <c r="BN8" i="70" a="1"/>
  <c r="BN8" i="70" s="1"/>
  <c r="AS27" i="70" a="1"/>
  <c r="AS27" i="70" s="1"/>
  <c r="BP14" i="70" a="1"/>
  <c r="BP14" i="70" s="1"/>
  <c r="BL9" i="70" a="1"/>
  <c r="BL9" i="70" s="1"/>
  <c r="BK30" i="70" a="1"/>
  <c r="BK30" i="70" s="1"/>
  <c r="BD11" i="70" a="1"/>
  <c r="BD11" i="70" s="1"/>
  <c r="AZ11" i="70" a="1"/>
  <c r="AZ11" i="70" s="1"/>
  <c r="AT27" i="70" a="1"/>
  <c r="AT27" i="70" s="1"/>
  <c r="BD6" i="70" a="1"/>
  <c r="BD6" i="70" s="1"/>
  <c r="AW15" i="70" a="1"/>
  <c r="AW15" i="70" s="1"/>
  <c r="BM8" i="70" a="1"/>
  <c r="BM8" i="70" s="1"/>
  <c r="AY23" i="70" a="1"/>
  <c r="AY23" i="70" s="1"/>
  <c r="BO28" i="70" a="1"/>
  <c r="BO28" i="70" s="1"/>
  <c r="BB10" i="70" a="1"/>
  <c r="BB10" i="70" s="1"/>
  <c r="BB17" i="70" a="1"/>
  <c r="BB17" i="70" s="1"/>
  <c r="AS18" i="70" a="1"/>
  <c r="AS18" i="70" s="1"/>
  <c r="AU27" i="70" a="1"/>
  <c r="AU27" i="70" s="1"/>
  <c r="BI11" i="70" a="1"/>
  <c r="BI11" i="70" s="1"/>
  <c r="BK25" i="70" a="1"/>
  <c r="BK25" i="70" s="1"/>
  <c r="BL23" i="70" a="1"/>
  <c r="BL23" i="70" s="1"/>
  <c r="BA18" i="70" a="1"/>
  <c r="BA18" i="70" s="1"/>
  <c r="BF25" i="70" a="1"/>
  <c r="BF25" i="70" s="1"/>
  <c r="BK24" i="70" a="1"/>
  <c r="BK24" i="70" s="1"/>
  <c r="BB15" i="70" a="1"/>
  <c r="BB15" i="70" s="1"/>
  <c r="BH13" i="70" a="1"/>
  <c r="BH13" i="70" s="1"/>
  <c r="BM20" i="70" a="1"/>
  <c r="BM20" i="70" s="1"/>
  <c r="AT9" i="70" a="1"/>
  <c r="AT9" i="70" s="1"/>
  <c r="BD9" i="70" a="1"/>
  <c r="BD9" i="70" s="1"/>
  <c r="AS15" i="70" a="1"/>
  <c r="AS15" i="70" s="1"/>
  <c r="BL24" i="70" a="1"/>
  <c r="BL24" i="70" s="1"/>
  <c r="AX11" i="70" a="1"/>
  <c r="AX11" i="70" s="1"/>
  <c r="BP12" i="70" a="1"/>
  <c r="BP12" i="70" s="1"/>
  <c r="AW26" i="70" a="1"/>
  <c r="AW26" i="70" s="1"/>
  <c r="AU13" i="70" a="1"/>
  <c r="AU13" i="70" s="1"/>
  <c r="AX26" i="70" a="1"/>
  <c r="AX26" i="70" s="1"/>
  <c r="BG16" i="70" a="1"/>
  <c r="BG16" i="70" s="1"/>
  <c r="BC26" i="70" a="1"/>
  <c r="BC26" i="70" s="1"/>
  <c r="BA29" i="70" a="1"/>
  <c r="BA29" i="70" s="1"/>
  <c r="BD8" i="70" a="1"/>
  <c r="BD8" i="70" s="1"/>
  <c r="BH8" i="70" a="1"/>
  <c r="BH8" i="70" s="1"/>
  <c r="AU28" i="70" a="1"/>
  <c r="AU28" i="70" s="1"/>
  <c r="AS29" i="70" a="1"/>
  <c r="AS29" i="70" s="1"/>
  <c r="BI35" i="70"/>
  <c r="BF35" i="70"/>
  <c r="BQ30" i="70" a="1"/>
  <c r="BQ30" i="70" s="1"/>
  <c r="AX20" i="70" a="1"/>
  <c r="AX20" i="70" s="1"/>
  <c r="BO10" i="70" a="1"/>
  <c r="BO10" i="70" s="1"/>
  <c r="BP6" i="70" a="1"/>
  <c r="BP6" i="70" s="1"/>
  <c r="BG6" i="70" a="1"/>
  <c r="BG6" i="70" s="1"/>
  <c r="BI19" i="70" a="1"/>
  <c r="BI19" i="70" s="1"/>
  <c r="BN21" i="70" a="1"/>
  <c r="BN21" i="70" s="1"/>
  <c r="BA25" i="70" a="1"/>
  <c r="BA25" i="70" s="1"/>
  <c r="AV10" i="70" a="1"/>
  <c r="AV10" i="70" s="1"/>
  <c r="AY10" i="70" a="1"/>
  <c r="AY10" i="70" s="1"/>
  <c r="AV30" i="70" a="1"/>
  <c r="AV30" i="70" s="1"/>
  <c r="BB14" i="70" a="1"/>
  <c r="BB14" i="70" s="1"/>
  <c r="BJ13" i="70" a="1"/>
  <c r="BJ13" i="70" s="1"/>
  <c r="BG25" i="70" a="1"/>
  <c r="BG25" i="70" s="1"/>
  <c r="AW9" i="70" a="1"/>
  <c r="AW9" i="70" s="1"/>
  <c r="BL31" i="70" a="1"/>
  <c r="BL31" i="70" s="1"/>
  <c r="BE25" i="70" a="1"/>
  <c r="BE25" i="70" s="1"/>
  <c r="AZ28" i="70" a="1"/>
  <c r="AZ28" i="70" s="1"/>
  <c r="BN23" i="70" a="1"/>
  <c r="BN23" i="70" s="1"/>
  <c r="AS25" i="70" a="1"/>
  <c r="AS25" i="70" s="1"/>
  <c r="AV14" i="70" a="1"/>
  <c r="AV14" i="70" s="1"/>
  <c r="AW17" i="70" a="1"/>
  <c r="AW17" i="70" s="1"/>
  <c r="BC16" i="70" a="1"/>
  <c r="BC16" i="70" s="1"/>
  <c r="AX8" i="70" a="1"/>
  <c r="AX8" i="70" s="1"/>
  <c r="BG22" i="70" a="1"/>
  <c r="BG22" i="70" s="1"/>
  <c r="AX29" i="70" a="1"/>
  <c r="AX29" i="70" s="1"/>
  <c r="BP21" i="70" a="1"/>
  <c r="BP21" i="70" s="1"/>
  <c r="BK11" i="70" a="1"/>
  <c r="BK11" i="70" s="1"/>
  <c r="BQ31" i="70" a="1"/>
  <c r="BQ31" i="70" s="1"/>
  <c r="BG21" i="70" a="1"/>
  <c r="BG21" i="70" s="1"/>
  <c r="BP9" i="70" a="1"/>
  <c r="BP9" i="70" s="1"/>
  <c r="BJ25" i="70" a="1"/>
  <c r="BJ25" i="70" s="1"/>
  <c r="BE10" i="70" a="1"/>
  <c r="BE10" i="70" s="1"/>
  <c r="AU20" i="70" a="1"/>
  <c r="AU20" i="70" s="1"/>
  <c r="BP20" i="70" a="1"/>
  <c r="BP20" i="70" s="1"/>
  <c r="AV19" i="70" a="1"/>
  <c r="AV19" i="70" s="1"/>
  <c r="AW21" i="70" a="1"/>
  <c r="AW21" i="70" s="1"/>
  <c r="BG19" i="70" a="1"/>
  <c r="BG19" i="70" s="1"/>
  <c r="BG23" i="70" a="1"/>
  <c r="BG23" i="70" s="1"/>
  <c r="BL20" i="70" a="1"/>
  <c r="BL20" i="70" s="1"/>
  <c r="AT13" i="70" a="1"/>
  <c r="AT13" i="70" s="1"/>
  <c r="AV28" i="70" a="1"/>
  <c r="AV28" i="70" s="1"/>
  <c r="BN14" i="70" a="1"/>
  <c r="BN14" i="70" s="1"/>
  <c r="AV21" i="70" a="1"/>
  <c r="AV21" i="70" s="1"/>
  <c r="AW23" i="70" a="1"/>
  <c r="AW23" i="70" s="1"/>
  <c r="BH16" i="70" a="1"/>
  <c r="BH16" i="70" s="1"/>
  <c r="BB9" i="70" a="1"/>
  <c r="BB9" i="70" s="1"/>
  <c r="BH27" i="70" a="1"/>
  <c r="BH27" i="70" s="1"/>
  <c r="AS16" i="70" a="1"/>
  <c r="AS16" i="70" s="1"/>
  <c r="BO20" i="70" a="1"/>
  <c r="BO20" i="70" s="1"/>
  <c r="BM13" i="70" a="1"/>
  <c r="BM13" i="70" s="1"/>
  <c r="AU10" i="70" a="1"/>
  <c r="AU10" i="70" s="1"/>
  <c r="BL26" i="70" a="1"/>
  <c r="BL26" i="70" s="1"/>
  <c r="AZ26" i="70" a="1"/>
  <c r="AZ26" i="70" s="1"/>
  <c r="AX13" i="70" a="1"/>
  <c r="AX13" i="70" s="1"/>
  <c r="BC22" i="70" a="1"/>
  <c r="BC22" i="70" s="1"/>
  <c r="BM11" i="70" a="1"/>
  <c r="BM11" i="70" s="1"/>
  <c r="BH35" i="70"/>
  <c r="AT35" i="70"/>
  <c r="AZ12" i="70" a="1"/>
  <c r="AZ12" i="70" s="1"/>
  <c r="BN18" i="70" a="1"/>
  <c r="BN18" i="70" s="1"/>
  <c r="AY6" i="70" a="1"/>
  <c r="AY6" i="70" s="1"/>
  <c r="BO6" i="70" a="1"/>
  <c r="BO6" i="70" s="1"/>
  <c r="BC15" i="70" a="1"/>
  <c r="BC15" i="70" s="1"/>
  <c r="AS20" i="70" a="1"/>
  <c r="AS20" i="70" s="1"/>
  <c r="BE7" i="70" a="1"/>
  <c r="BE7" i="70" s="1"/>
  <c r="BN6" i="70" a="1"/>
  <c r="BN6" i="70" s="1"/>
  <c r="BJ14" i="70" a="1"/>
  <c r="BJ14" i="70" s="1"/>
  <c r="BE18" i="70" a="1"/>
  <c r="BE18" i="70" s="1"/>
  <c r="BF27" i="70" a="1"/>
  <c r="BF27" i="70" s="1"/>
  <c r="AY25" i="70" a="1"/>
  <c r="AY25" i="70" s="1"/>
  <c r="BQ9" i="70" a="1"/>
  <c r="BQ9" i="70" s="1"/>
  <c r="BI28" i="70" a="1"/>
  <c r="BI28" i="70" s="1"/>
  <c r="BK28" i="70" a="1"/>
  <c r="BK28" i="70" s="1"/>
  <c r="BJ29" i="70" a="1"/>
  <c r="BJ29" i="70" s="1"/>
  <c r="BD20" i="70" a="1"/>
  <c r="BD20" i="70" s="1"/>
  <c r="AU30" i="70" a="1"/>
  <c r="AU30" i="70" s="1"/>
  <c r="BL8" i="70" a="1"/>
  <c r="BL8" i="70" s="1"/>
  <c r="BA21" i="70" a="1"/>
  <c r="BA21" i="70" s="1"/>
  <c r="BG26" i="70" a="1"/>
  <c r="BG26" i="70" s="1"/>
  <c r="BQ20" i="70" a="1"/>
  <c r="BQ20" i="70" s="1"/>
  <c r="BQ16" i="70" a="1"/>
  <c r="BQ16" i="70" s="1"/>
  <c r="BJ12" i="70" a="1"/>
  <c r="BJ12" i="70" s="1"/>
  <c r="BJ26" i="70" a="1"/>
  <c r="BJ26" i="70" s="1"/>
  <c r="AT23" i="70" a="1"/>
  <c r="AT23" i="70" s="1"/>
  <c r="AU17" i="70" a="1"/>
  <c r="AU17" i="70" s="1"/>
  <c r="AX17" i="70" a="1"/>
  <c r="AX17" i="70" s="1"/>
  <c r="BI31" i="70" a="1"/>
  <c r="BI31" i="70" s="1"/>
  <c r="AS7" i="70" a="1"/>
  <c r="AS7" i="70" s="1"/>
  <c r="AT24" i="70" a="1"/>
  <c r="AT24" i="70" s="1"/>
  <c r="BH12" i="70" a="1"/>
  <c r="BH12" i="70" s="1"/>
  <c r="BK16" i="70" a="1"/>
  <c r="BK16" i="70" s="1"/>
  <c r="BQ10" i="70" a="1"/>
  <c r="BQ10" i="70" s="1"/>
  <c r="BP15" i="70" a="1"/>
  <c r="BP15" i="70" s="1"/>
  <c r="BD19" i="70" a="1"/>
  <c r="BD19" i="70" s="1"/>
  <c r="BL18" i="70" a="1"/>
  <c r="BL18" i="70" s="1"/>
  <c r="AW30" i="70" a="1"/>
  <c r="AW30" i="70" s="1"/>
  <c r="AY20" i="70" a="1"/>
  <c r="AY20" i="70" s="1"/>
  <c r="BB19" i="70" a="1"/>
  <c r="BB19" i="70" s="1"/>
  <c r="BQ22" i="70" a="1"/>
  <c r="BQ22" i="70" s="1"/>
  <c r="BJ9" i="70" a="1"/>
  <c r="BJ9" i="70" s="1"/>
  <c r="BQ27" i="70" a="1"/>
  <c r="BQ27" i="70" s="1"/>
  <c r="AZ18" i="70" a="1"/>
  <c r="AZ18" i="70" s="1"/>
  <c r="AS13" i="70" a="1"/>
  <c r="AS13" i="70" s="1"/>
  <c r="BG30" i="70" a="1"/>
  <c r="BG30" i="70" s="1"/>
  <c r="BA7" i="70" a="1"/>
  <c r="BA7" i="70" s="1"/>
  <c r="AU31" i="70" a="1"/>
  <c r="AU31" i="70" s="1"/>
  <c r="AX18" i="70" a="1"/>
  <c r="AX18" i="70" s="1"/>
  <c r="BO15" i="70" a="1"/>
  <c r="BO15" i="70" s="1"/>
  <c r="BH31" i="70" a="1"/>
  <c r="BH31" i="70" s="1"/>
  <c r="AZ15" i="70" a="1"/>
  <c r="AZ15" i="70" s="1"/>
  <c r="BK27" i="70" a="1"/>
  <c r="BK27" i="70" s="1"/>
  <c r="AU22" i="70" a="1"/>
  <c r="AU22" i="70" s="1"/>
  <c r="BD14" i="70" a="1"/>
  <c r="BD14" i="70" s="1"/>
  <c r="BA15" i="70" a="1"/>
  <c r="BA15" i="70" s="1"/>
  <c r="BC35" i="70"/>
  <c r="BM30" i="70" a="1"/>
  <c r="BM30" i="70" s="1"/>
  <c r="BH20" i="70" a="1"/>
  <c r="BH20" i="70" s="1"/>
  <c r="BQ12" i="70" a="1"/>
  <c r="BQ12" i="70" s="1"/>
  <c r="AT6" i="70" a="1"/>
  <c r="AT6" i="70" s="1"/>
  <c r="BA6" i="70" a="1"/>
  <c r="BA6" i="70" s="1"/>
  <c r="BI7" i="70" a="1"/>
  <c r="BI7" i="70" s="1"/>
  <c r="BC25" i="70" a="1"/>
  <c r="BC25" i="70" s="1"/>
  <c r="AS24" i="70" a="1"/>
  <c r="AS24" i="70" s="1"/>
  <c r="BA30" i="70" a="1"/>
  <c r="BA30" i="70" s="1"/>
  <c r="BE15" i="70" a="1"/>
  <c r="BE15" i="70" s="1"/>
  <c r="BN16" i="70" a="1"/>
  <c r="BN16" i="70" s="1"/>
  <c r="BM28" i="70" a="1"/>
  <c r="BM28" i="70" s="1"/>
  <c r="BM22" i="70" a="1"/>
  <c r="BM22" i="70" s="1"/>
  <c r="AU15" i="70" a="1"/>
  <c r="AU15" i="70" s="1"/>
  <c r="BH9" i="70" a="1"/>
  <c r="BH9" i="70" s="1"/>
  <c r="AS9" i="70" a="1"/>
  <c r="AS9" i="70" s="1"/>
  <c r="BE26" i="70" a="1"/>
  <c r="BE26" i="70" s="1"/>
  <c r="BF24" i="70" a="1"/>
  <c r="BF24" i="70" s="1"/>
  <c r="BD17" i="70" a="1"/>
  <c r="BD17" i="70" s="1"/>
  <c r="AZ16" i="70" a="1"/>
  <c r="AZ16" i="70" s="1"/>
  <c r="BF17" i="70" a="1"/>
  <c r="BF17" i="70" s="1"/>
  <c r="BB29" i="70" a="1"/>
  <c r="BB29" i="70" s="1"/>
  <c r="BN22" i="70" a="1"/>
  <c r="BN22" i="70" s="1"/>
  <c r="AY17" i="70" a="1"/>
  <c r="AY17" i="70" s="1"/>
  <c r="BG9" i="70" a="1"/>
  <c r="BG9" i="70" s="1"/>
  <c r="BB24" i="70" a="1"/>
  <c r="BB24" i="70" s="1"/>
  <c r="BE23" i="70" a="1"/>
  <c r="BE23" i="70" s="1"/>
  <c r="BD13" i="70" a="1"/>
  <c r="BD13" i="70" s="1"/>
  <c r="AV18" i="70" a="1"/>
  <c r="AV18" i="70" s="1"/>
  <c r="AS11" i="70" a="1"/>
  <c r="AS11" i="70" s="1"/>
  <c r="BM10" i="70" a="1"/>
  <c r="BM10" i="70" s="1"/>
  <c r="BC7" i="70" a="1"/>
  <c r="BC7" i="70" s="1"/>
  <c r="AY15" i="70" a="1"/>
  <c r="AY15" i="70" s="1"/>
  <c r="BC28" i="70" a="1"/>
  <c r="BC28" i="70" s="1"/>
  <c r="AS26" i="70" a="1"/>
  <c r="AS26" i="70" s="1"/>
  <c r="BB27" i="70" a="1"/>
  <c r="BB27" i="70" s="1"/>
  <c r="AW14" i="70" a="1"/>
  <c r="AW14" i="70" s="1"/>
  <c r="BP23" i="70" a="1"/>
  <c r="BP23" i="70" s="1"/>
  <c r="AY7" i="70" a="1"/>
  <c r="AY7" i="70" s="1"/>
  <c r="BI16" i="70" a="1"/>
  <c r="BI16" i="70" s="1"/>
  <c r="BN29" i="70" a="1"/>
  <c r="BN29" i="70" s="1"/>
  <c r="BA23" i="70" a="1"/>
  <c r="BA23" i="70" s="1"/>
  <c r="BG29" i="70" a="1"/>
  <c r="BG29" i="70" s="1"/>
  <c r="AT26" i="70" a="1"/>
  <c r="AT26" i="70" s="1"/>
  <c r="BL10" i="70" a="1"/>
  <c r="BL10" i="70" s="1"/>
  <c r="BO11" i="70" a="1"/>
  <c r="BO11" i="70" s="1"/>
  <c r="AX19" i="70" a="1"/>
  <c r="AX19" i="70" s="1"/>
  <c r="BN24" i="70" a="1"/>
  <c r="BN24" i="70" s="1"/>
  <c r="AX30" i="70" a="1"/>
  <c r="AX30" i="70" s="1"/>
  <c r="AU29" i="70" a="1"/>
  <c r="AU29" i="70" s="1"/>
  <c r="BQ11" i="70" a="1"/>
  <c r="BQ11" i="70" s="1"/>
  <c r="BE27" i="70" a="1"/>
  <c r="BE27" i="70" s="1"/>
  <c r="AX15" i="70" a="1"/>
  <c r="AX15" i="70" s="1"/>
  <c r="AX21" i="70" a="1"/>
  <c r="AX21" i="70" s="1"/>
  <c r="AV26" i="70" a="1"/>
  <c r="AV26" i="70" s="1"/>
  <c r="AS8" i="70" a="1"/>
  <c r="AS8" i="70" s="1"/>
  <c r="AZ23" i="70" a="1"/>
  <c r="AZ23" i="70" s="1"/>
  <c r="BG35" i="70"/>
  <c r="BN35" i="70"/>
  <c r="AZ21" i="70" a="1"/>
  <c r="AZ21" i="70" s="1"/>
  <c r="AY14" i="70" a="1"/>
  <c r="AY14" i="70" s="1"/>
  <c r="AW6" i="70" a="1"/>
  <c r="AW6" i="70" s="1"/>
  <c r="BD12" i="70" a="1"/>
  <c r="BD12" i="70" s="1"/>
  <c r="BF7" i="70" a="1"/>
  <c r="BF7" i="70" s="1"/>
  <c r="AY9" i="70" a="1"/>
  <c r="AY9" i="70" s="1"/>
  <c r="BP19" i="70" a="1"/>
  <c r="BP19" i="70" s="1"/>
  <c r="BJ28" i="70" a="1"/>
  <c r="BJ28" i="70" s="1"/>
  <c r="BI20" i="70" a="1"/>
  <c r="BI20" i="70" s="1"/>
  <c r="AV15" i="70" a="1"/>
  <c r="AV15" i="70" s="1"/>
  <c r="BD18" i="70" a="1"/>
  <c r="BD18" i="70" s="1"/>
  <c r="BA9" i="70" a="1"/>
  <c r="BA9" i="70" s="1"/>
  <c r="BL19" i="70" a="1"/>
  <c r="BL19" i="70" s="1"/>
  <c r="AY12" i="70" a="1"/>
  <c r="AY12" i="70" s="1"/>
  <c r="BK12" i="70" a="1"/>
  <c r="BK12" i="70" s="1"/>
  <c r="BM26" i="70" a="1"/>
  <c r="BM26" i="70" s="1"/>
  <c r="AT15" i="70" a="1"/>
  <c r="AT15" i="70" s="1"/>
  <c r="AU23" i="70" a="1"/>
  <c r="AU23" i="70" s="1"/>
  <c r="BC29" i="70" a="1"/>
  <c r="BC29" i="70" s="1"/>
  <c r="BJ18" i="70" a="1"/>
  <c r="BJ18" i="70" s="1"/>
  <c r="BI29" i="70" a="1"/>
  <c r="BI29" i="70" s="1"/>
  <c r="AW29" i="70" a="1"/>
  <c r="AW29" i="70" s="1"/>
  <c r="BI22" i="70" a="1"/>
  <c r="BI22" i="70" s="1"/>
  <c r="AS30" i="70" a="1"/>
  <c r="AS30" i="70" s="1"/>
  <c r="BP22" i="70" a="1"/>
  <c r="BP22" i="70" s="1"/>
  <c r="AU26" i="70" a="1"/>
  <c r="AU26" i="70" s="1"/>
  <c r="BB12" i="70" a="1"/>
  <c r="BB12" i="70" s="1"/>
  <c r="BG15" i="70" a="1"/>
  <c r="BG15" i="70" s="1"/>
  <c r="BC11" i="70" a="1"/>
  <c r="BC11" i="70" s="1"/>
  <c r="BK26" i="70" a="1"/>
  <c r="BK26" i="70" s="1"/>
  <c r="BG10" i="70" a="1"/>
  <c r="BG10" i="70" s="1"/>
  <c r="BC30" i="70" a="1"/>
  <c r="BC30" i="70" s="1"/>
  <c r="AZ24" i="70" a="1"/>
  <c r="AZ24" i="70" s="1"/>
  <c r="BP16" i="70" a="1"/>
  <c r="BP16" i="70" s="1"/>
  <c r="AW22" i="70" a="1"/>
  <c r="AW22" i="70" s="1"/>
  <c r="AT21" i="70" a="1"/>
  <c r="AT21" i="70" s="1"/>
  <c r="BO8" i="70" a="1"/>
  <c r="BO8" i="70" s="1"/>
  <c r="BI9" i="70" a="1"/>
  <c r="BI9" i="70" s="1"/>
  <c r="BP25" i="70" a="1"/>
  <c r="BP25" i="70" s="1"/>
  <c r="AU18" i="70" a="1"/>
  <c r="AU18" i="70" s="1"/>
  <c r="BF21" i="70" a="1"/>
  <c r="BF21" i="70" s="1"/>
  <c r="BH25" i="70" a="1"/>
  <c r="BH25" i="70" s="1"/>
  <c r="AW24" i="70" a="1"/>
  <c r="AW24" i="70" s="1"/>
  <c r="BQ19" i="70" a="1"/>
  <c r="BQ19" i="70" s="1"/>
  <c r="BP26" i="70" a="1"/>
  <c r="BP26" i="70" s="1"/>
  <c r="BD16" i="70" a="1"/>
  <c r="BD16" i="70" s="1"/>
  <c r="BP7" i="70" a="1"/>
  <c r="BP7" i="70" s="1"/>
  <c r="BB7" i="70" a="1"/>
  <c r="BB7" i="70" s="1"/>
  <c r="BG24" i="70" a="1"/>
  <c r="BG24" i="70" s="1"/>
  <c r="BC31" i="70" a="1"/>
  <c r="BC31" i="70" s="1"/>
  <c r="BD31" i="70" a="1"/>
  <c r="BD31" i="70" s="1"/>
  <c r="BO16" i="70" a="1"/>
  <c r="BO16" i="70" s="1"/>
  <c r="BN13" i="70" a="1"/>
  <c r="BN13" i="70" s="1"/>
  <c r="BC10" i="70" a="1"/>
  <c r="BC10" i="70" s="1"/>
  <c r="BO23" i="70" a="1"/>
  <c r="BO23" i="70" s="1"/>
  <c r="BL17" i="70" a="1"/>
  <c r="BL17" i="70" s="1"/>
  <c r="AU35" i="70"/>
  <c r="AS98" i="70"/>
  <c r="AT98" i="70"/>
  <c r="AT97" i="70"/>
  <c r="AS97" i="70"/>
  <c r="AS96" i="70"/>
  <c r="AT96" i="70"/>
  <c r="AR80" i="70"/>
  <c r="BE81" i="70" a="1"/>
  <c r="BE81" i="70" s="1"/>
  <c r="BE88" i="70" a="1"/>
  <c r="BE88" i="70" s="1"/>
  <c r="BE89" i="70" a="1"/>
  <c r="BE89" i="70" s="1"/>
  <c r="BE86" i="70" a="1"/>
  <c r="BE86" i="70" s="1"/>
  <c r="BE82" i="70" a="1"/>
  <c r="BE82" i="70" s="1"/>
  <c r="BE85" i="70" a="1"/>
  <c r="BE85" i="70" s="1"/>
  <c r="BE83" i="70" a="1"/>
  <c r="BE83" i="70" s="1"/>
  <c r="BE84" i="70" a="1"/>
  <c r="BE84" i="70" s="1"/>
  <c r="BE87" i="70" a="1"/>
  <c r="BE87" i="70" s="1"/>
  <c r="C10" i="27"/>
  <c r="F6" i="27"/>
  <c r="G5" i="27"/>
  <c r="H12" i="27"/>
  <c r="F12" i="27"/>
  <c r="F10" i="27"/>
  <c r="F7" i="27"/>
  <c r="C7" i="27"/>
  <c r="H9" i="27"/>
  <c r="C6" i="27"/>
  <c r="AO62" i="70" l="1" a="1"/>
  <c r="AO62" i="70" s="1"/>
  <c r="AO63" i="70" a="1"/>
  <c r="AO63" i="70" s="1"/>
  <c r="AR27" i="70" a="1"/>
  <c r="AR27" i="70" s="1"/>
  <c r="AP57" i="70" s="1"/>
  <c r="BE57" i="70" s="1"/>
  <c r="W30" i="70"/>
  <c r="Y37" i="70" s="1" a="1"/>
  <c r="Y37" i="70" s="1"/>
  <c r="W11" i="70"/>
  <c r="Y17" i="70" s="1" a="1"/>
  <c r="Y17" i="70" s="1"/>
  <c r="AB39" i="70" s="1"/>
  <c r="X39" i="70" a="1"/>
  <c r="X39" i="70" s="1"/>
  <c r="AZ96" i="70"/>
  <c r="BA96" i="70"/>
  <c r="AZ98" i="70"/>
  <c r="AZ97" i="70"/>
  <c r="BA97" i="70"/>
  <c r="BA98" i="70"/>
  <c r="AR6" i="70" a="1"/>
  <c r="AR6" i="70" s="1"/>
  <c r="AP36" i="70" s="1"/>
  <c r="AR36" i="70" s="1"/>
  <c r="AR23" i="70" a="1"/>
  <c r="AR23" i="70" s="1"/>
  <c r="AP53" i="70" s="1"/>
  <c r="BI53" i="70" s="1"/>
  <c r="AR31" i="70" a="1"/>
  <c r="AR31" i="70" s="1"/>
  <c r="AR7" i="70" a="1"/>
  <c r="AR7" i="70" s="1"/>
  <c r="AR22" i="70" a="1"/>
  <c r="AR22" i="70" s="1"/>
  <c r="AR11" i="70" a="1"/>
  <c r="AR11" i="70" s="1"/>
  <c r="AR26" i="70" a="1"/>
  <c r="AR26" i="70" s="1"/>
  <c r="AR14" i="70" a="1"/>
  <c r="AR14" i="70" s="1"/>
  <c r="AR21" i="70" a="1"/>
  <c r="AR21" i="70" s="1"/>
  <c r="AR24" i="70" a="1"/>
  <c r="AR24" i="70" s="1"/>
  <c r="AR20" i="70" a="1"/>
  <c r="AR20" i="70" s="1"/>
  <c r="AR29" i="70" a="1"/>
  <c r="AR29" i="70" s="1"/>
  <c r="AR8" i="70" a="1"/>
  <c r="AR8" i="70" s="1"/>
  <c r="AR30" i="70" a="1"/>
  <c r="AR30" i="70" s="1"/>
  <c r="AR16" i="70" a="1"/>
  <c r="AR16" i="70" s="1"/>
  <c r="AR10" i="70" a="1"/>
  <c r="AR10" i="70" s="1"/>
  <c r="AR9" i="70" a="1"/>
  <c r="AR9" i="70" s="1"/>
  <c r="AR19" i="70" a="1"/>
  <c r="AR19" i="70" s="1"/>
  <c r="AR25" i="70" a="1"/>
  <c r="AR25" i="70" s="1"/>
  <c r="AR18" i="70" a="1"/>
  <c r="AR18" i="70" s="1"/>
  <c r="AR28" i="70" a="1"/>
  <c r="AR28" i="70" s="1"/>
  <c r="AR15" i="70" a="1"/>
  <c r="AR15" i="70" s="1"/>
  <c r="AR12" i="70" a="1"/>
  <c r="AR12" i="70" s="1"/>
  <c r="AR17" i="70" a="1"/>
  <c r="AR17" i="70" s="1"/>
  <c r="AR13" i="70" a="1"/>
  <c r="AR13" i="70" s="1"/>
  <c r="AP86" i="70"/>
  <c r="AR86" i="70" s="1"/>
  <c r="AP89" i="70"/>
  <c r="AP88" i="70"/>
  <c r="AT88" i="70" s="1"/>
  <c r="AP87" i="70"/>
  <c r="AP84" i="70"/>
  <c r="AV84" i="70" s="1"/>
  <c r="AP83" i="70"/>
  <c r="AZ83" i="70" s="1"/>
  <c r="AP85" i="70"/>
  <c r="AP82" i="70"/>
  <c r="AV82" i="70" s="1"/>
  <c r="AP81" i="70"/>
  <c r="M2" i="27"/>
  <c r="K2" i="27"/>
  <c r="J8" i="27"/>
  <c r="A77" i="12"/>
  <c r="X88" i="22"/>
  <c r="X89" i="22"/>
  <c r="X44" i="70" l="1" a="1"/>
  <c r="X44" i="70" s="1"/>
  <c r="BM53" i="70"/>
  <c r="Y35" i="70"/>
  <c r="E4" i="27" s="1"/>
  <c r="Y13" i="70"/>
  <c r="AC35" i="70" s="1"/>
  <c r="BK57" i="70"/>
  <c r="BB53" i="70"/>
  <c r="AP61" i="70"/>
  <c r="AZ61" i="70" s="1"/>
  <c r="AT57" i="70"/>
  <c r="BI57" i="70"/>
  <c r="BO36" i="70"/>
  <c r="AS57" i="70"/>
  <c r="BM57" i="70"/>
  <c r="Y36" i="70" a="1"/>
  <c r="Y36" i="70" s="1"/>
  <c r="W42" i="70" s="1"/>
  <c r="Y14" i="70" a="1"/>
  <c r="Y14" i="70" s="1"/>
  <c r="AC36" i="70" s="1"/>
  <c r="H5" i="27" s="1"/>
  <c r="Y15" i="70" a="1"/>
  <c r="Y15" i="70" s="1"/>
  <c r="AC37" i="70" s="1"/>
  <c r="H6" i="27" s="1"/>
  <c r="Y20" i="70" a="1"/>
  <c r="Y20" i="70" s="1"/>
  <c r="AQ94" i="70"/>
  <c r="AP94" i="70"/>
  <c r="AS36" i="70"/>
  <c r="BD57" i="70"/>
  <c r="BB57" i="70"/>
  <c r="BN53" i="70"/>
  <c r="AT53" i="70"/>
  <c r="AZ57" i="70"/>
  <c r="BE36" i="70"/>
  <c r="BE53" i="70"/>
  <c r="BP57" i="70"/>
  <c r="BL53" i="70"/>
  <c r="AU36" i="70"/>
  <c r="AW57" i="70"/>
  <c r="AR57" i="70"/>
  <c r="AU57" i="70"/>
  <c r="AW53" i="70"/>
  <c r="BC53" i="70"/>
  <c r="AU53" i="70"/>
  <c r="BA57" i="70"/>
  <c r="BK36" i="70"/>
  <c r="BG53" i="70"/>
  <c r="BQ57" i="70"/>
  <c r="BO53" i="70"/>
  <c r="BI36" i="70"/>
  <c r="AZ53" i="70"/>
  <c r="AY53" i="70"/>
  <c r="BC36" i="70"/>
  <c r="AT36" i="70"/>
  <c r="BO57" i="70"/>
  <c r="AX36" i="70"/>
  <c r="BL36" i="70"/>
  <c r="AY36" i="70"/>
  <c r="BB36" i="70"/>
  <c r="BP36" i="70"/>
  <c r="BN57" i="70"/>
  <c r="BJ36" i="70"/>
  <c r="BJ53" i="70"/>
  <c r="BA53" i="70"/>
  <c r="BG36" i="70"/>
  <c r="BF53" i="70"/>
  <c r="BP53" i="70"/>
  <c r="BF57" i="70"/>
  <c r="AV57" i="70"/>
  <c r="AV36" i="70"/>
  <c r="AZ36" i="70"/>
  <c r="AX57" i="70"/>
  <c r="AU81" i="70"/>
  <c r="AS81" i="70"/>
  <c r="BD36" i="70"/>
  <c r="AR88" i="70"/>
  <c r="BD53" i="70"/>
  <c r="AY57" i="70"/>
  <c r="BH53" i="70"/>
  <c r="BM36" i="70"/>
  <c r="AW36" i="70"/>
  <c r="AR53" i="70"/>
  <c r="BJ57" i="70"/>
  <c r="BQ53" i="70"/>
  <c r="BC57" i="70"/>
  <c r="AV53" i="70"/>
  <c r="BL57" i="70"/>
  <c r="BH36" i="70"/>
  <c r="BF36" i="70"/>
  <c r="BG57" i="70"/>
  <c r="AS53" i="70"/>
  <c r="BN36" i="70"/>
  <c r="BK53" i="70"/>
  <c r="AX53" i="70"/>
  <c r="AP48" i="70"/>
  <c r="BQ48" i="70" s="1"/>
  <c r="AP52" i="70"/>
  <c r="AP43" i="70"/>
  <c r="BJ43" i="70" s="1"/>
  <c r="BH57" i="70"/>
  <c r="AP42" i="70"/>
  <c r="AP55" i="70"/>
  <c r="AP45" i="70"/>
  <c r="AS45" i="70" s="1"/>
  <c r="BA36" i="70"/>
  <c r="BQ36" i="70"/>
  <c r="AP54" i="70"/>
  <c r="BQ54" i="70" s="1"/>
  <c r="AP51" i="70"/>
  <c r="AP44" i="70"/>
  <c r="AP56" i="70"/>
  <c r="AP50" i="70"/>
  <c r="BJ50" i="70" s="1"/>
  <c r="AP49" i="70"/>
  <c r="AP41" i="70"/>
  <c r="BO41" i="70" s="1"/>
  <c r="AP39" i="70"/>
  <c r="AP40" i="70"/>
  <c r="AP46" i="70"/>
  <c r="BI46" i="70" s="1"/>
  <c r="AP58" i="70"/>
  <c r="BG58" i="70" s="1"/>
  <c r="AP60" i="70"/>
  <c r="AP38" i="70"/>
  <c r="AP47" i="70"/>
  <c r="BN47" i="70" s="1"/>
  <c r="AP59" i="70"/>
  <c r="BG59" i="70" s="1"/>
  <c r="AP37" i="70"/>
  <c r="AT87" i="70"/>
  <c r="AS87" i="70"/>
  <c r="AY82" i="70"/>
  <c r="AS82" i="70"/>
  <c r="AR83" i="70"/>
  <c r="AU86" i="70"/>
  <c r="AT86" i="70"/>
  <c r="AY85" i="70"/>
  <c r="AV85" i="70"/>
  <c r="AZ85" i="70"/>
  <c r="AU88" i="70"/>
  <c r="AW88" i="70"/>
  <c r="AV89" i="70"/>
  <c r="AZ89" i="70"/>
  <c r="AU84" i="70"/>
  <c r="AX84" i="70"/>
  <c r="AV87" i="70"/>
  <c r="AY87" i="70"/>
  <c r="AX83" i="70"/>
  <c r="AU83" i="70"/>
  <c r="AW82" i="70"/>
  <c r="AX82" i="70"/>
  <c r="AR85" i="70"/>
  <c r="AT89" i="70"/>
  <c r="AY89" i="70"/>
  <c r="AS89" i="70"/>
  <c r="AZ84" i="70"/>
  <c r="AY84" i="70"/>
  <c r="AS88" i="70"/>
  <c r="AZ88" i="70"/>
  <c r="AR81" i="70"/>
  <c r="AW81" i="70"/>
  <c r="AS86" i="70"/>
  <c r="AW86" i="70"/>
  <c r="AZ86" i="70"/>
  <c r="AR84" i="70"/>
  <c r="AR82" i="70"/>
  <c r="AT82" i="70"/>
  <c r="AV83" i="70"/>
  <c r="AY83" i="70"/>
  <c r="AX85" i="70"/>
  <c r="AU85" i="70"/>
  <c r="AR87" i="70"/>
  <c r="AX87" i="70"/>
  <c r="AW87" i="70"/>
  <c r="AU89" i="70"/>
  <c r="AW89" i="70"/>
  <c r="AX89" i="70"/>
  <c r="AT81" i="70"/>
  <c r="AZ81" i="70"/>
  <c r="AR89" i="70"/>
  <c r="AU87" i="70"/>
  <c r="AZ87" i="70"/>
  <c r="AS83" i="70"/>
  <c r="AW83" i="70"/>
  <c r="AT83" i="70"/>
  <c r="AY88" i="70"/>
  <c r="AX88" i="70"/>
  <c r="AV88" i="70"/>
  <c r="AU82" i="70"/>
  <c r="AZ82" i="70"/>
  <c r="AT84" i="70"/>
  <c r="AW84" i="70"/>
  <c r="AS84" i="70"/>
  <c r="AS85" i="70"/>
  <c r="AT85" i="70"/>
  <c r="AW85" i="70"/>
  <c r="AX86" i="70"/>
  <c r="AV86" i="70"/>
  <c r="AY86" i="70"/>
  <c r="AY81" i="70"/>
  <c r="AX81" i="70"/>
  <c r="AV81" i="70"/>
  <c r="E6" i="27"/>
  <c r="C95" i="20"/>
  <c r="D95" i="20"/>
  <c r="G95" i="20"/>
  <c r="H95" i="20"/>
  <c r="I95" i="20"/>
  <c r="JS74" i="12"/>
  <c r="JR74" i="12"/>
  <c r="JP74" i="12"/>
  <c r="JO74" i="12"/>
  <c r="JM74" i="12"/>
  <c r="JL74" i="12"/>
  <c r="JJ74" i="12"/>
  <c r="JI74" i="12"/>
  <c r="JG74" i="12"/>
  <c r="JF74" i="12"/>
  <c r="JD74" i="12"/>
  <c r="JC74" i="12"/>
  <c r="JA74" i="12"/>
  <c r="IZ74" i="12"/>
  <c r="IX74" i="12"/>
  <c r="IW74" i="12"/>
  <c r="IU74" i="12"/>
  <c r="IT74" i="12"/>
  <c r="IR74" i="12"/>
  <c r="IQ74" i="12"/>
  <c r="IO74" i="12"/>
  <c r="IN74" i="12"/>
  <c r="IL74" i="12"/>
  <c r="IK74" i="12"/>
  <c r="II74" i="12"/>
  <c r="IH74" i="12"/>
  <c r="IF74" i="12"/>
  <c r="IE74" i="12"/>
  <c r="IC74" i="12"/>
  <c r="IB74" i="12"/>
  <c r="HZ74" i="12"/>
  <c r="HY74" i="12"/>
  <c r="HW74" i="12"/>
  <c r="HV74" i="12"/>
  <c r="HT74" i="12"/>
  <c r="HS74" i="12"/>
  <c r="HQ74" i="12"/>
  <c r="HP74" i="12"/>
  <c r="HN74" i="12"/>
  <c r="HM74" i="12"/>
  <c r="HK74" i="12"/>
  <c r="HJ74" i="12"/>
  <c r="HH74" i="12"/>
  <c r="HG74" i="12"/>
  <c r="HE74" i="12"/>
  <c r="HD74" i="12"/>
  <c r="HB74" i="12"/>
  <c r="HA74" i="12"/>
  <c r="GY74" i="12"/>
  <c r="GX74" i="12"/>
  <c r="GV74" i="12"/>
  <c r="GU74" i="12"/>
  <c r="GS74" i="12"/>
  <c r="GR74" i="12"/>
  <c r="GP74" i="12"/>
  <c r="GO74" i="12"/>
  <c r="GM74" i="12"/>
  <c r="GL74" i="12"/>
  <c r="GJ74" i="12"/>
  <c r="GI74" i="12"/>
  <c r="GG74" i="12"/>
  <c r="GF74" i="12"/>
  <c r="GD74" i="12"/>
  <c r="GC74" i="12"/>
  <c r="GA74" i="12"/>
  <c r="FZ74" i="12"/>
  <c r="FX74" i="12"/>
  <c r="FW74" i="12"/>
  <c r="FU74" i="12"/>
  <c r="FT74" i="12"/>
  <c r="FR74" i="12"/>
  <c r="FQ74" i="12"/>
  <c r="FO74" i="12"/>
  <c r="FN74" i="12"/>
  <c r="FL74" i="12"/>
  <c r="FK74" i="12"/>
  <c r="FI74" i="12"/>
  <c r="FH74" i="12"/>
  <c r="FF74" i="12"/>
  <c r="FE74" i="12"/>
  <c r="FC74" i="12"/>
  <c r="FB74" i="12"/>
  <c r="EZ74" i="12"/>
  <c r="EY74" i="12"/>
  <c r="EW74" i="12"/>
  <c r="EV74" i="12"/>
  <c r="ET74" i="12"/>
  <c r="ES74" i="12"/>
  <c r="EQ74" i="12"/>
  <c r="EP74" i="12"/>
  <c r="EN74" i="12"/>
  <c r="EM74" i="12"/>
  <c r="EK74" i="12"/>
  <c r="EJ74" i="12"/>
  <c r="EH74" i="12"/>
  <c r="EG74" i="12"/>
  <c r="EE74" i="12"/>
  <c r="ED74" i="12"/>
  <c r="EB74" i="12"/>
  <c r="EA74" i="12"/>
  <c r="DY74" i="12"/>
  <c r="DX74" i="12"/>
  <c r="DV74" i="12"/>
  <c r="DU74" i="12"/>
  <c r="DS74" i="12"/>
  <c r="DR74" i="12"/>
  <c r="DP74" i="12"/>
  <c r="DO74" i="12"/>
  <c r="DM74" i="12"/>
  <c r="DL74" i="12"/>
  <c r="DJ74" i="12"/>
  <c r="DI74" i="12"/>
  <c r="DG74" i="12"/>
  <c r="DF74" i="12"/>
  <c r="DD74" i="12"/>
  <c r="DC74" i="12"/>
  <c r="DA74" i="12"/>
  <c r="CZ74" i="12"/>
  <c r="CX74" i="12"/>
  <c r="CW74" i="12"/>
  <c r="CU74" i="12"/>
  <c r="CT74" i="12"/>
  <c r="CR74" i="12"/>
  <c r="CQ74" i="12"/>
  <c r="CO74" i="12"/>
  <c r="CN74" i="12"/>
  <c r="CL74" i="12"/>
  <c r="CK74" i="12"/>
  <c r="CI74" i="12"/>
  <c r="CH74" i="12"/>
  <c r="CF74" i="12"/>
  <c r="CE74" i="12"/>
  <c r="CC74" i="12"/>
  <c r="CB74" i="12"/>
  <c r="BZ74" i="12"/>
  <c r="BY74" i="12"/>
  <c r="BW74" i="12"/>
  <c r="BV74" i="12"/>
  <c r="BT74" i="12"/>
  <c r="BS74" i="12"/>
  <c r="BQ74" i="12"/>
  <c r="BP74" i="12"/>
  <c r="BN74" i="12"/>
  <c r="BM74" i="12"/>
  <c r="BK74" i="12"/>
  <c r="BJ74" i="12"/>
  <c r="BH74" i="12"/>
  <c r="BG74" i="12"/>
  <c r="BE74" i="12"/>
  <c r="BD74" i="12"/>
  <c r="BB74" i="12"/>
  <c r="BA74" i="12"/>
  <c r="AY74" i="12"/>
  <c r="AX74" i="12"/>
  <c r="AV74" i="12"/>
  <c r="AU74" i="12"/>
  <c r="AS74" i="12"/>
  <c r="AR74" i="12"/>
  <c r="AP74" i="12"/>
  <c r="AO74" i="12"/>
  <c r="AM74" i="12"/>
  <c r="AL74" i="12"/>
  <c r="AJ74" i="12"/>
  <c r="AI74" i="12"/>
  <c r="AG74" i="12"/>
  <c r="AF74" i="12"/>
  <c r="AD74" i="12"/>
  <c r="AC74" i="12"/>
  <c r="AA74" i="12"/>
  <c r="Z74" i="12"/>
  <c r="X74" i="12"/>
  <c r="W74" i="12"/>
  <c r="R74" i="12"/>
  <c r="Q74" i="12"/>
  <c r="O74" i="12"/>
  <c r="N74" i="12"/>
  <c r="L74" i="12"/>
  <c r="K74" i="12"/>
  <c r="I74" i="12"/>
  <c r="H74" i="12"/>
  <c r="E74" i="12"/>
  <c r="B74" i="12"/>
  <c r="F74" i="12"/>
  <c r="C74" i="12"/>
  <c r="J9" i="27"/>
  <c r="E19" i="27"/>
  <c r="S23" i="27"/>
  <c r="S24" i="27"/>
  <c r="S25" i="27"/>
  <c r="S26" i="27"/>
  <c r="S27" i="27"/>
  <c r="S28" i="27"/>
  <c r="S29" i="27"/>
  <c r="S30" i="27"/>
  <c r="S31" i="27"/>
  <c r="S32" i="27"/>
  <c r="S33" i="27"/>
  <c r="S34" i="27"/>
  <c r="S35" i="27"/>
  <c r="S36" i="27"/>
  <c r="S37" i="27"/>
  <c r="BC60" i="70" l="1"/>
  <c r="BF60" i="70"/>
  <c r="AO53" i="70" a="1"/>
  <c r="AO53" i="70" s="1"/>
  <c r="AO57" i="70" a="1"/>
  <c r="AO57" i="70" s="1"/>
  <c r="AO36" i="70" a="1"/>
  <c r="AO36" i="70" s="1"/>
  <c r="BA44" i="70"/>
  <c r="BQ44" i="70"/>
  <c r="BD39" i="70"/>
  <c r="BL39" i="70"/>
  <c r="AS49" i="70"/>
  <c r="BQ49" i="70"/>
  <c r="BI60" i="70"/>
  <c r="BH60" i="70"/>
  <c r="BH54" i="70"/>
  <c r="BE54" i="70"/>
  <c r="BJ40" i="70"/>
  <c r="AX40" i="70"/>
  <c r="BK40" i="70"/>
  <c r="BL40" i="70"/>
  <c r="BM38" i="70"/>
  <c r="BF38" i="70"/>
  <c r="BB42" i="70"/>
  <c r="BP42" i="70"/>
  <c r="BB56" i="70"/>
  <c r="BO56" i="70"/>
  <c r="AY59" i="70"/>
  <c r="BP59" i="70"/>
  <c r="AZ48" i="70"/>
  <c r="BA48" i="70"/>
  <c r="BA52" i="70"/>
  <c r="BP52" i="70"/>
  <c r="AY61" i="70"/>
  <c r="BL61" i="70"/>
  <c r="BN61" i="70"/>
  <c r="E5" i="27"/>
  <c r="BP58" i="70"/>
  <c r="BD58" i="70"/>
  <c r="AY37" i="70"/>
  <c r="BL37" i="70"/>
  <c r="BC42" i="70"/>
  <c r="BQ42" i="70"/>
  <c r="BK42" i="70"/>
  <c r="BN49" i="70"/>
  <c r="BM49" i="70"/>
  <c r="AX50" i="70"/>
  <c r="BO50" i="70"/>
  <c r="BE45" i="70"/>
  <c r="BG45" i="70"/>
  <c r="W47" i="70"/>
  <c r="W19" i="70"/>
  <c r="AA42" i="70" s="1"/>
  <c r="W22" i="70"/>
  <c r="AA47" i="70" s="1"/>
  <c r="BD60" i="70"/>
  <c r="AZ60" i="70"/>
  <c r="AR39" i="70"/>
  <c r="AB44" i="70"/>
  <c r="H10" i="27" s="1"/>
  <c r="BF55" i="70"/>
  <c r="BB55" i="70"/>
  <c r="BD48" i="70"/>
  <c r="BE48" i="70"/>
  <c r="BJ46" i="70"/>
  <c r="BE46" i="70"/>
  <c r="AX59" i="70"/>
  <c r="AV59" i="70"/>
  <c r="AU56" i="70"/>
  <c r="BH56" i="70"/>
  <c r="BL51" i="70"/>
  <c r="BE51" i="70"/>
  <c r="BB45" i="70"/>
  <c r="BI45" i="70"/>
  <c r="BO49" i="70"/>
  <c r="BC49" i="70"/>
  <c r="AY46" i="70"/>
  <c r="BO46" i="70"/>
  <c r="BK55" i="70"/>
  <c r="BQ55" i="70"/>
  <c r="AR60" i="70"/>
  <c r="BG37" i="70"/>
  <c r="BI37" i="70"/>
  <c r="AZ54" i="70"/>
  <c r="BK54" i="70"/>
  <c r="BH39" i="70"/>
  <c r="BF39" i="70"/>
  <c r="AS59" i="70"/>
  <c r="BK59" i="70"/>
  <c r="BQ47" i="70"/>
  <c r="BC47" i="70"/>
  <c r="BC38" i="70"/>
  <c r="BO38" i="70"/>
  <c r="AX61" i="70"/>
  <c r="AS61" i="70"/>
  <c r="AV49" i="70"/>
  <c r="AX49" i="70"/>
  <c r="BH42" i="70"/>
  <c r="BL42" i="70"/>
  <c r="BN37" i="70"/>
  <c r="BK37" i="70"/>
  <c r="AT44" i="70"/>
  <c r="BP44" i="70"/>
  <c r="AU58" i="70"/>
  <c r="BO58" i="70"/>
  <c r="AR41" i="70"/>
  <c r="BG41" i="70"/>
  <c r="AR40" i="70"/>
  <c r="BM61" i="70"/>
  <c r="AU61" i="70"/>
  <c r="AS60" i="70"/>
  <c r="AV60" i="70"/>
  <c r="AV55" i="70"/>
  <c r="BA55" i="70"/>
  <c r="BC43" i="70"/>
  <c r="BM43" i="70"/>
  <c r="BF44" i="70"/>
  <c r="AV44" i="70"/>
  <c r="AR47" i="70"/>
  <c r="BD47" i="70"/>
  <c r="AW38" i="70"/>
  <c r="BI38" i="70"/>
  <c r="BB51" i="70"/>
  <c r="BN51" i="70"/>
  <c r="BI58" i="70"/>
  <c r="AW58" i="70"/>
  <c r="BE41" i="70"/>
  <c r="BJ41" i="70"/>
  <c r="AW50" i="70"/>
  <c r="BQ50" i="70"/>
  <c r="BD40" i="70"/>
  <c r="BG40" i="70"/>
  <c r="BD59" i="70"/>
  <c r="BA59" i="70"/>
  <c r="AW61" i="70"/>
  <c r="BB61" i="70"/>
  <c r="AT46" i="70"/>
  <c r="BM46" i="70"/>
  <c r="AW45" i="70"/>
  <c r="BJ45" i="70"/>
  <c r="BG60" i="70"/>
  <c r="BL60" i="70"/>
  <c r="BN55" i="70"/>
  <c r="BG55" i="70"/>
  <c r="BA56" i="70"/>
  <c r="BE56" i="70"/>
  <c r="AV52" i="70"/>
  <c r="BO52" i="70"/>
  <c r="BL38" i="70"/>
  <c r="AT38" i="70"/>
  <c r="BN38" i="70"/>
  <c r="BI48" i="70"/>
  <c r="AW48" i="70"/>
  <c r="BF54" i="70"/>
  <c r="BG54" i="70"/>
  <c r="BA49" i="70"/>
  <c r="AU49" i="70"/>
  <c r="BP41" i="70"/>
  <c r="AW41" i="70"/>
  <c r="BF50" i="70"/>
  <c r="AV50" i="70"/>
  <c r="AS47" i="70"/>
  <c r="BE47" i="70"/>
  <c r="AX47" i="70"/>
  <c r="AY58" i="70"/>
  <c r="BJ58" i="70"/>
  <c r="BF37" i="70"/>
  <c r="AU37" i="70"/>
  <c r="BB41" i="70"/>
  <c r="BC41" i="70"/>
  <c r="BC44" i="70"/>
  <c r="BH44" i="70"/>
  <c r="BM51" i="70"/>
  <c r="AS51" i="70"/>
  <c r="AV54" i="70"/>
  <c r="BN54" i="70"/>
  <c r="AX45" i="70"/>
  <c r="BA45" i="70"/>
  <c r="AY40" i="70"/>
  <c r="BE40" i="70"/>
  <c r="BP39" i="70"/>
  <c r="AY39" i="70"/>
  <c r="AU43" i="70"/>
  <c r="BA43" i="70"/>
  <c r="AZ43" i="70"/>
  <c r="BE49" i="70"/>
  <c r="BL49" i="70"/>
  <c r="AR50" i="70"/>
  <c r="BQ52" i="70"/>
  <c r="BJ52" i="70"/>
  <c r="BL45" i="70"/>
  <c r="BP45" i="70"/>
  <c r="AU45" i="70"/>
  <c r="BQ56" i="70"/>
  <c r="BL56" i="70"/>
  <c r="BK46" i="70"/>
  <c r="BC46" i="70"/>
  <c r="BJ38" i="70"/>
  <c r="AZ38" i="70"/>
  <c r="BC54" i="70"/>
  <c r="BL54" i="70"/>
  <c r="AV40" i="70"/>
  <c r="BP40" i="70"/>
  <c r="AR61" i="70"/>
  <c r="AR55" i="70"/>
  <c r="AX55" i="70"/>
  <c r="AX39" i="70"/>
  <c r="BN39" i="70"/>
  <c r="BB39" i="70"/>
  <c r="AR42" i="70"/>
  <c r="BO42" i="70"/>
  <c r="BL43" i="70"/>
  <c r="BN43" i="70"/>
  <c r="BN50" i="70"/>
  <c r="BD50" i="70"/>
  <c r="AW47" i="70"/>
  <c r="AZ47" i="70"/>
  <c r="BH47" i="70"/>
  <c r="AW51" i="70"/>
  <c r="BA51" i="70"/>
  <c r="AT60" i="70"/>
  <c r="BM60" i="70"/>
  <c r="BM41" i="70"/>
  <c r="AU41" i="70"/>
  <c r="AU42" i="70"/>
  <c r="AS42" i="70"/>
  <c r="BJ42" i="70"/>
  <c r="AR46" i="70"/>
  <c r="BF46" i="70"/>
  <c r="BH45" i="70"/>
  <c r="AY45" i="70"/>
  <c r="AX58" i="70"/>
  <c r="BK58" i="70"/>
  <c r="BD41" i="70"/>
  <c r="BL41" i="70"/>
  <c r="BP37" i="70"/>
  <c r="BJ37" i="70"/>
  <c r="BF43" i="70"/>
  <c r="BE43" i="70"/>
  <c r="BC59" i="70"/>
  <c r="BI59" i="70"/>
  <c r="AS54" i="70"/>
  <c r="BJ54" i="70"/>
  <c r="BF47" i="70"/>
  <c r="BO47" i="70"/>
  <c r="BK44" i="70"/>
  <c r="AZ44" i="70"/>
  <c r="AY48" i="70"/>
  <c r="BO48" i="70"/>
  <c r="BB48" i="70"/>
  <c r="BJ61" i="70"/>
  <c r="BE61" i="70"/>
  <c r="BI49" i="70"/>
  <c r="BF49" i="70"/>
  <c r="AT56" i="70"/>
  <c r="AV56" i="70"/>
  <c r="BD56" i="70"/>
  <c r="BN52" i="70"/>
  <c r="AW52" i="70"/>
  <c r="BQ51" i="70"/>
  <c r="AY51" i="70"/>
  <c r="AT42" i="70"/>
  <c r="BD42" i="70"/>
  <c r="BH41" i="70"/>
  <c r="AY41" i="70"/>
  <c r="BI41" i="70"/>
  <c r="AS37" i="70"/>
  <c r="BB37" i="70"/>
  <c r="AT50" i="70"/>
  <c r="BP50" i="70"/>
  <c r="BK50" i="70"/>
  <c r="BM47" i="70"/>
  <c r="AV47" i="70"/>
  <c r="BI47" i="70"/>
  <c r="AR44" i="70"/>
  <c r="AW44" i="70"/>
  <c r="AY52" i="70"/>
  <c r="AZ52" i="70"/>
  <c r="AR38" i="70"/>
  <c r="AU38" i="70"/>
  <c r="BM48" i="70"/>
  <c r="BH48" i="70"/>
  <c r="AZ40" i="70"/>
  <c r="AS40" i="70"/>
  <c r="BH40" i="70"/>
  <c r="AT55" i="70"/>
  <c r="BL55" i="70"/>
  <c r="BJ39" i="70"/>
  <c r="AW39" i="70"/>
  <c r="AS56" i="70"/>
  <c r="BG56" i="70"/>
  <c r="AW43" i="70"/>
  <c r="AV43" i="70"/>
  <c r="BP46" i="70"/>
  <c r="BL46" i="70"/>
  <c r="AR54" i="70"/>
  <c r="AZ41" i="70"/>
  <c r="BQ41" i="70"/>
  <c r="AY42" i="70"/>
  <c r="BI42" i="70"/>
  <c r="AX42" i="70"/>
  <c r="BO37" i="70"/>
  <c r="AV37" i="70"/>
  <c r="AZ50" i="70"/>
  <c r="AU50" i="70"/>
  <c r="BE38" i="70"/>
  <c r="BK38" i="70"/>
  <c r="BD51" i="70"/>
  <c r="BH51" i="70"/>
  <c r="AT49" i="70"/>
  <c r="BH49" i="70"/>
  <c r="BA61" i="70"/>
  <c r="BP61" i="70"/>
  <c r="BG51" i="70"/>
  <c r="BC51" i="70"/>
  <c r="BP48" i="70"/>
  <c r="BF48" i="70"/>
  <c r="BK61" i="70"/>
  <c r="BG61" i="70"/>
  <c r="BC61" i="70"/>
  <c r="BH46" i="70"/>
  <c r="BQ46" i="70"/>
  <c r="BF40" i="70"/>
  <c r="BQ40" i="70"/>
  <c r="AS39" i="70"/>
  <c r="BA39" i="70"/>
  <c r="BC55" i="70"/>
  <c r="BI55" i="70"/>
  <c r="AW55" i="70"/>
  <c r="AX60" i="70"/>
  <c r="AY60" i="70"/>
  <c r="BD37" i="70"/>
  <c r="AT37" i="70"/>
  <c r="BM50" i="70"/>
  <c r="BA50" i="70"/>
  <c r="BD54" i="70"/>
  <c r="AW54" i="70"/>
  <c r="AT59" i="70"/>
  <c r="BQ59" i="70"/>
  <c r="AR49" i="70"/>
  <c r="AX56" i="70"/>
  <c r="BK56" i="70"/>
  <c r="BH43" i="70"/>
  <c r="BD43" i="70"/>
  <c r="BD44" i="70"/>
  <c r="AX44" i="70"/>
  <c r="BH52" i="70"/>
  <c r="AU52" i="70"/>
  <c r="BI52" i="70"/>
  <c r="BF52" i="70"/>
  <c r="BQ45" i="70"/>
  <c r="BN45" i="70"/>
  <c r="AV45" i="70"/>
  <c r="AV58" i="70"/>
  <c r="AZ58" i="70"/>
  <c r="BE60" i="70"/>
  <c r="BQ60" i="70"/>
  <c r="BG49" i="70"/>
  <c r="AY49" i="70"/>
  <c r="AW49" i="70"/>
  <c r="AR43" i="70"/>
  <c r="AX38" i="70"/>
  <c r="BA38" i="70"/>
  <c r="AR52" i="70"/>
  <c r="BB54" i="70"/>
  <c r="AU54" i="70"/>
  <c r="AT54" i="70"/>
  <c r="BN44" i="70"/>
  <c r="BB44" i="70"/>
  <c r="AZ46" i="70"/>
  <c r="AW46" i="70"/>
  <c r="BC40" i="70"/>
  <c r="BI40" i="70"/>
  <c r="AT40" i="70"/>
  <c r="AU39" i="70"/>
  <c r="BI39" i="70"/>
  <c r="BA41" i="70"/>
  <c r="AX41" i="70"/>
  <c r="AZ42" i="70"/>
  <c r="BG42" i="70"/>
  <c r="AV42" i="70"/>
  <c r="BG50" i="70"/>
  <c r="AY50" i="70"/>
  <c r="BO43" i="70"/>
  <c r="BQ43" i="70"/>
  <c r="AT43" i="70"/>
  <c r="AU51" i="70"/>
  <c r="AX51" i="70"/>
  <c r="BJ51" i="70"/>
  <c r="AW60" i="70"/>
  <c r="BK60" i="70"/>
  <c r="BM52" i="70"/>
  <c r="BE52" i="70"/>
  <c r="BL58" i="70"/>
  <c r="BM58" i="70"/>
  <c r="BK48" i="70"/>
  <c r="AU48" i="70"/>
  <c r="BO61" i="70"/>
  <c r="AT61" i="70"/>
  <c r="BQ61" i="70"/>
  <c r="AY38" i="70"/>
  <c r="BH38" i="70"/>
  <c r="BP38" i="70"/>
  <c r="BQ39" i="70"/>
  <c r="BO39" i="70"/>
  <c r="AS55" i="70"/>
  <c r="BP55" i="70"/>
  <c r="BB59" i="70"/>
  <c r="BM59" i="70"/>
  <c r="AR51" i="70"/>
  <c r="BM40" i="70"/>
  <c r="BO40" i="70"/>
  <c r="BG39" i="70"/>
  <c r="AV39" i="70"/>
  <c r="BM39" i="70"/>
  <c r="BE42" i="70"/>
  <c r="BF42" i="70"/>
  <c r="BJ48" i="70"/>
  <c r="AX48" i="70"/>
  <c r="BC37" i="70"/>
  <c r="AX37" i="70"/>
  <c r="BE59" i="70"/>
  <c r="BL59" i="70"/>
  <c r="BJ59" i="70"/>
  <c r="AW56" i="70"/>
  <c r="BN56" i="70"/>
  <c r="AU44" i="70"/>
  <c r="AS44" i="70"/>
  <c r="BG44" i="70"/>
  <c r="BP43" i="70"/>
  <c r="AY43" i="70"/>
  <c r="AS43" i="70"/>
  <c r="AR48" i="70"/>
  <c r="BG47" i="70"/>
  <c r="AT47" i="70"/>
  <c r="BK47" i="70"/>
  <c r="AV38" i="70"/>
  <c r="BQ38" i="70"/>
  <c r="BB38" i="70"/>
  <c r="AZ51" i="70"/>
  <c r="BO51" i="70"/>
  <c r="BN60" i="70"/>
  <c r="BA60" i="70"/>
  <c r="BP54" i="70"/>
  <c r="AX54" i="70"/>
  <c r="AT52" i="70"/>
  <c r="BK52" i="70"/>
  <c r="BB58" i="70"/>
  <c r="BQ58" i="70"/>
  <c r="AS58" i="70"/>
  <c r="BI61" i="70"/>
  <c r="BH61" i="70"/>
  <c r="BD61" i="70"/>
  <c r="AX46" i="70"/>
  <c r="BN46" i="70"/>
  <c r="AV46" i="70"/>
  <c r="BO45" i="70"/>
  <c r="BF45" i="70"/>
  <c r="AZ55" i="70"/>
  <c r="AU55" i="70"/>
  <c r="BM55" i="70"/>
  <c r="AY55" i="70"/>
  <c r="BH37" i="70"/>
  <c r="AW37" i="70"/>
  <c r="BE37" i="70"/>
  <c r="AS50" i="70"/>
  <c r="BB50" i="70"/>
  <c r="BH59" i="70"/>
  <c r="BF59" i="70"/>
  <c r="AZ59" i="70"/>
  <c r="BO59" i="70"/>
  <c r="BC56" i="70"/>
  <c r="BJ56" i="70"/>
  <c r="AY47" i="70"/>
  <c r="BL47" i="70"/>
  <c r="BJ44" i="70"/>
  <c r="BL44" i="70"/>
  <c r="BG43" i="70"/>
  <c r="BB43" i="70"/>
  <c r="BI51" i="70"/>
  <c r="BP51" i="70"/>
  <c r="BO60" i="70"/>
  <c r="AU60" i="70"/>
  <c r="BI54" i="70"/>
  <c r="BA54" i="70"/>
  <c r="BM54" i="70"/>
  <c r="AX52" i="70"/>
  <c r="BB52" i="70"/>
  <c r="BE58" i="70"/>
  <c r="AT58" i="70"/>
  <c r="BC58" i="70"/>
  <c r="AV48" i="70"/>
  <c r="BN48" i="70"/>
  <c r="AS48" i="70"/>
  <c r="BM45" i="70"/>
  <c r="BD45" i="70"/>
  <c r="BK45" i="70"/>
  <c r="AR59" i="70"/>
  <c r="BK39" i="70"/>
  <c r="BE39" i="70"/>
  <c r="BN41" i="70"/>
  <c r="AS41" i="70"/>
  <c r="BD49" i="70"/>
  <c r="BK49" i="70"/>
  <c r="AZ49" i="70"/>
  <c r="BA42" i="70"/>
  <c r="BM42" i="70"/>
  <c r="BI50" i="70"/>
  <c r="BC50" i="70"/>
  <c r="AR56" i="70"/>
  <c r="BP56" i="70"/>
  <c r="BF56" i="70"/>
  <c r="BI56" i="70"/>
  <c r="BA58" i="70"/>
  <c r="BF58" i="70"/>
  <c r="BH58" i="70"/>
  <c r="BN58" i="70"/>
  <c r="BL52" i="70"/>
  <c r="BC52" i="70"/>
  <c r="AU46" i="70"/>
  <c r="BA46" i="70"/>
  <c r="BB46" i="70"/>
  <c r="AR45" i="70"/>
  <c r="BL48" i="70"/>
  <c r="BG48" i="70"/>
  <c r="BB40" i="70"/>
  <c r="BA40" i="70"/>
  <c r="BK41" i="70"/>
  <c r="AT41" i="70"/>
  <c r="BJ55" i="70"/>
  <c r="BD55" i="70"/>
  <c r="BO55" i="70"/>
  <c r="AR37" i="70"/>
  <c r="AZ37" i="70"/>
  <c r="BM37" i="70"/>
  <c r="AU47" i="70"/>
  <c r="BA47" i="70"/>
  <c r="BI44" i="70"/>
  <c r="BE44" i="70"/>
  <c r="AY56" i="70"/>
  <c r="AZ56" i="70"/>
  <c r="BM56" i="70"/>
  <c r="BK51" i="70"/>
  <c r="AT51" i="70"/>
  <c r="BB49" i="70"/>
  <c r="BP49" i="70"/>
  <c r="BJ49" i="70"/>
  <c r="BH50" i="70"/>
  <c r="BE50" i="70"/>
  <c r="BL50" i="70"/>
  <c r="BO44" i="70"/>
  <c r="AY44" i="70"/>
  <c r="BM44" i="70"/>
  <c r="AV41" i="70"/>
  <c r="BF41" i="70"/>
  <c r="BD38" i="70"/>
  <c r="AS38" i="70"/>
  <c r="BG38" i="70"/>
  <c r="BF51" i="70"/>
  <c r="AV51" i="70"/>
  <c r="BK43" i="70"/>
  <c r="BI43" i="70"/>
  <c r="AX43" i="70"/>
  <c r="BN42" i="70"/>
  <c r="AW42" i="70"/>
  <c r="BB60" i="70"/>
  <c r="BJ60" i="70"/>
  <c r="BP60" i="70"/>
  <c r="AY54" i="70"/>
  <c r="BO54" i="70"/>
  <c r="BE55" i="70"/>
  <c r="BH55" i="70"/>
  <c r="BQ37" i="70"/>
  <c r="BA37" i="70"/>
  <c r="BP47" i="70"/>
  <c r="BJ47" i="70"/>
  <c r="BB47" i="70"/>
  <c r="BF61" i="70"/>
  <c r="AV61" i="70"/>
  <c r="BG52" i="70"/>
  <c r="AS52" i="70"/>
  <c r="BD52" i="70"/>
  <c r="AW59" i="70"/>
  <c r="AU59" i="70"/>
  <c r="BN59" i="70"/>
  <c r="BG46" i="70"/>
  <c r="AS46" i="70"/>
  <c r="BD46" i="70"/>
  <c r="AR58" i="70"/>
  <c r="BN40" i="70"/>
  <c r="AW40" i="70"/>
  <c r="AU40" i="70"/>
  <c r="BC45" i="70"/>
  <c r="AT45" i="70"/>
  <c r="AZ45" i="70"/>
  <c r="AZ39" i="70"/>
  <c r="BC39" i="70"/>
  <c r="AT39" i="70"/>
  <c r="AT48" i="70"/>
  <c r="BC48" i="70"/>
  <c r="AP35" i="70"/>
  <c r="AQ78" i="70"/>
  <c r="AP78" i="70"/>
  <c r="E15" i="27" a="1"/>
  <c r="E15" i="27" s="1"/>
  <c r="E10" i="27"/>
  <c r="E7" i="27"/>
  <c r="AO45" i="70" l="1" a="1"/>
  <c r="AO45" i="70" s="1"/>
  <c r="AO54" i="70" a="1"/>
  <c r="AO54" i="70" s="1"/>
  <c r="AO50" i="70" a="1"/>
  <c r="AO50" i="70" s="1"/>
  <c r="AO38" i="70" a="1"/>
  <c r="AO38" i="70" s="1"/>
  <c r="AO49" i="70" a="1"/>
  <c r="AO49" i="70" s="1"/>
  <c r="AO51" i="70" a="1"/>
  <c r="AO51" i="70" s="1"/>
  <c r="AO42" i="70" a="1"/>
  <c r="AO42" i="70" s="1"/>
  <c r="AO52" i="70" a="1"/>
  <c r="AO52" i="70" s="1"/>
  <c r="AO58" i="70" a="1"/>
  <c r="AO58" i="70" s="1"/>
  <c r="AO48" i="70" a="1"/>
  <c r="AO48" i="70" s="1"/>
  <c r="AO43" i="70" a="1"/>
  <c r="AO43" i="70" s="1"/>
  <c r="AO55" i="70" a="1"/>
  <c r="AO55" i="70" s="1"/>
  <c r="AO46" i="70" a="1"/>
  <c r="AO46" i="70" s="1"/>
  <c r="AO61" i="70" a="1"/>
  <c r="AO61" i="70" s="1"/>
  <c r="AO40" i="70" a="1"/>
  <c r="AO40" i="70" s="1"/>
  <c r="AO44" i="70" a="1"/>
  <c r="AO44" i="70" s="1"/>
  <c r="AO47" i="70" a="1"/>
  <c r="AO47" i="70" s="1"/>
  <c r="AO39" i="70" a="1"/>
  <c r="AO39" i="70" s="1"/>
  <c r="AO59" i="70" a="1"/>
  <c r="AO59" i="70" s="1"/>
  <c r="AO37" i="70" a="1"/>
  <c r="AO37" i="70" s="1"/>
  <c r="AO41" i="70" a="1"/>
  <c r="AO41" i="70" s="1"/>
  <c r="AO56" i="70" a="1"/>
  <c r="AO56" i="70" s="1"/>
  <c r="AO60" i="70" a="1"/>
  <c r="AO60" i="70" s="1"/>
  <c r="AQ34" i="70"/>
  <c r="AP34" i="70"/>
  <c r="H7" i="27"/>
  <c r="H4" i="27"/>
  <c r="E16" i="27" a="1"/>
  <c r="E16" i="27" s="1"/>
  <c r="JX34" i="12" a="1"/>
  <c r="JX34" i="12" s="1"/>
  <c r="JY34" i="12" a="1"/>
  <c r="JY34" i="12" s="1"/>
  <c r="JZ34" i="12" a="1"/>
  <c r="JZ34" i="12" s="1"/>
  <c r="KA34" i="12" a="1"/>
  <c r="KA34" i="12" s="1"/>
  <c r="KB34" i="12" a="1"/>
  <c r="KB34" i="12" s="1"/>
  <c r="KC34" i="12" a="1"/>
  <c r="KC34" i="12" s="1"/>
  <c r="KD34" i="12" a="1"/>
  <c r="KD34" i="12" s="1"/>
  <c r="KE34" i="12" a="1"/>
  <c r="KE34" i="12" s="1"/>
  <c r="KF34" i="12" a="1"/>
  <c r="KF34" i="12" s="1"/>
  <c r="X75" i="22"/>
  <c r="X45" i="22"/>
  <c r="X46" i="22"/>
  <c r="X47" i="22"/>
  <c r="X48" i="22"/>
  <c r="X49" i="22"/>
  <c r="X50" i="22"/>
  <c r="X51" i="22"/>
  <c r="X52" i="22"/>
  <c r="X53" i="22"/>
  <c r="X54" i="22"/>
  <c r="X55" i="22"/>
  <c r="X56" i="22"/>
  <c r="X57" i="22"/>
  <c r="X58" i="22"/>
  <c r="X59" i="22"/>
  <c r="X61" i="22"/>
  <c r="X62" i="22"/>
  <c r="X63" i="22"/>
  <c r="X64" i="22"/>
  <c r="X65" i="22"/>
  <c r="X66" i="22"/>
  <c r="X67" i="22"/>
  <c r="X68" i="22"/>
  <c r="X69" i="22"/>
  <c r="X70" i="22"/>
  <c r="X71" i="22"/>
  <c r="X72" i="22"/>
  <c r="X74" i="22"/>
  <c r="X9" i="22"/>
  <c r="X10" i="22"/>
  <c r="X11" i="22"/>
  <c r="X12" i="22"/>
  <c r="X13" i="22"/>
  <c r="X14" i="22"/>
  <c r="X15" i="22"/>
  <c r="X16" i="22"/>
  <c r="X17" i="22"/>
  <c r="X18" i="22"/>
  <c r="X19" i="22"/>
  <c r="X20" i="22"/>
  <c r="X21" i="22"/>
  <c r="X22" i="22"/>
  <c r="X23" i="22"/>
  <c r="X24" i="22"/>
  <c r="X25" i="22"/>
  <c r="X26" i="22"/>
  <c r="X27" i="22"/>
  <c r="X28" i="22"/>
  <c r="X29" i="22"/>
  <c r="X30" i="22"/>
  <c r="X31" i="22"/>
  <c r="X32" i="22"/>
  <c r="X33" i="22"/>
  <c r="X34" i="22"/>
  <c r="X35" i="22"/>
  <c r="X36" i="22"/>
  <c r="X37" i="22"/>
  <c r="X38" i="22"/>
  <c r="X39" i="22"/>
  <c r="X40" i="22"/>
  <c r="X41" i="22"/>
  <c r="X42" i="22"/>
  <c r="X43" i="22"/>
  <c r="X44" i="22"/>
  <c r="AO35" i="70" l="1" a="1"/>
  <c r="AO35" i="70" s="1"/>
  <c r="C9" i="27" s="1"/>
  <c r="KE74" i="12"/>
  <c r="JX74" i="12"/>
  <c r="KD74" i="12"/>
  <c r="KB74" i="12"/>
  <c r="KA74" i="12"/>
  <c r="JY74" i="12"/>
  <c r="JV74" i="12"/>
  <c r="JU74" i="12"/>
  <c r="E29" i="7" a="1"/>
  <c r="E29" i="7" s="1"/>
  <c r="H25" i="7" s="1"/>
  <c r="B2" i="26" a="1"/>
  <c r="B2" i="26" s="1"/>
  <c r="AA1" i="19" a="1"/>
  <c r="AA1" i="19" s="1"/>
  <c r="R2" i="14"/>
  <c r="F29" i="7" l="1"/>
  <c r="A74" i="12" a="1"/>
  <c r="A74" i="12" s="1"/>
  <c r="P37" i="23"/>
  <c r="G4" i="24"/>
  <c r="G10" i="24" s="1" a="1"/>
  <c r="G10" i="24" s="1"/>
  <c r="G3" i="24"/>
  <c r="G7" i="24" s="1" a="1"/>
  <c r="G7" i="24" s="1"/>
  <c r="G2" i="24"/>
  <c r="G6" i="24" s="1" a="1"/>
  <c r="G6" i="24" s="1"/>
  <c r="P4" i="24" s="1"/>
  <c r="G20" i="24" a="1"/>
  <c r="G20" i="24" s="1"/>
  <c r="F20" i="24" a="1"/>
  <c r="F20" i="24" s="1"/>
  <c r="E20" i="24" a="1"/>
  <c r="E20" i="24" s="1"/>
  <c r="G19" i="24" a="1"/>
  <c r="G19" i="24" s="1"/>
  <c r="F19" i="24" a="1"/>
  <c r="F19" i="24" s="1"/>
  <c r="E19" i="24" a="1"/>
  <c r="E19" i="24" s="1"/>
  <c r="G18" i="24" a="1"/>
  <c r="G18" i="24" s="1"/>
  <c r="F18" i="24" a="1"/>
  <c r="F18" i="24" s="1"/>
  <c r="E18" i="24" a="1"/>
  <c r="E18" i="24" s="1"/>
  <c r="G17" i="24" a="1"/>
  <c r="G17" i="24" s="1"/>
  <c r="F17" i="24" a="1"/>
  <c r="F17" i="24" s="1"/>
  <c r="E17" i="24" a="1"/>
  <c r="E17" i="24" s="1"/>
  <c r="G16" i="24" a="1"/>
  <c r="G16" i="24" s="1"/>
  <c r="F16" i="24" a="1"/>
  <c r="F16" i="24" s="1"/>
  <c r="E16" i="24" a="1"/>
  <c r="E16" i="24" s="1"/>
  <c r="B15" i="24" a="1"/>
  <c r="B15" i="24" s="1"/>
  <c r="A15" i="24" a="1"/>
  <c r="A15" i="24" s="1"/>
  <c r="G15" i="24" a="1"/>
  <c r="G15" i="24" s="1"/>
  <c r="F15" i="24" a="1"/>
  <c r="F15" i="24" s="1"/>
  <c r="J1" i="27" l="1"/>
  <c r="G11" i="24" a="1"/>
  <c r="G11" i="24" s="1"/>
  <c r="P21" i="27"/>
  <c r="O7" i="24"/>
  <c r="P7" i="24" s="1"/>
  <c r="O6" i="24"/>
  <c r="P6" i="24" s="1"/>
  <c r="O11" i="24"/>
  <c r="P11" i="24" s="1"/>
  <c r="O10" i="24"/>
  <c r="P10" i="24" s="1"/>
  <c r="N4" i="24"/>
  <c r="W4" i="24"/>
  <c r="U4" i="24"/>
  <c r="X4" i="24"/>
  <c r="V4" i="24"/>
  <c r="T4" i="24"/>
  <c r="R4" i="24"/>
  <c r="G9" i="24" a="1"/>
  <c r="G9" i="24" s="1"/>
  <c r="O9" i="24" s="1"/>
  <c r="P9" i="24" s="1"/>
  <c r="G8" i="24" a="1"/>
  <c r="G8" i="24" s="1"/>
  <c r="O8" i="24" s="1"/>
  <c r="P8" i="24" s="1"/>
  <c r="E10" i="24"/>
  <c r="J10" i="24" s="1"/>
  <c r="F10" i="24"/>
  <c r="K10" i="24" s="1"/>
  <c r="F7" i="24"/>
  <c r="K7" i="24" s="1"/>
  <c r="E15" i="24" a="1"/>
  <c r="E15" i="24" s="1"/>
  <c r="E7" i="24"/>
  <c r="J7" i="24" s="1"/>
  <c r="F6" i="24"/>
  <c r="K6" i="24" s="1"/>
  <c r="E6" i="24"/>
  <c r="J6" i="24" s="1"/>
  <c r="A12" i="27" l="1" a="1"/>
  <c r="A12" i="27" s="1"/>
  <c r="Y21" i="27"/>
  <c r="S6" i="24"/>
  <c r="T6" i="24" s="1"/>
  <c r="S7" i="24"/>
  <c r="T7" i="24" s="1"/>
  <c r="S10" i="24"/>
  <c r="T10" i="24" s="1"/>
  <c r="S8" i="24"/>
  <c r="T8" i="24" s="1"/>
  <c r="S9" i="24"/>
  <c r="T9" i="24" s="1"/>
  <c r="S11" i="24"/>
  <c r="T11" i="24" s="1"/>
  <c r="Q6" i="24"/>
  <c r="R6" i="24" s="1"/>
  <c r="Q11" i="24"/>
  <c r="R11" i="24" s="1"/>
  <c r="Q7" i="24"/>
  <c r="R7" i="24" s="1"/>
  <c r="Q10" i="24"/>
  <c r="R10" i="24" s="1"/>
  <c r="Q8" i="24"/>
  <c r="R8" i="24" s="1"/>
  <c r="Q9" i="24"/>
  <c r="R9" i="24" s="1"/>
  <c r="F8" i="24"/>
  <c r="K8" i="24" s="1"/>
  <c r="M6" i="24"/>
  <c r="N6" i="24" s="1"/>
  <c r="M9" i="24"/>
  <c r="N9" i="24" s="1"/>
  <c r="M7" i="24"/>
  <c r="N7" i="24" s="1"/>
  <c r="M8" i="24"/>
  <c r="N8" i="24" s="1"/>
  <c r="M11" i="24"/>
  <c r="N11" i="24" s="1"/>
  <c r="M10" i="24"/>
  <c r="N10" i="24" s="1"/>
  <c r="E8" i="24"/>
  <c r="J8" i="24" s="1"/>
  <c r="V9" i="24"/>
  <c r="V8" i="24"/>
  <c r="L10" i="24"/>
  <c r="U7" i="24"/>
  <c r="V7" i="24"/>
  <c r="V6" i="24"/>
  <c r="U8" i="24"/>
  <c r="V10" i="24"/>
  <c r="F9" i="24"/>
  <c r="K9" i="24" s="1"/>
  <c r="U10" i="24"/>
  <c r="U9" i="24"/>
  <c r="U6" i="24"/>
  <c r="E9" i="24"/>
  <c r="J9" i="24" s="1"/>
  <c r="L6" i="24"/>
  <c r="L7" i="24"/>
  <c r="L8" i="24" l="1"/>
  <c r="L9" i="24"/>
  <c r="E11" i="24"/>
  <c r="J11" i="24" s="1"/>
  <c r="F11" i="24"/>
  <c r="K11" i="24" s="1"/>
  <c r="V11" i="24"/>
  <c r="U11" i="24"/>
  <c r="J15" i="7"/>
  <c r="J16" i="7"/>
  <c r="J17" i="7"/>
  <c r="J18" i="7"/>
  <c r="J19" i="7"/>
  <c r="J20" i="7"/>
  <c r="J21" i="7"/>
  <c r="J22" i="7"/>
  <c r="J23" i="7"/>
  <c r="J24" i="7"/>
  <c r="J11" i="7"/>
  <c r="J12" i="7"/>
  <c r="J13" i="7"/>
  <c r="J14" i="7"/>
  <c r="I15" i="7" a="1"/>
  <c r="I15" i="7" s="1"/>
  <c r="I16" i="7" a="1"/>
  <c r="I16" i="7" s="1"/>
  <c r="I17" i="7" a="1"/>
  <c r="I17" i="7" s="1"/>
  <c r="I18" i="7" a="1"/>
  <c r="I18" i="7" s="1"/>
  <c r="I19" i="7" a="1"/>
  <c r="I19" i="7" s="1"/>
  <c r="I20" i="7" a="1"/>
  <c r="I20" i="7" s="1"/>
  <c r="I21" i="7" a="1"/>
  <c r="I21" i="7" s="1"/>
  <c r="I22" i="7" a="1"/>
  <c r="I22" i="7" s="1"/>
  <c r="I23" i="7" a="1"/>
  <c r="I23" i="7" s="1"/>
  <c r="I24" i="7" a="1"/>
  <c r="I24" i="7" s="1"/>
  <c r="L11" i="24" l="1"/>
  <c r="E40" i="7"/>
  <c r="E39" i="7"/>
  <c r="E26" i="7"/>
  <c r="H26" i="7" s="1"/>
  <c r="H27" i="7"/>
  <c r="D34" i="15"/>
  <c r="D33" i="15"/>
  <c r="D32" i="15"/>
  <c r="D31" i="15"/>
  <c r="D30" i="15"/>
  <c r="D29" i="15"/>
  <c r="D28" i="15"/>
  <c r="D27" i="15"/>
  <c r="D26" i="15"/>
  <c r="D25" i="15"/>
  <c r="D24" i="15"/>
  <c r="D23" i="15"/>
  <c r="D22" i="15"/>
  <c r="C34" i="15"/>
  <c r="C33" i="15"/>
  <c r="C32" i="15"/>
  <c r="C31" i="15"/>
  <c r="C30" i="15"/>
  <c r="A34" i="15"/>
  <c r="B34" i="15" s="1"/>
  <c r="A33" i="15"/>
  <c r="B33" i="15" s="1"/>
  <c r="A32" i="15"/>
  <c r="B32" i="15" s="1"/>
  <c r="A31" i="15"/>
  <c r="B31" i="15" s="1"/>
  <c r="A30" i="15"/>
  <c r="B30" i="15" s="1"/>
  <c r="A29" i="15"/>
  <c r="B29" i="15" s="1"/>
  <c r="A28" i="15"/>
  <c r="B28" i="15" s="1"/>
  <c r="A27" i="15"/>
  <c r="B27" i="15" s="1"/>
  <c r="A26" i="15"/>
  <c r="B26" i="15" s="1"/>
  <c r="A25" i="15"/>
  <c r="C25" i="15" s="1"/>
  <c r="A24" i="15"/>
  <c r="B24" i="15" s="1"/>
  <c r="A23" i="15"/>
  <c r="B23" i="15" s="1"/>
  <c r="A22" i="15"/>
  <c r="C22" i="15" s="1"/>
  <c r="E22" i="15"/>
  <c r="F22" i="15"/>
  <c r="E23" i="15"/>
  <c r="F23" i="15"/>
  <c r="E24" i="15"/>
  <c r="F24" i="15"/>
  <c r="E25" i="15"/>
  <c r="F25" i="15"/>
  <c r="E26" i="15"/>
  <c r="F26" i="15"/>
  <c r="E27" i="15"/>
  <c r="F27" i="15"/>
  <c r="E28" i="15"/>
  <c r="F28" i="15"/>
  <c r="E29" i="15"/>
  <c r="F29" i="15"/>
  <c r="E30" i="15"/>
  <c r="F30" i="15"/>
  <c r="E31" i="15"/>
  <c r="F31" i="15"/>
  <c r="E32" i="15"/>
  <c r="F32" i="15"/>
  <c r="E33" i="15"/>
  <c r="F33" i="15"/>
  <c r="E34" i="15"/>
  <c r="F34" i="15"/>
  <c r="C29" i="15" l="1"/>
  <c r="B25" i="15"/>
  <c r="C28" i="15"/>
  <c r="C27" i="15"/>
  <c r="C26" i="15"/>
  <c r="C24" i="15"/>
  <c r="C23" i="15"/>
  <c r="B22" i="15"/>
  <c r="S41" i="19" l="1"/>
  <c r="T41" i="19"/>
  <c r="U41" i="19"/>
  <c r="V41" i="19"/>
  <c r="W41" i="19"/>
  <c r="X41" i="19"/>
  <c r="Y41" i="19"/>
  <c r="R41" i="19"/>
  <c r="R37" i="19"/>
  <c r="S37" i="19"/>
  <c r="T37" i="19"/>
  <c r="U37" i="19"/>
  <c r="V37" i="19"/>
  <c r="W37" i="19"/>
  <c r="X37" i="19"/>
  <c r="Y37" i="19"/>
  <c r="R38" i="19"/>
  <c r="S38" i="19"/>
  <c r="T38" i="19"/>
  <c r="U38" i="19"/>
  <c r="V38" i="19"/>
  <c r="W38" i="19"/>
  <c r="X38" i="19"/>
  <c r="Y38" i="19"/>
  <c r="R39" i="19"/>
  <c r="U40" i="19" s="1"/>
  <c r="S39" i="19"/>
  <c r="T39" i="19"/>
  <c r="U39" i="19"/>
  <c r="V39" i="19"/>
  <c r="W39" i="19"/>
  <c r="X39" i="19"/>
  <c r="Y39" i="19"/>
  <c r="Y42" i="19" s="1"/>
  <c r="S36" i="19"/>
  <c r="T36" i="19"/>
  <c r="U36" i="19"/>
  <c r="V36" i="19"/>
  <c r="W36" i="19"/>
  <c r="X36" i="19"/>
  <c r="Y36" i="19"/>
  <c r="R36" i="19"/>
  <c r="S35" i="19"/>
  <c r="T35" i="19"/>
  <c r="U35" i="19"/>
  <c r="V35" i="19"/>
  <c r="W35" i="19"/>
  <c r="X35" i="19"/>
  <c r="Y35" i="19"/>
  <c r="R35" i="19"/>
  <c r="R33" i="19"/>
  <c r="S33" i="19"/>
  <c r="T33" i="19"/>
  <c r="U33" i="19"/>
  <c r="V33" i="19"/>
  <c r="W33" i="19"/>
  <c r="X33" i="19"/>
  <c r="Y33" i="19"/>
  <c r="R32" i="19"/>
  <c r="T32" i="19" s="1"/>
  <c r="R31" i="19"/>
  <c r="T31" i="19" s="1"/>
  <c r="S32" i="19"/>
  <c r="S31" i="19"/>
  <c r="R16" i="19"/>
  <c r="T16" i="19" s="1"/>
  <c r="S16" i="19"/>
  <c r="S15" i="19"/>
  <c r="R15" i="19"/>
  <c r="T15" i="19" s="1"/>
  <c r="B95" i="20"/>
  <c r="W42" i="19" l="1"/>
  <c r="U42" i="19"/>
  <c r="S42" i="19"/>
  <c r="X42" i="19"/>
  <c r="V42" i="19"/>
  <c r="U32" i="19"/>
  <c r="X40" i="19"/>
  <c r="W40" i="19"/>
  <c r="T40" i="19"/>
  <c r="T42" i="19"/>
  <c r="S40" i="19"/>
  <c r="U31" i="19"/>
  <c r="Y40" i="19"/>
  <c r="R40" i="19"/>
  <c r="V40" i="19"/>
  <c r="R42" i="19"/>
  <c r="C38" i="19"/>
  <c r="C37" i="19"/>
  <c r="C36" i="19"/>
  <c r="C54" i="19"/>
  <c r="C53" i="19"/>
  <c r="D3" i="20" l="1"/>
  <c r="D4" i="20"/>
  <c r="D5" i="20"/>
  <c r="D6" i="20"/>
  <c r="D7" i="20"/>
  <c r="D8" i="20"/>
  <c r="D9" i="20"/>
  <c r="D10" i="20"/>
  <c r="D11" i="20"/>
  <c r="D12" i="20"/>
  <c r="D13" i="20"/>
  <c r="D14" i="20"/>
  <c r="D15" i="20"/>
  <c r="D16" i="20"/>
  <c r="D17" i="20"/>
  <c r="D18" i="20"/>
  <c r="D19" i="20"/>
  <c r="D20" i="20"/>
  <c r="D21" i="20"/>
  <c r="D22" i="20"/>
  <c r="D23" i="20"/>
  <c r="D24" i="20"/>
  <c r="D25" i="20"/>
  <c r="D26" i="20"/>
  <c r="D27" i="20"/>
  <c r="D28" i="20"/>
  <c r="D29" i="20"/>
  <c r="D30" i="20"/>
  <c r="D31" i="20"/>
  <c r="D32" i="20"/>
  <c r="D33" i="20"/>
  <c r="D34" i="20"/>
  <c r="D35" i="20"/>
  <c r="D36" i="20"/>
  <c r="D37" i="20"/>
  <c r="D38" i="20"/>
  <c r="D39" i="20"/>
  <c r="D40" i="20"/>
  <c r="D41" i="20"/>
  <c r="D42" i="20"/>
  <c r="D43" i="20"/>
  <c r="D44" i="20"/>
  <c r="D45" i="20"/>
  <c r="D46" i="20"/>
  <c r="D47" i="20"/>
  <c r="D48" i="20"/>
  <c r="D49" i="20"/>
  <c r="D50" i="20"/>
  <c r="D51" i="20"/>
  <c r="D52" i="20"/>
  <c r="D53" i="20"/>
  <c r="D54" i="20"/>
  <c r="D55" i="20"/>
  <c r="D56" i="20"/>
  <c r="D57" i="20"/>
  <c r="D58" i="20"/>
  <c r="D59" i="20"/>
  <c r="D60" i="20"/>
  <c r="D61" i="20"/>
  <c r="D62" i="20"/>
  <c r="D63" i="20"/>
  <c r="D64" i="20"/>
  <c r="D65" i="20"/>
  <c r="D66" i="20"/>
  <c r="D67" i="20"/>
  <c r="D68" i="20"/>
  <c r="D69" i="20"/>
  <c r="D70" i="20"/>
  <c r="D71" i="20"/>
  <c r="D72" i="20"/>
  <c r="D73" i="20"/>
  <c r="D74" i="20"/>
  <c r="D75" i="20"/>
  <c r="D76" i="20"/>
  <c r="D77" i="20"/>
  <c r="D78" i="20"/>
  <c r="D79" i="20"/>
  <c r="D80" i="20"/>
  <c r="D81" i="20"/>
  <c r="D82" i="20"/>
  <c r="D83" i="20"/>
  <c r="D84" i="20"/>
  <c r="D85" i="20"/>
  <c r="D86" i="20"/>
  <c r="D87" i="20"/>
  <c r="D88" i="20"/>
  <c r="D89" i="20"/>
  <c r="D90" i="20"/>
  <c r="D91" i="20"/>
  <c r="D92" i="20"/>
  <c r="D93" i="20"/>
  <c r="D94" i="20"/>
  <c r="AV1002" i="13" l="1"/>
  <c r="AV903" i="13"/>
  <c r="AV804" i="13"/>
  <c r="I3" i="20"/>
  <c r="I4" i="20"/>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3" i="20"/>
  <c r="I34" i="20"/>
  <c r="I35" i="20"/>
  <c r="I36" i="20"/>
  <c r="I37" i="20"/>
  <c r="I38" i="20"/>
  <c r="I39" i="20"/>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78" i="20"/>
  <c r="I79" i="20"/>
  <c r="I80" i="20"/>
  <c r="I81" i="20"/>
  <c r="I82" i="20"/>
  <c r="I83" i="20"/>
  <c r="I84" i="20"/>
  <c r="I85" i="20"/>
  <c r="I86" i="20"/>
  <c r="I87" i="20"/>
  <c r="I88" i="20"/>
  <c r="I89" i="20"/>
  <c r="I90" i="20"/>
  <c r="I91" i="20"/>
  <c r="I92" i="20"/>
  <c r="I93" i="20"/>
  <c r="I94" i="20"/>
  <c r="C3" i="20"/>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G4" i="20"/>
  <c r="H4" i="20"/>
  <c r="G5" i="20"/>
  <c r="H5" i="20"/>
  <c r="G6" i="20"/>
  <c r="H6" i="20"/>
  <c r="G7" i="20"/>
  <c r="H7" i="20"/>
  <c r="G8" i="20"/>
  <c r="H8" i="20"/>
  <c r="G9" i="20"/>
  <c r="H9" i="20"/>
  <c r="G10" i="20"/>
  <c r="H10" i="20"/>
  <c r="G11" i="20"/>
  <c r="H11" i="20"/>
  <c r="G12" i="20"/>
  <c r="H12" i="20"/>
  <c r="G13" i="20"/>
  <c r="H13" i="20"/>
  <c r="G14" i="20"/>
  <c r="H14" i="20"/>
  <c r="G15" i="20"/>
  <c r="H15" i="20"/>
  <c r="G16" i="20"/>
  <c r="H16" i="20"/>
  <c r="G17" i="20"/>
  <c r="H17" i="20"/>
  <c r="G18" i="20"/>
  <c r="H18" i="20"/>
  <c r="G19" i="20"/>
  <c r="H19" i="20"/>
  <c r="G20" i="20"/>
  <c r="H20" i="20"/>
  <c r="G21" i="20"/>
  <c r="H21" i="20"/>
  <c r="G22" i="20"/>
  <c r="H22" i="20"/>
  <c r="G23" i="20"/>
  <c r="H23" i="20"/>
  <c r="G24" i="20"/>
  <c r="H24" i="20"/>
  <c r="G25" i="20"/>
  <c r="H25" i="20"/>
  <c r="G26" i="20"/>
  <c r="H26" i="20"/>
  <c r="G27" i="20"/>
  <c r="H27" i="20"/>
  <c r="G28" i="20"/>
  <c r="H28" i="20"/>
  <c r="G29" i="20"/>
  <c r="H29" i="20"/>
  <c r="G30" i="20"/>
  <c r="H30" i="20"/>
  <c r="G31" i="20"/>
  <c r="H31" i="20"/>
  <c r="G32" i="20"/>
  <c r="H32" i="20"/>
  <c r="G33" i="20"/>
  <c r="H33" i="20"/>
  <c r="G34" i="20"/>
  <c r="H34" i="20"/>
  <c r="G35" i="20"/>
  <c r="H35" i="20"/>
  <c r="G36" i="20"/>
  <c r="H36" i="20"/>
  <c r="G37" i="20"/>
  <c r="H37" i="20"/>
  <c r="G38" i="20"/>
  <c r="H38" i="20"/>
  <c r="G39" i="20"/>
  <c r="H39" i="20"/>
  <c r="G40" i="20"/>
  <c r="H40" i="20"/>
  <c r="G41" i="20"/>
  <c r="H41" i="20"/>
  <c r="G42" i="20"/>
  <c r="H42" i="20"/>
  <c r="G43" i="20"/>
  <c r="H43" i="20"/>
  <c r="G44" i="20"/>
  <c r="H44" i="20"/>
  <c r="G45" i="20"/>
  <c r="H45" i="20"/>
  <c r="G46" i="20"/>
  <c r="H46" i="20"/>
  <c r="G47" i="20"/>
  <c r="H47" i="20"/>
  <c r="G48" i="20"/>
  <c r="H48" i="20"/>
  <c r="G49" i="20"/>
  <c r="H49" i="20"/>
  <c r="G50" i="20"/>
  <c r="H50" i="20"/>
  <c r="G51" i="20"/>
  <c r="H51" i="20"/>
  <c r="G52" i="20"/>
  <c r="H52" i="20"/>
  <c r="G53" i="20"/>
  <c r="H53" i="20"/>
  <c r="G54" i="20"/>
  <c r="H54" i="20"/>
  <c r="G55" i="20"/>
  <c r="H55" i="20"/>
  <c r="G56" i="20"/>
  <c r="H56" i="20"/>
  <c r="G57" i="20"/>
  <c r="H57" i="20"/>
  <c r="G58" i="20"/>
  <c r="H58" i="20"/>
  <c r="G59" i="20"/>
  <c r="H59" i="20"/>
  <c r="G60" i="20"/>
  <c r="H60" i="20"/>
  <c r="G61" i="20"/>
  <c r="H61" i="20"/>
  <c r="G62" i="20"/>
  <c r="H62" i="20"/>
  <c r="G63" i="20"/>
  <c r="H63" i="20"/>
  <c r="G64" i="20"/>
  <c r="H64" i="20"/>
  <c r="G65" i="20"/>
  <c r="H65" i="20"/>
  <c r="G66" i="20"/>
  <c r="H66" i="20"/>
  <c r="G67" i="20"/>
  <c r="H67" i="20"/>
  <c r="G68" i="20"/>
  <c r="H68" i="20"/>
  <c r="G69" i="20"/>
  <c r="H69" i="20"/>
  <c r="G70" i="20"/>
  <c r="H70" i="20"/>
  <c r="G71" i="20"/>
  <c r="H71" i="20"/>
  <c r="G72" i="20"/>
  <c r="H72" i="20"/>
  <c r="G73" i="20"/>
  <c r="H73" i="20"/>
  <c r="G74" i="20"/>
  <c r="H74" i="20"/>
  <c r="G75" i="20"/>
  <c r="H75" i="20"/>
  <c r="G76" i="20"/>
  <c r="H76" i="20"/>
  <c r="G77" i="20"/>
  <c r="H77" i="20"/>
  <c r="G78" i="20"/>
  <c r="H78" i="20"/>
  <c r="G79" i="20"/>
  <c r="H79" i="20"/>
  <c r="G80" i="20"/>
  <c r="H80" i="20"/>
  <c r="G81" i="20"/>
  <c r="H81" i="20"/>
  <c r="G82" i="20"/>
  <c r="H82" i="20"/>
  <c r="G83" i="20"/>
  <c r="H83" i="20"/>
  <c r="G84" i="20"/>
  <c r="H84" i="20"/>
  <c r="G85" i="20"/>
  <c r="H85" i="20"/>
  <c r="G86" i="20"/>
  <c r="H86" i="20"/>
  <c r="G87" i="20"/>
  <c r="H87" i="20"/>
  <c r="G88" i="20"/>
  <c r="H88" i="20"/>
  <c r="G89" i="20"/>
  <c r="H89" i="20"/>
  <c r="G90" i="20"/>
  <c r="H90" i="20"/>
  <c r="G91" i="20"/>
  <c r="H91" i="20"/>
  <c r="G92" i="20"/>
  <c r="H92" i="20"/>
  <c r="G93" i="20"/>
  <c r="H93" i="20"/>
  <c r="G94" i="20"/>
  <c r="H94" i="20"/>
  <c r="H3" i="20"/>
  <c r="G3" i="20"/>
  <c r="AV704" i="13"/>
  <c r="Q32" i="23" l="1"/>
  <c r="P32" i="23"/>
  <c r="P33" i="23" s="1"/>
  <c r="V32" i="23"/>
  <c r="U32" i="23"/>
  <c r="O32" i="23"/>
  <c r="N32" i="23"/>
  <c r="M32" i="23"/>
  <c r="X32" i="23"/>
  <c r="L32" i="23"/>
  <c r="W32" i="23"/>
  <c r="K32" i="23"/>
  <c r="J32" i="23"/>
  <c r="I32" i="23"/>
  <c r="T32" i="23"/>
  <c r="H32" i="23"/>
  <c r="G32" i="23"/>
  <c r="S32" i="23"/>
  <c r="R32" i="23"/>
  <c r="F32" i="23"/>
  <c r="F33" i="23" s="1"/>
  <c r="I32" i="14"/>
  <c r="F32" i="14"/>
  <c r="F33" i="14" s="1"/>
  <c r="K103" i="13"/>
  <c r="K203" i="13" s="1"/>
  <c r="K32" i="14"/>
  <c r="J103" i="13"/>
  <c r="J203" i="13" s="1"/>
  <c r="J32" i="14"/>
  <c r="I103" i="13"/>
  <c r="I203" i="13" s="1"/>
  <c r="V103" i="13"/>
  <c r="V32" i="14"/>
  <c r="T103" i="13"/>
  <c r="T203" i="13" s="1"/>
  <c r="T32" i="14"/>
  <c r="H103" i="13"/>
  <c r="H203" i="13" s="1"/>
  <c r="H32" i="14"/>
  <c r="S103" i="13"/>
  <c r="S203" i="13" s="1"/>
  <c r="S32" i="14"/>
  <c r="G103" i="13"/>
  <c r="G203" i="13" s="1"/>
  <c r="G32" i="14"/>
  <c r="Q103" i="13"/>
  <c r="Q203" i="13" s="1"/>
  <c r="Q32" i="14"/>
  <c r="P103" i="13"/>
  <c r="P203" i="13" s="1"/>
  <c r="P32" i="14"/>
  <c r="P33" i="14" s="1"/>
  <c r="O103" i="13"/>
  <c r="O203" i="13" s="1"/>
  <c r="O32" i="14"/>
  <c r="W103" i="13"/>
  <c r="W32" i="14"/>
  <c r="U103" i="13"/>
  <c r="U32" i="14"/>
  <c r="R103" i="13"/>
  <c r="R203" i="13" s="1"/>
  <c r="R32" i="14"/>
  <c r="N103" i="13"/>
  <c r="N203" i="13" s="1"/>
  <c r="N32" i="14"/>
  <c r="M103" i="13"/>
  <c r="M203" i="13" s="1"/>
  <c r="M32" i="14"/>
  <c r="X103" i="13"/>
  <c r="X32" i="14"/>
  <c r="L103" i="13"/>
  <c r="L203" i="13" s="1"/>
  <c r="L32" i="14"/>
  <c r="F103" i="13"/>
  <c r="F203" i="13" s="1"/>
  <c r="AS3" i="13"/>
  <c r="AG3" i="13"/>
  <c r="AN3" i="13"/>
  <c r="AM3" i="13"/>
  <c r="AL3" i="13"/>
  <c r="AK3" i="13"/>
  <c r="AJ3" i="13"/>
  <c r="AI3" i="13"/>
  <c r="AT3" i="13"/>
  <c r="AH3" i="13"/>
  <c r="AR3" i="13"/>
  <c r="AF3" i="13"/>
  <c r="AQ3" i="13"/>
  <c r="AE3" i="13"/>
  <c r="AP3" i="13"/>
  <c r="AD3" i="13"/>
  <c r="AO3" i="13"/>
  <c r="AC3" i="13"/>
  <c r="AB3" i="13"/>
  <c r="X203" i="13" l="1"/>
  <c r="X303" i="13" s="1"/>
  <c r="X402" i="13" s="1"/>
  <c r="X502" i="13" s="1"/>
  <c r="X603" i="13" s="1"/>
  <c r="X702" i="13" s="1"/>
  <c r="X802" i="13" s="1"/>
  <c r="AT901" i="13" s="1"/>
  <c r="R13" i="27"/>
  <c r="W203" i="13"/>
  <c r="W303" i="13" s="1"/>
  <c r="W402" i="13" s="1"/>
  <c r="W502" i="13" s="1"/>
  <c r="W603" i="13" s="1"/>
  <c r="W702" i="13" s="1"/>
  <c r="W802" i="13" s="1"/>
  <c r="AS901" i="13" s="1"/>
  <c r="Q13" i="27"/>
  <c r="V203" i="13"/>
  <c r="V55" i="14" s="1"/>
  <c r="P13" i="27"/>
  <c r="U203" i="13"/>
  <c r="AQ203" i="13" s="1"/>
  <c r="O13" i="27"/>
  <c r="O303" i="13"/>
  <c r="O402" i="13" s="1"/>
  <c r="O502" i="13" s="1"/>
  <c r="O603" i="13" s="1"/>
  <c r="O702" i="13" s="1"/>
  <c r="O802" i="13" s="1"/>
  <c r="AK901" i="13" s="1"/>
  <c r="O55" i="14"/>
  <c r="T303" i="13"/>
  <c r="T402" i="13" s="1"/>
  <c r="T502" i="13" s="1"/>
  <c r="T603" i="13" s="1"/>
  <c r="T702" i="13" s="1"/>
  <c r="T802" i="13" s="1"/>
  <c r="AP901" i="13" s="1"/>
  <c r="T55" i="14"/>
  <c r="N303" i="13"/>
  <c r="N402" i="13" s="1"/>
  <c r="N502" i="13" s="1"/>
  <c r="N603" i="13" s="1"/>
  <c r="N702" i="13" s="1"/>
  <c r="N802" i="13" s="1"/>
  <c r="AJ901" i="13" s="1"/>
  <c r="N55" i="14"/>
  <c r="P303" i="13"/>
  <c r="P402" i="13" s="1"/>
  <c r="P502" i="13" s="1"/>
  <c r="P603" i="13" s="1"/>
  <c r="P702" i="13" s="1"/>
  <c r="P802" i="13" s="1"/>
  <c r="AL901" i="13" s="1"/>
  <c r="P55" i="14"/>
  <c r="J303" i="13"/>
  <c r="J402" i="13" s="1"/>
  <c r="J502" i="13" s="1"/>
  <c r="J603" i="13" s="1"/>
  <c r="J702" i="13" s="1"/>
  <c r="J802" i="13" s="1"/>
  <c r="AF901" i="13" s="1"/>
  <c r="J55" i="14"/>
  <c r="I303" i="13"/>
  <c r="I402" i="13" s="1"/>
  <c r="I502" i="13" s="1"/>
  <c r="I603" i="13" s="1"/>
  <c r="I702" i="13" s="1"/>
  <c r="I802" i="13" s="1"/>
  <c r="AE901" i="13" s="1"/>
  <c r="I55" i="14"/>
  <c r="Q303" i="13"/>
  <c r="Q402" i="13" s="1"/>
  <c r="Q502" i="13" s="1"/>
  <c r="Q603" i="13" s="1"/>
  <c r="Q702" i="13" s="1"/>
  <c r="Q802" i="13" s="1"/>
  <c r="AM901" i="13" s="1"/>
  <c r="Q55" i="14"/>
  <c r="L303" i="13"/>
  <c r="L402" i="13" s="1"/>
  <c r="L502" i="13" s="1"/>
  <c r="L603" i="13" s="1"/>
  <c r="L702" i="13" s="1"/>
  <c r="L802" i="13" s="1"/>
  <c r="AH901" i="13" s="1"/>
  <c r="L55" i="14"/>
  <c r="R303" i="13"/>
  <c r="R402" i="13" s="1"/>
  <c r="R502" i="13" s="1"/>
  <c r="R603" i="13" s="1"/>
  <c r="AN702" i="13" s="1"/>
  <c r="R55" i="14"/>
  <c r="G303" i="13"/>
  <c r="G402" i="13" s="1"/>
  <c r="G502" i="13" s="1"/>
  <c r="G603" i="13" s="1"/>
  <c r="G702" i="13" s="1"/>
  <c r="G802" i="13" s="1"/>
  <c r="AC901" i="13" s="1"/>
  <c r="G55" i="14"/>
  <c r="K303" i="13"/>
  <c r="K402" i="13" s="1"/>
  <c r="K502" i="13" s="1"/>
  <c r="K603" i="13" s="1"/>
  <c r="K702" i="13" s="1"/>
  <c r="K802" i="13" s="1"/>
  <c r="AG901" i="13" s="1"/>
  <c r="K55" i="14"/>
  <c r="H303" i="13"/>
  <c r="H402" i="13" s="1"/>
  <c r="H502" i="13" s="1"/>
  <c r="H603" i="13" s="1"/>
  <c r="H702" i="13" s="1"/>
  <c r="H802" i="13" s="1"/>
  <c r="AD901" i="13" s="1"/>
  <c r="H55" i="14"/>
  <c r="F303" i="13"/>
  <c r="F402" i="13" s="1"/>
  <c r="F502" i="13" s="1"/>
  <c r="F603" i="13" s="1"/>
  <c r="F702" i="13" s="1"/>
  <c r="F802" i="13" s="1"/>
  <c r="AB901" i="13" s="1"/>
  <c r="F55" i="14"/>
  <c r="S303" i="13"/>
  <c r="S402" i="13" s="1"/>
  <c r="S502" i="13" s="1"/>
  <c r="S603" i="13" s="1"/>
  <c r="S702" i="13" s="1"/>
  <c r="S802" i="13" s="1"/>
  <c r="AO901" i="13" s="1"/>
  <c r="S55" i="14"/>
  <c r="M303" i="13"/>
  <c r="M402" i="13" s="1"/>
  <c r="M502" i="13" s="1"/>
  <c r="M603" i="13" s="1"/>
  <c r="M702" i="13" s="1"/>
  <c r="M802" i="13" s="1"/>
  <c r="AI901" i="13" s="1"/>
  <c r="M55" i="14"/>
  <c r="AG103" i="13"/>
  <c r="AG203" i="13"/>
  <c r="AO103" i="13"/>
  <c r="AQ103" i="13"/>
  <c r="AO203" i="13"/>
  <c r="AT103" i="13"/>
  <c r="AM203" i="13"/>
  <c r="AN103" i="13"/>
  <c r="AJ203" i="13"/>
  <c r="AB103" i="13"/>
  <c r="AL203" i="13"/>
  <c r="AI103" i="13"/>
  <c r="AM103" i="13"/>
  <c r="AF203" i="13"/>
  <c r="AB203" i="13"/>
  <c r="AE203" i="13"/>
  <c r="AN203" i="13"/>
  <c r="AK203" i="13"/>
  <c r="AD203" i="13"/>
  <c r="AP203" i="13"/>
  <c r="AJ103" i="13"/>
  <c r="AE103" i="13"/>
  <c r="AL103" i="13"/>
  <c r="AC103" i="13"/>
  <c r="AH203" i="13"/>
  <c r="AK103" i="13"/>
  <c r="AC203" i="13"/>
  <c r="AI203" i="13"/>
  <c r="AD103" i="13"/>
  <c r="AF103" i="13"/>
  <c r="AP103" i="13"/>
  <c r="AR103" i="13"/>
  <c r="AS103" i="13"/>
  <c r="AH103" i="13"/>
  <c r="X55" i="14" l="1"/>
  <c r="AT203" i="13"/>
  <c r="V303" i="13"/>
  <c r="V402" i="13" s="1"/>
  <c r="V502" i="13" s="1"/>
  <c r="V603" i="13" s="1"/>
  <c r="V702" i="13" s="1"/>
  <c r="V802" i="13" s="1"/>
  <c r="AR901" i="13" s="1"/>
  <c r="AS203" i="13"/>
  <c r="U55" i="14"/>
  <c r="AR203" i="13"/>
  <c r="U303" i="13"/>
  <c r="U402" i="13" s="1"/>
  <c r="U502" i="13" s="1"/>
  <c r="U603" i="13" s="1"/>
  <c r="U702" i="13" s="1"/>
  <c r="U802" i="13" s="1"/>
  <c r="AQ901" i="13" s="1"/>
  <c r="W55" i="14"/>
  <c r="AE702" i="13"/>
  <c r="AG303" i="13"/>
  <c r="AG402" i="13" s="1"/>
  <c r="Q901" i="13"/>
  <c r="Q1000" i="13" s="1"/>
  <c r="AM1099" i="13" s="1"/>
  <c r="AM502" i="13"/>
  <c r="AM303" i="13"/>
  <c r="AM402" i="13" s="1"/>
  <c r="AM603" i="13"/>
  <c r="AE603" i="13"/>
  <c r="AO303" i="13"/>
  <c r="AO402" i="13" s="1"/>
  <c r="AE303" i="13"/>
  <c r="AE402" i="13" s="1"/>
  <c r="AO702" i="13"/>
  <c r="I901" i="13"/>
  <c r="I1000" i="13" s="1"/>
  <c r="AE1099" i="13" s="1"/>
  <c r="AG502" i="13"/>
  <c r="K901" i="13"/>
  <c r="AG1000" i="13" s="1"/>
  <c r="AE502" i="13"/>
  <c r="AE802" i="13"/>
  <c r="AM702" i="13"/>
  <c r="AO802" i="13"/>
  <c r="AS502" i="13"/>
  <c r="AS303" i="13"/>
  <c r="AS402" i="13" s="1"/>
  <c r="AM802" i="13"/>
  <c r="AK502" i="13"/>
  <c r="AK702" i="13"/>
  <c r="AS603" i="13"/>
  <c r="AK802" i="13"/>
  <c r="O901" i="13"/>
  <c r="AK1000" i="13" s="1"/>
  <c r="W901" i="13"/>
  <c r="W1000" i="13" s="1"/>
  <c r="AS1099" i="13" s="1"/>
  <c r="AI603" i="13"/>
  <c r="AH303" i="13"/>
  <c r="AH402" i="13" s="1"/>
  <c r="AK303" i="13"/>
  <c r="AK402" i="13" s="1"/>
  <c r="AK603" i="13"/>
  <c r="M901" i="13"/>
  <c r="M1000" i="13" s="1"/>
  <c r="AI1099" i="13" s="1"/>
  <c r="AI303" i="13"/>
  <c r="AI402" i="13" s="1"/>
  <c r="AS702" i="13"/>
  <c r="AS802" i="13"/>
  <c r="AP802" i="13"/>
  <c r="AO502" i="13"/>
  <c r="AG802" i="13"/>
  <c r="AI702" i="13"/>
  <c r="AO603" i="13"/>
  <c r="AG702" i="13"/>
  <c r="AP502" i="13"/>
  <c r="AH603" i="13"/>
  <c r="AP702" i="13"/>
  <c r="AG603" i="13"/>
  <c r="S901" i="13"/>
  <c r="S1000" i="13" s="1"/>
  <c r="S1099" i="13" s="1"/>
  <c r="AI802" i="13"/>
  <c r="AN303" i="13"/>
  <c r="AN402" i="13" s="1"/>
  <c r="AP603" i="13"/>
  <c r="AJ502" i="13"/>
  <c r="AD502" i="13"/>
  <c r="AJ603" i="13"/>
  <c r="AB802" i="13"/>
  <c r="AI502" i="13"/>
  <c r="AF702" i="13"/>
  <c r="AL303" i="13"/>
  <c r="AL402" i="13" s="1"/>
  <c r="AJ303" i="13"/>
  <c r="AJ402" i="13" s="1"/>
  <c r="AC802" i="13"/>
  <c r="H901" i="13"/>
  <c r="H1000" i="13" s="1"/>
  <c r="AD1099" i="13" s="1"/>
  <c r="AH802" i="13"/>
  <c r="AL802" i="13"/>
  <c r="R702" i="13"/>
  <c r="R802" i="13" s="1"/>
  <c r="AN901" i="13" s="1"/>
  <c r="AB603" i="13"/>
  <c r="AD603" i="13"/>
  <c r="AB702" i="13"/>
  <c r="AJ702" i="13"/>
  <c r="AJ802" i="13"/>
  <c r="AL502" i="13"/>
  <c r="J901" i="13"/>
  <c r="AF1000" i="13" s="1"/>
  <c r="AP303" i="13"/>
  <c r="AP402" i="13" s="1"/>
  <c r="AB502" i="13"/>
  <c r="AT502" i="13"/>
  <c r="AH502" i="13"/>
  <c r="AL702" i="13"/>
  <c r="L901" i="13"/>
  <c r="L1000" i="13" s="1"/>
  <c r="AH1099" i="13" s="1"/>
  <c r="AC502" i="13"/>
  <c r="AC303" i="13"/>
  <c r="AC402" i="13" s="1"/>
  <c r="AT603" i="13"/>
  <c r="AL603" i="13"/>
  <c r="G901" i="13"/>
  <c r="G1000" i="13" s="1"/>
  <c r="AC1099" i="13" s="1"/>
  <c r="AC702" i="13"/>
  <c r="AF603" i="13"/>
  <c r="AT303" i="13"/>
  <c r="AT402" i="13" s="1"/>
  <c r="AB303" i="13"/>
  <c r="AB402" i="13" s="1"/>
  <c r="AD303" i="13"/>
  <c r="AD402" i="13" s="1"/>
  <c r="AT802" i="13"/>
  <c r="AC603" i="13"/>
  <c r="AN603" i="13"/>
  <c r="AF303" i="13"/>
  <c r="AF402" i="13" s="1"/>
  <c r="AF802" i="13"/>
  <c r="N901" i="13"/>
  <c r="N1000" i="13" s="1"/>
  <c r="N1099" i="13" s="1"/>
  <c r="AH702" i="13"/>
  <c r="AT702" i="13"/>
  <c r="AD702" i="13"/>
  <c r="AN502" i="13"/>
  <c r="AD802" i="13"/>
  <c r="F901" i="13"/>
  <c r="F1000" i="13" s="1"/>
  <c r="AB1099" i="13" s="1"/>
  <c r="P901" i="13"/>
  <c r="AL1000" i="13" s="1"/>
  <c r="T901" i="13"/>
  <c r="T1000" i="13" s="1"/>
  <c r="T1099" i="13" s="1"/>
  <c r="AF502" i="13"/>
  <c r="X901" i="13"/>
  <c r="X1000" i="13" s="1"/>
  <c r="X1099" i="13" s="1"/>
  <c r="D9" i="5"/>
  <c r="AR702" i="13" l="1"/>
  <c r="V901" i="13"/>
  <c r="AR1000" i="13" s="1"/>
  <c r="AR502" i="13"/>
  <c r="AR303" i="13"/>
  <c r="AR402" i="13" s="1"/>
  <c r="AR802" i="13"/>
  <c r="AR603" i="13"/>
  <c r="AQ303" i="13"/>
  <c r="AQ402" i="13" s="1"/>
  <c r="AQ502" i="13"/>
  <c r="AQ802" i="13"/>
  <c r="AQ702" i="13"/>
  <c r="AQ603" i="13"/>
  <c r="U901" i="13"/>
  <c r="U1000" i="13" s="1"/>
  <c r="U1099" i="13" s="1"/>
  <c r="U1198" i="13" s="1"/>
  <c r="AM1000" i="13"/>
  <c r="Q1099" i="13"/>
  <c r="Q1198" i="13" s="1"/>
  <c r="I1099" i="13"/>
  <c r="I1198" i="13" s="1"/>
  <c r="K1000" i="13"/>
  <c r="K1099" i="13" s="1"/>
  <c r="AG1198" i="13" s="1"/>
  <c r="AE1000" i="13"/>
  <c r="W1099" i="13"/>
  <c r="AS1198" i="13" s="1"/>
  <c r="O1000" i="13"/>
  <c r="O1099" i="13" s="1"/>
  <c r="AI1000" i="13"/>
  <c r="AS1000" i="13"/>
  <c r="M1099" i="13"/>
  <c r="AI1198" i="13" s="1"/>
  <c r="AO1000" i="13"/>
  <c r="AO1099" i="13"/>
  <c r="L1099" i="13"/>
  <c r="AH1198" i="13" s="1"/>
  <c r="H1099" i="13"/>
  <c r="H1198" i="13" s="1"/>
  <c r="J1000" i="13"/>
  <c r="J1099" i="13" s="1"/>
  <c r="AD1000" i="13"/>
  <c r="AN802" i="13"/>
  <c r="AC1000" i="13"/>
  <c r="R901" i="13"/>
  <c r="AN1000" i="13" s="1"/>
  <c r="AB1000" i="13"/>
  <c r="G1099" i="13"/>
  <c r="G1198" i="13" s="1"/>
  <c r="F1099" i="13"/>
  <c r="AB1198" i="13" s="1"/>
  <c r="AH1000" i="13"/>
  <c r="AP1099" i="13"/>
  <c r="P1000" i="13"/>
  <c r="P1099" i="13" s="1"/>
  <c r="AT1000" i="13"/>
  <c r="AT1099" i="13"/>
  <c r="AJ1099" i="13"/>
  <c r="AJ1000" i="13"/>
  <c r="AP1000" i="13"/>
  <c r="T1198" i="13"/>
  <c r="AP1198" i="13"/>
  <c r="S1198" i="13"/>
  <c r="AO1198" i="13"/>
  <c r="X1198" i="13"/>
  <c r="AT1198" i="13"/>
  <c r="N1198" i="13"/>
  <c r="AJ1198" i="13"/>
  <c r="V1000" i="13" l="1"/>
  <c r="V1099" i="13" s="1"/>
  <c r="V1198" i="13" s="1"/>
  <c r="AQ1000" i="13"/>
  <c r="AQ1099" i="13"/>
  <c r="AQ1198" i="13"/>
  <c r="AG1099" i="13"/>
  <c r="K1198" i="13"/>
  <c r="K1297" i="13" s="1"/>
  <c r="AE1198" i="13"/>
  <c r="AM1198" i="13"/>
  <c r="W1198" i="13"/>
  <c r="AS1297" i="13" s="1"/>
  <c r="AK1099" i="13"/>
  <c r="AD1198" i="13"/>
  <c r="L1198" i="13"/>
  <c r="AH1297" i="13" s="1"/>
  <c r="M1198" i="13"/>
  <c r="M1297" i="13" s="1"/>
  <c r="R1000" i="13"/>
  <c r="R1099" i="13" s="1"/>
  <c r="R1198" i="13" s="1"/>
  <c r="AC1198" i="13"/>
  <c r="AF1099" i="13"/>
  <c r="F1198" i="13"/>
  <c r="AB1297" i="13" s="1"/>
  <c r="AL1099" i="13"/>
  <c r="AQ1297" i="13"/>
  <c r="U1297" i="13"/>
  <c r="AD1297" i="13"/>
  <c r="H1297" i="13"/>
  <c r="AP1297" i="13"/>
  <c r="T1297" i="13"/>
  <c r="AC1297" i="13"/>
  <c r="G1297" i="13"/>
  <c r="AJ1297" i="13"/>
  <c r="N1297" i="13"/>
  <c r="AE1297" i="13"/>
  <c r="I1297" i="13"/>
  <c r="AO1297" i="13"/>
  <c r="S1297" i="13"/>
  <c r="AT1297" i="13"/>
  <c r="X1297" i="13"/>
  <c r="AM1297" i="13"/>
  <c r="Q1297" i="13"/>
  <c r="J1198" i="13"/>
  <c r="AF1198" i="13"/>
  <c r="O1198" i="13"/>
  <c r="AK1198" i="13"/>
  <c r="P1198" i="13"/>
  <c r="AL1198" i="13"/>
  <c r="AR1099" i="13" l="1"/>
  <c r="AR1198" i="13"/>
  <c r="AG1297" i="13"/>
  <c r="W1297" i="13"/>
  <c r="W1396" i="13" s="1"/>
  <c r="W1495" i="13" s="1"/>
  <c r="W1595" i="13" s="1"/>
  <c r="AN1099" i="13"/>
  <c r="AI1297" i="13"/>
  <c r="L1297" i="13"/>
  <c r="AH1396" i="13" s="1"/>
  <c r="AN1198" i="13"/>
  <c r="F1297" i="13"/>
  <c r="F1396" i="13" s="1"/>
  <c r="F1495" i="13" s="1"/>
  <c r="F1595" i="13" s="1"/>
  <c r="AG1396" i="13"/>
  <c r="K1396" i="13"/>
  <c r="K1495" i="13" s="1"/>
  <c r="K1595" i="13" s="1"/>
  <c r="AC1396" i="13"/>
  <c r="G1396" i="13"/>
  <c r="G1495" i="13" s="1"/>
  <c r="G1595" i="13" s="1"/>
  <c r="AT1396" i="13"/>
  <c r="X1396" i="13"/>
  <c r="X1495" i="13" s="1"/>
  <c r="X1595" i="13" s="1"/>
  <c r="AP1396" i="13"/>
  <c r="T1396" i="13"/>
  <c r="T1495" i="13" s="1"/>
  <c r="T1595" i="13" s="1"/>
  <c r="AO1396" i="13"/>
  <c r="S1396" i="13"/>
  <c r="S1495" i="13" s="1"/>
  <c r="S1595" i="13" s="1"/>
  <c r="AD1396" i="13"/>
  <c r="H1396" i="13"/>
  <c r="H1495" i="13" s="1"/>
  <c r="H1595" i="13" s="1"/>
  <c r="AM1396" i="13"/>
  <c r="Q1396" i="13"/>
  <c r="Q1495" i="13" s="1"/>
  <c r="Q1595" i="13" s="1"/>
  <c r="AE1396" i="13"/>
  <c r="I1396" i="13"/>
  <c r="I1495" i="13" s="1"/>
  <c r="I1595" i="13" s="1"/>
  <c r="AI1396" i="13"/>
  <c r="M1396" i="13"/>
  <c r="M1495" i="13" s="1"/>
  <c r="M1595" i="13" s="1"/>
  <c r="AJ1396" i="13"/>
  <c r="N1396" i="13"/>
  <c r="N1495" i="13" s="1"/>
  <c r="N1595" i="13" s="1"/>
  <c r="AQ1396" i="13"/>
  <c r="U1396" i="13"/>
  <c r="U1495" i="13" s="1"/>
  <c r="U1595" i="13" s="1"/>
  <c r="AF1297" i="13"/>
  <c r="J1297" i="13"/>
  <c r="AN1297" i="13"/>
  <c r="R1297" i="13"/>
  <c r="AR1297" i="13"/>
  <c r="V1297" i="13"/>
  <c r="AL1297" i="13"/>
  <c r="P1297" i="13"/>
  <c r="AK1297" i="13"/>
  <c r="O1297" i="13"/>
  <c r="KC72" i="12"/>
  <c r="KA72" i="12"/>
  <c r="JZ72" i="12"/>
  <c r="JY72" i="12"/>
  <c r="JX72" i="12"/>
  <c r="KE72" i="12"/>
  <c r="JW72" i="12"/>
  <c r="KB72" i="12"/>
  <c r="JV72" i="12"/>
  <c r="KF72" i="12"/>
  <c r="KD72" i="12"/>
  <c r="JU72" i="12"/>
  <c r="JQ72" i="12"/>
  <c r="JP72" i="12"/>
  <c r="JO72" i="12"/>
  <c r="JN72" i="12"/>
  <c r="JM72" i="12"/>
  <c r="JL72" i="12"/>
  <c r="JJ72" i="12"/>
  <c r="JI72" i="12"/>
  <c r="JK72" i="12"/>
  <c r="JA72" i="12"/>
  <c r="JG72" i="12"/>
  <c r="IZ72" i="12"/>
  <c r="JC72" i="12"/>
  <c r="JF72" i="12"/>
  <c r="JB72" i="12"/>
  <c r="JE72" i="12"/>
  <c r="JH72" i="12"/>
  <c r="JD72" i="12"/>
  <c r="IS72" i="12"/>
  <c r="IQ72" i="12"/>
  <c r="IR72" i="12"/>
  <c r="IM72" i="12"/>
  <c r="IK72" i="12"/>
  <c r="II72" i="12"/>
  <c r="IL72" i="12"/>
  <c r="IH72" i="12"/>
  <c r="IJ72" i="12"/>
  <c r="IG72" i="12"/>
  <c r="IC72" i="12"/>
  <c r="IB72" i="12"/>
  <c r="IE72" i="12"/>
  <c r="ID72" i="12"/>
  <c r="IF72" i="12"/>
  <c r="HH72" i="12"/>
  <c r="HG72" i="12"/>
  <c r="HK72" i="12"/>
  <c r="HI72" i="12"/>
  <c r="HL72" i="12"/>
  <c r="HJ72" i="12"/>
  <c r="HB72" i="12"/>
  <c r="HE72" i="12"/>
  <c r="HD72" i="12"/>
  <c r="HF72" i="12"/>
  <c r="HC72" i="12"/>
  <c r="HA72" i="12"/>
  <c r="GX72" i="12"/>
  <c r="GZ72" i="12"/>
  <c r="GY72" i="12"/>
  <c r="ES72" i="12"/>
  <c r="AQ1495" i="13" l="1"/>
  <c r="AQ1594" i="13" s="1"/>
  <c r="U1710" i="13"/>
  <c r="AP1495" i="13"/>
  <c r="AP1594" i="13" s="1"/>
  <c r="T1710" i="13"/>
  <c r="AO1495" i="13"/>
  <c r="AO1594" i="13" s="1"/>
  <c r="S1710" i="13"/>
  <c r="AT1495" i="13"/>
  <c r="AT1594" i="13" s="1"/>
  <c r="X1710" i="13"/>
  <c r="AS1495" i="13"/>
  <c r="AS1594" i="13" s="1"/>
  <c r="W1710" i="13"/>
  <c r="AM1495" i="13"/>
  <c r="AM1594" i="13" s="1"/>
  <c r="Q1710" i="13"/>
  <c r="AD1495" i="13"/>
  <c r="AD1594" i="13" s="1"/>
  <c r="H1710" i="13"/>
  <c r="AJ1495" i="13"/>
  <c r="AJ1594" i="13" s="1"/>
  <c r="N1710" i="13"/>
  <c r="AE1495" i="13"/>
  <c r="AE1594" i="13" s="1"/>
  <c r="I1710" i="13"/>
  <c r="AC1495" i="13"/>
  <c r="AC1594" i="13" s="1"/>
  <c r="G1710" i="13"/>
  <c r="AG1495" i="13"/>
  <c r="AG1594" i="13" s="1"/>
  <c r="K1710" i="13"/>
  <c r="AI1495" i="13"/>
  <c r="AI1594" i="13" s="1"/>
  <c r="M1710" i="13"/>
  <c r="AB1495" i="13"/>
  <c r="AB1594" i="13" s="1"/>
  <c r="F1710" i="13"/>
  <c r="AS1396" i="13"/>
  <c r="L1396" i="13"/>
  <c r="L1495" i="13" s="1"/>
  <c r="L1595" i="13" s="1"/>
  <c r="AB1396" i="13"/>
  <c r="AF1396" i="13"/>
  <c r="J1396" i="13"/>
  <c r="J1495" i="13" s="1"/>
  <c r="J1595" i="13" s="1"/>
  <c r="AL1396" i="13"/>
  <c r="P1396" i="13"/>
  <c r="P1495" i="13" s="1"/>
  <c r="P1595" i="13" s="1"/>
  <c r="AK1396" i="13"/>
  <c r="O1396" i="13"/>
  <c r="O1495" i="13" s="1"/>
  <c r="O1595" i="13" s="1"/>
  <c r="AN1396" i="13"/>
  <c r="R1396" i="13"/>
  <c r="R1495" i="13" s="1"/>
  <c r="R1595" i="13" s="1"/>
  <c r="AR1396" i="13"/>
  <c r="V1396" i="13"/>
  <c r="V1495" i="13" s="1"/>
  <c r="V1595" i="13" s="1"/>
  <c r="AR1495" i="13" l="1"/>
  <c r="AR1594" i="13" s="1"/>
  <c r="V1710" i="13"/>
  <c r="AN1495" i="13"/>
  <c r="AN1594" i="13" s="1"/>
  <c r="R1710" i="13"/>
  <c r="AH1495" i="13"/>
  <c r="AH1594" i="13" s="1"/>
  <c r="L1710" i="13"/>
  <c r="AF1495" i="13"/>
  <c r="AF1594" i="13" s="1"/>
  <c r="J1710" i="13"/>
  <c r="AK1495" i="13"/>
  <c r="AK1594" i="13" s="1"/>
  <c r="O1710" i="13"/>
  <c r="AL1495" i="13"/>
  <c r="AL1594" i="13" s="1"/>
  <c r="P1710" i="13"/>
  <c r="HV72" i="12" l="1"/>
  <c r="EP72" i="12" l="1"/>
  <c r="ER72" i="12"/>
  <c r="EQ72" i="12" l="1"/>
  <c r="HW72" i="12"/>
  <c r="HX72" i="12"/>
  <c r="DR72" i="12" l="1"/>
  <c r="GO72" i="12" l="1"/>
  <c r="HY72" i="12"/>
  <c r="DS72" i="12"/>
  <c r="DT72" i="12"/>
  <c r="IN72" i="12"/>
  <c r="F24" i="5"/>
  <c r="E24" i="5"/>
  <c r="G22" i="5"/>
  <c r="G24" i="5" s="1"/>
  <c r="G25" i="5" s="1"/>
  <c r="F22" i="5"/>
  <c r="E22" i="5"/>
  <c r="D17" i="5"/>
  <c r="D13" i="5"/>
  <c r="D11" i="5"/>
  <c r="B7" i="5"/>
  <c r="B8" i="5" s="1"/>
  <c r="G6" i="5"/>
  <c r="F6" i="5"/>
  <c r="B6" i="5"/>
  <c r="G23" i="5" s="1"/>
  <c r="G5" i="5"/>
  <c r="B5" i="5"/>
  <c r="B4" i="5"/>
  <c r="F25" i="5" l="1"/>
  <c r="H20" i="5"/>
  <c r="H21" i="5" s="1"/>
  <c r="GQ72" i="12"/>
  <c r="GP72" i="12"/>
  <c r="F23" i="5"/>
  <c r="E23" i="5"/>
  <c r="F16" i="5"/>
  <c r="F21" i="5"/>
  <c r="HZ72" i="12"/>
  <c r="IA72" i="12"/>
  <c r="E25" i="5"/>
  <c r="D12" i="5"/>
  <c r="D18" i="5" s="1"/>
  <c r="D20" i="5"/>
  <c r="D21" i="5" s="1"/>
  <c r="F26" i="5" l="1"/>
  <c r="F27" i="5"/>
  <c r="IP72" i="12"/>
  <c r="IO72" i="12"/>
  <c r="G27" i="5"/>
  <c r="G26" i="5"/>
  <c r="E27" i="5"/>
  <c r="E26" i="5"/>
  <c r="GR72" i="12" l="1"/>
  <c r="GT72" i="12" l="1"/>
  <c r="GS72" i="12"/>
  <c r="IW72" i="12"/>
  <c r="BS72" i="12"/>
  <c r="BT72" i="12"/>
  <c r="D196" i="13"/>
  <c r="D195" i="13"/>
  <c r="D194" i="13"/>
  <c r="D193" i="13"/>
  <c r="D192" i="13"/>
  <c r="D191" i="13"/>
  <c r="D190" i="13"/>
  <c r="D189" i="13"/>
  <c r="D188" i="13"/>
  <c r="D187" i="13"/>
  <c r="D186" i="13"/>
  <c r="D185" i="13"/>
  <c r="D184" i="13"/>
  <c r="D183" i="13"/>
  <c r="D182" i="13"/>
  <c r="D181" i="13"/>
  <c r="D180" i="13"/>
  <c r="D179" i="13"/>
  <c r="D178" i="13"/>
  <c r="D177" i="13"/>
  <c r="D176" i="13"/>
  <c r="D175" i="13"/>
  <c r="D174" i="13"/>
  <c r="D173" i="13"/>
  <c r="D172" i="13"/>
  <c r="D171" i="13"/>
  <c r="D170" i="13"/>
  <c r="D169" i="13"/>
  <c r="D168" i="13"/>
  <c r="D167" i="13"/>
  <c r="D166" i="13"/>
  <c r="D165" i="13"/>
  <c r="D164" i="13"/>
  <c r="D163" i="13"/>
  <c r="D162" i="13"/>
  <c r="D161" i="13"/>
  <c r="D160" i="13"/>
  <c r="D159" i="13"/>
  <c r="D158" i="13"/>
  <c r="D157" i="13"/>
  <c r="D156" i="13"/>
  <c r="D155" i="13"/>
  <c r="D154" i="13"/>
  <c r="D153" i="13"/>
  <c r="D152" i="13"/>
  <c r="D151" i="13"/>
  <c r="D150" i="13"/>
  <c r="D149" i="13"/>
  <c r="D148" i="13"/>
  <c r="D147" i="13"/>
  <c r="D146" i="13"/>
  <c r="D145" i="13"/>
  <c r="D144" i="13"/>
  <c r="D143" i="13"/>
  <c r="D142" i="13"/>
  <c r="D141" i="13"/>
  <c r="D140" i="13"/>
  <c r="D139" i="13"/>
  <c r="D138" i="13"/>
  <c r="D137" i="13"/>
  <c r="D136" i="13"/>
  <c r="D135" i="13"/>
  <c r="D134" i="13"/>
  <c r="D133" i="13"/>
  <c r="D132" i="13"/>
  <c r="D131" i="13"/>
  <c r="D130" i="13"/>
  <c r="D129" i="13"/>
  <c r="D128" i="13"/>
  <c r="D127" i="13"/>
  <c r="D126" i="13"/>
  <c r="D125" i="13"/>
  <c r="D124" i="13"/>
  <c r="D123" i="13"/>
  <c r="D122" i="13"/>
  <c r="D121" i="13"/>
  <c r="D120" i="13"/>
  <c r="D119" i="13"/>
  <c r="D118" i="13"/>
  <c r="D117" i="13"/>
  <c r="D116" i="13"/>
  <c r="D115" i="13"/>
  <c r="D114" i="13"/>
  <c r="D113" i="13"/>
  <c r="D112" i="13"/>
  <c r="D111" i="13"/>
  <c r="D110" i="13"/>
  <c r="D109" i="13"/>
  <c r="D108" i="13"/>
  <c r="D107" i="13"/>
  <c r="D106" i="13"/>
  <c r="D105" i="13"/>
  <c r="D96" i="13"/>
  <c r="D95" i="13"/>
  <c r="D94" i="13"/>
  <c r="D93" i="13"/>
  <c r="D92" i="13"/>
  <c r="D91" i="13"/>
  <c r="D90" i="13"/>
  <c r="D89" i="13"/>
  <c r="D88" i="13"/>
  <c r="D87" i="13"/>
  <c r="D86" i="13"/>
  <c r="D85" i="13"/>
  <c r="D84" i="13"/>
  <c r="D83" i="13"/>
  <c r="D82" i="13"/>
  <c r="D81" i="13"/>
  <c r="D80" i="13"/>
  <c r="D79" i="13"/>
  <c r="D78" i="13"/>
  <c r="D77" i="13"/>
  <c r="D76" i="13"/>
  <c r="D75" i="13"/>
  <c r="D74" i="13"/>
  <c r="D73" i="13"/>
  <c r="D72" i="13"/>
  <c r="D71" i="13"/>
  <c r="D70" i="13"/>
  <c r="D69" i="13"/>
  <c r="D68" i="13"/>
  <c r="D67" i="13"/>
  <c r="D66" i="13"/>
  <c r="D65" i="13"/>
  <c r="D64" i="13"/>
  <c r="D63" i="13"/>
  <c r="D62" i="13"/>
  <c r="D61" i="13"/>
  <c r="D60" i="13"/>
  <c r="D59" i="13"/>
  <c r="D58" i="13"/>
  <c r="D57" i="13"/>
  <c r="D56" i="13"/>
  <c r="D55" i="13"/>
  <c r="D54" i="13"/>
  <c r="D53" i="13"/>
  <c r="D52" i="13"/>
  <c r="D51" i="13"/>
  <c r="D50" i="13"/>
  <c r="D49" i="13"/>
  <c r="D48" i="13"/>
  <c r="D47" i="13"/>
  <c r="D46" i="13"/>
  <c r="D45" i="13"/>
  <c r="D44" i="13"/>
  <c r="D43" i="13"/>
  <c r="D42" i="13"/>
  <c r="D41" i="13"/>
  <c r="D40" i="13"/>
  <c r="D39" i="13"/>
  <c r="D38" i="13"/>
  <c r="D37" i="13"/>
  <c r="D36" i="13"/>
  <c r="D35" i="13"/>
  <c r="D34" i="13"/>
  <c r="D33" i="13"/>
  <c r="D32" i="13"/>
  <c r="D31" i="13"/>
  <c r="D30" i="13"/>
  <c r="D29" i="13"/>
  <c r="D28" i="13"/>
  <c r="D27" i="13"/>
  <c r="D26" i="13"/>
  <c r="D25" i="13"/>
  <c r="D24" i="13"/>
  <c r="D23" i="13"/>
  <c r="D22" i="13"/>
  <c r="D21" i="13"/>
  <c r="D20" i="13"/>
  <c r="D19" i="13"/>
  <c r="D18" i="13"/>
  <c r="D17" i="13"/>
  <c r="D16" i="13"/>
  <c r="D15" i="13"/>
  <c r="D14" i="13"/>
  <c r="D13" i="13"/>
  <c r="D12" i="13"/>
  <c r="D11" i="13"/>
  <c r="D10" i="13"/>
  <c r="D9" i="13"/>
  <c r="D8" i="13"/>
  <c r="D7" i="13"/>
  <c r="D6" i="13"/>
  <c r="D5" i="13"/>
  <c r="GL72" i="12" l="1"/>
  <c r="GM72" i="12"/>
  <c r="IX72" i="12"/>
  <c r="IY72" i="12"/>
  <c r="BU72" i="12"/>
  <c r="BE1764" i="13" l="1"/>
  <c r="Z103" i="13"/>
  <c r="Z203" i="13" s="1"/>
  <c r="AV3" i="13"/>
  <c r="Z32" i="14"/>
  <c r="Z33" i="14" s="1"/>
  <c r="Z32" i="23"/>
  <c r="Z33" i="23" s="1"/>
  <c r="GN72" i="12"/>
  <c r="GU72" i="12"/>
  <c r="AV103" i="13" l="1"/>
  <c r="T13" i="27"/>
  <c r="Z55" i="14"/>
  <c r="AV203" i="13"/>
  <c r="Z303" i="13"/>
  <c r="HM72" i="12"/>
  <c r="GW72" i="12"/>
  <c r="GV72" i="12"/>
  <c r="Z402" i="13" l="1"/>
  <c r="AV303" i="13"/>
  <c r="AV402" i="13" s="1"/>
  <c r="DO72" i="12"/>
  <c r="DQ72" i="12"/>
  <c r="HN72" i="12"/>
  <c r="HO72" i="12"/>
  <c r="Z502" i="13" l="1"/>
  <c r="AV502" i="13"/>
  <c r="DP72" i="12"/>
  <c r="HR72" i="12"/>
  <c r="HP72" i="12"/>
  <c r="HS72" i="12"/>
  <c r="Z603" i="13" l="1"/>
  <c r="AV603" i="13"/>
  <c r="HQ72" i="12"/>
  <c r="HT72" i="12"/>
  <c r="HU72" i="12"/>
  <c r="Z702" i="13" l="1"/>
  <c r="AV702" i="13"/>
  <c r="Q72" i="12"/>
  <c r="Z802" i="13" l="1"/>
  <c r="AV802" i="13"/>
  <c r="S72" i="12"/>
  <c r="R72" i="12"/>
  <c r="B72" i="12"/>
  <c r="AV901" i="13" l="1"/>
  <c r="Z901" i="13"/>
  <c r="AV1000" i="13" l="1"/>
  <c r="Z1000" i="13"/>
  <c r="EM72" i="12"/>
  <c r="Z1099" i="13" l="1"/>
  <c r="AV1099" i="13"/>
  <c r="EJ72" i="12"/>
  <c r="EL72" i="12"/>
  <c r="EN72" i="12"/>
  <c r="EO72" i="12"/>
  <c r="Z1198" i="13" l="1"/>
  <c r="AV1198" i="13"/>
  <c r="EK72" i="12"/>
  <c r="AV1297" i="13" l="1"/>
  <c r="Z1297" i="13"/>
  <c r="IT72" i="12"/>
  <c r="AV1396" i="13" l="1"/>
  <c r="Z1396" i="13"/>
  <c r="Z1495" i="13" s="1"/>
  <c r="Z1595" i="13" s="1"/>
  <c r="IU72" i="12"/>
  <c r="IV72" i="12"/>
  <c r="AV1495" i="13" l="1"/>
  <c r="AV1594" i="13" s="1"/>
  <c r="Z1710" i="13"/>
  <c r="JS72" i="12"/>
  <c r="JR72" i="12"/>
  <c r="JT72" i="12"/>
  <c r="K72" i="12"/>
  <c r="L72" i="12" l="1"/>
  <c r="M72" i="12" l="1"/>
  <c r="H72" i="12"/>
  <c r="J72" i="12" l="1"/>
  <c r="I72" i="12"/>
  <c r="CT72" i="12"/>
  <c r="CU72" i="12"/>
  <c r="CK72" i="12"/>
  <c r="CL72" i="12"/>
  <c r="AR72" i="12" l="1"/>
  <c r="CM72" i="12"/>
  <c r="CV72" i="12"/>
  <c r="CC72" i="12"/>
  <c r="CB72" i="12"/>
  <c r="AX72" i="12"/>
  <c r="CR72" i="12"/>
  <c r="CQ72" i="12"/>
  <c r="FZ72" i="12"/>
  <c r="CH72" i="12"/>
  <c r="AV72" i="12"/>
  <c r="AU72" i="12"/>
  <c r="AT72" i="12" l="1"/>
  <c r="AS72" i="12"/>
  <c r="GB72" i="12"/>
  <c r="CS72" i="12"/>
  <c r="CJ72" i="12"/>
  <c r="AY72" i="12"/>
  <c r="CI72" i="12"/>
  <c r="AW72" i="12"/>
  <c r="CD72" i="12"/>
  <c r="GA72" i="12"/>
  <c r="AZ72" i="12"/>
  <c r="AI72" i="12"/>
  <c r="EY72" i="12" l="1"/>
  <c r="AK72" i="12"/>
  <c r="AJ72" i="12"/>
  <c r="GI72" i="12"/>
  <c r="GJ72" i="12"/>
  <c r="BD72" i="12"/>
  <c r="CO72" i="12"/>
  <c r="CN72" i="12"/>
  <c r="AF72" i="12"/>
  <c r="BG72" i="12"/>
  <c r="BI72" i="12"/>
  <c r="AP72" i="12"/>
  <c r="AO72" i="12"/>
  <c r="DM72" i="12"/>
  <c r="DL72" i="12"/>
  <c r="EV72" i="12"/>
  <c r="EW72" i="12"/>
  <c r="BP72" i="12"/>
  <c r="CE72" i="12"/>
  <c r="E72" i="12" l="1"/>
  <c r="G72" i="12"/>
  <c r="FA72" i="12"/>
  <c r="BA72" i="12"/>
  <c r="BR72" i="12"/>
  <c r="DU72" i="12"/>
  <c r="DV72" i="12"/>
  <c r="BM72" i="12"/>
  <c r="EZ72" i="12"/>
  <c r="BE72" i="12"/>
  <c r="BH72" i="12"/>
  <c r="EX72" i="12"/>
  <c r="AH72" i="12"/>
  <c r="CP72" i="12"/>
  <c r="AQ72" i="12"/>
  <c r="DN72" i="12"/>
  <c r="GK72" i="12"/>
  <c r="AG72" i="12"/>
  <c r="CG72" i="12"/>
  <c r="BF72" i="12"/>
  <c r="CF72" i="12"/>
  <c r="BQ72" i="12"/>
  <c r="BY72" i="12"/>
  <c r="BZ72" i="12"/>
  <c r="FO72" i="12"/>
  <c r="FN72" i="12"/>
  <c r="CZ72" i="12"/>
  <c r="C72" i="12"/>
  <c r="GF72" i="12"/>
  <c r="F72" i="12" l="1"/>
  <c r="BO72" i="12"/>
  <c r="BB72" i="12"/>
  <c r="BN72" i="12"/>
  <c r="DW72" i="12"/>
  <c r="BC72" i="12"/>
  <c r="FP72" i="12"/>
  <c r="D72" i="12"/>
  <c r="DF72" i="12"/>
  <c r="DA72" i="12"/>
  <c r="DB72" i="12"/>
  <c r="CA72" i="12"/>
  <c r="GH72" i="12"/>
  <c r="GG72" i="12"/>
  <c r="CW72" i="12" l="1"/>
  <c r="DG72" i="12"/>
  <c r="DH72" i="12"/>
  <c r="BK72" i="12"/>
  <c r="BJ72" i="12"/>
  <c r="DC72" i="12"/>
  <c r="BW72" i="12"/>
  <c r="BV72" i="12"/>
  <c r="DJ72" i="12"/>
  <c r="DI72" i="12"/>
  <c r="FB72" i="12"/>
  <c r="DD72" i="12"/>
  <c r="CY72" i="12" l="1"/>
  <c r="AC72" i="12"/>
  <c r="CX72" i="12"/>
  <c r="FQ72" i="12"/>
  <c r="BL72" i="12"/>
  <c r="FC72" i="12"/>
  <c r="DK72" i="12"/>
  <c r="FD72" i="12"/>
  <c r="BX72" i="12"/>
  <c r="DE72" i="12"/>
  <c r="X72" i="12"/>
  <c r="W72" i="12"/>
  <c r="N72" i="12"/>
  <c r="O72" i="12"/>
  <c r="FT72" i="12"/>
  <c r="GC72" i="12"/>
  <c r="DX72" i="12"/>
  <c r="DY72" i="12"/>
  <c r="Z72" i="12"/>
  <c r="GE72" i="12" l="1"/>
  <c r="AE72" i="12"/>
  <c r="Y72" i="12"/>
  <c r="AD72" i="12"/>
  <c r="FR72" i="12"/>
  <c r="FS72" i="12"/>
  <c r="FV72" i="12"/>
  <c r="FU72" i="12"/>
  <c r="GD72" i="12"/>
  <c r="AA72" i="12"/>
  <c r="AB72" i="12"/>
  <c r="DZ72" i="12"/>
  <c r="P72" i="12"/>
  <c r="FX72" i="12"/>
  <c r="FW72" i="12"/>
  <c r="AL72" i="12"/>
  <c r="FY72" i="12" l="1"/>
  <c r="AN72" i="12"/>
  <c r="AM72" i="12"/>
  <c r="FE72" i="12"/>
  <c r="FK72" i="12"/>
  <c r="EU72" i="12" l="1"/>
  <c r="ET72" i="12"/>
  <c r="FM72" i="12"/>
  <c r="FL72" i="12"/>
  <c r="FF72" i="12" l="1"/>
  <c r="FG72" i="12" l="1"/>
  <c r="FI72" i="12" l="1"/>
  <c r="FH72" i="12"/>
  <c r="FJ72" i="12" l="1"/>
  <c r="EE72" i="12" l="1"/>
  <c r="ED72" i="12" l="1"/>
  <c r="EF72" i="12"/>
  <c r="EH72" i="12"/>
  <c r="EG72" i="12"/>
  <c r="EI72" i="12" l="1"/>
  <c r="B2" i="8" l="1"/>
  <c r="B1" i="8" s="1"/>
  <c r="A3" i="8"/>
  <c r="H30" i="7"/>
  <c r="H29" i="7"/>
  <c r="A15" i="7"/>
  <c r="A14" i="7"/>
  <c r="A13" i="7"/>
  <c r="A12" i="7"/>
  <c r="A11" i="7"/>
  <c r="H9" i="7" a="1"/>
  <c r="H9" i="7" s="1"/>
  <c r="E9" i="7"/>
  <c r="A1" i="7"/>
  <c r="A4" i="8" l="1"/>
  <c r="B4" i="8" s="1" a="1"/>
  <c r="B4" i="8" s="1"/>
  <c r="B3" i="8" a="1"/>
  <c r="B3" i="8" s="1"/>
  <c r="H31" i="7" a="1"/>
  <c r="H31" i="7" s="1"/>
  <c r="H32" i="7" s="1" a="1"/>
  <c r="H32" i="7" s="1"/>
  <c r="H33" i="7" s="1" a="1"/>
  <c r="H33" i="7" s="1"/>
  <c r="H34" i="7" s="1" a="1"/>
  <c r="H34" i="7" s="1"/>
  <c r="H35" i="7" s="1" a="1"/>
  <c r="H35" i="7" s="1"/>
  <c r="H36" i="7" s="1" a="1"/>
  <c r="H36" i="7" s="1"/>
  <c r="A5" i="8" l="1"/>
  <c r="B5" i="8" s="1" a="1"/>
  <c r="B5" i="8" s="1"/>
  <c r="H37" i="7" a="1"/>
  <c r="H37" i="7" s="1"/>
  <c r="H38" i="7" s="1" a="1"/>
  <c r="H38" i="7" s="1"/>
  <c r="A6" i="8" l="1"/>
  <c r="B6" i="8" s="1" a="1"/>
  <c r="B6" i="8" s="1"/>
  <c r="A7" i="8" l="1"/>
  <c r="B7" i="8" s="1" a="1"/>
  <c r="B7" i="8" s="1"/>
  <c r="A8" i="8" l="1"/>
  <c r="B8" i="8" s="1" a="1"/>
  <c r="B8" i="8" s="1"/>
  <c r="A9" i="8" l="1"/>
  <c r="B9" i="8" s="1" a="1"/>
  <c r="B9" i="8" s="1"/>
  <c r="A10" i="8" l="1"/>
  <c r="B10" i="8" s="1" a="1"/>
  <c r="B10" i="8" s="1"/>
  <c r="A11" i="8" l="1"/>
  <c r="A12" i="8" s="1"/>
  <c r="B12" i="8" s="1" a="1"/>
  <c r="B12" i="8" s="1"/>
  <c r="B11" i="8" l="1" a="1"/>
  <c r="B11" i="8" s="1"/>
  <c r="A13" i="8"/>
  <c r="B13" i="8" s="1" a="1"/>
  <c r="B13" i="8" s="1"/>
  <c r="A14" i="8" l="1"/>
  <c r="B14" i="8" s="1" a="1"/>
  <c r="B14" i="8" s="1"/>
  <c r="A15" i="8" l="1"/>
  <c r="B15" i="8" s="1" a="1"/>
  <c r="B15" i="8" s="1"/>
  <c r="A16" i="8" l="1"/>
  <c r="B16" i="8" s="1" a="1"/>
  <c r="B16" i="8" s="1"/>
  <c r="A17" i="8" l="1"/>
  <c r="B17" i="8" s="1" a="1"/>
  <c r="B17" i="8" s="1"/>
  <c r="A18" i="8" l="1"/>
  <c r="B18" i="8" s="1" a="1"/>
  <c r="B18" i="8" s="1"/>
  <c r="A19" i="8" l="1"/>
  <c r="B19" i="8" s="1" a="1"/>
  <c r="B19" i="8" s="1"/>
  <c r="A20" i="8" l="1"/>
  <c r="B20" i="8" s="1" a="1"/>
  <c r="B20" i="8" s="1"/>
  <c r="A21" i="8" l="1"/>
  <c r="B21" i="8" s="1" a="1"/>
  <c r="B21" i="8" s="1"/>
  <c r="A22" i="8" l="1"/>
  <c r="B22" i="8" s="1" a="1"/>
  <c r="B22" i="8" s="1"/>
  <c r="A23" i="8" l="1"/>
  <c r="B23" i="8" s="1" a="1"/>
  <c r="B23" i="8" s="1"/>
  <c r="A24" i="8" l="1"/>
  <c r="B24" i="8" s="1" a="1"/>
  <c r="B24" i="8" s="1"/>
  <c r="A25" i="8" l="1"/>
  <c r="B25" i="8" s="1" a="1"/>
  <c r="B25" i="8" s="1"/>
  <c r="A26" i="8" l="1"/>
  <c r="B26" i="8" s="1" a="1"/>
  <c r="B26" i="8" s="1"/>
  <c r="A27" i="8" l="1"/>
  <c r="B27" i="8" s="1" a="1"/>
  <c r="B27" i="8" s="1"/>
  <c r="A28" i="8" l="1"/>
  <c r="B28" i="8" s="1" a="1"/>
  <c r="B28" i="8" s="1"/>
  <c r="A29" i="8" l="1"/>
  <c r="B29" i="8" s="1" a="1"/>
  <c r="B29" i="8" s="1"/>
  <c r="A30" i="8" l="1"/>
  <c r="B30" i="8" s="1" a="1"/>
  <c r="B30" i="8" s="1"/>
  <c r="A31" i="8" l="1"/>
  <c r="B31" i="8" s="1" a="1"/>
  <c r="B31" i="8" s="1"/>
  <c r="A32" i="8" l="1"/>
  <c r="B32" i="8" s="1" a="1"/>
  <c r="B32" i="8" s="1"/>
  <c r="A33" i="8" l="1"/>
  <c r="B33" i="8" s="1" a="1"/>
  <c r="B33" i="8" s="1"/>
  <c r="A34" i="8" l="1"/>
  <c r="B34" i="8" s="1" a="1"/>
  <c r="B34" i="8" s="1"/>
  <c r="A35" i="8" l="1"/>
  <c r="B35" i="8" s="1" a="1"/>
  <c r="B35" i="8" s="1"/>
  <c r="A36" i="8" l="1"/>
  <c r="B36" i="8" s="1" a="1"/>
  <c r="B36" i="8" s="1"/>
  <c r="A37" i="8" l="1"/>
  <c r="B37" i="8" s="1" a="1"/>
  <c r="B37" i="8" s="1"/>
  <c r="A38" i="8" l="1"/>
  <c r="B38" i="8" s="1" a="1"/>
  <c r="B38" i="8" s="1"/>
  <c r="A39" i="8" l="1"/>
  <c r="B39" i="8" s="1" a="1"/>
  <c r="B39" i="8" s="1"/>
  <c r="A40" i="8" l="1"/>
  <c r="B40" i="8" s="1" a="1"/>
  <c r="B40" i="8" s="1"/>
  <c r="A41" i="8" l="1"/>
  <c r="B41" i="8" s="1" a="1"/>
  <c r="B41" i="8" s="1"/>
  <c r="A42" i="8" l="1"/>
  <c r="B42" i="8" s="1" a="1"/>
  <c r="B42" i="8" s="1"/>
  <c r="A43" i="8" l="1"/>
  <c r="B43" i="8" s="1" a="1"/>
  <c r="B43" i="8" s="1"/>
  <c r="A44" i="8" l="1"/>
  <c r="B44" i="8" s="1" a="1"/>
  <c r="B44" i="8" s="1"/>
  <c r="A45" i="8" l="1"/>
  <c r="B45" i="8" s="1" a="1"/>
  <c r="B45" i="8" s="1"/>
  <c r="A46" i="8" l="1"/>
  <c r="B46" i="8" s="1" a="1"/>
  <c r="B46" i="8" s="1"/>
  <c r="A47" i="8" l="1"/>
  <c r="B47" i="8" s="1" a="1"/>
  <c r="B47" i="8" s="1"/>
  <c r="A48" i="8" l="1"/>
  <c r="B48" i="8" s="1" a="1"/>
  <c r="B48" i="8" s="1"/>
  <c r="A49" i="8" l="1"/>
  <c r="B49" i="8" s="1" a="1"/>
  <c r="B49" i="8" s="1"/>
  <c r="A50" i="8" l="1"/>
  <c r="B50" i="8" s="1" a="1"/>
  <c r="B50" i="8" s="1"/>
  <c r="A51" i="8" l="1"/>
  <c r="B51" i="8" s="1" a="1"/>
  <c r="B51" i="8" s="1"/>
  <c r="A52" i="8" l="1"/>
  <c r="B52" i="8" s="1" a="1"/>
  <c r="B52" i="8" s="1"/>
  <c r="A53" i="8" l="1"/>
  <c r="B53" i="8" s="1" a="1"/>
  <c r="B53" i="8" s="1"/>
  <c r="A54" i="8" l="1"/>
  <c r="B54" i="8" s="1" a="1"/>
  <c r="B54" i="8" s="1"/>
  <c r="A55" i="8" l="1"/>
  <c r="B55" i="8" s="1" a="1"/>
  <c r="B55" i="8" s="1"/>
  <c r="A56" i="8" l="1"/>
  <c r="B56" i="8" s="1" a="1"/>
  <c r="B56" i="8" s="1"/>
  <c r="A57" i="8" l="1"/>
  <c r="B57" i="8" s="1" a="1"/>
  <c r="B57" i="8" s="1"/>
  <c r="A58" i="8" l="1"/>
  <c r="B58" i="8" s="1" a="1"/>
  <c r="B58" i="8" s="1"/>
  <c r="A59" i="8" l="1"/>
  <c r="B59" i="8" s="1" a="1"/>
  <c r="B59" i="8" s="1"/>
  <c r="A60" i="8" l="1"/>
  <c r="B60" i="8" s="1" a="1"/>
  <c r="B60" i="8" s="1"/>
  <c r="A61" i="8" l="1"/>
  <c r="B61" i="8" s="1" a="1"/>
  <c r="B61" i="8" s="1"/>
  <c r="EB72" i="12"/>
  <c r="EA72" i="12"/>
  <c r="EC72" i="12" l="1"/>
  <c r="B4" i="20" l="1"/>
  <c r="B58" i="20" l="1"/>
  <c r="B94" i="20"/>
  <c r="B71" i="20" l="1"/>
  <c r="B7" i="20"/>
  <c r="B3" i="20"/>
  <c r="B10" i="20"/>
  <c r="B64" i="20"/>
  <c r="B37" i="20"/>
  <c r="B49" i="20"/>
  <c r="B93" i="20"/>
  <c r="B45" i="20"/>
  <c r="B91" i="20"/>
  <c r="B84" i="20"/>
  <c r="B24" i="20"/>
  <c r="B36" i="20"/>
  <c r="B13" i="20"/>
  <c r="B47" i="20"/>
  <c r="B38" i="20"/>
  <c r="B86" i="20"/>
  <c r="B51" i="20"/>
  <c r="B85" i="20"/>
  <c r="B54" i="20"/>
  <c r="B59" i="20"/>
  <c r="B11" i="20"/>
  <c r="B8" i="20"/>
  <c r="B79" i="20"/>
  <c r="B42" i="20"/>
  <c r="B53" i="20"/>
  <c r="B15" i="20"/>
  <c r="B27" i="20"/>
  <c r="B43" i="20"/>
  <c r="B74" i="20"/>
  <c r="B82" i="20"/>
  <c r="B73" i="20"/>
  <c r="B88" i="20"/>
  <c r="B92" i="20"/>
  <c r="B46" i="20"/>
  <c r="B32" i="20"/>
  <c r="B80" i="20"/>
  <c r="B9" i="20"/>
  <c r="B34" i="20"/>
  <c r="B20" i="20"/>
  <c r="B33" i="20"/>
  <c r="B65" i="20"/>
  <c r="B50" i="20"/>
  <c r="B89" i="20"/>
  <c r="B75" i="20"/>
  <c r="B56" i="20"/>
  <c r="B61" i="20"/>
  <c r="B52" i="20"/>
  <c r="B14" i="20"/>
  <c r="B66" i="20"/>
  <c r="B63" i="20"/>
  <c r="B48" i="20"/>
  <c r="B69" i="20"/>
  <c r="B87" i="20"/>
  <c r="B41" i="20"/>
  <c r="B83" i="20"/>
  <c r="B72" i="20"/>
  <c r="B19" i="20"/>
  <c r="B76" i="20"/>
  <c r="B29" i="20"/>
  <c r="B70" i="20"/>
  <c r="B90" i="20"/>
  <c r="B25" i="20"/>
  <c r="B67" i="20"/>
  <c r="B28" i="20"/>
  <c r="B44" i="20"/>
  <c r="B5" i="20"/>
  <c r="B39" i="20"/>
  <c r="B77" i="20"/>
  <c r="B23" i="20"/>
  <c r="B78" i="20"/>
  <c r="B16" i="20"/>
  <c r="B62" i="20"/>
  <c r="B68" i="20"/>
  <c r="B26" i="20"/>
  <c r="B6" i="20"/>
  <c r="B12" i="20"/>
  <c r="B30" i="20"/>
  <c r="B18" i="20"/>
  <c r="B31" i="20"/>
  <c r="B40" i="20"/>
  <c r="B17" i="20"/>
  <c r="B81" i="20"/>
  <c r="B22" i="20"/>
  <c r="B35" i="20"/>
  <c r="B57" i="20"/>
  <c r="B60" i="20" l="1"/>
  <c r="B21" i="20"/>
  <c r="B55" i="20" l="1"/>
  <c r="I13" i="7" l="1" a="1"/>
  <c r="I13" i="7" s="1"/>
  <c r="I14" i="7" a="1"/>
  <c r="I14" i="7" s="1"/>
  <c r="Z1727" i="13" l="1"/>
  <c r="E1" i="14" l="1"/>
  <c r="M1" i="14"/>
  <c r="Z1" i="23" l="1"/>
  <c r="F1" i="23"/>
  <c r="M1" i="23"/>
  <c r="I12" i="7" l="1" a="1"/>
  <c r="I12" i="7" s="1"/>
  <c r="K490" i="15" l="1" a="1"/>
  <c r="K490" i="15" s="1"/>
  <c r="M490" i="15" a="1"/>
  <c r="M490" i="15" s="1"/>
  <c r="L490" i="15" a="1"/>
  <c r="L490" i="15" s="1"/>
  <c r="N490" i="15" a="1"/>
  <c r="N490" i="15" s="1"/>
  <c r="BD1764" i="13" l="1"/>
  <c r="Y103" i="13"/>
  <c r="S13" i="27" s="1"/>
  <c r="Y32" i="23"/>
  <c r="Y32" i="14"/>
  <c r="AU3" i="13"/>
  <c r="Y203" i="13" l="1"/>
  <c r="AU103" i="13"/>
  <c r="AU203" i="13" l="1"/>
  <c r="Y55" i="14"/>
  <c r="Y303" i="13"/>
  <c r="Y402" i="13" l="1"/>
  <c r="AU303" i="13"/>
  <c r="AU402" i="13" s="1"/>
  <c r="Y502" i="13" l="1"/>
  <c r="AU502" i="13"/>
  <c r="Y603" i="13" l="1"/>
  <c r="AU603" i="13"/>
  <c r="Y702" i="13" l="1"/>
  <c r="AU702" i="13"/>
  <c r="Y802" i="13" l="1"/>
  <c r="AU802" i="13"/>
  <c r="AU901" i="13" l="1"/>
  <c r="Y901" i="13"/>
  <c r="AU1000" i="13" l="1"/>
  <c r="Y1000" i="13"/>
  <c r="Y1099" i="13" l="1"/>
  <c r="AU1099" i="13"/>
  <c r="Y1198" i="13" l="1"/>
  <c r="AU1198" i="13"/>
  <c r="Y1297" i="13" l="1"/>
  <c r="AU1297" i="13"/>
  <c r="AU1396" i="13" l="1"/>
  <c r="Y1396" i="13"/>
  <c r="Y1495" i="13" l="1"/>
  <c r="Y1595" i="13" s="1"/>
  <c r="AU1495" i="13"/>
  <c r="AU1594" i="13" s="1"/>
  <c r="Y1710" i="13"/>
  <c r="K494" i="15" l="1" a="1"/>
  <c r="K494" i="15" s="1"/>
  <c r="M494" i="15" a="1"/>
  <c r="M494" i="15" s="1"/>
  <c r="L494" i="15" a="1"/>
  <c r="L494" i="15" s="1"/>
  <c r="N494" i="15" a="1"/>
  <c r="N494" i="15" s="1"/>
  <c r="M476" i="15" l="1" a="1"/>
  <c r="M476" i="15" s="1"/>
  <c r="N476" i="15" a="1"/>
  <c r="N476" i="15" s="1"/>
  <c r="L476" i="15" a="1"/>
  <c r="L476" i="15" s="1"/>
  <c r="K476" i="15" a="1"/>
  <c r="K476" i="15" s="1"/>
  <c r="K509" i="15" l="1" a="1"/>
  <c r="K509" i="15" s="1"/>
  <c r="L509" i="15" a="1"/>
  <c r="L509" i="15" s="1"/>
  <c r="M509" i="15" a="1"/>
  <c r="M509" i="15" s="1"/>
  <c r="N509" i="15" a="1"/>
  <c r="N509" i="15" s="1"/>
  <c r="K512" i="15" l="1" a="1"/>
  <c r="K512" i="15" s="1"/>
  <c r="M512" i="15" a="1"/>
  <c r="M512" i="15" s="1"/>
  <c r="N512" i="15" a="1"/>
  <c r="N512" i="15" s="1"/>
  <c r="L512" i="15" a="1"/>
  <c r="L512" i="15" s="1"/>
  <c r="K515" i="15" l="1" a="1"/>
  <c r="K515" i="15" s="1"/>
  <c r="L515" i="15" a="1"/>
  <c r="L515" i="15" s="1"/>
  <c r="N515" i="15" a="1"/>
  <c r="N515" i="15" s="1"/>
  <c r="M515" i="15" a="1"/>
  <c r="M515" i="15" s="1"/>
  <c r="N514" i="15" a="1"/>
  <c r="N514" i="15" s="1"/>
  <c r="M514" i="15" a="1"/>
  <c r="M514" i="15" s="1"/>
  <c r="K514" i="15" a="1"/>
  <c r="K514" i="15" s="1"/>
  <c r="L514" i="15" a="1"/>
  <c r="L514" i="15" s="1"/>
  <c r="F516" i="15" l="1" a="1"/>
  <c r="F516" i="15" s="1"/>
  <c r="I516" i="15" s="1" a="1"/>
  <c r="I516" i="15" s="1"/>
  <c r="K519" i="15" l="1" a="1"/>
  <c r="K519" i="15" s="1"/>
  <c r="N519" i="15" a="1"/>
  <c r="N519" i="15" s="1"/>
  <c r="M519" i="15" a="1"/>
  <c r="M519" i="15" s="1"/>
  <c r="L519" i="15" a="1"/>
  <c r="L519" i="15" s="1"/>
  <c r="L518" i="15" a="1"/>
  <c r="L518" i="15" s="1"/>
  <c r="K518" i="15" a="1"/>
  <c r="K518" i="15" s="1"/>
  <c r="M518" i="15" a="1"/>
  <c r="M518" i="15" s="1"/>
  <c r="N518" i="15" a="1"/>
  <c r="N518" i="15" s="1"/>
  <c r="K516" i="15" a="1"/>
  <c r="K516" i="15" s="1"/>
  <c r="M516" i="15" a="1"/>
  <c r="M516" i="15" s="1"/>
  <c r="H516" i="15" a="1"/>
  <c r="H516" i="15" s="1"/>
  <c r="N516" i="15" a="1"/>
  <c r="N516" i="15" s="1"/>
  <c r="L516" i="15" a="1"/>
  <c r="L516" i="15" s="1"/>
  <c r="G516" i="15" l="1"/>
  <c r="K526" i="15" l="1" a="1"/>
  <c r="K526" i="15" s="1"/>
  <c r="M524" i="15" a="1"/>
  <c r="M524" i="15" s="1"/>
  <c r="K529" i="15" a="1"/>
  <c r="K529" i="15" s="1"/>
  <c r="L529" i="15" a="1"/>
  <c r="L529" i="15" s="1"/>
  <c r="M529" i="15" a="1"/>
  <c r="M529" i="15" s="1"/>
  <c r="N529" i="15" a="1"/>
  <c r="N529" i="15" s="1"/>
  <c r="N526" i="15" a="1"/>
  <c r="N526" i="15" s="1"/>
  <c r="M526" i="15" a="1"/>
  <c r="M526" i="15" s="1"/>
  <c r="L526" i="15" a="1"/>
  <c r="L526" i="15" s="1"/>
  <c r="M525" i="15" a="1"/>
  <c r="M525" i="15" s="1"/>
  <c r="L525" i="15" a="1"/>
  <c r="L525" i="15" s="1"/>
  <c r="K525" i="15" a="1"/>
  <c r="K525" i="15" s="1"/>
  <c r="N525" i="15" a="1"/>
  <c r="N525" i="15" s="1"/>
  <c r="H524" i="15" a="1"/>
  <c r="H524" i="15" s="1"/>
  <c r="F524" i="15" a="1"/>
  <c r="F524" i="15" s="1"/>
  <c r="K524" i="15" a="1"/>
  <c r="K524" i="15" s="1"/>
  <c r="L524" i="15" a="1"/>
  <c r="L524" i="15" s="1"/>
  <c r="N524" i="15" a="1"/>
  <c r="N524" i="15" s="1"/>
  <c r="K522" i="15" a="1"/>
  <c r="K522" i="15" s="1"/>
  <c r="K523" i="15" a="1"/>
  <c r="K523" i="15" s="1"/>
  <c r="L523" i="15" a="1"/>
  <c r="L523" i="15" s="1"/>
  <c r="M523" i="15" a="1"/>
  <c r="M523" i="15" s="1"/>
  <c r="N523" i="15" a="1"/>
  <c r="N523" i="15" s="1"/>
  <c r="N522" i="15" a="1"/>
  <c r="N522" i="15" s="1"/>
  <c r="M522" i="15" a="1"/>
  <c r="M522" i="15" s="1"/>
  <c r="L522" i="15" a="1"/>
  <c r="L522" i="15" s="1"/>
  <c r="G524" i="15" l="1"/>
  <c r="I524" i="15" a="1"/>
  <c r="I524" i="15" s="1"/>
  <c r="M528" i="15" l="1" a="1"/>
  <c r="M528" i="15" s="1"/>
  <c r="L528" i="15" a="1"/>
  <c r="L528" i="15" s="1"/>
  <c r="N528" i="15" a="1"/>
  <c r="N528" i="15" s="1"/>
  <c r="K528" i="15" a="1"/>
  <c r="K528" i="15" s="1"/>
  <c r="AV1704" i="13" l="1"/>
  <c r="BK1696" i="13"/>
  <c r="AY1696" i="13"/>
  <c r="AT1704" i="13"/>
  <c r="BA1696" i="13"/>
  <c r="BI1696" i="13"/>
  <c r="BM1696" i="13"/>
  <c r="AU1704" i="13"/>
  <c r="AW1696" i="13"/>
  <c r="BH1696" i="13"/>
  <c r="BC1696" i="13"/>
  <c r="BL1696" i="13"/>
  <c r="BE1696" i="13"/>
  <c r="BF1696" i="13"/>
  <c r="BD1696" i="13"/>
  <c r="BJ1696" i="13"/>
  <c r="BG1696" i="13"/>
  <c r="AZ1696" i="13"/>
  <c r="BB1696" i="13"/>
  <c r="S6" i="4" l="1"/>
  <c r="N533" i="15" l="1" a="1"/>
  <c r="N533" i="15" s="1"/>
  <c r="K533" i="15" a="1"/>
  <c r="K533" i="15" s="1"/>
  <c r="L533" i="15" a="1"/>
  <c r="L533" i="15" s="1"/>
  <c r="M533" i="15" a="1"/>
  <c r="M533" i="15" s="1"/>
  <c r="S4" i="4"/>
  <c r="S7" i="4"/>
  <c r="S5" i="4"/>
  <c r="Z1597" i="13"/>
  <c r="S3" i="4"/>
  <c r="F1701" i="13" l="1" a="1"/>
  <c r="F1701" i="13" s="1"/>
  <c r="F1700" i="13"/>
  <c r="B150" i="13" l="1"/>
  <c r="DB50" i="4" l="1"/>
  <c r="B149" i="13"/>
  <c r="AV1727" i="13" l="1"/>
  <c r="AB1727" i="13"/>
  <c r="AV250" i="13" l="1"/>
  <c r="L538" i="15" l="1" a="1"/>
  <c r="L538" i="15" s="1"/>
  <c r="K538" i="15" a="1"/>
  <c r="K538" i="15" s="1"/>
  <c r="M538" i="15" a="1"/>
  <c r="M538" i="15" s="1"/>
  <c r="N538" i="15" a="1"/>
  <c r="N538" i="15" s="1"/>
  <c r="K544" i="15" l="1" a="1"/>
  <c r="K544" i="15" s="1"/>
  <c r="L544" i="15" a="1"/>
  <c r="L544" i="15" s="1"/>
  <c r="M544" i="15" a="1"/>
  <c r="M544" i="15" s="1"/>
  <c r="N544" i="15" a="1"/>
  <c r="N544" i="15" s="1"/>
  <c r="K549" i="15" l="1" a="1"/>
  <c r="K549" i="15" s="1"/>
  <c r="L549" i="15" a="1"/>
  <c r="L549" i="15" s="1"/>
  <c r="M549" i="15" a="1"/>
  <c r="M549" i="15" s="1"/>
  <c r="N549" i="15" a="1"/>
  <c r="N549" i="15" s="1"/>
  <c r="L548" i="15" a="1"/>
  <c r="L548" i="15" s="1"/>
  <c r="M548" i="15" a="1"/>
  <c r="M548" i="15" s="1"/>
  <c r="N548" i="15" a="1"/>
  <c r="N548" i="15" s="1"/>
  <c r="K548" i="15" a="1"/>
  <c r="K548" i="15" s="1"/>
  <c r="K547" i="15" a="1"/>
  <c r="K547" i="15" s="1"/>
  <c r="L547" i="15" a="1"/>
  <c r="L547" i="15" s="1"/>
  <c r="M547" i="15" a="1"/>
  <c r="M547" i="15" s="1"/>
  <c r="N547" i="15" a="1"/>
  <c r="N547" i="15" s="1"/>
  <c r="N546" i="15" a="1"/>
  <c r="N546" i="15" s="1"/>
  <c r="K546" i="15" a="1"/>
  <c r="K546" i="15" s="1"/>
  <c r="L546" i="15" a="1"/>
  <c r="L546" i="15" s="1"/>
  <c r="M546" i="15" a="1"/>
  <c r="M546" i="15" s="1"/>
  <c r="K545" i="15" a="1"/>
  <c r="K545" i="15" s="1"/>
  <c r="M545" i="15" a="1"/>
  <c r="M545" i="15" s="1"/>
  <c r="L545" i="15" a="1"/>
  <c r="L545" i="15" s="1"/>
  <c r="N545" i="15" a="1"/>
  <c r="N545" i="15" s="1"/>
  <c r="M551" i="15" l="1" a="1"/>
  <c r="M551" i="15" s="1"/>
  <c r="K551" i="15" a="1"/>
  <c r="K551" i="15" s="1"/>
  <c r="L551" i="15" a="1"/>
  <c r="L551" i="15" s="1"/>
  <c r="N551" i="15" a="1"/>
  <c r="N551" i="15" s="1"/>
  <c r="I556" i="15" l="1" a="1"/>
  <c r="I556" i="15" s="1"/>
  <c r="K562" i="15" l="1" a="1"/>
  <c r="K562" i="15" s="1"/>
  <c r="M562" i="15" a="1"/>
  <c r="M562" i="15" s="1"/>
  <c r="L562" i="15" a="1"/>
  <c r="L562" i="15" s="1"/>
  <c r="N562" i="15" a="1"/>
  <c r="N562" i="15" s="1"/>
  <c r="K560" i="15" a="1"/>
  <c r="K560" i="15" s="1"/>
  <c r="L560" i="15" a="1"/>
  <c r="L560" i="15" s="1"/>
  <c r="M560" i="15" a="1"/>
  <c r="M560" i="15" s="1"/>
  <c r="N560" i="15" a="1"/>
  <c r="N560" i="15" s="1"/>
  <c r="K559" i="15" a="1"/>
  <c r="K559" i="15" s="1"/>
  <c r="L559" i="15" a="1"/>
  <c r="L559" i="15" s="1"/>
  <c r="M559" i="15" a="1"/>
  <c r="M559" i="15" s="1"/>
  <c r="N559" i="15" a="1"/>
  <c r="N559" i="15" s="1"/>
  <c r="H558" i="15" a="1"/>
  <c r="H558" i="15" s="1"/>
  <c r="F558" i="15" a="1"/>
  <c r="F558" i="15" s="1"/>
  <c r="N558" i="15" a="1"/>
  <c r="N558" i="15" s="1"/>
  <c r="K558" i="15" a="1"/>
  <c r="K558" i="15" s="1"/>
  <c r="L558" i="15" a="1"/>
  <c r="L558" i="15" s="1"/>
  <c r="M558" i="15" a="1"/>
  <c r="M558" i="15" s="1"/>
  <c r="F557" i="15" a="1"/>
  <c r="F557" i="15" s="1"/>
  <c r="H557" i="15" a="1"/>
  <c r="H557" i="15" s="1"/>
  <c r="K557" i="15" a="1"/>
  <c r="K557" i="15" s="1"/>
  <c r="L557" i="15" a="1"/>
  <c r="L557" i="15" s="1"/>
  <c r="M557" i="15" a="1"/>
  <c r="M557" i="15" s="1"/>
  <c r="N557" i="15" a="1"/>
  <c r="N557" i="15" s="1"/>
  <c r="N556" i="15" a="1"/>
  <c r="N556" i="15" s="1"/>
  <c r="M556" i="15" a="1"/>
  <c r="M556" i="15" s="1"/>
  <c r="L556" i="15" a="1"/>
  <c r="L556" i="15" s="1"/>
  <c r="K556" i="15" a="1"/>
  <c r="K556" i="15" s="1"/>
  <c r="K554" i="15" a="1"/>
  <c r="K554" i="15" s="1"/>
  <c r="N554" i="15" a="1"/>
  <c r="N554" i="15" s="1"/>
  <c r="L554" i="15" a="1"/>
  <c r="L554" i="15" s="1"/>
  <c r="G558" i="15" l="1"/>
  <c r="I558" i="15" a="1"/>
  <c r="I558" i="15" s="1"/>
  <c r="F554" i="15" a="1"/>
  <c r="F554" i="15" s="1"/>
  <c r="H554" i="15" a="1"/>
  <c r="H554" i="15" s="1"/>
  <c r="G557" i="15"/>
  <c r="I557" i="15" a="1"/>
  <c r="I557" i="15" s="1"/>
  <c r="M554" i="15" a="1"/>
  <c r="M554" i="15" s="1"/>
  <c r="I554" i="15" l="1" a="1"/>
  <c r="I554" i="15" s="1"/>
  <c r="G554" i="15" l="1"/>
  <c r="M564" i="15" l="1" a="1"/>
  <c r="M564" i="15" s="1"/>
  <c r="K564" i="15" a="1"/>
  <c r="K564" i="15" s="1"/>
  <c r="L564" i="15" a="1"/>
  <c r="L564" i="15" s="1"/>
  <c r="N564" i="15" a="1"/>
  <c r="N564" i="15" s="1"/>
  <c r="K570" i="15" l="1" a="1"/>
  <c r="K570" i="15" s="1"/>
  <c r="L570" i="15" a="1"/>
  <c r="L570" i="15" s="1"/>
  <c r="M570" i="15" a="1"/>
  <c r="M570" i="15" s="1"/>
  <c r="N570" i="15" a="1"/>
  <c r="N570" i="15" s="1"/>
  <c r="H569" i="15" a="1"/>
  <c r="H569" i="15" s="1"/>
  <c r="F569" i="15" a="1"/>
  <c r="F569" i="15" s="1"/>
  <c r="L569" i="15" a="1"/>
  <c r="L569" i="15" s="1"/>
  <c r="K569" i="15" a="1"/>
  <c r="K569" i="15" s="1"/>
  <c r="M569" i="15" a="1"/>
  <c r="M569" i="15" s="1"/>
  <c r="N569" i="15" a="1"/>
  <c r="N569" i="15" s="1"/>
  <c r="K567" i="15" a="1"/>
  <c r="K567" i="15" s="1"/>
  <c r="L567" i="15" a="1"/>
  <c r="L567" i="15" s="1"/>
  <c r="M567" i="15" a="1"/>
  <c r="M567" i="15" s="1"/>
  <c r="N567" i="15" a="1"/>
  <c r="N567" i="15" s="1"/>
  <c r="M566" i="15" a="1"/>
  <c r="M566" i="15" s="1"/>
  <c r="K566" i="15" a="1"/>
  <c r="K566" i="15" s="1"/>
  <c r="L566" i="15" a="1"/>
  <c r="L566" i="15" s="1"/>
  <c r="N566" i="15" a="1"/>
  <c r="N566" i="15" s="1"/>
  <c r="G569" i="15" l="1"/>
  <c r="I569" i="15" a="1"/>
  <c r="I569" i="15" s="1"/>
  <c r="M573" i="15" l="1" a="1"/>
  <c r="M573" i="15" s="1"/>
  <c r="N573" i="15" a="1"/>
  <c r="N573" i="15" s="1"/>
  <c r="K573" i="15" a="1"/>
  <c r="K573" i="15" s="1"/>
  <c r="L573" i="15" a="1"/>
  <c r="L573" i="15" s="1"/>
  <c r="K588" i="15" l="1" a="1"/>
  <c r="K588" i="15" s="1"/>
  <c r="L588" i="15" a="1"/>
  <c r="L588" i="15" s="1"/>
  <c r="M588" i="15" a="1"/>
  <c r="M588" i="15" s="1"/>
  <c r="N588" i="15" a="1"/>
  <c r="N588" i="15" s="1"/>
  <c r="M585" i="15" a="1"/>
  <c r="M585" i="15" s="1"/>
  <c r="N585" i="15" a="1"/>
  <c r="N585" i="15" s="1"/>
  <c r="L585" i="15" a="1"/>
  <c r="L585" i="15" s="1"/>
  <c r="K585" i="15" a="1"/>
  <c r="K585" i="15" s="1"/>
  <c r="M594" i="15" l="1" a="1"/>
  <c r="M594" i="15" s="1"/>
  <c r="N594" i="15" a="1"/>
  <c r="N594" i="15" s="1"/>
  <c r="K594" i="15" a="1"/>
  <c r="K594" i="15" s="1"/>
  <c r="L594" i="15" a="1"/>
  <c r="L594" i="15" s="1"/>
  <c r="K593" i="15" a="1"/>
  <c r="K593" i="15" s="1"/>
  <c r="L593" i="15" a="1"/>
  <c r="L593" i="15" s="1"/>
  <c r="M593" i="15" a="1"/>
  <c r="M593" i="15" s="1"/>
  <c r="N593" i="15" a="1"/>
  <c r="N593" i="15" s="1"/>
  <c r="M591" i="15" a="1"/>
  <c r="M591" i="15" s="1"/>
  <c r="N591" i="15" a="1"/>
  <c r="N591" i="15" s="1"/>
  <c r="K591" i="15" a="1"/>
  <c r="K591" i="15" s="1"/>
  <c r="L591" i="15" a="1"/>
  <c r="L591" i="15" s="1"/>
  <c r="K597" i="15" l="1" a="1"/>
  <c r="K597" i="15" s="1"/>
  <c r="N597" i="15" a="1"/>
  <c r="N597" i="15" s="1"/>
  <c r="L597" i="15" a="1"/>
  <c r="L597" i="15" s="1"/>
  <c r="M597" i="15" a="1"/>
  <c r="M597" i="15" s="1"/>
  <c r="F597" i="15" a="1"/>
  <c r="F597" i="15" s="1"/>
  <c r="H597" i="15" a="1"/>
  <c r="H597" i="15" s="1"/>
  <c r="F596" i="15" a="1"/>
  <c r="F596" i="15" s="1"/>
  <c r="H596" i="15" a="1"/>
  <c r="H596" i="15" s="1"/>
  <c r="K596" i="15" a="1"/>
  <c r="K596" i="15" s="1"/>
  <c r="N596" i="15" a="1"/>
  <c r="N596" i="15" s="1"/>
  <c r="L596" i="15" a="1"/>
  <c r="L596" i="15" s="1"/>
  <c r="M596" i="15" a="1"/>
  <c r="M596" i="15" s="1"/>
  <c r="G597" i="15" l="1"/>
  <c r="I597" i="15" a="1"/>
  <c r="I597" i="15" s="1"/>
  <c r="G596" i="15"/>
  <c r="I596" i="15" a="1"/>
  <c r="I596" i="15" s="1"/>
  <c r="F598" i="15" l="1" a="1"/>
  <c r="F598" i="15" s="1"/>
  <c r="H598" i="15" a="1"/>
  <c r="H598" i="15" s="1"/>
  <c r="M598" i="15" a="1"/>
  <c r="M598" i="15" s="1"/>
  <c r="N598" i="15" a="1"/>
  <c r="N598" i="15" s="1"/>
  <c r="K598" i="15" a="1"/>
  <c r="K598" i="15" s="1"/>
  <c r="L598" i="15" a="1"/>
  <c r="L598" i="15" s="1"/>
  <c r="G598" i="15" l="1"/>
  <c r="I598" i="15" a="1"/>
  <c r="I598" i="15" s="1"/>
  <c r="H603" i="15" l="1" a="1"/>
  <c r="H603" i="15" s="1"/>
  <c r="F603" i="15" a="1"/>
  <c r="F603" i="15" s="1"/>
  <c r="K603" i="15" a="1"/>
  <c r="K603" i="15" s="1"/>
  <c r="L603" i="15" a="1"/>
  <c r="L603" i="15" s="1"/>
  <c r="M603" i="15" a="1"/>
  <c r="M603" i="15" s="1"/>
  <c r="N603" i="15" a="1"/>
  <c r="N603" i="15" s="1"/>
  <c r="H602" i="15" a="1"/>
  <c r="H602" i="15" s="1"/>
  <c r="F602" i="15" a="1"/>
  <c r="F602" i="15" s="1"/>
  <c r="K602" i="15" a="1"/>
  <c r="K602" i="15" s="1"/>
  <c r="L602" i="15" a="1"/>
  <c r="L602" i="15" s="1"/>
  <c r="M602" i="15" a="1"/>
  <c r="M602" i="15" s="1"/>
  <c r="N602" i="15" a="1"/>
  <c r="N602" i="15" s="1"/>
  <c r="F601" i="15" a="1"/>
  <c r="F601" i="15" s="1"/>
  <c r="H601" i="15" a="1"/>
  <c r="H601" i="15" s="1"/>
  <c r="K601" i="15" a="1"/>
  <c r="K601" i="15" s="1"/>
  <c r="L601" i="15" a="1"/>
  <c r="L601" i="15" s="1"/>
  <c r="M601" i="15" a="1"/>
  <c r="M601" i="15" s="1"/>
  <c r="N601" i="15" a="1"/>
  <c r="N601" i="15" s="1"/>
  <c r="H600" i="15" a="1"/>
  <c r="H600" i="15" s="1"/>
  <c r="F600" i="15" a="1"/>
  <c r="F600" i="15" s="1"/>
  <c r="K600" i="15" a="1"/>
  <c r="K600" i="15" s="1"/>
  <c r="L600" i="15" a="1"/>
  <c r="L600" i="15" s="1"/>
  <c r="M600" i="15" a="1"/>
  <c r="M600" i="15" s="1"/>
  <c r="N600" i="15" a="1"/>
  <c r="N600" i="15" s="1"/>
  <c r="G603" i="15" l="1"/>
  <c r="I603" i="15" a="1"/>
  <c r="I603" i="15" s="1"/>
  <c r="G602" i="15"/>
  <c r="I602" i="15" a="1"/>
  <c r="I602" i="15" s="1"/>
  <c r="G601" i="15"/>
  <c r="I601" i="15" a="1"/>
  <c r="I601" i="15" s="1"/>
  <c r="G600" i="15"/>
  <c r="I600" i="15" a="1"/>
  <c r="I600" i="15" s="1"/>
  <c r="F608" i="15" l="1" a="1"/>
  <c r="F608" i="15" s="1"/>
  <c r="H608" i="15" a="1"/>
  <c r="H608" i="15" s="1"/>
  <c r="K608" i="15" a="1"/>
  <c r="K608" i="15" s="1"/>
  <c r="L608" i="15" a="1"/>
  <c r="L608" i="15" s="1"/>
  <c r="M608" i="15" a="1"/>
  <c r="M608" i="15" s="1"/>
  <c r="N608" i="15" a="1"/>
  <c r="N608" i="15" s="1"/>
  <c r="F607" i="15" a="1"/>
  <c r="F607" i="15" s="1"/>
  <c r="H607" i="15" a="1"/>
  <c r="H607" i="15" s="1"/>
  <c r="K607" i="15" a="1"/>
  <c r="K607" i="15" s="1"/>
  <c r="L607" i="15" a="1"/>
  <c r="L607" i="15" s="1"/>
  <c r="M607" i="15" a="1"/>
  <c r="M607" i="15" s="1"/>
  <c r="N607" i="15" a="1"/>
  <c r="N607" i="15" s="1"/>
  <c r="K606" i="15" a="1"/>
  <c r="K606" i="15" s="1"/>
  <c r="L606" i="15" a="1"/>
  <c r="L606" i="15" s="1"/>
  <c r="M606" i="15" a="1"/>
  <c r="M606" i="15" s="1"/>
  <c r="N606" i="15" a="1"/>
  <c r="N606" i="15" s="1"/>
  <c r="F606" i="15" a="1"/>
  <c r="F606" i="15" s="1"/>
  <c r="H606" i="15" a="1"/>
  <c r="H606" i="15" s="1"/>
  <c r="G608" i="15" l="1"/>
  <c r="I608" i="15" a="1"/>
  <c r="I608" i="15" s="1"/>
  <c r="G607" i="15"/>
  <c r="I607" i="15" a="1"/>
  <c r="I607" i="15" s="1"/>
  <c r="G606" i="15"/>
  <c r="I606" i="15" a="1"/>
  <c r="I606" i="15" s="1"/>
  <c r="H611" i="15" l="1" a="1"/>
  <c r="H611" i="15" s="1"/>
  <c r="F611" i="15" a="1"/>
  <c r="F611" i="15" s="1"/>
  <c r="N611" i="15" l="1" a="1"/>
  <c r="N611" i="15" s="1"/>
  <c r="L611" i="15" a="1"/>
  <c r="L611" i="15" s="1"/>
  <c r="K611" i="15" a="1"/>
  <c r="K611" i="15" s="1"/>
  <c r="G611" i="15"/>
  <c r="I611" i="15" a="1"/>
  <c r="I611" i="15" s="1"/>
  <c r="K613" i="15" l="1" a="1"/>
  <c r="K613" i="15" s="1"/>
  <c r="L613" i="15" a="1"/>
  <c r="L613" i="15" s="1"/>
  <c r="M613" i="15" a="1"/>
  <c r="M613" i="15" s="1"/>
  <c r="N613" i="15" a="1"/>
  <c r="N613" i="15" s="1"/>
  <c r="H613" i="15" a="1"/>
  <c r="H613" i="15" s="1"/>
  <c r="F613" i="15" a="1"/>
  <c r="F613" i="15" s="1"/>
  <c r="G613" i="15" l="1"/>
  <c r="I613" i="15" a="1"/>
  <c r="I613" i="15" s="1"/>
  <c r="F615" i="15" l="1" a="1"/>
  <c r="F615" i="15" s="1"/>
  <c r="H615" i="15" a="1"/>
  <c r="H615" i="15" s="1"/>
  <c r="I615" i="15" l="1" a="1"/>
  <c r="I615" i="15" s="1"/>
  <c r="K615" i="15" a="1"/>
  <c r="K615" i="15" s="1"/>
  <c r="N615" i="15" a="1"/>
  <c r="N615" i="15" s="1"/>
  <c r="M615" i="15" a="1"/>
  <c r="M615" i="15" s="1"/>
  <c r="N610" i="15" a="1"/>
  <c r="N610" i="15" s="1"/>
  <c r="K610" i="15" a="1"/>
  <c r="K610" i="15" s="1"/>
  <c r="M610" i="15" a="1"/>
  <c r="M610" i="15" s="1"/>
  <c r="L610" i="15" l="1" a="1"/>
  <c r="L610" i="15" s="1"/>
  <c r="F610" i="15" a="1"/>
  <c r="F610" i="15" s="1"/>
  <c r="H610" i="15" a="1"/>
  <c r="H610" i="15" s="1"/>
  <c r="I610" i="15" l="1" a="1"/>
  <c r="I610" i="15" s="1"/>
  <c r="G615" i="15" l="1"/>
  <c r="G610" i="15"/>
  <c r="K617" i="15" l="1" a="1"/>
  <c r="K617" i="15" s="1"/>
  <c r="L617" i="15" a="1"/>
  <c r="L617" i="15" s="1"/>
  <c r="M617" i="15" a="1"/>
  <c r="M617" i="15" s="1"/>
  <c r="N617" i="15" a="1"/>
  <c r="N617" i="15" s="1"/>
  <c r="F617" i="15" a="1"/>
  <c r="F617" i="15" s="1"/>
  <c r="H617" i="15" a="1"/>
  <c r="H617" i="15" s="1"/>
  <c r="G617" i="15" l="1"/>
  <c r="I617" i="15" a="1"/>
  <c r="I617" i="15" s="1"/>
  <c r="M611" i="15" l="1" a="1"/>
  <c r="M611" i="15" s="1"/>
  <c r="F620" i="15" a="1"/>
  <c r="F620" i="15" s="1"/>
  <c r="H620" i="15" a="1"/>
  <c r="H620" i="15" s="1"/>
  <c r="M620" i="15" a="1"/>
  <c r="M620" i="15" s="1"/>
  <c r="N620" i="15" a="1"/>
  <c r="N620" i="15" s="1"/>
  <c r="K620" i="15" a="1"/>
  <c r="K620" i="15" s="1"/>
  <c r="L620" i="15" a="1"/>
  <c r="L620" i="15" s="1"/>
  <c r="G620" i="15" l="1"/>
  <c r="I620" i="15" a="1"/>
  <c r="I620" i="15" s="1"/>
  <c r="K94" i="4" l="1"/>
  <c r="Z1193" i="13" l="1"/>
  <c r="Z597" i="13"/>
  <c r="Z98" i="13"/>
  <c r="Z398" i="13"/>
  <c r="Z498" i="13"/>
  <c r="Z598" i="13"/>
  <c r="Z896" i="13"/>
  <c r="Z996" i="13"/>
  <c r="A98" i="13" l="1"/>
  <c r="H96" i="4"/>
  <c r="M96" i="4"/>
  <c r="A97" i="13"/>
  <c r="H95" i="4"/>
  <c r="Z298" i="13"/>
  <c r="I96" i="4"/>
  <c r="Z198" i="13"/>
  <c r="Z1293" i="13"/>
  <c r="Z1491" i="13"/>
  <c r="BS96" i="4"/>
  <c r="E98" i="13"/>
  <c r="K96" i="4"/>
  <c r="AZ96" i="4"/>
  <c r="CM96" i="4" a="1"/>
  <c r="CD96" i="4" a="1"/>
  <c r="CF96" i="4" a="1"/>
  <c r="CS96" i="4"/>
  <c r="AC96" i="4" a="1"/>
  <c r="CB95" i="4" a="1"/>
  <c r="CD95" i="4" a="1"/>
  <c r="AM96" i="4" a="1"/>
  <c r="CL96" i="4" a="1"/>
  <c r="BN96" i="4" a="1"/>
  <c r="BP96" i="4" a="1"/>
  <c r="CJ96" i="4" a="1"/>
  <c r="CC96" i="4" a="1"/>
  <c r="CP96" i="4"/>
  <c r="AK96" i="4" a="1"/>
  <c r="CG96" i="4" a="1"/>
  <c r="CH96" i="4" a="1"/>
  <c r="CK96" i="4" a="1"/>
  <c r="CE96" i="4" a="1"/>
  <c r="CB96" i="4" a="1"/>
  <c r="AC95" i="4" a="1"/>
  <c r="CC95" i="4" a="1"/>
  <c r="AE96" i="4" a="1"/>
  <c r="CI96" i="4" a="1"/>
  <c r="CP95" i="4"/>
  <c r="CD95" i="4" l="1"/>
  <c r="CC95" i="4"/>
  <c r="CB95" i="4"/>
  <c r="AC95" i="4"/>
  <c r="CB96" i="4"/>
  <c r="CK96" i="4"/>
  <c r="BN96" i="4"/>
  <c r="CL96" i="4"/>
  <c r="CD96" i="4"/>
  <c r="AC96" i="4"/>
  <c r="CI96" i="4"/>
  <c r="CJ96" i="4"/>
  <c r="CG96" i="4"/>
  <c r="AK96" i="4"/>
  <c r="BP96" i="4"/>
  <c r="CE96" i="4"/>
  <c r="CH96" i="4"/>
  <c r="CC96" i="4"/>
  <c r="CF96" i="4"/>
  <c r="AM96" i="4"/>
  <c r="CM96" i="4"/>
  <c r="AE96" i="4"/>
  <c r="BC95" i="4" a="1"/>
  <c r="BC95" i="4" s="1"/>
  <c r="D95" i="1"/>
  <c r="BV95" i="4" a="1"/>
  <c r="BV95" i="4" s="1"/>
  <c r="A95" i="20"/>
  <c r="C95" i="4"/>
  <c r="BU95" i="4" a="1"/>
  <c r="BU95" i="4" s="1"/>
  <c r="D95" i="4"/>
  <c r="A97" i="9"/>
  <c r="AX96" i="4"/>
  <c r="AX697" i="13"/>
  <c r="A995" i="13"/>
  <c r="AX995" i="13" s="1"/>
  <c r="A796" i="13"/>
  <c r="AX796" i="13" s="1"/>
  <c r="A1193" i="13"/>
  <c r="A697" i="13"/>
  <c r="A197" i="13"/>
  <c r="A1094" i="13"/>
  <c r="A896" i="13"/>
  <c r="AX896" i="13" s="1"/>
  <c r="AX97" i="13"/>
  <c r="A497" i="13"/>
  <c r="AX497" i="13"/>
  <c r="AX1094" i="13"/>
  <c r="A597" i="13"/>
  <c r="AX597" i="13"/>
  <c r="D96" i="1"/>
  <c r="BU96" i="4" a="1"/>
  <c r="BU96" i="4" s="1"/>
  <c r="A98" i="9"/>
  <c r="D96" i="4"/>
  <c r="BV96" i="4" a="1"/>
  <c r="BV96" i="4" s="1"/>
  <c r="BC96" i="4" a="1"/>
  <c r="BC96" i="4" s="1"/>
  <c r="C96" i="4"/>
  <c r="AX698" i="13"/>
  <c r="A797" i="13"/>
  <c r="AX797" i="13" s="1"/>
  <c r="A198" i="13"/>
  <c r="A598" i="13"/>
  <c r="A1095" i="13"/>
  <c r="A498" i="13"/>
  <c r="AX498" i="13" s="1"/>
  <c r="A1194" i="13"/>
  <c r="A897" i="13"/>
  <c r="AX897" i="13" s="1"/>
  <c r="AX98" i="13"/>
  <c r="AX598" i="13"/>
  <c r="A698" i="13"/>
  <c r="A996" i="13"/>
  <c r="AX996" i="13" s="1"/>
  <c r="AX1095" i="13"/>
  <c r="AS96" i="4"/>
  <c r="AV698" i="13" s="1"/>
  <c r="CO95" i="4" a="1"/>
  <c r="CN96" i="4" a="1"/>
  <c r="CL95" i="4" a="1"/>
  <c r="AF96" i="4" a="1"/>
  <c r="CN95" i="4" a="1"/>
  <c r="CO96" i="4" a="1"/>
  <c r="CJ95" i="4" a="1"/>
  <c r="CK95" i="4" a="1"/>
  <c r="BP95" i="4" a="1"/>
  <c r="CH95" i="4" a="1"/>
  <c r="CQ96" i="4" a="1"/>
  <c r="CI95" i="4" a="1"/>
  <c r="B96" i="1" a="1"/>
  <c r="AO96" i="4" a="1"/>
  <c r="AB95" i="4" a="1"/>
  <c r="AN96" i="4" a="1"/>
  <c r="AA95" i="4" a="1"/>
  <c r="B95" i="1" a="1"/>
  <c r="BN95" i="4" a="1"/>
  <c r="CF95" i="4" a="1"/>
  <c r="AK95" i="4" a="1"/>
  <c r="CS95" i="4"/>
  <c r="AM95" i="4" a="1"/>
  <c r="AI96" i="4" a="1"/>
  <c r="CR96" i="4" a="1"/>
  <c r="CM95" i="4" a="1"/>
  <c r="CE95" i="4" a="1"/>
  <c r="AE95" i="4" a="1"/>
  <c r="CG95" i="4" a="1"/>
  <c r="AB96" i="4" a="1"/>
  <c r="AJ96" i="4" a="1"/>
  <c r="AA96" i="4" a="1"/>
  <c r="AG96" i="4" a="1"/>
  <c r="CG95" i="4" l="1"/>
  <c r="AE95" i="4"/>
  <c r="CE95" i="4"/>
  <c r="CM95" i="4"/>
  <c r="CR96" i="4"/>
  <c r="AM95" i="4"/>
  <c r="AK95" i="4"/>
  <c r="CF95" i="4"/>
  <c r="BN95" i="4"/>
  <c r="CI95" i="4"/>
  <c r="CQ96" i="4"/>
  <c r="CH95" i="4"/>
  <c r="BP95" i="4"/>
  <c r="CK95" i="4"/>
  <c r="CJ95" i="4"/>
  <c r="CO96" i="4"/>
  <c r="CN95" i="4"/>
  <c r="CL95" i="4"/>
  <c r="CN96" i="4"/>
  <c r="CO95" i="4"/>
  <c r="AJ96" i="4"/>
  <c r="AI96" i="4"/>
  <c r="B95" i="1"/>
  <c r="X95" i="69" s="1"/>
  <c r="AA95" i="4"/>
  <c r="AB95" i="4"/>
  <c r="AF96" i="4"/>
  <c r="AG96" i="4"/>
  <c r="AA96" i="4"/>
  <c r="DA96" i="4" s="1"/>
  <c r="AB96" i="4"/>
  <c r="AN96" i="4"/>
  <c r="AO96" i="4"/>
  <c r="B96" i="1"/>
  <c r="X96" i="69" s="1"/>
  <c r="CT96" i="4"/>
  <c r="CU96" i="4" s="1"/>
  <c r="A297" i="13"/>
  <c r="AX197" i="13"/>
  <c r="BO96" i="4"/>
  <c r="G96" i="4"/>
  <c r="A1292" i="13"/>
  <c r="AX1193" i="13"/>
  <c r="A298" i="13"/>
  <c r="AX198" i="13"/>
  <c r="BZ95" i="4" a="1"/>
  <c r="BZ95" i="4" s="1"/>
  <c r="BX95" i="4" s="1" a="1"/>
  <c r="BX95" i="4" s="1"/>
  <c r="BY95" i="4" a="1"/>
  <c r="BY95" i="4" s="1"/>
  <c r="BW96" i="4"/>
  <c r="AX1194" i="13"/>
  <c r="A1293" i="13"/>
  <c r="BZ96" i="4" a="1"/>
  <c r="BZ96" i="4" s="1"/>
  <c r="BX96" i="4" s="1" a="1"/>
  <c r="BX96" i="4" s="1"/>
  <c r="BY96" i="4" a="1"/>
  <c r="BY96" i="4" s="1"/>
  <c r="CR95" i="4" a="1"/>
  <c r="CQ95" i="4" a="1"/>
  <c r="BW95" i="4" l="1"/>
  <c r="G95" i="4"/>
  <c r="AV97" i="13" s="1"/>
  <c r="BO95" i="4"/>
  <c r="CQ95" i="4"/>
  <c r="CR95" i="4"/>
  <c r="A1391" i="13"/>
  <c r="AX1292" i="13"/>
  <c r="AX297" i="13"/>
  <c r="A397" i="13"/>
  <c r="AX397" i="13" s="1"/>
  <c r="A1392" i="13"/>
  <c r="AX1293" i="13"/>
  <c r="BP96" i="69"/>
  <c r="AA96" i="69"/>
  <c r="BP95" i="69"/>
  <c r="AA95" i="69"/>
  <c r="AW95" i="4"/>
  <c r="AY96" i="4"/>
  <c r="AW96" i="4"/>
  <c r="AV98" i="13"/>
  <c r="Z1392" i="13"/>
  <c r="AX298" i="13"/>
  <c r="A398" i="13"/>
  <c r="AX398" i="13" s="1"/>
  <c r="AJ95" i="4" a="1"/>
  <c r="AG95" i="4" a="1"/>
  <c r="AN95" i="4" a="1"/>
  <c r="AO95" i="4" a="1"/>
  <c r="AI95" i="4" a="1"/>
  <c r="AF95" i="4" a="1"/>
  <c r="AY95" i="4" l="1"/>
  <c r="Z1391" i="13"/>
  <c r="AF95" i="4"/>
  <c r="AI95" i="4"/>
  <c r="AO95" i="4"/>
  <c r="AN95" i="4"/>
  <c r="AG95" i="4"/>
  <c r="AJ95" i="4"/>
  <c r="AX1391" i="13"/>
  <c r="A1490" i="13"/>
  <c r="A1491" i="13"/>
  <c r="AX1392" i="13"/>
  <c r="A1589" i="13" l="1"/>
  <c r="AX1490" i="13"/>
  <c r="AX1491" i="13"/>
  <c r="A1590" i="13"/>
  <c r="A1689" i="13" l="1"/>
  <c r="AX1689" i="13" s="1"/>
  <c r="AX1590" i="13"/>
  <c r="AX1589" i="13"/>
  <c r="A1688" i="13"/>
  <c r="AX1688" i="13" s="1"/>
  <c r="Z591" i="13" l="1"/>
  <c r="Z571" i="13"/>
  <c r="Z567" i="13"/>
  <c r="Z558" i="13"/>
  <c r="Z556" i="13"/>
  <c r="Z549" i="13"/>
  <c r="Z541" i="13"/>
  <c r="Z537" i="13"/>
  <c r="Z531" i="13"/>
  <c r="Z518" i="13"/>
  <c r="K12" i="4" l="1"/>
  <c r="K17" i="4"/>
  <c r="K50" i="4"/>
  <c r="K45" i="4"/>
  <c r="K75" i="4"/>
  <c r="K90" i="4"/>
  <c r="K86" i="4"/>
  <c r="K34" i="4"/>
  <c r="K77" i="4"/>
  <c r="K39" i="4"/>
  <c r="K61" i="4"/>
  <c r="K74" i="4"/>
  <c r="K59" i="4"/>
  <c r="K62" i="4"/>
  <c r="K78" i="4"/>
  <c r="K20" i="4"/>
  <c r="K57" i="4"/>
  <c r="K91" i="4"/>
  <c r="K89" i="4"/>
  <c r="K76" i="4"/>
  <c r="K81" i="4"/>
  <c r="K5" i="4"/>
  <c r="K23" i="4" l="1"/>
  <c r="C95" i="1" l="1"/>
  <c r="Z96" i="69"/>
  <c r="V96" i="69"/>
  <c r="A96" i="4"/>
  <c r="C96" i="1"/>
  <c r="L96" i="69" l="1"/>
  <c r="N96" i="69" a="1"/>
  <c r="N96" i="69" s="1"/>
  <c r="AB96" i="69" a="1"/>
  <c r="AB96" i="69" s="1"/>
  <c r="Q96" i="69"/>
  <c r="A96" i="69"/>
  <c r="AN96" i="69"/>
  <c r="AM96" i="69"/>
  <c r="AX96" i="69"/>
  <c r="H98" i="9"/>
  <c r="AC96" i="69"/>
  <c r="W96" i="69"/>
  <c r="P96" i="69"/>
  <c r="AW96" i="69"/>
  <c r="Y96" i="69"/>
  <c r="J96" i="69"/>
  <c r="B96" i="4"/>
  <c r="BA96" i="4" a="1"/>
  <c r="BA96" i="4" s="1"/>
  <c r="BB96" i="4" s="1"/>
  <c r="AV198" i="13" s="1"/>
  <c r="BK96" i="4" a="1"/>
  <c r="BJ96" i="4" a="1"/>
  <c r="BI96" i="4" a="1"/>
  <c r="BC96" i="69" l="1"/>
  <c r="AE96" i="69" a="1"/>
  <c r="AE96" i="69" s="1"/>
  <c r="AH96" i="69" s="1" a="1"/>
  <c r="AH96" i="69" s="1"/>
  <c r="AZ96" i="69"/>
  <c r="T96" i="69"/>
  <c r="AT96" i="69" a="1"/>
  <c r="AT96" i="69" s="1"/>
  <c r="BI96" i="4"/>
  <c r="BJ96" i="4"/>
  <c r="BK96" i="4"/>
  <c r="AI96" i="69" a="1"/>
  <c r="AI96" i="69" s="1"/>
  <c r="E96" i="4"/>
  <c r="BT96" i="4" s="1"/>
  <c r="Z96" i="4"/>
  <c r="AH96" i="4"/>
  <c r="AV1392" i="13" s="1"/>
  <c r="AL96" i="4"/>
  <c r="AD96" i="4"/>
  <c r="CV96" i="4"/>
  <c r="CW96" i="4" s="1"/>
  <c r="F96" i="4"/>
  <c r="CZ96" i="4" a="1"/>
  <c r="CZ96" i="4" s="1"/>
  <c r="AP96" i="4"/>
  <c r="M96" i="69"/>
  <c r="K96" i="69" a="1"/>
  <c r="K96" i="69" s="1"/>
  <c r="AF96" i="69" a="1"/>
  <c r="AF96" i="69" s="1"/>
  <c r="AV96" i="69" a="1"/>
  <c r="AV96" i="69" s="1"/>
  <c r="AU96" i="69" a="1"/>
  <c r="AU96" i="69" s="1"/>
  <c r="AL96" i="69" a="1"/>
  <c r="AL96" i="69" s="1"/>
  <c r="AP96" i="69" a="1"/>
  <c r="AP96" i="69" s="1"/>
  <c r="AG96" i="69" a="1"/>
  <c r="AG96" i="69" s="1"/>
  <c r="R96" i="69"/>
  <c r="BI96" i="69" a="1"/>
  <c r="BI96" i="69" s="1"/>
  <c r="AK96" i="69" a="1"/>
  <c r="AK96" i="69" s="1"/>
  <c r="BB96" i="69"/>
  <c r="AR96" i="69" s="1" a="1"/>
  <c r="AR96" i="69" s="1"/>
  <c r="AY96" i="69"/>
  <c r="AJ96" i="69" s="1" a="1"/>
  <c r="AJ96" i="69" s="1"/>
  <c r="BO96" i="69"/>
  <c r="BH96" i="69" a="1"/>
  <c r="BH96" i="69" s="1"/>
  <c r="BL96" i="69" a="1"/>
  <c r="BL96" i="69" s="1"/>
  <c r="BK96" i="69"/>
  <c r="BJ96" i="69" s="1"/>
  <c r="BM96" i="69" s="1"/>
  <c r="E96" i="69"/>
  <c r="AO96" i="69" a="1"/>
  <c r="AO96" i="69" s="1"/>
  <c r="BN96" i="69"/>
  <c r="BA96" i="69"/>
  <c r="AS96" i="69" a="1"/>
  <c r="AS96" i="69" s="1"/>
  <c r="BD96" i="4" l="1"/>
  <c r="AV1293" i="13"/>
  <c r="S96" i="69"/>
  <c r="B96" i="69"/>
  <c r="AQ96" i="69" a="1"/>
  <c r="AQ96" i="69" s="1"/>
  <c r="AV398" i="13"/>
  <c r="AV498" i="13" s="1"/>
  <c r="U96" i="69" a="1"/>
  <c r="U96" i="69" s="1"/>
  <c r="AV598" i="13"/>
  <c r="BL96" i="4"/>
  <c r="BH96" i="4"/>
  <c r="X96" i="4"/>
  <c r="BG96" i="4"/>
  <c r="AV1194" i="13" s="1"/>
  <c r="BR96" i="4"/>
  <c r="L96" i="4"/>
  <c r="BF96" i="4"/>
  <c r="DC96" i="4" a="1"/>
  <c r="DC96" i="4" s="1"/>
  <c r="BM96" i="4" l="1"/>
  <c r="AD96" i="69"/>
  <c r="AV96" i="4" a="1"/>
  <c r="AV96" i="4" s="1"/>
  <c r="C96" i="69" s="1"/>
  <c r="D96" i="69" s="1" a="1"/>
  <c r="D96" i="69" s="1"/>
  <c r="AT96" i="4" a="1"/>
  <c r="AT96" i="4" s="1"/>
  <c r="AU96" i="4"/>
  <c r="Y96" i="4"/>
  <c r="BQ96" i="4"/>
  <c r="CX96" i="4"/>
  <c r="CY96" i="4" s="1"/>
  <c r="CA96" i="4"/>
  <c r="O96" i="69"/>
  <c r="BF96" i="69"/>
  <c r="BE96" i="4" l="1" a="1"/>
  <c r="BE96" i="4" s="1"/>
  <c r="K4" i="4" l="1"/>
  <c r="K6" i="4"/>
  <c r="K7" i="4"/>
  <c r="K8" i="4"/>
  <c r="K9" i="4"/>
  <c r="K10" i="4"/>
  <c r="K11" i="4"/>
  <c r="K13" i="4"/>
  <c r="K14" i="4"/>
  <c r="K15" i="4"/>
  <c r="K16" i="4"/>
  <c r="K18" i="4"/>
  <c r="K19" i="4"/>
  <c r="K21" i="4"/>
  <c r="K22" i="4"/>
  <c r="K24" i="4"/>
  <c r="K25" i="4"/>
  <c r="K26" i="4"/>
  <c r="K27" i="4"/>
  <c r="K28" i="4"/>
  <c r="K29" i="4"/>
  <c r="K30" i="4"/>
  <c r="K31" i="4"/>
  <c r="K32" i="4"/>
  <c r="K35" i="4"/>
  <c r="K36" i="4"/>
  <c r="K37" i="4"/>
  <c r="K38" i="4"/>
  <c r="K40" i="4"/>
  <c r="K41" i="4"/>
  <c r="K42" i="4"/>
  <c r="K43" i="4"/>
  <c r="K44" i="4"/>
  <c r="K46" i="4"/>
  <c r="K47" i="4"/>
  <c r="K48" i="4"/>
  <c r="K49" i="4"/>
  <c r="K51" i="4"/>
  <c r="K52" i="4"/>
  <c r="K53" i="4"/>
  <c r="K54" i="4"/>
  <c r="K55" i="4"/>
  <c r="K56" i="4"/>
  <c r="K58" i="4"/>
  <c r="K60" i="4"/>
  <c r="K63" i="4"/>
  <c r="K64" i="4"/>
  <c r="K65" i="4"/>
  <c r="K66" i="4"/>
  <c r="K67" i="4"/>
  <c r="K68" i="4"/>
  <c r="K69" i="4"/>
  <c r="K70" i="4"/>
  <c r="K71" i="4"/>
  <c r="K72" i="4"/>
  <c r="K73" i="4"/>
  <c r="K79" i="4"/>
  <c r="K80" i="4"/>
  <c r="K82" i="4"/>
  <c r="K83" i="4"/>
  <c r="K84" i="4"/>
  <c r="K85" i="4"/>
  <c r="K87" i="4"/>
  <c r="K88" i="4"/>
  <c r="K92" i="4"/>
  <c r="K93" i="4"/>
  <c r="K95" i="4"/>
  <c r="K3" i="4"/>
  <c r="K33" i="4" l="1"/>
  <c r="A6" i="13" l="1"/>
  <c r="H4" i="4"/>
  <c r="Z505" i="13"/>
  <c r="CM4" i="4" a="1"/>
  <c r="AC4" i="4" a="1"/>
  <c r="CB4" i="4" a="1"/>
  <c r="AM4" i="4" a="1"/>
  <c r="AK4" i="4" a="1"/>
  <c r="BN4" i="4" a="1"/>
  <c r="CJ4" i="4" a="1"/>
  <c r="CC4" i="4" a="1"/>
  <c r="BP4" i="4" a="1"/>
  <c r="CI4" i="4" a="1"/>
  <c r="CG4" i="4" a="1"/>
  <c r="CP4" i="4"/>
  <c r="AE4" i="4" a="1"/>
  <c r="CK4" i="4" a="1"/>
  <c r="CE4" i="4" a="1"/>
  <c r="CD4" i="4" a="1"/>
  <c r="CL4" i="4" a="1"/>
  <c r="CH4" i="4" a="1"/>
  <c r="CF4" i="4" a="1"/>
  <c r="CS4" i="4"/>
  <c r="CO4" i="4" a="1"/>
  <c r="CN4" i="4" a="1"/>
  <c r="CQ4" i="4" a="1"/>
  <c r="CR4" i="4" a="1"/>
  <c r="CR4" i="4" l="1"/>
  <c r="CQ4" i="4"/>
  <c r="CN4" i="4"/>
  <c r="CO4" i="4"/>
  <c r="CF4" i="4"/>
  <c r="CH4" i="4"/>
  <c r="CL4" i="4"/>
  <c r="CD4" i="4"/>
  <c r="CE4" i="4"/>
  <c r="CK4" i="4"/>
  <c r="AE4" i="4"/>
  <c r="CG4" i="4"/>
  <c r="CI4" i="4"/>
  <c r="BP4" i="4"/>
  <c r="CC4" i="4"/>
  <c r="CJ4" i="4"/>
  <c r="BN4" i="4"/>
  <c r="AK4" i="4"/>
  <c r="AM4" i="4"/>
  <c r="CB4" i="4"/>
  <c r="AC4" i="4"/>
  <c r="CM4" i="4"/>
  <c r="M44" i="4"/>
  <c r="Z745" i="13"/>
  <c r="A60" i="13"/>
  <c r="H58" i="4"/>
  <c r="H94" i="4"/>
  <c r="A96" i="13"/>
  <c r="BU4" i="4" a="1"/>
  <c r="BU4" i="4" s="1"/>
  <c r="C4" i="4"/>
  <c r="A4" i="20"/>
  <c r="BC4" i="4" a="1"/>
  <c r="BC4" i="4" s="1"/>
  <c r="A6" i="9"/>
  <c r="D4" i="4"/>
  <c r="D4" i="1"/>
  <c r="BV4" i="4" a="1"/>
  <c r="BV4" i="4" s="1"/>
  <c r="A1102" i="13"/>
  <c r="AX506" i="13"/>
  <c r="AX6" i="13"/>
  <c r="A106" i="13"/>
  <c r="A904" i="13"/>
  <c r="AX904" i="13" s="1"/>
  <c r="A805" i="13"/>
  <c r="AX805" i="13" s="1"/>
  <c r="A506" i="13"/>
  <c r="A705" i="13"/>
  <c r="AX705" i="13" s="1"/>
  <c r="A406" i="13"/>
  <c r="AX1003" i="13"/>
  <c r="A1003" i="13"/>
  <c r="AX406" i="13"/>
  <c r="AX606" i="13"/>
  <c r="A606" i="13"/>
  <c r="AM58" i="4" a="1"/>
  <c r="CF58" i="4" a="1"/>
  <c r="CI58" i="4" a="1"/>
  <c r="CG58" i="4" a="1"/>
  <c r="AE58" i="4" a="1"/>
  <c r="CJ58" i="4" a="1"/>
  <c r="AC58" i="4" a="1"/>
  <c r="CS58" i="4"/>
  <c r="CD58" i="4" a="1"/>
  <c r="CH58" i="4" a="1"/>
  <c r="CK58" i="4" a="1"/>
  <c r="BP58" i="4" a="1"/>
  <c r="CL58" i="4" a="1"/>
  <c r="CM58" i="4" a="1"/>
  <c r="BN58" i="4" a="1"/>
  <c r="CB58" i="4" a="1"/>
  <c r="CE58" i="4" a="1"/>
  <c r="CC58" i="4" a="1"/>
  <c r="CP58" i="4"/>
  <c r="AK58" i="4" a="1"/>
  <c r="AJ4" i="4" a="1"/>
  <c r="AI4" i="4" a="1"/>
  <c r="AN4" i="4" a="1"/>
  <c r="AO4" i="4" a="1"/>
  <c r="CC94" i="4" a="1"/>
  <c r="CJ94" i="4" a="1"/>
  <c r="CK94" i="4" a="1"/>
  <c r="AC94" i="4" a="1"/>
  <c r="CM94" i="4" a="1"/>
  <c r="CP94" i="4"/>
  <c r="CE94" i="4" a="1"/>
  <c r="CI94" i="4" a="1"/>
  <c r="AE94" i="4" a="1"/>
  <c r="CL94" i="4" a="1"/>
  <c r="CD94" i="4" a="1"/>
  <c r="BN94" i="4" a="1"/>
  <c r="AK94" i="4" a="1"/>
  <c r="AM94" i="4" a="1"/>
  <c r="CB94" i="4" a="1"/>
  <c r="CS94" i="4"/>
  <c r="CG94" i="4" a="1"/>
  <c r="BP94" i="4" a="1"/>
  <c r="CH94" i="4" a="1"/>
  <c r="CF94" i="4" a="1"/>
  <c r="B4" i="1" a="1"/>
  <c r="AB4" i="4" a="1"/>
  <c r="AA4" i="4" a="1"/>
  <c r="AG4" i="4" a="1"/>
  <c r="AF4" i="4" a="1"/>
  <c r="CQ58" i="4" a="1"/>
  <c r="CR58" i="4" a="1"/>
  <c r="CN58" i="4" a="1"/>
  <c r="CO58" i="4" a="1"/>
  <c r="CO94" i="4" a="1"/>
  <c r="CN94" i="4" a="1"/>
  <c r="CR94" i="4" a="1"/>
  <c r="CQ94" i="4" a="1"/>
  <c r="CQ94" i="4" l="1"/>
  <c r="CR94" i="4"/>
  <c r="CN94" i="4"/>
  <c r="CO94" i="4"/>
  <c r="CO58" i="4"/>
  <c r="CN58" i="4"/>
  <c r="CR58" i="4"/>
  <c r="CQ58" i="4"/>
  <c r="AF4" i="4"/>
  <c r="AG4" i="4"/>
  <c r="AA4" i="4"/>
  <c r="AB4" i="4"/>
  <c r="B4" i="1"/>
  <c r="X4" i="69" s="1"/>
  <c r="CF94" i="4"/>
  <c r="CH94" i="4"/>
  <c r="BP94" i="4"/>
  <c r="CG94" i="4"/>
  <c r="CB94" i="4"/>
  <c r="AM94" i="4"/>
  <c r="AK94" i="4"/>
  <c r="BN94" i="4"/>
  <c r="CD94" i="4"/>
  <c r="CL94" i="4"/>
  <c r="AE94" i="4"/>
  <c r="CI94" i="4"/>
  <c r="CE94" i="4"/>
  <c r="CM94" i="4"/>
  <c r="AC94" i="4"/>
  <c r="CK94" i="4"/>
  <c r="CJ94" i="4"/>
  <c r="CC94" i="4"/>
  <c r="AO4" i="4"/>
  <c r="AN4" i="4"/>
  <c r="AI4" i="4"/>
  <c r="AJ4" i="4"/>
  <c r="AK58" i="4"/>
  <c r="CC58" i="4"/>
  <c r="CE58" i="4"/>
  <c r="CB58" i="4"/>
  <c r="BN58" i="4"/>
  <c r="CM58" i="4"/>
  <c r="CL58" i="4"/>
  <c r="BP58" i="4"/>
  <c r="CK58" i="4"/>
  <c r="CH58" i="4"/>
  <c r="CD58" i="4"/>
  <c r="AC58" i="4"/>
  <c r="CJ58" i="4"/>
  <c r="AE58" i="4"/>
  <c r="CG58" i="4"/>
  <c r="CI58" i="4"/>
  <c r="CF58" i="4"/>
  <c r="AM58" i="4"/>
  <c r="AV245" i="13"/>
  <c r="DB45" i="4"/>
  <c r="AX106" i="13"/>
  <c r="A206" i="13"/>
  <c r="BW4" i="4"/>
  <c r="G4" i="4"/>
  <c r="BO4" i="4"/>
  <c r="A1201" i="13"/>
  <c r="AX1102" i="13"/>
  <c r="D94" i="4"/>
  <c r="BV94" i="4" a="1"/>
  <c r="BV94" i="4" s="1"/>
  <c r="BC94" i="4" a="1"/>
  <c r="BC94" i="4" s="1"/>
  <c r="BU94" i="4" a="1"/>
  <c r="BU94" i="4" s="1"/>
  <c r="C94" i="4"/>
  <c r="A94" i="20"/>
  <c r="D94" i="1"/>
  <c r="A96" i="9"/>
  <c r="A1192" i="13"/>
  <c r="A596" i="13"/>
  <c r="AX96" i="13"/>
  <c r="A895" i="13"/>
  <c r="AX895" i="13" s="1"/>
  <c r="A1093" i="13"/>
  <c r="A795" i="13"/>
  <c r="AX795" i="13" s="1"/>
  <c r="A994" i="13"/>
  <c r="AX994" i="13" s="1"/>
  <c r="AX596" i="13"/>
  <c r="AX696" i="13"/>
  <c r="A196" i="13"/>
  <c r="A696" i="13"/>
  <c r="AX496" i="13"/>
  <c r="AX1093" i="13"/>
  <c r="A496" i="13"/>
  <c r="BC58" i="4" a="1"/>
  <c r="BC58" i="4" s="1"/>
  <c r="D58" i="4"/>
  <c r="S90" i="22"/>
  <c r="BU58" i="4" a="1"/>
  <c r="BU58" i="4" s="1"/>
  <c r="A58" i="20"/>
  <c r="A60" i="9"/>
  <c r="D58" i="1"/>
  <c r="BV58" i="4" a="1"/>
  <c r="BV58" i="4" s="1"/>
  <c r="C58" i="4"/>
  <c r="BY4" i="4" a="1"/>
  <c r="BY4" i="4" s="1"/>
  <c r="BZ4" i="4" a="1"/>
  <c r="BZ4" i="4" s="1"/>
  <c r="BX4" i="4" s="1" a="1"/>
  <c r="BX4" i="4" s="1"/>
  <c r="A1156" i="13"/>
  <c r="A660" i="13"/>
  <c r="A1057" i="13"/>
  <c r="AX560" i="13"/>
  <c r="A160" i="13"/>
  <c r="A759" i="13"/>
  <c r="AX759" i="13" s="1"/>
  <c r="A560" i="13"/>
  <c r="A859" i="13"/>
  <c r="AX859" i="13" s="1"/>
  <c r="AX660" i="13"/>
  <c r="A460" i="13"/>
  <c r="AX60" i="13"/>
  <c r="A958" i="13"/>
  <c r="AX958" i="13" s="1"/>
  <c r="AX1057" i="13"/>
  <c r="AX460" i="13"/>
  <c r="AF58" i="4" a="1"/>
  <c r="AG58" i="4" a="1"/>
  <c r="B94" i="1" a="1"/>
  <c r="AB94" i="4" a="1"/>
  <c r="AA94" i="4" a="1"/>
  <c r="AO58" i="4" a="1"/>
  <c r="AN58" i="4" a="1"/>
  <c r="AO94" i="4" a="1"/>
  <c r="AN94" i="4" a="1"/>
  <c r="AJ94" i="4" a="1"/>
  <c r="AI94" i="4" a="1"/>
  <c r="AA58" i="4" a="1"/>
  <c r="AB58" i="4" a="1"/>
  <c r="AF94" i="4" a="1"/>
  <c r="AG94" i="4" a="1"/>
  <c r="AJ58" i="4" a="1"/>
  <c r="AI58" i="4" a="1"/>
  <c r="B58" i="1" a="1"/>
  <c r="BW58" i="4" l="1"/>
  <c r="BW94" i="4"/>
  <c r="B58" i="1"/>
  <c r="X58" i="69" s="1"/>
  <c r="AI58" i="4"/>
  <c r="AJ58" i="4"/>
  <c r="AG94" i="4"/>
  <c r="AF94" i="4"/>
  <c r="AB58" i="4"/>
  <c r="AA58" i="4"/>
  <c r="AI94" i="4"/>
  <c r="AJ94" i="4"/>
  <c r="AN94" i="4"/>
  <c r="AO94" i="4"/>
  <c r="AN58" i="4"/>
  <c r="AO58" i="4"/>
  <c r="AA94" i="4"/>
  <c r="AB94" i="4"/>
  <c r="B94" i="1"/>
  <c r="X94" i="69" s="1"/>
  <c r="AG58" i="4"/>
  <c r="AF58" i="4"/>
  <c r="A260" i="13"/>
  <c r="AX160" i="13"/>
  <c r="AX206" i="13"/>
  <c r="A306" i="13"/>
  <c r="AX306" i="13" s="1"/>
  <c r="BO94" i="4"/>
  <c r="G94" i="4"/>
  <c r="BZ94" i="4" a="1"/>
  <c r="BZ94" i="4" s="1"/>
  <c r="BX94" i="4" s="1" a="1"/>
  <c r="BX94" i="4" s="1"/>
  <c r="BY94" i="4" a="1"/>
  <c r="BY94" i="4" s="1"/>
  <c r="BY58" i="4" a="1"/>
  <c r="BY58" i="4" s="1"/>
  <c r="BZ58" i="4" a="1"/>
  <c r="BZ58" i="4" s="1"/>
  <c r="BX58" i="4" s="1" a="1"/>
  <c r="BX58" i="4" s="1"/>
  <c r="AX1156" i="13"/>
  <c r="A1255" i="13"/>
  <c r="A1291" i="13"/>
  <c r="AX1192" i="13"/>
  <c r="A1300" i="13"/>
  <c r="AX1201" i="13"/>
  <c r="G58" i="4"/>
  <c r="BO58" i="4"/>
  <c r="AY4" i="4"/>
  <c r="Z1300" i="13"/>
  <c r="AV6" i="13"/>
  <c r="AW4" i="4"/>
  <c r="AX196" i="13"/>
  <c r="A296" i="13"/>
  <c r="BP4" i="69"/>
  <c r="AA4" i="69"/>
  <c r="Z1094" i="13"/>
  <c r="Z995" i="13"/>
  <c r="Z895" i="13"/>
  <c r="Z697" i="13"/>
  <c r="Z497" i="13"/>
  <c r="Z397" i="13"/>
  <c r="Z97" i="13"/>
  <c r="B157" i="13"/>
  <c r="Z57" i="13"/>
  <c r="Z357" i="13"/>
  <c r="Z457" i="13"/>
  <c r="Z557" i="13"/>
  <c r="Z657" i="13"/>
  <c r="Z855" i="13"/>
  <c r="Z955" i="13"/>
  <c r="Z1054" i="13"/>
  <c r="Z1153" i="13"/>
  <c r="Z23" i="13"/>
  <c r="Z323" i="13"/>
  <c r="Z423" i="13"/>
  <c r="Z524" i="13"/>
  <c r="Z623" i="13"/>
  <c r="Z821" i="13"/>
  <c r="Z921" i="13"/>
  <c r="Z1020" i="13"/>
  <c r="Z1119" i="13"/>
  <c r="B145" i="13"/>
  <c r="Z47" i="13"/>
  <c r="Z347" i="13"/>
  <c r="Z447" i="13"/>
  <c r="Z548" i="13"/>
  <c r="Z647" i="13"/>
  <c r="Z845" i="13"/>
  <c r="Z945" i="13"/>
  <c r="Z1044" i="13"/>
  <c r="Z1143" i="13"/>
  <c r="B188" i="13"/>
  <c r="Z88" i="13"/>
  <c r="Z388" i="13"/>
  <c r="Z488" i="13"/>
  <c r="Z588" i="13"/>
  <c r="Z688" i="13"/>
  <c r="Z886" i="13"/>
  <c r="Z986" i="13"/>
  <c r="Z1085" i="13"/>
  <c r="Z1184" i="13"/>
  <c r="AO115" i="69"/>
  <c r="Z1191" i="13"/>
  <c r="Z1092" i="13"/>
  <c r="Z993" i="13"/>
  <c r="Z893" i="13"/>
  <c r="Z695" i="13"/>
  <c r="Z595" i="13"/>
  <c r="Z495" i="13"/>
  <c r="Z395" i="13"/>
  <c r="Z95" i="13"/>
  <c r="B195" i="13"/>
  <c r="Z1190" i="13"/>
  <c r="Z1091" i="13"/>
  <c r="Z992" i="13"/>
  <c r="Z892" i="13"/>
  <c r="Z694" i="13"/>
  <c r="Z594" i="13"/>
  <c r="Z494" i="13"/>
  <c r="Z394" i="13"/>
  <c r="Z94" i="13"/>
  <c r="B194" i="13"/>
  <c r="Z1180" i="13"/>
  <c r="Z1081" i="13"/>
  <c r="Z982" i="13"/>
  <c r="Z882" i="13"/>
  <c r="Z684" i="13"/>
  <c r="Z584" i="13"/>
  <c r="Z484" i="13"/>
  <c r="Z384" i="13"/>
  <c r="Z84" i="13"/>
  <c r="B184" i="13"/>
  <c r="Z1188" i="13"/>
  <c r="Z1089" i="13"/>
  <c r="Z990" i="13"/>
  <c r="Z890" i="13"/>
  <c r="Z692" i="13"/>
  <c r="Z592" i="13"/>
  <c r="Z492" i="13"/>
  <c r="Z392" i="13"/>
  <c r="Z92" i="13"/>
  <c r="B192" i="13"/>
  <c r="Z1186" i="13"/>
  <c r="Z1087" i="13"/>
  <c r="Z988" i="13"/>
  <c r="Z888" i="13"/>
  <c r="Z690" i="13"/>
  <c r="Z590" i="13"/>
  <c r="Z490" i="13"/>
  <c r="Z390" i="13"/>
  <c r="Z90" i="13"/>
  <c r="B190" i="13"/>
  <c r="Z1185" i="13"/>
  <c r="Z1086" i="13"/>
  <c r="Z987" i="13"/>
  <c r="Z887" i="13"/>
  <c r="Z689" i="13"/>
  <c r="Z589" i="13"/>
  <c r="Z489" i="13"/>
  <c r="Z389" i="13"/>
  <c r="Z89" i="13"/>
  <c r="B189" i="13"/>
  <c r="Z1182" i="13"/>
  <c r="Z1083" i="13"/>
  <c r="Z984" i="13"/>
  <c r="Z884" i="13"/>
  <c r="Z686" i="13"/>
  <c r="Z586" i="13"/>
  <c r="Z486" i="13"/>
  <c r="Z386" i="13"/>
  <c r="Z86" i="13"/>
  <c r="B186" i="13"/>
  <c r="Z1181" i="13"/>
  <c r="Z1082" i="13"/>
  <c r="Z983" i="13"/>
  <c r="Z883" i="13"/>
  <c r="Z685" i="13"/>
  <c r="Z585" i="13"/>
  <c r="Z485" i="13"/>
  <c r="Z385" i="13"/>
  <c r="Z85" i="13"/>
  <c r="B185" i="13"/>
  <c r="Z1179" i="13"/>
  <c r="Z1080" i="13"/>
  <c r="Z981" i="13"/>
  <c r="Z881" i="13"/>
  <c r="Z683" i="13"/>
  <c r="Z583" i="13"/>
  <c r="Z483" i="13"/>
  <c r="Z383" i="13"/>
  <c r="Z83" i="13"/>
  <c r="B183" i="13"/>
  <c r="Z1177" i="13"/>
  <c r="Z1078" i="13"/>
  <c r="Z979" i="13"/>
  <c r="Z879" i="13"/>
  <c r="Z681" i="13"/>
  <c r="Z581" i="13"/>
  <c r="Z481" i="13"/>
  <c r="Z381" i="13"/>
  <c r="Z81" i="13"/>
  <c r="B181" i="13"/>
  <c r="Z1175" i="13"/>
  <c r="Z1076" i="13"/>
  <c r="Z977" i="13"/>
  <c r="Z877" i="13"/>
  <c r="Z679" i="13"/>
  <c r="Z579" i="13"/>
  <c r="Z479" i="13"/>
  <c r="Z379" i="13"/>
  <c r="Z79" i="13"/>
  <c r="B179" i="13"/>
  <c r="Z1189" i="13"/>
  <c r="Z1090" i="13"/>
  <c r="Z991" i="13"/>
  <c r="Z891" i="13"/>
  <c r="Z693" i="13"/>
  <c r="Z593" i="13"/>
  <c r="Z493" i="13"/>
  <c r="Z393" i="13"/>
  <c r="Z93" i="13"/>
  <c r="B193" i="13"/>
  <c r="Z1172" i="13"/>
  <c r="Z1073" i="13"/>
  <c r="Z974" i="13"/>
  <c r="Z874" i="13"/>
  <c r="Z676" i="13"/>
  <c r="Z576" i="13"/>
  <c r="Z476" i="13"/>
  <c r="Z376" i="13"/>
  <c r="Z76" i="13"/>
  <c r="B176" i="13"/>
  <c r="Z1174" i="13"/>
  <c r="Z1075" i="13"/>
  <c r="Z976" i="13"/>
  <c r="Z876" i="13"/>
  <c r="Z678" i="13"/>
  <c r="Z578" i="13"/>
  <c r="Z478" i="13"/>
  <c r="Z378" i="13"/>
  <c r="Z78" i="13"/>
  <c r="B178" i="13"/>
  <c r="Z1176" i="13"/>
  <c r="Z1077" i="13"/>
  <c r="Z978" i="13"/>
  <c r="Z878" i="13"/>
  <c r="Z680" i="13"/>
  <c r="Z580" i="13"/>
  <c r="Z480" i="13"/>
  <c r="Z380" i="13"/>
  <c r="Z80" i="13"/>
  <c r="B180" i="13"/>
  <c r="Z1173" i="13"/>
  <c r="Z1074" i="13"/>
  <c r="Z975" i="13"/>
  <c r="Z875" i="13"/>
  <c r="Z677" i="13"/>
  <c r="Z577" i="13"/>
  <c r="Z477" i="13"/>
  <c r="Z377" i="13"/>
  <c r="Z77" i="13"/>
  <c r="B177" i="13"/>
  <c r="Z1166" i="13"/>
  <c r="Z1067" i="13"/>
  <c r="Z968" i="13"/>
  <c r="Z868" i="13"/>
  <c r="Z670" i="13"/>
  <c r="Z570" i="13"/>
  <c r="Z470" i="13"/>
  <c r="Z370" i="13"/>
  <c r="Z70" i="13"/>
  <c r="B170" i="13"/>
  <c r="Z1183" i="13"/>
  <c r="Z1084" i="13"/>
  <c r="Z985" i="13"/>
  <c r="Z885" i="13"/>
  <c r="Z687" i="13"/>
  <c r="Z587" i="13"/>
  <c r="Z487" i="13"/>
  <c r="Z387" i="13"/>
  <c r="Z87" i="13"/>
  <c r="B187" i="13"/>
  <c r="Z1187" i="13"/>
  <c r="Z1088" i="13"/>
  <c r="Z989" i="13"/>
  <c r="Z889" i="13"/>
  <c r="Z691" i="13"/>
  <c r="Z491" i="13"/>
  <c r="Z391" i="13"/>
  <c r="Z91" i="13"/>
  <c r="B191" i="13"/>
  <c r="Z1178" i="13"/>
  <c r="Z1079" i="13"/>
  <c r="Z980" i="13"/>
  <c r="Z880" i="13"/>
  <c r="Z682" i="13"/>
  <c r="Z582" i="13"/>
  <c r="Z482" i="13"/>
  <c r="Z382" i="13"/>
  <c r="Z82" i="13"/>
  <c r="B182" i="13"/>
  <c r="Z1168" i="13"/>
  <c r="Z1069" i="13"/>
  <c r="Z970" i="13"/>
  <c r="Z870" i="13"/>
  <c r="Z672" i="13"/>
  <c r="Z572" i="13"/>
  <c r="Z472" i="13"/>
  <c r="Z372" i="13"/>
  <c r="Z72" i="13"/>
  <c r="B172" i="13"/>
  <c r="Z1171" i="13"/>
  <c r="Z1072" i="13"/>
  <c r="Z973" i="13"/>
  <c r="Z873" i="13"/>
  <c r="Z675" i="13"/>
  <c r="Z575" i="13"/>
  <c r="Z475" i="13"/>
  <c r="Z375" i="13"/>
  <c r="Z75" i="13"/>
  <c r="B175" i="13"/>
  <c r="Z1169" i="13"/>
  <c r="Z1070" i="13"/>
  <c r="Z971" i="13"/>
  <c r="Z871" i="13"/>
  <c r="Z673" i="13"/>
  <c r="Z573" i="13"/>
  <c r="Z473" i="13"/>
  <c r="Z373" i="13"/>
  <c r="Z73" i="13"/>
  <c r="B173" i="13"/>
  <c r="Z1164" i="13"/>
  <c r="Z1065" i="13"/>
  <c r="Z966" i="13"/>
  <c r="Z866" i="13"/>
  <c r="Z668" i="13"/>
  <c r="Z568" i="13"/>
  <c r="Z468" i="13"/>
  <c r="Z368" i="13"/>
  <c r="Z68" i="13"/>
  <c r="B168" i="13"/>
  <c r="Z1165" i="13"/>
  <c r="Z1066" i="13"/>
  <c r="Z967" i="13"/>
  <c r="Z867" i="13"/>
  <c r="Z669" i="13"/>
  <c r="Z569" i="13"/>
  <c r="Z469" i="13"/>
  <c r="Z369" i="13"/>
  <c r="Z69" i="13"/>
  <c r="B169" i="13"/>
  <c r="Z1167" i="13"/>
  <c r="Z1068" i="13"/>
  <c r="Z969" i="13"/>
  <c r="Z869" i="13"/>
  <c r="Z671" i="13"/>
  <c r="Z471" i="13"/>
  <c r="Z371" i="13"/>
  <c r="Z71" i="13"/>
  <c r="B171" i="13"/>
  <c r="Z1170" i="13"/>
  <c r="Z1071" i="13"/>
  <c r="Z972" i="13"/>
  <c r="Z872" i="13"/>
  <c r="Z674" i="13"/>
  <c r="Z574" i="13"/>
  <c r="Z474" i="13"/>
  <c r="Z374" i="13"/>
  <c r="Z174" i="13"/>
  <c r="Z74" i="13"/>
  <c r="B174" i="13"/>
  <c r="Z1162" i="13"/>
  <c r="Z1063" i="13"/>
  <c r="Z964" i="13"/>
  <c r="Z864" i="13"/>
  <c r="Z666" i="13"/>
  <c r="Z566" i="13"/>
  <c r="Z466" i="13"/>
  <c r="Z366" i="13"/>
  <c r="Z66" i="13"/>
  <c r="B166" i="13"/>
  <c r="Z1163" i="13"/>
  <c r="Z1064" i="13"/>
  <c r="Z965" i="13"/>
  <c r="Z865" i="13"/>
  <c r="Z667" i="13"/>
  <c r="Z467" i="13"/>
  <c r="Z367" i="13"/>
  <c r="Z67" i="13"/>
  <c r="B167" i="13"/>
  <c r="Z1159" i="13"/>
  <c r="Z1060" i="13"/>
  <c r="Z961" i="13"/>
  <c r="Z861" i="13"/>
  <c r="Z663" i="13"/>
  <c r="Z563" i="13"/>
  <c r="Z463" i="13"/>
  <c r="Z363" i="13"/>
  <c r="Z63" i="13"/>
  <c r="B163" i="13"/>
  <c r="Z1161" i="13"/>
  <c r="Z1062" i="13"/>
  <c r="Z963" i="13"/>
  <c r="Z863" i="13"/>
  <c r="Z665" i="13"/>
  <c r="Z565" i="13"/>
  <c r="Z465" i="13"/>
  <c r="Z365" i="13"/>
  <c r="Z65" i="13"/>
  <c r="B165" i="13"/>
  <c r="Z1157" i="13"/>
  <c r="Z1058" i="13"/>
  <c r="Z959" i="13"/>
  <c r="Z859" i="13"/>
  <c r="Z661" i="13"/>
  <c r="Z561" i="13"/>
  <c r="Z461" i="13"/>
  <c r="Z361" i="13"/>
  <c r="Z61" i="13"/>
  <c r="B161" i="13"/>
  <c r="Z1156" i="13"/>
  <c r="Z1057" i="13"/>
  <c r="Z958" i="13"/>
  <c r="Z858" i="13"/>
  <c r="Z660" i="13"/>
  <c r="Z560" i="13"/>
  <c r="Z460" i="13"/>
  <c r="Z360" i="13"/>
  <c r="Z60" i="13"/>
  <c r="B160" i="13"/>
  <c r="Z1155" i="13"/>
  <c r="Z1056" i="13"/>
  <c r="Z957" i="13"/>
  <c r="Z857" i="13"/>
  <c r="Z659" i="13"/>
  <c r="Z559" i="13"/>
  <c r="Z459" i="13"/>
  <c r="Z359" i="13"/>
  <c r="Z59" i="13"/>
  <c r="B159" i="13"/>
  <c r="Z1154" i="13"/>
  <c r="Z1055" i="13"/>
  <c r="Z956" i="13"/>
  <c r="Z856" i="13"/>
  <c r="Z658" i="13"/>
  <c r="Z458" i="13"/>
  <c r="Z358" i="13"/>
  <c r="Z58" i="13"/>
  <c r="B158" i="13"/>
  <c r="Z1132" i="13"/>
  <c r="Z1033" i="13"/>
  <c r="Z934" i="13"/>
  <c r="Z834" i="13"/>
  <c r="Z636" i="13"/>
  <c r="Z436" i="13"/>
  <c r="Z336" i="13"/>
  <c r="Z36" i="13"/>
  <c r="B134" i="13"/>
  <c r="Z1152" i="13"/>
  <c r="Z1053" i="13"/>
  <c r="Z954" i="13"/>
  <c r="Z854" i="13"/>
  <c r="Z656" i="13"/>
  <c r="Z456" i="13"/>
  <c r="Z356" i="13"/>
  <c r="Z56" i="13"/>
  <c r="B156" i="13"/>
  <c r="Z1151" i="13"/>
  <c r="Z1052" i="13"/>
  <c r="Z953" i="13"/>
  <c r="Z853" i="13"/>
  <c r="Z655" i="13"/>
  <c r="Z555" i="13"/>
  <c r="Z455" i="13"/>
  <c r="Z355" i="13"/>
  <c r="Z55" i="13"/>
  <c r="B155" i="13"/>
  <c r="Z1150" i="13"/>
  <c r="Z1051" i="13"/>
  <c r="Z952" i="13"/>
  <c r="Z852" i="13"/>
  <c r="Z654" i="13"/>
  <c r="Z554" i="13"/>
  <c r="Z454" i="13"/>
  <c r="Z354" i="13"/>
  <c r="Z54" i="13"/>
  <c r="B154" i="13"/>
  <c r="Z1149" i="13"/>
  <c r="Z1050" i="13"/>
  <c r="Z951" i="13"/>
  <c r="Z851" i="13"/>
  <c r="Z653" i="13"/>
  <c r="Z553" i="13"/>
  <c r="Z453" i="13"/>
  <c r="Z353" i="13"/>
  <c r="Z53" i="13"/>
  <c r="B153" i="13"/>
  <c r="Z1148" i="13"/>
  <c r="Z1049" i="13"/>
  <c r="Z950" i="13"/>
  <c r="Z850" i="13"/>
  <c r="Z652" i="13"/>
  <c r="Z552" i="13"/>
  <c r="Z452" i="13"/>
  <c r="Z352" i="13"/>
  <c r="Z52" i="13"/>
  <c r="B152" i="13"/>
  <c r="Z1147" i="13"/>
  <c r="Z1048" i="13"/>
  <c r="Z949" i="13"/>
  <c r="Z849" i="13"/>
  <c r="Z651" i="13"/>
  <c r="Z551" i="13"/>
  <c r="Z451" i="13"/>
  <c r="Z351" i="13"/>
  <c r="Z51" i="13"/>
  <c r="B151" i="13"/>
  <c r="Z1146" i="13"/>
  <c r="Z1047" i="13"/>
  <c r="Z948" i="13"/>
  <c r="Z848" i="13"/>
  <c r="Z650" i="13"/>
  <c r="Z550" i="13"/>
  <c r="Z450" i="13"/>
  <c r="Z350" i="13"/>
  <c r="Z50" i="13"/>
  <c r="B148" i="13"/>
  <c r="Z1145" i="13"/>
  <c r="Z1046" i="13"/>
  <c r="Z947" i="13"/>
  <c r="Z847" i="13"/>
  <c r="Z649" i="13"/>
  <c r="Z449" i="13"/>
  <c r="Z349" i="13"/>
  <c r="Z49" i="13"/>
  <c r="B147" i="13"/>
  <c r="Z1144" i="13"/>
  <c r="Z1045" i="13"/>
  <c r="Z946" i="13"/>
  <c r="Z846" i="13"/>
  <c r="Z648" i="13"/>
  <c r="Z448" i="13"/>
  <c r="Z348" i="13"/>
  <c r="Z48" i="13"/>
  <c r="B146" i="13"/>
  <c r="Z1160" i="13"/>
  <c r="Z1061" i="13"/>
  <c r="Z962" i="13"/>
  <c r="Z862" i="13"/>
  <c r="Z664" i="13"/>
  <c r="Z564" i="13"/>
  <c r="Z464" i="13"/>
  <c r="Z364" i="13"/>
  <c r="Z64" i="13"/>
  <c r="B164" i="13"/>
  <c r="Z1141" i="13"/>
  <c r="Z1042" i="13"/>
  <c r="Z943" i="13"/>
  <c r="Z843" i="13"/>
  <c r="Z645" i="13"/>
  <c r="Z546" i="13"/>
  <c r="Z445" i="13"/>
  <c r="Z345" i="13"/>
  <c r="Z45" i="13"/>
  <c r="B143" i="13"/>
  <c r="Z1140" i="13"/>
  <c r="Z1041" i="13"/>
  <c r="Z942" i="13"/>
  <c r="Z842" i="13"/>
  <c r="Z644" i="13"/>
  <c r="Z545" i="13"/>
  <c r="Z444" i="13"/>
  <c r="Z344" i="13"/>
  <c r="Z44" i="13"/>
  <c r="B142" i="13"/>
  <c r="Z1139" i="13"/>
  <c r="Z1040" i="13"/>
  <c r="Z941" i="13"/>
  <c r="Z841" i="13"/>
  <c r="Z643" i="13"/>
  <c r="Z544" i="13"/>
  <c r="Z443" i="13"/>
  <c r="Z343" i="13"/>
  <c r="Z43" i="13"/>
  <c r="B141" i="13"/>
  <c r="Z1138" i="13"/>
  <c r="Z1039" i="13"/>
  <c r="Z940" i="13"/>
  <c r="Z840" i="13"/>
  <c r="Z642" i="13"/>
  <c r="Z543" i="13"/>
  <c r="Z442" i="13"/>
  <c r="Z342" i="13"/>
  <c r="Z42" i="13"/>
  <c r="B140" i="13"/>
  <c r="Z1142" i="13"/>
  <c r="Z1043" i="13"/>
  <c r="Z944" i="13"/>
  <c r="Z844" i="13"/>
  <c r="Z646" i="13"/>
  <c r="Z547" i="13"/>
  <c r="Z446" i="13"/>
  <c r="Z346" i="13"/>
  <c r="Z46" i="13"/>
  <c r="B144" i="13"/>
  <c r="Z1137" i="13"/>
  <c r="Z1038" i="13"/>
  <c r="Z939" i="13"/>
  <c r="Z839" i="13"/>
  <c r="Z641" i="13"/>
  <c r="Z542" i="13"/>
  <c r="Z441" i="13"/>
  <c r="Z341" i="13"/>
  <c r="Z41" i="13"/>
  <c r="B139" i="13"/>
  <c r="Z1136" i="13"/>
  <c r="Z1037" i="13"/>
  <c r="Z938" i="13"/>
  <c r="Z838" i="13"/>
  <c r="Z640" i="13"/>
  <c r="Z440" i="13"/>
  <c r="Z340" i="13"/>
  <c r="Z40" i="13"/>
  <c r="B138" i="13"/>
  <c r="Z1135" i="13"/>
  <c r="Z1036" i="13"/>
  <c r="Z937" i="13"/>
  <c r="Z837" i="13"/>
  <c r="Z639" i="13"/>
  <c r="Z540" i="13"/>
  <c r="Z439" i="13"/>
  <c r="Z339" i="13"/>
  <c r="Z39" i="13"/>
  <c r="B137" i="13"/>
  <c r="Z1134" i="13"/>
  <c r="Z1035" i="13"/>
  <c r="Z936" i="13"/>
  <c r="Z836" i="13"/>
  <c r="Z638" i="13"/>
  <c r="Z539" i="13"/>
  <c r="Z438" i="13"/>
  <c r="Z338" i="13"/>
  <c r="Z38" i="13"/>
  <c r="B136" i="13"/>
  <c r="Z1106" i="13"/>
  <c r="Z1007" i="13"/>
  <c r="Z908" i="13"/>
  <c r="Z809" i="13"/>
  <c r="Z610" i="13"/>
  <c r="Z510" i="13"/>
  <c r="Z410" i="13"/>
  <c r="Z310" i="13"/>
  <c r="Z10" i="13"/>
  <c r="B110" i="13"/>
  <c r="Z1133" i="13"/>
  <c r="Z1034" i="13"/>
  <c r="Z935" i="13"/>
  <c r="Z835" i="13"/>
  <c r="Z637" i="13"/>
  <c r="Z538" i="13"/>
  <c r="Z437" i="13"/>
  <c r="Z337" i="13"/>
  <c r="Z37" i="13"/>
  <c r="B135" i="13"/>
  <c r="Z1131" i="13"/>
  <c r="Z1032" i="13"/>
  <c r="Z933" i="13"/>
  <c r="Z833" i="13"/>
  <c r="Z635" i="13"/>
  <c r="Z536" i="13"/>
  <c r="Z435" i="13"/>
  <c r="Z335" i="13"/>
  <c r="Z35" i="13"/>
  <c r="B133" i="13"/>
  <c r="Z1130" i="13"/>
  <c r="Z1031" i="13"/>
  <c r="Z932" i="13"/>
  <c r="Z832" i="13"/>
  <c r="Z634" i="13"/>
  <c r="Z535" i="13"/>
  <c r="Z434" i="13"/>
  <c r="Z334" i="13"/>
  <c r="Z34" i="13"/>
  <c r="B132" i="13"/>
  <c r="Z1129" i="13"/>
  <c r="Z1030" i="13"/>
  <c r="Z931" i="13"/>
  <c r="Z831" i="13"/>
  <c r="Z633" i="13"/>
  <c r="Z534" i="13"/>
  <c r="Z433" i="13"/>
  <c r="Z333" i="13"/>
  <c r="Z33" i="13"/>
  <c r="B131" i="13"/>
  <c r="Z1128" i="13"/>
  <c r="Z1029" i="13"/>
  <c r="Z930" i="13"/>
  <c r="Z830" i="13"/>
  <c r="Z632" i="13"/>
  <c r="Z533" i="13"/>
  <c r="Z432" i="13"/>
  <c r="Z332" i="13"/>
  <c r="Z32" i="13"/>
  <c r="B130" i="13"/>
  <c r="Z1127" i="13"/>
  <c r="Z1028" i="13"/>
  <c r="Z929" i="13"/>
  <c r="Z829" i="13"/>
  <c r="Z631" i="13"/>
  <c r="Z532" i="13"/>
  <c r="Z431" i="13"/>
  <c r="Z331" i="13"/>
  <c r="Z31" i="13"/>
  <c r="B129" i="13"/>
  <c r="Z1126" i="13"/>
  <c r="Z1027" i="13"/>
  <c r="Z928" i="13"/>
  <c r="Z828" i="13"/>
  <c r="Z630" i="13"/>
  <c r="Z430" i="13"/>
  <c r="Z330" i="13"/>
  <c r="Z30" i="13"/>
  <c r="B128" i="13"/>
  <c r="Z1125" i="13"/>
  <c r="Z1026" i="13"/>
  <c r="Z927" i="13"/>
  <c r="Z827" i="13"/>
  <c r="Z629" i="13"/>
  <c r="Z530" i="13"/>
  <c r="Z429" i="13"/>
  <c r="Z329" i="13"/>
  <c r="Z29" i="13"/>
  <c r="B127" i="13"/>
  <c r="Z1124" i="13"/>
  <c r="Z1025" i="13"/>
  <c r="Z926" i="13"/>
  <c r="Z826" i="13"/>
  <c r="Z628" i="13"/>
  <c r="Z529" i="13"/>
  <c r="Z428" i="13"/>
  <c r="Z328" i="13"/>
  <c r="Z28" i="13"/>
  <c r="B126" i="13"/>
  <c r="Z1123" i="13"/>
  <c r="Z1024" i="13"/>
  <c r="Z925" i="13"/>
  <c r="Z825" i="13"/>
  <c r="Z627" i="13"/>
  <c r="Z528" i="13"/>
  <c r="Z427" i="13"/>
  <c r="Z327" i="13"/>
  <c r="Z27" i="13"/>
  <c r="B125" i="13"/>
  <c r="Z1122" i="13"/>
  <c r="Z1023" i="13"/>
  <c r="Z924" i="13"/>
  <c r="Z824" i="13"/>
  <c r="Z626" i="13"/>
  <c r="Z527" i="13"/>
  <c r="Z426" i="13"/>
  <c r="Z326" i="13"/>
  <c r="Z26" i="13"/>
  <c r="B124" i="13"/>
  <c r="Z1121" i="13"/>
  <c r="Z1022" i="13"/>
  <c r="Z923" i="13"/>
  <c r="Z823" i="13"/>
  <c r="Z625" i="13"/>
  <c r="Z526" i="13"/>
  <c r="Z425" i="13"/>
  <c r="Z325" i="13"/>
  <c r="Z25" i="13"/>
  <c r="B123" i="13"/>
  <c r="Z1120" i="13"/>
  <c r="Z1021" i="13"/>
  <c r="Z922" i="13"/>
  <c r="Z822" i="13"/>
  <c r="Z624" i="13"/>
  <c r="Z525" i="13"/>
  <c r="Z424" i="13"/>
  <c r="Z324" i="13"/>
  <c r="Z24" i="13"/>
  <c r="B122" i="13"/>
  <c r="Z1192" i="13"/>
  <c r="Z1093" i="13"/>
  <c r="Z994" i="13"/>
  <c r="Z894" i="13"/>
  <c r="Z696" i="13"/>
  <c r="Z596" i="13"/>
  <c r="Z496" i="13"/>
  <c r="Z396" i="13"/>
  <c r="Z96" i="13"/>
  <c r="B196" i="13"/>
  <c r="B121" i="13"/>
  <c r="Z1118" i="13"/>
  <c r="Z1019" i="13"/>
  <c r="Z920" i="13"/>
  <c r="Z820" i="13"/>
  <c r="Z622" i="13"/>
  <c r="Z523" i="13"/>
  <c r="Z422" i="13"/>
  <c r="Z322" i="13"/>
  <c r="Z22" i="13"/>
  <c r="B120" i="13"/>
  <c r="Z1117" i="13"/>
  <c r="Z1018" i="13"/>
  <c r="Z919" i="13"/>
  <c r="Z819" i="13"/>
  <c r="Z621" i="13"/>
  <c r="Z522" i="13"/>
  <c r="Z421" i="13"/>
  <c r="Z321" i="13"/>
  <c r="Z21" i="13"/>
  <c r="B119" i="13"/>
  <c r="Z1116" i="13"/>
  <c r="Z1017" i="13"/>
  <c r="Z918" i="13"/>
  <c r="Z818" i="13"/>
  <c r="Z620" i="13"/>
  <c r="Z521" i="13"/>
  <c r="Z420" i="13"/>
  <c r="Z320" i="13"/>
  <c r="Z20" i="13"/>
  <c r="B118" i="13"/>
  <c r="Z1115" i="13"/>
  <c r="Z1016" i="13"/>
  <c r="Z917" i="13"/>
  <c r="Z817" i="13"/>
  <c r="Z619" i="13"/>
  <c r="Z520" i="13"/>
  <c r="Z419" i="13"/>
  <c r="Z319" i="13"/>
  <c r="Z19" i="13"/>
  <c r="B117" i="13"/>
  <c r="Z1114" i="13"/>
  <c r="Z1015" i="13"/>
  <c r="Z916" i="13"/>
  <c r="Z816" i="13"/>
  <c r="Z618" i="13"/>
  <c r="Z519" i="13"/>
  <c r="Z418" i="13"/>
  <c r="Z318" i="13"/>
  <c r="Z18" i="13"/>
  <c r="B116" i="13"/>
  <c r="Z1113" i="13"/>
  <c r="Z1014" i="13"/>
  <c r="Z915" i="13"/>
  <c r="Z815" i="13"/>
  <c r="Z617" i="13"/>
  <c r="Z417" i="13"/>
  <c r="Z317" i="13"/>
  <c r="Z17" i="13"/>
  <c r="B115" i="13"/>
  <c r="Z1112" i="13"/>
  <c r="Z1013" i="13"/>
  <c r="Z914" i="13"/>
  <c r="Z814" i="13"/>
  <c r="Z616" i="13"/>
  <c r="Z517" i="13"/>
  <c r="Z416" i="13"/>
  <c r="Z316" i="13"/>
  <c r="Z16" i="13"/>
  <c r="B114" i="13"/>
  <c r="Z1111" i="13"/>
  <c r="Z1012" i="13"/>
  <c r="Z913" i="13"/>
  <c r="Z813" i="13"/>
  <c r="Z615" i="13"/>
  <c r="Z516" i="13"/>
  <c r="Z415" i="13"/>
  <c r="Z315" i="13"/>
  <c r="Z15" i="13"/>
  <c r="B113" i="13"/>
  <c r="Z1110" i="13"/>
  <c r="Z1011" i="13"/>
  <c r="Z912" i="13"/>
  <c r="Z812" i="13"/>
  <c r="Z614" i="13"/>
  <c r="Z515" i="13"/>
  <c r="Z414" i="13"/>
  <c r="Z314" i="13"/>
  <c r="Z14" i="13"/>
  <c r="B112" i="13"/>
  <c r="Z1109" i="13"/>
  <c r="Z1010" i="13"/>
  <c r="Z911" i="13"/>
  <c r="Z811" i="13"/>
  <c r="Z613" i="13"/>
  <c r="Z514" i="13"/>
  <c r="Z413" i="13"/>
  <c r="Z313" i="13"/>
  <c r="Z13" i="13"/>
  <c r="B111" i="13"/>
  <c r="Z1108" i="13"/>
  <c r="Z1009" i="13"/>
  <c r="Z910" i="13"/>
  <c r="Z810" i="13"/>
  <c r="Z612" i="13"/>
  <c r="Z513" i="13"/>
  <c r="Z412" i="13"/>
  <c r="Z312" i="13"/>
  <c r="Z12" i="13"/>
  <c r="BS10" i="4"/>
  <c r="Z1107" i="13"/>
  <c r="Z1008" i="13"/>
  <c r="Z909" i="13"/>
  <c r="Z611" i="13"/>
  <c r="Z411" i="13"/>
  <c r="Z311" i="13"/>
  <c r="Z11" i="13"/>
  <c r="BS9" i="4"/>
  <c r="Z1105" i="13"/>
  <c r="Z1006" i="13"/>
  <c r="Z907" i="13"/>
  <c r="Z808" i="13"/>
  <c r="Z609" i="13"/>
  <c r="Z509" i="13"/>
  <c r="Z409" i="13"/>
  <c r="Z309" i="13"/>
  <c r="Z9" i="13"/>
  <c r="B109" i="13"/>
  <c r="Z1104" i="13"/>
  <c r="Z1005" i="13"/>
  <c r="Z906" i="13"/>
  <c r="Z807" i="13"/>
  <c r="Z608" i="13"/>
  <c r="Z508" i="13"/>
  <c r="Z408" i="13"/>
  <c r="Z308" i="13"/>
  <c r="Z8" i="13"/>
  <c r="B108" i="13"/>
  <c r="Z1103" i="13"/>
  <c r="Z1004" i="13"/>
  <c r="Z905" i="13"/>
  <c r="Z806" i="13"/>
  <c r="Z607" i="13"/>
  <c r="Z507" i="13"/>
  <c r="Z407" i="13"/>
  <c r="Z307" i="13"/>
  <c r="Z7" i="13"/>
  <c r="B107" i="13"/>
  <c r="Z1102" i="13"/>
  <c r="Z1003" i="13"/>
  <c r="Z904" i="13"/>
  <c r="Z805" i="13"/>
  <c r="Z606" i="13"/>
  <c r="Z506" i="13"/>
  <c r="Z406" i="13"/>
  <c r="Z306" i="13"/>
  <c r="Z6" i="13"/>
  <c r="B106" i="13"/>
  <c r="Z1101" i="13"/>
  <c r="Z1002" i="13"/>
  <c r="Z903" i="13"/>
  <c r="Z804" i="13"/>
  <c r="Z605" i="13"/>
  <c r="Z405" i="13"/>
  <c r="Z305" i="13"/>
  <c r="Z5" i="13"/>
  <c r="B105" i="13"/>
  <c r="H11" i="4" l="1"/>
  <c r="A13" i="13"/>
  <c r="Z109" i="13"/>
  <c r="E11" i="13"/>
  <c r="BS11" i="4"/>
  <c r="Z1208" i="13"/>
  <c r="Z1406" i="13"/>
  <c r="Z215" i="13"/>
  <c r="I13" i="4"/>
  <c r="I5" i="4"/>
  <c r="Z207" i="13"/>
  <c r="Z113" i="13"/>
  <c r="Z1399" i="13"/>
  <c r="Z1201" i="13"/>
  <c r="Z706" i="13"/>
  <c r="M5" i="4"/>
  <c r="Z208" i="13"/>
  <c r="I6" i="4"/>
  <c r="A9" i="13"/>
  <c r="H7" i="4"/>
  <c r="Z114" i="13"/>
  <c r="Z1412" i="13"/>
  <c r="Z1214" i="13"/>
  <c r="M18" i="4"/>
  <c r="Z719" i="13"/>
  <c r="I19" i="4"/>
  <c r="Z221" i="13"/>
  <c r="H20" i="4"/>
  <c r="A22" i="13"/>
  <c r="D7" i="5"/>
  <c r="D8" i="5" s="1"/>
  <c r="BS22" i="4"/>
  <c r="E22" i="13"/>
  <c r="Z126" i="13"/>
  <c r="Z1424" i="13"/>
  <c r="Z1226" i="13"/>
  <c r="Z731" i="13"/>
  <c r="M30" i="4"/>
  <c r="I31" i="4"/>
  <c r="Z233" i="13"/>
  <c r="A34" i="13"/>
  <c r="H32" i="4"/>
  <c r="BS35" i="4"/>
  <c r="E35" i="13"/>
  <c r="Z138" i="13"/>
  <c r="Z142" i="13"/>
  <c r="E46" i="13"/>
  <c r="BS46" i="4"/>
  <c r="Z150" i="13"/>
  <c r="Z1448" i="13"/>
  <c r="Z1250" i="13"/>
  <c r="M54" i="4"/>
  <c r="Z755" i="13"/>
  <c r="I34" i="4"/>
  <c r="Z236" i="13"/>
  <c r="A58" i="13"/>
  <c r="H56" i="4"/>
  <c r="Z1255" i="13"/>
  <c r="Z1453" i="13"/>
  <c r="M59" i="4"/>
  <c r="Z760" i="13"/>
  <c r="Z265" i="13"/>
  <c r="I63" i="4"/>
  <c r="A63" i="13"/>
  <c r="H61" i="4"/>
  <c r="E66" i="13"/>
  <c r="BS64" i="4"/>
  <c r="Z171" i="13"/>
  <c r="Z1267" i="13"/>
  <c r="Z1465" i="13"/>
  <c r="M80" i="4"/>
  <c r="Z781" i="13"/>
  <c r="I89" i="4"/>
  <c r="Z291" i="13"/>
  <c r="H85" i="4"/>
  <c r="A87" i="13"/>
  <c r="E77" i="13"/>
  <c r="BS75" i="4"/>
  <c r="Z178" i="13"/>
  <c r="Z1476" i="13"/>
  <c r="Z1278" i="13"/>
  <c r="Z784" i="13"/>
  <c r="M83" i="4"/>
  <c r="I84" i="4"/>
  <c r="Z286" i="13"/>
  <c r="H87" i="4"/>
  <c r="A89" i="13"/>
  <c r="E92" i="13"/>
  <c r="BS90" i="4"/>
  <c r="Z194" i="13"/>
  <c r="Z787" i="13"/>
  <c r="M86" i="4"/>
  <c r="Z1242" i="13"/>
  <c r="Z1440" i="13"/>
  <c r="BS95" i="4"/>
  <c r="E97" i="13"/>
  <c r="V4" i="69"/>
  <c r="Z209" i="13"/>
  <c r="I7" i="4"/>
  <c r="Z106" i="13"/>
  <c r="Z512" i="13"/>
  <c r="Z511" i="13"/>
  <c r="Z1405" i="13"/>
  <c r="Z1207" i="13"/>
  <c r="Z712" i="13"/>
  <c r="M11" i="4"/>
  <c r="Z214" i="13"/>
  <c r="I12" i="4"/>
  <c r="A15" i="13"/>
  <c r="H13" i="4"/>
  <c r="BS15" i="4"/>
  <c r="E15" i="13"/>
  <c r="Z119" i="13"/>
  <c r="Z1219" i="13"/>
  <c r="Z1417" i="13"/>
  <c r="Z724" i="13"/>
  <c r="M23" i="4"/>
  <c r="Z226" i="13"/>
  <c r="I24" i="4"/>
  <c r="H25" i="4"/>
  <c r="A27" i="13"/>
  <c r="E27" i="13"/>
  <c r="BS27" i="4"/>
  <c r="Z131" i="13"/>
  <c r="Z1430" i="13"/>
  <c r="Z1232" i="13"/>
  <c r="Z709" i="13"/>
  <c r="M8" i="4"/>
  <c r="Z238" i="13"/>
  <c r="I36" i="4"/>
  <c r="A39" i="13"/>
  <c r="H37" i="4"/>
  <c r="BS39" i="4"/>
  <c r="E39" i="13"/>
  <c r="Z242" i="13"/>
  <c r="I40" i="4"/>
  <c r="H41" i="4"/>
  <c r="A43" i="13"/>
  <c r="BS43" i="4"/>
  <c r="E43" i="13"/>
  <c r="Z1243" i="13"/>
  <c r="Z1441" i="13"/>
  <c r="Z748" i="13"/>
  <c r="M47" i="4"/>
  <c r="Z250" i="13"/>
  <c r="I48" i="4"/>
  <c r="H49" i="4"/>
  <c r="A51" i="13"/>
  <c r="BS51" i="4"/>
  <c r="E53" i="13"/>
  <c r="Z155" i="13"/>
  <c r="Z160" i="13"/>
  <c r="Z1459" i="13"/>
  <c r="Z1261" i="13"/>
  <c r="M72" i="4"/>
  <c r="Z773" i="13"/>
  <c r="Z271" i="13"/>
  <c r="I69" i="4"/>
  <c r="H67" i="4"/>
  <c r="A69" i="13"/>
  <c r="E73" i="13"/>
  <c r="BS71" i="4"/>
  <c r="Z172" i="13"/>
  <c r="Z1470" i="13"/>
  <c r="Z1272" i="13"/>
  <c r="Z779" i="13"/>
  <c r="M78" i="4"/>
  <c r="Z278" i="13"/>
  <c r="I76" i="4"/>
  <c r="A76" i="13"/>
  <c r="H74" i="4"/>
  <c r="BS77" i="4"/>
  <c r="E79" i="13"/>
  <c r="Z183" i="13"/>
  <c r="Z1485" i="13"/>
  <c r="Z1287" i="13"/>
  <c r="M82" i="4"/>
  <c r="Z783" i="13"/>
  <c r="Z294" i="13"/>
  <c r="I92" i="4"/>
  <c r="H93" i="4"/>
  <c r="A95" i="13"/>
  <c r="E45" i="13"/>
  <c r="BS45" i="4"/>
  <c r="M55" i="4"/>
  <c r="Z756" i="13"/>
  <c r="Z1490" i="13"/>
  <c r="Z1292" i="13"/>
  <c r="Z112" i="13"/>
  <c r="Z1212" i="13"/>
  <c r="Z1410" i="13"/>
  <c r="M16" i="4"/>
  <c r="Z717" i="13"/>
  <c r="Z219" i="13"/>
  <c r="I17" i="4"/>
  <c r="A20" i="13"/>
  <c r="H18" i="4"/>
  <c r="E20" i="13"/>
  <c r="BS20" i="4"/>
  <c r="Z124" i="13"/>
  <c r="Z1224" i="13"/>
  <c r="Z1422" i="13"/>
  <c r="M28" i="4"/>
  <c r="Z729" i="13"/>
  <c r="Z231" i="13"/>
  <c r="I29" i="4"/>
  <c r="A32" i="13"/>
  <c r="H30" i="4"/>
  <c r="BS32" i="4"/>
  <c r="E32" i="13"/>
  <c r="Z137" i="13"/>
  <c r="Z1434" i="13"/>
  <c r="Z1236" i="13"/>
  <c r="Z1240" i="13"/>
  <c r="Z1438" i="13"/>
  <c r="Z148" i="13"/>
  <c r="Z1248" i="13"/>
  <c r="Z1446" i="13"/>
  <c r="Z753" i="13"/>
  <c r="M52" i="4"/>
  <c r="I53" i="4"/>
  <c r="Z255" i="13"/>
  <c r="H54" i="4"/>
  <c r="A56" i="13"/>
  <c r="E58" i="13"/>
  <c r="BS56" i="4"/>
  <c r="I58" i="4"/>
  <c r="Z260" i="13"/>
  <c r="H59" i="4"/>
  <c r="A61" i="13"/>
  <c r="E63" i="13"/>
  <c r="BS61" i="4"/>
  <c r="Z166" i="13"/>
  <c r="Z1466" i="13"/>
  <c r="Z1268" i="13"/>
  <c r="M73" i="4"/>
  <c r="Z774" i="13"/>
  <c r="Z272" i="13"/>
  <c r="I70" i="4"/>
  <c r="H80" i="4"/>
  <c r="A82" i="13"/>
  <c r="BS85" i="4"/>
  <c r="E87" i="13"/>
  <c r="Z177" i="13"/>
  <c r="Z1472" i="13"/>
  <c r="Z1274" i="13"/>
  <c r="Z780" i="13"/>
  <c r="M79" i="4"/>
  <c r="I81" i="4"/>
  <c r="Z283" i="13"/>
  <c r="A85" i="13"/>
  <c r="H83" i="4"/>
  <c r="E89" i="13"/>
  <c r="BS87" i="4"/>
  <c r="Z192" i="13"/>
  <c r="Z197" i="13"/>
  <c r="Z1415" i="13"/>
  <c r="Z1217" i="13"/>
  <c r="Z795" i="13"/>
  <c r="M94" i="4"/>
  <c r="I22" i="4"/>
  <c r="Z224" i="13"/>
  <c r="A25" i="13"/>
  <c r="H23" i="4"/>
  <c r="E25" i="13"/>
  <c r="BS25" i="4"/>
  <c r="Z129" i="13"/>
  <c r="Z1427" i="13"/>
  <c r="Z1229" i="13"/>
  <c r="M33" i="4"/>
  <c r="Z734" i="13"/>
  <c r="Z237" i="13"/>
  <c r="I35" i="4"/>
  <c r="H8" i="4"/>
  <c r="A10" i="13"/>
  <c r="E37" i="13"/>
  <c r="BS37" i="4"/>
  <c r="Z141" i="13"/>
  <c r="E41" i="13"/>
  <c r="BS41" i="4"/>
  <c r="Z145" i="13"/>
  <c r="M62" i="4"/>
  <c r="Z763" i="13"/>
  <c r="Z248" i="13"/>
  <c r="I46" i="4"/>
  <c r="H47" i="4"/>
  <c r="A49" i="13"/>
  <c r="E49" i="13"/>
  <c r="BS49" i="4"/>
  <c r="E51" i="13"/>
  <c r="Z153" i="13"/>
  <c r="Z1451" i="13"/>
  <c r="Z1253" i="13"/>
  <c r="Z758" i="13"/>
  <c r="M57" i="4"/>
  <c r="Z1456" i="13"/>
  <c r="Z1258" i="13"/>
  <c r="M65" i="4"/>
  <c r="Z766" i="13"/>
  <c r="Z266" i="13"/>
  <c r="I64" i="4"/>
  <c r="A74" i="13"/>
  <c r="H72" i="4"/>
  <c r="E69" i="13"/>
  <c r="BS67" i="4"/>
  <c r="Z173" i="13"/>
  <c r="Z1282" i="13"/>
  <c r="Z1480" i="13"/>
  <c r="Z769" i="13"/>
  <c r="M68" i="4"/>
  <c r="Z277" i="13"/>
  <c r="I75" i="4"/>
  <c r="A80" i="13"/>
  <c r="H78" i="4"/>
  <c r="BS74" i="4"/>
  <c r="E76" i="13"/>
  <c r="Z179" i="13"/>
  <c r="Z1482" i="13"/>
  <c r="Z1284" i="13"/>
  <c r="Z789" i="13"/>
  <c r="M88" i="4"/>
  <c r="Z292" i="13"/>
  <c r="I90" i="4"/>
  <c r="H82" i="4"/>
  <c r="A84" i="13"/>
  <c r="BS93" i="4"/>
  <c r="E95" i="13"/>
  <c r="A47" i="13"/>
  <c r="H45" i="4"/>
  <c r="I21" i="4"/>
  <c r="Z223" i="13"/>
  <c r="Z297" i="13"/>
  <c r="I95" i="4"/>
  <c r="Z4" i="69"/>
  <c r="AX260" i="13"/>
  <c r="A360" i="13"/>
  <c r="AX360" i="13" s="1"/>
  <c r="E7" i="13"/>
  <c r="BS5" i="4"/>
  <c r="Z1408" i="13"/>
  <c r="Z1210" i="13"/>
  <c r="M14" i="4"/>
  <c r="Z715" i="13"/>
  <c r="Z217" i="13"/>
  <c r="I15" i="4"/>
  <c r="H16" i="4"/>
  <c r="A18" i="13"/>
  <c r="E18" i="13"/>
  <c r="BS18" i="4"/>
  <c r="Z122" i="13"/>
  <c r="Z1222" i="13"/>
  <c r="Z1420" i="13"/>
  <c r="Z727" i="13"/>
  <c r="M26" i="4"/>
  <c r="I27" i="4"/>
  <c r="Z229" i="13"/>
  <c r="H28" i="4"/>
  <c r="A30" i="13"/>
  <c r="E30" i="13"/>
  <c r="BS30" i="4"/>
  <c r="Z134" i="13"/>
  <c r="Z1432" i="13"/>
  <c r="Z1234" i="13"/>
  <c r="Z739" i="13"/>
  <c r="M38" i="4"/>
  <c r="Z241" i="13"/>
  <c r="I39" i="4"/>
  <c r="H44" i="4"/>
  <c r="A46" i="13"/>
  <c r="Z1238" i="13"/>
  <c r="Z1436" i="13"/>
  <c r="M42" i="4"/>
  <c r="Z743" i="13"/>
  <c r="Z245" i="13"/>
  <c r="I43" i="4"/>
  <c r="Z1444" i="13"/>
  <c r="Z1246" i="13"/>
  <c r="Z751" i="13"/>
  <c r="M50" i="4"/>
  <c r="I51" i="4"/>
  <c r="Z253" i="13"/>
  <c r="H52" i="4"/>
  <c r="A54" i="13"/>
  <c r="BS54" i="4"/>
  <c r="E56" i="13"/>
  <c r="Z158" i="13"/>
  <c r="E61" i="13"/>
  <c r="BS59" i="4"/>
  <c r="Z163" i="13"/>
  <c r="Z1264" i="13"/>
  <c r="Z1462" i="13"/>
  <c r="M66" i="4"/>
  <c r="Z767" i="13"/>
  <c r="Z273" i="13"/>
  <c r="I71" i="4"/>
  <c r="H73" i="4"/>
  <c r="A75" i="13"/>
  <c r="BS80" i="4"/>
  <c r="E82" i="13"/>
  <c r="Z187" i="13"/>
  <c r="Z1469" i="13"/>
  <c r="Z1271" i="13"/>
  <c r="M91" i="4"/>
  <c r="Z792" i="13"/>
  <c r="Z279" i="13"/>
  <c r="I77" i="4"/>
  <c r="H79" i="4"/>
  <c r="A81" i="13"/>
  <c r="E85" i="13"/>
  <c r="BS83" i="4"/>
  <c r="Z189" i="13"/>
  <c r="Z1290" i="13"/>
  <c r="Z1488" i="13"/>
  <c r="Z123" i="13"/>
  <c r="A396" i="13"/>
  <c r="AX396" i="13" s="1"/>
  <c r="AX296" i="13"/>
  <c r="Z1354" i="13"/>
  <c r="AV60" i="13"/>
  <c r="AY58" i="4"/>
  <c r="AW58" i="4"/>
  <c r="I4" i="4"/>
  <c r="Z206" i="13"/>
  <c r="M3" i="4"/>
  <c r="Z704" i="13"/>
  <c r="Z1227" i="13"/>
  <c r="Z1425" i="13"/>
  <c r="M31" i="4"/>
  <c r="Z732" i="13"/>
  <c r="Z234" i="13"/>
  <c r="I32" i="4"/>
  <c r="A35" i="13"/>
  <c r="H33" i="4"/>
  <c r="E10" i="13"/>
  <c r="BS8" i="4"/>
  <c r="Z139" i="13"/>
  <c r="Z143" i="13"/>
  <c r="H62" i="4"/>
  <c r="A64" i="13"/>
  <c r="BS47" i="4"/>
  <c r="E47" i="13"/>
  <c r="Z151" i="13"/>
  <c r="Z1251" i="13"/>
  <c r="Z1449" i="13"/>
  <c r="M34" i="4"/>
  <c r="Z735" i="13"/>
  <c r="Z258" i="13"/>
  <c r="I56" i="4"/>
  <c r="H57" i="4"/>
  <c r="A59" i="13"/>
  <c r="Z1256" i="13"/>
  <c r="Z1454" i="13"/>
  <c r="M63" i="4"/>
  <c r="Z764" i="13"/>
  <c r="Z263" i="13"/>
  <c r="I61" i="4"/>
  <c r="A67" i="13"/>
  <c r="H65" i="4"/>
  <c r="BS72" i="4"/>
  <c r="E74" i="13"/>
  <c r="Z169" i="13"/>
  <c r="Z1475" i="13"/>
  <c r="Z1277" i="13"/>
  <c r="Z790" i="13"/>
  <c r="M89" i="4"/>
  <c r="I85" i="4"/>
  <c r="Z287" i="13"/>
  <c r="A70" i="13"/>
  <c r="H68" i="4"/>
  <c r="E80" i="13"/>
  <c r="BS78" i="4"/>
  <c r="Z176" i="13"/>
  <c r="Z1478" i="13"/>
  <c r="Z1280" i="13"/>
  <c r="M84" i="4"/>
  <c r="Z785" i="13"/>
  <c r="Z289" i="13"/>
  <c r="I87" i="4"/>
  <c r="A90" i="13"/>
  <c r="H88" i="4"/>
  <c r="E84" i="13"/>
  <c r="BS82" i="4"/>
  <c r="Z195" i="13"/>
  <c r="I86" i="4"/>
  <c r="Z288" i="13"/>
  <c r="M45" i="4"/>
  <c r="Z746" i="13"/>
  <c r="Z1218" i="13"/>
  <c r="Z1416" i="13"/>
  <c r="AV96" i="13"/>
  <c r="AW94" i="4"/>
  <c r="AY94" i="4"/>
  <c r="Z1390" i="13"/>
  <c r="DA58" i="4"/>
  <c r="BS7" i="4"/>
  <c r="E9" i="13"/>
  <c r="Z1402" i="13"/>
  <c r="Z1204" i="13"/>
  <c r="Z212" i="13"/>
  <c r="I10" i="4"/>
  <c r="BS13" i="4"/>
  <c r="E13" i="13"/>
  <c r="Z127" i="13"/>
  <c r="M12" i="4"/>
  <c r="Z713" i="13"/>
  <c r="A16" i="13"/>
  <c r="H14" i="4"/>
  <c r="BS16" i="4"/>
  <c r="E16" i="13"/>
  <c r="Z120" i="13"/>
  <c r="Z1418" i="13"/>
  <c r="Z1220" i="13"/>
  <c r="M24" i="4"/>
  <c r="Z725" i="13"/>
  <c r="I25" i="4"/>
  <c r="Z227" i="13"/>
  <c r="H26" i="4"/>
  <c r="A28" i="13"/>
  <c r="BS28" i="4"/>
  <c r="E28" i="13"/>
  <c r="Z132" i="13"/>
  <c r="Z1205" i="13"/>
  <c r="Z1403" i="13"/>
  <c r="M36" i="4"/>
  <c r="Z737" i="13"/>
  <c r="I37" i="4"/>
  <c r="Z239" i="13"/>
  <c r="H38" i="4"/>
  <c r="A40" i="13"/>
  <c r="E44" i="13"/>
  <c r="BS44" i="4"/>
  <c r="Z1439" i="13"/>
  <c r="Z1241" i="13"/>
  <c r="Z741" i="13"/>
  <c r="M40" i="4"/>
  <c r="Z243" i="13"/>
  <c r="I41" i="4"/>
  <c r="H42" i="4"/>
  <c r="A44" i="13"/>
  <c r="Z1244" i="13"/>
  <c r="Z1442" i="13"/>
  <c r="Z749" i="13"/>
  <c r="M48" i="4"/>
  <c r="Z251" i="13"/>
  <c r="I49" i="4"/>
  <c r="A52" i="13"/>
  <c r="H50" i="4"/>
  <c r="BS52" i="4"/>
  <c r="E54" i="13"/>
  <c r="Z156" i="13"/>
  <c r="Z161" i="13"/>
  <c r="Z1467" i="13"/>
  <c r="Z1269" i="13"/>
  <c r="Z770" i="13"/>
  <c r="M69" i="4"/>
  <c r="Z269" i="13"/>
  <c r="I67" i="4"/>
  <c r="A68" i="13"/>
  <c r="H66" i="4"/>
  <c r="E75" i="13"/>
  <c r="BS73" i="4"/>
  <c r="Z182" i="13"/>
  <c r="Z1473" i="13"/>
  <c r="Z1275" i="13"/>
  <c r="M76" i="4"/>
  <c r="Z777" i="13"/>
  <c r="Z276" i="13"/>
  <c r="I74" i="4"/>
  <c r="A93" i="13"/>
  <c r="H91" i="4"/>
  <c r="BS79" i="4"/>
  <c r="E81" i="13"/>
  <c r="Z185" i="13"/>
  <c r="Z1477" i="13"/>
  <c r="Z1279" i="13"/>
  <c r="Z793" i="13"/>
  <c r="M92" i="4"/>
  <c r="I93" i="4"/>
  <c r="Z295" i="13"/>
  <c r="Z188" i="13"/>
  <c r="E21" i="13"/>
  <c r="BS21" i="4"/>
  <c r="Z257" i="13"/>
  <c r="I55" i="4"/>
  <c r="AX1300" i="13"/>
  <c r="A1399" i="13"/>
  <c r="Z720" i="13"/>
  <c r="M19" i="4"/>
  <c r="Z1411" i="13"/>
  <c r="Z1213" i="13"/>
  <c r="Z220" i="13"/>
  <c r="I18" i="4"/>
  <c r="BS94" i="4"/>
  <c r="E96" i="13"/>
  <c r="Z125" i="13"/>
  <c r="Z1423" i="13"/>
  <c r="Z1225" i="13"/>
  <c r="M29" i="4"/>
  <c r="Z730" i="13"/>
  <c r="Z232" i="13"/>
  <c r="I30" i="4"/>
  <c r="A33" i="13"/>
  <c r="H31" i="4"/>
  <c r="BS33" i="4"/>
  <c r="E33" i="13"/>
  <c r="Z110" i="13"/>
  <c r="E64" i="13"/>
  <c r="BS62" i="4"/>
  <c r="Z149" i="13"/>
  <c r="Z1447" i="13"/>
  <c r="Z1249" i="13"/>
  <c r="M53" i="4"/>
  <c r="Z754" i="13"/>
  <c r="Z256" i="13"/>
  <c r="I54" i="4"/>
  <c r="H34" i="4"/>
  <c r="A36" i="13"/>
  <c r="BS57" i="4"/>
  <c r="E59" i="13"/>
  <c r="Z759" i="13"/>
  <c r="M58" i="4"/>
  <c r="I59" i="4"/>
  <c r="Z261" i="13"/>
  <c r="H63" i="4"/>
  <c r="A65" i="13"/>
  <c r="BS65" i="4"/>
  <c r="E67" i="13"/>
  <c r="Z1270" i="13"/>
  <c r="Z1468" i="13"/>
  <c r="M70" i="4"/>
  <c r="Z771" i="13"/>
  <c r="I80" i="4"/>
  <c r="Z282" i="13"/>
  <c r="H89" i="4"/>
  <c r="A91" i="13"/>
  <c r="E70" i="13"/>
  <c r="BS68" i="4"/>
  <c r="Z180" i="13"/>
  <c r="Z1276" i="13"/>
  <c r="Z1474" i="13"/>
  <c r="M81" i="4"/>
  <c r="Z782" i="13"/>
  <c r="Z285" i="13"/>
  <c r="I83" i="4"/>
  <c r="H84" i="4"/>
  <c r="A86" i="13"/>
  <c r="BS88" i="4"/>
  <c r="E90" i="13"/>
  <c r="Z184" i="13"/>
  <c r="Z1283" i="13"/>
  <c r="Z1481" i="13"/>
  <c r="Z157" i="13"/>
  <c r="A11" i="13"/>
  <c r="H9" i="4"/>
  <c r="E23" i="13"/>
  <c r="BS23" i="4"/>
  <c r="H3" i="4"/>
  <c r="A5" i="13"/>
  <c r="A4" i="4"/>
  <c r="C4" i="1"/>
  <c r="Z107" i="13"/>
  <c r="A21" i="13"/>
  <c r="H19" i="4"/>
  <c r="Z1206" i="13"/>
  <c r="Z1404" i="13"/>
  <c r="Z711" i="13"/>
  <c r="M10" i="4"/>
  <c r="A14" i="13"/>
  <c r="H12" i="4"/>
  <c r="E14" i="13"/>
  <c r="BS14" i="4"/>
  <c r="Z1291" i="13"/>
  <c r="Z1489" i="13"/>
  <c r="M22" i="4"/>
  <c r="Z723" i="13"/>
  <c r="I23" i="4"/>
  <c r="Z225" i="13"/>
  <c r="A26" i="13"/>
  <c r="H24" i="4"/>
  <c r="BS26" i="4"/>
  <c r="E26" i="13"/>
  <c r="Z130" i="13"/>
  <c r="Z1230" i="13"/>
  <c r="Z1428" i="13"/>
  <c r="Z736" i="13"/>
  <c r="M35" i="4"/>
  <c r="I8" i="4"/>
  <c r="Z210" i="13"/>
  <c r="A38" i="13"/>
  <c r="H36" i="4"/>
  <c r="BS38" i="4"/>
  <c r="E38" i="13"/>
  <c r="Z146" i="13"/>
  <c r="H40" i="4"/>
  <c r="A42" i="13"/>
  <c r="BS42" i="4"/>
  <c r="E42" i="13"/>
  <c r="Z1259" i="13"/>
  <c r="Z1457" i="13"/>
  <c r="M46" i="4"/>
  <c r="Z747" i="13"/>
  <c r="I47" i="4"/>
  <c r="Z249" i="13"/>
  <c r="H48" i="4"/>
  <c r="A50" i="13"/>
  <c r="E50" i="13"/>
  <c r="E52" i="13"/>
  <c r="BS50" i="4"/>
  <c r="Z154" i="13"/>
  <c r="Z1254" i="13"/>
  <c r="Z1452" i="13"/>
  <c r="Z1460" i="13"/>
  <c r="Z1262" i="13"/>
  <c r="Z765" i="13"/>
  <c r="M64" i="4"/>
  <c r="Z274" i="13"/>
  <c r="I72" i="4"/>
  <c r="A71" i="13"/>
  <c r="H69" i="4"/>
  <c r="BS66" i="4"/>
  <c r="E68" i="13"/>
  <c r="Z175" i="13"/>
  <c r="Z1265" i="13"/>
  <c r="Z1463" i="13"/>
  <c r="M75" i="4"/>
  <c r="Z776" i="13"/>
  <c r="Z280" i="13"/>
  <c r="I78" i="4"/>
  <c r="A78" i="13"/>
  <c r="H76" i="4"/>
  <c r="BS91" i="4"/>
  <c r="E93" i="13"/>
  <c r="Z181" i="13"/>
  <c r="Z1285" i="13"/>
  <c r="Z1483" i="13"/>
  <c r="M90" i="4"/>
  <c r="Z791" i="13"/>
  <c r="Z284" i="13"/>
  <c r="I82" i="4"/>
  <c r="H92" i="4"/>
  <c r="A94" i="13"/>
  <c r="E88" i="13"/>
  <c r="BS86" i="4"/>
  <c r="Z1450" i="13"/>
  <c r="Z1252" i="13"/>
  <c r="Z796" i="13"/>
  <c r="AV297" i="13" s="1"/>
  <c r="M95" i="4"/>
  <c r="AX1291" i="13"/>
  <c r="A1390" i="13"/>
  <c r="BP94" i="69"/>
  <c r="AA94" i="69"/>
  <c r="Z115" i="13"/>
  <c r="H6" i="4"/>
  <c r="A8" i="13"/>
  <c r="Z118" i="13"/>
  <c r="A19" i="13"/>
  <c r="H17" i="4"/>
  <c r="E19" i="13"/>
  <c r="BS19" i="4"/>
  <c r="Z196" i="13"/>
  <c r="Z1421" i="13"/>
  <c r="Z1223" i="13"/>
  <c r="M27" i="4"/>
  <c r="Z728" i="13"/>
  <c r="I28" i="4"/>
  <c r="Z230" i="13"/>
  <c r="A31" i="13"/>
  <c r="H29" i="4"/>
  <c r="BS31" i="4"/>
  <c r="E31" i="13"/>
  <c r="Z135" i="13"/>
  <c r="Z1433" i="13"/>
  <c r="Z1235" i="13"/>
  <c r="M39" i="4"/>
  <c r="Z740" i="13"/>
  <c r="I44" i="4"/>
  <c r="Z246" i="13"/>
  <c r="Z1239" i="13"/>
  <c r="Z1437" i="13"/>
  <c r="Z744" i="13"/>
  <c r="M43" i="4"/>
  <c r="Z164" i="13"/>
  <c r="Z1247" i="13"/>
  <c r="Z1445" i="13"/>
  <c r="M51" i="4"/>
  <c r="Z752" i="13"/>
  <c r="I52" i="4"/>
  <c r="Z254" i="13"/>
  <c r="A55" i="13"/>
  <c r="H53" i="4"/>
  <c r="E34" i="13"/>
  <c r="BS34" i="4"/>
  <c r="Z159" i="13"/>
  <c r="BS63" i="4"/>
  <c r="E65" i="13"/>
  <c r="Z167" i="13"/>
  <c r="Z1461" i="13"/>
  <c r="Z1263" i="13"/>
  <c r="M71" i="4"/>
  <c r="Z772" i="13"/>
  <c r="Z275" i="13"/>
  <c r="I73" i="4"/>
  <c r="A72" i="13"/>
  <c r="H70" i="4"/>
  <c r="BS89" i="4"/>
  <c r="E91" i="13"/>
  <c r="Z170" i="13"/>
  <c r="Z1486" i="13"/>
  <c r="Z1288" i="13"/>
  <c r="Z778" i="13"/>
  <c r="M77" i="4"/>
  <c r="I79" i="4"/>
  <c r="Z281" i="13"/>
  <c r="A83" i="13"/>
  <c r="H81" i="4"/>
  <c r="BS84" i="4"/>
  <c r="E86" i="13"/>
  <c r="Z190" i="13"/>
  <c r="E57" i="13"/>
  <c r="BS55" i="4"/>
  <c r="AX1255" i="13"/>
  <c r="A1354" i="13"/>
  <c r="H5" i="4"/>
  <c r="A7" i="13"/>
  <c r="Z707" i="13"/>
  <c r="M6" i="4"/>
  <c r="Z705" i="13"/>
  <c r="M4" i="4"/>
  <c r="Z718" i="13"/>
  <c r="M17" i="4"/>
  <c r="E5" i="13"/>
  <c r="D102" i="13" s="1"/>
  <c r="BS3" i="4"/>
  <c r="Z1398" i="13"/>
  <c r="Z1200" i="13"/>
  <c r="I11" i="4"/>
  <c r="Z213" i="13"/>
  <c r="E8" i="13"/>
  <c r="BS6" i="4"/>
  <c r="Z111" i="13"/>
  <c r="Z1409" i="13"/>
  <c r="Z1211" i="13"/>
  <c r="Z716" i="13"/>
  <c r="M15" i="4"/>
  <c r="I16" i="4"/>
  <c r="Z218" i="13"/>
  <c r="Z105" i="13"/>
  <c r="Z1401" i="13"/>
  <c r="Z1203" i="13"/>
  <c r="Z708" i="13"/>
  <c r="M7" i="4"/>
  <c r="I9" i="4"/>
  <c r="Z211" i="13"/>
  <c r="A12" i="13"/>
  <c r="H10" i="4"/>
  <c r="BS12" i="4"/>
  <c r="E12" i="13"/>
  <c r="Z116" i="13"/>
  <c r="Z1216" i="13"/>
  <c r="Z1414" i="13"/>
  <c r="M20" i="4"/>
  <c r="Z721" i="13"/>
  <c r="Z296" i="13"/>
  <c r="I94" i="4"/>
  <c r="A24" i="13"/>
  <c r="H22" i="4"/>
  <c r="E24" i="13"/>
  <c r="BS24" i="4"/>
  <c r="Z128" i="13"/>
  <c r="Z1228" i="13"/>
  <c r="Z1426" i="13"/>
  <c r="M32" i="4"/>
  <c r="Z733" i="13"/>
  <c r="I33" i="4"/>
  <c r="Z235" i="13"/>
  <c r="H35" i="4"/>
  <c r="A37" i="13"/>
  <c r="BS36" i="4"/>
  <c r="E36" i="13"/>
  <c r="Z140" i="13"/>
  <c r="BS40" i="4"/>
  <c r="E40" i="13"/>
  <c r="Z144" i="13"/>
  <c r="Z264" i="13"/>
  <c r="I62" i="4"/>
  <c r="A48" i="13"/>
  <c r="H46" i="4"/>
  <c r="BS48" i="4"/>
  <c r="E48" i="13"/>
  <c r="Z152" i="13"/>
  <c r="Z1429" i="13"/>
  <c r="Z1231" i="13"/>
  <c r="M56" i="4"/>
  <c r="Z757" i="13"/>
  <c r="Z259" i="13"/>
  <c r="I57" i="4"/>
  <c r="Z1260" i="13"/>
  <c r="Z1458" i="13"/>
  <c r="Z762" i="13"/>
  <c r="M61" i="4"/>
  <c r="Z267" i="13"/>
  <c r="I65" i="4"/>
  <c r="H64" i="4"/>
  <c r="A66" i="13"/>
  <c r="BS69" i="4"/>
  <c r="E71" i="13"/>
  <c r="Z168" i="13"/>
  <c r="Z1484" i="13"/>
  <c r="Z1286" i="13"/>
  <c r="Z786" i="13"/>
  <c r="M85" i="4"/>
  <c r="Z270" i="13"/>
  <c r="I68" i="4"/>
  <c r="H75" i="4"/>
  <c r="A77" i="13"/>
  <c r="E78" i="13"/>
  <c r="BS76" i="4"/>
  <c r="Z193" i="13"/>
  <c r="Z1479" i="13"/>
  <c r="Z1281" i="13"/>
  <c r="M87" i="4"/>
  <c r="Z788" i="13"/>
  <c r="I88" i="4"/>
  <c r="Z290" i="13"/>
  <c r="A92" i="13"/>
  <c r="H90" i="4"/>
  <c r="E94" i="13"/>
  <c r="BS92" i="4"/>
  <c r="H86" i="4"/>
  <c r="A88" i="13"/>
  <c r="I45" i="4"/>
  <c r="Z247" i="13"/>
  <c r="M21" i="4"/>
  <c r="Z722" i="13"/>
  <c r="Z710" i="13"/>
  <c r="M9" i="4"/>
  <c r="Z117" i="13"/>
  <c r="Z1202" i="13"/>
  <c r="Z1400" i="13"/>
  <c r="Z1215" i="13"/>
  <c r="Z1413" i="13"/>
  <c r="I20" i="4"/>
  <c r="Z222" i="13"/>
  <c r="Z205" i="13"/>
  <c r="I3" i="4"/>
  <c r="BS4" i="4"/>
  <c r="E6" i="13"/>
  <c r="Z108" i="13"/>
  <c r="Z1407" i="13"/>
  <c r="Z1209" i="13"/>
  <c r="M13" i="4"/>
  <c r="Z714" i="13"/>
  <c r="Z216" i="13"/>
  <c r="I14" i="4"/>
  <c r="A17" i="13"/>
  <c r="H15" i="4"/>
  <c r="E17" i="13"/>
  <c r="BS17" i="4"/>
  <c r="Z121" i="13"/>
  <c r="Z1221" i="13"/>
  <c r="Z1419" i="13"/>
  <c r="M25" i="4"/>
  <c r="Z726" i="13"/>
  <c r="Z228" i="13"/>
  <c r="I26" i="4"/>
  <c r="A29" i="13"/>
  <c r="H27" i="4"/>
  <c r="BS29" i="4"/>
  <c r="E29" i="13"/>
  <c r="Z133" i="13"/>
  <c r="Z1233" i="13"/>
  <c r="Z1431" i="13"/>
  <c r="Z738" i="13"/>
  <c r="M37" i="4"/>
  <c r="I38" i="4"/>
  <c r="Z240" i="13"/>
  <c r="H39" i="4"/>
  <c r="A41" i="13"/>
  <c r="Z1435" i="13"/>
  <c r="Z1237" i="13"/>
  <c r="M41" i="4"/>
  <c r="Z742" i="13"/>
  <c r="I42" i="4"/>
  <c r="Z244" i="13"/>
  <c r="A45" i="13"/>
  <c r="H43" i="4"/>
  <c r="Z1245" i="13"/>
  <c r="Z1443" i="13"/>
  <c r="M49" i="4"/>
  <c r="Z750" i="13"/>
  <c r="I50" i="4"/>
  <c r="Z252" i="13"/>
  <c r="H51" i="4"/>
  <c r="A53" i="13"/>
  <c r="BS53" i="4"/>
  <c r="E55" i="13"/>
  <c r="Z136" i="13"/>
  <c r="E60" i="13"/>
  <c r="BS58" i="4"/>
  <c r="Z165" i="13"/>
  <c r="Z1464" i="13"/>
  <c r="Z1266" i="13"/>
  <c r="Z768" i="13"/>
  <c r="M67" i="4"/>
  <c r="I66" i="4"/>
  <c r="Z268" i="13"/>
  <c r="H71" i="4"/>
  <c r="A73" i="13"/>
  <c r="E72" i="13"/>
  <c r="BS70" i="4"/>
  <c r="Z191" i="13"/>
  <c r="Z1471" i="13"/>
  <c r="Z1273" i="13"/>
  <c r="M74" i="4"/>
  <c r="Z775" i="13"/>
  <c r="Z293" i="13"/>
  <c r="I91" i="4"/>
  <c r="A79" i="13"/>
  <c r="H77" i="4"/>
  <c r="BS81" i="4"/>
  <c r="E83" i="13"/>
  <c r="Z186" i="13"/>
  <c r="Z1487" i="13"/>
  <c r="Z1289" i="13"/>
  <c r="M93" i="4"/>
  <c r="Z794" i="13"/>
  <c r="Z147" i="13"/>
  <c r="BP58" i="69"/>
  <c r="AA58" i="69"/>
  <c r="AZ79" i="4"/>
  <c r="AZ10" i="4"/>
  <c r="AZ72" i="4"/>
  <c r="AZ78" i="4"/>
  <c r="AZ73" i="4"/>
  <c r="AZ22" i="4"/>
  <c r="AZ35" i="4"/>
  <c r="AZ95" i="4"/>
  <c r="AZ93" i="4"/>
  <c r="AZ82" i="4"/>
  <c r="AZ26" i="4"/>
  <c r="AZ50" i="4"/>
  <c r="AZ66" i="4"/>
  <c r="AZ91" i="4"/>
  <c r="AZ46" i="4"/>
  <c r="AZ7" i="4"/>
  <c r="AZ20" i="4"/>
  <c r="AZ32" i="4"/>
  <c r="AZ56" i="4"/>
  <c r="AZ61" i="4"/>
  <c r="AZ85" i="4"/>
  <c r="AZ11" i="4"/>
  <c r="AZ23" i="4"/>
  <c r="AZ8" i="4"/>
  <c r="AZ44" i="4"/>
  <c r="AZ47" i="4"/>
  <c r="AZ14" i="4"/>
  <c r="AZ38" i="4"/>
  <c r="AZ42" i="4"/>
  <c r="AZ12" i="4"/>
  <c r="AZ36" i="4"/>
  <c r="AZ40" i="4"/>
  <c r="AZ48" i="4"/>
  <c r="AZ69" i="4"/>
  <c r="AZ64" i="4"/>
  <c r="AZ75" i="4"/>
  <c r="AZ90" i="4"/>
  <c r="AZ15" i="4"/>
  <c r="AZ27" i="4"/>
  <c r="AZ39" i="4"/>
  <c r="AZ43" i="4"/>
  <c r="AZ51" i="4"/>
  <c r="AZ87" i="4"/>
  <c r="AZ5" i="4"/>
  <c r="AZ18" i="4"/>
  <c r="AZ30" i="4"/>
  <c r="AZ54" i="4"/>
  <c r="AZ59" i="4"/>
  <c r="AZ80" i="4"/>
  <c r="AZ83" i="4"/>
  <c r="AZ52" i="4"/>
  <c r="AZ55" i="4"/>
  <c r="AZ86" i="4"/>
  <c r="AZ4" i="4"/>
  <c r="AZ53" i="4"/>
  <c r="AZ70" i="4"/>
  <c r="AZ45" i="4"/>
  <c r="AZ71" i="4"/>
  <c r="AZ77" i="4"/>
  <c r="AZ13" i="4"/>
  <c r="AZ25" i="4"/>
  <c r="AZ37" i="4"/>
  <c r="AZ41" i="4"/>
  <c r="AZ49" i="4"/>
  <c r="AZ67" i="4"/>
  <c r="AZ74" i="4"/>
  <c r="AZ21" i="4"/>
  <c r="AZ3" i="4"/>
  <c r="AZ16" i="4"/>
  <c r="AZ28" i="4"/>
  <c r="AZ9" i="4"/>
  <c r="AZ94" i="4"/>
  <c r="AZ33" i="4"/>
  <c r="AZ62" i="4"/>
  <c r="AZ57" i="4"/>
  <c r="AZ65" i="4"/>
  <c r="AZ68" i="4"/>
  <c r="AZ88" i="4"/>
  <c r="AZ6" i="4"/>
  <c r="AZ19" i="4"/>
  <c r="AZ31" i="4"/>
  <c r="AZ34" i="4"/>
  <c r="AZ63" i="4"/>
  <c r="AZ89" i="4"/>
  <c r="AZ84" i="4"/>
  <c r="AZ24" i="4"/>
  <c r="AZ76" i="4"/>
  <c r="AZ92" i="4"/>
  <c r="AZ17" i="4"/>
  <c r="AZ29" i="4"/>
  <c r="AZ58" i="4"/>
  <c r="AZ81" i="4"/>
  <c r="Z462" i="13"/>
  <c r="B162" i="13"/>
  <c r="Z662" i="13"/>
  <c r="Z860" i="13"/>
  <c r="Z62" i="13"/>
  <c r="Z960" i="13"/>
  <c r="Z1059" i="13"/>
  <c r="Z1158" i="13"/>
  <c r="Z362" i="13"/>
  <c r="Z562" i="13"/>
  <c r="AC25" i="4" a="1"/>
  <c r="CI25" i="4" a="1"/>
  <c r="CS25" i="4"/>
  <c r="CM25" i="4" a="1"/>
  <c r="AE25" i="4" a="1"/>
  <c r="CB25" i="4" a="1"/>
  <c r="CC25" i="4" a="1"/>
  <c r="AK25" i="4" a="1"/>
  <c r="AM25" i="4" a="1"/>
  <c r="CE25" i="4" a="1"/>
  <c r="CJ25" i="4" a="1"/>
  <c r="CK25" i="4" a="1"/>
  <c r="CH25" i="4" a="1"/>
  <c r="BP25" i="4" a="1"/>
  <c r="CG25" i="4" a="1"/>
  <c r="CP25" i="4"/>
  <c r="CD25" i="4" a="1"/>
  <c r="BN25" i="4" a="1"/>
  <c r="CF25" i="4" a="1"/>
  <c r="CL25" i="4" a="1"/>
  <c r="CF65" i="4" a="1"/>
  <c r="BP65" i="4" a="1"/>
  <c r="AM65" i="4" a="1"/>
  <c r="CE65" i="4" a="1"/>
  <c r="AE65" i="4" a="1"/>
  <c r="CG65" i="4" a="1"/>
  <c r="CS65" i="4"/>
  <c r="CB65" i="4" a="1"/>
  <c r="CM65" i="4" a="1"/>
  <c r="CI65" i="4" a="1"/>
  <c r="AC65" i="4" a="1"/>
  <c r="CP65" i="4"/>
  <c r="CD65" i="4" a="1"/>
  <c r="CL65" i="4" a="1"/>
  <c r="CC65" i="4" a="1"/>
  <c r="CK65" i="4" a="1"/>
  <c r="BN65" i="4" a="1"/>
  <c r="CH65" i="4" a="1"/>
  <c r="AK65" i="4" a="1"/>
  <c r="CJ65" i="4" a="1"/>
  <c r="AK68" i="4" a="1"/>
  <c r="CI68" i="4" a="1"/>
  <c r="CM68" i="4" a="1"/>
  <c r="AE68" i="4" a="1"/>
  <c r="BP68" i="4" a="1"/>
  <c r="BN68" i="4" a="1"/>
  <c r="CH68" i="4" a="1"/>
  <c r="CE68" i="4" a="1"/>
  <c r="CP68" i="4"/>
  <c r="CF68" i="4" a="1"/>
  <c r="CC68" i="4" a="1"/>
  <c r="AM68" i="4" a="1"/>
  <c r="CD68" i="4" a="1"/>
  <c r="CJ68" i="4" a="1"/>
  <c r="AC68" i="4" a="1"/>
  <c r="CL68" i="4" a="1"/>
  <c r="CB68" i="4" a="1"/>
  <c r="CG68" i="4" a="1"/>
  <c r="CS68" i="4"/>
  <c r="CK68" i="4" a="1"/>
  <c r="CD88" i="4" a="1"/>
  <c r="CP88" i="4"/>
  <c r="CJ88" i="4" a="1"/>
  <c r="CI88" i="4" a="1"/>
  <c r="CS88" i="4"/>
  <c r="CM88" i="4" a="1"/>
  <c r="AC88" i="4" a="1"/>
  <c r="CL88" i="4" a="1"/>
  <c r="AE88" i="4" a="1"/>
  <c r="CG88" i="4" a="1"/>
  <c r="CB88" i="4" a="1"/>
  <c r="AM88" i="4" a="1"/>
  <c r="AK88" i="4" a="1"/>
  <c r="BP88" i="4" a="1"/>
  <c r="BN88" i="4" a="1"/>
  <c r="CH88" i="4" a="1"/>
  <c r="CE88" i="4" a="1"/>
  <c r="CK88" i="4" a="1"/>
  <c r="CF88" i="4" a="1"/>
  <c r="CC88" i="4" a="1"/>
  <c r="CB40" i="4" a="1"/>
  <c r="CM40" i="4" a="1"/>
  <c r="CK40" i="4" a="1"/>
  <c r="BP40" i="4" a="1"/>
  <c r="CI40" i="4" a="1"/>
  <c r="CG40" i="4" a="1"/>
  <c r="CE40" i="4" a="1"/>
  <c r="CF40" i="4" a="1"/>
  <c r="CL40" i="4" a="1"/>
  <c r="AC40" i="4" a="1"/>
  <c r="AK40" i="4" a="1"/>
  <c r="CS40" i="4"/>
  <c r="AM40" i="4" a="1"/>
  <c r="CH40" i="4" a="1"/>
  <c r="AE40" i="4" a="1"/>
  <c r="CJ40" i="4" a="1"/>
  <c r="CC40" i="4" a="1"/>
  <c r="CP40" i="4"/>
  <c r="BN40" i="4" a="1"/>
  <c r="CD40" i="4" a="1"/>
  <c r="BP90" i="4" a="1"/>
  <c r="AE90" i="4" a="1"/>
  <c r="CK90" i="4" a="1"/>
  <c r="CB90" i="4" a="1"/>
  <c r="CJ90" i="4" a="1"/>
  <c r="CF90" i="4" a="1"/>
  <c r="BN90" i="4" a="1"/>
  <c r="CE90" i="4" a="1"/>
  <c r="CS90" i="4"/>
  <c r="AK90" i="4" a="1"/>
  <c r="CP90" i="4"/>
  <c r="CG90" i="4" a="1"/>
  <c r="CM90" i="4" a="1"/>
  <c r="AM90" i="4" a="1"/>
  <c r="CD90" i="4" a="1"/>
  <c r="AC90" i="4" a="1"/>
  <c r="CH90" i="4" a="1"/>
  <c r="CC90" i="4" a="1"/>
  <c r="CI90" i="4" a="1"/>
  <c r="CL90" i="4" a="1"/>
  <c r="CS11" i="4"/>
  <c r="CB11" i="4" a="1"/>
  <c r="CG11" i="4" a="1"/>
  <c r="AM11" i="4" a="1"/>
  <c r="AK11" i="4" a="1"/>
  <c r="BP11" i="4" a="1"/>
  <c r="CI11" i="4" a="1"/>
  <c r="CC11" i="4" a="1"/>
  <c r="AC11" i="4" a="1"/>
  <c r="CK11" i="4" a="1"/>
  <c r="CD11" i="4" a="1"/>
  <c r="CM11" i="4" a="1"/>
  <c r="CF11" i="4" a="1"/>
  <c r="CH11" i="4" a="1"/>
  <c r="CL11" i="4" a="1"/>
  <c r="CP11" i="4"/>
  <c r="AE11" i="4" a="1"/>
  <c r="CE11" i="4" a="1"/>
  <c r="CJ11" i="4" a="1"/>
  <c r="BN11" i="4" a="1"/>
  <c r="BP13" i="4" a="1"/>
  <c r="CC13" i="4" a="1"/>
  <c r="BN13" i="4" a="1"/>
  <c r="CI13" i="4" a="1"/>
  <c r="AK13" i="4" a="1"/>
  <c r="CP13" i="4"/>
  <c r="CG13" i="4" a="1"/>
  <c r="CH13" i="4" a="1"/>
  <c r="CF13" i="4" a="1"/>
  <c r="CM13" i="4" a="1"/>
  <c r="AE13" i="4" a="1"/>
  <c r="CL13" i="4" a="1"/>
  <c r="AM13" i="4" a="1"/>
  <c r="CK13" i="4" a="1"/>
  <c r="CJ13" i="4" a="1"/>
  <c r="CS13" i="4"/>
  <c r="CB13" i="4" a="1"/>
  <c r="AC13" i="4" a="1"/>
  <c r="CE13" i="4" a="1"/>
  <c r="CD13" i="4" a="1"/>
  <c r="CD37" i="4" a="1"/>
  <c r="CK37" i="4" a="1"/>
  <c r="AE37" i="4" a="1"/>
  <c r="CC37" i="4" a="1"/>
  <c r="BN37" i="4" a="1"/>
  <c r="CF37" i="4" a="1"/>
  <c r="AK37" i="4" a="1"/>
  <c r="CL37" i="4" a="1"/>
  <c r="CG37" i="4" a="1"/>
  <c r="AC37" i="4" a="1"/>
  <c r="AM37" i="4" a="1"/>
  <c r="CP37" i="4"/>
  <c r="CM37" i="4" a="1"/>
  <c r="CJ37" i="4" a="1"/>
  <c r="CS37" i="4"/>
  <c r="CE37" i="4" a="1"/>
  <c r="CI37" i="4" a="1"/>
  <c r="CH37" i="4" a="1"/>
  <c r="BP37" i="4" a="1"/>
  <c r="CB37" i="4" a="1"/>
  <c r="CP92" i="4"/>
  <c r="CL92" i="4" a="1"/>
  <c r="CF92" i="4" a="1"/>
  <c r="CE92" i="4" a="1"/>
  <c r="BN92" i="4" a="1"/>
  <c r="CS92" i="4"/>
  <c r="CG92" i="4" a="1"/>
  <c r="AE92" i="4" a="1"/>
  <c r="CK92" i="4" a="1"/>
  <c r="CD92" i="4" a="1"/>
  <c r="CH92" i="4" a="1"/>
  <c r="AM92" i="4" a="1"/>
  <c r="CI92" i="4" a="1"/>
  <c r="CJ92" i="4" a="1"/>
  <c r="CB92" i="4" a="1"/>
  <c r="CC92" i="4" a="1"/>
  <c r="CM92" i="4" a="1"/>
  <c r="AC92" i="4" a="1"/>
  <c r="AK92" i="4" a="1"/>
  <c r="BP92" i="4" a="1"/>
  <c r="CS6" i="4"/>
  <c r="CM6" i="4" a="1"/>
  <c r="AM6" i="4" a="1"/>
  <c r="CC6" i="4" a="1"/>
  <c r="AC6" i="4" a="1"/>
  <c r="CD6" i="4" a="1"/>
  <c r="AE6" i="4" a="1"/>
  <c r="CF6" i="4" a="1"/>
  <c r="CH6" i="4" a="1"/>
  <c r="BP6" i="4" a="1"/>
  <c r="CL6" i="4" a="1"/>
  <c r="BN6" i="4" a="1"/>
  <c r="CP6" i="4"/>
  <c r="CG6" i="4" a="1"/>
  <c r="CI6" i="4" a="1"/>
  <c r="CK6" i="4" a="1"/>
  <c r="CJ6" i="4" a="1"/>
  <c r="CB6" i="4" a="1"/>
  <c r="CE6" i="4" a="1"/>
  <c r="AK6" i="4" a="1"/>
  <c r="CP73" i="4"/>
  <c r="AC73" i="4" a="1"/>
  <c r="BP73" i="4" a="1"/>
  <c r="CF73" i="4" a="1"/>
  <c r="CD73" i="4" a="1"/>
  <c r="CH73" i="4" a="1"/>
  <c r="CC73" i="4" a="1"/>
  <c r="CI73" i="4" a="1"/>
  <c r="AK73" i="4" a="1"/>
  <c r="BN73" i="4" a="1"/>
  <c r="CM73" i="4" a="1"/>
  <c r="CL73" i="4" a="1"/>
  <c r="CB73" i="4" a="1"/>
  <c r="AE73" i="4" a="1"/>
  <c r="CS73" i="4"/>
  <c r="CK73" i="4" a="1"/>
  <c r="CJ73" i="4" a="1"/>
  <c r="CE73" i="4" a="1"/>
  <c r="AM73" i="4" a="1"/>
  <c r="CG73" i="4" a="1"/>
  <c r="CB79" i="4" a="1"/>
  <c r="CL79" i="4" a="1"/>
  <c r="CJ79" i="4" a="1"/>
  <c r="CM79" i="4" a="1"/>
  <c r="AC79" i="4" a="1"/>
  <c r="CE79" i="4" a="1"/>
  <c r="AK79" i="4" a="1"/>
  <c r="CF79" i="4" a="1"/>
  <c r="AE79" i="4" a="1"/>
  <c r="CP79" i="4"/>
  <c r="AM79" i="4" a="1"/>
  <c r="CS79" i="4"/>
  <c r="CC79" i="4" a="1"/>
  <c r="CI79" i="4" a="1"/>
  <c r="CH79" i="4" a="1"/>
  <c r="BN79" i="4" a="1"/>
  <c r="BP79" i="4" a="1"/>
  <c r="CG79" i="4" a="1"/>
  <c r="CK79" i="4" a="1"/>
  <c r="CD79" i="4" a="1"/>
  <c r="AK50" i="4" a="1"/>
  <c r="AE50" i="4" a="1"/>
  <c r="CK50" i="4" a="1"/>
  <c r="CD50" i="4" a="1"/>
  <c r="CI50" i="4" a="1"/>
  <c r="AM50" i="4" a="1"/>
  <c r="BN50" i="4" a="1"/>
  <c r="CE50" i="4" a="1"/>
  <c r="CF50" i="4" a="1"/>
  <c r="CG50" i="4" a="1"/>
  <c r="AC50" i="4" a="1"/>
  <c r="CL50" i="4" a="1"/>
  <c r="CM50" i="4" a="1"/>
  <c r="CP50" i="4"/>
  <c r="CH50" i="4" a="1"/>
  <c r="CC50" i="4" a="1"/>
  <c r="CB50" i="4" a="1"/>
  <c r="CJ50" i="4" a="1"/>
  <c r="CS50" i="4"/>
  <c r="BP50" i="4" a="1"/>
  <c r="AK69" i="4" a="1"/>
  <c r="AM69" i="4" a="1"/>
  <c r="CS69" i="4"/>
  <c r="CJ69" i="4" a="1"/>
  <c r="CL69" i="4" a="1"/>
  <c r="CB69" i="4" a="1"/>
  <c r="AE69" i="4" a="1"/>
  <c r="CE69" i="4" a="1"/>
  <c r="CF69" i="4" a="1"/>
  <c r="CI69" i="4" a="1"/>
  <c r="CK69" i="4" a="1"/>
  <c r="CC69" i="4" a="1"/>
  <c r="CG69" i="4" a="1"/>
  <c r="BN69" i="4" a="1"/>
  <c r="CP69" i="4"/>
  <c r="CM69" i="4" a="1"/>
  <c r="BP69" i="4" a="1"/>
  <c r="CD69" i="4" a="1"/>
  <c r="CH69" i="4" a="1"/>
  <c r="AC69" i="4" a="1"/>
  <c r="AC76" i="4" a="1"/>
  <c r="AE76" i="4" a="1"/>
  <c r="CE76" i="4" a="1"/>
  <c r="BN76" i="4" a="1"/>
  <c r="CI76" i="4" a="1"/>
  <c r="BP76" i="4" a="1"/>
  <c r="CD76" i="4" a="1"/>
  <c r="CM76" i="4" a="1"/>
  <c r="CL76" i="4" a="1"/>
  <c r="CK76" i="4" a="1"/>
  <c r="CG76" i="4" a="1"/>
  <c r="CC76" i="4" a="1"/>
  <c r="AK76" i="4" a="1"/>
  <c r="CJ76" i="4" a="1"/>
  <c r="CS76" i="4"/>
  <c r="CP76" i="4"/>
  <c r="CF76" i="4" a="1"/>
  <c r="CB76" i="4" a="1"/>
  <c r="AM76" i="4" a="1"/>
  <c r="CH76" i="4" a="1"/>
  <c r="CB86" i="4" a="1"/>
  <c r="CP86" i="4"/>
  <c r="CC86" i="4" a="1"/>
  <c r="CI86" i="4" a="1"/>
  <c r="AC86" i="4" a="1"/>
  <c r="CJ86" i="4" a="1"/>
  <c r="AK86" i="4" a="1"/>
  <c r="BP86" i="4" a="1"/>
  <c r="CS86" i="4"/>
  <c r="AM86" i="4" a="1"/>
  <c r="CK86" i="4" a="1"/>
  <c r="CM86" i="4" a="1"/>
  <c r="BN86" i="4" a="1"/>
  <c r="CE86" i="4" a="1"/>
  <c r="CL86" i="4" a="1"/>
  <c r="CF86" i="4" a="1"/>
  <c r="AE86" i="4" a="1"/>
  <c r="CG86" i="4" a="1"/>
  <c r="CH86" i="4" a="1"/>
  <c r="CD86" i="4" a="1"/>
  <c r="AK71" i="4" a="1"/>
  <c r="CK71" i="4" a="1"/>
  <c r="CS71" i="4"/>
  <c r="BN71" i="4" a="1"/>
  <c r="CM71" i="4" a="1"/>
  <c r="CE71" i="4" a="1"/>
  <c r="CJ71" i="4" a="1"/>
  <c r="BP71" i="4" a="1"/>
  <c r="AM71" i="4" a="1"/>
  <c r="CL71" i="4" a="1"/>
  <c r="CI71" i="4" a="1"/>
  <c r="CB71" i="4" a="1"/>
  <c r="CC71" i="4" a="1"/>
  <c r="CD71" i="4" a="1"/>
  <c r="CF71" i="4" a="1"/>
  <c r="AC71" i="4" a="1"/>
  <c r="CP71" i="4"/>
  <c r="CG71" i="4" a="1"/>
  <c r="CH71" i="4" a="1"/>
  <c r="AE71" i="4" a="1"/>
  <c r="CJ56" i="4" a="1"/>
  <c r="CK56" i="4" a="1"/>
  <c r="CH56" i="4" a="1"/>
  <c r="BN56" i="4" a="1"/>
  <c r="CP56" i="4"/>
  <c r="AE56" i="4" a="1"/>
  <c r="CI56" i="4" a="1"/>
  <c r="CM56" i="4" a="1"/>
  <c r="CC56" i="4" a="1"/>
  <c r="CB56" i="4" a="1"/>
  <c r="BP56" i="4" a="1"/>
  <c r="CL56" i="4" a="1"/>
  <c r="AC56" i="4" a="1"/>
  <c r="CF56" i="4" a="1"/>
  <c r="CG56" i="4" a="1"/>
  <c r="CS56" i="4"/>
  <c r="CE56" i="4" a="1"/>
  <c r="AK56" i="4" a="1"/>
  <c r="AM56" i="4" a="1"/>
  <c r="CD56" i="4" a="1"/>
  <c r="CC8" i="4" a="1"/>
  <c r="BN8" i="4" a="1"/>
  <c r="AK8" i="4" a="1"/>
  <c r="CH8" i="4" a="1"/>
  <c r="CS8" i="4"/>
  <c r="CI8" i="4" a="1"/>
  <c r="CL8" i="4" a="1"/>
  <c r="AE8" i="4" a="1"/>
  <c r="CE8" i="4" a="1"/>
  <c r="AM8" i="4" a="1"/>
  <c r="CD8" i="4" a="1"/>
  <c r="CG8" i="4" a="1"/>
  <c r="CB8" i="4" a="1"/>
  <c r="CP8" i="4"/>
  <c r="BP8" i="4" a="1"/>
  <c r="CF8" i="4" a="1"/>
  <c r="AC8" i="4" a="1"/>
  <c r="CJ8" i="4" a="1"/>
  <c r="CM8" i="4" a="1"/>
  <c r="CK8" i="4" a="1"/>
  <c r="CE45" i="4" a="1"/>
  <c r="AC45" i="4" a="1"/>
  <c r="CS45" i="4"/>
  <c r="CL45" i="4" a="1"/>
  <c r="CJ45" i="4" a="1"/>
  <c r="BN45" i="4" a="1"/>
  <c r="CP45" i="4"/>
  <c r="CK45" i="4" a="1"/>
  <c r="CD45" i="4" a="1"/>
  <c r="CC45" i="4" a="1"/>
  <c r="CG45" i="4" a="1"/>
  <c r="AE45" i="4" a="1"/>
  <c r="CF45" i="4" a="1"/>
  <c r="AM45" i="4" a="1"/>
  <c r="CI45" i="4" a="1"/>
  <c r="CM45" i="4" a="1"/>
  <c r="BP45" i="4" a="1"/>
  <c r="CH45" i="4" a="1"/>
  <c r="CB45" i="4" a="1"/>
  <c r="AK45" i="4" a="1"/>
  <c r="BN62" i="4" a="1"/>
  <c r="CM62" i="4" a="1"/>
  <c r="CP62" i="4"/>
  <c r="CL62" i="4" a="1"/>
  <c r="BP62" i="4" a="1"/>
  <c r="AK62" i="4" a="1"/>
  <c r="CI62" i="4" a="1"/>
  <c r="CE62" i="4" a="1"/>
  <c r="AE62" i="4" a="1"/>
  <c r="CB62" i="4" a="1"/>
  <c r="CK62" i="4" a="1"/>
  <c r="CS62" i="4"/>
  <c r="CG62" i="4" a="1"/>
  <c r="CC62" i="4" a="1"/>
  <c r="CH62" i="4" a="1"/>
  <c r="CJ62" i="4" a="1"/>
  <c r="AC62" i="4" a="1"/>
  <c r="AM62" i="4" a="1"/>
  <c r="CF62" i="4" a="1"/>
  <c r="CD62" i="4" a="1"/>
  <c r="CL57" i="4" a="1"/>
  <c r="AM57" i="4" a="1"/>
  <c r="BP57" i="4" a="1"/>
  <c r="AC57" i="4" a="1"/>
  <c r="CK57" i="4" a="1"/>
  <c r="AK57" i="4" a="1"/>
  <c r="CE57" i="4" a="1"/>
  <c r="CC57" i="4" a="1"/>
  <c r="CI57" i="4" a="1"/>
  <c r="CB57" i="4" a="1"/>
  <c r="BN57" i="4" a="1"/>
  <c r="AE57" i="4" a="1"/>
  <c r="CJ57" i="4" a="1"/>
  <c r="CF57" i="4" a="1"/>
  <c r="CG57" i="4" a="1"/>
  <c r="CH57" i="4" a="1"/>
  <c r="CP57" i="4"/>
  <c r="CS57" i="4"/>
  <c r="CD57" i="4" a="1"/>
  <c r="CM57" i="4" a="1"/>
  <c r="CF89" i="4" a="1"/>
  <c r="BN89" i="4" a="1"/>
  <c r="CK89" i="4" a="1"/>
  <c r="AM89" i="4" a="1"/>
  <c r="CB89" i="4" a="1"/>
  <c r="AC89" i="4" a="1"/>
  <c r="CJ89" i="4" a="1"/>
  <c r="CC89" i="4" a="1"/>
  <c r="CL89" i="4" a="1"/>
  <c r="AE89" i="4" a="1"/>
  <c r="CD89" i="4" a="1"/>
  <c r="AK89" i="4" a="1"/>
  <c r="CI89" i="4" a="1"/>
  <c r="CE89" i="4" a="1"/>
  <c r="CG89" i="4" a="1"/>
  <c r="CH89" i="4" a="1"/>
  <c r="BP89" i="4" a="1"/>
  <c r="CM89" i="4" a="1"/>
  <c r="CS89" i="4"/>
  <c r="CP89" i="4"/>
  <c r="CS84" i="4"/>
  <c r="CJ84" i="4" a="1"/>
  <c r="AE84" i="4" a="1"/>
  <c r="CG84" i="4" a="1"/>
  <c r="BN84" i="4" a="1"/>
  <c r="CE84" i="4" a="1"/>
  <c r="BP84" i="4" a="1"/>
  <c r="CL84" i="4" a="1"/>
  <c r="AK84" i="4" a="1"/>
  <c r="CH84" i="4" a="1"/>
  <c r="CD84" i="4" a="1"/>
  <c r="CC84" i="4" a="1"/>
  <c r="CM84" i="4" a="1"/>
  <c r="AM84" i="4" a="1"/>
  <c r="AC84" i="4" a="1"/>
  <c r="CI84" i="4" a="1"/>
  <c r="CP84" i="4"/>
  <c r="CB84" i="4" a="1"/>
  <c r="CK84" i="4" a="1"/>
  <c r="CF84" i="4" a="1"/>
  <c r="BP9" i="4" a="1"/>
  <c r="CK9" i="4" a="1"/>
  <c r="AK9" i="4" a="1"/>
  <c r="CH9" i="4" a="1"/>
  <c r="CG9" i="4" a="1"/>
  <c r="CF9" i="4" a="1"/>
  <c r="CC9" i="4" a="1"/>
  <c r="CD9" i="4" a="1"/>
  <c r="CE9" i="4" a="1"/>
  <c r="CP9" i="4"/>
  <c r="CM9" i="4" a="1"/>
  <c r="CS9" i="4"/>
  <c r="CI9" i="4" a="1"/>
  <c r="CB9" i="4" a="1"/>
  <c r="AM9" i="4" a="1"/>
  <c r="AE9" i="4" a="1"/>
  <c r="BN9" i="4" a="1"/>
  <c r="AC9" i="4" a="1"/>
  <c r="CL9" i="4" a="1"/>
  <c r="CJ9" i="4" a="1"/>
  <c r="CH19" i="4" a="1"/>
  <c r="CG19" i="4" a="1"/>
  <c r="CB19" i="4" a="1"/>
  <c r="CC19" i="4" a="1"/>
  <c r="CK19" i="4" a="1"/>
  <c r="BN19" i="4" a="1"/>
  <c r="AM19" i="4" a="1"/>
  <c r="AK19" i="4" a="1"/>
  <c r="CJ19" i="4" a="1"/>
  <c r="BP19" i="4" a="1"/>
  <c r="CI19" i="4" a="1"/>
  <c r="CS19" i="4"/>
  <c r="AC19" i="4" a="1"/>
  <c r="CL19" i="4" a="1"/>
  <c r="CD19" i="4" a="1"/>
  <c r="CF19" i="4" a="1"/>
  <c r="CP19" i="4"/>
  <c r="CE19" i="4" a="1"/>
  <c r="CM19" i="4" a="1"/>
  <c r="AE19" i="4" a="1"/>
  <c r="AK49" i="4" a="1"/>
  <c r="AC49" i="4" a="1"/>
  <c r="AE49" i="4" a="1"/>
  <c r="CD49" i="4" a="1"/>
  <c r="CL49" i="4" a="1"/>
  <c r="CH49" i="4" a="1"/>
  <c r="CJ49" i="4" a="1"/>
  <c r="CM49" i="4" a="1"/>
  <c r="BP49" i="4" a="1"/>
  <c r="CG49" i="4" a="1"/>
  <c r="CS49" i="4"/>
  <c r="CB49" i="4" a="1"/>
  <c r="CE49" i="4" a="1"/>
  <c r="AM49" i="4" a="1"/>
  <c r="BN49" i="4" a="1"/>
  <c r="CK49" i="4" a="1"/>
  <c r="CF49" i="4" a="1"/>
  <c r="CP49" i="4"/>
  <c r="CC49" i="4" a="1"/>
  <c r="CI49" i="4" a="1"/>
  <c r="CM54" i="4" a="1"/>
  <c r="AM54" i="4" a="1"/>
  <c r="CG54" i="4" a="1"/>
  <c r="CB54" i="4" a="1"/>
  <c r="CS54" i="4"/>
  <c r="CJ54" i="4" a="1"/>
  <c r="CK54" i="4" a="1"/>
  <c r="CL54" i="4" a="1"/>
  <c r="CD54" i="4" a="1"/>
  <c r="AC54" i="4" a="1"/>
  <c r="BN54" i="4" a="1"/>
  <c r="CF54" i="4" a="1"/>
  <c r="AE54" i="4" a="1"/>
  <c r="CH54" i="4" a="1"/>
  <c r="CC54" i="4" a="1"/>
  <c r="CP54" i="4"/>
  <c r="CI54" i="4" a="1"/>
  <c r="BP54" i="4" a="1"/>
  <c r="CE54" i="4" a="1"/>
  <c r="AK54" i="4" a="1"/>
  <c r="BP23" i="4" a="1"/>
  <c r="CG23" i="4" a="1"/>
  <c r="CM23" i="4" a="1"/>
  <c r="AM23" i="4" a="1"/>
  <c r="CK23" i="4" a="1"/>
  <c r="AC23" i="4" a="1"/>
  <c r="CI23" i="4" a="1"/>
  <c r="CJ23" i="4" a="1"/>
  <c r="CC23" i="4" a="1"/>
  <c r="CH23" i="4" a="1"/>
  <c r="CP23" i="4"/>
  <c r="BN23" i="4" a="1"/>
  <c r="CS23" i="4"/>
  <c r="AK23" i="4" a="1"/>
  <c r="CB23" i="4" a="1"/>
  <c r="CF23" i="4" a="1"/>
  <c r="CD23" i="4" a="1"/>
  <c r="CE23" i="4" a="1"/>
  <c r="CL23" i="4" a="1"/>
  <c r="AE23" i="4" a="1"/>
  <c r="AC66" i="4" a="1"/>
  <c r="CF66" i="4" a="1"/>
  <c r="AM66" i="4" a="1"/>
  <c r="CH66" i="4" a="1"/>
  <c r="CI66" i="4" a="1"/>
  <c r="BN66" i="4" a="1"/>
  <c r="CB66" i="4" a="1"/>
  <c r="CG66" i="4" a="1"/>
  <c r="CE66" i="4" a="1"/>
  <c r="AK66" i="4" a="1"/>
  <c r="BP66" i="4" a="1"/>
  <c r="CJ66" i="4" a="1"/>
  <c r="CS66" i="4"/>
  <c r="CC66" i="4" a="1"/>
  <c r="CM66" i="4" a="1"/>
  <c r="CL66" i="4" a="1"/>
  <c r="CK66" i="4" a="1"/>
  <c r="AE66" i="4" a="1"/>
  <c r="CD66" i="4" a="1"/>
  <c r="CP66" i="4"/>
  <c r="CL91" i="4" a="1"/>
  <c r="AM91" i="4" a="1"/>
  <c r="CB91" i="4" a="1"/>
  <c r="CC91" i="4" a="1"/>
  <c r="CD91" i="4" a="1"/>
  <c r="AE91" i="4" a="1"/>
  <c r="CS91" i="4"/>
  <c r="CE91" i="4" a="1"/>
  <c r="CG91" i="4" a="1"/>
  <c r="CJ91" i="4" a="1"/>
  <c r="CF91" i="4" a="1"/>
  <c r="CM91" i="4" a="1"/>
  <c r="CP91" i="4"/>
  <c r="CI91" i="4" a="1"/>
  <c r="AK91" i="4" a="1"/>
  <c r="AC91" i="4" a="1"/>
  <c r="CH91" i="4" a="1"/>
  <c r="CK91" i="4" a="1"/>
  <c r="BN91" i="4" a="1"/>
  <c r="BP91" i="4" a="1"/>
  <c r="AM43" i="4" a="1"/>
  <c r="BN43" i="4" a="1"/>
  <c r="CI43" i="4" a="1"/>
  <c r="CD43" i="4" a="1"/>
  <c r="CH43" i="4" a="1"/>
  <c r="BP43" i="4" a="1"/>
  <c r="CF43" i="4" a="1"/>
  <c r="AC43" i="4" a="1"/>
  <c r="CP43" i="4"/>
  <c r="CS43" i="4"/>
  <c r="CK43" i="4" a="1"/>
  <c r="CM43" i="4" a="1"/>
  <c r="AE43" i="4" a="1"/>
  <c r="CB43" i="4" a="1"/>
  <c r="CC43" i="4" a="1"/>
  <c r="CL43" i="4" a="1"/>
  <c r="CJ43" i="4" a="1"/>
  <c r="CE43" i="4" a="1"/>
  <c r="CG43" i="4" a="1"/>
  <c r="AK43" i="4" a="1"/>
  <c r="CC77" i="4" a="1"/>
  <c r="CS77" i="4"/>
  <c r="CD77" i="4" a="1"/>
  <c r="CE77" i="4" a="1"/>
  <c r="CM77" i="4" a="1"/>
  <c r="CP77" i="4"/>
  <c r="CI77" i="4" a="1"/>
  <c r="AE77" i="4" a="1"/>
  <c r="CH77" i="4" a="1"/>
  <c r="BN77" i="4" a="1"/>
  <c r="BP77" i="4" a="1"/>
  <c r="CG77" i="4" a="1"/>
  <c r="AC77" i="4" a="1"/>
  <c r="AM77" i="4" a="1"/>
  <c r="CK77" i="4" a="1"/>
  <c r="AK77" i="4" a="1"/>
  <c r="CJ77" i="4" a="1"/>
  <c r="CF77" i="4" a="1"/>
  <c r="CL77" i="4" a="1"/>
  <c r="CB77" i="4" a="1"/>
  <c r="CP35" i="4"/>
  <c r="CL35" i="4" a="1"/>
  <c r="CB35" i="4" a="1"/>
  <c r="CS35" i="4"/>
  <c r="AC35" i="4" a="1"/>
  <c r="BP35" i="4" a="1"/>
  <c r="CF35" i="4" a="1"/>
  <c r="CJ35" i="4" a="1"/>
  <c r="BN35" i="4" a="1"/>
  <c r="CK35" i="4" a="1"/>
  <c r="CI35" i="4" a="1"/>
  <c r="CD35" i="4" a="1"/>
  <c r="CH35" i="4" a="1"/>
  <c r="AE35" i="4" a="1"/>
  <c r="CC35" i="4" a="1"/>
  <c r="CM35" i="4" a="1"/>
  <c r="AK35" i="4" a="1"/>
  <c r="AM35" i="4" a="1"/>
  <c r="CG35" i="4" a="1"/>
  <c r="CE35" i="4" a="1"/>
  <c r="CK15" i="4" a="1"/>
  <c r="AM15" i="4" a="1"/>
  <c r="CC15" i="4" a="1"/>
  <c r="CG15" i="4" a="1"/>
  <c r="CF15" i="4" a="1"/>
  <c r="BN15" i="4" a="1"/>
  <c r="AC15" i="4" a="1"/>
  <c r="CJ15" i="4" a="1"/>
  <c r="CI15" i="4" a="1"/>
  <c r="AE15" i="4" a="1"/>
  <c r="CE15" i="4" a="1"/>
  <c r="CS15" i="4"/>
  <c r="CP15" i="4"/>
  <c r="CB15" i="4" a="1"/>
  <c r="AK15" i="4" a="1"/>
  <c r="CM15" i="4" a="1"/>
  <c r="CH15" i="4" a="1"/>
  <c r="BP15" i="4" a="1"/>
  <c r="CL15" i="4" a="1"/>
  <c r="CD15" i="4" a="1"/>
  <c r="AK27" i="4" a="1"/>
  <c r="AE27" i="4" a="1"/>
  <c r="CC27" i="4" a="1"/>
  <c r="CS27" i="4"/>
  <c r="CB27" i="4" a="1"/>
  <c r="CF27" i="4" a="1"/>
  <c r="AM27" i="4" a="1"/>
  <c r="CH27" i="4" a="1"/>
  <c r="CL27" i="4" a="1"/>
  <c r="CE27" i="4" a="1"/>
  <c r="CM27" i="4" a="1"/>
  <c r="CI27" i="4" a="1"/>
  <c r="AC27" i="4" a="1"/>
  <c r="CP27" i="4"/>
  <c r="CJ27" i="4" a="1"/>
  <c r="BP27" i="4" a="1"/>
  <c r="BN27" i="4" a="1"/>
  <c r="CD27" i="4" a="1"/>
  <c r="CG27" i="4" a="1"/>
  <c r="CK27" i="4" a="1"/>
  <c r="CM47" i="4" a="1"/>
  <c r="CH47" i="4" a="1"/>
  <c r="AM47" i="4" a="1"/>
  <c r="CL47" i="4" a="1"/>
  <c r="CD47" i="4" a="1"/>
  <c r="CP47" i="4"/>
  <c r="AC47" i="4" a="1"/>
  <c r="AK47" i="4" a="1"/>
  <c r="BN47" i="4" a="1"/>
  <c r="CK47" i="4" a="1"/>
  <c r="CE47" i="4" a="1"/>
  <c r="BP47" i="4" a="1"/>
  <c r="CC47" i="4" a="1"/>
  <c r="CB47" i="4" a="1"/>
  <c r="CS47" i="4"/>
  <c r="AE47" i="4" a="1"/>
  <c r="CG47" i="4" a="1"/>
  <c r="CF47" i="4" a="1"/>
  <c r="CI47" i="4" a="1"/>
  <c r="CJ47" i="4" a="1"/>
  <c r="BP42" i="4" a="1"/>
  <c r="CS42" i="4"/>
  <c r="AE42" i="4" a="1"/>
  <c r="CC42" i="4" a="1"/>
  <c r="CB42" i="4" a="1"/>
  <c r="CK42" i="4" a="1"/>
  <c r="CG42" i="4" a="1"/>
  <c r="CP42" i="4"/>
  <c r="CF42" i="4" a="1"/>
  <c r="AM42" i="4" a="1"/>
  <c r="BN42" i="4" a="1"/>
  <c r="CI42" i="4" a="1"/>
  <c r="CH42" i="4" a="1"/>
  <c r="CD42" i="4" a="1"/>
  <c r="AC42" i="4" a="1"/>
  <c r="CE42" i="4" a="1"/>
  <c r="AK42" i="4" a="1"/>
  <c r="CM42" i="4" a="1"/>
  <c r="CL42" i="4" a="1"/>
  <c r="CJ42" i="4" a="1"/>
  <c r="CM63" i="4" a="1"/>
  <c r="BP63" i="4" a="1"/>
  <c r="CL63" i="4" a="1"/>
  <c r="CH63" i="4" a="1"/>
  <c r="CK63" i="4" a="1"/>
  <c r="CC63" i="4" a="1"/>
  <c r="CE63" i="4" a="1"/>
  <c r="CI63" i="4" a="1"/>
  <c r="AC63" i="4" a="1"/>
  <c r="AM63" i="4" a="1"/>
  <c r="CD63" i="4" a="1"/>
  <c r="BN63" i="4" a="1"/>
  <c r="CF63" i="4" a="1"/>
  <c r="AK63" i="4" a="1"/>
  <c r="CB63" i="4" a="1"/>
  <c r="CJ63" i="4" a="1"/>
  <c r="CS63" i="4"/>
  <c r="AE63" i="4" a="1"/>
  <c r="CP63" i="4"/>
  <c r="CG63" i="4" a="1"/>
  <c r="CM41" i="4" a="1"/>
  <c r="CB41" i="4" a="1"/>
  <c r="CP41" i="4"/>
  <c r="CI41" i="4" a="1"/>
  <c r="BP41" i="4" a="1"/>
  <c r="CJ41" i="4" a="1"/>
  <c r="AE41" i="4" a="1"/>
  <c r="AK41" i="4" a="1"/>
  <c r="CE41" i="4" a="1"/>
  <c r="CD41" i="4" a="1"/>
  <c r="CH41" i="4" a="1"/>
  <c r="CF41" i="4" a="1"/>
  <c r="CS41" i="4"/>
  <c r="CC41" i="4" a="1"/>
  <c r="BN41" i="4" a="1"/>
  <c r="CG41" i="4" a="1"/>
  <c r="CL41" i="4" a="1"/>
  <c r="AC41" i="4" a="1"/>
  <c r="CK41" i="4" a="1"/>
  <c r="AM41" i="4" a="1"/>
  <c r="CS67" i="4"/>
  <c r="AM67" i="4" a="1"/>
  <c r="CP67" i="4"/>
  <c r="CD67" i="4" a="1"/>
  <c r="CB67" i="4" a="1"/>
  <c r="BP67" i="4" a="1"/>
  <c r="CH67" i="4" a="1"/>
  <c r="CC67" i="4" a="1"/>
  <c r="CG67" i="4" a="1"/>
  <c r="CK67" i="4" a="1"/>
  <c r="CI67" i="4" a="1"/>
  <c r="CF67" i="4" a="1"/>
  <c r="CL67" i="4" a="1"/>
  <c r="BN67" i="4" a="1"/>
  <c r="AC67" i="4" a="1"/>
  <c r="AK67" i="4" a="1"/>
  <c r="CJ67" i="4" a="1"/>
  <c r="CE67" i="4" a="1"/>
  <c r="AE67" i="4" a="1"/>
  <c r="CM67" i="4" a="1"/>
  <c r="AK93" i="4" a="1"/>
  <c r="BP93" i="4" a="1"/>
  <c r="AC93" i="4" a="1"/>
  <c r="CB93" i="4" a="1"/>
  <c r="CD93" i="4" a="1"/>
  <c r="AM93" i="4" a="1"/>
  <c r="CH93" i="4" a="1"/>
  <c r="CI93" i="4" a="1"/>
  <c r="CC93" i="4" a="1"/>
  <c r="CJ93" i="4" a="1"/>
  <c r="CK93" i="4" a="1"/>
  <c r="AE93" i="4" a="1"/>
  <c r="CF93" i="4" a="1"/>
  <c r="BN93" i="4" a="1"/>
  <c r="CL93" i="4" a="1"/>
  <c r="CG93" i="4" a="1"/>
  <c r="CE93" i="4" a="1"/>
  <c r="CP93" i="4"/>
  <c r="CM93" i="4" a="1"/>
  <c r="CS93" i="4"/>
  <c r="CG31" i="4" a="1"/>
  <c r="CD31" i="4" a="1"/>
  <c r="BP31" i="4" a="1"/>
  <c r="CJ31" i="4" a="1"/>
  <c r="CB31" i="4" a="1"/>
  <c r="AK31" i="4" a="1"/>
  <c r="AC31" i="4" a="1"/>
  <c r="CS31" i="4"/>
  <c r="CE31" i="4" a="1"/>
  <c r="CL31" i="4" a="1"/>
  <c r="BN31" i="4" a="1"/>
  <c r="CK31" i="4" a="1"/>
  <c r="AE31" i="4" a="1"/>
  <c r="CI31" i="4" a="1"/>
  <c r="AM31" i="4" a="1"/>
  <c r="CH31" i="4" a="1"/>
  <c r="CC31" i="4" a="1"/>
  <c r="CP31" i="4"/>
  <c r="CF31" i="4" a="1"/>
  <c r="CM31" i="4" a="1"/>
  <c r="CS3" i="4"/>
  <c r="CM3" i="4" a="1"/>
  <c r="CB3" i="4" a="1"/>
  <c r="CP3" i="4"/>
  <c r="CH3" i="4" a="1"/>
  <c r="CD3" i="4" a="1"/>
  <c r="CE3" i="4" a="1"/>
  <c r="CK3" i="4" a="1"/>
  <c r="CG3" i="4" a="1"/>
  <c r="AM3" i="4" a="1"/>
  <c r="CL3" i="4" a="1"/>
  <c r="BP3" i="4" a="1"/>
  <c r="CC3" i="4" a="1"/>
  <c r="AK3" i="4" a="1"/>
  <c r="CF3" i="4" a="1"/>
  <c r="AE3" i="4" a="1"/>
  <c r="CJ3" i="4" a="1"/>
  <c r="CI3" i="4" a="1"/>
  <c r="AC3" i="4" a="1"/>
  <c r="BN3" i="4" a="1"/>
  <c r="CI17" i="4" a="1"/>
  <c r="CB17" i="4" a="1"/>
  <c r="CP17" i="4"/>
  <c r="CM17" i="4" a="1"/>
  <c r="BN17" i="4" a="1"/>
  <c r="AM17" i="4" a="1"/>
  <c r="CF17" i="4" a="1"/>
  <c r="CK17" i="4" a="1"/>
  <c r="CL17" i="4" a="1"/>
  <c r="AK17" i="4" a="1"/>
  <c r="AC17" i="4" a="1"/>
  <c r="CE17" i="4" a="1"/>
  <c r="CD17" i="4" a="1"/>
  <c r="CJ17" i="4" a="1"/>
  <c r="CG17" i="4" a="1"/>
  <c r="AE17" i="4" a="1"/>
  <c r="CS17" i="4"/>
  <c r="CH17" i="4" a="1"/>
  <c r="BP17" i="4" a="1"/>
  <c r="CC17" i="4" a="1"/>
  <c r="CH29" i="4" a="1"/>
  <c r="CP29" i="4"/>
  <c r="CF29" i="4" a="1"/>
  <c r="CI29" i="4" a="1"/>
  <c r="CJ29" i="4" a="1"/>
  <c r="CE29" i="4" a="1"/>
  <c r="CC29" i="4" a="1"/>
  <c r="CS29" i="4"/>
  <c r="CK29" i="4" a="1"/>
  <c r="CL29" i="4" a="1"/>
  <c r="BP29" i="4" a="1"/>
  <c r="AK29" i="4" a="1"/>
  <c r="CM29" i="4" a="1"/>
  <c r="AM29" i="4" a="1"/>
  <c r="AE29" i="4" a="1"/>
  <c r="CB29" i="4" a="1"/>
  <c r="BN29" i="4" a="1"/>
  <c r="CD29" i="4" a="1"/>
  <c r="CG29" i="4" a="1"/>
  <c r="AC29" i="4" a="1"/>
  <c r="BP53" i="4" a="1"/>
  <c r="AK53" i="4" a="1"/>
  <c r="CJ53" i="4" a="1"/>
  <c r="CG53" i="4" a="1"/>
  <c r="BN53" i="4" a="1"/>
  <c r="CS53" i="4"/>
  <c r="AE53" i="4" a="1"/>
  <c r="CI53" i="4" a="1"/>
  <c r="AC53" i="4" a="1"/>
  <c r="AM53" i="4" a="1"/>
  <c r="CD53" i="4" a="1"/>
  <c r="CL53" i="4" a="1"/>
  <c r="CK53" i="4" a="1"/>
  <c r="CB53" i="4" a="1"/>
  <c r="CF53" i="4" a="1"/>
  <c r="CM53" i="4" a="1"/>
  <c r="CH53" i="4" a="1"/>
  <c r="CC53" i="4" a="1"/>
  <c r="CE53" i="4" a="1"/>
  <c r="CP53" i="4"/>
  <c r="BN10" i="4" a="1"/>
  <c r="AM10" i="4" a="1"/>
  <c r="CE10" i="4" a="1"/>
  <c r="AC10" i="4" a="1"/>
  <c r="CJ10" i="4" a="1"/>
  <c r="CM10" i="4" a="1"/>
  <c r="BP10" i="4" a="1"/>
  <c r="CC10" i="4" a="1"/>
  <c r="CL10" i="4" a="1"/>
  <c r="CK10" i="4" a="1"/>
  <c r="CI10" i="4" a="1"/>
  <c r="CB10" i="4" a="1"/>
  <c r="AK10" i="4" a="1"/>
  <c r="CG10" i="4" a="1"/>
  <c r="CS10" i="4"/>
  <c r="AE10" i="4" a="1"/>
  <c r="CH10" i="4" a="1"/>
  <c r="CF10" i="4" a="1"/>
  <c r="CD10" i="4" a="1"/>
  <c r="CP10" i="4"/>
  <c r="CJ22" i="4" a="1"/>
  <c r="CS22" i="4"/>
  <c r="CK22" i="4" a="1"/>
  <c r="AC22" i="4" a="1"/>
  <c r="AM22" i="4" a="1"/>
  <c r="CH22" i="4" a="1"/>
  <c r="CE22" i="4" a="1"/>
  <c r="CL22" i="4" a="1"/>
  <c r="AK22" i="4" a="1"/>
  <c r="CF22" i="4" a="1"/>
  <c r="CD22" i="4" a="1"/>
  <c r="BN22" i="4" a="1"/>
  <c r="CP22" i="4"/>
  <c r="CB22" i="4" a="1"/>
  <c r="CM22" i="4" a="1"/>
  <c r="CC22" i="4" a="1"/>
  <c r="CG22" i="4" a="1"/>
  <c r="CI22" i="4" a="1"/>
  <c r="BP22" i="4" a="1"/>
  <c r="AE22" i="4" a="1"/>
  <c r="CS46" i="4"/>
  <c r="CJ46" i="4" a="1"/>
  <c r="CK46" i="4" a="1"/>
  <c r="CF46" i="4" a="1"/>
  <c r="CH46" i="4" a="1"/>
  <c r="BN46" i="4" a="1"/>
  <c r="CI46" i="4" a="1"/>
  <c r="AM46" i="4" a="1"/>
  <c r="AK46" i="4" a="1"/>
  <c r="CC46" i="4" a="1"/>
  <c r="CG46" i="4" a="1"/>
  <c r="AC46" i="4" a="1"/>
  <c r="BP46" i="4" a="1"/>
  <c r="CE46" i="4" a="1"/>
  <c r="CM46" i="4" a="1"/>
  <c r="CP46" i="4"/>
  <c r="CB46" i="4" a="1"/>
  <c r="AE46" i="4" a="1"/>
  <c r="CD46" i="4" a="1"/>
  <c r="CL46" i="4" a="1"/>
  <c r="AC20" i="4" a="1"/>
  <c r="CL20" i="4" a="1"/>
  <c r="BP20" i="4" a="1"/>
  <c r="CG20" i="4" a="1"/>
  <c r="CB20" i="4" a="1"/>
  <c r="CK20" i="4" a="1"/>
  <c r="CM20" i="4" a="1"/>
  <c r="CS20" i="4"/>
  <c r="CJ20" i="4" a="1"/>
  <c r="AE20" i="4" a="1"/>
  <c r="CD20" i="4" a="1"/>
  <c r="CP20" i="4"/>
  <c r="CI20" i="4" a="1"/>
  <c r="CF20" i="4" a="1"/>
  <c r="AM20" i="4" a="1"/>
  <c r="CH20" i="4" a="1"/>
  <c r="AK20" i="4" a="1"/>
  <c r="CE20" i="4" a="1"/>
  <c r="BN20" i="4" a="1"/>
  <c r="CC20" i="4" a="1"/>
  <c r="AM74" i="4" a="1"/>
  <c r="CM74" i="4" a="1"/>
  <c r="CE74" i="4" a="1"/>
  <c r="CD74" i="4" a="1"/>
  <c r="CB74" i="4" a="1"/>
  <c r="CF74" i="4" a="1"/>
  <c r="BP74" i="4" a="1"/>
  <c r="CK74" i="4" a="1"/>
  <c r="BN74" i="4" a="1"/>
  <c r="CH74" i="4" a="1"/>
  <c r="CJ74" i="4" a="1"/>
  <c r="CI74" i="4" a="1"/>
  <c r="CP74" i="4"/>
  <c r="CS74" i="4"/>
  <c r="CL74" i="4" a="1"/>
  <c r="AE74" i="4" a="1"/>
  <c r="AK74" i="4" a="1"/>
  <c r="CG74" i="4" a="1"/>
  <c r="AC74" i="4" a="1"/>
  <c r="CC74" i="4" a="1"/>
  <c r="CC26" i="4" a="1"/>
  <c r="CM26" i="4" a="1"/>
  <c r="BN26" i="4" a="1"/>
  <c r="CF26" i="4" a="1"/>
  <c r="CD26" i="4" a="1"/>
  <c r="AE26" i="4" a="1"/>
  <c r="CL26" i="4" a="1"/>
  <c r="CJ26" i="4" a="1"/>
  <c r="CE26" i="4" a="1"/>
  <c r="CP26" i="4"/>
  <c r="AC26" i="4" a="1"/>
  <c r="AK26" i="4" a="1"/>
  <c r="BP26" i="4" a="1"/>
  <c r="AM26" i="4" a="1"/>
  <c r="CS26" i="4"/>
  <c r="CB26" i="4" a="1"/>
  <c r="CG26" i="4" a="1"/>
  <c r="CI26" i="4" a="1"/>
  <c r="CH26" i="4" a="1"/>
  <c r="CK26" i="4" a="1"/>
  <c r="BP38" i="4" a="1"/>
  <c r="CI38" i="4" a="1"/>
  <c r="AE38" i="4" a="1"/>
  <c r="CS38" i="4"/>
  <c r="CE38" i="4" a="1"/>
  <c r="CG38" i="4" a="1"/>
  <c r="CC38" i="4" a="1"/>
  <c r="CJ38" i="4" a="1"/>
  <c r="AM38" i="4" a="1"/>
  <c r="CL38" i="4" a="1"/>
  <c r="CB38" i="4" a="1"/>
  <c r="CD38" i="4" a="1"/>
  <c r="CH38" i="4" a="1"/>
  <c r="CF38" i="4" a="1"/>
  <c r="AC38" i="4" a="1"/>
  <c r="CK38" i="4" a="1"/>
  <c r="BN38" i="4" a="1"/>
  <c r="AK38" i="4" a="1"/>
  <c r="CM38" i="4" a="1"/>
  <c r="CP38" i="4"/>
  <c r="CD24" i="4" a="1"/>
  <c r="CJ24" i="4" a="1"/>
  <c r="AK24" i="4" a="1"/>
  <c r="CI24" i="4" a="1"/>
  <c r="CH24" i="4" a="1"/>
  <c r="CP24" i="4"/>
  <c r="CE24" i="4" a="1"/>
  <c r="AM24" i="4" a="1"/>
  <c r="CL24" i="4" a="1"/>
  <c r="CK24" i="4" a="1"/>
  <c r="CF24" i="4" a="1"/>
  <c r="CB24" i="4" a="1"/>
  <c r="CS24" i="4"/>
  <c r="AE24" i="4" a="1"/>
  <c r="CC24" i="4" a="1"/>
  <c r="BN24" i="4" a="1"/>
  <c r="AC24" i="4" a="1"/>
  <c r="CM24" i="4" a="1"/>
  <c r="CG24" i="4" a="1"/>
  <c r="BP24" i="4" a="1"/>
  <c r="CL36" i="4" a="1"/>
  <c r="CF36" i="4" a="1"/>
  <c r="CS36" i="4"/>
  <c r="CE36" i="4" a="1"/>
  <c r="AC36" i="4" a="1"/>
  <c r="CJ36" i="4" a="1"/>
  <c r="BP36" i="4" a="1"/>
  <c r="CD36" i="4" a="1"/>
  <c r="CH36" i="4" a="1"/>
  <c r="CI36" i="4" a="1"/>
  <c r="CG36" i="4" a="1"/>
  <c r="BN36" i="4" a="1"/>
  <c r="CK36" i="4" a="1"/>
  <c r="CP36" i="4"/>
  <c r="AE36" i="4" a="1"/>
  <c r="CB36" i="4" a="1"/>
  <c r="AM36" i="4" a="1"/>
  <c r="AK36" i="4" a="1"/>
  <c r="CC36" i="4" a="1"/>
  <c r="CM36" i="4" a="1"/>
  <c r="AM39" i="4" a="1"/>
  <c r="CI39" i="4" a="1"/>
  <c r="CC39" i="4" a="1"/>
  <c r="CL39" i="4" a="1"/>
  <c r="CB39" i="4" a="1"/>
  <c r="CH39" i="4" a="1"/>
  <c r="AE39" i="4" a="1"/>
  <c r="CG39" i="4" a="1"/>
  <c r="AC39" i="4" a="1"/>
  <c r="BN39" i="4" a="1"/>
  <c r="CK39" i="4" a="1"/>
  <c r="CF39" i="4" a="1"/>
  <c r="CP39" i="4"/>
  <c r="AK39" i="4" a="1"/>
  <c r="CE39" i="4" a="1"/>
  <c r="CD39" i="4" a="1"/>
  <c r="CM39" i="4" a="1"/>
  <c r="BP39" i="4" a="1"/>
  <c r="CS39" i="4"/>
  <c r="CJ39" i="4" a="1"/>
  <c r="CF16" i="4" a="1"/>
  <c r="CG16" i="4" a="1"/>
  <c r="AM16" i="4" a="1"/>
  <c r="CH16" i="4" a="1"/>
  <c r="CM16" i="4" a="1"/>
  <c r="CS16" i="4"/>
  <c r="CP16" i="4"/>
  <c r="AK16" i="4" a="1"/>
  <c r="CL16" i="4" a="1"/>
  <c r="CC16" i="4" a="1"/>
  <c r="BN16" i="4" a="1"/>
  <c r="CI16" i="4" a="1"/>
  <c r="CJ16" i="4" a="1"/>
  <c r="CD16" i="4" a="1"/>
  <c r="AC16" i="4" a="1"/>
  <c r="CK16" i="4" a="1"/>
  <c r="AE16" i="4" a="1"/>
  <c r="BP16" i="4" a="1"/>
  <c r="CE16" i="4" a="1"/>
  <c r="CB16" i="4" a="1"/>
  <c r="CL28" i="4" a="1"/>
  <c r="CJ28" i="4" a="1"/>
  <c r="AM28" i="4" a="1"/>
  <c r="CF28" i="4" a="1"/>
  <c r="CI28" i="4" a="1"/>
  <c r="CS28" i="4"/>
  <c r="CD28" i="4" a="1"/>
  <c r="CG28" i="4" a="1"/>
  <c r="CB28" i="4" a="1"/>
  <c r="CK28" i="4" a="1"/>
  <c r="BP28" i="4" a="1"/>
  <c r="CP28" i="4"/>
  <c r="CE28" i="4" a="1"/>
  <c r="CC28" i="4" a="1"/>
  <c r="AK28" i="4" a="1"/>
  <c r="AC28" i="4" a="1"/>
  <c r="AE28" i="4" a="1"/>
  <c r="CM28" i="4" a="1"/>
  <c r="CH28" i="4" a="1"/>
  <c r="BN28" i="4" a="1"/>
  <c r="CF44" i="4" a="1"/>
  <c r="CE44" i="4" a="1"/>
  <c r="CH44" i="4" a="1"/>
  <c r="CM44" i="4" a="1"/>
  <c r="CG44" i="4" a="1"/>
  <c r="AE44" i="4" a="1"/>
  <c r="CB44" i="4" a="1"/>
  <c r="BP44" i="4" a="1"/>
  <c r="CS44" i="4"/>
  <c r="CP44" i="4"/>
  <c r="CL44" i="4" a="1"/>
  <c r="CD44" i="4" a="1"/>
  <c r="CJ44" i="4" a="1"/>
  <c r="CK44" i="4" a="1"/>
  <c r="CC44" i="4" a="1"/>
  <c r="CI44" i="4" a="1"/>
  <c r="AK44" i="4" a="1"/>
  <c r="BN44" i="4" a="1"/>
  <c r="AM44" i="4" a="1"/>
  <c r="AC44" i="4" a="1"/>
  <c r="CI33" i="4" a="1"/>
  <c r="CM33" i="4" a="1"/>
  <c r="CS33" i="4"/>
  <c r="CE33" i="4" a="1"/>
  <c r="AE33" i="4" a="1"/>
  <c r="CB33" i="4" a="1"/>
  <c r="AK33" i="4" a="1"/>
  <c r="AC33" i="4" a="1"/>
  <c r="CG33" i="4" a="1"/>
  <c r="CJ33" i="4" a="1"/>
  <c r="BN33" i="4" a="1"/>
  <c r="CD33" i="4" a="1"/>
  <c r="BP33" i="4" a="1"/>
  <c r="CK33" i="4" a="1"/>
  <c r="CL33" i="4" a="1"/>
  <c r="CP33" i="4"/>
  <c r="CF33" i="4" a="1"/>
  <c r="AM33" i="4" a="1"/>
  <c r="CH33" i="4" a="1"/>
  <c r="CC33" i="4" a="1"/>
  <c r="CK14" i="4" a="1"/>
  <c r="AM14" i="4" a="1"/>
  <c r="CB14" i="4" a="1"/>
  <c r="AE14" i="4" a="1"/>
  <c r="CS14" i="4"/>
  <c r="CL14" i="4" a="1"/>
  <c r="CD14" i="4" a="1"/>
  <c r="CC14" i="4" a="1"/>
  <c r="CH14" i="4" a="1"/>
  <c r="CE14" i="4" a="1"/>
  <c r="BP14" i="4" a="1"/>
  <c r="CF14" i="4" a="1"/>
  <c r="CP14" i="4"/>
  <c r="CI14" i="4" a="1"/>
  <c r="CG14" i="4" a="1"/>
  <c r="AK14" i="4" a="1"/>
  <c r="AC14" i="4" a="1"/>
  <c r="CM14" i="4" a="1"/>
  <c r="BN14" i="4" a="1"/>
  <c r="CJ14" i="4" a="1"/>
  <c r="CK32" i="4" a="1"/>
  <c r="AC32" i="4" a="1"/>
  <c r="BP32" i="4" a="1"/>
  <c r="CG32" i="4" a="1"/>
  <c r="CS32" i="4"/>
  <c r="BN32" i="4" a="1"/>
  <c r="CL32" i="4" a="1"/>
  <c r="CI32" i="4" a="1"/>
  <c r="CC32" i="4" a="1"/>
  <c r="CB32" i="4" a="1"/>
  <c r="CH32" i="4" a="1"/>
  <c r="CD32" i="4" a="1"/>
  <c r="CM32" i="4" a="1"/>
  <c r="CP32" i="4"/>
  <c r="AK32" i="4" a="1"/>
  <c r="CJ32" i="4" a="1"/>
  <c r="CF32" i="4" a="1"/>
  <c r="AM32" i="4" a="1"/>
  <c r="AE32" i="4" a="1"/>
  <c r="CE32" i="4" a="1"/>
  <c r="CF34" i="4" a="1"/>
  <c r="CS34" i="4"/>
  <c r="CH34" i="4" a="1"/>
  <c r="AM34" i="4" a="1"/>
  <c r="CM34" i="4" a="1"/>
  <c r="CG34" i="4" a="1"/>
  <c r="CJ34" i="4" a="1"/>
  <c r="CD34" i="4" a="1"/>
  <c r="AC34" i="4" a="1"/>
  <c r="CB34" i="4" a="1"/>
  <c r="CK34" i="4" a="1"/>
  <c r="BP34" i="4" a="1"/>
  <c r="CC34" i="4" a="1"/>
  <c r="AK34" i="4" a="1"/>
  <c r="BN34" i="4" a="1"/>
  <c r="CL34" i="4" a="1"/>
  <c r="CP34" i="4"/>
  <c r="CE34" i="4" a="1"/>
  <c r="CI34" i="4" a="1"/>
  <c r="AE34" i="4" a="1"/>
  <c r="AE12" i="4" a="1"/>
  <c r="CS12" i="4"/>
  <c r="BP12" i="4" a="1"/>
  <c r="CD12" i="4" a="1"/>
  <c r="CC12" i="4" a="1"/>
  <c r="CJ12" i="4" a="1"/>
  <c r="CL12" i="4" a="1"/>
  <c r="CG12" i="4" a="1"/>
  <c r="AK12" i="4" a="1"/>
  <c r="AC12" i="4" a="1"/>
  <c r="CI12" i="4" a="1"/>
  <c r="CH12" i="4" a="1"/>
  <c r="CB12" i="4" a="1"/>
  <c r="CK12" i="4" a="1"/>
  <c r="CE12" i="4" a="1"/>
  <c r="AM12" i="4" a="1"/>
  <c r="BN12" i="4" a="1"/>
  <c r="CP12" i="4"/>
  <c r="CM12" i="4" a="1"/>
  <c r="CF12" i="4" a="1"/>
  <c r="AK5" i="4" a="1"/>
  <c r="BP5" i="4" a="1"/>
  <c r="AE5" i="4" a="1"/>
  <c r="CE5" i="4" a="1"/>
  <c r="CD5" i="4" a="1"/>
  <c r="CI5" i="4" a="1"/>
  <c r="CM5" i="4" a="1"/>
  <c r="CK5" i="4" a="1"/>
  <c r="CJ5" i="4" a="1"/>
  <c r="AC5" i="4" a="1"/>
  <c r="CP5" i="4"/>
  <c r="CC5" i="4" a="1"/>
  <c r="CG5" i="4" a="1"/>
  <c r="CL5" i="4" a="1"/>
  <c r="AM5" i="4" a="1"/>
  <c r="CS5" i="4"/>
  <c r="BN5" i="4" a="1"/>
  <c r="CF5" i="4" a="1"/>
  <c r="CB5" i="4" a="1"/>
  <c r="CH5" i="4" a="1"/>
  <c r="CB7" i="4" a="1"/>
  <c r="CF7" i="4" a="1"/>
  <c r="CS7" i="4"/>
  <c r="CH7" i="4" a="1"/>
  <c r="CI7" i="4" a="1"/>
  <c r="CL7" i="4" a="1"/>
  <c r="AM7" i="4" a="1"/>
  <c r="AK7" i="4" a="1"/>
  <c r="CD7" i="4" a="1"/>
  <c r="CJ7" i="4" a="1"/>
  <c r="CC7" i="4" a="1"/>
  <c r="CM7" i="4" a="1"/>
  <c r="BN7" i="4" a="1"/>
  <c r="AE7" i="4" a="1"/>
  <c r="CP7" i="4"/>
  <c r="CE7" i="4" a="1"/>
  <c r="CK7" i="4" a="1"/>
  <c r="BP7" i="4" a="1"/>
  <c r="CG7" i="4" a="1"/>
  <c r="AC7" i="4" a="1"/>
  <c r="CL85" i="4" a="1"/>
  <c r="BP85" i="4" a="1"/>
  <c r="CF85" i="4" a="1"/>
  <c r="BN85" i="4" a="1"/>
  <c r="CE85" i="4" a="1"/>
  <c r="CC85" i="4" a="1"/>
  <c r="CH85" i="4" a="1"/>
  <c r="AC85" i="4" a="1"/>
  <c r="AK85" i="4" a="1"/>
  <c r="AE85" i="4" a="1"/>
  <c r="CK85" i="4" a="1"/>
  <c r="CD85" i="4" a="1"/>
  <c r="CS85" i="4"/>
  <c r="AM85" i="4" a="1"/>
  <c r="CJ85" i="4" a="1"/>
  <c r="CM85" i="4" a="1"/>
  <c r="CP85" i="4"/>
  <c r="CB85" i="4" a="1"/>
  <c r="CG85" i="4" a="1"/>
  <c r="CI85" i="4" a="1"/>
  <c r="CJ87" i="4" a="1"/>
  <c r="CS87" i="4"/>
  <c r="CB87" i="4" a="1"/>
  <c r="CI87" i="4" a="1"/>
  <c r="CP87" i="4"/>
  <c r="BN87" i="4" a="1"/>
  <c r="CM87" i="4" a="1"/>
  <c r="CE87" i="4" a="1"/>
  <c r="CF87" i="4" a="1"/>
  <c r="AC87" i="4" a="1"/>
  <c r="AK87" i="4" a="1"/>
  <c r="CK87" i="4" a="1"/>
  <c r="AE87" i="4" a="1"/>
  <c r="CL87" i="4" a="1"/>
  <c r="CD87" i="4" a="1"/>
  <c r="AM87" i="4" a="1"/>
  <c r="CC87" i="4" a="1"/>
  <c r="CG87" i="4" a="1"/>
  <c r="BP87" i="4" a="1"/>
  <c r="CH87" i="4" a="1"/>
  <c r="CE59" i="4" a="1"/>
  <c r="BN59" i="4" a="1"/>
  <c r="AM59" i="4" a="1"/>
  <c r="CC59" i="4" a="1"/>
  <c r="CS59" i="4"/>
  <c r="BP59" i="4" a="1"/>
  <c r="CK59" i="4" a="1"/>
  <c r="AC59" i="4" a="1"/>
  <c r="CM59" i="4" a="1"/>
  <c r="AK59" i="4" a="1"/>
  <c r="CF59" i="4" a="1"/>
  <c r="CJ59" i="4" a="1"/>
  <c r="CP59" i="4"/>
  <c r="CB59" i="4" a="1"/>
  <c r="CH59" i="4" a="1"/>
  <c r="CG59" i="4" a="1"/>
  <c r="CL59" i="4" a="1"/>
  <c r="AE59" i="4" a="1"/>
  <c r="CD59" i="4" a="1"/>
  <c r="CI59" i="4" a="1"/>
  <c r="CJ80" i="4" a="1"/>
  <c r="BP80" i="4" a="1"/>
  <c r="CH80" i="4" a="1"/>
  <c r="BN80" i="4" a="1"/>
  <c r="CI80" i="4" a="1"/>
  <c r="CM80" i="4" a="1"/>
  <c r="AE80" i="4" a="1"/>
  <c r="CP80" i="4"/>
  <c r="CE80" i="4" a="1"/>
  <c r="CD80" i="4" a="1"/>
  <c r="AM80" i="4" a="1"/>
  <c r="CC80" i="4" a="1"/>
  <c r="CG80" i="4" a="1"/>
  <c r="CK80" i="4" a="1"/>
  <c r="CB80" i="4" a="1"/>
  <c r="CL80" i="4" a="1"/>
  <c r="CS80" i="4"/>
  <c r="AK80" i="4" a="1"/>
  <c r="AC80" i="4" a="1"/>
  <c r="CF80" i="4" a="1"/>
  <c r="CE82" i="4" a="1"/>
  <c r="CC82" i="4" a="1"/>
  <c r="CS82" i="4"/>
  <c r="CD82" i="4" a="1"/>
  <c r="AK82" i="4" a="1"/>
  <c r="CB82" i="4" a="1"/>
  <c r="CI82" i="4" a="1"/>
  <c r="AM82" i="4" a="1"/>
  <c r="AE82" i="4" a="1"/>
  <c r="CG82" i="4" a="1"/>
  <c r="BN82" i="4" a="1"/>
  <c r="BP82" i="4" a="1"/>
  <c r="AC82" i="4" a="1"/>
  <c r="CM82" i="4" a="1"/>
  <c r="CK82" i="4" a="1"/>
  <c r="CJ82" i="4" a="1"/>
  <c r="CH82" i="4" a="1"/>
  <c r="CP82" i="4"/>
  <c r="CF82" i="4" a="1"/>
  <c r="CL82" i="4" a="1"/>
  <c r="CI52" i="4" a="1"/>
  <c r="AE52" i="4" a="1"/>
  <c r="CP52" i="4"/>
  <c r="CL52" i="4" a="1"/>
  <c r="CS52" i="4"/>
  <c r="CG52" i="4" a="1"/>
  <c r="CC52" i="4" a="1"/>
  <c r="CF52" i="4" a="1"/>
  <c r="CM52" i="4" a="1"/>
  <c r="CE52" i="4" a="1"/>
  <c r="AK52" i="4" a="1"/>
  <c r="CB52" i="4" a="1"/>
  <c r="CD52" i="4" a="1"/>
  <c r="BP52" i="4" a="1"/>
  <c r="AC52" i="4" a="1"/>
  <c r="CJ52" i="4" a="1"/>
  <c r="BN52" i="4" a="1"/>
  <c r="AM52" i="4" a="1"/>
  <c r="CH52" i="4" a="1"/>
  <c r="CK52" i="4" a="1"/>
  <c r="AC48" i="4" a="1"/>
  <c r="AK48" i="4" a="1"/>
  <c r="BN48" i="4" a="1"/>
  <c r="CL48" i="4" a="1"/>
  <c r="CP48" i="4"/>
  <c r="CC48" i="4" a="1"/>
  <c r="CK48" i="4" a="1"/>
  <c r="AM48" i="4" a="1"/>
  <c r="CJ48" i="4" a="1"/>
  <c r="BP48" i="4" a="1"/>
  <c r="AE48" i="4" a="1"/>
  <c r="CH48" i="4" a="1"/>
  <c r="CE48" i="4" a="1"/>
  <c r="CG48" i="4" a="1"/>
  <c r="CD48" i="4" a="1"/>
  <c r="CS48" i="4"/>
  <c r="CF48" i="4" a="1"/>
  <c r="CM48" i="4" a="1"/>
  <c r="CB48" i="4" a="1"/>
  <c r="CI48" i="4" a="1"/>
  <c r="CB70" i="4" a="1"/>
  <c r="BP70" i="4" a="1"/>
  <c r="AK70" i="4" a="1"/>
  <c r="CD70" i="4" a="1"/>
  <c r="CC70" i="4" a="1"/>
  <c r="CE70" i="4" a="1"/>
  <c r="AE70" i="4" a="1"/>
  <c r="CP70" i="4"/>
  <c r="CS70" i="4"/>
  <c r="CI70" i="4" a="1"/>
  <c r="AM70" i="4" a="1"/>
  <c r="CF70" i="4" a="1"/>
  <c r="AC70" i="4" a="1"/>
  <c r="CK70" i="4" a="1"/>
  <c r="BN70" i="4" a="1"/>
  <c r="CJ70" i="4" a="1"/>
  <c r="CM70" i="4" a="1"/>
  <c r="CL70" i="4" a="1"/>
  <c r="CH70" i="4" a="1"/>
  <c r="CG70" i="4" a="1"/>
  <c r="CP81" i="4"/>
  <c r="AE81" i="4" a="1"/>
  <c r="CS81" i="4"/>
  <c r="CE81" i="4" a="1"/>
  <c r="AK81" i="4" a="1"/>
  <c r="CL81" i="4" a="1"/>
  <c r="CB81" i="4" a="1"/>
  <c r="CC81" i="4" a="1"/>
  <c r="AC81" i="4" a="1"/>
  <c r="BP81" i="4" a="1"/>
  <c r="CG81" i="4" a="1"/>
  <c r="CF81" i="4" a="1"/>
  <c r="BN81" i="4" a="1"/>
  <c r="CJ81" i="4" a="1"/>
  <c r="CI81" i="4" a="1"/>
  <c r="CD81" i="4" a="1"/>
  <c r="CH81" i="4" a="1"/>
  <c r="CK81" i="4" a="1"/>
  <c r="AM81" i="4" a="1"/>
  <c r="CM81" i="4" a="1"/>
  <c r="CK61" i="4" a="1"/>
  <c r="CE61" i="4" a="1"/>
  <c r="AC61" i="4" a="1"/>
  <c r="AK61" i="4" a="1"/>
  <c r="AE61" i="4" a="1"/>
  <c r="BN61" i="4" a="1"/>
  <c r="BP61" i="4" a="1"/>
  <c r="CL61" i="4" a="1"/>
  <c r="CJ61" i="4" a="1"/>
  <c r="CI61" i="4" a="1"/>
  <c r="CD61" i="4" a="1"/>
  <c r="CH61" i="4" a="1"/>
  <c r="CF61" i="4" a="1"/>
  <c r="CB61" i="4" a="1"/>
  <c r="CG61" i="4" a="1"/>
  <c r="CS61" i="4"/>
  <c r="CC61" i="4" a="1"/>
  <c r="CP61" i="4"/>
  <c r="AM61" i="4" a="1"/>
  <c r="CM61" i="4" a="1"/>
  <c r="CS18" i="4"/>
  <c r="CG18" i="4" a="1"/>
  <c r="AM18" i="4" a="1"/>
  <c r="BN18" i="4" a="1"/>
  <c r="CJ18" i="4" a="1"/>
  <c r="CB18" i="4" a="1"/>
  <c r="CF18" i="4" a="1"/>
  <c r="CP18" i="4"/>
  <c r="AE18" i="4" a="1"/>
  <c r="CH18" i="4" a="1"/>
  <c r="CL18" i="4" a="1"/>
  <c r="CM18" i="4" a="1"/>
  <c r="AC18" i="4" a="1"/>
  <c r="BP18" i="4" a="1"/>
  <c r="CE18" i="4" a="1"/>
  <c r="CC18" i="4" a="1"/>
  <c r="CD18" i="4" a="1"/>
  <c r="CK18" i="4" a="1"/>
  <c r="CI18" i="4" a="1"/>
  <c r="AK18" i="4" a="1"/>
  <c r="AM30" i="4" a="1"/>
  <c r="CK30" i="4" a="1"/>
  <c r="CE30" i="4" a="1"/>
  <c r="CM30" i="4" a="1"/>
  <c r="CG30" i="4" a="1"/>
  <c r="CP30" i="4"/>
  <c r="CC30" i="4" a="1"/>
  <c r="CB30" i="4" a="1"/>
  <c r="BP30" i="4" a="1"/>
  <c r="CS30" i="4"/>
  <c r="BN30" i="4" a="1"/>
  <c r="CD30" i="4" a="1"/>
  <c r="AK30" i="4" a="1"/>
  <c r="CF30" i="4" a="1"/>
  <c r="AC30" i="4" a="1"/>
  <c r="CL30" i="4" a="1"/>
  <c r="CH30" i="4" a="1"/>
  <c r="CI30" i="4" a="1"/>
  <c r="CJ30" i="4" a="1"/>
  <c r="AE30" i="4" a="1"/>
  <c r="CL83" i="4" a="1"/>
  <c r="CB83" i="4" a="1"/>
  <c r="CE83" i="4" a="1"/>
  <c r="AE83" i="4" a="1"/>
  <c r="CF83" i="4" a="1"/>
  <c r="AK83" i="4" a="1"/>
  <c r="CJ83" i="4" a="1"/>
  <c r="BN83" i="4" a="1"/>
  <c r="CS83" i="4"/>
  <c r="CD83" i="4" a="1"/>
  <c r="CG83" i="4" a="1"/>
  <c r="CP83" i="4"/>
  <c r="AM83" i="4" a="1"/>
  <c r="CH83" i="4" a="1"/>
  <c r="BP83" i="4" a="1"/>
  <c r="CI83" i="4" a="1"/>
  <c r="CC83" i="4" a="1"/>
  <c r="CM83" i="4" a="1"/>
  <c r="CK83" i="4" a="1"/>
  <c r="AC83" i="4" a="1"/>
  <c r="BN72" i="4" a="1"/>
  <c r="CK72" i="4" a="1"/>
  <c r="CB72" i="4" a="1"/>
  <c r="CD72" i="4" a="1"/>
  <c r="AC72" i="4" a="1"/>
  <c r="CI72" i="4" a="1"/>
  <c r="CC72" i="4" a="1"/>
  <c r="CL72" i="4" a="1"/>
  <c r="CP72" i="4"/>
  <c r="CS72" i="4"/>
  <c r="BP72" i="4" a="1"/>
  <c r="AM72" i="4" a="1"/>
  <c r="CH72" i="4" a="1"/>
  <c r="CM72" i="4" a="1"/>
  <c r="CE72" i="4" a="1"/>
  <c r="CG72" i="4" a="1"/>
  <c r="CF72" i="4" a="1"/>
  <c r="CJ72" i="4" a="1"/>
  <c r="AK72" i="4" a="1"/>
  <c r="AE72" i="4" a="1"/>
  <c r="CG78" i="4" a="1"/>
  <c r="CJ78" i="4" a="1"/>
  <c r="CD78" i="4" a="1"/>
  <c r="CP78" i="4"/>
  <c r="CI78" i="4" a="1"/>
  <c r="BN78" i="4" a="1"/>
  <c r="CL78" i="4" a="1"/>
  <c r="CK78" i="4" a="1"/>
  <c r="AC78" i="4" a="1"/>
  <c r="BP78" i="4" a="1"/>
  <c r="CF78" i="4" a="1"/>
  <c r="CB78" i="4" a="1"/>
  <c r="CM78" i="4" a="1"/>
  <c r="CH78" i="4" a="1"/>
  <c r="CC78" i="4" a="1"/>
  <c r="CS78" i="4"/>
  <c r="AE78" i="4" a="1"/>
  <c r="AM78" i="4" a="1"/>
  <c r="AK78" i="4" a="1"/>
  <c r="CE78" i="4" a="1"/>
  <c r="CB64" i="4" a="1"/>
  <c r="CP64" i="4"/>
  <c r="CH64" i="4" a="1"/>
  <c r="CK64" i="4" a="1"/>
  <c r="CD64" i="4" a="1"/>
  <c r="AK64" i="4" a="1"/>
  <c r="AM64" i="4" a="1"/>
  <c r="CJ64" i="4" a="1"/>
  <c r="AE64" i="4" a="1"/>
  <c r="CI64" i="4" a="1"/>
  <c r="BN64" i="4" a="1"/>
  <c r="BP64" i="4" a="1"/>
  <c r="AC64" i="4" a="1"/>
  <c r="CF64" i="4" a="1"/>
  <c r="CG64" i="4" a="1"/>
  <c r="CM64" i="4" a="1"/>
  <c r="CE64" i="4" a="1"/>
  <c r="CL64" i="4" a="1"/>
  <c r="CS64" i="4"/>
  <c r="CC64" i="4" a="1"/>
  <c r="AE75" i="4" a="1"/>
  <c r="CB75" i="4" a="1"/>
  <c r="CF75" i="4" a="1"/>
  <c r="CI75" i="4" a="1"/>
  <c r="CH75" i="4" a="1"/>
  <c r="BP75" i="4" a="1"/>
  <c r="CG75" i="4" a="1"/>
  <c r="AK75" i="4" a="1"/>
  <c r="CM75" i="4" a="1"/>
  <c r="CD75" i="4" a="1"/>
  <c r="CC75" i="4" a="1"/>
  <c r="CL75" i="4" a="1"/>
  <c r="AC75" i="4" a="1"/>
  <c r="AM75" i="4" a="1"/>
  <c r="CS75" i="4"/>
  <c r="CP75" i="4"/>
  <c r="CK75" i="4" a="1"/>
  <c r="CJ75" i="4" a="1"/>
  <c r="BN75" i="4" a="1"/>
  <c r="CE75" i="4" a="1"/>
  <c r="CS51" i="4"/>
  <c r="CI51" i="4" a="1"/>
  <c r="AE51" i="4" a="1"/>
  <c r="CD51" i="4" a="1"/>
  <c r="CM51" i="4" a="1"/>
  <c r="BP51" i="4" a="1"/>
  <c r="CH51" i="4" a="1"/>
  <c r="CJ51" i="4" a="1"/>
  <c r="CP51" i="4"/>
  <c r="BN51" i="4" a="1"/>
  <c r="CL51" i="4" a="1"/>
  <c r="CG51" i="4" a="1"/>
  <c r="CC51" i="4" a="1"/>
  <c r="AM51" i="4" a="1"/>
  <c r="CK51" i="4" a="1"/>
  <c r="CB51" i="4" a="1"/>
  <c r="AC51" i="4" a="1"/>
  <c r="AK51" i="4" a="1"/>
  <c r="CE51" i="4" a="1"/>
  <c r="CF51" i="4" a="1"/>
  <c r="CR25" i="4" a="1"/>
  <c r="CQ25" i="4" a="1"/>
  <c r="CO25" i="4" a="1"/>
  <c r="CN25" i="4" a="1"/>
  <c r="CQ65" i="4" a="1"/>
  <c r="CR65" i="4" a="1"/>
  <c r="CO65" i="4" a="1"/>
  <c r="CN65" i="4" a="1"/>
  <c r="CN68" i="4" a="1"/>
  <c r="CO68" i="4" a="1"/>
  <c r="CQ68" i="4" a="1"/>
  <c r="CR68" i="4" a="1"/>
  <c r="CN88" i="4" a="1"/>
  <c r="CO88" i="4" a="1"/>
  <c r="CQ88" i="4" a="1"/>
  <c r="CR88" i="4" a="1"/>
  <c r="CR40" i="4" a="1"/>
  <c r="CQ40" i="4" a="1"/>
  <c r="CO40" i="4" a="1"/>
  <c r="CN40" i="4" a="1"/>
  <c r="CQ90" i="4" a="1"/>
  <c r="CR90" i="4" a="1"/>
  <c r="CN90" i="4" a="1"/>
  <c r="CO90" i="4" a="1"/>
  <c r="CQ11" i="4" a="1"/>
  <c r="CR11" i="4" a="1"/>
  <c r="CO11" i="4" a="1"/>
  <c r="CN11" i="4" a="1"/>
  <c r="CN13" i="4" a="1"/>
  <c r="CO13" i="4" a="1"/>
  <c r="CR13" i="4" a="1"/>
  <c r="CQ13" i="4" a="1"/>
  <c r="CN37" i="4" a="1"/>
  <c r="CO37" i="4" a="1"/>
  <c r="CQ37" i="4" a="1"/>
  <c r="CR37" i="4" a="1"/>
  <c r="CN92" i="4" a="1"/>
  <c r="CO92" i="4" a="1"/>
  <c r="CQ92" i="4" a="1"/>
  <c r="CR92" i="4" a="1"/>
  <c r="CQ6" i="4" a="1"/>
  <c r="CR6" i="4" a="1"/>
  <c r="CO6" i="4" a="1"/>
  <c r="CN6" i="4" a="1"/>
  <c r="CO73" i="4" a="1"/>
  <c r="CN73" i="4" a="1"/>
  <c r="CQ73" i="4" a="1"/>
  <c r="CR73" i="4" a="1"/>
  <c r="CN79" i="4" a="1"/>
  <c r="CO79" i="4" a="1"/>
  <c r="CR79" i="4" a="1"/>
  <c r="CQ79" i="4" a="1"/>
  <c r="CO50" i="4" a="1"/>
  <c r="CN50" i="4" a="1"/>
  <c r="CQ50" i="4" a="1"/>
  <c r="CR50" i="4" a="1"/>
  <c r="CR69" i="4" a="1"/>
  <c r="CQ69" i="4" a="1"/>
  <c r="CN69" i="4" a="1"/>
  <c r="CO69" i="4" a="1"/>
  <c r="CQ76" i="4" a="1"/>
  <c r="CR76" i="4" a="1"/>
  <c r="CO76" i="4" a="1"/>
  <c r="CN76" i="4" a="1"/>
  <c r="CN86" i="4" a="1"/>
  <c r="CO86" i="4" a="1"/>
  <c r="CR86" i="4" a="1"/>
  <c r="CQ86" i="4" a="1"/>
  <c r="CQ71" i="4" a="1"/>
  <c r="CR71" i="4" a="1"/>
  <c r="CO71" i="4" a="1"/>
  <c r="CN71" i="4" a="1"/>
  <c r="CN56" i="4" a="1"/>
  <c r="CO56" i="4" a="1"/>
  <c r="CR56" i="4" a="1"/>
  <c r="CQ56" i="4" a="1"/>
  <c r="CR8" i="4" a="1"/>
  <c r="CQ8" i="4" a="1"/>
  <c r="CO8" i="4" a="1"/>
  <c r="CN8" i="4" a="1"/>
  <c r="CQ45" i="4" a="1"/>
  <c r="CR45" i="4" a="1"/>
  <c r="CO45" i="4" a="1"/>
  <c r="CN45" i="4" a="1"/>
  <c r="CN62" i="4" a="1"/>
  <c r="CO62" i="4" a="1"/>
  <c r="CR62" i="4" a="1"/>
  <c r="CQ62" i="4" a="1"/>
  <c r="CN57" i="4" a="1"/>
  <c r="CO57" i="4" a="1"/>
  <c r="CQ57" i="4" a="1"/>
  <c r="CR57" i="4" a="1"/>
  <c r="CQ89" i="4" a="1"/>
  <c r="CR89" i="4" a="1"/>
  <c r="CN89" i="4" a="1"/>
  <c r="CO89" i="4" a="1"/>
  <c r="CR84" i="4" a="1"/>
  <c r="CQ84" i="4" a="1"/>
  <c r="CN84" i="4" a="1"/>
  <c r="CO84" i="4" a="1"/>
  <c r="CN9" i="4" a="1"/>
  <c r="CO9" i="4" a="1"/>
  <c r="CR9" i="4" a="1"/>
  <c r="CQ9" i="4" a="1"/>
  <c r="CQ19" i="4" a="1"/>
  <c r="CR19" i="4" a="1"/>
  <c r="CO19" i="4" a="1"/>
  <c r="CN19" i="4" a="1"/>
  <c r="CR49" i="4" a="1"/>
  <c r="CQ49" i="4" a="1"/>
  <c r="CN49" i="4" a="1"/>
  <c r="CO49" i="4" a="1"/>
  <c r="CQ54" i="4" a="1"/>
  <c r="CR54" i="4" a="1"/>
  <c r="CN54" i="4" a="1"/>
  <c r="CO54" i="4" a="1"/>
  <c r="CO23" i="4" a="1"/>
  <c r="CN23" i="4" a="1"/>
  <c r="CQ23" i="4" a="1"/>
  <c r="CR23" i="4" a="1"/>
  <c r="CR66" i="4" a="1"/>
  <c r="CQ66" i="4" a="1"/>
  <c r="CN66" i="4" a="1"/>
  <c r="CO66" i="4" a="1"/>
  <c r="CR91" i="4" a="1"/>
  <c r="CQ91" i="4" a="1"/>
  <c r="CO91" i="4" a="1"/>
  <c r="CN91" i="4" a="1"/>
  <c r="CO43" i="4" a="1"/>
  <c r="CN43" i="4" a="1"/>
  <c r="CR43" i="4" a="1"/>
  <c r="CQ43" i="4" a="1"/>
  <c r="CR77" i="4" a="1"/>
  <c r="CQ77" i="4" a="1"/>
  <c r="CO77" i="4" a="1"/>
  <c r="CN77" i="4" a="1"/>
  <c r="CN35" i="4" a="1"/>
  <c r="CO35" i="4" a="1"/>
  <c r="CQ35" i="4" a="1"/>
  <c r="CR35" i="4" a="1"/>
  <c r="CR15" i="4" a="1"/>
  <c r="CQ15" i="4" a="1"/>
  <c r="CO15" i="4" a="1"/>
  <c r="CN15" i="4" a="1"/>
  <c r="CR27" i="4" a="1"/>
  <c r="CQ27" i="4" a="1"/>
  <c r="CO27" i="4" a="1"/>
  <c r="CN27" i="4" a="1"/>
  <c r="CO47" i="4" a="1"/>
  <c r="CN47" i="4" a="1"/>
  <c r="CR47" i="4" a="1"/>
  <c r="CQ47" i="4" a="1"/>
  <c r="CQ42" i="4" a="1"/>
  <c r="CR42" i="4" a="1"/>
  <c r="CN42" i="4" a="1"/>
  <c r="CO42" i="4" a="1"/>
  <c r="CQ63" i="4" a="1"/>
  <c r="CR63" i="4" a="1"/>
  <c r="CN63" i="4" a="1"/>
  <c r="CO63" i="4" a="1"/>
  <c r="CN41" i="4" a="1"/>
  <c r="CO41" i="4" a="1"/>
  <c r="CQ41" i="4" a="1"/>
  <c r="CR41" i="4" a="1"/>
  <c r="CR67" i="4" a="1"/>
  <c r="CQ67" i="4" a="1"/>
  <c r="CO67" i="4" a="1"/>
  <c r="CN67" i="4" a="1"/>
  <c r="CO93" i="4" a="1"/>
  <c r="CN93" i="4" a="1"/>
  <c r="CR93" i="4" a="1"/>
  <c r="CQ93" i="4" a="1"/>
  <c r="CQ31" i="4" a="1"/>
  <c r="CR31" i="4" a="1"/>
  <c r="CO31" i="4" a="1"/>
  <c r="CN31" i="4" a="1"/>
  <c r="CR3" i="4" a="1"/>
  <c r="CQ3" i="4" a="1"/>
  <c r="CN3" i="4" a="1"/>
  <c r="CO3" i="4" a="1"/>
  <c r="CN17" i="4" a="1"/>
  <c r="CO17" i="4" a="1"/>
  <c r="CR17" i="4" a="1"/>
  <c r="CQ17" i="4" a="1"/>
  <c r="CN29" i="4" a="1"/>
  <c r="CO29" i="4" a="1"/>
  <c r="CR29" i="4" a="1"/>
  <c r="CQ29" i="4" a="1"/>
  <c r="CQ53" i="4" a="1"/>
  <c r="CR53" i="4" a="1"/>
  <c r="CO53" i="4" a="1"/>
  <c r="CN53" i="4" a="1"/>
  <c r="CR10" i="4" a="1"/>
  <c r="CQ10" i="4" a="1"/>
  <c r="CO10" i="4" a="1"/>
  <c r="CN10" i="4" a="1"/>
  <c r="CR22" i="4" a="1"/>
  <c r="CQ22" i="4" a="1"/>
  <c r="CO22" i="4" a="1"/>
  <c r="CN22" i="4" a="1"/>
  <c r="CQ46" i="4" a="1"/>
  <c r="CR46" i="4" a="1"/>
  <c r="CN46" i="4" a="1"/>
  <c r="CO46" i="4" a="1"/>
  <c r="CQ20" i="4" a="1"/>
  <c r="CR20" i="4" a="1"/>
  <c r="CO20" i="4" a="1"/>
  <c r="CN20" i="4" a="1"/>
  <c r="CN74" i="4" a="1"/>
  <c r="CO74" i="4" a="1"/>
  <c r="CQ74" i="4" a="1"/>
  <c r="CR74" i="4" a="1"/>
  <c r="CO26" i="4" a="1"/>
  <c r="CN26" i="4" a="1"/>
  <c r="CQ26" i="4" a="1"/>
  <c r="CR26" i="4" a="1"/>
  <c r="CR38" i="4" a="1"/>
  <c r="CQ38" i="4" a="1"/>
  <c r="CN38" i="4" a="1"/>
  <c r="CO38" i="4" a="1"/>
  <c r="CN24" i="4" a="1"/>
  <c r="CO24" i="4" a="1"/>
  <c r="CQ24" i="4" a="1"/>
  <c r="CR24" i="4" a="1"/>
  <c r="CR36" i="4" a="1"/>
  <c r="CQ36" i="4" a="1"/>
  <c r="CN36" i="4" a="1"/>
  <c r="CO36" i="4" a="1"/>
  <c r="CO39" i="4" a="1"/>
  <c r="CN39" i="4" a="1"/>
  <c r="CQ39" i="4" a="1"/>
  <c r="CR39" i="4" a="1"/>
  <c r="CQ16" i="4" a="1"/>
  <c r="CR16" i="4" a="1"/>
  <c r="CO16" i="4" a="1"/>
  <c r="CN16" i="4" a="1"/>
  <c r="CQ28" i="4" a="1"/>
  <c r="CR28" i="4" a="1"/>
  <c r="CN28" i="4" a="1"/>
  <c r="CO28" i="4" a="1"/>
  <c r="CQ44" i="4" a="1"/>
  <c r="CR44" i="4" a="1"/>
  <c r="CN44" i="4" a="1"/>
  <c r="CO44" i="4" a="1"/>
  <c r="CR33" i="4" a="1"/>
  <c r="CQ33" i="4" a="1"/>
  <c r="CN33" i="4" a="1"/>
  <c r="CO33" i="4" a="1"/>
  <c r="CQ14" i="4" a="1"/>
  <c r="CR14" i="4" a="1"/>
  <c r="CO14" i="4" a="1"/>
  <c r="CN14" i="4" a="1"/>
  <c r="CR32" i="4" a="1"/>
  <c r="CQ32" i="4" a="1"/>
  <c r="CN32" i="4" a="1"/>
  <c r="CO32" i="4" a="1"/>
  <c r="CR34" i="4" a="1"/>
  <c r="CQ34" i="4" a="1"/>
  <c r="CO34" i="4" a="1"/>
  <c r="CN34" i="4" a="1"/>
  <c r="CQ12" i="4" a="1"/>
  <c r="CR12" i="4" a="1"/>
  <c r="CO12" i="4" a="1"/>
  <c r="CN12" i="4" a="1"/>
  <c r="CN5" i="4" a="1"/>
  <c r="CO5" i="4" a="1"/>
  <c r="CR5" i="4" a="1"/>
  <c r="CQ5" i="4" a="1"/>
  <c r="CQ7" i="4" a="1"/>
  <c r="CR7" i="4" a="1"/>
  <c r="CO7" i="4" a="1"/>
  <c r="CN7" i="4" a="1"/>
  <c r="CR85" i="4" a="1"/>
  <c r="CQ85" i="4" a="1"/>
  <c r="CN85" i="4" a="1"/>
  <c r="CO85" i="4" a="1"/>
  <c r="CR87" i="4" a="1"/>
  <c r="CQ87" i="4" a="1"/>
  <c r="CN87" i="4" a="1"/>
  <c r="CO87" i="4" a="1"/>
  <c r="CQ59" i="4" a="1"/>
  <c r="CR59" i="4" a="1"/>
  <c r="CN59" i="4" a="1"/>
  <c r="CO59" i="4" a="1"/>
  <c r="CN80" i="4" a="1"/>
  <c r="CO80" i="4" a="1"/>
  <c r="CR80" i="4" a="1"/>
  <c r="CQ80" i="4" a="1"/>
  <c r="CQ82" i="4" a="1"/>
  <c r="CR82" i="4" a="1"/>
  <c r="CO82" i="4" a="1"/>
  <c r="CN82" i="4" a="1"/>
  <c r="CN52" i="4" a="1"/>
  <c r="CO52" i="4" a="1"/>
  <c r="CR52" i="4" a="1"/>
  <c r="CQ52" i="4" a="1"/>
  <c r="CO48" i="4" a="1"/>
  <c r="CN48" i="4" a="1"/>
  <c r="CR48" i="4" a="1"/>
  <c r="CQ48" i="4" a="1"/>
  <c r="CO70" i="4" a="1"/>
  <c r="CN70" i="4" a="1"/>
  <c r="CR70" i="4" a="1"/>
  <c r="CQ70" i="4" a="1"/>
  <c r="CN81" i="4" a="1"/>
  <c r="CO81" i="4" a="1"/>
  <c r="CQ81" i="4" a="1"/>
  <c r="CR81" i="4" a="1"/>
  <c r="CQ61" i="4" a="1"/>
  <c r="CR61" i="4" a="1"/>
  <c r="CO61" i="4" a="1"/>
  <c r="CN61" i="4" a="1"/>
  <c r="CR18" i="4" a="1"/>
  <c r="CQ18" i="4" a="1"/>
  <c r="CO18" i="4" a="1"/>
  <c r="CN18" i="4" a="1"/>
  <c r="CN30" i="4" a="1"/>
  <c r="CO30" i="4" a="1"/>
  <c r="CQ30" i="4" a="1"/>
  <c r="CR30" i="4" a="1"/>
  <c r="CQ83" i="4" a="1"/>
  <c r="CR83" i="4" a="1"/>
  <c r="CN83" i="4" a="1"/>
  <c r="CO83" i="4" a="1"/>
  <c r="CO72" i="4" a="1"/>
  <c r="CN72" i="4" a="1"/>
  <c r="CR72" i="4" a="1"/>
  <c r="CQ72" i="4" a="1"/>
  <c r="CN78" i="4" a="1"/>
  <c r="CO78" i="4" a="1"/>
  <c r="CQ78" i="4" a="1"/>
  <c r="CR78" i="4" a="1"/>
  <c r="CN64" i="4" a="1"/>
  <c r="CO64" i="4" a="1"/>
  <c r="CQ64" i="4" a="1"/>
  <c r="CR64" i="4" a="1"/>
  <c r="CR75" i="4" a="1"/>
  <c r="CQ75" i="4" a="1"/>
  <c r="CO75" i="4" a="1"/>
  <c r="CN75" i="4" a="1"/>
  <c r="CQ51" i="4" a="1"/>
  <c r="CR51" i="4" a="1"/>
  <c r="CO51" i="4" a="1"/>
  <c r="CN51" i="4" a="1"/>
  <c r="CN51" i="4" l="1"/>
  <c r="CO51" i="4"/>
  <c r="CR51" i="4"/>
  <c r="CQ51" i="4"/>
  <c r="CN75" i="4"/>
  <c r="CO75" i="4"/>
  <c r="CQ75" i="4"/>
  <c r="CR75" i="4"/>
  <c r="CR64" i="4"/>
  <c r="CQ64" i="4"/>
  <c r="CO64" i="4"/>
  <c r="CN64" i="4"/>
  <c r="CR78" i="4"/>
  <c r="CQ78" i="4"/>
  <c r="CO78" i="4"/>
  <c r="CN78" i="4"/>
  <c r="CQ72" i="4"/>
  <c r="CR72" i="4"/>
  <c r="CN72" i="4"/>
  <c r="CO72" i="4"/>
  <c r="CO83" i="4"/>
  <c r="CN83" i="4"/>
  <c r="CR83" i="4"/>
  <c r="CQ83" i="4"/>
  <c r="CR30" i="4"/>
  <c r="CQ30" i="4"/>
  <c r="CO30" i="4"/>
  <c r="CN30" i="4"/>
  <c r="CN18" i="4"/>
  <c r="CO18" i="4"/>
  <c r="CQ18" i="4"/>
  <c r="CR18" i="4"/>
  <c r="CN61" i="4"/>
  <c r="CO61" i="4"/>
  <c r="CR61" i="4"/>
  <c r="CQ61" i="4"/>
  <c r="CR81" i="4"/>
  <c r="CQ81" i="4"/>
  <c r="CO81" i="4"/>
  <c r="CN81" i="4"/>
  <c r="CQ70" i="4"/>
  <c r="CR70" i="4"/>
  <c r="CN70" i="4"/>
  <c r="CO70" i="4"/>
  <c r="CQ48" i="4"/>
  <c r="CR48" i="4"/>
  <c r="CN48" i="4"/>
  <c r="CO48" i="4"/>
  <c r="CQ52" i="4"/>
  <c r="CR52" i="4"/>
  <c r="CO52" i="4"/>
  <c r="CN52" i="4"/>
  <c r="CN82" i="4"/>
  <c r="CO82" i="4"/>
  <c r="CR82" i="4"/>
  <c r="CQ82" i="4"/>
  <c r="CQ80" i="4"/>
  <c r="CR80" i="4"/>
  <c r="CO80" i="4"/>
  <c r="CN80" i="4"/>
  <c r="CO59" i="4"/>
  <c r="CN59" i="4"/>
  <c r="CR59" i="4"/>
  <c r="CQ59" i="4"/>
  <c r="CO87" i="4"/>
  <c r="CN87" i="4"/>
  <c r="CQ87" i="4"/>
  <c r="CR87" i="4"/>
  <c r="CO85" i="4"/>
  <c r="CN85" i="4"/>
  <c r="CQ85" i="4"/>
  <c r="CR85" i="4"/>
  <c r="CN7" i="4"/>
  <c r="CO7" i="4"/>
  <c r="CR7" i="4"/>
  <c r="CQ7" i="4"/>
  <c r="CQ5" i="4"/>
  <c r="CR5" i="4"/>
  <c r="CO5" i="4"/>
  <c r="CN5" i="4"/>
  <c r="CN12" i="4"/>
  <c r="CO12" i="4"/>
  <c r="CR12" i="4"/>
  <c r="CQ12" i="4"/>
  <c r="CN34" i="4"/>
  <c r="CO34" i="4"/>
  <c r="CQ34" i="4"/>
  <c r="CR34" i="4"/>
  <c r="CO32" i="4"/>
  <c r="CN32" i="4"/>
  <c r="CQ32" i="4"/>
  <c r="CR32" i="4"/>
  <c r="CN14" i="4"/>
  <c r="CO14" i="4"/>
  <c r="CR14" i="4"/>
  <c r="CQ14" i="4"/>
  <c r="CO33" i="4"/>
  <c r="CN33" i="4"/>
  <c r="CQ33" i="4"/>
  <c r="CR33" i="4"/>
  <c r="CO44" i="4"/>
  <c r="CN44" i="4"/>
  <c r="CR44" i="4"/>
  <c r="CQ44" i="4"/>
  <c r="CO28" i="4"/>
  <c r="CN28" i="4"/>
  <c r="CR28" i="4"/>
  <c r="CQ28" i="4"/>
  <c r="CN16" i="4"/>
  <c r="CO16" i="4"/>
  <c r="CR16" i="4"/>
  <c r="CQ16" i="4"/>
  <c r="CR39" i="4"/>
  <c r="CQ39" i="4"/>
  <c r="CN39" i="4"/>
  <c r="CO39" i="4"/>
  <c r="CO36" i="4"/>
  <c r="CN36" i="4"/>
  <c r="CQ36" i="4"/>
  <c r="CR36" i="4"/>
  <c r="CR24" i="4"/>
  <c r="CQ24" i="4"/>
  <c r="CO24" i="4"/>
  <c r="CN24" i="4"/>
  <c r="CO38" i="4"/>
  <c r="CN38" i="4"/>
  <c r="CQ38" i="4"/>
  <c r="CR38" i="4"/>
  <c r="CR26" i="4"/>
  <c r="CQ26" i="4"/>
  <c r="CN26" i="4"/>
  <c r="CO26" i="4"/>
  <c r="CR74" i="4"/>
  <c r="CQ74" i="4"/>
  <c r="CO74" i="4"/>
  <c r="CN74" i="4"/>
  <c r="CN20" i="4"/>
  <c r="CO20" i="4"/>
  <c r="CR20" i="4"/>
  <c r="CQ20" i="4"/>
  <c r="CO46" i="4"/>
  <c r="CN46" i="4"/>
  <c r="CR46" i="4"/>
  <c r="CQ46" i="4"/>
  <c r="CN22" i="4"/>
  <c r="CO22" i="4"/>
  <c r="CQ22" i="4"/>
  <c r="CR22" i="4"/>
  <c r="CN10" i="4"/>
  <c r="CO10" i="4"/>
  <c r="CQ10" i="4"/>
  <c r="CR10" i="4"/>
  <c r="CN53" i="4"/>
  <c r="CO53" i="4"/>
  <c r="CR53" i="4"/>
  <c r="CQ53" i="4"/>
  <c r="CQ29" i="4"/>
  <c r="CR29" i="4"/>
  <c r="CO29" i="4"/>
  <c r="CN29" i="4"/>
  <c r="CQ17" i="4"/>
  <c r="CR17" i="4"/>
  <c r="CO17" i="4"/>
  <c r="CN17" i="4"/>
  <c r="CO3" i="4"/>
  <c r="CN3" i="4"/>
  <c r="CQ3" i="4"/>
  <c r="CR3" i="4"/>
  <c r="CN31" i="4"/>
  <c r="CO31" i="4"/>
  <c r="CR31" i="4"/>
  <c r="CQ31" i="4"/>
  <c r="CQ93" i="4"/>
  <c r="CR93" i="4"/>
  <c r="CN93" i="4"/>
  <c r="CO93" i="4"/>
  <c r="CN67" i="4"/>
  <c r="CO67" i="4"/>
  <c r="CQ67" i="4"/>
  <c r="CR67" i="4"/>
  <c r="CR41" i="4"/>
  <c r="CQ41" i="4"/>
  <c r="CO41" i="4"/>
  <c r="CN41" i="4"/>
  <c r="CO63" i="4"/>
  <c r="CN63" i="4"/>
  <c r="CR63" i="4"/>
  <c r="CQ63" i="4"/>
  <c r="CO42" i="4"/>
  <c r="CN42" i="4"/>
  <c r="CR42" i="4"/>
  <c r="CQ42" i="4"/>
  <c r="CQ47" i="4"/>
  <c r="CR47" i="4"/>
  <c r="CN47" i="4"/>
  <c r="CO47" i="4"/>
  <c r="CN27" i="4"/>
  <c r="CO27" i="4"/>
  <c r="CQ27" i="4"/>
  <c r="CR27" i="4"/>
  <c r="CN15" i="4"/>
  <c r="CO15" i="4"/>
  <c r="CQ15" i="4"/>
  <c r="CR15" i="4"/>
  <c r="CR35" i="4"/>
  <c r="CQ35" i="4"/>
  <c r="CO35" i="4"/>
  <c r="CN35" i="4"/>
  <c r="CN77" i="4"/>
  <c r="CO77" i="4"/>
  <c r="CQ77" i="4"/>
  <c r="CR77" i="4"/>
  <c r="CQ43" i="4"/>
  <c r="CR43" i="4"/>
  <c r="CN43" i="4"/>
  <c r="CO43" i="4"/>
  <c r="CN91" i="4"/>
  <c r="CO91" i="4"/>
  <c r="CQ91" i="4"/>
  <c r="CR91" i="4"/>
  <c r="CO66" i="4"/>
  <c r="CN66" i="4"/>
  <c r="CQ66" i="4"/>
  <c r="CR66" i="4"/>
  <c r="CR23" i="4"/>
  <c r="CQ23" i="4"/>
  <c r="CN23" i="4"/>
  <c r="CO23" i="4"/>
  <c r="CO54" i="4"/>
  <c r="CN54" i="4"/>
  <c r="CR54" i="4"/>
  <c r="CQ54" i="4"/>
  <c r="CO49" i="4"/>
  <c r="CN49" i="4"/>
  <c r="CQ49" i="4"/>
  <c r="CR49" i="4"/>
  <c r="CN19" i="4"/>
  <c r="CO19" i="4"/>
  <c r="CR19" i="4"/>
  <c r="CQ19" i="4"/>
  <c r="CQ9" i="4"/>
  <c r="CR9" i="4"/>
  <c r="CO9" i="4"/>
  <c r="CN9" i="4"/>
  <c r="CO84" i="4"/>
  <c r="CN84" i="4"/>
  <c r="CQ84" i="4"/>
  <c r="CR84" i="4"/>
  <c r="CO89" i="4"/>
  <c r="CN89" i="4"/>
  <c r="CR89" i="4"/>
  <c r="CQ89" i="4"/>
  <c r="CR57" i="4"/>
  <c r="CQ57" i="4"/>
  <c r="CO57" i="4"/>
  <c r="CN57" i="4"/>
  <c r="CQ62" i="4"/>
  <c r="CR62" i="4"/>
  <c r="CO62" i="4"/>
  <c r="CN62" i="4"/>
  <c r="CN45" i="4"/>
  <c r="CO45" i="4"/>
  <c r="CR45" i="4"/>
  <c r="CQ45" i="4"/>
  <c r="CN8" i="4"/>
  <c r="CO8" i="4"/>
  <c r="CQ8" i="4"/>
  <c r="CR8" i="4"/>
  <c r="CQ56" i="4"/>
  <c r="CR56" i="4"/>
  <c r="CO56" i="4"/>
  <c r="CN56" i="4"/>
  <c r="CN71" i="4"/>
  <c r="CO71" i="4"/>
  <c r="CR71" i="4"/>
  <c r="CQ71" i="4"/>
  <c r="CQ86" i="4"/>
  <c r="CR86" i="4"/>
  <c r="CO86" i="4"/>
  <c r="CN86" i="4"/>
  <c r="CN76" i="4"/>
  <c r="CO76" i="4"/>
  <c r="CR76" i="4"/>
  <c r="CQ76" i="4"/>
  <c r="CO69" i="4"/>
  <c r="CN69" i="4"/>
  <c r="CQ69" i="4"/>
  <c r="CR69" i="4"/>
  <c r="CR50" i="4"/>
  <c r="CQ50" i="4"/>
  <c r="CN50" i="4"/>
  <c r="CO50" i="4"/>
  <c r="CQ79" i="4"/>
  <c r="CR79" i="4"/>
  <c r="CO79" i="4"/>
  <c r="CN79" i="4"/>
  <c r="CR73" i="4"/>
  <c r="CQ73" i="4"/>
  <c r="CN73" i="4"/>
  <c r="CO73" i="4"/>
  <c r="CN6" i="4"/>
  <c r="CO6" i="4"/>
  <c r="CR6" i="4"/>
  <c r="CQ6" i="4"/>
  <c r="CR92" i="4"/>
  <c r="CQ92" i="4"/>
  <c r="CO92" i="4"/>
  <c r="CN92" i="4"/>
  <c r="CR37" i="4"/>
  <c r="CQ37" i="4"/>
  <c r="CO37" i="4"/>
  <c r="CN37" i="4"/>
  <c r="CQ13" i="4"/>
  <c r="CR13" i="4"/>
  <c r="CO13" i="4"/>
  <c r="CN13" i="4"/>
  <c r="CN11" i="4"/>
  <c r="CO11" i="4"/>
  <c r="CR11" i="4"/>
  <c r="CQ11" i="4"/>
  <c r="CO90" i="4"/>
  <c r="CN90" i="4"/>
  <c r="CR90" i="4"/>
  <c r="CQ90" i="4"/>
  <c r="CN40" i="4"/>
  <c r="CO40" i="4"/>
  <c r="CQ40" i="4"/>
  <c r="CR40" i="4"/>
  <c r="CR88" i="4"/>
  <c r="CQ88" i="4"/>
  <c r="CO88" i="4"/>
  <c r="CN88" i="4"/>
  <c r="CR68" i="4"/>
  <c r="CQ68" i="4"/>
  <c r="CO68" i="4"/>
  <c r="CN68" i="4"/>
  <c r="CN65" i="4"/>
  <c r="CO65" i="4"/>
  <c r="CR65" i="4"/>
  <c r="CQ65" i="4"/>
  <c r="CN25" i="4"/>
  <c r="CO25" i="4"/>
  <c r="CQ25" i="4"/>
  <c r="CR25" i="4"/>
  <c r="CF51" i="4"/>
  <c r="CE51" i="4"/>
  <c r="BW51" i="4" s="1"/>
  <c r="AK51" i="4"/>
  <c r="AC51" i="4"/>
  <c r="CB51" i="4"/>
  <c r="CK51" i="4"/>
  <c r="AM51" i="4"/>
  <c r="CC51" i="4"/>
  <c r="CG51" i="4"/>
  <c r="CL51" i="4"/>
  <c r="BN51" i="4"/>
  <c r="CJ51" i="4"/>
  <c r="CH51" i="4"/>
  <c r="BP51" i="4"/>
  <c r="CM51" i="4"/>
  <c r="CD51" i="4"/>
  <c r="AE51" i="4"/>
  <c r="CI51" i="4"/>
  <c r="CE75" i="4"/>
  <c r="BN75" i="4"/>
  <c r="CJ75" i="4"/>
  <c r="CK75" i="4"/>
  <c r="AM75" i="4"/>
  <c r="AC75" i="4"/>
  <c r="CL75" i="4"/>
  <c r="CC75" i="4"/>
  <c r="CD75" i="4"/>
  <c r="CM75" i="4"/>
  <c r="AK75" i="4"/>
  <c r="CG75" i="4"/>
  <c r="BP75" i="4"/>
  <c r="CH75" i="4"/>
  <c r="CI75" i="4"/>
  <c r="CF75" i="4"/>
  <c r="CB75" i="4"/>
  <c r="AE75" i="4"/>
  <c r="CC64" i="4"/>
  <c r="CL64" i="4"/>
  <c r="CE64" i="4"/>
  <c r="CM64" i="4"/>
  <c r="CG64" i="4"/>
  <c r="CF64" i="4"/>
  <c r="AC64" i="4"/>
  <c r="BP64" i="4"/>
  <c r="BN64" i="4"/>
  <c r="CI64" i="4"/>
  <c r="AE64" i="4"/>
  <c r="CJ64" i="4"/>
  <c r="AM64" i="4"/>
  <c r="AK64" i="4"/>
  <c r="CD64" i="4"/>
  <c r="CK64" i="4"/>
  <c r="CH64" i="4"/>
  <c r="CB64" i="4"/>
  <c r="CE78" i="4"/>
  <c r="AK78" i="4"/>
  <c r="AM78" i="4"/>
  <c r="AE78" i="4"/>
  <c r="CC78" i="4"/>
  <c r="CH78" i="4"/>
  <c r="CM78" i="4"/>
  <c r="CB78" i="4"/>
  <c r="CF78" i="4"/>
  <c r="BP78" i="4"/>
  <c r="AC78" i="4"/>
  <c r="CK78" i="4"/>
  <c r="CL78" i="4"/>
  <c r="BN78" i="4"/>
  <c r="CI78" i="4"/>
  <c r="CD78" i="4"/>
  <c r="CJ78" i="4"/>
  <c r="CG78" i="4"/>
  <c r="AE72" i="4"/>
  <c r="AK72" i="4"/>
  <c r="CJ72" i="4"/>
  <c r="CF72" i="4"/>
  <c r="CG72" i="4"/>
  <c r="CE72" i="4"/>
  <c r="BW72" i="4" s="1"/>
  <c r="CM72" i="4"/>
  <c r="CH72" i="4"/>
  <c r="AM72" i="4"/>
  <c r="BP72" i="4"/>
  <c r="CL72" i="4"/>
  <c r="CC72" i="4"/>
  <c r="CI72" i="4"/>
  <c r="AC72" i="4"/>
  <c r="CD72" i="4"/>
  <c r="CB72" i="4"/>
  <c r="CK72" i="4"/>
  <c r="BN72" i="4"/>
  <c r="AC83" i="4"/>
  <c r="CK83" i="4"/>
  <c r="CM83" i="4"/>
  <c r="CC83" i="4"/>
  <c r="CI83" i="4"/>
  <c r="BP83" i="4"/>
  <c r="CH83" i="4"/>
  <c r="AM83" i="4"/>
  <c r="CG83" i="4"/>
  <c r="CD83" i="4"/>
  <c r="BN83" i="4"/>
  <c r="CJ83" i="4"/>
  <c r="AK83" i="4"/>
  <c r="CF83" i="4"/>
  <c r="AE83" i="4"/>
  <c r="CE83" i="4"/>
  <c r="CB83" i="4"/>
  <c r="CL83" i="4"/>
  <c r="AE30" i="4"/>
  <c r="CJ30" i="4"/>
  <c r="CI30" i="4"/>
  <c r="CH30" i="4"/>
  <c r="CL30" i="4"/>
  <c r="AC30" i="4"/>
  <c r="CF30" i="4"/>
  <c r="AK30" i="4"/>
  <c r="CD30" i="4"/>
  <c r="BN30" i="4"/>
  <c r="BP30" i="4"/>
  <c r="CB30" i="4"/>
  <c r="CC30" i="4"/>
  <c r="CG30" i="4"/>
  <c r="CM30" i="4"/>
  <c r="CE30" i="4"/>
  <c r="BW30" i="4" s="1"/>
  <c r="CK30" i="4"/>
  <c r="AM30" i="4"/>
  <c r="AK18" i="4"/>
  <c r="CI18" i="4"/>
  <c r="CK18" i="4"/>
  <c r="CD18" i="4"/>
  <c r="CC18" i="4"/>
  <c r="CE18" i="4"/>
  <c r="BP18" i="4"/>
  <c r="AC18" i="4"/>
  <c r="CM18" i="4"/>
  <c r="CL18" i="4"/>
  <c r="CH18" i="4"/>
  <c r="AE18" i="4"/>
  <c r="CF18" i="4"/>
  <c r="CB18" i="4"/>
  <c r="CJ18" i="4"/>
  <c r="BN18" i="4"/>
  <c r="AM18" i="4"/>
  <c r="CG18" i="4"/>
  <c r="CM61" i="4"/>
  <c r="AM61" i="4"/>
  <c r="CC61" i="4"/>
  <c r="CG61" i="4"/>
  <c r="CB61" i="4"/>
  <c r="CF61" i="4"/>
  <c r="CH61" i="4"/>
  <c r="CD61" i="4"/>
  <c r="CI61" i="4"/>
  <c r="CJ61" i="4"/>
  <c r="CL61" i="4"/>
  <c r="BP61" i="4"/>
  <c r="BN61" i="4"/>
  <c r="AE61" i="4"/>
  <c r="AK61" i="4"/>
  <c r="AC61" i="4"/>
  <c r="CE61" i="4"/>
  <c r="CK61" i="4"/>
  <c r="CM81" i="4"/>
  <c r="AM81" i="4"/>
  <c r="CK81" i="4"/>
  <c r="CH81" i="4"/>
  <c r="CD81" i="4"/>
  <c r="CI81" i="4"/>
  <c r="CJ81" i="4"/>
  <c r="BN81" i="4"/>
  <c r="CF81" i="4"/>
  <c r="CG81" i="4"/>
  <c r="BP81" i="4"/>
  <c r="AC81" i="4"/>
  <c r="CC81" i="4"/>
  <c r="CB81" i="4"/>
  <c r="CL81" i="4"/>
  <c r="AK81" i="4"/>
  <c r="CE81" i="4"/>
  <c r="AE81" i="4"/>
  <c r="CG70" i="4"/>
  <c r="CH70" i="4"/>
  <c r="CL70" i="4"/>
  <c r="CM70" i="4"/>
  <c r="CJ70" i="4"/>
  <c r="BN70" i="4"/>
  <c r="CK70" i="4"/>
  <c r="AC70" i="4"/>
  <c r="CF70" i="4"/>
  <c r="AM70" i="4"/>
  <c r="CI70" i="4"/>
  <c r="AE70" i="4"/>
  <c r="CE70" i="4"/>
  <c r="BW70" i="4" s="1"/>
  <c r="CC70" i="4"/>
  <c r="CD70" i="4"/>
  <c r="AK70" i="4"/>
  <c r="CT70" i="4" s="1"/>
  <c r="CU70" i="4" s="1"/>
  <c r="BP70" i="4"/>
  <c r="CB70" i="4"/>
  <c r="CI48" i="4"/>
  <c r="CB48" i="4"/>
  <c r="CM48" i="4"/>
  <c r="CF48" i="4"/>
  <c r="CD48" i="4"/>
  <c r="CG48" i="4"/>
  <c r="CE48" i="4"/>
  <c r="BW48" i="4" s="1"/>
  <c r="CH48" i="4"/>
  <c r="AE48" i="4"/>
  <c r="BP48" i="4"/>
  <c r="CJ48" i="4"/>
  <c r="AM48" i="4"/>
  <c r="CK48" i="4"/>
  <c r="CC48" i="4"/>
  <c r="CL48" i="4"/>
  <c r="BN48" i="4"/>
  <c r="AK48" i="4"/>
  <c r="AC48" i="4"/>
  <c r="CK52" i="4"/>
  <c r="CH52" i="4"/>
  <c r="AM52" i="4"/>
  <c r="BN52" i="4"/>
  <c r="CJ52" i="4"/>
  <c r="AC52" i="4"/>
  <c r="BP52" i="4"/>
  <c r="CD52" i="4"/>
  <c r="CB52" i="4"/>
  <c r="AK52" i="4"/>
  <c r="CE52" i="4"/>
  <c r="CM52" i="4"/>
  <c r="CF52" i="4"/>
  <c r="CC52" i="4"/>
  <c r="CG52" i="4"/>
  <c r="CL52" i="4"/>
  <c r="AE52" i="4"/>
  <c r="CI52" i="4"/>
  <c r="CL82" i="4"/>
  <c r="CF82" i="4"/>
  <c r="CH82" i="4"/>
  <c r="CJ82" i="4"/>
  <c r="CK82" i="4"/>
  <c r="CM82" i="4"/>
  <c r="AC82" i="4"/>
  <c r="BP82" i="4"/>
  <c r="BN82" i="4"/>
  <c r="CG82" i="4"/>
  <c r="AE82" i="4"/>
  <c r="AM82" i="4"/>
  <c r="CI82" i="4"/>
  <c r="CB82" i="4"/>
  <c r="AK82" i="4"/>
  <c r="CD82" i="4"/>
  <c r="CC82" i="4"/>
  <c r="CE82" i="4"/>
  <c r="CF80" i="4"/>
  <c r="AC80" i="4"/>
  <c r="AK80" i="4"/>
  <c r="CL80" i="4"/>
  <c r="CB80" i="4"/>
  <c r="CK80" i="4"/>
  <c r="CG80" i="4"/>
  <c r="CC80" i="4"/>
  <c r="AM80" i="4"/>
  <c r="CD80" i="4"/>
  <c r="CE80" i="4"/>
  <c r="BW80" i="4" s="1"/>
  <c r="AE80" i="4"/>
  <c r="CM80" i="4"/>
  <c r="CI80" i="4"/>
  <c r="BN80" i="4"/>
  <c r="CH80" i="4"/>
  <c r="BP80" i="4"/>
  <c r="CJ80" i="4"/>
  <c r="CI59" i="4"/>
  <c r="CD59" i="4"/>
  <c r="AE59" i="4"/>
  <c r="CL59" i="4"/>
  <c r="CG59" i="4"/>
  <c r="CH59" i="4"/>
  <c r="CB59" i="4"/>
  <c r="CJ59" i="4"/>
  <c r="CF59" i="4"/>
  <c r="AK59" i="4"/>
  <c r="CM59" i="4"/>
  <c r="AC59" i="4"/>
  <c r="CK59" i="4"/>
  <c r="BP59" i="4"/>
  <c r="CC59" i="4"/>
  <c r="AM59" i="4"/>
  <c r="BN59" i="4"/>
  <c r="CE59" i="4"/>
  <c r="BW59" i="4" s="1"/>
  <c r="CH87" i="4"/>
  <c r="BP87" i="4"/>
  <c r="CG87" i="4"/>
  <c r="CC87" i="4"/>
  <c r="AM87" i="4"/>
  <c r="CD87" i="4"/>
  <c r="CL87" i="4"/>
  <c r="AE87" i="4"/>
  <c r="CK87" i="4"/>
  <c r="AK87" i="4"/>
  <c r="AC87" i="4"/>
  <c r="CF87" i="4"/>
  <c r="CE87" i="4"/>
  <c r="CM87" i="4"/>
  <c r="BN87" i="4"/>
  <c r="CI87" i="4"/>
  <c r="CB87" i="4"/>
  <c r="CJ87" i="4"/>
  <c r="CI85" i="4"/>
  <c r="CG85" i="4"/>
  <c r="CB85" i="4"/>
  <c r="CM85" i="4"/>
  <c r="CJ85" i="4"/>
  <c r="AM85" i="4"/>
  <c r="CD85" i="4"/>
  <c r="CK85" i="4"/>
  <c r="AE85" i="4"/>
  <c r="AK85" i="4"/>
  <c r="AC85" i="4"/>
  <c r="CH85" i="4"/>
  <c r="CC85" i="4"/>
  <c r="CE85" i="4"/>
  <c r="BN85" i="4"/>
  <c r="CF85" i="4"/>
  <c r="BP85" i="4"/>
  <c r="CL85" i="4"/>
  <c r="AC7" i="4"/>
  <c r="CG7" i="4"/>
  <c r="BP7" i="4"/>
  <c r="CK7" i="4"/>
  <c r="CE7" i="4"/>
  <c r="AE7" i="4"/>
  <c r="BN7" i="4"/>
  <c r="CM7" i="4"/>
  <c r="CC7" i="4"/>
  <c r="CJ7" i="4"/>
  <c r="CD7" i="4"/>
  <c r="AK7" i="4"/>
  <c r="AM7" i="4"/>
  <c r="CL7" i="4"/>
  <c r="CI7" i="4"/>
  <c r="CH7" i="4"/>
  <c r="CF7" i="4"/>
  <c r="CB7" i="4"/>
  <c r="CH5" i="4"/>
  <c r="CB5" i="4"/>
  <c r="CF5" i="4"/>
  <c r="BN5" i="4"/>
  <c r="AM5" i="4"/>
  <c r="CL5" i="4"/>
  <c r="CG5" i="4"/>
  <c r="CC5" i="4"/>
  <c r="AC5" i="4"/>
  <c r="CJ5" i="4"/>
  <c r="CK5" i="4"/>
  <c r="CM5" i="4"/>
  <c r="CI5" i="4"/>
  <c r="CD5" i="4"/>
  <c r="CE5" i="4"/>
  <c r="AE5" i="4"/>
  <c r="BP5" i="4"/>
  <c r="AK5" i="4"/>
  <c r="CF12" i="4"/>
  <c r="CM12" i="4"/>
  <c r="BN12" i="4"/>
  <c r="AM12" i="4"/>
  <c r="CE12" i="4"/>
  <c r="BW12" i="4" s="1"/>
  <c r="CK12" i="4"/>
  <c r="CB12" i="4"/>
  <c r="CH12" i="4"/>
  <c r="CI12" i="4"/>
  <c r="AC12" i="4"/>
  <c r="AK12" i="4"/>
  <c r="CT12" i="4" s="1"/>
  <c r="CU12" i="4" s="1"/>
  <c r="CG12" i="4"/>
  <c r="CL12" i="4"/>
  <c r="CJ12" i="4"/>
  <c r="CC12" i="4"/>
  <c r="CD12" i="4"/>
  <c r="BP12" i="4"/>
  <c r="AE12" i="4"/>
  <c r="AE34" i="4"/>
  <c r="CI34" i="4"/>
  <c r="CE34" i="4"/>
  <c r="CL34" i="4"/>
  <c r="BN34" i="4"/>
  <c r="AK34" i="4"/>
  <c r="CC34" i="4"/>
  <c r="BP34" i="4"/>
  <c r="CK34" i="4"/>
  <c r="CB34" i="4"/>
  <c r="AC34" i="4"/>
  <c r="CD34" i="4"/>
  <c r="CJ34" i="4"/>
  <c r="CG34" i="4"/>
  <c r="CM34" i="4"/>
  <c r="AM34" i="4"/>
  <c r="CH34" i="4"/>
  <c r="CF34" i="4"/>
  <c r="CE32" i="4"/>
  <c r="BW32" i="4" s="1"/>
  <c r="AE32" i="4"/>
  <c r="AM32" i="4"/>
  <c r="CF32" i="4"/>
  <c r="CJ32" i="4"/>
  <c r="AK32" i="4"/>
  <c r="CM32" i="4"/>
  <c r="CD32" i="4"/>
  <c r="CH32" i="4"/>
  <c r="CB32" i="4"/>
  <c r="CC32" i="4"/>
  <c r="CI32" i="4"/>
  <c r="CL32" i="4"/>
  <c r="BN32" i="4"/>
  <c r="CG32" i="4"/>
  <c r="BP32" i="4"/>
  <c r="AC32" i="4"/>
  <c r="CK32" i="4"/>
  <c r="CJ14" i="4"/>
  <c r="BN14" i="4"/>
  <c r="CM14" i="4"/>
  <c r="AC14" i="4"/>
  <c r="AK14" i="4"/>
  <c r="CG14" i="4"/>
  <c r="CI14" i="4"/>
  <c r="CF14" i="4"/>
  <c r="BP14" i="4"/>
  <c r="CE14" i="4"/>
  <c r="CH14" i="4"/>
  <c r="CC14" i="4"/>
  <c r="CD14" i="4"/>
  <c r="CL14" i="4"/>
  <c r="AE14" i="4"/>
  <c r="CB14" i="4"/>
  <c r="AM14" i="4"/>
  <c r="CK14" i="4"/>
  <c r="CC33" i="4"/>
  <c r="CH33" i="4"/>
  <c r="AM33" i="4"/>
  <c r="CF33" i="4"/>
  <c r="CL33" i="4"/>
  <c r="CK33" i="4"/>
  <c r="BP33" i="4"/>
  <c r="CD33" i="4"/>
  <c r="BN33" i="4"/>
  <c r="CJ33" i="4"/>
  <c r="CG33" i="4"/>
  <c r="AC33" i="4"/>
  <c r="AK33" i="4"/>
  <c r="CB33" i="4"/>
  <c r="AE33" i="4"/>
  <c r="CE33" i="4"/>
  <c r="BW33" i="4" s="1"/>
  <c r="CM33" i="4"/>
  <c r="CI33" i="4"/>
  <c r="AC44" i="4"/>
  <c r="AM44" i="4"/>
  <c r="BN44" i="4"/>
  <c r="AK44" i="4"/>
  <c r="CI44" i="4"/>
  <c r="CC44" i="4"/>
  <c r="CK44" i="4"/>
  <c r="CJ44" i="4"/>
  <c r="CD44" i="4"/>
  <c r="CL44" i="4"/>
  <c r="BP44" i="4"/>
  <c r="CB44" i="4"/>
  <c r="AE44" i="4"/>
  <c r="CG44" i="4"/>
  <c r="CM44" i="4"/>
  <c r="CH44" i="4"/>
  <c r="CE44" i="4"/>
  <c r="BW44" i="4" s="1"/>
  <c r="CF44" i="4"/>
  <c r="BN28" i="4"/>
  <c r="CH28" i="4"/>
  <c r="CM28" i="4"/>
  <c r="AE28" i="4"/>
  <c r="AC28" i="4"/>
  <c r="AK28" i="4"/>
  <c r="CC28" i="4"/>
  <c r="CE28" i="4"/>
  <c r="BW28" i="4" s="1"/>
  <c r="BP28" i="4"/>
  <c r="CK28" i="4"/>
  <c r="CB28" i="4"/>
  <c r="CG28" i="4"/>
  <c r="CD28" i="4"/>
  <c r="CI28" i="4"/>
  <c r="CF28" i="4"/>
  <c r="AM28" i="4"/>
  <c r="CJ28" i="4"/>
  <c r="CL28" i="4"/>
  <c r="CB16" i="4"/>
  <c r="CE16" i="4"/>
  <c r="BP16" i="4"/>
  <c r="AE16" i="4"/>
  <c r="CK16" i="4"/>
  <c r="AC16" i="4"/>
  <c r="CD16" i="4"/>
  <c r="CJ16" i="4"/>
  <c r="CI16" i="4"/>
  <c r="BN16" i="4"/>
  <c r="CC16" i="4"/>
  <c r="CL16" i="4"/>
  <c r="AK16" i="4"/>
  <c r="CM16" i="4"/>
  <c r="CH16" i="4"/>
  <c r="AM16" i="4"/>
  <c r="CG16" i="4"/>
  <c r="CF16" i="4"/>
  <c r="CJ39" i="4"/>
  <c r="BP39" i="4"/>
  <c r="CM39" i="4"/>
  <c r="CD39" i="4"/>
  <c r="CE39" i="4"/>
  <c r="AK39" i="4"/>
  <c r="CF39" i="4"/>
  <c r="CK39" i="4"/>
  <c r="BN39" i="4"/>
  <c r="AC39" i="4"/>
  <c r="CG39" i="4"/>
  <c r="AE39" i="4"/>
  <c r="CH39" i="4"/>
  <c r="CB39" i="4"/>
  <c r="CL39" i="4"/>
  <c r="CC39" i="4"/>
  <c r="CI39" i="4"/>
  <c r="AM39" i="4"/>
  <c r="CM36" i="4"/>
  <c r="CC36" i="4"/>
  <c r="AK36" i="4"/>
  <c r="AM36" i="4"/>
  <c r="CB36" i="4"/>
  <c r="AE36" i="4"/>
  <c r="CK36" i="4"/>
  <c r="BN36" i="4"/>
  <c r="CG36" i="4"/>
  <c r="CI36" i="4"/>
  <c r="CH36" i="4"/>
  <c r="CD36" i="4"/>
  <c r="BP36" i="4"/>
  <c r="CJ36" i="4"/>
  <c r="AC36" i="4"/>
  <c r="CE36" i="4"/>
  <c r="CF36" i="4"/>
  <c r="CL36" i="4"/>
  <c r="BP24" i="4"/>
  <c r="CG24" i="4"/>
  <c r="CM24" i="4"/>
  <c r="AC24" i="4"/>
  <c r="BN24" i="4"/>
  <c r="CC24" i="4"/>
  <c r="AE24" i="4"/>
  <c r="CB24" i="4"/>
  <c r="CF24" i="4"/>
  <c r="CK24" i="4"/>
  <c r="CL24" i="4"/>
  <c r="AM24" i="4"/>
  <c r="CE24" i="4"/>
  <c r="BW24" i="4" s="1"/>
  <c r="CH24" i="4"/>
  <c r="CI24" i="4"/>
  <c r="AK24" i="4"/>
  <c r="CJ24" i="4"/>
  <c r="CD24" i="4"/>
  <c r="CM38" i="4"/>
  <c r="AK38" i="4"/>
  <c r="BN38" i="4"/>
  <c r="CK38" i="4"/>
  <c r="AC38" i="4"/>
  <c r="CF38" i="4"/>
  <c r="CH38" i="4"/>
  <c r="CD38" i="4"/>
  <c r="CB38" i="4"/>
  <c r="CL38" i="4"/>
  <c r="AM38" i="4"/>
  <c r="CJ38" i="4"/>
  <c r="CC38" i="4"/>
  <c r="CG38" i="4"/>
  <c r="CE38" i="4"/>
  <c r="BW38" i="4" s="1"/>
  <c r="AE38" i="4"/>
  <c r="CI38" i="4"/>
  <c r="BP38" i="4"/>
  <c r="CK26" i="4"/>
  <c r="CH26" i="4"/>
  <c r="CI26" i="4"/>
  <c r="CG26" i="4"/>
  <c r="CB26" i="4"/>
  <c r="AM26" i="4"/>
  <c r="BP26" i="4"/>
  <c r="AK26" i="4"/>
  <c r="AC26" i="4"/>
  <c r="CE26" i="4"/>
  <c r="CJ26" i="4"/>
  <c r="CL26" i="4"/>
  <c r="AE26" i="4"/>
  <c r="CD26" i="4"/>
  <c r="CF26" i="4"/>
  <c r="BN26" i="4"/>
  <c r="CM26" i="4"/>
  <c r="CC26" i="4"/>
  <c r="CC74" i="4"/>
  <c r="AC74" i="4"/>
  <c r="CG74" i="4"/>
  <c r="AK74" i="4"/>
  <c r="AE74" i="4"/>
  <c r="CL74" i="4"/>
  <c r="CI74" i="4"/>
  <c r="CJ74" i="4"/>
  <c r="CH74" i="4"/>
  <c r="BN74" i="4"/>
  <c r="CK74" i="4"/>
  <c r="BP74" i="4"/>
  <c r="CF74" i="4"/>
  <c r="CB74" i="4"/>
  <c r="CD74" i="4"/>
  <c r="CE74" i="4"/>
  <c r="CM74" i="4"/>
  <c r="AM74" i="4"/>
  <c r="CC20" i="4"/>
  <c r="BN20" i="4"/>
  <c r="CE20" i="4"/>
  <c r="BW20" i="4" s="1"/>
  <c r="AK20" i="4"/>
  <c r="CH20" i="4"/>
  <c r="AM20" i="4"/>
  <c r="CF20" i="4"/>
  <c r="CI20" i="4"/>
  <c r="CD20" i="4"/>
  <c r="AE20" i="4"/>
  <c r="CJ20" i="4"/>
  <c r="CM20" i="4"/>
  <c r="CK20" i="4"/>
  <c r="CB20" i="4"/>
  <c r="CG20" i="4"/>
  <c r="BP20" i="4"/>
  <c r="CL20" i="4"/>
  <c r="AC20" i="4"/>
  <c r="CL46" i="4"/>
  <c r="CD46" i="4"/>
  <c r="AE46" i="4"/>
  <c r="CB46" i="4"/>
  <c r="CM46" i="4"/>
  <c r="CE46" i="4"/>
  <c r="BP46" i="4"/>
  <c r="AC46" i="4"/>
  <c r="CG46" i="4"/>
  <c r="CC46" i="4"/>
  <c r="AK46" i="4"/>
  <c r="AM46" i="4"/>
  <c r="CI46" i="4"/>
  <c r="BN46" i="4"/>
  <c r="CH46" i="4"/>
  <c r="CF46" i="4"/>
  <c r="CK46" i="4"/>
  <c r="CJ46" i="4"/>
  <c r="AE22" i="4"/>
  <c r="BP22" i="4"/>
  <c r="CI22" i="4"/>
  <c r="CG22" i="4"/>
  <c r="CC22" i="4"/>
  <c r="CM22" i="4"/>
  <c r="CB22" i="4"/>
  <c r="BN22" i="4"/>
  <c r="CD22" i="4"/>
  <c r="CF22" i="4"/>
  <c r="AK22" i="4"/>
  <c r="CL22" i="4"/>
  <c r="CE22" i="4"/>
  <c r="CH22" i="4"/>
  <c r="AM22" i="4"/>
  <c r="AC22" i="4"/>
  <c r="CK22" i="4"/>
  <c r="CJ22" i="4"/>
  <c r="CD10" i="4"/>
  <c r="CF10" i="4"/>
  <c r="CH10" i="4"/>
  <c r="AE10" i="4"/>
  <c r="CG10" i="4"/>
  <c r="AK10" i="4"/>
  <c r="CB10" i="4"/>
  <c r="CI10" i="4"/>
  <c r="CK10" i="4"/>
  <c r="CL10" i="4"/>
  <c r="CC10" i="4"/>
  <c r="BP10" i="4"/>
  <c r="CM10" i="4"/>
  <c r="CJ10" i="4"/>
  <c r="AC10" i="4"/>
  <c r="CE10" i="4"/>
  <c r="AM10" i="4"/>
  <c r="BN10" i="4"/>
  <c r="CE53" i="4"/>
  <c r="BW53" i="4" s="1"/>
  <c r="CC53" i="4"/>
  <c r="CH53" i="4"/>
  <c r="CM53" i="4"/>
  <c r="CF53" i="4"/>
  <c r="CB53" i="4"/>
  <c r="CK53" i="4"/>
  <c r="CL53" i="4"/>
  <c r="CD53" i="4"/>
  <c r="AM53" i="4"/>
  <c r="AC53" i="4"/>
  <c r="CI53" i="4"/>
  <c r="AE53" i="4"/>
  <c r="BN53" i="4"/>
  <c r="CG53" i="4"/>
  <c r="CJ53" i="4"/>
  <c r="AK53" i="4"/>
  <c r="BP53" i="4"/>
  <c r="AC29" i="4"/>
  <c r="CG29" i="4"/>
  <c r="CD29" i="4"/>
  <c r="BN29" i="4"/>
  <c r="CB29" i="4"/>
  <c r="AE29" i="4"/>
  <c r="AM29" i="4"/>
  <c r="CM29" i="4"/>
  <c r="AK29" i="4"/>
  <c r="BP29" i="4"/>
  <c r="CL29" i="4"/>
  <c r="CK29" i="4"/>
  <c r="CC29" i="4"/>
  <c r="CE29" i="4"/>
  <c r="BW29" i="4" s="1"/>
  <c r="CJ29" i="4"/>
  <c r="CI29" i="4"/>
  <c r="CF29" i="4"/>
  <c r="CH29" i="4"/>
  <c r="CC17" i="4"/>
  <c r="BP17" i="4"/>
  <c r="CH17" i="4"/>
  <c r="AE17" i="4"/>
  <c r="CG17" i="4"/>
  <c r="CJ17" i="4"/>
  <c r="CD17" i="4"/>
  <c r="CE17" i="4"/>
  <c r="AC17" i="4"/>
  <c r="AK17" i="4"/>
  <c r="CL17" i="4"/>
  <c r="CK17" i="4"/>
  <c r="CF17" i="4"/>
  <c r="AM17" i="4"/>
  <c r="BN17" i="4"/>
  <c r="CM17" i="4"/>
  <c r="CB17" i="4"/>
  <c r="CI17" i="4"/>
  <c r="BN3" i="4"/>
  <c r="AC3" i="4"/>
  <c r="CI3" i="4"/>
  <c r="CJ3" i="4"/>
  <c r="AE3" i="4"/>
  <c r="CF3" i="4"/>
  <c r="AK3" i="4"/>
  <c r="CC3" i="4"/>
  <c r="BP3" i="4"/>
  <c r="G3" i="4" s="1"/>
  <c r="CL3" i="4"/>
  <c r="AM3" i="4"/>
  <c r="CG3" i="4"/>
  <c r="CK3" i="4"/>
  <c r="CE3" i="4"/>
  <c r="CD3" i="4"/>
  <c r="CH3" i="4"/>
  <c r="CB3" i="4"/>
  <c r="CM3" i="4"/>
  <c r="CM31" i="4"/>
  <c r="CF31" i="4"/>
  <c r="CC31" i="4"/>
  <c r="CH31" i="4"/>
  <c r="AM31" i="4"/>
  <c r="CI31" i="4"/>
  <c r="AE31" i="4"/>
  <c r="CK31" i="4"/>
  <c r="BN31" i="4"/>
  <c r="CL31" i="4"/>
  <c r="CE31" i="4"/>
  <c r="BW31" i="4" s="1"/>
  <c r="AC31" i="4"/>
  <c r="AK31" i="4"/>
  <c r="CB31" i="4"/>
  <c r="CJ31" i="4"/>
  <c r="BP31" i="4"/>
  <c r="CD31" i="4"/>
  <c r="CG31" i="4"/>
  <c r="CM93" i="4"/>
  <c r="CE93" i="4"/>
  <c r="CG93" i="4"/>
  <c r="CL93" i="4"/>
  <c r="BN93" i="4"/>
  <c r="CF93" i="4"/>
  <c r="AE93" i="4"/>
  <c r="CK93" i="4"/>
  <c r="CJ93" i="4"/>
  <c r="CC93" i="4"/>
  <c r="CI93" i="4"/>
  <c r="CH93" i="4"/>
  <c r="AM93" i="4"/>
  <c r="CD93" i="4"/>
  <c r="CB93" i="4"/>
  <c r="AC93" i="4"/>
  <c r="BP93" i="4"/>
  <c r="AK93" i="4"/>
  <c r="CM67" i="4"/>
  <c r="AE67" i="4"/>
  <c r="CE67" i="4"/>
  <c r="CJ67" i="4"/>
  <c r="AK67" i="4"/>
  <c r="AC67" i="4"/>
  <c r="BN67" i="4"/>
  <c r="CL67" i="4"/>
  <c r="CF67" i="4"/>
  <c r="CI67" i="4"/>
  <c r="CK67" i="4"/>
  <c r="CG67" i="4"/>
  <c r="CC67" i="4"/>
  <c r="CH67" i="4"/>
  <c r="BP67" i="4"/>
  <c r="CB67" i="4"/>
  <c r="CD67" i="4"/>
  <c r="AM67" i="4"/>
  <c r="AM41" i="4"/>
  <c r="CK41" i="4"/>
  <c r="AC41" i="4"/>
  <c r="CL41" i="4"/>
  <c r="CG41" i="4"/>
  <c r="BN41" i="4"/>
  <c r="CC41" i="4"/>
  <c r="CF41" i="4"/>
  <c r="CH41" i="4"/>
  <c r="CD41" i="4"/>
  <c r="CE41" i="4"/>
  <c r="AK41" i="4"/>
  <c r="AE41" i="4"/>
  <c r="CJ41" i="4"/>
  <c r="BP41" i="4"/>
  <c r="CI41" i="4"/>
  <c r="CB41" i="4"/>
  <c r="CM41" i="4"/>
  <c r="CG63" i="4"/>
  <c r="AE63" i="4"/>
  <c r="CJ63" i="4"/>
  <c r="CB63" i="4"/>
  <c r="AK63" i="4"/>
  <c r="CF63" i="4"/>
  <c r="BN63" i="4"/>
  <c r="CD63" i="4"/>
  <c r="AM63" i="4"/>
  <c r="AC63" i="4"/>
  <c r="CI63" i="4"/>
  <c r="CE63" i="4"/>
  <c r="CC63" i="4"/>
  <c r="CK63" i="4"/>
  <c r="CH63" i="4"/>
  <c r="CL63" i="4"/>
  <c r="BP63" i="4"/>
  <c r="CM63" i="4"/>
  <c r="CJ42" i="4"/>
  <c r="CL42" i="4"/>
  <c r="CM42" i="4"/>
  <c r="AK42" i="4"/>
  <c r="CE42" i="4"/>
  <c r="BW42" i="4" s="1"/>
  <c r="AC42" i="4"/>
  <c r="CD42" i="4"/>
  <c r="CH42" i="4"/>
  <c r="CI42" i="4"/>
  <c r="BN42" i="4"/>
  <c r="AM42" i="4"/>
  <c r="CF42" i="4"/>
  <c r="CG42" i="4"/>
  <c r="CK42" i="4"/>
  <c r="CB42" i="4"/>
  <c r="CC42" i="4"/>
  <c r="AE42" i="4"/>
  <c r="BP42" i="4"/>
  <c r="CJ47" i="4"/>
  <c r="CI47" i="4"/>
  <c r="CF47" i="4"/>
  <c r="CG47" i="4"/>
  <c r="AE47" i="4"/>
  <c r="CB47" i="4"/>
  <c r="CC47" i="4"/>
  <c r="BP47" i="4"/>
  <c r="CE47" i="4"/>
  <c r="BW47" i="4" s="1"/>
  <c r="CK47" i="4"/>
  <c r="BN47" i="4"/>
  <c r="AK47" i="4"/>
  <c r="AC47" i="4"/>
  <c r="CD47" i="4"/>
  <c r="CL47" i="4"/>
  <c r="AM47" i="4"/>
  <c r="CH47" i="4"/>
  <c r="CM47" i="4"/>
  <c r="CK27" i="4"/>
  <c r="CG27" i="4"/>
  <c r="CD27" i="4"/>
  <c r="BN27" i="4"/>
  <c r="BP27" i="4"/>
  <c r="CJ27" i="4"/>
  <c r="AC27" i="4"/>
  <c r="CI27" i="4"/>
  <c r="CM27" i="4"/>
  <c r="CE27" i="4"/>
  <c r="CL27" i="4"/>
  <c r="CH27" i="4"/>
  <c r="AM27" i="4"/>
  <c r="CF27" i="4"/>
  <c r="CB27" i="4"/>
  <c r="CC27" i="4"/>
  <c r="AE27" i="4"/>
  <c r="AK27" i="4"/>
  <c r="CD15" i="4"/>
  <c r="CL15" i="4"/>
  <c r="BP15" i="4"/>
  <c r="CH15" i="4"/>
  <c r="CM15" i="4"/>
  <c r="AK15" i="4"/>
  <c r="CB15" i="4"/>
  <c r="CE15" i="4"/>
  <c r="BW15" i="4" s="1"/>
  <c r="AE15" i="4"/>
  <c r="CI15" i="4"/>
  <c r="CJ15" i="4"/>
  <c r="AC15" i="4"/>
  <c r="BN15" i="4"/>
  <c r="CF15" i="4"/>
  <c r="CG15" i="4"/>
  <c r="CC15" i="4"/>
  <c r="AM15" i="4"/>
  <c r="CK15" i="4"/>
  <c r="CE35" i="4"/>
  <c r="CG35" i="4"/>
  <c r="AM35" i="4"/>
  <c r="AK35" i="4"/>
  <c r="CM35" i="4"/>
  <c r="CC35" i="4"/>
  <c r="AE35" i="4"/>
  <c r="CH35" i="4"/>
  <c r="CD35" i="4"/>
  <c r="CI35" i="4"/>
  <c r="CK35" i="4"/>
  <c r="BN35" i="4"/>
  <c r="CJ35" i="4"/>
  <c r="CF35" i="4"/>
  <c r="BP35" i="4"/>
  <c r="AC35" i="4"/>
  <c r="CB35" i="4"/>
  <c r="CL35" i="4"/>
  <c r="CB77" i="4"/>
  <c r="CL77" i="4"/>
  <c r="CF77" i="4"/>
  <c r="CJ77" i="4"/>
  <c r="AK77" i="4"/>
  <c r="CK77" i="4"/>
  <c r="AM77" i="4"/>
  <c r="AC77" i="4"/>
  <c r="CG77" i="4"/>
  <c r="BP77" i="4"/>
  <c r="BN77" i="4"/>
  <c r="CH77" i="4"/>
  <c r="AE77" i="4"/>
  <c r="CI77" i="4"/>
  <c r="CM77" i="4"/>
  <c r="CE77" i="4"/>
  <c r="BW77" i="4" s="1"/>
  <c r="CD77" i="4"/>
  <c r="CC77" i="4"/>
  <c r="AK43" i="4"/>
  <c r="CG43" i="4"/>
  <c r="CE43" i="4"/>
  <c r="CJ43" i="4"/>
  <c r="CL43" i="4"/>
  <c r="CC43" i="4"/>
  <c r="CB43" i="4"/>
  <c r="AE43" i="4"/>
  <c r="CM43" i="4"/>
  <c r="CK43" i="4"/>
  <c r="AC43" i="4"/>
  <c r="CF43" i="4"/>
  <c r="BP43" i="4"/>
  <c r="CH43" i="4"/>
  <c r="CD43" i="4"/>
  <c r="CI43" i="4"/>
  <c r="BN43" i="4"/>
  <c r="AM43" i="4"/>
  <c r="BP91" i="4"/>
  <c r="BN91" i="4"/>
  <c r="CK91" i="4"/>
  <c r="CH91" i="4"/>
  <c r="AC91" i="4"/>
  <c r="AK91" i="4"/>
  <c r="CI91" i="4"/>
  <c r="CM91" i="4"/>
  <c r="CF91" i="4"/>
  <c r="CJ91" i="4"/>
  <c r="CG91" i="4"/>
  <c r="CE91" i="4"/>
  <c r="AE91" i="4"/>
  <c r="CD91" i="4"/>
  <c r="CC91" i="4"/>
  <c r="CB91" i="4"/>
  <c r="AM91" i="4"/>
  <c r="CL91" i="4"/>
  <c r="CD66" i="4"/>
  <c r="AE66" i="4"/>
  <c r="CK66" i="4"/>
  <c r="CL66" i="4"/>
  <c r="CM66" i="4"/>
  <c r="CC66" i="4"/>
  <c r="CJ66" i="4"/>
  <c r="BP66" i="4"/>
  <c r="AK66" i="4"/>
  <c r="CE66" i="4"/>
  <c r="CG66" i="4"/>
  <c r="CB66" i="4"/>
  <c r="BN66" i="4"/>
  <c r="CI66" i="4"/>
  <c r="CH66" i="4"/>
  <c r="AM66" i="4"/>
  <c r="CF66" i="4"/>
  <c r="AC66" i="4"/>
  <c r="AE23" i="4"/>
  <c r="CL23" i="4"/>
  <c r="CE23" i="4"/>
  <c r="CD23" i="4"/>
  <c r="CF23" i="4"/>
  <c r="CB23" i="4"/>
  <c r="AK23" i="4"/>
  <c r="BN23" i="4"/>
  <c r="CH23" i="4"/>
  <c r="CC23" i="4"/>
  <c r="CJ23" i="4"/>
  <c r="CI23" i="4"/>
  <c r="AC23" i="4"/>
  <c r="CK23" i="4"/>
  <c r="AM23" i="4"/>
  <c r="CM23" i="4"/>
  <c r="CG23" i="4"/>
  <c r="BP23" i="4"/>
  <c r="AK54" i="4"/>
  <c r="CE54" i="4"/>
  <c r="BW54" i="4" s="1"/>
  <c r="BP54" i="4"/>
  <c r="CI54" i="4"/>
  <c r="CC54" i="4"/>
  <c r="CH54" i="4"/>
  <c r="AE54" i="4"/>
  <c r="CF54" i="4"/>
  <c r="BN54" i="4"/>
  <c r="AC54" i="4"/>
  <c r="CD54" i="4"/>
  <c r="CL54" i="4"/>
  <c r="CK54" i="4"/>
  <c r="CJ54" i="4"/>
  <c r="CB54" i="4"/>
  <c r="CG54" i="4"/>
  <c r="AM54" i="4"/>
  <c r="CM54" i="4"/>
  <c r="CI49" i="4"/>
  <c r="CC49" i="4"/>
  <c r="CF49" i="4"/>
  <c r="CK49" i="4"/>
  <c r="BN49" i="4"/>
  <c r="AM49" i="4"/>
  <c r="CE49" i="4"/>
  <c r="CB49" i="4"/>
  <c r="CG49" i="4"/>
  <c r="BP49" i="4"/>
  <c r="CM49" i="4"/>
  <c r="CJ49" i="4"/>
  <c r="CH49" i="4"/>
  <c r="CL49" i="4"/>
  <c r="CD49" i="4"/>
  <c r="AE49" i="4"/>
  <c r="AC49" i="4"/>
  <c r="AK49" i="4"/>
  <c r="AE19" i="4"/>
  <c r="CM19" i="4"/>
  <c r="CE19" i="4"/>
  <c r="CF19" i="4"/>
  <c r="CD19" i="4"/>
  <c r="CL19" i="4"/>
  <c r="AC19" i="4"/>
  <c r="CI19" i="4"/>
  <c r="BP19" i="4"/>
  <c r="CJ19" i="4"/>
  <c r="AK19" i="4"/>
  <c r="AM19" i="4"/>
  <c r="BN19" i="4"/>
  <c r="CK19" i="4"/>
  <c r="CC19" i="4"/>
  <c r="CB19" i="4"/>
  <c r="CG19" i="4"/>
  <c r="CH19" i="4"/>
  <c r="CJ9" i="4"/>
  <c r="CL9" i="4"/>
  <c r="AC9" i="4"/>
  <c r="BN9" i="4"/>
  <c r="AE9" i="4"/>
  <c r="AM9" i="4"/>
  <c r="CB9" i="4"/>
  <c r="CI9" i="4"/>
  <c r="CM9" i="4"/>
  <c r="CE9" i="4"/>
  <c r="CD9" i="4"/>
  <c r="CC9" i="4"/>
  <c r="CF9" i="4"/>
  <c r="CG9" i="4"/>
  <c r="CH9" i="4"/>
  <c r="AK9" i="4"/>
  <c r="CK9" i="4"/>
  <c r="BP9" i="4"/>
  <c r="CF84" i="4"/>
  <c r="CK84" i="4"/>
  <c r="CB84" i="4"/>
  <c r="CI84" i="4"/>
  <c r="AC84" i="4"/>
  <c r="AM84" i="4"/>
  <c r="CM84" i="4"/>
  <c r="CC84" i="4"/>
  <c r="CD84" i="4"/>
  <c r="CH84" i="4"/>
  <c r="AK84" i="4"/>
  <c r="CL84" i="4"/>
  <c r="BP84" i="4"/>
  <c r="CE84" i="4"/>
  <c r="BW84" i="4" s="1"/>
  <c r="BN84" i="4"/>
  <c r="CG84" i="4"/>
  <c r="AE84" i="4"/>
  <c r="CJ84" i="4"/>
  <c r="CM89" i="4"/>
  <c r="BP89" i="4"/>
  <c r="CH89" i="4"/>
  <c r="CG89" i="4"/>
  <c r="CE89" i="4"/>
  <c r="CI89" i="4"/>
  <c r="AK89" i="4"/>
  <c r="CD89" i="4"/>
  <c r="AE89" i="4"/>
  <c r="CL89" i="4"/>
  <c r="CC89" i="4"/>
  <c r="CJ89" i="4"/>
  <c r="AC89" i="4"/>
  <c r="CB89" i="4"/>
  <c r="AM89" i="4"/>
  <c r="CK89" i="4"/>
  <c r="BN89" i="4"/>
  <c r="CF89" i="4"/>
  <c r="CM57" i="4"/>
  <c r="CD57" i="4"/>
  <c r="CH57" i="4"/>
  <c r="CG57" i="4"/>
  <c r="CF57" i="4"/>
  <c r="CJ57" i="4"/>
  <c r="AE57" i="4"/>
  <c r="BN57" i="4"/>
  <c r="CB57" i="4"/>
  <c r="CI57" i="4"/>
  <c r="CC57" i="4"/>
  <c r="CE57" i="4"/>
  <c r="AK57" i="4"/>
  <c r="CK57" i="4"/>
  <c r="AC57" i="4"/>
  <c r="BP57" i="4"/>
  <c r="AM57" i="4"/>
  <c r="CL57" i="4"/>
  <c r="CD62" i="4"/>
  <c r="CF62" i="4"/>
  <c r="AM62" i="4"/>
  <c r="AC62" i="4"/>
  <c r="CJ62" i="4"/>
  <c r="CH62" i="4"/>
  <c r="CC62" i="4"/>
  <c r="CG62" i="4"/>
  <c r="CK62" i="4"/>
  <c r="CB62" i="4"/>
  <c r="AE62" i="4"/>
  <c r="CE62" i="4"/>
  <c r="BW62" i="4" s="1"/>
  <c r="CI62" i="4"/>
  <c r="AK62" i="4"/>
  <c r="BP62" i="4"/>
  <c r="CL62" i="4"/>
  <c r="CM62" i="4"/>
  <c r="BN62" i="4"/>
  <c r="AK45" i="4"/>
  <c r="CB45" i="4"/>
  <c r="CH45" i="4"/>
  <c r="BP45" i="4"/>
  <c r="CM45" i="4"/>
  <c r="CI45" i="4"/>
  <c r="AM45" i="4"/>
  <c r="CF45" i="4"/>
  <c r="AE45" i="4"/>
  <c r="CG45" i="4"/>
  <c r="CC45" i="4"/>
  <c r="CD45" i="4"/>
  <c r="CK45" i="4"/>
  <c r="BN45" i="4"/>
  <c r="CJ45" i="4"/>
  <c r="CL45" i="4"/>
  <c r="AC45" i="4"/>
  <c r="CE45" i="4"/>
  <c r="BW45" i="4" s="1"/>
  <c r="CK8" i="4"/>
  <c r="CM8" i="4"/>
  <c r="CJ8" i="4"/>
  <c r="AC8" i="4"/>
  <c r="CF8" i="4"/>
  <c r="BP8" i="4"/>
  <c r="CB8" i="4"/>
  <c r="CG8" i="4"/>
  <c r="CD8" i="4"/>
  <c r="AM8" i="4"/>
  <c r="CE8" i="4"/>
  <c r="BW8" i="4" s="1"/>
  <c r="AE8" i="4"/>
  <c r="CL8" i="4"/>
  <c r="CI8" i="4"/>
  <c r="CH8" i="4"/>
  <c r="AK8" i="4"/>
  <c r="BN8" i="4"/>
  <c r="CC8" i="4"/>
  <c r="CD56" i="4"/>
  <c r="AM56" i="4"/>
  <c r="AK56" i="4"/>
  <c r="CE56" i="4"/>
  <c r="CG56" i="4"/>
  <c r="CF56" i="4"/>
  <c r="AC56" i="4"/>
  <c r="CL56" i="4"/>
  <c r="BP56" i="4"/>
  <c r="CB56" i="4"/>
  <c r="CC56" i="4"/>
  <c r="CM56" i="4"/>
  <c r="CI56" i="4"/>
  <c r="AE56" i="4"/>
  <c r="BN56" i="4"/>
  <c r="CH56" i="4"/>
  <c r="CK56" i="4"/>
  <c r="CJ56" i="4"/>
  <c r="AE71" i="4"/>
  <c r="CH71" i="4"/>
  <c r="CG71" i="4"/>
  <c r="AC71" i="4"/>
  <c r="CF71" i="4"/>
  <c r="CD71" i="4"/>
  <c r="CC71" i="4"/>
  <c r="CB71" i="4"/>
  <c r="CI71" i="4"/>
  <c r="CL71" i="4"/>
  <c r="AM71" i="4"/>
  <c r="BP71" i="4"/>
  <c r="CJ71" i="4"/>
  <c r="CE71" i="4"/>
  <c r="BW71" i="4" s="1"/>
  <c r="CM71" i="4"/>
  <c r="BN71" i="4"/>
  <c r="CK71" i="4"/>
  <c r="AK71" i="4"/>
  <c r="CD86" i="4"/>
  <c r="CH86" i="4"/>
  <c r="CG86" i="4"/>
  <c r="AE86" i="4"/>
  <c r="CF86" i="4"/>
  <c r="CL86" i="4"/>
  <c r="CE86" i="4"/>
  <c r="BN86" i="4"/>
  <c r="CM86" i="4"/>
  <c r="CK86" i="4"/>
  <c r="AM86" i="4"/>
  <c r="BP86" i="4"/>
  <c r="AK86" i="4"/>
  <c r="CJ86" i="4"/>
  <c r="AC86" i="4"/>
  <c r="CI86" i="4"/>
  <c r="CC86" i="4"/>
  <c r="CB86" i="4"/>
  <c r="CH76" i="4"/>
  <c r="AM76" i="4"/>
  <c r="CB76" i="4"/>
  <c r="CF76" i="4"/>
  <c r="CJ76" i="4"/>
  <c r="AK76" i="4"/>
  <c r="CC76" i="4"/>
  <c r="CG76" i="4"/>
  <c r="CK76" i="4"/>
  <c r="CL76" i="4"/>
  <c r="CM76" i="4"/>
  <c r="CD76" i="4"/>
  <c r="BP76" i="4"/>
  <c r="CI76" i="4"/>
  <c r="BN76" i="4"/>
  <c r="CE76" i="4"/>
  <c r="AE76" i="4"/>
  <c r="AC76" i="4"/>
  <c r="AC69" i="4"/>
  <c r="CH69" i="4"/>
  <c r="CD69" i="4"/>
  <c r="BP69" i="4"/>
  <c r="CM69" i="4"/>
  <c r="BN69" i="4"/>
  <c r="CG69" i="4"/>
  <c r="CC69" i="4"/>
  <c r="CK69" i="4"/>
  <c r="CI69" i="4"/>
  <c r="CF69" i="4"/>
  <c r="CE69" i="4"/>
  <c r="AE69" i="4"/>
  <c r="CB69" i="4"/>
  <c r="CL69" i="4"/>
  <c r="CJ69" i="4"/>
  <c r="AM69" i="4"/>
  <c r="AK69" i="4"/>
  <c r="BP50" i="4"/>
  <c r="CJ50" i="4"/>
  <c r="CB50" i="4"/>
  <c r="CC50" i="4"/>
  <c r="CH50" i="4"/>
  <c r="CM50" i="4"/>
  <c r="CL50" i="4"/>
  <c r="AC50" i="4"/>
  <c r="CG50" i="4"/>
  <c r="CF50" i="4"/>
  <c r="CE50" i="4"/>
  <c r="BN50" i="4"/>
  <c r="AM50" i="4"/>
  <c r="CI50" i="4"/>
  <c r="CD50" i="4"/>
  <c r="CK50" i="4"/>
  <c r="AE50" i="4"/>
  <c r="AK50" i="4"/>
  <c r="CT50" i="4" s="1"/>
  <c r="CU50" i="4" s="1"/>
  <c r="CD79" i="4"/>
  <c r="CK79" i="4"/>
  <c r="CG79" i="4"/>
  <c r="BP79" i="4"/>
  <c r="BN79" i="4"/>
  <c r="CH79" i="4"/>
  <c r="CI79" i="4"/>
  <c r="CC79" i="4"/>
  <c r="AM79" i="4"/>
  <c r="AE79" i="4"/>
  <c r="CF79" i="4"/>
  <c r="AK79" i="4"/>
  <c r="CE79" i="4"/>
  <c r="AC79" i="4"/>
  <c r="CM79" i="4"/>
  <c r="CJ79" i="4"/>
  <c r="CL79" i="4"/>
  <c r="CB79" i="4"/>
  <c r="CG73" i="4"/>
  <c r="AM73" i="4"/>
  <c r="CE73" i="4"/>
  <c r="BW73" i="4" s="1"/>
  <c r="CJ73" i="4"/>
  <c r="CK73" i="4"/>
  <c r="AE73" i="4"/>
  <c r="CB73" i="4"/>
  <c r="CL73" i="4"/>
  <c r="CM73" i="4"/>
  <c r="BN73" i="4"/>
  <c r="AK73" i="4"/>
  <c r="CI73" i="4"/>
  <c r="CC73" i="4"/>
  <c r="CH73" i="4"/>
  <c r="CD73" i="4"/>
  <c r="CF73" i="4"/>
  <c r="BP73" i="4"/>
  <c r="AC73" i="4"/>
  <c r="AK6" i="4"/>
  <c r="CE6" i="4"/>
  <c r="CB6" i="4"/>
  <c r="CJ6" i="4"/>
  <c r="CK6" i="4"/>
  <c r="CI6" i="4"/>
  <c r="CG6" i="4"/>
  <c r="BN6" i="4"/>
  <c r="CL6" i="4"/>
  <c r="BP6" i="4"/>
  <c r="CH6" i="4"/>
  <c r="CF6" i="4"/>
  <c r="AE6" i="4"/>
  <c r="CD6" i="4"/>
  <c r="AC6" i="4"/>
  <c r="CC6" i="4"/>
  <c r="AM6" i="4"/>
  <c r="CM6" i="4"/>
  <c r="BP92" i="4"/>
  <c r="AK92" i="4"/>
  <c r="AC92" i="4"/>
  <c r="CM92" i="4"/>
  <c r="CC92" i="4"/>
  <c r="CB92" i="4"/>
  <c r="CJ92" i="4"/>
  <c r="CI92" i="4"/>
  <c r="AM92" i="4"/>
  <c r="CH92" i="4"/>
  <c r="CD92" i="4"/>
  <c r="CK92" i="4"/>
  <c r="AE92" i="4"/>
  <c r="CG92" i="4"/>
  <c r="BN92" i="4"/>
  <c r="CE92" i="4"/>
  <c r="CF92" i="4"/>
  <c r="CL92" i="4"/>
  <c r="CB37" i="4"/>
  <c r="BP37" i="4"/>
  <c r="CH37" i="4"/>
  <c r="CI37" i="4"/>
  <c r="CE37" i="4"/>
  <c r="CJ37" i="4"/>
  <c r="CM37" i="4"/>
  <c r="AM37" i="4"/>
  <c r="AC37" i="4"/>
  <c r="CG37" i="4"/>
  <c r="CL37" i="4"/>
  <c r="AK37" i="4"/>
  <c r="CF37" i="4"/>
  <c r="BN37" i="4"/>
  <c r="CC37" i="4"/>
  <c r="AE37" i="4"/>
  <c r="CK37" i="4"/>
  <c r="CD37" i="4"/>
  <c r="CD13" i="4"/>
  <c r="CE13" i="4"/>
  <c r="BW13" i="4" s="1"/>
  <c r="AC13" i="4"/>
  <c r="CB13" i="4"/>
  <c r="CJ13" i="4"/>
  <c r="CK13" i="4"/>
  <c r="AM13" i="4"/>
  <c r="CL13" i="4"/>
  <c r="AE13" i="4"/>
  <c r="CM13" i="4"/>
  <c r="CF13" i="4"/>
  <c r="CH13" i="4"/>
  <c r="CG13" i="4"/>
  <c r="AK13" i="4"/>
  <c r="CT13" i="4" s="1"/>
  <c r="CU13" i="4" s="1"/>
  <c r="CI13" i="4"/>
  <c r="BN13" i="4"/>
  <c r="CC13" i="4"/>
  <c r="BP13" i="4"/>
  <c r="BN11" i="4"/>
  <c r="CJ11" i="4"/>
  <c r="CE11" i="4"/>
  <c r="AE11" i="4"/>
  <c r="CL11" i="4"/>
  <c r="CH11" i="4"/>
  <c r="CF11" i="4"/>
  <c r="CM11" i="4"/>
  <c r="CD11" i="4"/>
  <c r="CK11" i="4"/>
  <c r="AC11" i="4"/>
  <c r="CC11" i="4"/>
  <c r="CI11" i="4"/>
  <c r="BP11" i="4"/>
  <c r="AK11" i="4"/>
  <c r="AM11" i="4"/>
  <c r="CG11" i="4"/>
  <c r="CB11" i="4"/>
  <c r="CL90" i="4"/>
  <c r="CI90" i="4"/>
  <c r="CC90" i="4"/>
  <c r="CH90" i="4"/>
  <c r="AC90" i="4"/>
  <c r="CD90" i="4"/>
  <c r="AM90" i="4"/>
  <c r="CM90" i="4"/>
  <c r="CG90" i="4"/>
  <c r="AK90" i="4"/>
  <c r="CE90" i="4"/>
  <c r="BN90" i="4"/>
  <c r="CF90" i="4"/>
  <c r="CJ90" i="4"/>
  <c r="CB90" i="4"/>
  <c r="CK90" i="4"/>
  <c r="AE90" i="4"/>
  <c r="BP90" i="4"/>
  <c r="CD40" i="4"/>
  <c r="BN40" i="4"/>
  <c r="CC40" i="4"/>
  <c r="CJ40" i="4"/>
  <c r="AE40" i="4"/>
  <c r="CH40" i="4"/>
  <c r="AM40" i="4"/>
  <c r="AK40" i="4"/>
  <c r="AC40" i="4"/>
  <c r="CL40" i="4"/>
  <c r="CF40" i="4"/>
  <c r="CE40" i="4"/>
  <c r="CG40" i="4"/>
  <c r="CI40" i="4"/>
  <c r="BP40" i="4"/>
  <c r="CK40" i="4"/>
  <c r="CM40" i="4"/>
  <c r="CB40" i="4"/>
  <c r="CC88" i="4"/>
  <c r="CF88" i="4"/>
  <c r="CK88" i="4"/>
  <c r="CE88" i="4"/>
  <c r="CH88" i="4"/>
  <c r="BN88" i="4"/>
  <c r="BP88" i="4"/>
  <c r="AK88" i="4"/>
  <c r="AM88" i="4"/>
  <c r="CB88" i="4"/>
  <c r="CG88" i="4"/>
  <c r="AE88" i="4"/>
  <c r="CL88" i="4"/>
  <c r="AC88" i="4"/>
  <c r="CM88" i="4"/>
  <c r="CI88" i="4"/>
  <c r="CJ88" i="4"/>
  <c r="CD88" i="4"/>
  <c r="CK68" i="4"/>
  <c r="CG68" i="4"/>
  <c r="CB68" i="4"/>
  <c r="CL68" i="4"/>
  <c r="AC68" i="4"/>
  <c r="CJ68" i="4"/>
  <c r="CD68" i="4"/>
  <c r="AM68" i="4"/>
  <c r="CC68" i="4"/>
  <c r="CF68" i="4"/>
  <c r="CE68" i="4"/>
  <c r="CH68" i="4"/>
  <c r="BN68" i="4"/>
  <c r="BP68" i="4"/>
  <c r="AE68" i="4"/>
  <c r="CM68" i="4"/>
  <c r="CI68" i="4"/>
  <c r="AK68" i="4"/>
  <c r="CJ65" i="4"/>
  <c r="AK65" i="4"/>
  <c r="CT65" i="4" s="1"/>
  <c r="CU65" i="4" s="1"/>
  <c r="CH65" i="4"/>
  <c r="BN65" i="4"/>
  <c r="CK65" i="4"/>
  <c r="CC65" i="4"/>
  <c r="CL65" i="4"/>
  <c r="CD65" i="4"/>
  <c r="AC65" i="4"/>
  <c r="CI65" i="4"/>
  <c r="CM65" i="4"/>
  <c r="CB65" i="4"/>
  <c r="CG65" i="4"/>
  <c r="AE65" i="4"/>
  <c r="CE65" i="4"/>
  <c r="BW65" i="4" s="1"/>
  <c r="AM65" i="4"/>
  <c r="BP65" i="4"/>
  <c r="CF65" i="4"/>
  <c r="CL25" i="4"/>
  <c r="CF25" i="4"/>
  <c r="BN25" i="4"/>
  <c r="CD25" i="4"/>
  <c r="CG25" i="4"/>
  <c r="BP25" i="4"/>
  <c r="CH25" i="4"/>
  <c r="CK25" i="4"/>
  <c r="CJ25" i="4"/>
  <c r="CE25" i="4"/>
  <c r="AM25" i="4"/>
  <c r="AK25" i="4"/>
  <c r="CC25" i="4"/>
  <c r="CB25" i="4"/>
  <c r="AE25" i="4"/>
  <c r="CM25" i="4"/>
  <c r="CI25" i="4"/>
  <c r="AC25" i="4"/>
  <c r="E62" i="13"/>
  <c r="BS60" i="4"/>
  <c r="AV269" i="13"/>
  <c r="DB69" i="4"/>
  <c r="BU51" i="4" a="1"/>
  <c r="BU51" i="4" s="1"/>
  <c r="D51" i="4"/>
  <c r="C51" i="4"/>
  <c r="A53" i="9"/>
  <c r="BV51" i="4" a="1"/>
  <c r="BV51" i="4" s="1"/>
  <c r="D51" i="1"/>
  <c r="A51" i="20"/>
  <c r="A51" i="4"/>
  <c r="BC51" i="4" a="1"/>
  <c r="BC51" i="4" s="1"/>
  <c r="A1089" i="13"/>
  <c r="A990" i="13"/>
  <c r="AX990" i="13" s="1"/>
  <c r="A692" i="13"/>
  <c r="AX592" i="13"/>
  <c r="A791" i="13"/>
  <c r="AX791" i="13" s="1"/>
  <c r="A492" i="13"/>
  <c r="AX692" i="13"/>
  <c r="AX1089" i="13"/>
  <c r="AX92" i="13"/>
  <c r="A592" i="13"/>
  <c r="A1188" i="13"/>
  <c r="AX492" i="13"/>
  <c r="A891" i="13"/>
  <c r="AX891" i="13" s="1"/>
  <c r="A192" i="13"/>
  <c r="BU75" i="4" a="1"/>
  <c r="BU75" i="4" s="1"/>
  <c r="D75" i="4"/>
  <c r="A75" i="20"/>
  <c r="A77" i="9"/>
  <c r="BC75" i="4" a="1"/>
  <c r="BC75" i="4" s="1"/>
  <c r="D75" i="1"/>
  <c r="C75" i="4"/>
  <c r="BV75" i="4" a="1"/>
  <c r="BV75" i="4" s="1"/>
  <c r="BU64" i="4" a="1"/>
  <c r="BU64" i="4" s="1"/>
  <c r="A66" i="9"/>
  <c r="D64" i="1"/>
  <c r="S96" i="22"/>
  <c r="BV64" i="4" a="1"/>
  <c r="BV64" i="4" s="1"/>
  <c r="D64" i="4"/>
  <c r="C64" i="4"/>
  <c r="BC64" i="4" a="1"/>
  <c r="BC64" i="4" s="1"/>
  <c r="A64" i="20"/>
  <c r="DB6" i="4"/>
  <c r="AV208" i="13"/>
  <c r="T6" i="4"/>
  <c r="A1146" i="13"/>
  <c r="AX650" i="13"/>
  <c r="AX450" i="13"/>
  <c r="A450" i="13"/>
  <c r="A1047" i="13"/>
  <c r="AX550" i="13"/>
  <c r="A849" i="13"/>
  <c r="AX849" i="13" s="1"/>
  <c r="A749" i="13"/>
  <c r="AX749" i="13" s="1"/>
  <c r="A150" i="13"/>
  <c r="AX1047" i="13"/>
  <c r="A650" i="13"/>
  <c r="A550" i="13"/>
  <c r="A948" i="13"/>
  <c r="AX948" i="13" s="1"/>
  <c r="AX50" i="13"/>
  <c r="AV294" i="13"/>
  <c r="DB94" i="4"/>
  <c r="AV271" i="13"/>
  <c r="DB71" i="4"/>
  <c r="A690" i="13"/>
  <c r="A490" i="13"/>
  <c r="A988" i="13"/>
  <c r="AX988" i="13" s="1"/>
  <c r="AX490" i="13"/>
  <c r="AX590" i="13"/>
  <c r="A1186" i="13"/>
  <c r="AX90" i="13"/>
  <c r="AX690" i="13"/>
  <c r="A889" i="13"/>
  <c r="AX889" i="13" s="1"/>
  <c r="A190" i="13"/>
  <c r="AX1087" i="13"/>
  <c r="A590" i="13"/>
  <c r="A1087" i="13"/>
  <c r="A789" i="13"/>
  <c r="AX789" i="13" s="1"/>
  <c r="A1166" i="13"/>
  <c r="A570" i="13"/>
  <c r="A670" i="13"/>
  <c r="AX570" i="13"/>
  <c r="A470" i="13"/>
  <c r="A869" i="13"/>
  <c r="AX869" i="13" s="1"/>
  <c r="A1067" i="13"/>
  <c r="AX70" i="13"/>
  <c r="AX1067" i="13"/>
  <c r="A170" i="13"/>
  <c r="A769" i="13"/>
  <c r="AX769" i="13" s="1"/>
  <c r="A968" i="13"/>
  <c r="AX968" i="13" s="1"/>
  <c r="AX670" i="13"/>
  <c r="AX470" i="13"/>
  <c r="A467" i="13"/>
  <c r="A667" i="13"/>
  <c r="A866" i="13"/>
  <c r="AX866" i="13" s="1"/>
  <c r="A766" i="13"/>
  <c r="AX766" i="13" s="1"/>
  <c r="AX467" i="13"/>
  <c r="A167" i="13"/>
  <c r="A1064" i="13"/>
  <c r="AX1064" i="13"/>
  <c r="A1163" i="13"/>
  <c r="AX67" i="13"/>
  <c r="A567" i="13"/>
  <c r="A965" i="13"/>
  <c r="AX965" i="13" s="1"/>
  <c r="AX667" i="13"/>
  <c r="AX567" i="13"/>
  <c r="D3" i="9"/>
  <c r="AV293" i="13"/>
  <c r="DB93" i="4"/>
  <c r="AV268" i="13"/>
  <c r="DB68" i="4"/>
  <c r="AX554" i="13"/>
  <c r="A1051" i="13"/>
  <c r="A554" i="13"/>
  <c r="A853" i="13"/>
  <c r="AX853" i="13" s="1"/>
  <c r="A753" i="13"/>
  <c r="AX753" i="13" s="1"/>
  <c r="AX54" i="13"/>
  <c r="A454" i="13"/>
  <c r="A654" i="13"/>
  <c r="A154" i="13"/>
  <c r="AX454" i="13"/>
  <c r="A1150" i="13"/>
  <c r="AX654" i="13"/>
  <c r="A952" i="13"/>
  <c r="AX952" i="13" s="1"/>
  <c r="AX1051" i="13"/>
  <c r="A484" i="13"/>
  <c r="AX484" i="13"/>
  <c r="A1081" i="13"/>
  <c r="AX584" i="13"/>
  <c r="A783" i="13"/>
  <c r="AX783" i="13" s="1"/>
  <c r="A184" i="13"/>
  <c r="AX684" i="13"/>
  <c r="A584" i="13"/>
  <c r="AX84" i="13"/>
  <c r="A883" i="13"/>
  <c r="AX883" i="13" s="1"/>
  <c r="A684" i="13"/>
  <c r="AX1081" i="13"/>
  <c r="A982" i="13"/>
  <c r="AX982" i="13" s="1"/>
  <c r="A1180" i="13"/>
  <c r="D78" i="4"/>
  <c r="BC78" i="4" a="1"/>
  <c r="BC78" i="4" s="1"/>
  <c r="A78" i="20"/>
  <c r="BU78" i="4" a="1"/>
  <c r="BU78" i="4" s="1"/>
  <c r="BV78" i="4" a="1"/>
  <c r="BV78" i="4" s="1"/>
  <c r="C78" i="4"/>
  <c r="A80" i="9"/>
  <c r="D78" i="1"/>
  <c r="BV72" i="4" a="1"/>
  <c r="BV72" i="4" s="1"/>
  <c r="C72" i="4"/>
  <c r="A74" i="9"/>
  <c r="BU72" i="4" a="1"/>
  <c r="BU72" i="4" s="1"/>
  <c r="BC72" i="4" a="1"/>
  <c r="BC72" i="4" s="1"/>
  <c r="D72" i="1"/>
  <c r="D72" i="4"/>
  <c r="A72" i="20"/>
  <c r="AV296" i="13"/>
  <c r="DB96" i="4"/>
  <c r="BC83" i="4" a="1"/>
  <c r="BC83" i="4" s="1"/>
  <c r="C83" i="4"/>
  <c r="BU83" i="4" a="1"/>
  <c r="BU83" i="4" s="1"/>
  <c r="BV83" i="4" a="1"/>
  <c r="BV83" i="4" s="1"/>
  <c r="D83" i="1"/>
  <c r="D83" i="4"/>
  <c r="A83" i="20"/>
  <c r="A85" i="9"/>
  <c r="A1079" i="13"/>
  <c r="AX682" i="13"/>
  <c r="A781" i="13"/>
  <c r="AX781" i="13" s="1"/>
  <c r="A1178" i="13"/>
  <c r="AX482" i="13"/>
  <c r="A682" i="13"/>
  <c r="A582" i="13"/>
  <c r="A881" i="13"/>
  <c r="AX881" i="13" s="1"/>
  <c r="AX582" i="13"/>
  <c r="A182" i="13"/>
  <c r="A980" i="13"/>
  <c r="AX980" i="13" s="1"/>
  <c r="AX82" i="13"/>
  <c r="A482" i="13"/>
  <c r="AX1079" i="13"/>
  <c r="AX61" i="13"/>
  <c r="A461" i="13"/>
  <c r="A1157" i="13"/>
  <c r="A760" i="13"/>
  <c r="AX760" i="13" s="1"/>
  <c r="A561" i="13"/>
  <c r="A1058" i="13"/>
  <c r="AX661" i="13"/>
  <c r="A959" i="13"/>
  <c r="AX959" i="13" s="1"/>
  <c r="AX561" i="13"/>
  <c r="A661" i="13"/>
  <c r="AX461" i="13"/>
  <c r="A860" i="13"/>
  <c r="AX860" i="13" s="1"/>
  <c r="AX1058" i="13"/>
  <c r="A161" i="13"/>
  <c r="A30" i="20"/>
  <c r="A32" i="9"/>
  <c r="C30" i="4"/>
  <c r="BV30" i="4" a="1"/>
  <c r="BV30" i="4" s="1"/>
  <c r="BU30" i="4" a="1"/>
  <c r="BU30" i="4" s="1"/>
  <c r="A30" i="4"/>
  <c r="D30" i="4"/>
  <c r="BC30" i="4" a="1"/>
  <c r="BC30" i="4" s="1"/>
  <c r="D30" i="1"/>
  <c r="BU18" i="4" a="1"/>
  <c r="BU18" i="4" s="1"/>
  <c r="A20" i="9"/>
  <c r="H20" i="9" s="1"/>
  <c r="A18" i="20"/>
  <c r="D18" i="1"/>
  <c r="BV18" i="4" a="1"/>
  <c r="BV18" i="4" s="1"/>
  <c r="A18" i="4"/>
  <c r="D18" i="4"/>
  <c r="BC18" i="4" a="1"/>
  <c r="BC18" i="4" s="1"/>
  <c r="C18" i="4"/>
  <c r="AV257" i="13"/>
  <c r="DB57" i="4"/>
  <c r="CT36" i="4"/>
  <c r="CU36" i="4" s="1"/>
  <c r="AS36" i="4"/>
  <c r="AV638" i="13" s="1"/>
  <c r="AX36" i="4"/>
  <c r="CT24" i="4"/>
  <c r="CU24" i="4" s="1"/>
  <c r="AS24" i="4"/>
  <c r="AV626" i="13" s="1"/>
  <c r="AX24" i="4"/>
  <c r="AS12" i="4"/>
  <c r="AV614" i="13" s="1"/>
  <c r="AX12" i="4"/>
  <c r="AX689" i="13"/>
  <c r="AX1086" i="13"/>
  <c r="AX89" i="13"/>
  <c r="A987" i="13"/>
  <c r="AX987" i="13" s="1"/>
  <c r="AX489" i="13"/>
  <c r="A189" i="13"/>
  <c r="A1086" i="13"/>
  <c r="A788" i="13"/>
  <c r="AX788" i="13" s="1"/>
  <c r="A589" i="13"/>
  <c r="A1185" i="13"/>
  <c r="A888" i="13"/>
  <c r="AX888" i="13" s="1"/>
  <c r="A489" i="13"/>
  <c r="AX589" i="13"/>
  <c r="A689" i="13"/>
  <c r="A1084" i="13"/>
  <c r="A587" i="13"/>
  <c r="A886" i="13"/>
  <c r="AX886" i="13" s="1"/>
  <c r="A687" i="13"/>
  <c r="A487" i="13"/>
  <c r="AX487" i="13"/>
  <c r="A187" i="13"/>
  <c r="A786" i="13"/>
  <c r="AX786" i="13" s="1"/>
  <c r="AX587" i="13"/>
  <c r="AX87" i="13"/>
  <c r="A985" i="13"/>
  <c r="AX985" i="13" s="1"/>
  <c r="AX687" i="13"/>
  <c r="AX1084" i="13"/>
  <c r="A1183" i="13"/>
  <c r="BU61" i="4" a="1"/>
  <c r="BU61" i="4" s="1"/>
  <c r="A63" i="9"/>
  <c r="A61" i="20"/>
  <c r="S93" i="22"/>
  <c r="BC61" i="4" a="1"/>
  <c r="BC61" i="4" s="1"/>
  <c r="D61" i="1"/>
  <c r="C61" i="4"/>
  <c r="BV61" i="4" a="1"/>
  <c r="BV61" i="4" s="1"/>
  <c r="D61" i="4"/>
  <c r="AV256" i="13"/>
  <c r="DB56" i="4"/>
  <c r="AS5" i="4"/>
  <c r="AV607" i="13" s="1"/>
  <c r="AX5" i="4"/>
  <c r="CT5" i="4"/>
  <c r="CU5" i="4" s="1"/>
  <c r="CT68" i="4"/>
  <c r="CU68" i="4" s="1"/>
  <c r="AS68" i="4"/>
  <c r="AV670" i="13" s="1"/>
  <c r="AX68" i="4"/>
  <c r="AX65" i="4"/>
  <c r="AS65" i="4"/>
  <c r="AV667" i="13" s="1"/>
  <c r="A607" i="13"/>
  <c r="A706" i="13"/>
  <c r="AX706" i="13" s="1"/>
  <c r="A407" i="13"/>
  <c r="AX407" i="13"/>
  <c r="A107" i="13"/>
  <c r="A507" i="13"/>
  <c r="A1004" i="13"/>
  <c r="AX507" i="13"/>
  <c r="AX1004" i="13"/>
  <c r="AX607" i="13"/>
  <c r="A905" i="13"/>
  <c r="AX905" i="13" s="1"/>
  <c r="A1103" i="13"/>
  <c r="AX7" i="13"/>
  <c r="A806" i="13"/>
  <c r="AX806" i="13" s="1"/>
  <c r="D81" i="1"/>
  <c r="BV81" i="4" a="1"/>
  <c r="BV81" i="4" s="1"/>
  <c r="BC81" i="4" a="1"/>
  <c r="BC81" i="4" s="1"/>
  <c r="D81" i="4"/>
  <c r="A81" i="20"/>
  <c r="C81" i="4"/>
  <c r="BU81" i="4" a="1"/>
  <c r="BU81" i="4" s="1"/>
  <c r="A83" i="9"/>
  <c r="A72" i="9"/>
  <c r="D70" i="1"/>
  <c r="C70" i="4"/>
  <c r="D70" i="4"/>
  <c r="BV70" i="4" a="1"/>
  <c r="BV70" i="4" s="1"/>
  <c r="A70" i="20"/>
  <c r="BC70" i="4" a="1"/>
  <c r="BC70" i="4" s="1"/>
  <c r="BU70" i="4" a="1"/>
  <c r="BU70" i="4" s="1"/>
  <c r="AX1390" i="13"/>
  <c r="A1489" i="13"/>
  <c r="DB92" i="4"/>
  <c r="AV292" i="13"/>
  <c r="AV277" i="13"/>
  <c r="DB77" i="4"/>
  <c r="A50" i="9"/>
  <c r="D48" i="1"/>
  <c r="C48" i="4"/>
  <c r="A48" i="20"/>
  <c r="A48" i="4"/>
  <c r="BU48" i="4" a="1"/>
  <c r="BU48" i="4" s="1"/>
  <c r="BV48" i="4" a="1"/>
  <c r="BV48" i="4" s="1"/>
  <c r="D48" i="4"/>
  <c r="BC48" i="4" a="1"/>
  <c r="BC48" i="4" s="1"/>
  <c r="A436" i="13"/>
  <c r="AX536" i="13"/>
  <c r="AX436" i="13"/>
  <c r="A835" i="13"/>
  <c r="AX835" i="13" s="1"/>
  <c r="A136" i="13"/>
  <c r="A1132" i="13"/>
  <c r="A934" i="13"/>
  <c r="AX934" i="13" s="1"/>
  <c r="A735" i="13"/>
  <c r="AX735" i="13" s="1"/>
  <c r="A636" i="13"/>
  <c r="A536" i="13"/>
  <c r="AX1033" i="13"/>
  <c r="AX636" i="13"/>
  <c r="AX36" i="13"/>
  <c r="A1033" i="13"/>
  <c r="A1498" i="13"/>
  <c r="AV1503" i="13"/>
  <c r="AV1602" i="13" s="1"/>
  <c r="AV1399" i="13"/>
  <c r="Z1503" i="13"/>
  <c r="AX1399" i="13"/>
  <c r="CT87" i="4"/>
  <c r="CU87" i="4" s="1"/>
  <c r="AS87" i="4"/>
  <c r="AV689" i="13" s="1"/>
  <c r="AX87" i="4"/>
  <c r="AS61" i="4"/>
  <c r="AV663" i="13" s="1"/>
  <c r="AX61" i="4"/>
  <c r="CT61" i="4"/>
  <c r="CU61" i="4" s="1"/>
  <c r="A52" i="20"/>
  <c r="A52" i="4"/>
  <c r="D52" i="1"/>
  <c r="A54" i="9"/>
  <c r="BC52" i="4" a="1"/>
  <c r="BC52" i="4" s="1"/>
  <c r="D52" i="4"/>
  <c r="BU52" i="4" a="1"/>
  <c r="BU52" i="4" s="1"/>
  <c r="BV52" i="4" a="1"/>
  <c r="BV52" i="4" s="1"/>
  <c r="C52" i="4"/>
  <c r="BU82" i="4" a="1"/>
  <c r="BU82" i="4" s="1"/>
  <c r="BC82" i="4" a="1"/>
  <c r="BC82" i="4" s="1"/>
  <c r="D82" i="4"/>
  <c r="D82" i="1"/>
  <c r="C82" i="4"/>
  <c r="A82" i="20"/>
  <c r="BV82" i="4" a="1"/>
  <c r="BV82" i="4" s="1"/>
  <c r="A84" i="9"/>
  <c r="A480" i="13"/>
  <c r="A1077" i="13"/>
  <c r="AX580" i="13"/>
  <c r="A680" i="13"/>
  <c r="A779" i="13"/>
  <c r="AX779" i="13" s="1"/>
  <c r="AX80" i="13"/>
  <c r="AX680" i="13"/>
  <c r="A580" i="13"/>
  <c r="AX480" i="13"/>
  <c r="A978" i="13"/>
  <c r="AX978" i="13" s="1"/>
  <c r="A180" i="13"/>
  <c r="A879" i="13"/>
  <c r="AX879" i="13" s="1"/>
  <c r="AX1077" i="13"/>
  <c r="A1176" i="13"/>
  <c r="A1170" i="13"/>
  <c r="A674" i="13"/>
  <c r="A474" i="13"/>
  <c r="AX1071" i="13"/>
  <c r="AX474" i="13"/>
  <c r="AX574" i="13"/>
  <c r="A174" i="13"/>
  <c r="A1071" i="13"/>
  <c r="A873" i="13"/>
  <c r="AX873" i="13" s="1"/>
  <c r="A972" i="13"/>
  <c r="AX972" i="13" s="1"/>
  <c r="AX674" i="13"/>
  <c r="AX74" i="13"/>
  <c r="A773" i="13"/>
  <c r="AX773" i="13" s="1"/>
  <c r="A574" i="13"/>
  <c r="A884" i="13"/>
  <c r="AX884" i="13" s="1"/>
  <c r="AX685" i="13"/>
  <c r="AX585" i="13"/>
  <c r="AX1082" i="13"/>
  <c r="AX85" i="13"/>
  <c r="A1082" i="13"/>
  <c r="AX485" i="13"/>
  <c r="A983" i="13"/>
  <c r="AX983" i="13" s="1"/>
  <c r="A1181" i="13"/>
  <c r="A485" i="13"/>
  <c r="A585" i="13"/>
  <c r="A685" i="13"/>
  <c r="A185" i="13"/>
  <c r="A784" i="13"/>
  <c r="AX784" i="13" s="1"/>
  <c r="D80" i="1"/>
  <c r="A82" i="9"/>
  <c r="D80" i="4"/>
  <c r="BU80" i="4" a="1"/>
  <c r="BU80" i="4" s="1"/>
  <c r="A80" i="20"/>
  <c r="BV80" i="4" a="1"/>
  <c r="BV80" i="4" s="1"/>
  <c r="C80" i="4"/>
  <c r="BC80" i="4" a="1"/>
  <c r="BC80" i="4" s="1"/>
  <c r="BU59" i="4" a="1"/>
  <c r="BU59" i="4" s="1"/>
  <c r="S91" i="22"/>
  <c r="D59" i="1"/>
  <c r="A61" i="9"/>
  <c r="A59" i="20"/>
  <c r="D59" i="4"/>
  <c r="C59" i="4"/>
  <c r="BV59" i="4" a="1"/>
  <c r="BV59" i="4" s="1"/>
  <c r="BC59" i="4" a="1"/>
  <c r="BC59" i="4" s="1"/>
  <c r="A1029" i="13"/>
  <c r="A831" i="13"/>
  <c r="AX831" i="13" s="1"/>
  <c r="AX632" i="13"/>
  <c r="AX432" i="13"/>
  <c r="A432" i="13"/>
  <c r="A632" i="13"/>
  <c r="AX1029" i="13"/>
  <c r="A731" i="13"/>
  <c r="AX731" i="13" s="1"/>
  <c r="A532" i="13"/>
  <c r="A132" i="13"/>
  <c r="A930" i="13"/>
  <c r="AX930" i="13" s="1"/>
  <c r="A1128" i="13"/>
  <c r="AX32" i="13"/>
  <c r="AX532" i="13"/>
  <c r="A819" i="13"/>
  <c r="AX819" i="13" s="1"/>
  <c r="A719" i="13"/>
  <c r="AX719" i="13" s="1"/>
  <c r="A1116" i="13"/>
  <c r="A620" i="13"/>
  <c r="AX20" i="13"/>
  <c r="AX420" i="13"/>
  <c r="AX620" i="13"/>
  <c r="A1017" i="13"/>
  <c r="A120" i="13"/>
  <c r="A918" i="13"/>
  <c r="AX918" i="13" s="1"/>
  <c r="AX520" i="13"/>
  <c r="A520" i="13"/>
  <c r="AX1017" i="13"/>
  <c r="A420" i="13"/>
  <c r="D87" i="1"/>
  <c r="A89" i="9"/>
  <c r="BV87" i="4" a="1"/>
  <c r="BV87" i="4" s="1"/>
  <c r="C87" i="4"/>
  <c r="A87" i="20"/>
  <c r="BC87" i="4" a="1"/>
  <c r="BC87" i="4" s="1"/>
  <c r="D87" i="4"/>
  <c r="BU87" i="4" a="1"/>
  <c r="BU87" i="4" s="1"/>
  <c r="A87" i="9"/>
  <c r="BV85" i="4" a="1"/>
  <c r="BV85" i="4" s="1"/>
  <c r="D85" i="1"/>
  <c r="BU85" i="4" a="1"/>
  <c r="BU85" i="4" s="1"/>
  <c r="C85" i="4"/>
  <c r="A85" i="20"/>
  <c r="D85" i="4"/>
  <c r="BC85" i="4" a="1"/>
  <c r="BC85" i="4" s="1"/>
  <c r="A463" i="13"/>
  <c r="AX463" i="13"/>
  <c r="A762" i="13"/>
  <c r="AX762" i="13" s="1"/>
  <c r="A663" i="13"/>
  <c r="AX663" i="13"/>
  <c r="A163" i="13"/>
  <c r="AX563" i="13"/>
  <c r="AX1060" i="13"/>
  <c r="A862" i="13"/>
  <c r="AX862" i="13" s="1"/>
  <c r="A1060" i="13"/>
  <c r="A1159" i="13"/>
  <c r="AX63" i="13"/>
  <c r="A961" i="13"/>
  <c r="AX961" i="13" s="1"/>
  <c r="A563" i="13"/>
  <c r="A9" i="9"/>
  <c r="H9" i="9" s="1"/>
  <c r="BC7" i="4" a="1"/>
  <c r="BC7" i="4" s="1"/>
  <c r="BV7" i="4" a="1"/>
  <c r="BV7" i="4" s="1"/>
  <c r="A7" i="20"/>
  <c r="D7" i="4"/>
  <c r="C7" i="4"/>
  <c r="A7" i="4"/>
  <c r="D7" i="1"/>
  <c r="BU7" i="4" a="1"/>
  <c r="BU7" i="4" s="1"/>
  <c r="AS13" i="4"/>
  <c r="AV615" i="13" s="1"/>
  <c r="AX13" i="4"/>
  <c r="AS50" i="4"/>
  <c r="AV652" i="13" s="1"/>
  <c r="AX50" i="4"/>
  <c r="CT88" i="4"/>
  <c r="CU88" i="4" s="1"/>
  <c r="AS88" i="4"/>
  <c r="AV690" i="13" s="1"/>
  <c r="AX88" i="4"/>
  <c r="AX11" i="4"/>
  <c r="AS11" i="4"/>
  <c r="AV613" i="13" s="1"/>
  <c r="A5" i="4"/>
  <c r="A7" i="9"/>
  <c r="H7" i="9" s="1"/>
  <c r="D5" i="1"/>
  <c r="D5" i="4"/>
  <c r="C5" i="4"/>
  <c r="A5" i="20"/>
  <c r="BC5" i="4" a="1"/>
  <c r="BC5" i="4" s="1"/>
  <c r="BU5" i="4" a="1"/>
  <c r="BU5" i="4" s="1"/>
  <c r="BV5" i="4" a="1"/>
  <c r="BV5" i="4" s="1"/>
  <c r="A1179" i="13"/>
  <c r="A782" i="13"/>
  <c r="AX782" i="13" s="1"/>
  <c r="A183" i="13"/>
  <c r="AX483" i="13"/>
  <c r="A683" i="13"/>
  <c r="AX83" i="13"/>
  <c r="A583" i="13"/>
  <c r="A981" i="13"/>
  <c r="AX981" i="13" s="1"/>
  <c r="A882" i="13"/>
  <c r="AX882" i="13" s="1"/>
  <c r="AX1080" i="13"/>
  <c r="AX683" i="13"/>
  <c r="A1080" i="13"/>
  <c r="A483" i="13"/>
  <c r="AX583" i="13"/>
  <c r="A1069" i="13"/>
  <c r="AX72" i="13"/>
  <c r="A771" i="13"/>
  <c r="AX771" i="13" s="1"/>
  <c r="A172" i="13"/>
  <c r="A970" i="13"/>
  <c r="AX970" i="13" s="1"/>
  <c r="AX672" i="13"/>
  <c r="AX472" i="13"/>
  <c r="A871" i="13"/>
  <c r="AX871" i="13" s="1"/>
  <c r="A672" i="13"/>
  <c r="A472" i="13"/>
  <c r="A1168" i="13"/>
  <c r="A572" i="13"/>
  <c r="AX1069" i="13"/>
  <c r="AX572" i="13"/>
  <c r="DB66" i="4"/>
  <c r="AV266" i="13"/>
  <c r="BC12" i="4" a="1"/>
  <c r="BC12" i="4" s="1"/>
  <c r="BU12" i="4" a="1"/>
  <c r="BU12" i="4" s="1"/>
  <c r="A12" i="4"/>
  <c r="D12" i="1"/>
  <c r="A14" i="9"/>
  <c r="H14" i="9" s="1"/>
  <c r="A12" i="20"/>
  <c r="C12" i="4"/>
  <c r="D12" i="4"/>
  <c r="BV12" i="4" a="1"/>
  <c r="BV12" i="4" s="1"/>
  <c r="J5" i="27"/>
  <c r="BU34" i="4" a="1"/>
  <c r="BU34" i="4" s="1"/>
  <c r="A36" i="9"/>
  <c r="BC34" i="4" a="1"/>
  <c r="BC34" i="4" s="1"/>
  <c r="A34" i="4"/>
  <c r="C34" i="4"/>
  <c r="A34" i="20"/>
  <c r="D34" i="4"/>
  <c r="BV34" i="4" a="1"/>
  <c r="BV34" i="4" s="1"/>
  <c r="D34" i="1"/>
  <c r="AV249" i="13"/>
  <c r="DB49" i="4"/>
  <c r="CT85" i="4"/>
  <c r="CU85" i="4" s="1"/>
  <c r="AS85" i="4"/>
  <c r="AV687" i="13" s="1"/>
  <c r="AX85" i="4"/>
  <c r="CT4" i="4"/>
  <c r="CU4" i="4" s="1"/>
  <c r="AX4" i="4"/>
  <c r="AS4" i="4"/>
  <c r="AV606" i="13" s="1"/>
  <c r="DA4" i="4"/>
  <c r="AL4" i="4"/>
  <c r="I4" i="69" s="1"/>
  <c r="AX1043" i="13"/>
  <c r="A1043" i="13"/>
  <c r="A446" i="13"/>
  <c r="AX446" i="13"/>
  <c r="AX646" i="13"/>
  <c r="A845" i="13"/>
  <c r="AX845" i="13" s="1"/>
  <c r="A1142" i="13"/>
  <c r="A646" i="13"/>
  <c r="AX46" i="13"/>
  <c r="A944" i="13"/>
  <c r="AX944" i="13" s="1"/>
  <c r="A146" i="13"/>
  <c r="AX546" i="13"/>
  <c r="A546" i="13"/>
  <c r="A745" i="13"/>
  <c r="AX745" i="13" s="1"/>
  <c r="A1027" i="13"/>
  <c r="A928" i="13"/>
  <c r="AX928" i="13" s="1"/>
  <c r="A729" i="13"/>
  <c r="AX729" i="13" s="1"/>
  <c r="AX1027" i="13"/>
  <c r="AX630" i="13"/>
  <c r="A430" i="13"/>
  <c r="AX530" i="13"/>
  <c r="A530" i="13"/>
  <c r="AX430" i="13"/>
  <c r="A630" i="13"/>
  <c r="A1126" i="13"/>
  <c r="A829" i="13"/>
  <c r="AX829" i="13" s="1"/>
  <c r="AX30" i="13"/>
  <c r="A130" i="13"/>
  <c r="A817" i="13"/>
  <c r="AX817" i="13" s="1"/>
  <c r="A916" i="13"/>
  <c r="AX916" i="13" s="1"/>
  <c r="A618" i="13"/>
  <c r="A118" i="13"/>
  <c r="AX518" i="13"/>
  <c r="AX18" i="13"/>
  <c r="AX1015" i="13"/>
  <c r="A1015" i="13"/>
  <c r="AX418" i="13"/>
  <c r="AX618" i="13"/>
  <c r="A717" i="13"/>
  <c r="AX717" i="13" s="1"/>
  <c r="A418" i="13"/>
  <c r="A518" i="13"/>
  <c r="A1114" i="13"/>
  <c r="AS90" i="4"/>
  <c r="AV692" i="13" s="1"/>
  <c r="AX90" i="4"/>
  <c r="AS75" i="4"/>
  <c r="AV677" i="13" s="1"/>
  <c r="AX75" i="4"/>
  <c r="CT75" i="4"/>
  <c r="CU75" i="4" s="1"/>
  <c r="AX64" i="4"/>
  <c r="AS64" i="4"/>
  <c r="AV666" i="13" s="1"/>
  <c r="AS70" i="4"/>
  <c r="AV672" i="13" s="1"/>
  <c r="AX70" i="4"/>
  <c r="CT29" i="4"/>
  <c r="CU29" i="4" s="1"/>
  <c r="AX29" i="4"/>
  <c r="AS29" i="4"/>
  <c r="AV631" i="13" s="1"/>
  <c r="AS17" i="4"/>
  <c r="AV619" i="13" s="1"/>
  <c r="AX17" i="4"/>
  <c r="CT17" i="4"/>
  <c r="CU17" i="4" s="1"/>
  <c r="CT63" i="4"/>
  <c r="CU63" i="4" s="1"/>
  <c r="AS63" i="4"/>
  <c r="AV665" i="13" s="1"/>
  <c r="AX63" i="4"/>
  <c r="A32" i="20"/>
  <c r="A32" i="4"/>
  <c r="BV32" i="4" a="1"/>
  <c r="BV32" i="4" s="1"/>
  <c r="BU32" i="4" a="1"/>
  <c r="BU32" i="4" s="1"/>
  <c r="A34" i="9"/>
  <c r="D32" i="1"/>
  <c r="D32" i="4"/>
  <c r="BC32" i="4" a="1"/>
  <c r="BC32" i="4" s="1"/>
  <c r="C32" i="4"/>
  <c r="F12" i="5"/>
  <c r="F18" i="5"/>
  <c r="A708" i="13"/>
  <c r="AX708" i="13" s="1"/>
  <c r="A609" i="13"/>
  <c r="A1006" i="13"/>
  <c r="AX1006" i="13"/>
  <c r="A907" i="13"/>
  <c r="AX907" i="13" s="1"/>
  <c r="AX9" i="13"/>
  <c r="AX409" i="13"/>
  <c r="A109" i="13"/>
  <c r="A1105" i="13"/>
  <c r="A808" i="13"/>
  <c r="AX808" i="13" s="1"/>
  <c r="AX609" i="13"/>
  <c r="AX509" i="13"/>
  <c r="A509" i="13"/>
  <c r="A409" i="13"/>
  <c r="CT47" i="4"/>
  <c r="CU47" i="4" s="1"/>
  <c r="AS47" i="4"/>
  <c r="AV649" i="13" s="1"/>
  <c r="AX47" i="4"/>
  <c r="A514" i="13"/>
  <c r="A813" i="13"/>
  <c r="AX813" i="13" s="1"/>
  <c r="AX14" i="13"/>
  <c r="AX414" i="13"/>
  <c r="AX614" i="13"/>
  <c r="AX514" i="13"/>
  <c r="A1110" i="13"/>
  <c r="A912" i="13"/>
  <c r="AX912" i="13" s="1"/>
  <c r="A1011" i="13"/>
  <c r="A713" i="13"/>
  <c r="AX713" i="13" s="1"/>
  <c r="A414" i="13"/>
  <c r="A614" i="13"/>
  <c r="A114" i="13"/>
  <c r="AX1011" i="13"/>
  <c r="B4" i="4"/>
  <c r="BA4" i="4" a="1"/>
  <c r="BA4" i="4" s="1"/>
  <c r="BB4" i="4" s="1"/>
  <c r="AV106" i="13" s="1"/>
  <c r="J6" i="27"/>
  <c r="CT54" i="4"/>
  <c r="CU54" i="4" s="1"/>
  <c r="AS54" i="4"/>
  <c r="AV656" i="13" s="1"/>
  <c r="AX54" i="4"/>
  <c r="AS55" i="4"/>
  <c r="AV657" i="13" s="1"/>
  <c r="AX55" i="4"/>
  <c r="A839" i="13"/>
  <c r="AX839" i="13" s="1"/>
  <c r="A1136" i="13"/>
  <c r="A938" i="13"/>
  <c r="AX938" i="13" s="1"/>
  <c r="AX40" i="13"/>
  <c r="A140" i="13"/>
  <c r="A739" i="13"/>
  <c r="AX739" i="13" s="1"/>
  <c r="A440" i="13"/>
  <c r="A640" i="13"/>
  <c r="AX1037" i="13"/>
  <c r="AX640" i="13"/>
  <c r="A1037" i="13"/>
  <c r="AX540" i="13"/>
  <c r="AX440" i="13"/>
  <c r="A540" i="13"/>
  <c r="A528" i="13"/>
  <c r="A428" i="13"/>
  <c r="AX628" i="13"/>
  <c r="AX28" i="13"/>
  <c r="A1124" i="13"/>
  <c r="A628" i="13"/>
  <c r="A727" i="13"/>
  <c r="AX727" i="13" s="1"/>
  <c r="AX428" i="13"/>
  <c r="A1025" i="13"/>
  <c r="A827" i="13"/>
  <c r="AX827" i="13" s="1"/>
  <c r="A926" i="13"/>
  <c r="AX926" i="13" s="1"/>
  <c r="AX528" i="13"/>
  <c r="AX1025" i="13"/>
  <c r="A128" i="13"/>
  <c r="D14" i="4"/>
  <c r="C14" i="4"/>
  <c r="A16" i="9"/>
  <c r="H16" i="9" s="1"/>
  <c r="A14" i="4"/>
  <c r="D14" i="1"/>
  <c r="BC14" i="4" a="1"/>
  <c r="BC14" i="4" s="1"/>
  <c r="BU14" i="4" a="1"/>
  <c r="BU14" i="4" s="1"/>
  <c r="A14" i="20"/>
  <c r="BV14" i="4" a="1"/>
  <c r="BV14" i="4" s="1"/>
  <c r="DB46" i="4"/>
  <c r="AV246" i="13"/>
  <c r="AV286" i="13"/>
  <c r="DB86" i="4"/>
  <c r="DB65" i="4"/>
  <c r="AV265" i="13"/>
  <c r="BV33" i="4" a="1"/>
  <c r="BV33" i="4" s="1"/>
  <c r="BC33" i="4" a="1"/>
  <c r="BC33" i="4" s="1"/>
  <c r="C33" i="4"/>
  <c r="D33" i="1"/>
  <c r="A35" i="9"/>
  <c r="A33" i="4"/>
  <c r="D33" i="4"/>
  <c r="BU33" i="4" a="1"/>
  <c r="BU33" i="4" s="1"/>
  <c r="A33" i="20"/>
  <c r="CT51" i="4"/>
  <c r="CU51" i="4" s="1"/>
  <c r="AS51" i="4"/>
  <c r="AV653" i="13" s="1"/>
  <c r="AX51" i="4"/>
  <c r="A44" i="20"/>
  <c r="BC44" i="4" a="1"/>
  <c r="BC44" i="4" s="1"/>
  <c r="BU44" i="4" a="1"/>
  <c r="BU44" i="4" s="1"/>
  <c r="A46" i="9"/>
  <c r="D44" i="4"/>
  <c r="A44" i="4"/>
  <c r="C44" i="4"/>
  <c r="BV44" i="4" a="1"/>
  <c r="BV44" i="4" s="1"/>
  <c r="D44" i="1"/>
  <c r="A28" i="20"/>
  <c r="D28" i="4"/>
  <c r="BU28" i="4" a="1"/>
  <c r="BU28" i="4" s="1"/>
  <c r="C28" i="4"/>
  <c r="A28" i="4"/>
  <c r="D28" i="1"/>
  <c r="A30" i="9"/>
  <c r="BC28" i="4" a="1"/>
  <c r="BC28" i="4" s="1"/>
  <c r="BV28" i="4" a="1"/>
  <c r="BV28" i="4" s="1"/>
  <c r="BU16" i="4" a="1"/>
  <c r="BU16" i="4" s="1"/>
  <c r="D16" i="4"/>
  <c r="A16" i="4"/>
  <c r="BV16" i="4" a="1"/>
  <c r="BV16" i="4" s="1"/>
  <c r="A16" i="20"/>
  <c r="D16" i="1"/>
  <c r="C16" i="4"/>
  <c r="A18" i="9"/>
  <c r="H18" i="9" s="1"/>
  <c r="BC16" i="4" a="1"/>
  <c r="BC16" i="4" s="1"/>
  <c r="AS81" i="4"/>
  <c r="AV683" i="13" s="1"/>
  <c r="AX81" i="4"/>
  <c r="CT81" i="4"/>
  <c r="CU81" i="4" s="1"/>
  <c r="CT58" i="4"/>
  <c r="CU58" i="4" s="1"/>
  <c r="AS58" i="4"/>
  <c r="AV660" i="13" s="1"/>
  <c r="AX58" i="4"/>
  <c r="DB8" i="4"/>
  <c r="AV210" i="13"/>
  <c r="DB24" i="4"/>
  <c r="AV224" i="13"/>
  <c r="AV212" i="13"/>
  <c r="DB12" i="4"/>
  <c r="DB10" i="4"/>
  <c r="CT84" i="4"/>
  <c r="CU84" i="4" s="1"/>
  <c r="AS84" i="4"/>
  <c r="AV686" i="13" s="1"/>
  <c r="AX84" i="4"/>
  <c r="AS89" i="4"/>
  <c r="AV691" i="13" s="1"/>
  <c r="AX89" i="4"/>
  <c r="CT89" i="4"/>
  <c r="CU89" i="4" s="1"/>
  <c r="A434" i="13"/>
  <c r="A1130" i="13"/>
  <c r="AX434" i="13"/>
  <c r="AX1031" i="13"/>
  <c r="AX34" i="13"/>
  <c r="AX534" i="13"/>
  <c r="A833" i="13"/>
  <c r="AX833" i="13" s="1"/>
  <c r="A1031" i="13"/>
  <c r="A134" i="13"/>
  <c r="A634" i="13"/>
  <c r="A932" i="13"/>
  <c r="AX932" i="13" s="1"/>
  <c r="AX634" i="13"/>
  <c r="A534" i="13"/>
  <c r="A733" i="13"/>
  <c r="AX733" i="13" s="1"/>
  <c r="A622" i="13"/>
  <c r="A821" i="13"/>
  <c r="AX821" i="13" s="1"/>
  <c r="A122" i="13"/>
  <c r="AX522" i="13"/>
  <c r="A920" i="13"/>
  <c r="AX920" i="13" s="1"/>
  <c r="AX1019" i="13"/>
  <c r="A721" i="13"/>
  <c r="AX721" i="13" s="1"/>
  <c r="AX422" i="13"/>
  <c r="AX22" i="13"/>
  <c r="AX622" i="13"/>
  <c r="A1019" i="13"/>
  <c r="A422" i="13"/>
  <c r="A1118" i="13"/>
  <c r="A522" i="13"/>
  <c r="CT6" i="4"/>
  <c r="CU6" i="4" s="1"/>
  <c r="AX6" i="4"/>
  <c r="AS6" i="4"/>
  <c r="AV608" i="13" s="1"/>
  <c r="A41" i="9"/>
  <c r="H41" i="9" s="1"/>
  <c r="BV39" i="4" a="1"/>
  <c r="BV39" i="4" s="1"/>
  <c r="D39" i="1"/>
  <c r="C39" i="4"/>
  <c r="BC39" i="4" a="1"/>
  <c r="BC39" i="4" s="1"/>
  <c r="A39" i="20"/>
  <c r="A39" i="4"/>
  <c r="D39" i="4"/>
  <c r="BU39" i="4" a="1"/>
  <c r="BU39" i="4" s="1"/>
  <c r="AX1026" i="13"/>
  <c r="A828" i="13"/>
  <c r="AX828" i="13" s="1"/>
  <c r="A1125" i="13"/>
  <c r="A927" i="13"/>
  <c r="AX927" i="13" s="1"/>
  <c r="AX529" i="13"/>
  <c r="A529" i="13"/>
  <c r="AX629" i="13"/>
  <c r="AX429" i="13"/>
  <c r="A429" i="13"/>
  <c r="A728" i="13"/>
  <c r="AX728" i="13" s="1"/>
  <c r="A629" i="13"/>
  <c r="A1026" i="13"/>
  <c r="A129" i="13"/>
  <c r="AX29" i="13"/>
  <c r="AX417" i="13"/>
  <c r="A1014" i="13"/>
  <c r="AX1014" i="13"/>
  <c r="A117" i="13"/>
  <c r="A716" i="13"/>
  <c r="AX716" i="13" s="1"/>
  <c r="A417" i="13"/>
  <c r="A617" i="13"/>
  <c r="A1113" i="13"/>
  <c r="A816" i="13"/>
  <c r="AX816" i="13" s="1"/>
  <c r="AX517" i="13"/>
  <c r="A915" i="13"/>
  <c r="AX915" i="13" s="1"/>
  <c r="AX617" i="13"/>
  <c r="A517" i="13"/>
  <c r="AX17" i="13"/>
  <c r="AV287" i="13"/>
  <c r="DB87" i="4"/>
  <c r="DB47" i="4"/>
  <c r="AV247" i="13"/>
  <c r="BC36" i="4" a="1"/>
  <c r="BC36" i="4" s="1"/>
  <c r="BU36" i="4" a="1"/>
  <c r="BU36" i="4" s="1"/>
  <c r="D36" i="4"/>
  <c r="C36" i="4"/>
  <c r="A36" i="20"/>
  <c r="BV36" i="4" a="1"/>
  <c r="BV36" i="4" s="1"/>
  <c r="A36" i="4"/>
  <c r="D36" i="1"/>
  <c r="A38" i="9"/>
  <c r="C24" i="4"/>
  <c r="BC24" i="4" a="1"/>
  <c r="BC24" i="4" s="1"/>
  <c r="A24" i="4"/>
  <c r="D24" i="1"/>
  <c r="BU24" i="4" a="1"/>
  <c r="BU24" i="4" s="1"/>
  <c r="BV24" i="4" a="1"/>
  <c r="BV24" i="4" s="1"/>
  <c r="A24" i="20"/>
  <c r="D24" i="4"/>
  <c r="A26" i="9"/>
  <c r="AX605" i="13"/>
  <c r="AX505" i="13"/>
  <c r="A505" i="13"/>
  <c r="A605" i="13"/>
  <c r="A1101" i="13"/>
  <c r="A804" i="13"/>
  <c r="AX804" i="13" s="1"/>
  <c r="A405" i="13"/>
  <c r="A1002" i="13"/>
  <c r="A105" i="13"/>
  <c r="AX405" i="13"/>
  <c r="AX1002" i="13"/>
  <c r="A903" i="13"/>
  <c r="AX903" i="13" s="1"/>
  <c r="A704" i="13"/>
  <c r="AX5" i="13"/>
  <c r="A40" i="9"/>
  <c r="BC38" i="4" a="1"/>
  <c r="BC38" i="4" s="1"/>
  <c r="A38" i="20"/>
  <c r="A38" i="4"/>
  <c r="D38" i="1"/>
  <c r="D38" i="4"/>
  <c r="BU38" i="4" a="1"/>
  <c r="BU38" i="4" s="1"/>
  <c r="BV38" i="4" a="1"/>
  <c r="BV38" i="4" s="1"/>
  <c r="C38" i="4"/>
  <c r="A28" i="9"/>
  <c r="H28" i="9" s="1"/>
  <c r="D26" i="1"/>
  <c r="D26" i="4"/>
  <c r="A26" i="4"/>
  <c r="BU26" i="4" a="1"/>
  <c r="BU26" i="4" s="1"/>
  <c r="BV26" i="4" a="1"/>
  <c r="BV26" i="4" s="1"/>
  <c r="A26" i="20"/>
  <c r="BC26" i="4" a="1"/>
  <c r="BC26" i="4" s="1"/>
  <c r="C26" i="4"/>
  <c r="AX516" i="13"/>
  <c r="AX616" i="13"/>
  <c r="A116" i="13"/>
  <c r="A616" i="13"/>
  <c r="AX1013" i="13"/>
  <c r="A815" i="13"/>
  <c r="AX815" i="13" s="1"/>
  <c r="A1013" i="13"/>
  <c r="AX16" i="13"/>
  <c r="A1112" i="13"/>
  <c r="A715" i="13"/>
  <c r="AX715" i="13" s="1"/>
  <c r="AX416" i="13"/>
  <c r="A914" i="13"/>
  <c r="AX914" i="13" s="1"/>
  <c r="A516" i="13"/>
  <c r="A416" i="13"/>
  <c r="AV291" i="13"/>
  <c r="DB91" i="4"/>
  <c r="A435" i="13"/>
  <c r="A734" i="13"/>
  <c r="AX734" i="13" s="1"/>
  <c r="AX435" i="13"/>
  <c r="AX35" i="13"/>
  <c r="A1131" i="13"/>
  <c r="A933" i="13"/>
  <c r="AX933" i="13" s="1"/>
  <c r="A535" i="13"/>
  <c r="AX535" i="13"/>
  <c r="A834" i="13"/>
  <c r="AX834" i="13" s="1"/>
  <c r="AX1032" i="13"/>
  <c r="A135" i="13"/>
  <c r="A1032" i="13"/>
  <c r="AX635" i="13"/>
  <c r="A635" i="13"/>
  <c r="AS39" i="4"/>
  <c r="AV641" i="13" s="1"/>
  <c r="AX39" i="4"/>
  <c r="CT15" i="4"/>
  <c r="CU15" i="4" s="1"/>
  <c r="AS15" i="4"/>
  <c r="AV617" i="13" s="1"/>
  <c r="AX15" i="4"/>
  <c r="DA95" i="4"/>
  <c r="CT95" i="4"/>
  <c r="CU95" i="4" s="1"/>
  <c r="CX95" i="4"/>
  <c r="CY95" i="4" s="1"/>
  <c r="AS95" i="4"/>
  <c r="AV697" i="13" s="1"/>
  <c r="AX95" i="4"/>
  <c r="AV267" i="13"/>
  <c r="DB67" i="4"/>
  <c r="AV275" i="13"/>
  <c r="DB75" i="4"/>
  <c r="DB29" i="4"/>
  <c r="AV229" i="13"/>
  <c r="DB17" i="4"/>
  <c r="AV217" i="13"/>
  <c r="AX595" i="13"/>
  <c r="A195" i="13"/>
  <c r="A794" i="13"/>
  <c r="AX794" i="13" s="1"/>
  <c r="A595" i="13"/>
  <c r="A495" i="13"/>
  <c r="A894" i="13"/>
  <c r="AX894" i="13" s="1"/>
  <c r="AX95" i="13"/>
  <c r="A695" i="13"/>
  <c r="A1191" i="13"/>
  <c r="AX495" i="13"/>
  <c r="A1092" i="13"/>
  <c r="A993" i="13"/>
  <c r="AX993" i="13" s="1"/>
  <c r="AX695" i="13"/>
  <c r="AX1092" i="13"/>
  <c r="A74" i="20"/>
  <c r="D74" i="4"/>
  <c r="BU74" i="4" a="1"/>
  <c r="BU74" i="4" s="1"/>
  <c r="BV74" i="4" a="1"/>
  <c r="BV74" i="4" s="1"/>
  <c r="A76" i="9"/>
  <c r="BC74" i="4" a="1"/>
  <c r="BC74" i="4" s="1"/>
  <c r="D74" i="1"/>
  <c r="C74" i="4"/>
  <c r="A569" i="13"/>
  <c r="A768" i="13"/>
  <c r="AX768" i="13" s="1"/>
  <c r="A1165" i="13"/>
  <c r="AX469" i="13"/>
  <c r="A169" i="13"/>
  <c r="A669" i="13"/>
  <c r="A868" i="13"/>
  <c r="AX868" i="13" s="1"/>
  <c r="AX669" i="13"/>
  <c r="AX69" i="13"/>
  <c r="A967" i="13"/>
  <c r="AX967" i="13" s="1"/>
  <c r="A1066" i="13"/>
  <c r="AX1066" i="13"/>
  <c r="AX569" i="13"/>
  <c r="A469" i="13"/>
  <c r="A941" i="13"/>
  <c r="AX941" i="13" s="1"/>
  <c r="AX643" i="13"/>
  <c r="AX543" i="13"/>
  <c r="AX43" i="13"/>
  <c r="A543" i="13"/>
  <c r="A143" i="13"/>
  <c r="A842" i="13"/>
  <c r="AX842" i="13" s="1"/>
  <c r="A1040" i="13"/>
  <c r="AX1040" i="13"/>
  <c r="A1139" i="13"/>
  <c r="AX443" i="13"/>
  <c r="A443" i="13"/>
  <c r="A643" i="13"/>
  <c r="A742" i="13"/>
  <c r="AX742" i="13" s="1"/>
  <c r="AV282" i="13"/>
  <c r="DB82" i="4"/>
  <c r="DB61" i="4"/>
  <c r="AV261" i="13"/>
  <c r="D20" i="1"/>
  <c r="BC20" i="4" a="1"/>
  <c r="BC20" i="4" s="1"/>
  <c r="A22" i="9"/>
  <c r="H22" i="9" s="1"/>
  <c r="A20" i="20"/>
  <c r="D20" i="4"/>
  <c r="BV20" i="4" a="1"/>
  <c r="BV20" i="4" s="1"/>
  <c r="C20" i="4"/>
  <c r="A20" i="4"/>
  <c r="BU20" i="4" a="1"/>
  <c r="BU20" i="4" s="1"/>
  <c r="A62" i="13"/>
  <c r="H60" i="4"/>
  <c r="DB63" i="4"/>
  <c r="AV263" i="13"/>
  <c r="CT16" i="4"/>
  <c r="CU16" i="4" s="1"/>
  <c r="AX16" i="4"/>
  <c r="AS16" i="4"/>
  <c r="AV618" i="13" s="1"/>
  <c r="CT79" i="4"/>
  <c r="CU79" i="4" s="1"/>
  <c r="AS79" i="4"/>
  <c r="AV681" i="13" s="1"/>
  <c r="AX79" i="4"/>
  <c r="H21" i="4"/>
  <c r="A23" i="13"/>
  <c r="CT26" i="4"/>
  <c r="CU26" i="4" s="1"/>
  <c r="AS26" i="4"/>
  <c r="AV628" i="13" s="1"/>
  <c r="AX26" i="4"/>
  <c r="CT14" i="4"/>
  <c r="CU14" i="4" s="1"/>
  <c r="AS14" i="4"/>
  <c r="AV616" i="13" s="1"/>
  <c r="AX14" i="4"/>
  <c r="BU46" i="4" a="1"/>
  <c r="BU46" i="4" s="1"/>
  <c r="A46" i="4"/>
  <c r="BV46" i="4" a="1"/>
  <c r="BV46" i="4" s="1"/>
  <c r="A48" i="9"/>
  <c r="A46" i="20"/>
  <c r="BC46" i="4" a="1"/>
  <c r="BC46" i="4" s="1"/>
  <c r="C46" i="4"/>
  <c r="D46" i="4"/>
  <c r="D46" i="1"/>
  <c r="A437" i="13"/>
  <c r="A1133" i="13"/>
  <c r="A137" i="13"/>
  <c r="AX1034" i="13"/>
  <c r="A836" i="13"/>
  <c r="AX836" i="13" s="1"/>
  <c r="A1034" i="13"/>
  <c r="AX437" i="13"/>
  <c r="AX637" i="13"/>
  <c r="A537" i="13"/>
  <c r="AX537" i="13"/>
  <c r="A736" i="13"/>
  <c r="AX736" i="13" s="1"/>
  <c r="A637" i="13"/>
  <c r="AX37" i="13"/>
  <c r="A935" i="13"/>
  <c r="AX935" i="13" s="1"/>
  <c r="A22" i="20"/>
  <c r="A22" i="4"/>
  <c r="BC22" i="4" a="1"/>
  <c r="BC22" i="4" s="1"/>
  <c r="A24" i="9"/>
  <c r="D22" i="1"/>
  <c r="BV22" i="4" a="1"/>
  <c r="BV22" i="4" s="1"/>
  <c r="C22" i="4"/>
  <c r="D22" i="4"/>
  <c r="BU22" i="4" a="1"/>
  <c r="BU22" i="4" s="1"/>
  <c r="C10" i="4"/>
  <c r="A10" i="20"/>
  <c r="BV10" i="4" a="1"/>
  <c r="BV10" i="4" s="1"/>
  <c r="A12" i="9"/>
  <c r="H12" i="9" s="1"/>
  <c r="D10" i="1"/>
  <c r="BU10" i="4" a="1"/>
  <c r="BU10" i="4" s="1"/>
  <c r="J10" i="4"/>
  <c r="D10" i="4"/>
  <c r="BC10" i="4" a="1"/>
  <c r="BC10" i="4" s="1"/>
  <c r="A10" i="4"/>
  <c r="AX1354" i="13"/>
  <c r="A1453" i="13"/>
  <c r="AV273" i="13"/>
  <c r="DB73" i="4"/>
  <c r="D53" i="4"/>
  <c r="D53" i="1"/>
  <c r="C53" i="4"/>
  <c r="A53" i="20"/>
  <c r="A53" i="4"/>
  <c r="BC53" i="4" a="1"/>
  <c r="BC53" i="4" s="1"/>
  <c r="A55" i="9"/>
  <c r="H55" i="9" s="1"/>
  <c r="BU53" i="4" a="1"/>
  <c r="BU53" i="4" s="1"/>
  <c r="BV53" i="4" a="1"/>
  <c r="BV53" i="4" s="1"/>
  <c r="A29" i="20"/>
  <c r="BU29" i="4" a="1"/>
  <c r="BU29" i="4" s="1"/>
  <c r="BC29" i="4" a="1"/>
  <c r="BC29" i="4" s="1"/>
  <c r="D29" i="4"/>
  <c r="A31" i="9"/>
  <c r="D29" i="1"/>
  <c r="A29" i="4"/>
  <c r="BV29" i="4" a="1"/>
  <c r="BV29" i="4" s="1"/>
  <c r="C29" i="4"/>
  <c r="A17" i="20"/>
  <c r="C17" i="4"/>
  <c r="D17" i="1"/>
  <c r="BV17" i="4" a="1"/>
  <c r="BV17" i="4" s="1"/>
  <c r="D17" i="4"/>
  <c r="BU17" i="4" a="1"/>
  <c r="BU17" i="4" s="1"/>
  <c r="A19" i="9"/>
  <c r="H19" i="9" s="1"/>
  <c r="BC17" i="4" a="1"/>
  <c r="BC17" i="4" s="1"/>
  <c r="A17" i="4"/>
  <c r="A138" i="13"/>
  <c r="AX538" i="13"/>
  <c r="AX1035" i="13"/>
  <c r="A538" i="13"/>
  <c r="A438" i="13"/>
  <c r="A737" i="13"/>
  <c r="AX737" i="13" s="1"/>
  <c r="A1134" i="13"/>
  <c r="A1035" i="13"/>
  <c r="AX38" i="13"/>
  <c r="A638" i="13"/>
  <c r="A837" i="13"/>
  <c r="AX837" i="13" s="1"/>
  <c r="AX438" i="13"/>
  <c r="AX638" i="13"/>
  <c r="A936" i="13"/>
  <c r="AX936" i="13" s="1"/>
  <c r="A825" i="13"/>
  <c r="AX825" i="13" s="1"/>
  <c r="A126" i="13"/>
  <c r="AX426" i="13"/>
  <c r="A626" i="13"/>
  <c r="A924" i="13"/>
  <c r="AX924" i="13" s="1"/>
  <c r="A725" i="13"/>
  <c r="AX725" i="13" s="1"/>
  <c r="AX26" i="13"/>
  <c r="A526" i="13"/>
  <c r="A426" i="13"/>
  <c r="AX626" i="13"/>
  <c r="AX526" i="13"/>
  <c r="A1122" i="13"/>
  <c r="A1023" i="13"/>
  <c r="AX1023" i="13"/>
  <c r="AV211" i="13"/>
  <c r="DB9" i="4"/>
  <c r="DB11" i="4"/>
  <c r="BC3" i="4" a="1"/>
  <c r="BC3" i="4" s="1"/>
  <c r="C3" i="4"/>
  <c r="BV3" i="4" a="1"/>
  <c r="BV3" i="4" s="1"/>
  <c r="A5" i="9"/>
  <c r="H5" i="9" s="1"/>
  <c r="D3" i="1"/>
  <c r="D3" i="4"/>
  <c r="A3" i="20"/>
  <c r="BU3" i="4" a="1"/>
  <c r="BU3" i="4" s="1"/>
  <c r="G3" i="9"/>
  <c r="W17" i="22"/>
  <c r="Y17" i="22" s="1"/>
  <c r="V17" i="22"/>
  <c r="A3" i="4"/>
  <c r="J487" i="15" s="1"/>
  <c r="H3" i="9"/>
  <c r="J511" i="15"/>
  <c r="J567" i="15"/>
  <c r="J508" i="15"/>
  <c r="J604" i="15"/>
  <c r="T57" i="23" a="1"/>
  <c r="T57" i="23" s="1"/>
  <c r="T35" i="23" s="1"/>
  <c r="J56" i="23" a="1"/>
  <c r="J56" i="23" s="1"/>
  <c r="S12" i="27" a="1"/>
  <c r="S12" i="27" s="1"/>
  <c r="J59" i="23" a="1"/>
  <c r="J59" i="23" s="1"/>
  <c r="AT1296" i="13" a="1"/>
  <c r="AT1296" i="13" s="1"/>
  <c r="F50" i="23"/>
  <c r="P50" i="23" s="1"/>
  <c r="Z50" i="23" s="1"/>
  <c r="U58" i="14" a="1"/>
  <c r="U58" i="14" s="1"/>
  <c r="K202" i="13" a="1"/>
  <c r="K202" i="13" s="1"/>
  <c r="J11" i="27" a="1"/>
  <c r="J11" i="27" s="1"/>
  <c r="K59" i="23" a="1"/>
  <c r="K59" i="23" s="1"/>
  <c r="J496" i="15"/>
  <c r="AK1197" i="13" a="1"/>
  <c r="AK1197" i="13" s="1"/>
  <c r="N57" i="14" a="1"/>
  <c r="N57" i="14" s="1"/>
  <c r="AL1296" i="13" a="1"/>
  <c r="AL1296" i="13" s="1"/>
  <c r="J576" i="15"/>
  <c r="T59" i="14" a="1"/>
  <c r="T59" i="14" s="1"/>
  <c r="H56" i="14" a="1"/>
  <c r="H56" i="14" s="1"/>
  <c r="O58" i="23" a="1"/>
  <c r="O58" i="23" s="1"/>
  <c r="O36" i="23" s="1"/>
  <c r="AO1197" i="13" a="1"/>
  <c r="AO1197" i="13" s="1"/>
  <c r="AL1197" i="13" a="1"/>
  <c r="AL1197" i="13" s="1"/>
  <c r="U57" i="23" a="1"/>
  <c r="U57" i="23" s="1"/>
  <c r="U35" i="23" s="1"/>
  <c r="AC1296" i="13" a="1"/>
  <c r="AC1296" i="13" s="1"/>
  <c r="I56" i="23" a="1"/>
  <c r="I56" i="23" s="1"/>
  <c r="Y57" i="23" a="1"/>
  <c r="Y57" i="23" s="1"/>
  <c r="Y35" i="23" s="1"/>
  <c r="I57" i="14" a="1"/>
  <c r="I57" i="14" s="1"/>
  <c r="Q59" i="14" a="1"/>
  <c r="Q59" i="14" s="1"/>
  <c r="AH1296" i="13" a="1"/>
  <c r="AH1296" i="13" s="1"/>
  <c r="N56" i="14" a="1"/>
  <c r="N56" i="14" s="1"/>
  <c r="T56" i="23" a="1"/>
  <c r="T56" i="23" s="1"/>
  <c r="B50" i="23"/>
  <c r="R59" i="23" a="1"/>
  <c r="R59" i="23" s="1"/>
  <c r="Z202" i="13" a="1"/>
  <c r="Z202" i="13" s="1"/>
  <c r="AR1296" i="13" a="1"/>
  <c r="AR1296" i="13" s="1"/>
  <c r="P57" i="23" a="1"/>
  <c r="P57" i="23" s="1"/>
  <c r="P35" i="23" s="1"/>
  <c r="Y56" i="14" a="1"/>
  <c r="Y56" i="14" s="1"/>
  <c r="O56" i="23" a="1"/>
  <c r="O56" i="23" s="1"/>
  <c r="V56" i="23" a="1"/>
  <c r="V56" i="23" s="1"/>
  <c r="L56" i="23" a="1"/>
  <c r="L56" i="23" s="1"/>
  <c r="O57" i="14" a="1"/>
  <c r="O57" i="14" s="1"/>
  <c r="Q59" i="23" a="1"/>
  <c r="Q59" i="23" s="1"/>
  <c r="V57" i="14" a="1"/>
  <c r="V57" i="14" s="1"/>
  <c r="AQ1197" i="13" a="1"/>
  <c r="AQ1197" i="13" s="1"/>
  <c r="V56" i="14" a="1"/>
  <c r="V56" i="14" s="1"/>
  <c r="W56" i="23" a="1"/>
  <c r="W56" i="23" s="1"/>
  <c r="R57" i="14" a="1"/>
  <c r="R57" i="14" s="1"/>
  <c r="S57" i="23" a="1"/>
  <c r="S57" i="23" s="1"/>
  <c r="S35" i="23" s="1"/>
  <c r="J489" i="15"/>
  <c r="T58" i="23" a="1"/>
  <c r="T58" i="23" s="1"/>
  <c r="T36" i="23" s="1"/>
  <c r="T58" i="14" a="1"/>
  <c r="T58" i="14" s="1"/>
  <c r="Q56" i="23" a="1"/>
  <c r="Q56" i="23" s="1"/>
  <c r="F202" i="13" a="1"/>
  <c r="F202" i="13" s="1"/>
  <c r="H59" i="14" a="1"/>
  <c r="H59" i="14" s="1"/>
  <c r="AB1296" i="13" a="1"/>
  <c r="AB1296" i="13" s="1"/>
  <c r="S16" i="27" a="1"/>
  <c r="S16" i="27" s="1"/>
  <c r="O202" i="13" a="1"/>
  <c r="O202" i="13" s="1"/>
  <c r="H57" i="14" a="1"/>
  <c r="H57" i="14" s="1"/>
  <c r="J619" i="15"/>
  <c r="N58" i="14" a="1"/>
  <c r="N58" i="14" s="1"/>
  <c r="R59" i="14" a="1"/>
  <c r="R59" i="14" s="1"/>
  <c r="G57" i="14" a="1"/>
  <c r="G57" i="14" s="1"/>
  <c r="T57" i="14" a="1"/>
  <c r="T57" i="14" s="1"/>
  <c r="S14" i="27" a="1"/>
  <c r="S14" i="27" s="1"/>
  <c r="AE1296" i="13" a="1"/>
  <c r="AE1296" i="13" s="1"/>
  <c r="F201" i="13" a="1"/>
  <c r="F201" i="13" s="1"/>
  <c r="V58" i="14" a="1"/>
  <c r="V58" i="14" s="1"/>
  <c r="S59" i="23" a="1"/>
  <c r="S59" i="23" s="1"/>
  <c r="Z56" i="23" a="1"/>
  <c r="Z56" i="23" s="1"/>
  <c r="K59" i="14" a="1"/>
  <c r="K59" i="14" s="1"/>
  <c r="T202" i="13" a="1"/>
  <c r="T202" i="13" s="1"/>
  <c r="R14" i="27" a="1"/>
  <c r="R14" i="27" s="1"/>
  <c r="S57" i="14" a="1"/>
  <c r="S57" i="14" s="1"/>
  <c r="W57" i="23" a="1"/>
  <c r="W57" i="23" s="1"/>
  <c r="W35" i="23" s="1"/>
  <c r="AM1197" i="13" a="1"/>
  <c r="AM1197" i="13" s="1"/>
  <c r="M56" i="23" a="1"/>
  <c r="M56" i="23" s="1"/>
  <c r="G56" i="23" a="1"/>
  <c r="G56" i="23" s="1"/>
  <c r="K57" i="14" a="1"/>
  <c r="K57" i="14" s="1"/>
  <c r="AR1197" i="13" a="1"/>
  <c r="AR1197" i="13" s="1"/>
  <c r="Q58" i="14" a="1"/>
  <c r="Q58" i="14" s="1"/>
  <c r="K57" i="23" a="1"/>
  <c r="K57" i="23" s="1"/>
  <c r="K35" i="23" s="1"/>
  <c r="O57" i="23" a="1"/>
  <c r="O57" i="23" s="1"/>
  <c r="O35" i="23" s="1"/>
  <c r="M59" i="23" a="1"/>
  <c r="M59" i="23" s="1"/>
  <c r="P57" i="14" a="1"/>
  <c r="P57" i="14" s="1"/>
  <c r="X59" i="14" a="1"/>
  <c r="X59" i="14" s="1"/>
  <c r="Z57" i="23" a="1"/>
  <c r="Z57" i="23" s="1"/>
  <c r="Z35" i="23" s="1"/>
  <c r="AJ1197" i="13" a="1"/>
  <c r="AJ1197" i="13" s="1"/>
  <c r="AD1296" i="13" a="1"/>
  <c r="AD1296" i="13" s="1"/>
  <c r="R16" i="27" a="1"/>
  <c r="R16" i="27" s="1"/>
  <c r="L56" i="14" a="1"/>
  <c r="L56" i="14" s="1"/>
  <c r="X202" i="13" a="1"/>
  <c r="X202" i="13" s="1"/>
  <c r="O16" i="27" a="1"/>
  <c r="O16" i="27" s="1"/>
  <c r="O56" i="14" a="1"/>
  <c r="O56" i="14" s="1"/>
  <c r="J58" i="23" a="1"/>
  <c r="J58" i="23" s="1"/>
  <c r="J36" i="23" s="1"/>
  <c r="H56" i="23" a="1"/>
  <c r="H56" i="23" s="1"/>
  <c r="AG1296" i="13" a="1"/>
  <c r="AG1296" i="13" s="1"/>
  <c r="N59" i="14" a="1"/>
  <c r="N59" i="14" s="1"/>
  <c r="P12" i="27" a="1"/>
  <c r="P12" i="27" s="1"/>
  <c r="AU1197" i="13" a="1"/>
  <c r="AU1197" i="13" s="1"/>
  <c r="L202" i="13" a="1"/>
  <c r="L202" i="13" s="1"/>
  <c r="M58" i="23" a="1"/>
  <c r="M58" i="23" s="1"/>
  <c r="M36" i="23" s="1"/>
  <c r="H57" i="23" a="1"/>
  <c r="H57" i="23" s="1"/>
  <c r="H35" i="23" s="1"/>
  <c r="F59" i="23" a="1"/>
  <c r="F59" i="23" s="1"/>
  <c r="AF1296" i="13" a="1"/>
  <c r="AF1296" i="13" s="1"/>
  <c r="AS1296" i="13" a="1"/>
  <c r="AS1296" i="13" s="1"/>
  <c r="AC1197" i="13" a="1"/>
  <c r="AC1197" i="13" s="1"/>
  <c r="J541" i="15"/>
  <c r="W59" i="14" a="1"/>
  <c r="W59" i="14" s="1"/>
  <c r="R57" i="23" a="1"/>
  <c r="R57" i="23" s="1"/>
  <c r="R35" i="23" s="1"/>
  <c r="Q202" i="13" a="1"/>
  <c r="Q202" i="13" s="1"/>
  <c r="I58" i="14" a="1"/>
  <c r="I58" i="14" s="1"/>
  <c r="P56" i="23" a="1"/>
  <c r="P56" i="23" s="1"/>
  <c r="X56" i="23" a="1"/>
  <c r="X56" i="23" s="1"/>
  <c r="V202" i="13" a="1"/>
  <c r="V202" i="13" s="1"/>
  <c r="P58" i="23" a="1"/>
  <c r="P58" i="23" s="1"/>
  <c r="P36" i="23" s="1"/>
  <c r="Q14" i="27" a="1"/>
  <c r="Q14" i="27" s="1"/>
  <c r="J570" i="15"/>
  <c r="K56" i="14" a="1"/>
  <c r="K56" i="14" s="1"/>
  <c r="J584" i="15"/>
  <c r="AD1197" i="13" a="1"/>
  <c r="AD1197" i="13" s="1"/>
  <c r="Y59" i="14" a="1"/>
  <c r="Y59" i="14" s="1"/>
  <c r="U59" i="14" a="1"/>
  <c r="U59" i="14" s="1"/>
  <c r="AP1197" i="13" a="1"/>
  <c r="AP1197" i="13" s="1"/>
  <c r="Y58" i="14" a="1"/>
  <c r="Y58" i="14" s="1"/>
  <c r="K58" i="23" a="1"/>
  <c r="K58" i="23" s="1"/>
  <c r="K36" i="23" s="1"/>
  <c r="H59" i="23" a="1"/>
  <c r="H59" i="23" s="1"/>
  <c r="I59" i="14" a="1"/>
  <c r="I59" i="14" s="1"/>
  <c r="R58" i="23" a="1"/>
  <c r="R58" i="23" s="1"/>
  <c r="R36" i="23" s="1"/>
  <c r="F56" i="23" a="1"/>
  <c r="F56" i="23" s="1"/>
  <c r="N58" i="23" a="1"/>
  <c r="N58" i="23" s="1"/>
  <c r="N36" i="23" s="1"/>
  <c r="G58" i="23" a="1"/>
  <c r="G58" i="23" s="1"/>
  <c r="G36" i="23" s="1"/>
  <c r="R56" i="14" a="1"/>
  <c r="R56" i="14" s="1"/>
  <c r="Q57" i="14" a="1"/>
  <c r="Q57" i="14" s="1"/>
  <c r="J564" i="15"/>
  <c r="V58" i="23" a="1"/>
  <c r="V58" i="23" s="1"/>
  <c r="V36" i="23" s="1"/>
  <c r="AJ1296" i="13" a="1"/>
  <c r="AJ1296" i="13" s="1"/>
  <c r="J518" i="15"/>
  <c r="O59" i="14" a="1"/>
  <c r="O59" i="14" s="1"/>
  <c r="J577" i="15"/>
  <c r="J569" i="15"/>
  <c r="I57" i="23" a="1"/>
  <c r="I57" i="23" s="1"/>
  <c r="I35" i="23" s="1"/>
  <c r="U57" i="14" a="1"/>
  <c r="U57" i="14" s="1"/>
  <c r="AH1197" i="13" a="1"/>
  <c r="AH1197" i="13" s="1"/>
  <c r="G59" i="14" a="1"/>
  <c r="G59" i="14" s="1"/>
  <c r="M58" i="14" a="1"/>
  <c r="M58" i="14" s="1"/>
  <c r="AP1296" i="13" a="1"/>
  <c r="AP1296" i="13" s="1"/>
  <c r="F56" i="14" a="1"/>
  <c r="F56" i="14" s="1"/>
  <c r="W202" i="13" a="1"/>
  <c r="W202" i="13" s="1"/>
  <c r="N57" i="23" a="1"/>
  <c r="N57" i="23" s="1"/>
  <c r="N35" i="23" s="1"/>
  <c r="I202" i="13" a="1"/>
  <c r="I202" i="13" s="1"/>
  <c r="N202" i="13" a="1"/>
  <c r="N202" i="13" s="1"/>
  <c r="L57" i="14" a="1"/>
  <c r="L57" i="14" s="1"/>
  <c r="M57" i="14" a="1"/>
  <c r="M57" i="14" s="1"/>
  <c r="W59" i="23" a="1"/>
  <c r="W59" i="23" s="1"/>
  <c r="V57" i="23" a="1"/>
  <c r="V57" i="23" s="1"/>
  <c r="V35" i="23" s="1"/>
  <c r="Z56" i="14" a="1"/>
  <c r="Z56" i="14" s="1"/>
  <c r="P58" i="14" a="1"/>
  <c r="P58" i="14" s="1"/>
  <c r="N59" i="23" a="1"/>
  <c r="N59" i="23" s="1"/>
  <c r="V59" i="14" a="1"/>
  <c r="V59" i="14" s="1"/>
  <c r="W57" i="14" a="1"/>
  <c r="W57" i="14" s="1"/>
  <c r="P56" i="14" a="1"/>
  <c r="P56" i="14" s="1"/>
  <c r="AT1197" i="13" a="1"/>
  <c r="AT1197" i="13" s="1"/>
  <c r="R58" i="14" a="1"/>
  <c r="R58" i="14" s="1"/>
  <c r="G202" i="13" a="1"/>
  <c r="G202" i="13" s="1"/>
  <c r="U59" i="23" a="1"/>
  <c r="U59" i="23" s="1"/>
  <c r="J57" i="23" a="1"/>
  <c r="J57" i="23" s="1"/>
  <c r="J35" i="23" s="1"/>
  <c r="I59" i="23" a="1"/>
  <c r="I59" i="23" s="1"/>
  <c r="M56" i="14" a="1"/>
  <c r="M56" i="14" s="1"/>
  <c r="H202" i="13" a="1"/>
  <c r="H202" i="13" s="1"/>
  <c r="G56" i="14" a="1"/>
  <c r="G56" i="14" s="1"/>
  <c r="T56" i="14" a="1"/>
  <c r="T56" i="14" s="1"/>
  <c r="U56" i="23" a="1"/>
  <c r="U56" i="23" s="1"/>
  <c r="I58" i="23" a="1"/>
  <c r="I58" i="23" s="1"/>
  <c r="I36" i="23" s="1"/>
  <c r="O12" i="27" a="1"/>
  <c r="O12" i="27" s="1"/>
  <c r="W58" i="23" a="1"/>
  <c r="W58" i="23" s="1"/>
  <c r="W36" i="23" s="1"/>
  <c r="F58" i="14" a="1"/>
  <c r="F58" i="14" s="1"/>
  <c r="F59" i="14" a="1"/>
  <c r="F59" i="14" s="1"/>
  <c r="L58" i="14" a="1"/>
  <c r="L58" i="14" s="1"/>
  <c r="F50" i="14"/>
  <c r="P50" i="14" s="1"/>
  <c r="Z50" i="14" s="1"/>
  <c r="S56" i="14" a="1"/>
  <c r="S56" i="14" s="1"/>
  <c r="Q57" i="23" a="1"/>
  <c r="Q57" i="23" s="1"/>
  <c r="Q35" i="23" s="1"/>
  <c r="J59" i="14" a="1"/>
  <c r="J59" i="14" s="1"/>
  <c r="P59" i="14" a="1"/>
  <c r="P59" i="14" s="1"/>
  <c r="J526" i="15"/>
  <c r="H58" i="14" a="1"/>
  <c r="H58" i="14" s="1"/>
  <c r="Q56" i="14" a="1"/>
  <c r="Q56" i="14" s="1"/>
  <c r="AK1296" i="13" a="1"/>
  <c r="AK1296" i="13" s="1"/>
  <c r="L58" i="23" a="1"/>
  <c r="L58" i="23" s="1"/>
  <c r="L36" i="23" s="1"/>
  <c r="S202" i="13" a="1"/>
  <c r="S202" i="13" s="1"/>
  <c r="W56" i="14" a="1"/>
  <c r="W56" i="14" s="1"/>
  <c r="Q16" i="27" a="1"/>
  <c r="Q16" i="27" s="1"/>
  <c r="H58" i="23" a="1"/>
  <c r="H58" i="23" s="1"/>
  <c r="H36" i="23" s="1"/>
  <c r="W58" i="14" a="1"/>
  <c r="W58" i="14" s="1"/>
  <c r="L57" i="23" a="1"/>
  <c r="L57" i="23" s="1"/>
  <c r="L35" i="23" s="1"/>
  <c r="R202" i="13" a="1"/>
  <c r="R202" i="13" s="1"/>
  <c r="X57" i="23" a="1"/>
  <c r="X57" i="23" s="1"/>
  <c r="X35" i="23" s="1"/>
  <c r="P59" i="23" a="1"/>
  <c r="P59" i="23" s="1"/>
  <c r="Y58" i="23" a="1"/>
  <c r="Y58" i="23" s="1"/>
  <c r="Y36" i="23" s="1"/>
  <c r="J58" i="14" a="1"/>
  <c r="J58" i="14" s="1"/>
  <c r="Y56" i="23" a="1"/>
  <c r="Y56" i="23" s="1"/>
  <c r="J573" i="15"/>
  <c r="P16" i="27" a="1"/>
  <c r="P16" i="27" s="1"/>
  <c r="G59" i="23" a="1"/>
  <c r="G59" i="23" s="1"/>
  <c r="AN1197" i="13" a="1"/>
  <c r="AN1197" i="13" s="1"/>
  <c r="M202" i="13" a="1"/>
  <c r="M202" i="13" s="1"/>
  <c r="Y57" i="14" a="1"/>
  <c r="Y57" i="14" s="1"/>
  <c r="AU1296" i="13" a="1"/>
  <c r="AU1296" i="13" s="1"/>
  <c r="S56" i="23" a="1"/>
  <c r="S56" i="23" s="1"/>
  <c r="R12" i="27" a="1"/>
  <c r="R12" i="27" s="1"/>
  <c r="W14" i="22"/>
  <c r="Y14" i="22" s="1"/>
  <c r="V14" i="22"/>
  <c r="J585" i="15"/>
  <c r="X58" i="23" a="1"/>
  <c r="X58" i="23" s="1"/>
  <c r="X36" i="23" s="1"/>
  <c r="X59" i="23" a="1"/>
  <c r="X59" i="23" s="1"/>
  <c r="N56" i="23" a="1"/>
  <c r="N56" i="23" s="1"/>
  <c r="J12" i="27" a="1"/>
  <c r="J12" i="27" s="1"/>
  <c r="O58" i="14" a="1"/>
  <c r="O58" i="14" s="1"/>
  <c r="S59" i="14" a="1"/>
  <c r="S59" i="14" s="1"/>
  <c r="Z57" i="14" a="1"/>
  <c r="Z57" i="14" s="1"/>
  <c r="F57" i="23" a="1"/>
  <c r="F57" i="23" s="1"/>
  <c r="L59" i="23" a="1"/>
  <c r="L59" i="23" s="1"/>
  <c r="S58" i="23" a="1"/>
  <c r="S58" i="23" s="1"/>
  <c r="S36" i="23" s="1"/>
  <c r="M59" i="14" a="1"/>
  <c r="M59" i="14" s="1"/>
  <c r="K58" i="14" a="1"/>
  <c r="K58" i="14" s="1"/>
  <c r="AQ1296" i="13" a="1"/>
  <c r="AQ1296" i="13" s="1"/>
  <c r="L59" i="14" a="1"/>
  <c r="L59" i="14" s="1"/>
  <c r="Z59" i="23" a="1"/>
  <c r="Z59" i="23" s="1"/>
  <c r="X56" i="14" a="1"/>
  <c r="X56" i="14" s="1"/>
  <c r="B51" i="23"/>
  <c r="G58" i="14" a="1"/>
  <c r="G58" i="14" s="1"/>
  <c r="Y59" i="23" a="1"/>
  <c r="Y59" i="23" s="1"/>
  <c r="I56" i="14" a="1"/>
  <c r="I56" i="14" s="1"/>
  <c r="U56" i="14" a="1"/>
  <c r="U56" i="14" s="1"/>
  <c r="J202" i="13" a="1"/>
  <c r="J202" i="13" s="1"/>
  <c r="AM1296" i="13" a="1"/>
  <c r="AM1296" i="13" s="1"/>
  <c r="V59" i="23" a="1"/>
  <c r="V59" i="23" s="1"/>
  <c r="T59" i="23" a="1"/>
  <c r="T59" i="23" s="1"/>
  <c r="O59" i="23" a="1"/>
  <c r="O59" i="23" s="1"/>
  <c r="J603" i="15"/>
  <c r="AS1197" i="13" a="1"/>
  <c r="AS1197" i="13" s="1"/>
  <c r="R56" i="23" a="1"/>
  <c r="R56" i="23" s="1"/>
  <c r="J484" i="15"/>
  <c r="Z59" i="14" a="1"/>
  <c r="Z59" i="14" s="1"/>
  <c r="J490" i="15"/>
  <c r="J492" i="15"/>
  <c r="J608" i="15"/>
  <c r="F44" i="23"/>
  <c r="P44" i="23" s="1"/>
  <c r="J583" i="15"/>
  <c r="F44" i="14"/>
  <c r="P44" i="14" s="1"/>
  <c r="Z44" i="14" s="1"/>
  <c r="J557" i="15"/>
  <c r="B44" i="23"/>
  <c r="J580" i="15"/>
  <c r="B45" i="23"/>
  <c r="B47" i="23"/>
  <c r="B46" i="14"/>
  <c r="F45" i="14"/>
  <c r="P45" i="14" s="1"/>
  <c r="Z45" i="14" s="1"/>
  <c r="F46" i="23"/>
  <c r="P46" i="23" s="1"/>
  <c r="Z46" i="23" s="1"/>
  <c r="J531" i="15"/>
  <c r="B47" i="14"/>
  <c r="F49" i="23"/>
  <c r="P49" i="23" s="1"/>
  <c r="Z49" i="23" s="1"/>
  <c r="F46" i="14"/>
  <c r="P46" i="14" s="1"/>
  <c r="Z46" i="14" s="1"/>
  <c r="B45" i="14"/>
  <c r="J548" i="15"/>
  <c r="B48" i="14"/>
  <c r="F45" i="23"/>
  <c r="P45" i="23" s="1"/>
  <c r="Z45" i="23" s="1"/>
  <c r="B44" i="14"/>
  <c r="J486" i="15"/>
  <c r="F47" i="23"/>
  <c r="P47" i="23" s="1"/>
  <c r="Z47" i="23" s="1"/>
  <c r="F48" i="23"/>
  <c r="P48" i="23" s="1"/>
  <c r="Z48" i="23" s="1"/>
  <c r="J592" i="15"/>
  <c r="J620" i="15"/>
  <c r="F49" i="14"/>
  <c r="P49" i="14" s="1"/>
  <c r="Z49" i="14" s="1"/>
  <c r="J602" i="15"/>
  <c r="F48" i="14"/>
  <c r="P48" i="14" s="1"/>
  <c r="Z48" i="14" s="1"/>
  <c r="J618" i="15"/>
  <c r="J615" i="15"/>
  <c r="B49" i="23"/>
  <c r="J612" i="15"/>
  <c r="J574" i="15"/>
  <c r="J568" i="15"/>
  <c r="J529" i="15"/>
  <c r="J552" i="15"/>
  <c r="J534" i="15"/>
  <c r="J599" i="15"/>
  <c r="E406" i="15"/>
  <c r="J523" i="15"/>
  <c r="E360" i="15"/>
  <c r="E511" i="15"/>
  <c r="E369" i="15"/>
  <c r="S58" i="14" a="1"/>
  <c r="S58" i="14" s="1"/>
  <c r="J477" i="15"/>
  <c r="J575" i="15"/>
  <c r="E175" i="15"/>
  <c r="H6" i="9"/>
  <c r="AM4" i="69"/>
  <c r="AC4" i="69"/>
  <c r="M4" i="69"/>
  <c r="AX4" i="69"/>
  <c r="T4" i="69"/>
  <c r="P4" i="69"/>
  <c r="W4" i="69"/>
  <c r="BN4" i="69" s="1"/>
  <c r="N4" i="69" a="1"/>
  <c r="N4" i="69" s="1"/>
  <c r="AN4" i="69"/>
  <c r="Y4" i="69"/>
  <c r="AB4" i="69" a="1"/>
  <c r="AB4" i="69" s="1"/>
  <c r="J4" i="69"/>
  <c r="AW4" i="69"/>
  <c r="L4" i="69"/>
  <c r="A4" i="69"/>
  <c r="Q4" i="69"/>
  <c r="A1161" i="13"/>
  <c r="A1062" i="13"/>
  <c r="AX65" i="13"/>
  <c r="A665" i="13"/>
  <c r="AX665" i="13"/>
  <c r="A565" i="13"/>
  <c r="A963" i="13"/>
  <c r="AX963" i="13" s="1"/>
  <c r="A165" i="13"/>
  <c r="A465" i="13"/>
  <c r="AX565" i="13"/>
  <c r="AX1062" i="13"/>
  <c r="A764" i="13"/>
  <c r="AX764" i="13" s="1"/>
  <c r="A864" i="13"/>
  <c r="AX864" i="13" s="1"/>
  <c r="AX465" i="13"/>
  <c r="AV255" i="13"/>
  <c r="DB55" i="4"/>
  <c r="BU31" i="4" a="1"/>
  <c r="BU31" i="4" s="1"/>
  <c r="C31" i="4"/>
  <c r="A31" i="4"/>
  <c r="A33" i="9"/>
  <c r="H33" i="9" s="1"/>
  <c r="D31" i="1"/>
  <c r="D31" i="4"/>
  <c r="BV31" i="4" a="1"/>
  <c r="BV31" i="4" s="1"/>
  <c r="A31" i="20"/>
  <c r="BC31" i="4" a="1"/>
  <c r="BC31" i="4" s="1"/>
  <c r="AS18" i="4"/>
  <c r="AV620" i="13" s="1"/>
  <c r="AX18" i="4"/>
  <c r="AX644" i="13"/>
  <c r="A743" i="13"/>
  <c r="AX743" i="13" s="1"/>
  <c r="A942" i="13"/>
  <c r="AX942" i="13" s="1"/>
  <c r="AX544" i="13"/>
  <c r="A444" i="13"/>
  <c r="A544" i="13"/>
  <c r="A144" i="13"/>
  <c r="AX44" i="13"/>
  <c r="AX444" i="13"/>
  <c r="AX1041" i="13"/>
  <c r="A644" i="13"/>
  <c r="A1041" i="13"/>
  <c r="A1140" i="13"/>
  <c r="A843" i="13"/>
  <c r="AX843" i="13" s="1"/>
  <c r="DB13" i="4"/>
  <c r="AV213" i="13"/>
  <c r="CT32" i="4"/>
  <c r="CU32" i="4" s="1"/>
  <c r="AS32" i="4"/>
  <c r="AV634" i="13" s="1"/>
  <c r="AX32" i="4"/>
  <c r="AV252" i="13"/>
  <c r="DB52" i="4"/>
  <c r="CT27" i="4"/>
  <c r="CU27" i="4" s="1"/>
  <c r="AS27" i="4"/>
  <c r="AV629" i="13" s="1"/>
  <c r="AX27" i="4"/>
  <c r="AV290" i="13"/>
  <c r="DB90" i="4"/>
  <c r="DB70" i="4"/>
  <c r="AV270" i="13"/>
  <c r="A1145" i="13"/>
  <c r="A449" i="13"/>
  <c r="A1046" i="13"/>
  <c r="A149" i="13"/>
  <c r="A549" i="13"/>
  <c r="A748" i="13"/>
  <c r="AX748" i="13" s="1"/>
  <c r="AX49" i="13"/>
  <c r="AX549" i="13"/>
  <c r="AX649" i="13"/>
  <c r="AX449" i="13"/>
  <c r="A848" i="13"/>
  <c r="AX848" i="13" s="1"/>
  <c r="AX1046" i="13"/>
  <c r="A947" i="13"/>
  <c r="AX947" i="13" s="1"/>
  <c r="A649" i="13"/>
  <c r="DB81" i="4"/>
  <c r="AV281" i="13"/>
  <c r="C93" i="4"/>
  <c r="A93" i="20"/>
  <c r="BV93" i="4" a="1"/>
  <c r="BV93" i="4" s="1"/>
  <c r="BC93" i="4" a="1"/>
  <c r="BC93" i="4" s="1"/>
  <c r="BU93" i="4" a="1"/>
  <c r="BU93" i="4" s="1"/>
  <c r="D93" i="1"/>
  <c r="D93" i="4"/>
  <c r="A95" i="9"/>
  <c r="A1172" i="13"/>
  <c r="AX676" i="13"/>
  <c r="A676" i="13"/>
  <c r="A775" i="13"/>
  <c r="AX775" i="13" s="1"/>
  <c r="A576" i="13"/>
  <c r="AX576" i="13"/>
  <c r="A875" i="13"/>
  <c r="AX875" i="13" s="1"/>
  <c r="A1073" i="13"/>
  <c r="AX1073" i="13"/>
  <c r="A476" i="13"/>
  <c r="AX76" i="13"/>
  <c r="A974" i="13"/>
  <c r="AX974" i="13" s="1"/>
  <c r="A176" i="13"/>
  <c r="AX476" i="13"/>
  <c r="A69" i="9"/>
  <c r="A67" i="20"/>
  <c r="BV67" i="4" a="1"/>
  <c r="BV67" i="4" s="1"/>
  <c r="D67" i="4"/>
  <c r="C67" i="4"/>
  <c r="BC67" i="4" a="1"/>
  <c r="BC67" i="4" s="1"/>
  <c r="BU67" i="4" a="1"/>
  <c r="BU67" i="4" s="1"/>
  <c r="D67" i="1"/>
  <c r="A43" i="9"/>
  <c r="H43" i="9" s="1"/>
  <c r="BC41" i="4" a="1"/>
  <c r="BC41" i="4" s="1"/>
  <c r="D41" i="1"/>
  <c r="C41" i="4"/>
  <c r="BU41" i="4" a="1"/>
  <c r="BU41" i="4" s="1"/>
  <c r="BV41" i="4" a="1"/>
  <c r="BV41" i="4" s="1"/>
  <c r="A41" i="20"/>
  <c r="A41" i="4"/>
  <c r="D41" i="4"/>
  <c r="DB85" i="4"/>
  <c r="AV285" i="13"/>
  <c r="CT31" i="4"/>
  <c r="CU31" i="4" s="1"/>
  <c r="AX31" i="4"/>
  <c r="AS31" i="4"/>
  <c r="AV633" i="13" s="1"/>
  <c r="AV244" i="13"/>
  <c r="DB44" i="4"/>
  <c r="BU63" i="4" a="1"/>
  <c r="BU63" i="4" s="1"/>
  <c r="BC63" i="4" a="1"/>
  <c r="BC63" i="4" s="1"/>
  <c r="BV63" i="4" a="1"/>
  <c r="BV63" i="4" s="1"/>
  <c r="C63" i="4"/>
  <c r="D63" i="4"/>
  <c r="A65" i="9"/>
  <c r="A63" i="20"/>
  <c r="D63" i="1"/>
  <c r="S95" i="22"/>
  <c r="AX1030" i="13"/>
  <c r="A633" i="13"/>
  <c r="A433" i="13"/>
  <c r="A832" i="13"/>
  <c r="AX832" i="13" s="1"/>
  <c r="AX633" i="13"/>
  <c r="AX33" i="13"/>
  <c r="A1030" i="13"/>
  <c r="A1129" i="13"/>
  <c r="A931" i="13"/>
  <c r="AX931" i="13" s="1"/>
  <c r="A133" i="13"/>
  <c r="AX533" i="13"/>
  <c r="AX433" i="13"/>
  <c r="A533" i="13"/>
  <c r="A732" i="13"/>
  <c r="AX732" i="13" s="1"/>
  <c r="BV42" i="4" a="1"/>
  <c r="BV42" i="4" s="1"/>
  <c r="C42" i="4"/>
  <c r="BC42" i="4" a="1"/>
  <c r="BC42" i="4" s="1"/>
  <c r="A42" i="20"/>
  <c r="BU42" i="4" a="1"/>
  <c r="BU42" i="4" s="1"/>
  <c r="D42" i="1"/>
  <c r="A44" i="9"/>
  <c r="H44" i="9" s="1"/>
  <c r="A42" i="4"/>
  <c r="D42" i="4"/>
  <c r="CT37" i="4"/>
  <c r="CU37" i="4" s="1"/>
  <c r="AS37" i="4"/>
  <c r="AV639" i="13" s="1"/>
  <c r="AX37" i="4"/>
  <c r="CT25" i="4"/>
  <c r="CU25" i="4" s="1"/>
  <c r="AS25" i="4"/>
  <c r="AV627" i="13" s="1"/>
  <c r="AX25" i="4"/>
  <c r="AS86" i="4"/>
  <c r="AV688" i="13" s="1"/>
  <c r="AX86" i="4"/>
  <c r="CT86" i="4"/>
  <c r="CU86" i="4" s="1"/>
  <c r="DB15" i="4"/>
  <c r="AV215" i="13"/>
  <c r="C47" i="4"/>
  <c r="BV47" i="4" a="1"/>
  <c r="BV47" i="4" s="1"/>
  <c r="A47" i="20"/>
  <c r="D47" i="1"/>
  <c r="BU47" i="4" a="1"/>
  <c r="BU47" i="4" s="1"/>
  <c r="A49" i="9"/>
  <c r="H49" i="9" s="1"/>
  <c r="BC47" i="4" a="1"/>
  <c r="BC47" i="4" s="1"/>
  <c r="A47" i="4"/>
  <c r="D47" i="4"/>
  <c r="A456" i="13"/>
  <c r="A556" i="13"/>
  <c r="A656" i="13"/>
  <c r="AX1053" i="13"/>
  <c r="AX656" i="13"/>
  <c r="A954" i="13"/>
  <c r="AX954" i="13" s="1"/>
  <c r="AX556" i="13"/>
  <c r="A855" i="13"/>
  <c r="AX855" i="13" s="1"/>
  <c r="AX456" i="13"/>
  <c r="A1152" i="13"/>
  <c r="AX56" i="13"/>
  <c r="A156" i="13"/>
  <c r="A755" i="13"/>
  <c r="AX755" i="13" s="1"/>
  <c r="A1053" i="13"/>
  <c r="AS92" i="4"/>
  <c r="AV694" i="13" s="1"/>
  <c r="AX92" i="4"/>
  <c r="AS76" i="4"/>
  <c r="AV678" i="13" s="1"/>
  <c r="AX76" i="4"/>
  <c r="CT76" i="4"/>
  <c r="CU76" i="4" s="1"/>
  <c r="CT69" i="4"/>
  <c r="CU69" i="4" s="1"/>
  <c r="AS69" i="4"/>
  <c r="AV671" i="13" s="1"/>
  <c r="AX69" i="4"/>
  <c r="A949" i="13"/>
  <c r="AX949" i="13" s="1"/>
  <c r="A850" i="13"/>
  <c r="AX850" i="13" s="1"/>
  <c r="AX551" i="13"/>
  <c r="AX1048" i="13"/>
  <c r="A451" i="13"/>
  <c r="A1048" i="13"/>
  <c r="AX651" i="13"/>
  <c r="A151" i="13"/>
  <c r="AX51" i="13"/>
  <c r="A551" i="13"/>
  <c r="A651" i="13"/>
  <c r="A1147" i="13"/>
  <c r="A750" i="13"/>
  <c r="AX750" i="13" s="1"/>
  <c r="AX451" i="13"/>
  <c r="AS40" i="4"/>
  <c r="AV642" i="13" s="1"/>
  <c r="AX40" i="4"/>
  <c r="CT19" i="4"/>
  <c r="CU19" i="4" s="1"/>
  <c r="AS19" i="4"/>
  <c r="AV621" i="13" s="1"/>
  <c r="AX19" i="4"/>
  <c r="AV207" i="13"/>
  <c r="T5" i="4"/>
  <c r="DB5" i="4"/>
  <c r="AV251" i="13"/>
  <c r="DB51" i="4"/>
  <c r="AX441" i="13"/>
  <c r="AX641" i="13"/>
  <c r="A1038" i="13"/>
  <c r="A740" i="13"/>
  <c r="AX740" i="13" s="1"/>
  <c r="A840" i="13"/>
  <c r="AX840" i="13" s="1"/>
  <c r="AX41" i="13"/>
  <c r="A641" i="13"/>
  <c r="A441" i="13"/>
  <c r="A1137" i="13"/>
  <c r="AX1038" i="13"/>
  <c r="A541" i="13"/>
  <c r="A939" i="13"/>
  <c r="AX939" i="13" s="1"/>
  <c r="A141" i="13"/>
  <c r="AX541" i="13"/>
  <c r="BV27" i="4" a="1"/>
  <c r="BV27" i="4" s="1"/>
  <c r="BC27" i="4" a="1"/>
  <c r="BC27" i="4" s="1"/>
  <c r="A27" i="20"/>
  <c r="D27" i="4"/>
  <c r="A27" i="4"/>
  <c r="C27" i="4"/>
  <c r="A29" i="9"/>
  <c r="H29" i="9" s="1"/>
  <c r="D27" i="1"/>
  <c r="BU27" i="4" a="1"/>
  <c r="BU27" i="4" s="1"/>
  <c r="BC15" i="4" a="1"/>
  <c r="BC15" i="4" s="1"/>
  <c r="A15" i="20"/>
  <c r="C15" i="4"/>
  <c r="BU15" i="4" a="1"/>
  <c r="BU15" i="4" s="1"/>
  <c r="D15" i="1"/>
  <c r="A15" i="4"/>
  <c r="BV15" i="4" a="1"/>
  <c r="BV15" i="4" s="1"/>
  <c r="D15" i="4"/>
  <c r="A17" i="9"/>
  <c r="H17" i="9" s="1"/>
  <c r="CT3" i="4"/>
  <c r="AX3" i="4"/>
  <c r="AS3" i="4"/>
  <c r="AV222" i="13"/>
  <c r="DB22" i="4"/>
  <c r="I60" i="4"/>
  <c r="Z262" i="13"/>
  <c r="CT38" i="4"/>
  <c r="CU38" i="4" s="1"/>
  <c r="AS38" i="4"/>
  <c r="AV640" i="13" s="1"/>
  <c r="AX38" i="4"/>
  <c r="AS20" i="4"/>
  <c r="AV622" i="13" s="1"/>
  <c r="AX20" i="4"/>
  <c r="CT20" i="4"/>
  <c r="CU20" i="4" s="1"/>
  <c r="AS45" i="4"/>
  <c r="AV647" i="13" s="1"/>
  <c r="AX45" i="4"/>
  <c r="AX48" i="13"/>
  <c r="A1045" i="13"/>
  <c r="A448" i="13"/>
  <c r="AX648" i="13"/>
  <c r="A648" i="13"/>
  <c r="AX548" i="13"/>
  <c r="A148" i="13"/>
  <c r="A1144" i="13"/>
  <c r="AX1045" i="13"/>
  <c r="AX448" i="13"/>
  <c r="A747" i="13"/>
  <c r="AX747" i="13" s="1"/>
  <c r="A548" i="13"/>
  <c r="A946" i="13"/>
  <c r="AX946" i="13" s="1"/>
  <c r="A847" i="13"/>
  <c r="AX847" i="13" s="1"/>
  <c r="C35" i="4"/>
  <c r="BC35" i="4" a="1"/>
  <c r="BC35" i="4" s="1"/>
  <c r="A37" i="9"/>
  <c r="H37" i="9" s="1"/>
  <c r="BV35" i="4" a="1"/>
  <c r="BV35" i="4" s="1"/>
  <c r="A35" i="4"/>
  <c r="BU35" i="4" a="1"/>
  <c r="BU35" i="4" s="1"/>
  <c r="D35" i="4"/>
  <c r="D35" i="1"/>
  <c r="A35" i="20"/>
  <c r="A124" i="13"/>
  <c r="A823" i="13"/>
  <c r="AX823" i="13" s="1"/>
  <c r="AX624" i="13"/>
  <c r="A1120" i="13"/>
  <c r="A424" i="13"/>
  <c r="AX1021" i="13"/>
  <c r="A624" i="13"/>
  <c r="A1021" i="13"/>
  <c r="A922" i="13"/>
  <c r="AX922" i="13" s="1"/>
  <c r="AX24" i="13"/>
  <c r="A723" i="13"/>
  <c r="AX723" i="13" s="1"/>
  <c r="A524" i="13"/>
  <c r="AX524" i="13"/>
  <c r="AX424" i="13"/>
  <c r="A512" i="13"/>
  <c r="AX12" i="13"/>
  <c r="A412" i="13"/>
  <c r="AX1009" i="13"/>
  <c r="A711" i="13"/>
  <c r="AX711" i="13" s="1"/>
  <c r="A910" i="13"/>
  <c r="AX910" i="13" s="1"/>
  <c r="AX512" i="13"/>
  <c r="A811" i="13"/>
  <c r="AX811" i="13" s="1"/>
  <c r="AX612" i="13"/>
  <c r="A612" i="13"/>
  <c r="A1009" i="13"/>
  <c r="A112" i="13"/>
  <c r="AX412" i="13"/>
  <c r="A1108" i="13"/>
  <c r="DB16" i="4"/>
  <c r="AV216" i="13"/>
  <c r="DB79" i="4"/>
  <c r="AV279" i="13"/>
  <c r="AX555" i="13"/>
  <c r="A455" i="13"/>
  <c r="AX55" i="13"/>
  <c r="A754" i="13"/>
  <c r="AX754" i="13" s="1"/>
  <c r="A854" i="13"/>
  <c r="AX854" i="13" s="1"/>
  <c r="AX655" i="13"/>
  <c r="A555" i="13"/>
  <c r="A655" i="13"/>
  <c r="AX1052" i="13"/>
  <c r="A953" i="13"/>
  <c r="AX953" i="13" s="1"/>
  <c r="A155" i="13"/>
  <c r="AX455" i="13"/>
  <c r="A1052" i="13"/>
  <c r="A1151" i="13"/>
  <c r="A531" i="13"/>
  <c r="AX631" i="13"/>
  <c r="A1028" i="13"/>
  <c r="A131" i="13"/>
  <c r="AX31" i="13"/>
  <c r="AX1028" i="13"/>
  <c r="AX531" i="13"/>
  <c r="A929" i="13"/>
  <c r="AX929" i="13" s="1"/>
  <c r="AX431" i="13"/>
  <c r="A1127" i="13"/>
  <c r="A631" i="13"/>
  <c r="A830" i="13"/>
  <c r="AX830" i="13" s="1"/>
  <c r="A730" i="13"/>
  <c r="AX730" i="13" s="1"/>
  <c r="A431" i="13"/>
  <c r="A818" i="13"/>
  <c r="AX818" i="13" s="1"/>
  <c r="AX519" i="13"/>
  <c r="AX419" i="13"/>
  <c r="A619" i="13"/>
  <c r="A917" i="13"/>
  <c r="AX917" i="13" s="1"/>
  <c r="A519" i="13"/>
  <c r="A1115" i="13"/>
  <c r="AX1016" i="13"/>
  <c r="A419" i="13"/>
  <c r="A718" i="13"/>
  <c r="AX718" i="13" s="1"/>
  <c r="AX19" i="13"/>
  <c r="AX619" i="13"/>
  <c r="A119" i="13"/>
  <c r="A1016" i="13"/>
  <c r="Z162" i="13"/>
  <c r="BC77" i="4" a="1"/>
  <c r="BC77" i="4" s="1"/>
  <c r="BV77" i="4" a="1"/>
  <c r="BV77" i="4" s="1"/>
  <c r="C77" i="4"/>
  <c r="A79" i="9"/>
  <c r="D77" i="4"/>
  <c r="D77" i="1"/>
  <c r="BU77" i="4" a="1"/>
  <c r="BU77" i="4" s="1"/>
  <c r="A77" i="20"/>
  <c r="A173" i="13"/>
  <c r="A872" i="13"/>
  <c r="AX872" i="13" s="1"/>
  <c r="A573" i="13"/>
  <c r="A473" i="13"/>
  <c r="A971" i="13"/>
  <c r="AX971" i="13" s="1"/>
  <c r="A1070" i="13"/>
  <c r="AX573" i="13"/>
  <c r="AX673" i="13"/>
  <c r="A673" i="13"/>
  <c r="AX473" i="13"/>
  <c r="A772" i="13"/>
  <c r="AX772" i="13" s="1"/>
  <c r="A1169" i="13"/>
  <c r="AX1070" i="13"/>
  <c r="AX73" i="13"/>
  <c r="A45" i="9"/>
  <c r="H45" i="9" s="1"/>
  <c r="BV43" i="4" a="1"/>
  <c r="BV43" i="4" s="1"/>
  <c r="BC43" i="4" a="1"/>
  <c r="BC43" i="4" s="1"/>
  <c r="A43" i="4"/>
  <c r="C43" i="4"/>
  <c r="D43" i="1"/>
  <c r="BU43" i="4" a="1"/>
  <c r="BU43" i="4" s="1"/>
  <c r="D43" i="4"/>
  <c r="A43" i="20"/>
  <c r="AV226" i="13"/>
  <c r="DB26" i="4"/>
  <c r="DB14" i="4"/>
  <c r="AV214" i="13"/>
  <c r="A887" i="13"/>
  <c r="AX887" i="13" s="1"/>
  <c r="A188" i="13"/>
  <c r="AX688" i="13"/>
  <c r="A787" i="13"/>
  <c r="AX787" i="13" s="1"/>
  <c r="AX1085" i="13"/>
  <c r="AX588" i="13"/>
  <c r="A688" i="13"/>
  <c r="AX488" i="13"/>
  <c r="A986" i="13"/>
  <c r="AX986" i="13" s="1"/>
  <c r="A1184" i="13"/>
  <c r="A488" i="13"/>
  <c r="A588" i="13"/>
  <c r="AX88" i="13"/>
  <c r="A1085" i="13"/>
  <c r="AS57" i="4"/>
  <c r="AV659" i="13" s="1"/>
  <c r="AX57" i="4"/>
  <c r="AS62" i="4"/>
  <c r="AV664" i="13" s="1"/>
  <c r="AX62" i="4"/>
  <c r="CT62" i="4"/>
  <c r="CU62" i="4" s="1"/>
  <c r="CT94" i="4"/>
  <c r="CU94" i="4" s="1"/>
  <c r="DA94" i="4"/>
  <c r="AS94" i="4"/>
  <c r="AV696" i="13" s="1"/>
  <c r="AX94" i="4"/>
  <c r="CT8" i="4"/>
  <c r="CU8" i="4" s="1"/>
  <c r="AX8" i="4"/>
  <c r="AS8" i="4"/>
  <c r="AV610" i="13" s="1"/>
  <c r="AS23" i="4"/>
  <c r="AV625" i="13" s="1"/>
  <c r="AX23" i="4"/>
  <c r="CT23" i="4"/>
  <c r="CU23" i="4" s="1"/>
  <c r="I12" i="27"/>
  <c r="A785" i="13"/>
  <c r="AX785" i="13" s="1"/>
  <c r="AX586" i="13"/>
  <c r="AX1083" i="13"/>
  <c r="A686" i="13"/>
  <c r="AX686" i="13"/>
  <c r="A1083" i="13"/>
  <c r="A984" i="13"/>
  <c r="AX984" i="13" s="1"/>
  <c r="A885" i="13"/>
  <c r="AX885" i="13" s="1"/>
  <c r="A586" i="13"/>
  <c r="A486" i="13"/>
  <c r="A186" i="13"/>
  <c r="A1182" i="13"/>
  <c r="AX486" i="13"/>
  <c r="AX86" i="13"/>
  <c r="AX691" i="13"/>
  <c r="A890" i="13"/>
  <c r="AX890" i="13" s="1"/>
  <c r="AX91" i="13"/>
  <c r="AX591" i="13"/>
  <c r="A790" i="13"/>
  <c r="AX790" i="13" s="1"/>
  <c r="A989" i="13"/>
  <c r="AX989" i="13" s="1"/>
  <c r="A491" i="13"/>
  <c r="A591" i="13"/>
  <c r="A191" i="13"/>
  <c r="AX491" i="13"/>
  <c r="A1187" i="13"/>
  <c r="A691" i="13"/>
  <c r="AX1088" i="13"/>
  <c r="A1088" i="13"/>
  <c r="CT30" i="4"/>
  <c r="CU30" i="4" s="1"/>
  <c r="AS30" i="4"/>
  <c r="AV632" i="13" s="1"/>
  <c r="AX30" i="4"/>
  <c r="A91" i="20"/>
  <c r="A93" i="9"/>
  <c r="D91" i="4"/>
  <c r="D91" i="1"/>
  <c r="BC91" i="4" a="1"/>
  <c r="BC91" i="4" s="1"/>
  <c r="BV91" i="4" a="1"/>
  <c r="BV91" i="4" s="1"/>
  <c r="BU91" i="4" a="1"/>
  <c r="BU91" i="4" s="1"/>
  <c r="C91" i="4"/>
  <c r="BV66" i="4" a="1"/>
  <c r="BV66" i="4" s="1"/>
  <c r="C66" i="4"/>
  <c r="D66" i="4"/>
  <c r="BU66" i="4" a="1"/>
  <c r="BU66" i="4" s="1"/>
  <c r="BC66" i="4" a="1"/>
  <c r="BC66" i="4" s="1"/>
  <c r="A68" i="9"/>
  <c r="D66" i="1"/>
  <c r="A66" i="20"/>
  <c r="CT41" i="4"/>
  <c r="CU41" i="4" s="1"/>
  <c r="AS41" i="4"/>
  <c r="AV643" i="13" s="1"/>
  <c r="AX41" i="4"/>
  <c r="DB37" i="4"/>
  <c r="AV237" i="13"/>
  <c r="DB25" i="4"/>
  <c r="AV225" i="13"/>
  <c r="A159" i="13"/>
  <c r="AX659" i="13"/>
  <c r="AX1056" i="13"/>
  <c r="A659" i="13"/>
  <c r="A758" i="13"/>
  <c r="AX758" i="13" s="1"/>
  <c r="A1056" i="13"/>
  <c r="AX559" i="13"/>
  <c r="A1155" i="13"/>
  <c r="A957" i="13"/>
  <c r="AX957" i="13" s="1"/>
  <c r="AX59" i="13"/>
  <c r="AX459" i="13"/>
  <c r="A559" i="13"/>
  <c r="A858" i="13"/>
  <c r="AX858" i="13" s="1"/>
  <c r="A459" i="13"/>
  <c r="A1061" i="13"/>
  <c r="A164" i="13"/>
  <c r="A962" i="13"/>
  <c r="AX962" i="13" s="1"/>
  <c r="A863" i="13"/>
  <c r="AX863" i="13" s="1"/>
  <c r="AX664" i="13"/>
  <c r="AX1061" i="13"/>
  <c r="A763" i="13"/>
  <c r="AX763" i="13" s="1"/>
  <c r="A1160" i="13"/>
  <c r="AX64" i="13"/>
  <c r="A664" i="13"/>
  <c r="AX464" i="13"/>
  <c r="A564" i="13"/>
  <c r="A464" i="13"/>
  <c r="AX564" i="13"/>
  <c r="AV232" i="13"/>
  <c r="DB32" i="4"/>
  <c r="AV239" i="13"/>
  <c r="DB39" i="4"/>
  <c r="DB27" i="4"/>
  <c r="AV227" i="13"/>
  <c r="AS21" i="4"/>
  <c r="AV623" i="13" s="1"/>
  <c r="AX21" i="4"/>
  <c r="CT46" i="4"/>
  <c r="CU46" i="4" s="1"/>
  <c r="AS46" i="4"/>
  <c r="AV648" i="13" s="1"/>
  <c r="AX46" i="4"/>
  <c r="A709" i="13"/>
  <c r="AX709" i="13" s="1"/>
  <c r="A510" i="13"/>
  <c r="AX1007" i="13"/>
  <c r="A110" i="13"/>
  <c r="AX510" i="13"/>
  <c r="AX410" i="13"/>
  <c r="A1106" i="13"/>
  <c r="AX610" i="13"/>
  <c r="A610" i="13"/>
  <c r="A410" i="13"/>
  <c r="A809" i="13"/>
  <c r="AX809" i="13" s="1"/>
  <c r="A1007" i="13"/>
  <c r="AX10" i="13"/>
  <c r="A908" i="13"/>
  <c r="AX908" i="13" s="1"/>
  <c r="A23" i="4"/>
  <c r="A23" i="20"/>
  <c r="BC23" i="4" a="1"/>
  <c r="BC23" i="4" s="1"/>
  <c r="C23" i="4"/>
  <c r="D23" i="4"/>
  <c r="D23" i="1"/>
  <c r="BU23" i="4" a="1"/>
  <c r="BU23" i="4" s="1"/>
  <c r="A25" i="9"/>
  <c r="H25" i="9" s="1"/>
  <c r="BV23" i="4" a="1"/>
  <c r="BV23" i="4" s="1"/>
  <c r="BC54" i="4" a="1"/>
  <c r="BC54" i="4" s="1"/>
  <c r="BV54" i="4" a="1"/>
  <c r="BV54" i="4" s="1"/>
  <c r="C54" i="4"/>
  <c r="A56" i="9"/>
  <c r="H56" i="9" s="1"/>
  <c r="A54" i="20"/>
  <c r="D54" i="1"/>
  <c r="D54" i="4"/>
  <c r="A54" i="4"/>
  <c r="BU54" i="4" a="1"/>
  <c r="BU54" i="4" s="1"/>
  <c r="D49" i="4"/>
  <c r="C49" i="4"/>
  <c r="A51" i="9"/>
  <c r="H51" i="9" s="1"/>
  <c r="BC49" i="4" a="1"/>
  <c r="BC49" i="4" s="1"/>
  <c r="D49" i="1"/>
  <c r="A49" i="4"/>
  <c r="A49" i="20"/>
  <c r="BV49" i="4" a="1"/>
  <c r="BV49" i="4" s="1"/>
  <c r="BU49" i="4" a="1"/>
  <c r="BU49" i="4" s="1"/>
  <c r="AV288" i="13"/>
  <c r="DB88" i="4"/>
  <c r="AV231" i="13"/>
  <c r="DB31" i="4"/>
  <c r="DB19" i="4"/>
  <c r="AV219" i="13"/>
  <c r="A679" i="13"/>
  <c r="A479" i="13"/>
  <c r="AX679" i="13"/>
  <c r="AX79" i="13"/>
  <c r="A778" i="13"/>
  <c r="AX778" i="13" s="1"/>
  <c r="A179" i="13"/>
  <c r="A579" i="13"/>
  <c r="AX1076" i="13"/>
  <c r="A1175" i="13"/>
  <c r="AX579" i="13"/>
  <c r="A977" i="13"/>
  <c r="AX977" i="13" s="1"/>
  <c r="A1076" i="13"/>
  <c r="AX479" i="13"/>
  <c r="A878" i="13"/>
  <c r="AX878" i="13" s="1"/>
  <c r="AV223" i="13"/>
  <c r="DB23" i="4"/>
  <c r="BV19" i="4" a="1"/>
  <c r="BV19" i="4" s="1"/>
  <c r="D19" i="4"/>
  <c r="D19" i="1"/>
  <c r="BU19" i="4" a="1"/>
  <c r="BU19" i="4" s="1"/>
  <c r="A21" i="9"/>
  <c r="H21" i="9" s="1"/>
  <c r="A19" i="20"/>
  <c r="C19" i="4"/>
  <c r="BC19" i="4" a="1"/>
  <c r="BC19" i="4" s="1"/>
  <c r="A19" i="4"/>
  <c r="C19" i="27"/>
  <c r="A11" i="9"/>
  <c r="H11" i="9" s="1"/>
  <c r="C9" i="4"/>
  <c r="BU9" i="4" a="1"/>
  <c r="BU9" i="4" s="1"/>
  <c r="J9" i="4"/>
  <c r="D9" i="1"/>
  <c r="BV9" i="4" a="1"/>
  <c r="BV9" i="4" s="1"/>
  <c r="D9" i="4"/>
  <c r="BC9" i="4" a="1"/>
  <c r="BC9" i="4" s="1"/>
  <c r="A9" i="20"/>
  <c r="A9" i="4"/>
  <c r="D84" i="4"/>
  <c r="BV84" i="4" a="1"/>
  <c r="BV84" i="4" s="1"/>
  <c r="C84" i="4"/>
  <c r="BC84" i="4" a="1"/>
  <c r="BC84" i="4" s="1"/>
  <c r="A86" i="9"/>
  <c r="A84" i="20"/>
  <c r="BU84" i="4" a="1"/>
  <c r="BU84" i="4" s="1"/>
  <c r="D84" i="1"/>
  <c r="D89" i="1"/>
  <c r="C89" i="4"/>
  <c r="BV89" i="4" a="1"/>
  <c r="BV89" i="4" s="1"/>
  <c r="A91" i="9"/>
  <c r="BC89" i="4" a="1"/>
  <c r="BC89" i="4" s="1"/>
  <c r="BU89" i="4" a="1"/>
  <c r="BU89" i="4" s="1"/>
  <c r="A89" i="20"/>
  <c r="D89" i="4"/>
  <c r="AS59" i="4"/>
  <c r="AV661" i="13" s="1"/>
  <c r="AX59" i="4"/>
  <c r="CT59" i="4"/>
  <c r="CU59" i="4" s="1"/>
  <c r="A792" i="13"/>
  <c r="AX792" i="13" s="1"/>
  <c r="A693" i="13"/>
  <c r="A892" i="13"/>
  <c r="AX892" i="13" s="1"/>
  <c r="AX493" i="13"/>
  <c r="AX1090" i="13"/>
  <c r="A1090" i="13"/>
  <c r="A991" i="13"/>
  <c r="AX991" i="13" s="1"/>
  <c r="AX93" i="13"/>
  <c r="A593" i="13"/>
  <c r="A193" i="13"/>
  <c r="AX693" i="13"/>
  <c r="AX593" i="13"/>
  <c r="A1189" i="13"/>
  <c r="A493" i="13"/>
  <c r="A468" i="13"/>
  <c r="AX1065" i="13"/>
  <c r="A1065" i="13"/>
  <c r="AX668" i="13"/>
  <c r="AX568" i="13"/>
  <c r="A1164" i="13"/>
  <c r="A168" i="13"/>
  <c r="AX468" i="13"/>
  <c r="AX68" i="13"/>
  <c r="A568" i="13"/>
  <c r="A966" i="13"/>
  <c r="AX966" i="13" s="1"/>
  <c r="A767" i="13"/>
  <c r="AX767" i="13" s="1"/>
  <c r="A668" i="13"/>
  <c r="A867" i="13"/>
  <c r="AX867" i="13" s="1"/>
  <c r="A57" i="20"/>
  <c r="D57" i="4"/>
  <c r="S89" i="22"/>
  <c r="BV57" i="4" a="1"/>
  <c r="BV57" i="4" s="1"/>
  <c r="C57" i="4"/>
  <c r="BC57" i="4" a="1"/>
  <c r="BC57" i="4" s="1"/>
  <c r="BU57" i="4" a="1"/>
  <c r="BU57" i="4" s="1"/>
  <c r="D57" i="1"/>
  <c r="A59" i="9"/>
  <c r="A57" i="4"/>
  <c r="D62" i="4"/>
  <c r="BV62" i="4" a="1"/>
  <c r="BV62" i="4" s="1"/>
  <c r="C62" i="4"/>
  <c r="S94" i="22"/>
  <c r="BC62" i="4" a="1"/>
  <c r="BC62" i="4" s="1"/>
  <c r="A64" i="9"/>
  <c r="BU62" i="4" a="1"/>
  <c r="BU62" i="4" s="1"/>
  <c r="A62" i="20"/>
  <c r="D62" i="1"/>
  <c r="AX81" i="13"/>
  <c r="AX681" i="13"/>
  <c r="AX481" i="13"/>
  <c r="A681" i="13"/>
  <c r="A181" i="13"/>
  <c r="AX1078" i="13"/>
  <c r="A780" i="13"/>
  <c r="AX780" i="13" s="1"/>
  <c r="AX581" i="13"/>
  <c r="A481" i="13"/>
  <c r="A1177" i="13"/>
  <c r="A979" i="13"/>
  <c r="AX979" i="13" s="1"/>
  <c r="A581" i="13"/>
  <c r="A1078" i="13"/>
  <c r="A880" i="13"/>
  <c r="AX880" i="13" s="1"/>
  <c r="A575" i="13"/>
  <c r="AX475" i="13"/>
  <c r="A475" i="13"/>
  <c r="A1072" i="13"/>
  <c r="A973" i="13"/>
  <c r="AX973" i="13" s="1"/>
  <c r="A175" i="13"/>
  <c r="A774" i="13"/>
  <c r="AX774" i="13" s="1"/>
  <c r="AX575" i="13"/>
  <c r="A675" i="13"/>
  <c r="AX1072" i="13"/>
  <c r="A1171" i="13"/>
  <c r="AX675" i="13"/>
  <c r="A874" i="13"/>
  <c r="AX874" i="13" s="1"/>
  <c r="AX75" i="13"/>
  <c r="CT43" i="4"/>
  <c r="CU43" i="4" s="1"/>
  <c r="AS43" i="4"/>
  <c r="AV645" i="13" s="1"/>
  <c r="AX43" i="4"/>
  <c r="A45" i="4"/>
  <c r="D45" i="1"/>
  <c r="BU45" i="4" a="1"/>
  <c r="BU45" i="4" s="1"/>
  <c r="BV45" i="4" a="1"/>
  <c r="BV45" i="4" s="1"/>
  <c r="A45" i="20"/>
  <c r="BC45" i="4" a="1"/>
  <c r="BC45" i="4" s="1"/>
  <c r="D45" i="4"/>
  <c r="C45" i="4"/>
  <c r="A47" i="9"/>
  <c r="H47" i="9" s="1"/>
  <c r="BU8" i="4" a="1"/>
  <c r="BU8" i="4" s="1"/>
  <c r="D8" i="4"/>
  <c r="BC8" i="4" a="1"/>
  <c r="BC8" i="4" s="1"/>
  <c r="BV8" i="4" a="1"/>
  <c r="BV8" i="4" s="1"/>
  <c r="A8" i="20"/>
  <c r="C8" i="4"/>
  <c r="A10" i="9"/>
  <c r="H10" i="9" s="1"/>
  <c r="A8" i="4"/>
  <c r="D8" i="1"/>
  <c r="AX625" i="13"/>
  <c r="A923" i="13"/>
  <c r="AX923" i="13" s="1"/>
  <c r="A1121" i="13"/>
  <c r="AX1022" i="13"/>
  <c r="A1022" i="13"/>
  <c r="A824" i="13"/>
  <c r="AX824" i="13" s="1"/>
  <c r="A425" i="13"/>
  <c r="AX525" i="13"/>
  <c r="A125" i="13"/>
  <c r="A525" i="13"/>
  <c r="A724" i="13"/>
  <c r="AX724" i="13" s="1"/>
  <c r="AX425" i="13"/>
  <c r="A625" i="13"/>
  <c r="AX25" i="13"/>
  <c r="DB84" i="4"/>
  <c r="AV284" i="13"/>
  <c r="DB74" i="4"/>
  <c r="AV274" i="13"/>
  <c r="CT48" i="4"/>
  <c r="CU48" i="4" s="1"/>
  <c r="AS48" i="4"/>
  <c r="AV650" i="13" s="1"/>
  <c r="AX48" i="4"/>
  <c r="AP4" i="4"/>
  <c r="AV306" i="13" s="1"/>
  <c r="AV406" i="13" s="1"/>
  <c r="BV56" i="4" a="1"/>
  <c r="BV56" i="4" s="1"/>
  <c r="C56" i="4"/>
  <c r="D56" i="1"/>
  <c r="BU56" i="4" a="1"/>
  <c r="BU56" i="4" s="1"/>
  <c r="A58" i="9"/>
  <c r="A56" i="20"/>
  <c r="S88" i="22"/>
  <c r="BC56" i="4" a="1"/>
  <c r="BC56" i="4" s="1"/>
  <c r="D56" i="4"/>
  <c r="A56" i="4"/>
  <c r="D71" i="1"/>
  <c r="BU71" i="4" a="1"/>
  <c r="BU71" i="4" s="1"/>
  <c r="D71" i="4"/>
  <c r="BC71" i="4" a="1"/>
  <c r="BC71" i="4" s="1"/>
  <c r="A73" i="9"/>
  <c r="A71" i="20"/>
  <c r="C71" i="4"/>
  <c r="BV71" i="4" a="1"/>
  <c r="BV71" i="4" s="1"/>
  <c r="A71" i="4"/>
  <c r="AX545" i="13"/>
  <c r="AX1042" i="13"/>
  <c r="A1042" i="13"/>
  <c r="A943" i="13"/>
  <c r="AX943" i="13" s="1"/>
  <c r="A744" i="13"/>
  <c r="AX744" i="13" s="1"/>
  <c r="AX645" i="13"/>
  <c r="A545" i="13"/>
  <c r="A645" i="13"/>
  <c r="AX45" i="13"/>
  <c r="A1141" i="13"/>
  <c r="A145" i="13"/>
  <c r="AX445" i="13"/>
  <c r="A844" i="13"/>
  <c r="AX844" i="13" s="1"/>
  <c r="A445" i="13"/>
  <c r="AV238" i="13"/>
  <c r="DB38" i="4"/>
  <c r="BC86" i="4" a="1"/>
  <c r="BC86" i="4" s="1"/>
  <c r="D86" i="4"/>
  <c r="D86" i="1"/>
  <c r="C86" i="4"/>
  <c r="BU86" i="4" a="1"/>
  <c r="BU86" i="4" s="1"/>
  <c r="A88" i="9"/>
  <c r="BV86" i="4" a="1"/>
  <c r="BV86" i="4" s="1"/>
  <c r="A86" i="20"/>
  <c r="A86" i="4"/>
  <c r="CT33" i="4"/>
  <c r="CU33" i="4" s="1"/>
  <c r="AS33" i="4"/>
  <c r="AV635" i="13" s="1"/>
  <c r="AX33" i="4"/>
  <c r="CT9" i="4"/>
  <c r="CU9" i="4" s="1"/>
  <c r="AS9" i="4"/>
  <c r="AV611" i="13" s="1"/>
  <c r="AX9" i="4"/>
  <c r="DB18" i="4"/>
  <c r="AV218" i="13"/>
  <c r="CT52" i="4"/>
  <c r="CU52" i="4" s="1"/>
  <c r="AS52" i="4"/>
  <c r="AV654" i="13" s="1"/>
  <c r="AX52" i="4"/>
  <c r="CT44" i="4"/>
  <c r="CU44" i="4" s="1"/>
  <c r="AS44" i="4"/>
  <c r="AV646" i="13" s="1"/>
  <c r="AX44" i="4"/>
  <c r="AS28" i="4"/>
  <c r="AV630" i="13" s="1"/>
  <c r="AX28" i="4"/>
  <c r="AS91" i="4"/>
  <c r="AV693" i="13" s="1"/>
  <c r="AX91" i="4"/>
  <c r="CT91" i="4"/>
  <c r="CU91" i="4" s="1"/>
  <c r="AV258" i="13"/>
  <c r="DB58" i="4"/>
  <c r="DB33" i="4"/>
  <c r="AV233" i="13"/>
  <c r="DB21" i="4"/>
  <c r="AV221" i="13"/>
  <c r="AV253" i="13"/>
  <c r="DB53" i="4"/>
  <c r="DB40" i="4"/>
  <c r="AV240" i="13"/>
  <c r="AV228" i="13"/>
  <c r="DB28" i="4"/>
  <c r="A807" i="13"/>
  <c r="AX807" i="13" s="1"/>
  <c r="A1005" i="13"/>
  <c r="A508" i="13"/>
  <c r="A906" i="13"/>
  <c r="AX906" i="13" s="1"/>
  <c r="AX608" i="13"/>
  <c r="AX508" i="13"/>
  <c r="AX408" i="13"/>
  <c r="A408" i="13"/>
  <c r="A707" i="13"/>
  <c r="AX707" i="13" s="1"/>
  <c r="A608" i="13"/>
  <c r="A1104" i="13"/>
  <c r="A108" i="13"/>
  <c r="AX1005" i="13"/>
  <c r="AX8" i="13"/>
  <c r="AX1091" i="13"/>
  <c r="A1091" i="13"/>
  <c r="A793" i="13"/>
  <c r="AX793" i="13" s="1"/>
  <c r="A194" i="13"/>
  <c r="AX94" i="13"/>
  <c r="AX694" i="13"/>
  <c r="AX594" i="13"/>
  <c r="A694" i="13"/>
  <c r="A893" i="13"/>
  <c r="AX893" i="13" s="1"/>
  <c r="AX494" i="13"/>
  <c r="A594" i="13"/>
  <c r="A1190" i="13"/>
  <c r="A992" i="13"/>
  <c r="AX992" i="13" s="1"/>
  <c r="A494" i="13"/>
  <c r="C76" i="4"/>
  <c r="A76" i="20"/>
  <c r="BV76" i="4" a="1"/>
  <c r="BV76" i="4" s="1"/>
  <c r="D76" i="1"/>
  <c r="BU76" i="4" a="1"/>
  <c r="BU76" i="4" s="1"/>
  <c r="D76" i="4"/>
  <c r="BC76" i="4" a="1"/>
  <c r="BC76" i="4" s="1"/>
  <c r="A78" i="9"/>
  <c r="A76" i="4"/>
  <c r="C69" i="4"/>
  <c r="D69" i="1"/>
  <c r="BV69" i="4" a="1"/>
  <c r="BV69" i="4" s="1"/>
  <c r="BU69" i="4" a="1"/>
  <c r="BU69" i="4" s="1"/>
  <c r="D69" i="4"/>
  <c r="A71" i="9"/>
  <c r="BC69" i="4" a="1"/>
  <c r="BC69" i="4" s="1"/>
  <c r="A69" i="20"/>
  <c r="A69" i="4"/>
  <c r="AV236" i="13"/>
  <c r="DB36" i="4"/>
  <c r="A1018" i="13"/>
  <c r="AX421" i="13"/>
  <c r="A820" i="13"/>
  <c r="AX820" i="13" s="1"/>
  <c r="A121" i="13"/>
  <c r="A621" i="13"/>
  <c r="AX621" i="13"/>
  <c r="AX21" i="13"/>
  <c r="A720" i="13"/>
  <c r="AX720" i="13" s="1"/>
  <c r="A521" i="13"/>
  <c r="A421" i="13"/>
  <c r="A919" i="13"/>
  <c r="AX919" i="13" s="1"/>
  <c r="AX521" i="13"/>
  <c r="AX1018" i="13"/>
  <c r="A1117" i="13"/>
  <c r="J17" i="27"/>
  <c r="A111" i="13"/>
  <c r="AX1008" i="13"/>
  <c r="A1107" i="13"/>
  <c r="AX11" i="13"/>
  <c r="AX511" i="13"/>
  <c r="A1008" i="13"/>
  <c r="AX611" i="13"/>
  <c r="A810" i="13"/>
  <c r="AX810" i="13" s="1"/>
  <c r="A710" i="13"/>
  <c r="AX710" i="13" s="1"/>
  <c r="A909" i="13"/>
  <c r="AX909" i="13" s="1"/>
  <c r="A411" i="13"/>
  <c r="AX411" i="13"/>
  <c r="A511" i="13"/>
  <c r="A611" i="13"/>
  <c r="CT83" i="4"/>
  <c r="CU83" i="4" s="1"/>
  <c r="AS83" i="4"/>
  <c r="AV685" i="13" s="1"/>
  <c r="AX83" i="4"/>
  <c r="DB30" i="4"/>
  <c r="AV230" i="13"/>
  <c r="AS74" i="4"/>
  <c r="AV676" i="13" s="1"/>
  <c r="AX74" i="4"/>
  <c r="CT74" i="4"/>
  <c r="CU74" i="4" s="1"/>
  <c r="CT67" i="4"/>
  <c r="CU67" i="4" s="1"/>
  <c r="AS67" i="4"/>
  <c r="AV669" i="13" s="1"/>
  <c r="AX67" i="4"/>
  <c r="BC50" i="4" a="1"/>
  <c r="BC50" i="4" s="1"/>
  <c r="BU50" i="4" a="1"/>
  <c r="BU50" i="4" s="1"/>
  <c r="A50" i="4"/>
  <c r="C50" i="4"/>
  <c r="A50" i="20"/>
  <c r="BV50" i="4" a="1"/>
  <c r="BV50" i="4" s="1"/>
  <c r="D50" i="1"/>
  <c r="A52" i="9"/>
  <c r="H52" i="9" s="1"/>
  <c r="D50" i="4"/>
  <c r="CT56" i="4"/>
  <c r="CU56" i="4" s="1"/>
  <c r="AS56" i="4"/>
  <c r="AV658" i="13" s="1"/>
  <c r="AX56" i="4"/>
  <c r="BV79" i="4" a="1"/>
  <c r="BV79" i="4" s="1"/>
  <c r="A79" i="20"/>
  <c r="A81" i="9"/>
  <c r="BU79" i="4" a="1"/>
  <c r="BU79" i="4" s="1"/>
  <c r="D79" i="4"/>
  <c r="D79" i="1"/>
  <c r="C79" i="4"/>
  <c r="BC79" i="4" a="1"/>
  <c r="BC79" i="4" s="1"/>
  <c r="A79" i="4"/>
  <c r="BV73" i="4" a="1"/>
  <c r="BV73" i="4" s="1"/>
  <c r="D73" i="4"/>
  <c r="A73" i="20"/>
  <c r="D73" i="1"/>
  <c r="C73" i="4"/>
  <c r="BU73" i="4" a="1"/>
  <c r="BU73" i="4" s="1"/>
  <c r="BC73" i="4" a="1"/>
  <c r="BC73" i="4" s="1"/>
  <c r="A75" i="9"/>
  <c r="A73" i="4"/>
  <c r="AX447" i="13"/>
  <c r="AX647" i="13"/>
  <c r="AX1044" i="13"/>
  <c r="A1044" i="13"/>
  <c r="A647" i="13"/>
  <c r="A846" i="13"/>
  <c r="AX846" i="13" s="1"/>
  <c r="A945" i="13"/>
  <c r="AX945" i="13" s="1"/>
  <c r="A746" i="13"/>
  <c r="AX746" i="13" s="1"/>
  <c r="AX47" i="13"/>
  <c r="A147" i="13"/>
  <c r="A447" i="13"/>
  <c r="A1143" i="13"/>
  <c r="A547" i="13"/>
  <c r="AX547" i="13"/>
  <c r="AV259" i="13"/>
  <c r="DB59" i="4"/>
  <c r="DB64" i="4"/>
  <c r="AV264" i="13"/>
  <c r="CT35" i="4"/>
  <c r="CU35" i="4" s="1"/>
  <c r="AS35" i="4"/>
  <c r="AV637" i="13" s="1"/>
  <c r="AX35" i="4"/>
  <c r="CT53" i="4"/>
  <c r="CU53" i="4" s="1"/>
  <c r="AS53" i="4"/>
  <c r="AV655" i="13" s="1"/>
  <c r="AX53" i="4"/>
  <c r="AV280" i="13"/>
  <c r="DB80" i="4"/>
  <c r="A658" i="13"/>
  <c r="A857" i="13"/>
  <c r="AX857" i="13" s="1"/>
  <c r="AX658" i="13"/>
  <c r="AX1055" i="13"/>
  <c r="A458" i="13"/>
  <c r="AX58" i="13"/>
  <c r="AX558" i="13"/>
  <c r="A956" i="13"/>
  <c r="AX956" i="13" s="1"/>
  <c r="A1055" i="13"/>
  <c r="AX458" i="13"/>
  <c r="A558" i="13"/>
  <c r="A757" i="13"/>
  <c r="AX757" i="13" s="1"/>
  <c r="A158" i="13"/>
  <c r="A1154" i="13"/>
  <c r="A1109" i="13"/>
  <c r="A712" i="13"/>
  <c r="AX712" i="13" s="1"/>
  <c r="A113" i="13"/>
  <c r="A911" i="13"/>
  <c r="AX911" i="13" s="1"/>
  <c r="AX13" i="13"/>
  <c r="AX1010" i="13"/>
  <c r="A1010" i="13"/>
  <c r="AX613" i="13"/>
  <c r="A413" i="13"/>
  <c r="A513" i="13"/>
  <c r="A613" i="13"/>
  <c r="AX513" i="13"/>
  <c r="A812" i="13"/>
  <c r="AX812" i="13" s="1"/>
  <c r="AX413" i="13"/>
  <c r="CT73" i="4"/>
  <c r="CU73" i="4" s="1"/>
  <c r="AS73" i="4"/>
  <c r="AV675" i="13" s="1"/>
  <c r="AX73" i="4"/>
  <c r="Z58" i="69"/>
  <c r="CT66" i="4"/>
  <c r="CU66" i="4" s="1"/>
  <c r="AS66" i="4"/>
  <c r="AV668" i="13" s="1"/>
  <c r="AX66" i="4"/>
  <c r="AS42" i="4"/>
  <c r="AV644" i="13" s="1"/>
  <c r="AX42" i="4"/>
  <c r="DB7" i="4"/>
  <c r="AV209" i="13"/>
  <c r="T7" i="4"/>
  <c r="AV206" i="13"/>
  <c r="T4" i="4"/>
  <c r="DB4" i="4"/>
  <c r="D6" i="1"/>
  <c r="BC6" i="4" a="1"/>
  <c r="BC6" i="4" s="1"/>
  <c r="D6" i="4"/>
  <c r="C6" i="4"/>
  <c r="BV6" i="4" a="1"/>
  <c r="BV6" i="4" s="1"/>
  <c r="A8" i="9"/>
  <c r="H8" i="9" s="1"/>
  <c r="A6" i="4"/>
  <c r="BU6" i="4" a="1"/>
  <c r="BU6" i="4" s="1"/>
  <c r="A6" i="20"/>
  <c r="Z94" i="69"/>
  <c r="A92" i="20"/>
  <c r="BV92" i="4" a="1"/>
  <c r="BV92" i="4" s="1"/>
  <c r="BC92" i="4" a="1"/>
  <c r="BC92" i="4" s="1"/>
  <c r="C92" i="4"/>
  <c r="BU92" i="4" a="1"/>
  <c r="BU92" i="4" s="1"/>
  <c r="A94" i="9"/>
  <c r="D92" i="4"/>
  <c r="D92" i="1"/>
  <c r="A92" i="4"/>
  <c r="A578" i="13"/>
  <c r="A678" i="13"/>
  <c r="AX1075" i="13"/>
  <c r="AX78" i="13"/>
  <c r="A478" i="13"/>
  <c r="A1075" i="13"/>
  <c r="A777" i="13"/>
  <c r="AX777" i="13" s="1"/>
  <c r="A1174" i="13"/>
  <c r="A877" i="13"/>
  <c r="AX877" i="13" s="1"/>
  <c r="AX578" i="13"/>
  <c r="A178" i="13"/>
  <c r="A976" i="13"/>
  <c r="AX976" i="13" s="1"/>
  <c r="AX678" i="13"/>
  <c r="AX478" i="13"/>
  <c r="AX571" i="13"/>
  <c r="AX71" i="13"/>
  <c r="A770" i="13"/>
  <c r="AX770" i="13" s="1"/>
  <c r="A171" i="13"/>
  <c r="A471" i="13"/>
  <c r="A671" i="13"/>
  <c r="AX1068" i="13"/>
  <c r="AX471" i="13"/>
  <c r="AX671" i="13"/>
  <c r="A1068" i="13"/>
  <c r="A1167" i="13"/>
  <c r="A969" i="13"/>
  <c r="AX969" i="13" s="1"/>
  <c r="A571" i="13"/>
  <c r="A870" i="13"/>
  <c r="AX870" i="13" s="1"/>
  <c r="AX642" i="13"/>
  <c r="AX1039" i="13"/>
  <c r="A142" i="13"/>
  <c r="A741" i="13"/>
  <c r="AX741" i="13" s="1"/>
  <c r="AX442" i="13"/>
  <c r="A1138" i="13"/>
  <c r="A940" i="13"/>
  <c r="AX940" i="13" s="1"/>
  <c r="A841" i="13"/>
  <c r="AX841" i="13" s="1"/>
  <c r="A1039" i="13"/>
  <c r="AX542" i="13"/>
  <c r="A542" i="13"/>
  <c r="A442" i="13"/>
  <c r="AX42" i="13"/>
  <c r="A642" i="13"/>
  <c r="B6" i="27"/>
  <c r="CT80" i="4"/>
  <c r="CU80" i="4" s="1"/>
  <c r="AS80" i="4"/>
  <c r="AV682" i="13" s="1"/>
  <c r="AX80" i="4"/>
  <c r="AV260" i="13"/>
  <c r="DB60" i="4"/>
  <c r="AV220" i="13"/>
  <c r="DB20" i="4"/>
  <c r="CT93" i="4"/>
  <c r="CU93" i="4" s="1"/>
  <c r="AS93" i="4"/>
  <c r="AV695" i="13" s="1"/>
  <c r="AX93" i="4"/>
  <c r="AX552" i="13"/>
  <c r="A950" i="13"/>
  <c r="AX950" i="13" s="1"/>
  <c r="AX52" i="13"/>
  <c r="A552" i="13"/>
  <c r="A751" i="13"/>
  <c r="AX751" i="13" s="1"/>
  <c r="AX1049" i="13"/>
  <c r="A452" i="13"/>
  <c r="AX452" i="13"/>
  <c r="A152" i="13"/>
  <c r="A652" i="13"/>
  <c r="A1148" i="13"/>
  <c r="AX652" i="13"/>
  <c r="A851" i="13"/>
  <c r="AX851" i="13" s="1"/>
  <c r="A1049" i="13"/>
  <c r="DB41" i="4"/>
  <c r="AV241" i="13"/>
  <c r="AS77" i="4"/>
  <c r="AV679" i="13" s="1"/>
  <c r="AX77" i="4"/>
  <c r="CT77" i="4"/>
  <c r="CU77" i="4" s="1"/>
  <c r="CT71" i="4"/>
  <c r="CU71" i="4" s="1"/>
  <c r="AS71" i="4"/>
  <c r="AV673" i="13" s="1"/>
  <c r="AX71" i="4"/>
  <c r="DB43" i="4"/>
  <c r="AV243" i="13"/>
  <c r="CT22" i="4"/>
  <c r="CU22" i="4" s="1"/>
  <c r="AS22" i="4"/>
  <c r="AV624" i="13" s="1"/>
  <c r="AX22" i="4"/>
  <c r="BV37" i="4" a="1"/>
  <c r="BV37" i="4" s="1"/>
  <c r="A37" i="20"/>
  <c r="D37" i="4"/>
  <c r="BU37" i="4" a="1"/>
  <c r="BU37" i="4" s="1"/>
  <c r="A39" i="9"/>
  <c r="H39" i="9" s="1"/>
  <c r="D37" i="1"/>
  <c r="C37" i="4"/>
  <c r="A37" i="4"/>
  <c r="BC37" i="4" a="1"/>
  <c r="BC37" i="4" s="1"/>
  <c r="AX1024" i="13"/>
  <c r="A1024" i="13"/>
  <c r="AX427" i="13"/>
  <c r="AX527" i="13"/>
  <c r="A726" i="13"/>
  <c r="AX726" i="13" s="1"/>
  <c r="A925" i="13"/>
  <c r="AX925" i="13" s="1"/>
  <c r="AX627" i="13"/>
  <c r="AX27" i="13"/>
  <c r="A627" i="13"/>
  <c r="A127" i="13"/>
  <c r="A427" i="13"/>
  <c r="A1123" i="13"/>
  <c r="A527" i="13"/>
  <c r="A826" i="13"/>
  <c r="AX826" i="13" s="1"/>
  <c r="D13" i="1"/>
  <c r="BV13" i="4" a="1"/>
  <c r="BV13" i="4" s="1"/>
  <c r="C13" i="4"/>
  <c r="BU13" i="4" a="1"/>
  <c r="BU13" i="4" s="1"/>
  <c r="A15" i="9"/>
  <c r="H15" i="9" s="1"/>
  <c r="BC13" i="4" a="1"/>
  <c r="BC13" i="4" s="1"/>
  <c r="A13" i="20"/>
  <c r="D13" i="4"/>
  <c r="A13" i="4"/>
  <c r="CT7" i="4"/>
  <c r="CU7" i="4" s="1"/>
  <c r="AS7" i="4"/>
  <c r="AV609" i="13" s="1"/>
  <c r="AX7" i="4"/>
  <c r="D11" i="4"/>
  <c r="A11" i="4"/>
  <c r="D11" i="1"/>
  <c r="C11" i="4"/>
  <c r="BV11" i="4" a="1"/>
  <c r="BV11" i="4" s="1"/>
  <c r="BU11" i="4" a="1"/>
  <c r="BU11" i="4" s="1"/>
  <c r="A11" i="20"/>
  <c r="A13" i="9"/>
  <c r="H13" i="9" s="1"/>
  <c r="BC11" i="4" a="1"/>
  <c r="BC11" i="4" s="1"/>
  <c r="Z1455" i="13"/>
  <c r="Z1257" i="13"/>
  <c r="M60" i="4"/>
  <c r="Z761" i="13"/>
  <c r="AV289" i="13"/>
  <c r="DB89" i="4"/>
  <c r="AV295" i="13"/>
  <c r="DB95" i="4"/>
  <c r="AV276" i="13"/>
  <c r="DB76" i="4"/>
  <c r="A1149" i="13"/>
  <c r="A752" i="13"/>
  <c r="AX752" i="13" s="1"/>
  <c r="A653" i="13"/>
  <c r="AX453" i="13"/>
  <c r="AX653" i="13"/>
  <c r="A951" i="13"/>
  <c r="AX951" i="13" s="1"/>
  <c r="AX53" i="13"/>
  <c r="AX553" i="13"/>
  <c r="A453" i="13"/>
  <c r="A153" i="13"/>
  <c r="AX1050" i="13"/>
  <c r="A1050" i="13"/>
  <c r="A852" i="13"/>
  <c r="AX852" i="13" s="1"/>
  <c r="A553" i="13"/>
  <c r="AV242" i="13"/>
  <c r="DB42" i="4"/>
  <c r="A92" i="9"/>
  <c r="D90" i="1"/>
  <c r="D90" i="4"/>
  <c r="BC90" i="4" a="1"/>
  <c r="BC90" i="4" s="1"/>
  <c r="C90" i="4"/>
  <c r="BV90" i="4" a="1"/>
  <c r="BV90" i="4" s="1"/>
  <c r="A90" i="20"/>
  <c r="BU90" i="4" a="1"/>
  <c r="BU90" i="4" s="1"/>
  <c r="A90" i="4"/>
  <c r="A1173" i="13"/>
  <c r="A677" i="13"/>
  <c r="A177" i="13"/>
  <c r="AX577" i="13"/>
  <c r="AX677" i="13"/>
  <c r="A975" i="13"/>
  <c r="AX975" i="13" s="1"/>
  <c r="AX1074" i="13"/>
  <c r="A876" i="13"/>
  <c r="AX876" i="13" s="1"/>
  <c r="A1074" i="13"/>
  <c r="A577" i="13"/>
  <c r="A477" i="13"/>
  <c r="A776" i="13"/>
  <c r="AX776" i="13" s="1"/>
  <c r="AX477" i="13"/>
  <c r="AX77" i="13"/>
  <c r="A466" i="13"/>
  <c r="AX466" i="13"/>
  <c r="A964" i="13"/>
  <c r="AX964" i="13" s="1"/>
  <c r="AX66" i="13"/>
  <c r="A1063" i="13"/>
  <c r="AX566" i="13"/>
  <c r="A166" i="13"/>
  <c r="A1162" i="13"/>
  <c r="A666" i="13"/>
  <c r="A865" i="13"/>
  <c r="AX865" i="13" s="1"/>
  <c r="A566" i="13"/>
  <c r="AX666" i="13"/>
  <c r="AX1063" i="13"/>
  <c r="A765" i="13"/>
  <c r="AX765" i="13" s="1"/>
  <c r="CT82" i="4"/>
  <c r="CU82" i="4" s="1"/>
  <c r="AS82" i="4"/>
  <c r="AV684" i="13" s="1"/>
  <c r="AX82" i="4"/>
  <c r="AS78" i="4"/>
  <c r="AV680" i="13" s="1"/>
  <c r="AX78" i="4"/>
  <c r="CT78" i="4"/>
  <c r="CU78" i="4" s="1"/>
  <c r="AS72" i="4"/>
  <c r="AV674" i="13" s="1"/>
  <c r="AX72" i="4"/>
  <c r="BC40" i="4" a="1"/>
  <c r="BC40" i="4" s="1"/>
  <c r="BU40" i="4" a="1"/>
  <c r="BU40" i="4" s="1"/>
  <c r="D40" i="1"/>
  <c r="D40" i="4"/>
  <c r="A40" i="20"/>
  <c r="C40" i="4"/>
  <c r="A40" i="4"/>
  <c r="BV40" i="4" a="1"/>
  <c r="BV40" i="4" s="1"/>
  <c r="A42" i="9"/>
  <c r="H42" i="9" s="1"/>
  <c r="J15" i="27"/>
  <c r="DB83" i="4"/>
  <c r="AV283" i="13"/>
  <c r="DB72" i="4"/>
  <c r="AV272" i="13"/>
  <c r="AV278" i="13"/>
  <c r="DB78" i="4"/>
  <c r="CT49" i="4"/>
  <c r="CU49" i="4" s="1"/>
  <c r="AS49" i="4"/>
  <c r="AV651" i="13" s="1"/>
  <c r="AX49" i="4"/>
  <c r="CT10" i="4"/>
  <c r="CU10" i="4" s="1"/>
  <c r="AS10" i="4"/>
  <c r="AV612" i="13" s="1"/>
  <c r="AX10" i="4"/>
  <c r="D88" i="4"/>
  <c r="BU88" i="4" a="1"/>
  <c r="BU88" i="4" s="1"/>
  <c r="BC88" i="4" a="1"/>
  <c r="BC88" i="4" s="1"/>
  <c r="C88" i="4"/>
  <c r="A88" i="20"/>
  <c r="BV88" i="4" a="1"/>
  <c r="BV88" i="4" s="1"/>
  <c r="A90" i="9"/>
  <c r="D88" i="1"/>
  <c r="A88" i="4"/>
  <c r="BC68" i="4" a="1"/>
  <c r="BC68" i="4" s="1"/>
  <c r="A70" i="9"/>
  <c r="C68" i="4"/>
  <c r="D68" i="4"/>
  <c r="BV68" i="4" a="1"/>
  <c r="BV68" i="4" s="1"/>
  <c r="D68" i="1"/>
  <c r="BU68" i="4" a="1"/>
  <c r="BU68" i="4" s="1"/>
  <c r="A68" i="20"/>
  <c r="A68" i="4"/>
  <c r="A65" i="20"/>
  <c r="C65" i="4"/>
  <c r="D65" i="4"/>
  <c r="BC65" i="4" a="1"/>
  <c r="BC65" i="4" s="1"/>
  <c r="BU65" i="4" a="1"/>
  <c r="BU65" i="4" s="1"/>
  <c r="D65" i="1"/>
  <c r="S97" i="22"/>
  <c r="A65" i="4"/>
  <c r="BV65" i="4" a="1"/>
  <c r="BV65" i="4" s="1"/>
  <c r="A67" i="9"/>
  <c r="DB35" i="4"/>
  <c r="AV235" i="13"/>
  <c r="T3" i="4"/>
  <c r="I1703" i="13"/>
  <c r="AX1695" i="13"/>
  <c r="AX1696" i="13" s="1"/>
  <c r="AV205" i="13"/>
  <c r="DB3" i="4"/>
  <c r="AV234" i="13"/>
  <c r="DB34" i="4"/>
  <c r="DB54" i="4"/>
  <c r="AV254" i="13"/>
  <c r="DB48" i="4"/>
  <c r="AV248" i="13"/>
  <c r="AX39" i="13"/>
  <c r="A439" i="13"/>
  <c r="A1036" i="13"/>
  <c r="A838" i="13"/>
  <c r="AX838" i="13" s="1"/>
  <c r="A937" i="13"/>
  <c r="AX937" i="13" s="1"/>
  <c r="A1135" i="13"/>
  <c r="AX1036" i="13"/>
  <c r="A539" i="13"/>
  <c r="AX539" i="13"/>
  <c r="AX439" i="13"/>
  <c r="A738" i="13"/>
  <c r="AX738" i="13" s="1"/>
  <c r="A639" i="13"/>
  <c r="A139" i="13"/>
  <c r="AX639" i="13"/>
  <c r="A25" i="20"/>
  <c r="D25" i="1"/>
  <c r="A27" i="9"/>
  <c r="H27" i="9" s="1"/>
  <c r="C25" i="4"/>
  <c r="D25" i="4"/>
  <c r="A25" i="4"/>
  <c r="BV25" i="4" a="1"/>
  <c r="BV25" i="4" s="1"/>
  <c r="BU25" i="4" a="1"/>
  <c r="BU25" i="4" s="1"/>
  <c r="BC25" i="4" a="1"/>
  <c r="BC25" i="4" s="1"/>
  <c r="AX515" i="13"/>
  <c r="A913" i="13"/>
  <c r="AX913" i="13" s="1"/>
  <c r="A814" i="13"/>
  <c r="AX814" i="13" s="1"/>
  <c r="AX415" i="13"/>
  <c r="A714" i="13"/>
  <c r="AX714" i="13" s="1"/>
  <c r="A515" i="13"/>
  <c r="A615" i="13"/>
  <c r="A415" i="13"/>
  <c r="A1111" i="13"/>
  <c r="AX15" i="13"/>
  <c r="A1012" i="13"/>
  <c r="AX1012" i="13"/>
  <c r="AX615" i="13"/>
  <c r="A115" i="13"/>
  <c r="AS34" i="4"/>
  <c r="AV636" i="13" s="1"/>
  <c r="AX34" i="4"/>
  <c r="CT34" i="4"/>
  <c r="CU34" i="4" s="1"/>
  <c r="C58" i="1"/>
  <c r="J3" i="27"/>
  <c r="Z698" i="13"/>
  <c r="Z1095" i="13"/>
  <c r="Z797" i="13"/>
  <c r="AV298" i="13" s="1"/>
  <c r="Z1194" i="13"/>
  <c r="AZ60" i="4"/>
  <c r="AG51" i="4" a="1"/>
  <c r="AF51" i="4" a="1"/>
  <c r="AI75" i="4" a="1"/>
  <c r="AJ75" i="4" a="1"/>
  <c r="AB78" i="4" a="1"/>
  <c r="AA78" i="4" a="1"/>
  <c r="AG52" i="4" a="1"/>
  <c r="AF52" i="4" a="1"/>
  <c r="AG82" i="4" a="1"/>
  <c r="AF82" i="4" a="1"/>
  <c r="AO87" i="4" a="1"/>
  <c r="AN87" i="4" a="1"/>
  <c r="AA85" i="4" a="1"/>
  <c r="AB85" i="4" a="1"/>
  <c r="AA34" i="4" a="1"/>
  <c r="AB34" i="4" a="1"/>
  <c r="AA32" i="4" a="1"/>
  <c r="AB32" i="4" a="1"/>
  <c r="AB28" i="4" a="1"/>
  <c r="AA28" i="4" a="1"/>
  <c r="AO38" i="4" a="1"/>
  <c r="AN38" i="4" a="1"/>
  <c r="AJ46" i="4" a="1"/>
  <c r="AI46" i="4" a="1"/>
  <c r="AJ53" i="4" a="1"/>
  <c r="AI53" i="4" a="1"/>
  <c r="AO3" i="4" a="1"/>
  <c r="AN3" i="4" a="1"/>
  <c r="AN47" i="4" a="1"/>
  <c r="AO47" i="4" a="1"/>
  <c r="AB54" i="4" a="1"/>
  <c r="AA54" i="4" a="1"/>
  <c r="AF49" i="4" a="1"/>
  <c r="AG49" i="4" a="1"/>
  <c r="AJ9" i="4" a="1"/>
  <c r="AI9" i="4" a="1"/>
  <c r="AA62" i="4" a="1"/>
  <c r="AB62" i="4" a="1"/>
  <c r="AA8" i="4" a="1"/>
  <c r="AB8" i="4" a="1"/>
  <c r="AI8" i="4" a="1"/>
  <c r="AJ8" i="4" a="1"/>
  <c r="AB71" i="4" a="1"/>
  <c r="AA71" i="4" a="1"/>
  <c r="AF79" i="4" a="1"/>
  <c r="AG79" i="4" a="1"/>
  <c r="AO65" i="4" a="1"/>
  <c r="AN65" i="4" a="1"/>
  <c r="AA30" i="4" a="1"/>
  <c r="AB30" i="4" a="1"/>
  <c r="AN30" i="4" a="1"/>
  <c r="AO30" i="4" a="1"/>
  <c r="AF18" i="4" a="1"/>
  <c r="AG18" i="4" a="1"/>
  <c r="AB81" i="4" a="1"/>
  <c r="AA81" i="4" a="1"/>
  <c r="AO48" i="4" a="1"/>
  <c r="AN48" i="4" a="1"/>
  <c r="AA52" i="4" a="1"/>
  <c r="AB52" i="4" a="1"/>
  <c r="AO82" i="4" a="1"/>
  <c r="AN82" i="4" a="1"/>
  <c r="AA59" i="4" a="1"/>
  <c r="AB59" i="4" a="1"/>
  <c r="AG7" i="4" a="1"/>
  <c r="AF7" i="4" a="1"/>
  <c r="AF12" i="4" a="1"/>
  <c r="AG12" i="4" a="1"/>
  <c r="AI32" i="4" a="1"/>
  <c r="AJ32" i="4" a="1"/>
  <c r="AJ28" i="4" a="1"/>
  <c r="AI28" i="4" a="1"/>
  <c r="AJ39" i="4" a="1"/>
  <c r="AI39" i="4" a="1"/>
  <c r="AN39" i="4" a="1"/>
  <c r="AO39" i="4" a="1"/>
  <c r="AO26" i="4" a="1"/>
  <c r="AN26" i="4" a="1"/>
  <c r="AO20" i="4" a="1"/>
  <c r="AN20" i="4" a="1"/>
  <c r="AB20" i="4" a="1"/>
  <c r="AA20" i="4" a="1"/>
  <c r="AO46" i="4" a="1"/>
  <c r="AN46" i="4" a="1"/>
  <c r="AN31" i="4" a="1"/>
  <c r="AO31" i="4" a="1"/>
  <c r="AI67" i="4" a="1"/>
  <c r="AJ67" i="4" a="1"/>
  <c r="AJ63" i="4" a="1"/>
  <c r="AI63" i="4" a="1"/>
  <c r="AO42" i="4" a="1"/>
  <c r="AN42" i="4" a="1"/>
  <c r="AG47" i="4" a="1"/>
  <c r="AF47" i="4" a="1"/>
  <c r="AN15" i="4" a="1"/>
  <c r="AO15" i="4" a="1"/>
  <c r="AJ77" i="4" a="1"/>
  <c r="AI77" i="4" a="1"/>
  <c r="AA43" i="4" a="1"/>
  <c r="AB43" i="4" a="1"/>
  <c r="AA91" i="4" a="1"/>
  <c r="AB91" i="4" a="1"/>
  <c r="AN91" i="4" a="1"/>
  <c r="AO91" i="4" a="1"/>
  <c r="AA49" i="4" a="1"/>
  <c r="AB49" i="4" a="1"/>
  <c r="AJ19" i="4" a="1"/>
  <c r="AI19" i="4" a="1"/>
  <c r="AG9" i="4" a="1"/>
  <c r="AF9" i="4" a="1"/>
  <c r="AI84" i="4" a="1"/>
  <c r="AJ84" i="4" a="1"/>
  <c r="AO86" i="4" a="1"/>
  <c r="AN86" i="4" a="1"/>
  <c r="AF76" i="4" a="1"/>
  <c r="AG76" i="4" a="1"/>
  <c r="AG50" i="4" a="1"/>
  <c r="AF50" i="4" a="1"/>
  <c r="AB11" i="4" a="1"/>
  <c r="AA11" i="4" a="1"/>
  <c r="AA90" i="4" a="1"/>
  <c r="AB90" i="4" a="1"/>
  <c r="AF90" i="4" a="1"/>
  <c r="AG90" i="4" a="1"/>
  <c r="AO25" i="4" a="1"/>
  <c r="AN25" i="4" a="1"/>
  <c r="B51" i="1" a="1"/>
  <c r="B75" i="1" a="1"/>
  <c r="B82" i="1" a="1"/>
  <c r="BK4" i="4" a="1"/>
  <c r="BI4" i="4" a="1"/>
  <c r="BJ4" i="4" a="1"/>
  <c r="B3" i="1" a="1"/>
  <c r="AO51" i="4" a="1"/>
  <c r="AN51" i="4" a="1"/>
  <c r="AB64" i="4" a="1"/>
  <c r="AA64" i="4" a="1"/>
  <c r="AA83" i="4" a="1"/>
  <c r="AB83" i="4" a="1"/>
  <c r="AI83" i="4" a="1"/>
  <c r="AJ83" i="4" a="1"/>
  <c r="AJ18" i="4" a="1"/>
  <c r="AI18" i="4" a="1"/>
  <c r="AG34" i="4" a="1"/>
  <c r="AF34" i="4" a="1"/>
  <c r="AB44" i="4" a="1"/>
  <c r="AA44" i="4" a="1"/>
  <c r="AG44" i="4" a="1"/>
  <c r="AF44" i="4" a="1"/>
  <c r="AJ16" i="4" a="1"/>
  <c r="AI16" i="4" a="1"/>
  <c r="AG24" i="4" a="1"/>
  <c r="AF24" i="4" a="1"/>
  <c r="AB29" i="4" a="1"/>
  <c r="AA29" i="4" a="1"/>
  <c r="AB67" i="4" a="1"/>
  <c r="AA67" i="4" a="1"/>
  <c r="AO67" i="4" a="1"/>
  <c r="AN67" i="4" a="1"/>
  <c r="AI41" i="4" a="1"/>
  <c r="AJ41" i="4" a="1"/>
  <c r="AJ15" i="4" a="1"/>
  <c r="AI15" i="4" a="1"/>
  <c r="AI91" i="4" a="1"/>
  <c r="AJ91" i="4" a="1"/>
  <c r="AN49" i="4" a="1"/>
  <c r="AO49" i="4" a="1"/>
  <c r="AJ49" i="4" a="1"/>
  <c r="AI49" i="4" a="1"/>
  <c r="AO19" i="4" a="1"/>
  <c r="AN19" i="4" a="1"/>
  <c r="AN9" i="4" a="1"/>
  <c r="AO9" i="4" a="1"/>
  <c r="AJ71" i="4" a="1"/>
  <c r="AI71" i="4" a="1"/>
  <c r="AI76" i="4" a="1"/>
  <c r="AJ76" i="4" a="1"/>
  <c r="AB76" i="4" a="1"/>
  <c r="AA76" i="4" a="1"/>
  <c r="AJ50" i="4" a="1"/>
  <c r="AI50" i="4" a="1"/>
  <c r="AJ79" i="4" a="1"/>
  <c r="AI79" i="4" a="1"/>
  <c r="AF73" i="4" a="1"/>
  <c r="AG73" i="4" a="1"/>
  <c r="AB73" i="4" a="1"/>
  <c r="AA73" i="4" a="1"/>
  <c r="AI37" i="4" a="1"/>
  <c r="AJ37" i="4" a="1"/>
  <c r="AI25" i="4" a="1"/>
  <c r="AJ25" i="4" a="1"/>
  <c r="B78" i="1" a="1"/>
  <c r="B52" i="1" a="1"/>
  <c r="B80" i="1" a="1"/>
  <c r="B59" i="1" a="1"/>
  <c r="B14" i="1" a="1"/>
  <c r="B17" i="1" a="1"/>
  <c r="AJ78" i="4" a="1"/>
  <c r="AI78" i="4" a="1"/>
  <c r="AJ30" i="4" a="1"/>
  <c r="AI30" i="4" a="1"/>
  <c r="AN81" i="4" a="1"/>
  <c r="AO81" i="4" a="1"/>
  <c r="AA70" i="4" a="1"/>
  <c r="AB70" i="4" a="1"/>
  <c r="AF87" i="4" a="1"/>
  <c r="AG87" i="4" a="1"/>
  <c r="AN44" i="4" a="1"/>
  <c r="AO44" i="4" a="1"/>
  <c r="AJ38" i="4" a="1"/>
  <c r="AI38" i="4" a="1"/>
  <c r="AI26" i="4" a="1"/>
  <c r="AJ26" i="4" a="1"/>
  <c r="AA74" i="4" a="1"/>
  <c r="AB74" i="4" a="1"/>
  <c r="AB3" i="4" a="1"/>
  <c r="AA3" i="4" a="1"/>
  <c r="AF31" i="4" a="1"/>
  <c r="AG31" i="4" a="1"/>
  <c r="AN93" i="4" a="1"/>
  <c r="AO93" i="4" a="1"/>
  <c r="AO41" i="4" a="1"/>
  <c r="AN41" i="4" a="1"/>
  <c r="AG41" i="4" a="1"/>
  <c r="AF41" i="4" a="1"/>
  <c r="AN27" i="4" a="1"/>
  <c r="AO27" i="4" a="1"/>
  <c r="AN77" i="4" a="1"/>
  <c r="AO77" i="4" a="1"/>
  <c r="AI43" i="4" a="1"/>
  <c r="AJ43" i="4" a="1"/>
  <c r="AI23" i="4" a="1"/>
  <c r="AJ23" i="4" a="1"/>
  <c r="AI54" i="4" a="1"/>
  <c r="AJ54" i="4" a="1"/>
  <c r="AF19" i="4" a="1"/>
  <c r="AG19" i="4" a="1"/>
  <c r="AJ89" i="4" a="1"/>
  <c r="AI89" i="4" a="1"/>
  <c r="AJ57" i="4" a="1"/>
  <c r="AI57" i="4" a="1"/>
  <c r="AI45" i="4" a="1"/>
  <c r="AJ45" i="4" a="1"/>
  <c r="AJ86" i="4" a="1"/>
  <c r="AI86" i="4" a="1"/>
  <c r="AB69" i="4" a="1"/>
  <c r="AA69" i="4" a="1"/>
  <c r="AG69" i="4" a="1"/>
  <c r="AF69" i="4" a="1"/>
  <c r="AI6" i="4" a="1"/>
  <c r="AJ6" i="4" a="1"/>
  <c r="AF6" i="4" a="1"/>
  <c r="AG6" i="4" a="1"/>
  <c r="AN13" i="4" a="1"/>
  <c r="AO13" i="4" a="1"/>
  <c r="AO90" i="4" a="1"/>
  <c r="AN90" i="4" a="1"/>
  <c r="B30" i="1" a="1"/>
  <c r="B12" i="1" a="1"/>
  <c r="B44" i="1" a="1"/>
  <c r="B39" i="1" a="1"/>
  <c r="B36" i="1" a="1"/>
  <c r="AO78" i="4" a="1"/>
  <c r="AN78" i="4" a="1"/>
  <c r="AN72" i="4" a="1"/>
  <c r="AO72" i="4" a="1"/>
  <c r="AG83" i="4" a="1"/>
  <c r="AF83" i="4" a="1"/>
  <c r="AJ82" i="4" a="1"/>
  <c r="AI82" i="4" a="1"/>
  <c r="AO80" i="4" a="1"/>
  <c r="AN80" i="4" a="1"/>
  <c r="AG59" i="4" a="1"/>
  <c r="AF59" i="4" a="1"/>
  <c r="AG14" i="4" a="1"/>
  <c r="AF14" i="4" a="1"/>
  <c r="AJ36" i="4" a="1"/>
  <c r="AI36" i="4" a="1"/>
  <c r="AB36" i="4" a="1"/>
  <c r="AA36" i="4" a="1"/>
  <c r="AA26" i="4" a="1"/>
  <c r="AB26" i="4" a="1"/>
  <c r="AF46" i="4" a="1"/>
  <c r="AG46" i="4" a="1"/>
  <c r="AA10" i="4" a="1"/>
  <c r="AB10" i="4" a="1"/>
  <c r="AA17" i="4" a="1"/>
  <c r="AB17" i="4" a="1"/>
  <c r="AA77" i="4" a="1"/>
  <c r="AB77" i="4" a="1"/>
  <c r="AF66" i="4" a="1"/>
  <c r="AG66" i="4" a="1"/>
  <c r="AN56" i="4" a="1"/>
  <c r="AO56" i="4" a="1"/>
  <c r="AG56" i="4" a="1"/>
  <c r="AF56" i="4" a="1"/>
  <c r="AA50" i="4" a="1"/>
  <c r="AB50" i="4" a="1"/>
  <c r="AB79" i="4" a="1"/>
  <c r="AA79" i="4" a="1"/>
  <c r="AJ88" i="4" a="1"/>
  <c r="AI88" i="4" a="1"/>
  <c r="B48" i="1" a="1"/>
  <c r="B87" i="1" a="1"/>
  <c r="B85" i="1" a="1"/>
  <c r="CP60" i="4"/>
  <c r="CC60" i="4" a="1"/>
  <c r="AK60" i="4" a="1"/>
  <c r="AE60" i="4" a="1"/>
  <c r="CG60" i="4" a="1"/>
  <c r="CE60" i="4" a="1"/>
  <c r="CB60" i="4" a="1"/>
  <c r="CM60" i="4" a="1"/>
  <c r="CK60" i="4" a="1"/>
  <c r="CF60" i="4" a="1"/>
  <c r="CH60" i="4" a="1"/>
  <c r="BN60" i="4" a="1"/>
  <c r="CJ60" i="4" a="1"/>
  <c r="CI60" i="4" a="1"/>
  <c r="CL60" i="4" a="1"/>
  <c r="CS60" i="4"/>
  <c r="CD60" i="4" a="1"/>
  <c r="AM60" i="4" a="1"/>
  <c r="AC60" i="4" a="1"/>
  <c r="BP60" i="4" a="1"/>
  <c r="AF78" i="4" a="1"/>
  <c r="AG78" i="4" a="1"/>
  <c r="AJ81" i="4" a="1"/>
  <c r="AI81" i="4" a="1"/>
  <c r="AN70" i="4" a="1"/>
  <c r="AO70" i="4" a="1"/>
  <c r="AI52" i="4" a="1"/>
  <c r="AJ52" i="4" a="1"/>
  <c r="AO59" i="4" a="1"/>
  <c r="AN59" i="4" a="1"/>
  <c r="AI87" i="4" a="1"/>
  <c r="AJ87" i="4" a="1"/>
  <c r="AF5" i="4" a="1"/>
  <c r="AG5" i="4" a="1"/>
  <c r="AB12" i="4" a="1"/>
  <c r="AA12" i="4" a="1"/>
  <c r="AO34" i="4" a="1"/>
  <c r="AN34" i="4" a="1"/>
  <c r="AB14" i="4" a="1"/>
  <c r="AA14" i="4" a="1"/>
  <c r="AJ44" i="4" a="1"/>
  <c r="AI44" i="4" a="1"/>
  <c r="AG16" i="4" a="1"/>
  <c r="AF16" i="4" a="1"/>
  <c r="AN16" i="4" a="1"/>
  <c r="AO16" i="4" a="1"/>
  <c r="AB39" i="4" a="1"/>
  <c r="AA39" i="4" a="1"/>
  <c r="AN36" i="4" a="1"/>
  <c r="AO36" i="4" a="1"/>
  <c r="AF38" i="4" a="1"/>
  <c r="AG38" i="4" a="1"/>
  <c r="AI74" i="4" a="1"/>
  <c r="AJ74" i="4" a="1"/>
  <c r="AF20" i="4" a="1"/>
  <c r="AG20" i="4" a="1"/>
  <c r="AG10" i="4" a="1"/>
  <c r="AF10" i="4" a="1"/>
  <c r="AO53" i="4" a="1"/>
  <c r="AN53" i="4" a="1"/>
  <c r="AJ17" i="4" a="1"/>
  <c r="AI17" i="4" a="1"/>
  <c r="AA41" i="4" a="1"/>
  <c r="AB41" i="4" a="1"/>
  <c r="AO63" i="4" a="1"/>
  <c r="AN63" i="4" a="1"/>
  <c r="AG15" i="4" a="1"/>
  <c r="AF15" i="4" a="1"/>
  <c r="AO35" i="4" a="1"/>
  <c r="AN35" i="4" a="1"/>
  <c r="AF89" i="4" a="1"/>
  <c r="AG89" i="4" a="1"/>
  <c r="AB57" i="4" a="1"/>
  <c r="AA57" i="4" a="1"/>
  <c r="AJ56" i="4" a="1"/>
  <c r="AI56" i="4" a="1"/>
  <c r="AB86" i="4" a="1"/>
  <c r="AA86" i="4" a="1"/>
  <c r="AA6" i="4" a="1"/>
  <c r="AB6" i="4" a="1"/>
  <c r="AN92" i="4" a="1"/>
  <c r="AO92" i="4" a="1"/>
  <c r="AG13" i="4" a="1"/>
  <c r="AF13" i="4" a="1"/>
  <c r="AJ11" i="4" a="1"/>
  <c r="AI11" i="4" a="1"/>
  <c r="AN88" i="4" a="1"/>
  <c r="AO88" i="4" a="1"/>
  <c r="AG68" i="4" a="1"/>
  <c r="AF68" i="4" a="1"/>
  <c r="AA65" i="4" a="1"/>
  <c r="AB65" i="4" a="1"/>
  <c r="AG25" i="4" a="1"/>
  <c r="AF25" i="4" a="1"/>
  <c r="B33" i="1" a="1"/>
  <c r="B74" i="1" a="1"/>
  <c r="B20" i="1" a="1"/>
  <c r="B10" i="1" a="1"/>
  <c r="B53" i="1" a="1"/>
  <c r="AN75" i="4" a="1"/>
  <c r="AO75" i="4" a="1"/>
  <c r="AF64" i="4" a="1"/>
  <c r="AG64" i="4" a="1"/>
  <c r="AO18" i="4" a="1"/>
  <c r="AN18" i="4" a="1"/>
  <c r="AI48" i="4" a="1"/>
  <c r="AJ48" i="4" a="1"/>
  <c r="AA87" i="4" a="1"/>
  <c r="AB87" i="4" a="1"/>
  <c r="AO5" i="4" a="1"/>
  <c r="AN5" i="4" a="1"/>
  <c r="AJ12" i="4" a="1"/>
  <c r="AI12" i="4" a="1"/>
  <c r="AJ14" i="4" a="1"/>
  <c r="AI14" i="4" a="1"/>
  <c r="AN14" i="4" a="1"/>
  <c r="AO14" i="4" a="1"/>
  <c r="AB38" i="4" a="1"/>
  <c r="AA38" i="4" a="1"/>
  <c r="AG74" i="4" a="1"/>
  <c r="AF74" i="4" a="1"/>
  <c r="AI22" i="4" a="1"/>
  <c r="AJ22" i="4" a="1"/>
  <c r="AO10" i="4" a="1"/>
  <c r="AN10" i="4" a="1"/>
  <c r="AA53" i="4" a="1"/>
  <c r="AB53" i="4" a="1"/>
  <c r="AG3" i="4" a="1"/>
  <c r="AF3" i="4" a="1"/>
  <c r="AB93" i="4" a="1"/>
  <c r="AA93" i="4" a="1"/>
  <c r="AB63" i="4" a="1"/>
  <c r="AA63" i="4" a="1"/>
  <c r="AJ42" i="4" a="1"/>
  <c r="AI42" i="4" a="1"/>
  <c r="AJ35" i="4" a="1"/>
  <c r="AI35" i="4" a="1"/>
  <c r="AA35" i="4" a="1"/>
  <c r="AB35" i="4" a="1"/>
  <c r="AO66" i="4" a="1"/>
  <c r="AN66" i="4" a="1"/>
  <c r="AN8" i="4" a="1"/>
  <c r="AO8" i="4" a="1"/>
  <c r="AF86" i="4" a="1"/>
  <c r="AG86" i="4" a="1"/>
  <c r="AG37" i="4" a="1"/>
  <c r="AF37" i="4" a="1"/>
  <c r="AF11" i="4" a="1"/>
  <c r="AG11" i="4" a="1"/>
  <c r="AN11" i="4" a="1"/>
  <c r="AO11" i="4" a="1"/>
  <c r="AJ90" i="4" a="1"/>
  <c r="AI90" i="4" a="1"/>
  <c r="B26" i="1" a="1"/>
  <c r="AB75" i="4" a="1"/>
  <c r="AA75" i="4" a="1"/>
  <c r="AG75" i="4" a="1"/>
  <c r="AF75" i="4" a="1"/>
  <c r="AG81" i="4" a="1"/>
  <c r="AF81" i="4" a="1"/>
  <c r="AG70" i="4" a="1"/>
  <c r="AF70" i="4" a="1"/>
  <c r="AA48" i="4" a="1"/>
  <c r="AB48" i="4" a="1"/>
  <c r="AF80" i="4" a="1"/>
  <c r="AG80" i="4" a="1"/>
  <c r="AO85" i="4" a="1"/>
  <c r="AN85" i="4" a="1"/>
  <c r="AI7" i="4" a="1"/>
  <c r="AJ7" i="4" a="1"/>
  <c r="AI5" i="4" a="1"/>
  <c r="AJ5" i="4" a="1"/>
  <c r="AJ34" i="4" a="1"/>
  <c r="AI34" i="4" a="1"/>
  <c r="AA33" i="4" a="1"/>
  <c r="AB33" i="4" a="1"/>
  <c r="AB16" i="4" a="1"/>
  <c r="AA16" i="4" a="1"/>
  <c r="AG39" i="4" a="1"/>
  <c r="AF39" i="4" a="1"/>
  <c r="AF36" i="4" a="1"/>
  <c r="AG36" i="4" a="1"/>
  <c r="AO24" i="4" a="1"/>
  <c r="AN24" i="4" a="1"/>
  <c r="AN74" i="4" a="1"/>
  <c r="AO74" i="4" a="1"/>
  <c r="AI10" i="4" a="1"/>
  <c r="AJ10" i="4" a="1"/>
  <c r="AG29" i="4" a="1"/>
  <c r="AF29" i="4" a="1"/>
  <c r="AG42" i="4" a="1"/>
  <c r="AF42" i="4" a="1"/>
  <c r="AF27" i="4" a="1"/>
  <c r="AG27" i="4" a="1"/>
  <c r="AO54" i="4" a="1"/>
  <c r="AN54" i="4" a="1"/>
  <c r="AA84" i="4" a="1"/>
  <c r="AB84" i="4" a="1"/>
  <c r="AF84" i="4" a="1"/>
  <c r="AG84" i="4" a="1"/>
  <c r="AO57" i="4" a="1"/>
  <c r="AN57" i="4" a="1"/>
  <c r="AF62" i="4" a="1"/>
  <c r="AG62" i="4" a="1"/>
  <c r="AA45" i="4" a="1"/>
  <c r="AB45" i="4" a="1"/>
  <c r="AO71" i="4" a="1"/>
  <c r="AN71" i="4" a="1"/>
  <c r="AO69" i="4" a="1"/>
  <c r="AN69" i="4" a="1"/>
  <c r="AI73" i="4" a="1"/>
  <c r="AJ73" i="4" a="1"/>
  <c r="AN6" i="4" a="1"/>
  <c r="AO6" i="4" a="1"/>
  <c r="AF40" i="4" a="1"/>
  <c r="AG40" i="4" a="1"/>
  <c r="AA68" i="4" a="1"/>
  <c r="AB68" i="4" a="1"/>
  <c r="B32" i="1" a="1"/>
  <c r="B22" i="1" a="1"/>
  <c r="B29" i="1" a="1"/>
  <c r="AN64" i="4" a="1"/>
  <c r="AO64" i="4" a="1"/>
  <c r="AG72" i="4" a="1"/>
  <c r="AF72" i="4" a="1"/>
  <c r="AG30" i="4" a="1"/>
  <c r="AF30" i="4" a="1"/>
  <c r="AA82" i="4" a="1"/>
  <c r="AB82" i="4" a="1"/>
  <c r="AA7" i="4" a="1"/>
  <c r="AB7" i="4" a="1"/>
  <c r="AO7" i="4" a="1"/>
  <c r="AN7" i="4" a="1"/>
  <c r="AI33" i="4" a="1"/>
  <c r="AJ33" i="4" a="1"/>
  <c r="AG26" i="4" a="1"/>
  <c r="AF26" i="4" a="1"/>
  <c r="AF22" i="4" a="1"/>
  <c r="AG22" i="4" a="1"/>
  <c r="AF53" i="4" a="1"/>
  <c r="AG53" i="4" a="1"/>
  <c r="AO29" i="4" a="1"/>
  <c r="AN29" i="4" a="1"/>
  <c r="AI3" i="4" a="1"/>
  <c r="AJ3" i="4" a="1"/>
  <c r="AB31" i="4" a="1"/>
  <c r="AA31" i="4" a="1"/>
  <c r="AI93" i="4" a="1"/>
  <c r="AJ93" i="4" a="1"/>
  <c r="AA42" i="4" a="1"/>
  <c r="AB42" i="4" a="1"/>
  <c r="AI47" i="4" a="1"/>
  <c r="AJ47" i="4" a="1"/>
  <c r="AI27" i="4" a="1"/>
  <c r="AJ27" i="4" a="1"/>
  <c r="AB15" i="4" a="1"/>
  <c r="AA15" i="4" a="1"/>
  <c r="AN43" i="4" a="1"/>
  <c r="AO43" i="4" a="1"/>
  <c r="AA66" i="4" a="1"/>
  <c r="AB66" i="4" a="1"/>
  <c r="AO84" i="4" a="1"/>
  <c r="AN84" i="4" a="1"/>
  <c r="AG8" i="4" a="1"/>
  <c r="AF8" i="4" a="1"/>
  <c r="AI69" i="4" a="1"/>
  <c r="AJ69" i="4" a="1"/>
  <c r="AG88" i="4" a="1"/>
  <c r="AF88" i="4" a="1"/>
  <c r="AJ68" i="4" a="1"/>
  <c r="AI68" i="4" a="1"/>
  <c r="AB25" i="4" a="1"/>
  <c r="AA25" i="4" a="1"/>
  <c r="B64" i="1" a="1"/>
  <c r="B18" i="1" a="1"/>
  <c r="B5" i="1" a="1"/>
  <c r="B34" i="1" a="1"/>
  <c r="B16" i="1" a="1"/>
  <c r="AI64" i="4" a="1"/>
  <c r="AJ64" i="4" a="1"/>
  <c r="AI72" i="4" a="1"/>
  <c r="AJ72" i="4" a="1"/>
  <c r="AB72" i="4" a="1"/>
  <c r="AA72" i="4" a="1"/>
  <c r="AO83" i="4" a="1"/>
  <c r="AN83" i="4" a="1"/>
  <c r="AA18" i="4" a="1"/>
  <c r="AB18" i="4" a="1"/>
  <c r="AO61" i="4" a="1"/>
  <c r="AN61" i="4" a="1"/>
  <c r="AG61" i="4" a="1"/>
  <c r="AF61" i="4" a="1"/>
  <c r="AB80" i="4" a="1"/>
  <c r="AA80" i="4" a="1"/>
  <c r="AG32" i="4" a="1"/>
  <c r="AF32" i="4" a="1"/>
  <c r="AB46" i="4" a="1"/>
  <c r="AA46" i="4" a="1"/>
  <c r="AN17" i="4" a="1"/>
  <c r="AO17" i="4" a="1"/>
  <c r="AI31" i="4" a="1"/>
  <c r="AJ31" i="4" a="1"/>
  <c r="AG93" i="4" a="1"/>
  <c r="AF93" i="4" a="1"/>
  <c r="AB47" i="4" a="1"/>
  <c r="AA47" i="4" a="1"/>
  <c r="AA27" i="4" a="1"/>
  <c r="AB27" i="4" a="1"/>
  <c r="AF35" i="4" a="1"/>
  <c r="AG35" i="4" a="1"/>
  <c r="AF77" i="4" a="1"/>
  <c r="AG77" i="4" a="1"/>
  <c r="AF91" i="4" a="1"/>
  <c r="AG91" i="4" a="1"/>
  <c r="AF23" i="4" a="1"/>
  <c r="AG23" i="4" a="1"/>
  <c r="AB23" i="4" a="1"/>
  <c r="AA23" i="4" a="1"/>
  <c r="AF54" i="4" a="1"/>
  <c r="AG54" i="4" a="1"/>
  <c r="AA19" i="4" a="1"/>
  <c r="AB19" i="4" a="1"/>
  <c r="AA89" i="4" a="1"/>
  <c r="AB89" i="4" a="1"/>
  <c r="AF57" i="4" a="1"/>
  <c r="AG57" i="4" a="1"/>
  <c r="AN45" i="4" a="1"/>
  <c r="AO45" i="4" a="1"/>
  <c r="AB56" i="4" a="1"/>
  <c r="AA56" i="4" a="1"/>
  <c r="AF71" i="4" a="1"/>
  <c r="AG71" i="4" a="1"/>
  <c r="AO50" i="4" a="1"/>
  <c r="AN50" i="4" a="1"/>
  <c r="AF92" i="4" a="1"/>
  <c r="AG92" i="4" a="1"/>
  <c r="AO40" i="4" a="1"/>
  <c r="AN40" i="4" a="1"/>
  <c r="B83" i="1" a="1"/>
  <c r="B70" i="1" a="1"/>
  <c r="B7" i="1" a="1"/>
  <c r="B24" i="1" a="1"/>
  <c r="CI21" i="4" a="1"/>
  <c r="CF21" i="4" a="1"/>
  <c r="AE21" i="4" a="1"/>
  <c r="BN21" i="4" a="1"/>
  <c r="CJ21" i="4" a="1"/>
  <c r="CC21" i="4" a="1"/>
  <c r="CB21" i="4" a="1"/>
  <c r="CD21" i="4" a="1"/>
  <c r="CK21" i="4" a="1"/>
  <c r="AC21" i="4" a="1"/>
  <c r="CP21" i="4"/>
  <c r="BP21" i="4" a="1"/>
  <c r="CM21" i="4" a="1"/>
  <c r="CS21" i="4"/>
  <c r="CG21" i="4" a="1"/>
  <c r="CH21" i="4" a="1"/>
  <c r="CE21" i="4" a="1"/>
  <c r="AK21" i="4" a="1"/>
  <c r="AM21" i="4" a="1"/>
  <c r="CL21" i="4" a="1"/>
  <c r="AJ51" i="4" a="1"/>
  <c r="AI51" i="4" a="1"/>
  <c r="AI61" i="4" a="1"/>
  <c r="AJ61" i="4" a="1"/>
  <c r="AF48" i="4" a="1"/>
  <c r="AG48" i="4" a="1"/>
  <c r="AN52" i="4" a="1"/>
  <c r="AO52" i="4" a="1"/>
  <c r="AJ80" i="4" a="1"/>
  <c r="AI80" i="4" a="1"/>
  <c r="AG85" i="4" a="1"/>
  <c r="AF85" i="4" a="1"/>
  <c r="AA5" i="4" a="1"/>
  <c r="AB5" i="4" a="1"/>
  <c r="AO32" i="4" a="1"/>
  <c r="AN32" i="4" a="1"/>
  <c r="AO33" i="4" a="1"/>
  <c r="AN33" i="4" a="1"/>
  <c r="AG33" i="4" a="1"/>
  <c r="AF33" i="4" a="1"/>
  <c r="AN22" i="4" a="1"/>
  <c r="AO22" i="4" a="1"/>
  <c r="AJ29" i="4" a="1"/>
  <c r="AI29" i="4" a="1"/>
  <c r="AG67" i="4" a="1"/>
  <c r="AF67" i="4" a="1"/>
  <c r="AF63" i="4" a="1"/>
  <c r="AG63" i="4" a="1"/>
  <c r="AF43" i="4" a="1"/>
  <c r="AG43" i="4" a="1"/>
  <c r="AJ62" i="4" a="1"/>
  <c r="AI62" i="4" a="1"/>
  <c r="AO76" i="4" a="1"/>
  <c r="AN76" i="4" a="1"/>
  <c r="AN73" i="4" a="1"/>
  <c r="AO73" i="4" a="1"/>
  <c r="AI92" i="4" a="1"/>
  <c r="AJ92" i="4" a="1"/>
  <c r="AO37" i="4" a="1"/>
  <c r="AN37" i="4" a="1"/>
  <c r="AI13" i="4" a="1"/>
  <c r="AJ13" i="4" a="1"/>
  <c r="AI40" i="4" a="1"/>
  <c r="AJ40" i="4" a="1"/>
  <c r="AB88" i="4" a="1"/>
  <c r="AA88" i="4" a="1"/>
  <c r="AN68" i="4" a="1"/>
  <c r="AO68" i="4" a="1"/>
  <c r="AJ65" i="4" a="1"/>
  <c r="AI65" i="4" a="1"/>
  <c r="AG65" i="4" a="1"/>
  <c r="AF65" i="4" a="1"/>
  <c r="B72" i="1" a="1"/>
  <c r="B61" i="1" a="1"/>
  <c r="B81" i="1" a="1"/>
  <c r="B28" i="1" a="1"/>
  <c r="AA51" i="4" a="1"/>
  <c r="AB51" i="4" a="1"/>
  <c r="AA61" i="4" a="1"/>
  <c r="AB61" i="4" a="1"/>
  <c r="AI70" i="4" a="1"/>
  <c r="AJ70" i="4" a="1"/>
  <c r="AJ59" i="4" a="1"/>
  <c r="AI59" i="4" a="1"/>
  <c r="AI85" i="4" a="1"/>
  <c r="AJ85" i="4" a="1"/>
  <c r="AO12" i="4" a="1"/>
  <c r="AN12" i="4" a="1"/>
  <c r="AG28" i="4" a="1"/>
  <c r="AF28" i="4" a="1"/>
  <c r="AO28" i="4" a="1"/>
  <c r="AN28" i="4" a="1"/>
  <c r="AB24" i="4" a="1"/>
  <c r="AA24" i="4" a="1"/>
  <c r="AJ24" i="4" a="1"/>
  <c r="AI24" i="4" a="1"/>
  <c r="AI20" i="4" a="1"/>
  <c r="AJ20" i="4" a="1"/>
  <c r="AA22" i="4" a="1"/>
  <c r="AB22" i="4" a="1"/>
  <c r="AG17" i="4" a="1"/>
  <c r="AF17" i="4" a="1"/>
  <c r="AI66" i="4" a="1"/>
  <c r="AJ66" i="4" a="1"/>
  <c r="AN23" i="4" a="1"/>
  <c r="AO23" i="4" a="1"/>
  <c r="AA9" i="4" a="1"/>
  <c r="AB9" i="4" a="1"/>
  <c r="AN89" i="4" a="1"/>
  <c r="AO89" i="4" a="1"/>
  <c r="AN62" i="4" a="1"/>
  <c r="AO62" i="4" a="1"/>
  <c r="AG45" i="4" a="1"/>
  <c r="AF45" i="4" a="1"/>
  <c r="AO79" i="4" a="1"/>
  <c r="AN79" i="4" a="1"/>
  <c r="AB92" i="4" a="1"/>
  <c r="AA92" i="4" a="1"/>
  <c r="AB37" i="4" a="1"/>
  <c r="AA37" i="4" a="1"/>
  <c r="AB13" i="4" a="1"/>
  <c r="AA13" i="4" a="1"/>
  <c r="AA40" i="4" a="1"/>
  <c r="AB40" i="4" a="1"/>
  <c r="B38" i="1" a="1"/>
  <c r="B46" i="1" a="1"/>
  <c r="B47" i="1" a="1"/>
  <c r="B76" i="1" a="1"/>
  <c r="B41" i="1" a="1"/>
  <c r="B23" i="1" a="1"/>
  <c r="B92" i="1" a="1"/>
  <c r="B91" i="1" a="1"/>
  <c r="B89" i="1" a="1"/>
  <c r="B25" i="1" a="1"/>
  <c r="B66" i="1" a="1"/>
  <c r="B8" i="1" a="1"/>
  <c r="B42" i="1" a="1"/>
  <c r="B63" i="1" a="1"/>
  <c r="B50" i="1" a="1"/>
  <c r="B73" i="1" a="1"/>
  <c r="B68" i="1" a="1"/>
  <c r="B93" i="1" a="1"/>
  <c r="B15" i="1" a="1"/>
  <c r="B35" i="1" a="1"/>
  <c r="B71" i="1" a="1"/>
  <c r="B11" i="1" a="1"/>
  <c r="B57" i="1" a="1"/>
  <c r="B62" i="1" a="1"/>
  <c r="B6" i="1" a="1"/>
  <c r="B65" i="1" a="1"/>
  <c r="B40" i="1" a="1"/>
  <c r="B67" i="1" a="1"/>
  <c r="B49" i="1" a="1"/>
  <c r="B19" i="1" a="1"/>
  <c r="B69" i="1" a="1"/>
  <c r="B90" i="1" a="1"/>
  <c r="B31" i="1" a="1"/>
  <c r="B9" i="1" a="1"/>
  <c r="B56" i="1" a="1"/>
  <c r="B86" i="1" a="1"/>
  <c r="B79" i="1" a="1"/>
  <c r="B88" i="1" a="1"/>
  <c r="B37" i="1" a="1"/>
  <c r="B45" i="1" a="1"/>
  <c r="B27" i="1" a="1"/>
  <c r="B77" i="1" a="1"/>
  <c r="B43" i="1" a="1"/>
  <c r="B54" i="1" a="1"/>
  <c r="B84" i="1" a="1"/>
  <c r="B13" i="1" a="1"/>
  <c r="CN60" i="4" a="1"/>
  <c r="CO60" i="4" a="1"/>
  <c r="CQ60" i="4" a="1"/>
  <c r="CR60" i="4" a="1"/>
  <c r="CN21" i="4" a="1"/>
  <c r="CO21" i="4" a="1"/>
  <c r="CR21" i="4" a="1"/>
  <c r="CQ21" i="4" a="1"/>
  <c r="BW64" i="4" l="1"/>
  <c r="BW86" i="4"/>
  <c r="BW22" i="4"/>
  <c r="BW46" i="4"/>
  <c r="BW82" i="4"/>
  <c r="BW90" i="4"/>
  <c r="BW50" i="4"/>
  <c r="BW9" i="4"/>
  <c r="BW74" i="4"/>
  <c r="BW26" i="4"/>
  <c r="BW36" i="4"/>
  <c r="BW83" i="4"/>
  <c r="BW11" i="4"/>
  <c r="BW43" i="4"/>
  <c r="BW5" i="4"/>
  <c r="BW16" i="4"/>
  <c r="BW49" i="4"/>
  <c r="BW35" i="4"/>
  <c r="AT4" i="69" a="1"/>
  <c r="AT4" i="69" s="1"/>
  <c r="BW89" i="4"/>
  <c r="CQ21" i="4"/>
  <c r="CR21" i="4"/>
  <c r="CO21" i="4"/>
  <c r="CN21" i="4"/>
  <c r="CR60" i="4"/>
  <c r="CQ60" i="4"/>
  <c r="CO60" i="4"/>
  <c r="CN60" i="4"/>
  <c r="B13" i="1"/>
  <c r="X13" i="69" s="1"/>
  <c r="B84" i="1"/>
  <c r="X84" i="69" s="1"/>
  <c r="B54" i="1"/>
  <c r="X54" i="69" s="1"/>
  <c r="B43" i="1"/>
  <c r="X43" i="69" s="1"/>
  <c r="B77" i="1"/>
  <c r="X77" i="69" s="1"/>
  <c r="B27" i="1"/>
  <c r="X27" i="69" s="1"/>
  <c r="B45" i="1"/>
  <c r="X45" i="69" s="1"/>
  <c r="B37" i="1"/>
  <c r="X37" i="69" s="1"/>
  <c r="B88" i="1"/>
  <c r="X88" i="69" s="1"/>
  <c r="B79" i="1"/>
  <c r="X79" i="69" s="1"/>
  <c r="B86" i="1"/>
  <c r="X86" i="69" s="1"/>
  <c r="B56" i="1"/>
  <c r="X56" i="69" s="1"/>
  <c r="B9" i="1"/>
  <c r="X9" i="69" s="1"/>
  <c r="B31" i="1"/>
  <c r="X31" i="69" s="1"/>
  <c r="B90" i="1"/>
  <c r="X90" i="69" s="1"/>
  <c r="B69" i="1"/>
  <c r="X69" i="69" s="1"/>
  <c r="B19" i="1"/>
  <c r="X19" i="69" s="1"/>
  <c r="B49" i="1"/>
  <c r="X49" i="69" s="1"/>
  <c r="B67" i="1"/>
  <c r="X67" i="69" s="1"/>
  <c r="B40" i="1"/>
  <c r="X40" i="69" s="1"/>
  <c r="B65" i="1"/>
  <c r="X65" i="69" s="1"/>
  <c r="B6" i="1"/>
  <c r="X6" i="69" s="1"/>
  <c r="B62" i="1"/>
  <c r="X62" i="69" s="1"/>
  <c r="B57" i="1"/>
  <c r="X57" i="69" s="1"/>
  <c r="B11" i="1"/>
  <c r="X11" i="69" s="1"/>
  <c r="B71" i="1"/>
  <c r="X71" i="69" s="1"/>
  <c r="B35" i="1"/>
  <c r="X35" i="69" s="1"/>
  <c r="B15" i="1"/>
  <c r="X15" i="69" s="1"/>
  <c r="B93" i="1"/>
  <c r="X93" i="69" s="1"/>
  <c r="B68" i="1"/>
  <c r="X68" i="69" s="1"/>
  <c r="B73" i="1"/>
  <c r="X73" i="69" s="1"/>
  <c r="B50" i="1"/>
  <c r="X50" i="69" s="1"/>
  <c r="B63" i="1"/>
  <c r="X63" i="69" s="1"/>
  <c r="B42" i="1"/>
  <c r="X42" i="69" s="1"/>
  <c r="B8" i="1"/>
  <c r="X8" i="69" s="1"/>
  <c r="B66" i="1"/>
  <c r="X66" i="69" s="1"/>
  <c r="B25" i="1"/>
  <c r="X25" i="69" s="1"/>
  <c r="B89" i="1"/>
  <c r="X89" i="69" s="1"/>
  <c r="B91" i="1"/>
  <c r="X91" i="69" s="1"/>
  <c r="B92" i="1"/>
  <c r="X92" i="69" s="1"/>
  <c r="B23" i="1"/>
  <c r="X23" i="69" s="1"/>
  <c r="B41" i="1"/>
  <c r="X41" i="69" s="1"/>
  <c r="B76" i="1"/>
  <c r="X76" i="69" s="1"/>
  <c r="B47" i="1"/>
  <c r="X47" i="69" s="1"/>
  <c r="B46" i="1"/>
  <c r="X46" i="69" s="1"/>
  <c r="B38" i="1"/>
  <c r="X38" i="69" s="1"/>
  <c r="AB40" i="4"/>
  <c r="AA40" i="4"/>
  <c r="DA40" i="4" s="1"/>
  <c r="AA13" i="4"/>
  <c r="DA13" i="4" s="1"/>
  <c r="AB13" i="4"/>
  <c r="AA37" i="4"/>
  <c r="DA37" i="4" s="1"/>
  <c r="AB37" i="4"/>
  <c r="AA92" i="4"/>
  <c r="DA92" i="4" s="1"/>
  <c r="AB92" i="4"/>
  <c r="AN79" i="4"/>
  <c r="AO79" i="4"/>
  <c r="AF45" i="4"/>
  <c r="AG45" i="4"/>
  <c r="AO62" i="4"/>
  <c r="AN62" i="4"/>
  <c r="AO89" i="4"/>
  <c r="AN89" i="4"/>
  <c r="AB9" i="4"/>
  <c r="AA9" i="4"/>
  <c r="DA9" i="4" s="1"/>
  <c r="AO23" i="4"/>
  <c r="AN23" i="4"/>
  <c r="AJ66" i="4"/>
  <c r="AI66" i="4"/>
  <c r="AF17" i="4"/>
  <c r="AG17" i="4"/>
  <c r="AB22" i="4"/>
  <c r="AA22" i="4"/>
  <c r="DA22" i="4" s="1"/>
  <c r="AJ20" i="4"/>
  <c r="AI20" i="4"/>
  <c r="AI24" i="4"/>
  <c r="AJ24" i="4"/>
  <c r="AA24" i="4"/>
  <c r="DA24" i="4" s="1"/>
  <c r="AB24" i="4"/>
  <c r="AN28" i="4"/>
  <c r="AO28" i="4"/>
  <c r="AF28" i="4"/>
  <c r="AG28" i="4"/>
  <c r="AN12" i="4"/>
  <c r="AO12" i="4"/>
  <c r="AJ85" i="4"/>
  <c r="AI85" i="4"/>
  <c r="AI59" i="4"/>
  <c r="AJ59" i="4"/>
  <c r="AJ70" i="4"/>
  <c r="AI70" i="4"/>
  <c r="AB61" i="4"/>
  <c r="AA61" i="4"/>
  <c r="DA61" i="4" s="1"/>
  <c r="AB51" i="4"/>
  <c r="AA51" i="4"/>
  <c r="DA51" i="4" s="1"/>
  <c r="B28" i="1"/>
  <c r="X28" i="69" s="1"/>
  <c r="B81" i="1"/>
  <c r="X81" i="69" s="1"/>
  <c r="B61" i="1"/>
  <c r="X61" i="69" s="1"/>
  <c r="B72" i="1"/>
  <c r="X72" i="69" s="1"/>
  <c r="AF65" i="4"/>
  <c r="AG65" i="4"/>
  <c r="AI65" i="4"/>
  <c r="AJ65" i="4"/>
  <c r="AO68" i="4"/>
  <c r="AN68" i="4"/>
  <c r="AA88" i="4"/>
  <c r="DA88" i="4" s="1"/>
  <c r="AB88" i="4"/>
  <c r="AJ40" i="4"/>
  <c r="AI40" i="4"/>
  <c r="AJ13" i="4"/>
  <c r="AI13" i="4"/>
  <c r="AN37" i="4"/>
  <c r="AO37" i="4"/>
  <c r="AJ92" i="4"/>
  <c r="AI92" i="4"/>
  <c r="AO73" i="4"/>
  <c r="AN73" i="4"/>
  <c r="AN76" i="4"/>
  <c r="AO76" i="4"/>
  <c r="AI62" i="4"/>
  <c r="AJ62" i="4"/>
  <c r="AG43" i="4"/>
  <c r="AF43" i="4"/>
  <c r="AG63" i="4"/>
  <c r="AF63" i="4"/>
  <c r="AF67" i="4"/>
  <c r="AG67" i="4"/>
  <c r="AI29" i="4"/>
  <c r="AJ29" i="4"/>
  <c r="AO22" i="4"/>
  <c r="AN22" i="4"/>
  <c r="AF33" i="4"/>
  <c r="AG33" i="4"/>
  <c r="AN33" i="4"/>
  <c r="AO33" i="4"/>
  <c r="AN32" i="4"/>
  <c r="AO32" i="4"/>
  <c r="AB5" i="4"/>
  <c r="AA5" i="4"/>
  <c r="DA5" i="4" s="1"/>
  <c r="AF85" i="4"/>
  <c r="AG85" i="4"/>
  <c r="AI80" i="4"/>
  <c r="AJ80" i="4"/>
  <c r="AO52" i="4"/>
  <c r="AN52" i="4"/>
  <c r="AG48" i="4"/>
  <c r="AF48" i="4"/>
  <c r="AJ61" i="4"/>
  <c r="AI61" i="4"/>
  <c r="AI51" i="4"/>
  <c r="AJ51" i="4"/>
  <c r="CL21" i="4"/>
  <c r="AM21" i="4"/>
  <c r="AK21" i="4"/>
  <c r="CE21" i="4"/>
  <c r="BW21" i="4" s="1"/>
  <c r="CH21" i="4"/>
  <c r="CG21" i="4"/>
  <c r="CM21" i="4"/>
  <c r="BP21" i="4"/>
  <c r="AC21" i="4"/>
  <c r="CK21" i="4"/>
  <c r="CD21" i="4"/>
  <c r="CB21" i="4"/>
  <c r="CC21" i="4"/>
  <c r="CJ21" i="4"/>
  <c r="BN21" i="4"/>
  <c r="AE21" i="4"/>
  <c r="CF21" i="4"/>
  <c r="CI21" i="4"/>
  <c r="B24" i="1"/>
  <c r="X24" i="69" s="1"/>
  <c r="B7" i="1"/>
  <c r="X7" i="69" s="1"/>
  <c r="B70" i="1"/>
  <c r="X70" i="69" s="1"/>
  <c r="B83" i="1"/>
  <c r="X83" i="69" s="1"/>
  <c r="AN40" i="4"/>
  <c r="AO40" i="4"/>
  <c r="AG92" i="4"/>
  <c r="AF92" i="4"/>
  <c r="AN50" i="4"/>
  <c r="AO50" i="4"/>
  <c r="AG71" i="4"/>
  <c r="AF71" i="4"/>
  <c r="AA56" i="4"/>
  <c r="DA56" i="4" s="1"/>
  <c r="AB56" i="4"/>
  <c r="AO45" i="4"/>
  <c r="AN45" i="4"/>
  <c r="AG57" i="4"/>
  <c r="AF57" i="4"/>
  <c r="AB89" i="4"/>
  <c r="AA89" i="4"/>
  <c r="DA89" i="4" s="1"/>
  <c r="AB19" i="4"/>
  <c r="AA19" i="4"/>
  <c r="DA19" i="4" s="1"/>
  <c r="AG54" i="4"/>
  <c r="AF54" i="4"/>
  <c r="AA23" i="4"/>
  <c r="DA23" i="4" s="1"/>
  <c r="AB23" i="4"/>
  <c r="AG23" i="4"/>
  <c r="AF23" i="4"/>
  <c r="AG91" i="4"/>
  <c r="AF91" i="4"/>
  <c r="AG77" i="4"/>
  <c r="AF77" i="4"/>
  <c r="AG35" i="4"/>
  <c r="AF35" i="4"/>
  <c r="AB27" i="4"/>
  <c r="AA27" i="4"/>
  <c r="DA27" i="4" s="1"/>
  <c r="AA47" i="4"/>
  <c r="DA47" i="4" s="1"/>
  <c r="AB47" i="4"/>
  <c r="AF93" i="4"/>
  <c r="AG93" i="4"/>
  <c r="AJ31" i="4"/>
  <c r="AI31" i="4"/>
  <c r="AO17" i="4"/>
  <c r="AN17" i="4"/>
  <c r="AA46" i="4"/>
  <c r="DA46" i="4" s="1"/>
  <c r="AB46" i="4"/>
  <c r="AF32" i="4"/>
  <c r="AG32" i="4"/>
  <c r="AA80" i="4"/>
  <c r="DA80" i="4" s="1"/>
  <c r="AB80" i="4"/>
  <c r="AF61" i="4"/>
  <c r="AG61" i="4"/>
  <c r="AN61" i="4"/>
  <c r="AO61" i="4"/>
  <c r="AB18" i="4"/>
  <c r="AA18" i="4"/>
  <c r="DA18" i="4" s="1"/>
  <c r="AN83" i="4"/>
  <c r="AO83" i="4"/>
  <c r="AA72" i="4"/>
  <c r="DA72" i="4" s="1"/>
  <c r="AB72" i="4"/>
  <c r="AJ72" i="4"/>
  <c r="AI72" i="4"/>
  <c r="AJ64" i="4"/>
  <c r="AI64" i="4"/>
  <c r="B16" i="1"/>
  <c r="X16" i="69" s="1"/>
  <c r="B34" i="1"/>
  <c r="X34" i="69" s="1"/>
  <c r="B5" i="1"/>
  <c r="X5" i="69" s="1"/>
  <c r="B18" i="1"/>
  <c r="X18" i="69" s="1"/>
  <c r="B64" i="1"/>
  <c r="X64" i="69" s="1"/>
  <c r="AA25" i="4"/>
  <c r="DA25" i="4" s="1"/>
  <c r="AB25" i="4"/>
  <c r="AI68" i="4"/>
  <c r="AJ68" i="4"/>
  <c r="AF88" i="4"/>
  <c r="AG88" i="4"/>
  <c r="AJ69" i="4"/>
  <c r="AI69" i="4"/>
  <c r="AF8" i="4"/>
  <c r="AG8" i="4"/>
  <c r="AN84" i="4"/>
  <c r="AO84" i="4"/>
  <c r="AB66" i="4"/>
  <c r="AA66" i="4"/>
  <c r="DA66" i="4" s="1"/>
  <c r="AO43" i="4"/>
  <c r="AN43" i="4"/>
  <c r="AA15" i="4"/>
  <c r="DA15" i="4" s="1"/>
  <c r="AB15" i="4"/>
  <c r="AJ27" i="4"/>
  <c r="AI27" i="4"/>
  <c r="AJ47" i="4"/>
  <c r="AI47" i="4"/>
  <c r="AB42" i="4"/>
  <c r="AA42" i="4"/>
  <c r="DA42" i="4" s="1"/>
  <c r="AJ93" i="4"/>
  <c r="AI93" i="4"/>
  <c r="AA31" i="4"/>
  <c r="DA31" i="4" s="1"/>
  <c r="AB31" i="4"/>
  <c r="AJ3" i="4"/>
  <c r="AI3" i="4"/>
  <c r="AN29" i="4"/>
  <c r="AO29" i="4"/>
  <c r="AG53" i="4"/>
  <c r="AF53" i="4"/>
  <c r="AG22" i="4"/>
  <c r="AF22" i="4"/>
  <c r="AF26" i="4"/>
  <c r="AG26" i="4"/>
  <c r="AJ33" i="4"/>
  <c r="AI33" i="4"/>
  <c r="AN7" i="4"/>
  <c r="AO7" i="4"/>
  <c r="AB7" i="4"/>
  <c r="AA7" i="4"/>
  <c r="DA7" i="4" s="1"/>
  <c r="AB82" i="4"/>
  <c r="AA82" i="4"/>
  <c r="DA82" i="4" s="1"/>
  <c r="AF30" i="4"/>
  <c r="AG30" i="4"/>
  <c r="AF72" i="4"/>
  <c r="AG72" i="4"/>
  <c r="AO64" i="4"/>
  <c r="AN64" i="4"/>
  <c r="B29" i="1"/>
  <c r="X29" i="69" s="1"/>
  <c r="B22" i="1"/>
  <c r="X22" i="69" s="1"/>
  <c r="B32" i="1"/>
  <c r="X32" i="69" s="1"/>
  <c r="AB68" i="4"/>
  <c r="AA68" i="4"/>
  <c r="DA68" i="4" s="1"/>
  <c r="AG40" i="4"/>
  <c r="AF40" i="4"/>
  <c r="AO6" i="4"/>
  <c r="AN6" i="4"/>
  <c r="AJ73" i="4"/>
  <c r="AI73" i="4"/>
  <c r="AN69" i="4"/>
  <c r="AO69" i="4"/>
  <c r="AN71" i="4"/>
  <c r="AO71" i="4"/>
  <c r="AB45" i="4"/>
  <c r="AA45" i="4"/>
  <c r="DA45" i="4" s="1"/>
  <c r="AG62" i="4"/>
  <c r="AF62" i="4"/>
  <c r="AN57" i="4"/>
  <c r="AO57" i="4"/>
  <c r="AG84" i="4"/>
  <c r="AF84" i="4"/>
  <c r="AB84" i="4"/>
  <c r="AA84" i="4"/>
  <c r="DA84" i="4" s="1"/>
  <c r="AN54" i="4"/>
  <c r="AO54" i="4"/>
  <c r="AG27" i="4"/>
  <c r="AF27" i="4"/>
  <c r="AF42" i="4"/>
  <c r="AG42" i="4"/>
  <c r="AF29" i="4"/>
  <c r="AG29" i="4"/>
  <c r="AJ10" i="4"/>
  <c r="AI10" i="4"/>
  <c r="AO74" i="4"/>
  <c r="AN74" i="4"/>
  <c r="AN24" i="4"/>
  <c r="AO24" i="4"/>
  <c r="AG36" i="4"/>
  <c r="AF36" i="4"/>
  <c r="AF39" i="4"/>
  <c r="AG39" i="4"/>
  <c r="AA16" i="4"/>
  <c r="DA16" i="4" s="1"/>
  <c r="AB16" i="4"/>
  <c r="AB33" i="4"/>
  <c r="AA33" i="4"/>
  <c r="DA33" i="4" s="1"/>
  <c r="AI34" i="4"/>
  <c r="AJ34" i="4"/>
  <c r="AJ5" i="4"/>
  <c r="AI5" i="4"/>
  <c r="AJ7" i="4"/>
  <c r="AI7" i="4"/>
  <c r="AN85" i="4"/>
  <c r="AO85" i="4"/>
  <c r="AG80" i="4"/>
  <c r="AF80" i="4"/>
  <c r="AB48" i="4"/>
  <c r="AA48" i="4"/>
  <c r="DA48" i="4" s="1"/>
  <c r="AF70" i="4"/>
  <c r="AG70" i="4"/>
  <c r="AF81" i="4"/>
  <c r="AG81" i="4"/>
  <c r="AF75" i="4"/>
  <c r="AG75" i="4"/>
  <c r="AA75" i="4"/>
  <c r="DA75" i="4" s="1"/>
  <c r="AB75" i="4"/>
  <c r="B26" i="1"/>
  <c r="X26" i="69" s="1"/>
  <c r="AI90" i="4"/>
  <c r="AJ90" i="4"/>
  <c r="AO11" i="4"/>
  <c r="AN11" i="4"/>
  <c r="AG11" i="4"/>
  <c r="AF11" i="4"/>
  <c r="AF37" i="4"/>
  <c r="AG37" i="4"/>
  <c r="AG86" i="4"/>
  <c r="AF86" i="4"/>
  <c r="AO8" i="4"/>
  <c r="AN8" i="4"/>
  <c r="AN66" i="4"/>
  <c r="AO66" i="4"/>
  <c r="AB35" i="4"/>
  <c r="AA35" i="4"/>
  <c r="DA35" i="4" s="1"/>
  <c r="AI35" i="4"/>
  <c r="AJ35" i="4"/>
  <c r="AI42" i="4"/>
  <c r="AJ42" i="4"/>
  <c r="AA63" i="4"/>
  <c r="DA63" i="4" s="1"/>
  <c r="AB63" i="4"/>
  <c r="AA93" i="4"/>
  <c r="DA93" i="4" s="1"/>
  <c r="AB93" i="4"/>
  <c r="AF3" i="4"/>
  <c r="AG3" i="4"/>
  <c r="AB53" i="4"/>
  <c r="AA53" i="4"/>
  <c r="DA53" i="4" s="1"/>
  <c r="AN10" i="4"/>
  <c r="AO10" i="4"/>
  <c r="AJ22" i="4"/>
  <c r="AI22" i="4"/>
  <c r="AF74" i="4"/>
  <c r="AG74" i="4"/>
  <c r="AA38" i="4"/>
  <c r="DA38" i="4" s="1"/>
  <c r="AB38" i="4"/>
  <c r="AO14" i="4"/>
  <c r="AN14" i="4"/>
  <c r="AI14" i="4"/>
  <c r="AJ14" i="4"/>
  <c r="AI12" i="4"/>
  <c r="AJ12" i="4"/>
  <c r="AN5" i="4"/>
  <c r="AO5" i="4"/>
  <c r="AB87" i="4"/>
  <c r="AA87" i="4"/>
  <c r="DA87" i="4" s="1"/>
  <c r="AJ48" i="4"/>
  <c r="AI48" i="4"/>
  <c r="AN18" i="4"/>
  <c r="AO18" i="4"/>
  <c r="AG64" i="4"/>
  <c r="AF64" i="4"/>
  <c r="AO75" i="4"/>
  <c r="AN75" i="4"/>
  <c r="B53" i="1"/>
  <c r="X53" i="69" s="1"/>
  <c r="B10" i="1"/>
  <c r="X10" i="69" s="1"/>
  <c r="B20" i="1"/>
  <c r="X20" i="69" s="1"/>
  <c r="B74" i="1"/>
  <c r="X74" i="69" s="1"/>
  <c r="B33" i="1"/>
  <c r="X33" i="69" s="1"/>
  <c r="AF25" i="4"/>
  <c r="AG25" i="4"/>
  <c r="AB65" i="4"/>
  <c r="AA65" i="4"/>
  <c r="DA65" i="4" s="1"/>
  <c r="AF68" i="4"/>
  <c r="AG68" i="4"/>
  <c r="AO88" i="4"/>
  <c r="AN88" i="4"/>
  <c r="AI11" i="4"/>
  <c r="AJ11" i="4"/>
  <c r="AF13" i="4"/>
  <c r="AG13" i="4"/>
  <c r="AO92" i="4"/>
  <c r="AN92" i="4"/>
  <c r="AB6" i="4"/>
  <c r="AA6" i="4"/>
  <c r="DA6" i="4" s="1"/>
  <c r="AA86" i="4"/>
  <c r="DA86" i="4" s="1"/>
  <c r="AB86" i="4"/>
  <c r="AI56" i="4"/>
  <c r="AJ56" i="4"/>
  <c r="AA57" i="4"/>
  <c r="DA57" i="4" s="1"/>
  <c r="AB57" i="4"/>
  <c r="AG89" i="4"/>
  <c r="AF89" i="4"/>
  <c r="AN35" i="4"/>
  <c r="AO35" i="4"/>
  <c r="AF15" i="4"/>
  <c r="AG15" i="4"/>
  <c r="AN63" i="4"/>
  <c r="AO63" i="4"/>
  <c r="AB41" i="4"/>
  <c r="AA41" i="4"/>
  <c r="DA41" i="4" s="1"/>
  <c r="AI17" i="4"/>
  <c r="AJ17" i="4"/>
  <c r="AN53" i="4"/>
  <c r="AO53" i="4"/>
  <c r="AF10" i="4"/>
  <c r="AG10" i="4"/>
  <c r="AG20" i="4"/>
  <c r="AF20" i="4"/>
  <c r="AJ74" i="4"/>
  <c r="AI74" i="4"/>
  <c r="AG38" i="4"/>
  <c r="AF38" i="4"/>
  <c r="AO36" i="4"/>
  <c r="AN36" i="4"/>
  <c r="AA39" i="4"/>
  <c r="DA39" i="4" s="1"/>
  <c r="AB39" i="4"/>
  <c r="AO16" i="4"/>
  <c r="AN16" i="4"/>
  <c r="AF16" i="4"/>
  <c r="AG16" i="4"/>
  <c r="AI44" i="4"/>
  <c r="AJ44" i="4"/>
  <c r="AA14" i="4"/>
  <c r="DA14" i="4" s="1"/>
  <c r="AB14" i="4"/>
  <c r="AN34" i="4"/>
  <c r="AO34" i="4"/>
  <c r="AA12" i="4"/>
  <c r="DA12" i="4" s="1"/>
  <c r="AB12" i="4"/>
  <c r="AG5" i="4"/>
  <c r="AF5" i="4"/>
  <c r="AJ87" i="4"/>
  <c r="AI87" i="4"/>
  <c r="AN59" i="4"/>
  <c r="AO59" i="4"/>
  <c r="AJ52" i="4"/>
  <c r="AI52" i="4"/>
  <c r="AO70" i="4"/>
  <c r="AN70" i="4"/>
  <c r="AI81" i="4"/>
  <c r="AJ81" i="4"/>
  <c r="AG78" i="4"/>
  <c r="AF78" i="4"/>
  <c r="BP60" i="4"/>
  <c r="AC60" i="4"/>
  <c r="AM60" i="4"/>
  <c r="CD60" i="4"/>
  <c r="CL60" i="4"/>
  <c r="CI60" i="4"/>
  <c r="CJ60" i="4"/>
  <c r="BN60" i="4"/>
  <c r="CH60" i="4"/>
  <c r="CF60" i="4"/>
  <c r="CK60" i="4"/>
  <c r="CM60" i="4"/>
  <c r="CB60" i="4"/>
  <c r="CE60" i="4"/>
  <c r="CG60" i="4"/>
  <c r="AE60" i="4"/>
  <c r="AK60" i="4"/>
  <c r="CC60" i="4"/>
  <c r="B85" i="1"/>
  <c r="X85" i="69" s="1"/>
  <c r="B87" i="1"/>
  <c r="X87" i="69" s="1"/>
  <c r="B48" i="1"/>
  <c r="X48" i="69" s="1"/>
  <c r="AI88" i="4"/>
  <c r="AJ88" i="4"/>
  <c r="AA79" i="4"/>
  <c r="DA79" i="4" s="1"/>
  <c r="AB79" i="4"/>
  <c r="AB50" i="4"/>
  <c r="AA50" i="4"/>
  <c r="DA50" i="4" s="1"/>
  <c r="AF56" i="4"/>
  <c r="AG56" i="4"/>
  <c r="AO56" i="4"/>
  <c r="AN56" i="4"/>
  <c r="AG66" i="4"/>
  <c r="AF66" i="4"/>
  <c r="AB77" i="4"/>
  <c r="AA77" i="4"/>
  <c r="DA77" i="4" s="1"/>
  <c r="AB17" i="4"/>
  <c r="AA17" i="4"/>
  <c r="DA17" i="4" s="1"/>
  <c r="AB10" i="4"/>
  <c r="AA10" i="4"/>
  <c r="DA10" i="4" s="1"/>
  <c r="AG46" i="4"/>
  <c r="AF46" i="4"/>
  <c r="AB26" i="4"/>
  <c r="AA26" i="4"/>
  <c r="DA26" i="4" s="1"/>
  <c r="AA36" i="4"/>
  <c r="DA36" i="4" s="1"/>
  <c r="AB36" i="4"/>
  <c r="AI36" i="4"/>
  <c r="AJ36" i="4"/>
  <c r="AF14" i="4"/>
  <c r="AG14" i="4"/>
  <c r="AF59" i="4"/>
  <c r="AG59" i="4"/>
  <c r="AN80" i="4"/>
  <c r="AO80" i="4"/>
  <c r="AI82" i="4"/>
  <c r="AJ82" i="4"/>
  <c r="AF83" i="4"/>
  <c r="AG83" i="4"/>
  <c r="AO72" i="4"/>
  <c r="AN72" i="4"/>
  <c r="AN78" i="4"/>
  <c r="AO78" i="4"/>
  <c r="B36" i="1"/>
  <c r="X36" i="69" s="1"/>
  <c r="B39" i="1"/>
  <c r="X39" i="69" s="1"/>
  <c r="B44" i="1"/>
  <c r="X44" i="69" s="1"/>
  <c r="B12" i="1"/>
  <c r="X12" i="69" s="1"/>
  <c r="B30" i="1"/>
  <c r="X30" i="69" s="1"/>
  <c r="AN90" i="4"/>
  <c r="AO90" i="4"/>
  <c r="AO13" i="4"/>
  <c r="AN13" i="4"/>
  <c r="AG6" i="4"/>
  <c r="AF6" i="4"/>
  <c r="AJ6" i="4"/>
  <c r="AI6" i="4"/>
  <c r="AF69" i="4"/>
  <c r="AG69" i="4"/>
  <c r="AA69" i="4"/>
  <c r="DA69" i="4" s="1"/>
  <c r="AB69" i="4"/>
  <c r="AI86" i="4"/>
  <c r="AJ86" i="4"/>
  <c r="AJ45" i="4"/>
  <c r="AI45" i="4"/>
  <c r="AI57" i="4"/>
  <c r="AJ57" i="4"/>
  <c r="AI89" i="4"/>
  <c r="AJ89" i="4"/>
  <c r="AG19" i="4"/>
  <c r="AF19" i="4"/>
  <c r="AJ54" i="4"/>
  <c r="AI54" i="4"/>
  <c r="AJ23" i="4"/>
  <c r="AI23" i="4"/>
  <c r="AJ43" i="4"/>
  <c r="AI43" i="4"/>
  <c r="AO77" i="4"/>
  <c r="AN77" i="4"/>
  <c r="AO27" i="4"/>
  <c r="AN27" i="4"/>
  <c r="AF41" i="4"/>
  <c r="AG41" i="4"/>
  <c r="AN41" i="4"/>
  <c r="AO41" i="4"/>
  <c r="AO93" i="4"/>
  <c r="AN93" i="4"/>
  <c r="AG31" i="4"/>
  <c r="AF31" i="4"/>
  <c r="AA3" i="4"/>
  <c r="DA3" i="4" s="1"/>
  <c r="AB3" i="4"/>
  <c r="AB74" i="4"/>
  <c r="AA74" i="4"/>
  <c r="DA74" i="4" s="1"/>
  <c r="AJ26" i="4"/>
  <c r="AI26" i="4"/>
  <c r="AI38" i="4"/>
  <c r="AJ38" i="4"/>
  <c r="AO44" i="4"/>
  <c r="AN44" i="4"/>
  <c r="AG87" i="4"/>
  <c r="AF87" i="4"/>
  <c r="AB70" i="4"/>
  <c r="AA70" i="4"/>
  <c r="DA70" i="4" s="1"/>
  <c r="AO81" i="4"/>
  <c r="AN81" i="4"/>
  <c r="AI30" i="4"/>
  <c r="AJ30" i="4"/>
  <c r="AI78" i="4"/>
  <c r="AJ78" i="4"/>
  <c r="B17" i="1"/>
  <c r="X17" i="69" s="1"/>
  <c r="B14" i="1"/>
  <c r="X14" i="69" s="1"/>
  <c r="B59" i="1"/>
  <c r="X59" i="69" s="1"/>
  <c r="B80" i="1"/>
  <c r="X80" i="69" s="1"/>
  <c r="B52" i="1"/>
  <c r="X52" i="69" s="1"/>
  <c r="B78" i="1"/>
  <c r="X78" i="69" s="1"/>
  <c r="AJ25" i="4"/>
  <c r="AI25" i="4"/>
  <c r="AJ37" i="4"/>
  <c r="AI37" i="4"/>
  <c r="AA73" i="4"/>
  <c r="DA73" i="4" s="1"/>
  <c r="AB73" i="4"/>
  <c r="AG73" i="4"/>
  <c r="AF73" i="4"/>
  <c r="AI79" i="4"/>
  <c r="AJ79" i="4"/>
  <c r="AI50" i="4"/>
  <c r="AJ50" i="4"/>
  <c r="AA76" i="4"/>
  <c r="DA76" i="4" s="1"/>
  <c r="AB76" i="4"/>
  <c r="AJ76" i="4"/>
  <c r="AI76" i="4"/>
  <c r="AI71" i="4"/>
  <c r="AJ71" i="4"/>
  <c r="AO9" i="4"/>
  <c r="AN9" i="4"/>
  <c r="AN19" i="4"/>
  <c r="AO19" i="4"/>
  <c r="AI49" i="4"/>
  <c r="AJ49" i="4"/>
  <c r="AO49" i="4"/>
  <c r="AN49" i="4"/>
  <c r="AJ91" i="4"/>
  <c r="AI91" i="4"/>
  <c r="AI15" i="4"/>
  <c r="AJ15" i="4"/>
  <c r="AJ41" i="4"/>
  <c r="AI41" i="4"/>
  <c r="AN67" i="4"/>
  <c r="AO67" i="4"/>
  <c r="AA67" i="4"/>
  <c r="DA67" i="4" s="1"/>
  <c r="AB67" i="4"/>
  <c r="AA29" i="4"/>
  <c r="DA29" i="4" s="1"/>
  <c r="AB29" i="4"/>
  <c r="AF24" i="4"/>
  <c r="AG24" i="4"/>
  <c r="AI16" i="4"/>
  <c r="AJ16" i="4"/>
  <c r="AF44" i="4"/>
  <c r="AG44" i="4"/>
  <c r="AA44" i="4"/>
  <c r="DA44" i="4" s="1"/>
  <c r="AB44" i="4"/>
  <c r="AF34" i="4"/>
  <c r="AG34" i="4"/>
  <c r="AI18" i="4"/>
  <c r="AJ18" i="4"/>
  <c r="AJ83" i="4"/>
  <c r="AI83" i="4"/>
  <c r="AB83" i="4"/>
  <c r="AA83" i="4"/>
  <c r="DA83" i="4" s="1"/>
  <c r="AA64" i="4"/>
  <c r="DA64" i="4" s="1"/>
  <c r="AB64" i="4"/>
  <c r="AN51" i="4"/>
  <c r="AO51" i="4"/>
  <c r="B3" i="1"/>
  <c r="BJ4" i="4"/>
  <c r="BI4" i="4"/>
  <c r="BK4" i="4"/>
  <c r="B82" i="1"/>
  <c r="X82" i="69" s="1"/>
  <c r="B75" i="1"/>
  <c r="X75" i="69" s="1"/>
  <c r="B51" i="1"/>
  <c r="X51" i="69" s="1"/>
  <c r="AN25" i="4"/>
  <c r="AO25" i="4"/>
  <c r="AG90" i="4"/>
  <c r="AF90" i="4"/>
  <c r="AB90" i="4"/>
  <c r="AA90" i="4"/>
  <c r="DA90" i="4" s="1"/>
  <c r="AA11" i="4"/>
  <c r="DA11" i="4" s="1"/>
  <c r="AB11" i="4"/>
  <c r="AF50" i="4"/>
  <c r="AG50" i="4"/>
  <c r="AG76" i="4"/>
  <c r="AF76" i="4"/>
  <c r="AN86" i="4"/>
  <c r="AO86" i="4"/>
  <c r="AJ84" i="4"/>
  <c r="AI84" i="4"/>
  <c r="AF9" i="4"/>
  <c r="AG9" i="4"/>
  <c r="AI19" i="4"/>
  <c r="AJ19" i="4"/>
  <c r="AB49" i="4"/>
  <c r="AA49" i="4"/>
  <c r="DA49" i="4" s="1"/>
  <c r="AO91" i="4"/>
  <c r="AN91" i="4"/>
  <c r="AB91" i="4"/>
  <c r="AA91" i="4"/>
  <c r="DA91" i="4" s="1"/>
  <c r="AB43" i="4"/>
  <c r="AA43" i="4"/>
  <c r="DA43" i="4" s="1"/>
  <c r="AI77" i="4"/>
  <c r="AJ77" i="4"/>
  <c r="AO15" i="4"/>
  <c r="AN15" i="4"/>
  <c r="AF47" i="4"/>
  <c r="AG47" i="4"/>
  <c r="AN42" i="4"/>
  <c r="AO42" i="4"/>
  <c r="AI63" i="4"/>
  <c r="AJ63" i="4"/>
  <c r="AJ67" i="4"/>
  <c r="AI67" i="4"/>
  <c r="AO31" i="4"/>
  <c r="AN31" i="4"/>
  <c r="AN46" i="4"/>
  <c r="AO46" i="4"/>
  <c r="AA20" i="4"/>
  <c r="DA20" i="4" s="1"/>
  <c r="AB20" i="4"/>
  <c r="AN20" i="4"/>
  <c r="AO20" i="4"/>
  <c r="AN26" i="4"/>
  <c r="AO26" i="4"/>
  <c r="AO39" i="4"/>
  <c r="AN39" i="4"/>
  <c r="AI39" i="4"/>
  <c r="AJ39" i="4"/>
  <c r="AI28" i="4"/>
  <c r="AJ28" i="4"/>
  <c r="AJ32" i="4"/>
  <c r="AI32" i="4"/>
  <c r="AG12" i="4"/>
  <c r="AF12" i="4"/>
  <c r="AF7" i="4"/>
  <c r="AG7" i="4"/>
  <c r="AB59" i="4"/>
  <c r="AA59" i="4"/>
  <c r="DA59" i="4" s="1"/>
  <c r="AN82" i="4"/>
  <c r="AO82" i="4"/>
  <c r="AB52" i="4"/>
  <c r="AA52" i="4"/>
  <c r="DA52" i="4" s="1"/>
  <c r="AN48" i="4"/>
  <c r="AO48" i="4"/>
  <c r="AA81" i="4"/>
  <c r="DA81" i="4" s="1"/>
  <c r="AB81" i="4"/>
  <c r="AG18" i="4"/>
  <c r="AF18" i="4"/>
  <c r="AO30" i="4"/>
  <c r="AN30" i="4"/>
  <c r="AB30" i="4"/>
  <c r="AA30" i="4"/>
  <c r="DA30" i="4" s="1"/>
  <c r="AN65" i="4"/>
  <c r="AO65" i="4"/>
  <c r="AG79" i="4"/>
  <c r="AF79" i="4"/>
  <c r="AA71" i="4"/>
  <c r="DA71" i="4" s="1"/>
  <c r="AB71" i="4"/>
  <c r="AJ8" i="4"/>
  <c r="AI8" i="4"/>
  <c r="AB8" i="4"/>
  <c r="AA8" i="4"/>
  <c r="DA8" i="4" s="1"/>
  <c r="AB62" i="4"/>
  <c r="AA62" i="4"/>
  <c r="DA62" i="4" s="1"/>
  <c r="AI9" i="4"/>
  <c r="AJ9" i="4"/>
  <c r="AG49" i="4"/>
  <c r="AF49" i="4"/>
  <c r="AA54" i="4"/>
  <c r="DA54" i="4" s="1"/>
  <c r="AB54" i="4"/>
  <c r="AO47" i="4"/>
  <c r="AN47" i="4"/>
  <c r="AN3" i="4"/>
  <c r="AO3" i="4"/>
  <c r="AI53" i="4"/>
  <c r="AJ53" i="4"/>
  <c r="AI46" i="4"/>
  <c r="AJ46" i="4"/>
  <c r="AN38" i="4"/>
  <c r="AO38" i="4"/>
  <c r="AA28" i="4"/>
  <c r="DA28" i="4" s="1"/>
  <c r="AB28" i="4"/>
  <c r="AB32" i="4"/>
  <c r="AA32" i="4"/>
  <c r="DA32" i="4" s="1"/>
  <c r="AB34" i="4"/>
  <c r="AA34" i="4"/>
  <c r="DA34" i="4" s="1"/>
  <c r="AB85" i="4"/>
  <c r="AA85" i="4"/>
  <c r="DA85" i="4" s="1"/>
  <c r="AN87" i="4"/>
  <c r="AO87" i="4"/>
  <c r="AF82" i="4"/>
  <c r="AG82" i="4"/>
  <c r="AF52" i="4"/>
  <c r="AG52" i="4"/>
  <c r="AA78" i="4"/>
  <c r="DA78" i="4" s="1"/>
  <c r="AB78" i="4"/>
  <c r="AJ75" i="4"/>
  <c r="AI75" i="4"/>
  <c r="AF51" i="4"/>
  <c r="AG51" i="4"/>
  <c r="BY6" i="4" a="1"/>
  <c r="BY6" i="4" s="1"/>
  <c r="BZ6" i="4" a="1"/>
  <c r="BZ6" i="4" s="1"/>
  <c r="BX6" i="4" s="1" a="1"/>
  <c r="BX6" i="4" s="1"/>
  <c r="AX115" i="13"/>
  <c r="A215" i="13"/>
  <c r="A242" i="13"/>
  <c r="AX142" i="13"/>
  <c r="BZ92" i="4" a="1"/>
  <c r="BZ92" i="4" s="1"/>
  <c r="BX92" i="4" s="1" a="1"/>
  <c r="BX92" i="4" s="1"/>
  <c r="BY92" i="4" a="1"/>
  <c r="BY92" i="4" s="1"/>
  <c r="A1208" i="13"/>
  <c r="AX1109" i="13"/>
  <c r="BZ50" i="4" a="1"/>
  <c r="BZ50" i="4" s="1"/>
  <c r="BX50" i="4" s="1" a="1"/>
  <c r="BX50" i="4" s="1"/>
  <c r="BY50" i="4" a="1"/>
  <c r="BY50" i="4" s="1"/>
  <c r="A1206" i="13"/>
  <c r="AX1107" i="13"/>
  <c r="A57" i="13"/>
  <c r="H55" i="4"/>
  <c r="H58" i="9" s="1"/>
  <c r="A87" i="4"/>
  <c r="C94" i="1"/>
  <c r="A72" i="4"/>
  <c r="A83" i="4"/>
  <c r="A58" i="4"/>
  <c r="A61" i="4"/>
  <c r="A95" i="4"/>
  <c r="A64" i="4"/>
  <c r="A78" i="4"/>
  <c r="A75" i="4"/>
  <c r="A70" i="4"/>
  <c r="Z95" i="69"/>
  <c r="A81" i="4"/>
  <c r="A82" i="4"/>
  <c r="A74" i="4"/>
  <c r="A59" i="4"/>
  <c r="V95" i="69"/>
  <c r="A80" i="4"/>
  <c r="A85" i="4"/>
  <c r="A94" i="4"/>
  <c r="AX139" i="13"/>
  <c r="A239" i="13"/>
  <c r="C13" i="1"/>
  <c r="A271" i="13"/>
  <c r="AX171" i="13"/>
  <c r="A1253" i="13"/>
  <c r="AX1154" i="13"/>
  <c r="A1242" i="13"/>
  <c r="AX1143" i="13"/>
  <c r="BZ86" i="4" a="1"/>
  <c r="BZ86" i="4" s="1"/>
  <c r="BX86" i="4" s="1" a="1"/>
  <c r="BX86" i="4" s="1"/>
  <c r="BY86" i="4" a="1"/>
  <c r="BY86" i="4" s="1"/>
  <c r="BY45" i="4" a="1"/>
  <c r="BY45" i="4" s="1"/>
  <c r="BZ45" i="4" a="1"/>
  <c r="BZ45" i="4" s="1"/>
  <c r="BX45" i="4" s="1" a="1"/>
  <c r="BX45" i="4" s="1"/>
  <c r="C84" i="1"/>
  <c r="C54" i="1"/>
  <c r="E23" i="4"/>
  <c r="BD23" i="4"/>
  <c r="AX1182" i="13"/>
  <c r="A1281" i="13"/>
  <c r="C43" i="1"/>
  <c r="C77" i="1"/>
  <c r="C27" i="1"/>
  <c r="A276" i="13"/>
  <c r="AX176" i="13"/>
  <c r="AX1172" i="13"/>
  <c r="A1271" i="13"/>
  <c r="BQ4" i="69"/>
  <c r="B88" i="4"/>
  <c r="BA88" i="4" a="1"/>
  <c r="BA88" i="4" s="1"/>
  <c r="BB88" i="4" s="1"/>
  <c r="AV190" i="13" s="1"/>
  <c r="A258" i="13"/>
  <c r="AX158" i="13"/>
  <c r="B73" i="4"/>
  <c r="BA73" i="4" a="1"/>
  <c r="BA73" i="4" s="1"/>
  <c r="BB73" i="4" s="1"/>
  <c r="AV175" i="13" s="1"/>
  <c r="A211" i="13"/>
  <c r="AX111" i="13"/>
  <c r="AX121" i="13"/>
  <c r="A221" i="13"/>
  <c r="BY69" i="4" a="1"/>
  <c r="BY69" i="4" s="1"/>
  <c r="BZ69" i="4" a="1"/>
  <c r="BZ69" i="4" s="1"/>
  <c r="BX69" i="4" s="1" a="1"/>
  <c r="BX69" i="4" s="1"/>
  <c r="AX194" i="13"/>
  <c r="A294" i="13"/>
  <c r="H73" i="9"/>
  <c r="BY56" i="4" a="1"/>
  <c r="BY56" i="4" s="1"/>
  <c r="BZ56" i="4" a="1"/>
  <c r="BZ56" i="4" s="1"/>
  <c r="BX56" i="4" s="1" a="1"/>
  <c r="BX56" i="4" s="1"/>
  <c r="C45" i="1"/>
  <c r="AX1171" i="13"/>
  <c r="A1270" i="13"/>
  <c r="A89" i="4"/>
  <c r="BY84" i="4" a="1"/>
  <c r="BY84" i="4" s="1"/>
  <c r="BZ84" i="4" a="1"/>
  <c r="BZ84" i="4" s="1"/>
  <c r="BX84" i="4" s="1" a="1"/>
  <c r="BX84" i="4" s="1"/>
  <c r="A291" i="13"/>
  <c r="AX191" i="13"/>
  <c r="AX186" i="13"/>
  <c r="A286" i="13"/>
  <c r="AX131" i="13"/>
  <c r="A231" i="13"/>
  <c r="AX112" i="13"/>
  <c r="A212" i="13"/>
  <c r="A1236" i="13"/>
  <c r="AX1137" i="13"/>
  <c r="BY63" i="4" a="1"/>
  <c r="BY63" i="4" s="1"/>
  <c r="BZ63" i="4" a="1"/>
  <c r="BZ63" i="4" s="1"/>
  <c r="BX63" i="4" s="1" a="1"/>
  <c r="BX63" i="4" s="1"/>
  <c r="C37" i="1"/>
  <c r="C88" i="1"/>
  <c r="BY11" i="4" a="1"/>
  <c r="BY11" i="4" s="1"/>
  <c r="BZ11" i="4" a="1"/>
  <c r="BZ11" i="4" s="1"/>
  <c r="BX11" i="4" s="1" a="1"/>
  <c r="BX11" i="4" s="1"/>
  <c r="AX147" i="13"/>
  <c r="A247" i="13"/>
  <c r="H75" i="9"/>
  <c r="C79" i="1"/>
  <c r="C86" i="1"/>
  <c r="C56" i="1"/>
  <c r="B45" i="4"/>
  <c r="BA45" i="4" a="1"/>
  <c r="BA45" i="4" s="1"/>
  <c r="BB45" i="4" s="1"/>
  <c r="AV147" i="13" s="1"/>
  <c r="J500" i="15"/>
  <c r="J613" i="15"/>
  <c r="J598" i="15"/>
  <c r="B57" i="4"/>
  <c r="BA57" i="4" a="1"/>
  <c r="BA57" i="4" s="1"/>
  <c r="BB57" i="4" s="1"/>
  <c r="AV159" i="13" s="1"/>
  <c r="C9" i="1"/>
  <c r="BY19" i="4" a="1"/>
  <c r="BY19" i="4" s="1"/>
  <c r="BZ19" i="4" a="1"/>
  <c r="BZ19" i="4" s="1"/>
  <c r="BX19" i="4" s="1" a="1"/>
  <c r="BX19" i="4" s="1"/>
  <c r="B49" i="4"/>
  <c r="BA49" i="4" a="1"/>
  <c r="BA49" i="4" s="1"/>
  <c r="BB49" i="4" s="1"/>
  <c r="AV151" i="13" s="1"/>
  <c r="AX110" i="13"/>
  <c r="A210" i="13"/>
  <c r="AX164" i="13"/>
  <c r="A264" i="13"/>
  <c r="A288" i="13"/>
  <c r="AX188" i="13"/>
  <c r="B43" i="4"/>
  <c r="BA43" i="4" a="1"/>
  <c r="BA43" i="4" s="1"/>
  <c r="BB43" i="4" s="1"/>
  <c r="AV145" i="13" s="1"/>
  <c r="A219" i="13"/>
  <c r="AX119" i="13"/>
  <c r="A224" i="13"/>
  <c r="AX124" i="13"/>
  <c r="CT60" i="4"/>
  <c r="CU60" i="4" s="1"/>
  <c r="AS60" i="4"/>
  <c r="AV662" i="13" s="1"/>
  <c r="AX60" i="4"/>
  <c r="AX97" i="4" s="1"/>
  <c r="A67" i="4"/>
  <c r="A93" i="4"/>
  <c r="AX1145" i="13"/>
  <c r="A1244" i="13"/>
  <c r="A1239" i="13"/>
  <c r="AX1140" i="13"/>
  <c r="C31" i="1"/>
  <c r="U4" i="69" a="1"/>
  <c r="U4" i="69" s="1"/>
  <c r="AX152" i="13"/>
  <c r="A252" i="13"/>
  <c r="BZ25" i="4" a="1"/>
  <c r="BZ25" i="4" s="1"/>
  <c r="BX25" i="4" s="1" a="1"/>
  <c r="BX25" i="4" s="1"/>
  <c r="BY25" i="4" a="1"/>
  <c r="BY25" i="4" s="1"/>
  <c r="BA68" i="4" a="1"/>
  <c r="BA68" i="4" s="1"/>
  <c r="BB68" i="4" s="1"/>
  <c r="AV170" i="13" s="1"/>
  <c r="B68" i="4"/>
  <c r="H90" i="9"/>
  <c r="BZ40" i="4" a="1"/>
  <c r="BZ40" i="4" s="1"/>
  <c r="BX40" i="4" s="1" a="1"/>
  <c r="BX40" i="4" s="1"/>
  <c r="BY40" i="4" a="1"/>
  <c r="BY40" i="4" s="1"/>
  <c r="C90" i="1"/>
  <c r="AX1123" i="13"/>
  <c r="A1222" i="13"/>
  <c r="A1216" i="13"/>
  <c r="AX1117" i="13"/>
  <c r="C69" i="1"/>
  <c r="A62" i="4"/>
  <c r="H59" i="9"/>
  <c r="H86" i="9"/>
  <c r="C19" i="1"/>
  <c r="C49" i="1"/>
  <c r="BA23" i="4" a="1"/>
  <c r="BA23" i="4" s="1"/>
  <c r="BB23" i="4" s="1"/>
  <c r="AV125" i="13" s="1"/>
  <c r="B23" i="4"/>
  <c r="J536" i="15"/>
  <c r="J559" i="15"/>
  <c r="J495" i="15"/>
  <c r="J601" i="15"/>
  <c r="J581" i="15"/>
  <c r="BA27" i="4" a="1"/>
  <c r="BA27" i="4" s="1"/>
  <c r="BB27" i="4" s="1"/>
  <c r="AV129" i="13" s="1"/>
  <c r="B27" i="4"/>
  <c r="C67" i="1"/>
  <c r="H95" i="9"/>
  <c r="A265" i="13"/>
  <c r="AX165" i="13"/>
  <c r="BY88" i="4" a="1"/>
  <c r="BY88" i="4" s="1"/>
  <c r="BZ88" i="4" a="1"/>
  <c r="BZ88" i="4" s="1"/>
  <c r="BX88" i="4" s="1" a="1"/>
  <c r="BX88" i="4" s="1"/>
  <c r="C40" i="1"/>
  <c r="H67" i="9"/>
  <c r="H92" i="9"/>
  <c r="BA13" i="4" a="1"/>
  <c r="BA13" i="4" s="1"/>
  <c r="BB13" i="4" s="1"/>
  <c r="AV115" i="13" s="1"/>
  <c r="B13" i="4"/>
  <c r="J527" i="15"/>
  <c r="J586" i="15"/>
  <c r="E69" i="4"/>
  <c r="A1288" i="13"/>
  <c r="AX1189" i="13"/>
  <c r="BY89" i="4" a="1"/>
  <c r="BY89" i="4" s="1"/>
  <c r="BZ89" i="4" a="1"/>
  <c r="BZ89" i="4" s="1"/>
  <c r="BX89" i="4" s="1" a="1"/>
  <c r="BX89" i="4" s="1"/>
  <c r="BY9" i="4" a="1"/>
  <c r="BY9" i="4" s="1"/>
  <c r="BZ9" i="4" a="1"/>
  <c r="BZ9" i="4" s="1"/>
  <c r="BX9" i="4" s="1" a="1"/>
  <c r="BX9" i="4" s="1"/>
  <c r="A1274" i="13"/>
  <c r="AX1175" i="13"/>
  <c r="A91" i="4"/>
  <c r="J546" i="15"/>
  <c r="BA15" i="4" a="1"/>
  <c r="BA15" i="4" s="1"/>
  <c r="BB15" i="4" s="1"/>
  <c r="AV117" i="13" s="1"/>
  <c r="B15" i="4"/>
  <c r="J554" i="15"/>
  <c r="A256" i="13"/>
  <c r="AX156" i="13"/>
  <c r="A63" i="4"/>
  <c r="BY67" i="4" a="1"/>
  <c r="BY67" i="4" s="1"/>
  <c r="BZ67" i="4" a="1"/>
  <c r="BZ67" i="4" s="1"/>
  <c r="BX67" i="4" s="1" a="1"/>
  <c r="BX67" i="4" s="1"/>
  <c r="J525" i="15"/>
  <c r="BA31" i="4" a="1"/>
  <c r="BA31" i="4" s="1"/>
  <c r="BB31" i="4" s="1"/>
  <c r="AV133" i="13" s="1"/>
  <c r="B31" i="4"/>
  <c r="J530" i="15"/>
  <c r="J516" i="15"/>
  <c r="J582" i="15"/>
  <c r="J485" i="15"/>
  <c r="J545" i="15"/>
  <c r="R4" i="69"/>
  <c r="BO4" i="69"/>
  <c r="BB4" i="69"/>
  <c r="AY4" i="69"/>
  <c r="BH4" i="69" a="1"/>
  <c r="BH4" i="69" s="1"/>
  <c r="BK4" i="69"/>
  <c r="BJ4" i="69" s="1"/>
  <c r="BM4" i="69" s="1"/>
  <c r="BL4" i="69" a="1"/>
  <c r="BL4" i="69" s="1"/>
  <c r="E4" i="69"/>
  <c r="AX1135" i="13"/>
  <c r="A1234" i="13"/>
  <c r="C65" i="1"/>
  <c r="A1210" i="13"/>
  <c r="AX1111" i="13"/>
  <c r="A277" i="13"/>
  <c r="AX177" i="13"/>
  <c r="C6" i="1"/>
  <c r="BY73" i="4" a="1"/>
  <c r="BY73" i="4" s="1"/>
  <c r="BZ73" i="4" a="1"/>
  <c r="BZ73" i="4" s="1"/>
  <c r="BX73" i="4" s="1" a="1"/>
  <c r="BX73" i="4" s="1"/>
  <c r="BZ79" i="4" a="1"/>
  <c r="BZ79" i="4" s="1"/>
  <c r="BX79" i="4" s="1" a="1"/>
  <c r="BX79" i="4" s="1"/>
  <c r="BY79" i="4" a="1"/>
  <c r="BY79" i="4" s="1"/>
  <c r="BZ71" i="4" a="1"/>
  <c r="BZ71" i="4" s="1"/>
  <c r="BX71" i="4" s="1" a="1"/>
  <c r="BX71" i="4" s="1"/>
  <c r="BY71" i="4" a="1"/>
  <c r="BY71" i="4" s="1"/>
  <c r="AX1121" i="13"/>
  <c r="A1220" i="13"/>
  <c r="BZ8" i="4" a="1"/>
  <c r="BZ8" i="4" s="1"/>
  <c r="BX8" i="4" s="1" a="1"/>
  <c r="BX8" i="4" s="1"/>
  <c r="BY8" i="4" a="1"/>
  <c r="BY8" i="4" s="1"/>
  <c r="A1276" i="13"/>
  <c r="AX1177" i="13"/>
  <c r="C62" i="1"/>
  <c r="C57" i="1"/>
  <c r="BA25" i="4" a="1"/>
  <c r="BA25" i="4" s="1"/>
  <c r="BB25" i="4" s="1"/>
  <c r="AV127" i="13" s="1"/>
  <c r="B25" i="4"/>
  <c r="J614" i="15"/>
  <c r="J610" i="15"/>
  <c r="J540" i="15"/>
  <c r="J555" i="15"/>
  <c r="J563" i="15"/>
  <c r="J617" i="15"/>
  <c r="BY68" i="4" a="1"/>
  <c r="BY68" i="4" s="1"/>
  <c r="BZ68" i="4" a="1"/>
  <c r="BZ68" i="4" s="1"/>
  <c r="BX68" i="4" s="1" a="1"/>
  <c r="BX68" i="4" s="1"/>
  <c r="C11" i="1"/>
  <c r="AX127" i="13"/>
  <c r="A227" i="13"/>
  <c r="BA37" i="4" a="1"/>
  <c r="BA37" i="4" s="1"/>
  <c r="BB37" i="4" s="1"/>
  <c r="AV139" i="13" s="1"/>
  <c r="B37" i="4"/>
  <c r="J560" i="15"/>
  <c r="J550" i="15"/>
  <c r="AX1148" i="13"/>
  <c r="A1247" i="13"/>
  <c r="A1266" i="13"/>
  <c r="AX1167" i="13"/>
  <c r="E73" i="4"/>
  <c r="BD73" i="4" s="1"/>
  <c r="H81" i="9"/>
  <c r="AX1190" i="13"/>
  <c r="A1289" i="13"/>
  <c r="V94" i="69"/>
  <c r="C71" i="1"/>
  <c r="BZ57" i="4" a="1"/>
  <c r="BZ57" i="4" s="1"/>
  <c r="BX57" i="4" s="1" a="1"/>
  <c r="BX57" i="4" s="1"/>
  <c r="BY57" i="4" a="1"/>
  <c r="BY57" i="4" s="1"/>
  <c r="AX159" i="13"/>
  <c r="A259" i="13"/>
  <c r="A1250" i="13"/>
  <c r="AX1151" i="13"/>
  <c r="C35" i="1"/>
  <c r="AV605" i="13"/>
  <c r="AS97" i="4"/>
  <c r="C15" i="1"/>
  <c r="B42" i="4"/>
  <c r="BA42" i="4" a="1"/>
  <c r="BA42" i="4" s="1"/>
  <c r="BB42" i="4" s="1"/>
  <c r="AV144" i="13" s="1"/>
  <c r="A233" i="13"/>
  <c r="AX133" i="13"/>
  <c r="B41" i="4"/>
  <c r="BA41" i="4" a="1"/>
  <c r="BA41" i="4" s="1"/>
  <c r="BB41" i="4" s="1"/>
  <c r="AV143" i="13" s="1"/>
  <c r="J572" i="15"/>
  <c r="J538" i="15"/>
  <c r="C93" i="1"/>
  <c r="E31" i="4"/>
  <c r="BD31" i="4"/>
  <c r="BA4" i="69"/>
  <c r="AZ4" i="69"/>
  <c r="N58" i="69" a="1"/>
  <c r="N58" i="69" s="1"/>
  <c r="BA65" i="4" a="1"/>
  <c r="BA65" i="4" s="1"/>
  <c r="BB65" i="4" s="1"/>
  <c r="AV167" i="13" s="1"/>
  <c r="B65" i="4"/>
  <c r="C68" i="1"/>
  <c r="AX1173" i="13"/>
  <c r="A1272" i="13"/>
  <c r="AV262" i="13"/>
  <c r="DB62" i="4"/>
  <c r="BA11" i="4" a="1"/>
  <c r="BA11" i="4" s="1"/>
  <c r="BB11" i="4" s="1"/>
  <c r="AV113" i="13" s="1"/>
  <c r="B11" i="4"/>
  <c r="C73" i="1"/>
  <c r="C50" i="1"/>
  <c r="T14" i="27" a="1"/>
  <c r="T14" i="27" s="1"/>
  <c r="B76" i="4"/>
  <c r="BA76" i="4" a="1"/>
  <c r="BA76" i="4" s="1"/>
  <c r="BB76" i="4" s="1"/>
  <c r="AV178" i="13" s="1"/>
  <c r="A275" i="13"/>
  <c r="AX175" i="13"/>
  <c r="BY62" i="4" a="1"/>
  <c r="BY62" i="4" s="1"/>
  <c r="BZ62" i="4" a="1"/>
  <c r="BZ62" i="4" s="1"/>
  <c r="BX62" i="4" s="1" a="1"/>
  <c r="BX62" i="4" s="1"/>
  <c r="H91" i="9"/>
  <c r="A66" i="4"/>
  <c r="BY91" i="4" a="1"/>
  <c r="BY91" i="4" s="1"/>
  <c r="BZ91" i="4" a="1"/>
  <c r="BZ91" i="4" s="1"/>
  <c r="BX91" i="4" s="1" a="1"/>
  <c r="BX91" i="4" s="1"/>
  <c r="AX1184" i="13"/>
  <c r="A1283" i="13"/>
  <c r="V58" i="69"/>
  <c r="BY15" i="4" a="1"/>
  <c r="BY15" i="4" s="1"/>
  <c r="BZ15" i="4" a="1"/>
  <c r="BZ15" i="4" s="1"/>
  <c r="BX15" i="4" s="1" a="1"/>
  <c r="BX15" i="4" s="1"/>
  <c r="AX1147" i="13"/>
  <c r="A1246" i="13"/>
  <c r="A1251" i="13"/>
  <c r="AX1152" i="13"/>
  <c r="C63" i="1"/>
  <c r="BY93" i="4" a="1"/>
  <c r="BY93" i="4" s="1"/>
  <c r="BZ93" i="4" a="1"/>
  <c r="BZ93" i="4" s="1"/>
  <c r="BX93" i="4" s="1" a="1"/>
  <c r="BX93" i="4" s="1"/>
  <c r="BY31" i="4" a="1"/>
  <c r="BY31" i="4" s="1"/>
  <c r="BZ31" i="4" a="1"/>
  <c r="BZ31" i="4" s="1"/>
  <c r="BX31" i="4" s="1" a="1"/>
  <c r="BX31" i="4" s="1"/>
  <c r="AX178" i="13"/>
  <c r="A278" i="13"/>
  <c r="BA92" i="4" a="1"/>
  <c r="BA92" i="4" s="1"/>
  <c r="BB92" i="4" s="1"/>
  <c r="AV194" i="13" s="1"/>
  <c r="B92" i="4"/>
  <c r="E92" i="4" s="1"/>
  <c r="BT92" i="4" s="1"/>
  <c r="H78" i="9"/>
  <c r="B56" i="4"/>
  <c r="E56" i="4" s="1"/>
  <c r="BA56" i="4" a="1"/>
  <c r="BA56" i="4" s="1"/>
  <c r="BB56" i="4" s="1"/>
  <c r="AV158" i="13" s="1"/>
  <c r="E45" i="4"/>
  <c r="BD45" i="4" s="1"/>
  <c r="H64" i="9"/>
  <c r="E57" i="4"/>
  <c r="BD57" i="4" s="1"/>
  <c r="AX193" i="13"/>
  <c r="A293" i="13"/>
  <c r="AX179" i="13"/>
  <c r="A279" i="13"/>
  <c r="A273" i="13"/>
  <c r="AX173" i="13"/>
  <c r="AX1127" i="13"/>
  <c r="A1226" i="13"/>
  <c r="BZ35" i="4" a="1"/>
  <c r="BZ35" i="4" s="1"/>
  <c r="BX35" i="4" s="1" a="1"/>
  <c r="BX35" i="4" s="1"/>
  <c r="BY35" i="4" a="1"/>
  <c r="BY35" i="4" s="1"/>
  <c r="AX1144" i="13"/>
  <c r="A1243" i="13"/>
  <c r="E15" i="4"/>
  <c r="BT15" i="4" s="1"/>
  <c r="B47" i="4"/>
  <c r="BA47" i="4" a="1"/>
  <c r="BA47" i="4" s="1"/>
  <c r="BB47" i="4" s="1"/>
  <c r="AV149" i="13" s="1"/>
  <c r="C42" i="1"/>
  <c r="AX1129" i="13"/>
  <c r="A1228" i="13"/>
  <c r="B86" i="4"/>
  <c r="E86" i="4" s="1"/>
  <c r="BA86" i="4" a="1"/>
  <c r="BA86" i="4" s="1"/>
  <c r="BB86" i="4" s="1"/>
  <c r="AV188" i="13" s="1"/>
  <c r="C8" i="1"/>
  <c r="AX168" i="13"/>
  <c r="A268" i="13"/>
  <c r="A1259" i="13"/>
  <c r="AX1160" i="13"/>
  <c r="C66" i="1"/>
  <c r="AX1169" i="13"/>
  <c r="A1268" i="13"/>
  <c r="AX1115" i="13"/>
  <c r="A1214" i="13"/>
  <c r="AX155" i="13"/>
  <c r="A255" i="13"/>
  <c r="BA35" i="4" a="1"/>
  <c r="BA35" i="4" s="1"/>
  <c r="BB35" i="4" s="1"/>
  <c r="AV137" i="13" s="1"/>
  <c r="B35" i="4"/>
  <c r="J607" i="15"/>
  <c r="J497" i="15"/>
  <c r="A248" i="13"/>
  <c r="AX148" i="13"/>
  <c r="BY42" i="4" a="1"/>
  <c r="BY42" i="4" s="1"/>
  <c r="BZ42" i="4" a="1"/>
  <c r="BZ42" i="4" s="1"/>
  <c r="BX42" i="4" s="1" a="1"/>
  <c r="BX42" i="4" s="1"/>
  <c r="H65" i="9"/>
  <c r="BY41" i="4" a="1"/>
  <c r="BY41" i="4" s="1"/>
  <c r="BZ41" i="4" a="1"/>
  <c r="BZ41" i="4" s="1"/>
  <c r="BX41" i="4" s="1" a="1"/>
  <c r="BX41" i="4" s="1"/>
  <c r="AX144" i="13"/>
  <c r="A244" i="13"/>
  <c r="AX1138" i="13"/>
  <c r="A1237" i="13"/>
  <c r="B69" i="4"/>
  <c r="BA69" i="4" a="1"/>
  <c r="BA69" i="4" s="1"/>
  <c r="BB69" i="4" s="1"/>
  <c r="AV171" i="13" s="1"/>
  <c r="C25" i="1"/>
  <c r="AX1162" i="13"/>
  <c r="A1261" i="13"/>
  <c r="BZ90" i="4" a="1"/>
  <c r="BZ90" i="4" s="1"/>
  <c r="BX90" i="4" s="1" a="1"/>
  <c r="BX90" i="4" s="1"/>
  <c r="BY90" i="4" a="1"/>
  <c r="BY90" i="4" s="1"/>
  <c r="BA71" i="4" a="1"/>
  <c r="BA71" i="4" s="1"/>
  <c r="BB71" i="4" s="1"/>
  <c r="AV173" i="13" s="1"/>
  <c r="B71" i="4"/>
  <c r="E71" i="4" s="1"/>
  <c r="B8" i="4"/>
  <c r="E8" i="4" s="1"/>
  <c r="BA8" i="4" a="1"/>
  <c r="BA8" i="4" s="1"/>
  <c r="BB8" i="4" s="1"/>
  <c r="AV110" i="13" s="1"/>
  <c r="J578" i="15"/>
  <c r="J589" i="15"/>
  <c r="J616" i="15"/>
  <c r="J543" i="15"/>
  <c r="J597" i="15"/>
  <c r="J505" i="15"/>
  <c r="J513" i="15"/>
  <c r="J478" i="15"/>
  <c r="J481" i="15"/>
  <c r="J537" i="15"/>
  <c r="J493" i="15"/>
  <c r="J517" i="15"/>
  <c r="J520" i="15"/>
  <c r="J510" i="15"/>
  <c r="J499" i="15"/>
  <c r="A281" i="13"/>
  <c r="AX181" i="13"/>
  <c r="AX1164" i="13"/>
  <c r="A1263" i="13"/>
  <c r="C89" i="1"/>
  <c r="B9" i="4"/>
  <c r="BA9" i="4" a="1"/>
  <c r="BA9" i="4" s="1"/>
  <c r="BB9" i="4" s="1"/>
  <c r="AV111" i="13" s="1"/>
  <c r="J566" i="15"/>
  <c r="B19" i="4"/>
  <c r="BA19" i="4" a="1"/>
  <c r="BA19" i="4" s="1"/>
  <c r="BB19" i="4" s="1"/>
  <c r="AV121" i="13" s="1"/>
  <c r="BZ54" i="4" a="1"/>
  <c r="BZ54" i="4" s="1"/>
  <c r="BX54" i="4" s="1" a="1"/>
  <c r="BX54" i="4" s="1"/>
  <c r="BY54" i="4" a="1"/>
  <c r="BY54" i="4" s="1"/>
  <c r="BZ23" i="4" a="1"/>
  <c r="BZ23" i="4" s="1"/>
  <c r="BX23" i="4" s="1" a="1"/>
  <c r="BX23" i="4" s="1"/>
  <c r="BY23" i="4" a="1"/>
  <c r="BY23" i="4" s="1"/>
  <c r="H68" i="9"/>
  <c r="C91" i="1"/>
  <c r="A77" i="4"/>
  <c r="AX141" i="13"/>
  <c r="A241" i="13"/>
  <c r="E41" i="4"/>
  <c r="C92" i="1"/>
  <c r="BZ13" i="4" a="1"/>
  <c r="BZ13" i="4" s="1"/>
  <c r="BX13" i="4" s="1" a="1"/>
  <c r="BX13" i="4" s="1"/>
  <c r="BY13" i="4" a="1"/>
  <c r="BY13" i="4" s="1"/>
  <c r="AX113" i="13"/>
  <c r="A213" i="13"/>
  <c r="H70" i="9"/>
  <c r="B40" i="4"/>
  <c r="BA40" i="4" a="1"/>
  <c r="BA40" i="4" s="1"/>
  <c r="BB40" i="4" s="1"/>
  <c r="AV142" i="13" s="1"/>
  <c r="AX166" i="13"/>
  <c r="A266" i="13"/>
  <c r="A1273" i="13"/>
  <c r="AX1174" i="13"/>
  <c r="H94" i="9"/>
  <c r="B6" i="4"/>
  <c r="BA6" i="4" a="1"/>
  <c r="BA6" i="4" s="1"/>
  <c r="BB6" i="4" s="1"/>
  <c r="AV108" i="13" s="1"/>
  <c r="J533" i="15"/>
  <c r="B50" i="4"/>
  <c r="BA50" i="4" a="1"/>
  <c r="BA50" i="4" s="1"/>
  <c r="BB50" i="4" s="1"/>
  <c r="AV152" i="13" s="1"/>
  <c r="J562" i="15"/>
  <c r="J590" i="15"/>
  <c r="J479" i="15"/>
  <c r="J539" i="15"/>
  <c r="J498" i="15"/>
  <c r="J595" i="15"/>
  <c r="BZ76" i="4" a="1"/>
  <c r="BZ76" i="4" s="1"/>
  <c r="BX76" i="4" s="1" a="1"/>
  <c r="BX76" i="4" s="1"/>
  <c r="BY76" i="4" a="1"/>
  <c r="BY76" i="4" s="1"/>
  <c r="AX108" i="13"/>
  <c r="A208" i="13"/>
  <c r="A245" i="13"/>
  <c r="AX145" i="13"/>
  <c r="AX125" i="13"/>
  <c r="A225" i="13"/>
  <c r="B54" i="4"/>
  <c r="BA54" i="4" a="1"/>
  <c r="BA54" i="4" s="1"/>
  <c r="BB54" i="4" s="1"/>
  <c r="AV156" i="13" s="1"/>
  <c r="J571" i="15"/>
  <c r="C23" i="1"/>
  <c r="A1254" i="13"/>
  <c r="AX1155" i="13"/>
  <c r="A251" i="13"/>
  <c r="AX151" i="13"/>
  <c r="BZ47" i="4" a="1"/>
  <c r="BZ47" i="4" s="1"/>
  <c r="BX47" i="4" s="1" a="1"/>
  <c r="BX47" i="4" s="1"/>
  <c r="BY47" i="4" a="1"/>
  <c r="BY47" i="4" s="1"/>
  <c r="C41" i="1"/>
  <c r="H69" i="9"/>
  <c r="A1260" i="13"/>
  <c r="AX1161" i="13"/>
  <c r="BC4" i="69"/>
  <c r="E25" i="4"/>
  <c r="BD25" i="4"/>
  <c r="B90" i="4"/>
  <c r="BA90" i="4" a="1"/>
  <c r="BA90" i="4" s="1"/>
  <c r="BB90" i="4" s="1"/>
  <c r="AV192" i="13" s="1"/>
  <c r="A1248" i="13"/>
  <c r="AX1149" i="13"/>
  <c r="BY65" i="4" a="1"/>
  <c r="BY65" i="4" s="1"/>
  <c r="BZ65" i="4" a="1"/>
  <c r="BZ65" i="4" s="1"/>
  <c r="BX65" i="4" s="1" a="1"/>
  <c r="BX65" i="4" s="1"/>
  <c r="BZ37" i="4" a="1"/>
  <c r="BZ37" i="4" s="1"/>
  <c r="BX37" i="4" s="1" a="1"/>
  <c r="BX37" i="4" s="1"/>
  <c r="BY37" i="4" a="1"/>
  <c r="BY37" i="4" s="1"/>
  <c r="AX153" i="13"/>
  <c r="A253" i="13"/>
  <c r="B79" i="4"/>
  <c r="BA79" i="4" a="1"/>
  <c r="BA79" i="4" s="1"/>
  <c r="BB79" i="4" s="1"/>
  <c r="AV181" i="13" s="1"/>
  <c r="H71" i="9"/>
  <c r="C76" i="1"/>
  <c r="A1203" i="13"/>
  <c r="AX1104" i="13"/>
  <c r="H88" i="9"/>
  <c r="A1240" i="13"/>
  <c r="AX1141" i="13"/>
  <c r="A84" i="4"/>
  <c r="BY49" i="4" a="1"/>
  <c r="BY49" i="4" s="1"/>
  <c r="BZ49" i="4" a="1"/>
  <c r="BZ49" i="4" s="1"/>
  <c r="BX49" i="4" s="1" a="1"/>
  <c r="BX49" i="4" s="1"/>
  <c r="AX1106" i="13"/>
  <c r="A1205" i="13"/>
  <c r="BZ66" i="4" a="1"/>
  <c r="BZ66" i="4" s="1"/>
  <c r="BX66" i="4" s="1" a="1"/>
  <c r="BX66" i="4" s="1"/>
  <c r="BY66" i="4" a="1"/>
  <c r="BY66" i="4" s="1"/>
  <c r="AX1187" i="13"/>
  <c r="A1286" i="13"/>
  <c r="BZ43" i="4" a="1"/>
  <c r="BZ43" i="4" s="1"/>
  <c r="BX43" i="4" s="1" a="1"/>
  <c r="BX43" i="4" s="1"/>
  <c r="BY43" i="4" a="1"/>
  <c r="BY43" i="4" s="1"/>
  <c r="BZ77" i="4" a="1"/>
  <c r="BZ77" i="4" s="1"/>
  <c r="BX77" i="4" s="1" a="1"/>
  <c r="BX77" i="4" s="1"/>
  <c r="BY77" i="4" a="1"/>
  <c r="BY77" i="4" s="1"/>
  <c r="AX1108" i="13"/>
  <c r="A1207" i="13"/>
  <c r="AX1120" i="13"/>
  <c r="A1219" i="13"/>
  <c r="CU3" i="4"/>
  <c r="BY27" i="4" a="1"/>
  <c r="BY27" i="4" s="1"/>
  <c r="BZ27" i="4" a="1"/>
  <c r="BZ27" i="4" s="1"/>
  <c r="BX27" i="4" s="1" a="1"/>
  <c r="BX27" i="4" s="1"/>
  <c r="C47" i="1"/>
  <c r="E42" i="4"/>
  <c r="BD42" i="4"/>
  <c r="A249" i="13"/>
  <c r="AX149" i="13"/>
  <c r="AE4" i="69" a="1"/>
  <c r="AE4" i="69" s="1"/>
  <c r="F369" i="15" a="1"/>
  <c r="F369" i="15" s="1"/>
  <c r="BZ53" i="4" a="1"/>
  <c r="BZ53" i="4" s="1"/>
  <c r="BX53" i="4" s="1" a="1"/>
  <c r="BX53" i="4" s="1"/>
  <c r="BY53" i="4" a="1"/>
  <c r="BY53" i="4" s="1"/>
  <c r="BZ22" i="4" a="1"/>
  <c r="BZ22" i="4" s="1"/>
  <c r="BX22" i="4" s="1" a="1"/>
  <c r="BX22" i="4" s="1"/>
  <c r="BY22" i="4" a="1"/>
  <c r="BY22" i="4" s="1"/>
  <c r="C46" i="1"/>
  <c r="A1264" i="13"/>
  <c r="AX1165" i="13"/>
  <c r="A1230" i="13"/>
  <c r="AX1131" i="13"/>
  <c r="AX1112" i="13"/>
  <c r="A1211" i="13"/>
  <c r="C38" i="1"/>
  <c r="A229" i="13"/>
  <c r="AX129" i="13"/>
  <c r="H30" i="9"/>
  <c r="AX114" i="13"/>
  <c r="A214" i="13"/>
  <c r="B21" i="27"/>
  <c r="I23" i="27"/>
  <c r="I32" i="27"/>
  <c r="I21" i="27"/>
  <c r="I43" i="27"/>
  <c r="I22" i="27"/>
  <c r="I35" i="27"/>
  <c r="I31" i="27"/>
  <c r="I36" i="27"/>
  <c r="I44" i="27"/>
  <c r="I37" i="27"/>
  <c r="I42" i="27"/>
  <c r="I34" i="27"/>
  <c r="I39" i="27"/>
  <c r="I27" i="27"/>
  <c r="I26" i="27"/>
  <c r="D16" i="27"/>
  <c r="I30" i="27"/>
  <c r="I25" i="27"/>
  <c r="I38" i="27"/>
  <c r="I24" i="27"/>
  <c r="I28" i="27"/>
  <c r="P20" i="27"/>
  <c r="B22" i="27"/>
  <c r="I29" i="27"/>
  <c r="B19" i="27" a="1"/>
  <c r="B19" i="27" s="1"/>
  <c r="I45" i="27"/>
  <c r="I33" i="27"/>
  <c r="I41" i="27"/>
  <c r="I40" i="27"/>
  <c r="BZ87" i="4" a="1"/>
  <c r="BZ87" i="4" s="1"/>
  <c r="BX87" i="4" s="1" a="1"/>
  <c r="BX87" i="4" s="1"/>
  <c r="BY87" i="4" a="1"/>
  <c r="BY87" i="4" s="1"/>
  <c r="BZ30" i="4" a="1"/>
  <c r="BZ30" i="4" s="1"/>
  <c r="BX30" i="4" s="1" a="1"/>
  <c r="BX30" i="4" s="1"/>
  <c r="BY30" i="4" a="1"/>
  <c r="BY30" i="4" s="1"/>
  <c r="H77" i="9"/>
  <c r="H53" i="9"/>
  <c r="G92" i="4"/>
  <c r="BO92" i="4"/>
  <c r="BO76" i="4"/>
  <c r="G76" i="4"/>
  <c r="BO54" i="4"/>
  <c r="G54" i="4"/>
  <c r="BW23" i="4"/>
  <c r="BW67" i="4"/>
  <c r="G74" i="4"/>
  <c r="BO74" i="4"/>
  <c r="BO26" i="4"/>
  <c r="G26" i="4"/>
  <c r="BO16" i="4"/>
  <c r="G16" i="4"/>
  <c r="BW14" i="4"/>
  <c r="G52" i="4"/>
  <c r="BO52" i="4"/>
  <c r="F35" i="23"/>
  <c r="BA10" i="4" a="1"/>
  <c r="BA10" i="4" s="1"/>
  <c r="BB10" i="4" s="1"/>
  <c r="AV112" i="13" s="1"/>
  <c r="B10" i="4"/>
  <c r="AX623" i="13"/>
  <c r="A523" i="13"/>
  <c r="AX1020" i="13"/>
  <c r="A123" i="13"/>
  <c r="A623" i="13"/>
  <c r="AX423" i="13"/>
  <c r="A1020" i="13"/>
  <c r="A1119" i="13"/>
  <c r="A423" i="13"/>
  <c r="A921" i="13"/>
  <c r="AX921" i="13" s="1"/>
  <c r="A822" i="13"/>
  <c r="AX822" i="13" s="1"/>
  <c r="A722" i="13"/>
  <c r="AX722" i="13" s="1"/>
  <c r="AX23" i="13"/>
  <c r="AX523" i="13"/>
  <c r="AX195" i="13"/>
  <c r="A295" i="13"/>
  <c r="BA38" i="4" a="1"/>
  <c r="BA38" i="4" s="1"/>
  <c r="BB38" i="4" s="1"/>
  <c r="AV140" i="13" s="1"/>
  <c r="B38" i="4"/>
  <c r="BZ24" i="4" a="1"/>
  <c r="BZ24" i="4" s="1"/>
  <c r="BX24" i="4" s="1" a="1"/>
  <c r="BX24" i="4" s="1"/>
  <c r="BY24" i="4" a="1"/>
  <c r="BY24" i="4" s="1"/>
  <c r="C28" i="1"/>
  <c r="H46" i="9"/>
  <c r="A240" i="13"/>
  <c r="AX140" i="13"/>
  <c r="A1204" i="13"/>
  <c r="AX1105" i="13"/>
  <c r="BY7" i="4" a="1"/>
  <c r="BY7" i="4" s="1"/>
  <c r="BZ7" i="4" a="1"/>
  <c r="BZ7" i="4" s="1"/>
  <c r="BX7" i="4" s="1" a="1"/>
  <c r="BX7" i="4" s="1"/>
  <c r="AX1159" i="13"/>
  <c r="A1258" i="13"/>
  <c r="AX1128" i="13"/>
  <c r="A1227" i="13"/>
  <c r="AX1170" i="13"/>
  <c r="A1269" i="13"/>
  <c r="BY82" i="4" a="1"/>
  <c r="BY82" i="4" s="1"/>
  <c r="BZ82" i="4" a="1"/>
  <c r="BZ82" i="4" s="1"/>
  <c r="BX82" i="4" s="1" a="1"/>
  <c r="BX82" i="4" s="1"/>
  <c r="A1588" i="13"/>
  <c r="AX1489" i="13"/>
  <c r="AV1489" i="13"/>
  <c r="C81" i="1"/>
  <c r="C61" i="1"/>
  <c r="A1284" i="13"/>
  <c r="AX1185" i="13"/>
  <c r="B18" i="4"/>
  <c r="BA18" i="4" a="1"/>
  <c r="BA18" i="4" s="1"/>
  <c r="BB18" i="4" s="1"/>
  <c r="AV120" i="13" s="1"/>
  <c r="C72" i="1"/>
  <c r="BZ78" i="4" a="1"/>
  <c r="BZ78" i="4" s="1"/>
  <c r="BX78" i="4" s="1" a="1"/>
  <c r="BX78" i="4" s="1"/>
  <c r="BY78" i="4" a="1"/>
  <c r="BY78" i="4" s="1"/>
  <c r="AX184" i="13"/>
  <c r="A284" i="13"/>
  <c r="AX154" i="13"/>
  <c r="A254" i="13"/>
  <c r="CT40" i="4"/>
  <c r="CU40" i="4" s="1"/>
  <c r="CT92" i="4"/>
  <c r="CU92" i="4" s="1"/>
  <c r="G6" i="4"/>
  <c r="BO6" i="4"/>
  <c r="BO86" i="4"/>
  <c r="G86" i="4"/>
  <c r="G57" i="4"/>
  <c r="BO57" i="4"/>
  <c r="BO91" i="4"/>
  <c r="G91" i="4"/>
  <c r="AY3" i="4"/>
  <c r="Z1299" i="13"/>
  <c r="AV5" i="13"/>
  <c r="AW3" i="4"/>
  <c r="F3" i="4"/>
  <c r="AP3" i="4"/>
  <c r="G17" i="4"/>
  <c r="BO17" i="4"/>
  <c r="BO12" i="4"/>
  <c r="G12" i="4"/>
  <c r="BO87" i="4"/>
  <c r="G87" i="4"/>
  <c r="BO80" i="4"/>
  <c r="G80" i="4"/>
  <c r="BO82" i="4"/>
  <c r="G82" i="4"/>
  <c r="C52" i="14"/>
  <c r="B52" i="14"/>
  <c r="B53" i="23"/>
  <c r="F51" i="23"/>
  <c r="AG1" i="23"/>
  <c r="C53" i="23"/>
  <c r="B51" i="14"/>
  <c r="B54" i="23"/>
  <c r="E22" i="4"/>
  <c r="BT22" i="4" s="1"/>
  <c r="D21" i="1"/>
  <c r="BV21" i="4" a="1"/>
  <c r="BV21" i="4" s="1"/>
  <c r="A21" i="4"/>
  <c r="BC21" i="4" a="1"/>
  <c r="BC21" i="4" s="1"/>
  <c r="A21" i="20"/>
  <c r="D21" i="4"/>
  <c r="BU21" i="4" a="1"/>
  <c r="BU21" i="4" s="1"/>
  <c r="C21" i="4"/>
  <c r="A23" i="9"/>
  <c r="H23" i="9" s="1"/>
  <c r="AC58" i="69"/>
  <c r="AM58" i="69"/>
  <c r="Y94" i="69"/>
  <c r="BY26" i="4" a="1"/>
  <c r="BY26" i="4" s="1"/>
  <c r="BZ26" i="4" a="1"/>
  <c r="BZ26" i="4" s="1"/>
  <c r="BX26" i="4" s="1" a="1"/>
  <c r="BX26" i="4" s="1"/>
  <c r="A1200" i="13"/>
  <c r="AX1101" i="13"/>
  <c r="C24" i="1"/>
  <c r="BY36" i="4" a="1"/>
  <c r="BY36" i="4" s="1"/>
  <c r="BZ36" i="4" a="1"/>
  <c r="BZ36" i="4" s="1"/>
  <c r="BX36" i="4" s="1" a="1"/>
  <c r="BX36" i="4" s="1"/>
  <c r="BY39" i="4" a="1"/>
  <c r="BY39" i="4" s="1"/>
  <c r="BZ39" i="4" a="1"/>
  <c r="BZ39" i="4" s="1"/>
  <c r="BX39" i="4" s="1" a="1"/>
  <c r="BX39" i="4" s="1"/>
  <c r="A234" i="13"/>
  <c r="AX134" i="13"/>
  <c r="B28" i="4"/>
  <c r="E28" i="4" s="1"/>
  <c r="BA28" i="4" a="1"/>
  <c r="BA28" i="4" s="1"/>
  <c r="BB28" i="4" s="1"/>
  <c r="AV130" i="13" s="1"/>
  <c r="BZ44" i="4" a="1"/>
  <c r="BZ44" i="4" s="1"/>
  <c r="BX44" i="4" s="1" a="1"/>
  <c r="BX44" i="4" s="1"/>
  <c r="BY44" i="4" a="1"/>
  <c r="BY44" i="4" s="1"/>
  <c r="BY33" i="4" a="1"/>
  <c r="BY33" i="4" s="1"/>
  <c r="BZ33" i="4" a="1"/>
  <c r="BZ33" i="4" s="1"/>
  <c r="BX33" i="4" s="1" a="1"/>
  <c r="BX33" i="4" s="1"/>
  <c r="AX128" i="13"/>
  <c r="A228" i="13"/>
  <c r="A209" i="13"/>
  <c r="AX109" i="13"/>
  <c r="A1225" i="13"/>
  <c r="AX1126" i="13"/>
  <c r="CZ4" i="4" a="1"/>
  <c r="CZ4" i="4" s="1"/>
  <c r="AN94" i="69"/>
  <c r="A272" i="13"/>
  <c r="AX172" i="13"/>
  <c r="W58" i="69"/>
  <c r="C7" i="1"/>
  <c r="A220" i="13"/>
  <c r="AX120" i="13"/>
  <c r="AX1176" i="13"/>
  <c r="A1275" i="13"/>
  <c r="C70" i="1"/>
  <c r="A287" i="13"/>
  <c r="AX187" i="13"/>
  <c r="C83" i="1"/>
  <c r="BO15" i="4"/>
  <c r="G15" i="4"/>
  <c r="BO53" i="4"/>
  <c r="G53" i="4"/>
  <c r="BO20" i="4"/>
  <c r="G20" i="4"/>
  <c r="BO36" i="4"/>
  <c r="G36" i="4"/>
  <c r="G32" i="4"/>
  <c r="BO32" i="4"/>
  <c r="BO81" i="4"/>
  <c r="G81" i="4"/>
  <c r="CT72" i="4"/>
  <c r="CU72" i="4" s="1"/>
  <c r="CT64" i="4"/>
  <c r="CU64" i="4" s="1"/>
  <c r="B3" i="4"/>
  <c r="BA3" i="4" a="1"/>
  <c r="BA3" i="4" s="1"/>
  <c r="BB3" i="4" s="1"/>
  <c r="BA17" i="4" a="1"/>
  <c r="BA17" i="4" s="1"/>
  <c r="BB17" i="4" s="1"/>
  <c r="AV119" i="13" s="1"/>
  <c r="B17" i="4"/>
  <c r="BA29" i="4" a="1"/>
  <c r="BA29" i="4" s="1"/>
  <c r="BB29" i="4" s="1"/>
  <c r="AV131" i="13" s="1"/>
  <c r="B29" i="4"/>
  <c r="B53" i="4"/>
  <c r="BA53" i="4" a="1"/>
  <c r="BA53" i="4" s="1"/>
  <c r="BB53" i="4" s="1"/>
  <c r="AV155" i="13" s="1"/>
  <c r="AX1139" i="13"/>
  <c r="A1238" i="13"/>
  <c r="B26" i="4"/>
  <c r="BA26" i="4" a="1"/>
  <c r="BA26" i="4" s="1"/>
  <c r="BB26" i="4" s="1"/>
  <c r="AV128" i="13" s="1"/>
  <c r="B24" i="4"/>
  <c r="BA24" i="4" a="1"/>
  <c r="BA24" i="4" s="1"/>
  <c r="BB24" i="4" s="1"/>
  <c r="AV126" i="13" s="1"/>
  <c r="AX1113" i="13"/>
  <c r="A1212" i="13"/>
  <c r="C16" i="1"/>
  <c r="AD4" i="4"/>
  <c r="F4" i="69" s="1"/>
  <c r="CV4" i="4"/>
  <c r="CW4" i="4" s="1"/>
  <c r="C34" i="1"/>
  <c r="C5" i="1"/>
  <c r="BA7" i="4" a="1"/>
  <c r="BA7" i="4" s="1"/>
  <c r="BB7" i="4" s="1"/>
  <c r="AV109" i="13" s="1"/>
  <c r="B7" i="4"/>
  <c r="BD7" i="4" s="1"/>
  <c r="AX132" i="13"/>
  <c r="A232" i="13"/>
  <c r="A1280" i="13"/>
  <c r="AX1181" i="13"/>
  <c r="T11" i="4"/>
  <c r="T9" i="4"/>
  <c r="S9" i="4"/>
  <c r="Z1603" i="13"/>
  <c r="S11" i="4"/>
  <c r="A1231" i="13"/>
  <c r="AX1132" i="13"/>
  <c r="BY48" i="4" a="1"/>
  <c r="BY48" i="4" s="1"/>
  <c r="BZ48" i="4" a="1"/>
  <c r="BZ48" i="4" s="1"/>
  <c r="BX48" i="4" s="1" a="1"/>
  <c r="BX48" i="4" s="1"/>
  <c r="H72" i="9"/>
  <c r="C18" i="1"/>
  <c r="H32" i="9"/>
  <c r="BZ72" i="4" a="1"/>
  <c r="BZ72" i="4" s="1"/>
  <c r="BX72" i="4" s="1" a="1"/>
  <c r="BX72" i="4" s="1"/>
  <c r="BY72" i="4" a="1"/>
  <c r="BY72" i="4" s="1"/>
  <c r="A1285" i="13"/>
  <c r="AX1186" i="13"/>
  <c r="A1245" i="13"/>
  <c r="AX1146" i="13"/>
  <c r="C64" i="1"/>
  <c r="BY75" i="4" a="1"/>
  <c r="BY75" i="4" s="1"/>
  <c r="BZ75" i="4" a="1"/>
  <c r="BZ75" i="4" s="1"/>
  <c r="BX75" i="4" s="1" a="1"/>
  <c r="BX75" i="4" s="1"/>
  <c r="BY51" i="4" a="1"/>
  <c r="BY51" i="4" s="1"/>
  <c r="BZ51" i="4" a="1"/>
  <c r="BZ51" i="4" s="1"/>
  <c r="BX51" i="4" s="1" a="1"/>
  <c r="BX51" i="4" s="1"/>
  <c r="G90" i="4"/>
  <c r="BO90" i="4"/>
  <c r="BO50" i="4"/>
  <c r="G50" i="4"/>
  <c r="G69" i="4"/>
  <c r="BO69" i="4"/>
  <c r="BW91" i="4"/>
  <c r="BW63" i="4"/>
  <c r="G41" i="4"/>
  <c r="BO41" i="4"/>
  <c r="G28" i="4"/>
  <c r="BO28" i="4"/>
  <c r="BW87" i="4"/>
  <c r="G61" i="4"/>
  <c r="BO61" i="4"/>
  <c r="D58" i="14"/>
  <c r="AX1134" i="13"/>
  <c r="A1233" i="13"/>
  <c r="C29" i="1"/>
  <c r="C22" i="1"/>
  <c r="H40" i="9"/>
  <c r="B39" i="4"/>
  <c r="BA39" i="4" a="1"/>
  <c r="BA39" i="4" s="1"/>
  <c r="BB39" i="4" s="1"/>
  <c r="AV141" i="13" s="1"/>
  <c r="BY28" i="4" a="1"/>
  <c r="BY28" i="4" s="1"/>
  <c r="BZ28" i="4" a="1"/>
  <c r="BZ28" i="4" s="1"/>
  <c r="BX28" i="4" s="1" a="1"/>
  <c r="BX28" i="4" s="1"/>
  <c r="BA33" i="4" a="1"/>
  <c r="BA33" i="4" s="1"/>
  <c r="BB33" i="4" s="1"/>
  <c r="AV135" i="13" s="1"/>
  <c r="Z58" i="14" s="1" a="1"/>
  <c r="Z58" i="14" s="1"/>
  <c r="B33" i="4"/>
  <c r="A1235" i="13"/>
  <c r="AX1136" i="13"/>
  <c r="C32" i="1"/>
  <c r="A246" i="13"/>
  <c r="AX146" i="13"/>
  <c r="Z4" i="4"/>
  <c r="E7" i="4"/>
  <c r="AX136" i="13"/>
  <c r="A236" i="13"/>
  <c r="B48" i="4"/>
  <c r="BD48" i="4" s="1"/>
  <c r="BA48" i="4" a="1"/>
  <c r="BA48" i="4" s="1"/>
  <c r="BB48" i="4" s="1"/>
  <c r="AV150" i="13" s="1"/>
  <c r="A1202" i="13"/>
  <c r="AX1103" i="13"/>
  <c r="A1256" i="13"/>
  <c r="AX1157" i="13"/>
  <c r="BY83" i="4" a="1"/>
  <c r="BY83" i="4" s="1"/>
  <c r="BZ83" i="4" a="1"/>
  <c r="BZ83" i="4" s="1"/>
  <c r="BX83" i="4" s="1" a="1"/>
  <c r="BX83" i="4" s="1"/>
  <c r="H74" i="9"/>
  <c r="H66" i="9"/>
  <c r="AX192" i="13"/>
  <c r="A292" i="13"/>
  <c r="BW37" i="4"/>
  <c r="BO79" i="4"/>
  <c r="G79" i="4"/>
  <c r="G43" i="4"/>
  <c r="BO43" i="4"/>
  <c r="BO77" i="4"/>
  <c r="G77" i="4"/>
  <c r="BO47" i="4"/>
  <c r="G47" i="4"/>
  <c r="G93" i="4"/>
  <c r="BO93" i="4"/>
  <c r="G10" i="4"/>
  <c r="BO10" i="4"/>
  <c r="BW18" i="4"/>
  <c r="X57" i="14" a="1"/>
  <c r="X57" i="14" s="1"/>
  <c r="K56" i="23" a="1"/>
  <c r="K56" i="23" s="1"/>
  <c r="B56" i="23" s="1"/>
  <c r="P202" i="13" a="1"/>
  <c r="P202" i="13" s="1"/>
  <c r="H31" i="9"/>
  <c r="BZ10" i="4" a="1"/>
  <c r="BZ10" i="4" s="1"/>
  <c r="BX10" i="4" s="1" a="1"/>
  <c r="BX10" i="4" s="1"/>
  <c r="BY10" i="4" a="1"/>
  <c r="BY10" i="4" s="1"/>
  <c r="H24" i="9"/>
  <c r="H48" i="9"/>
  <c r="C26" i="1"/>
  <c r="H35" i="9"/>
  <c r="H34" i="9"/>
  <c r="AX183" i="13"/>
  <c r="A283" i="13"/>
  <c r="J565" i="15"/>
  <c r="BA5" i="4" a="1"/>
  <c r="BA5" i="4" s="1"/>
  <c r="BB5" i="4" s="1"/>
  <c r="AV107" i="13" s="1"/>
  <c r="B5" i="4"/>
  <c r="A280" i="13"/>
  <c r="AX180" i="13"/>
  <c r="BZ52" i="4" a="1"/>
  <c r="BZ52" i="4" s="1"/>
  <c r="BX52" i="4" s="1" a="1"/>
  <c r="BX52" i="4" s="1"/>
  <c r="BY52" i="4" a="1"/>
  <c r="BY52" i="4" s="1"/>
  <c r="H63" i="9"/>
  <c r="AX189" i="13"/>
  <c r="A289" i="13"/>
  <c r="AX161" i="13"/>
  <c r="A261" i="13"/>
  <c r="AX1178" i="13"/>
  <c r="A1277" i="13"/>
  <c r="AX1180" i="13"/>
  <c r="A1279" i="13"/>
  <c r="BZ64" i="4" a="1"/>
  <c r="BZ64" i="4" s="1"/>
  <c r="BX64" i="4" s="1" a="1"/>
  <c r="BX64" i="4" s="1"/>
  <c r="BY64" i="4" a="1"/>
  <c r="BY64" i="4" s="1"/>
  <c r="CT90" i="4"/>
  <c r="CU90" i="4" s="1"/>
  <c r="BO73" i="4"/>
  <c r="G73" i="4"/>
  <c r="BW56" i="4"/>
  <c r="BO27" i="4"/>
  <c r="G27" i="4"/>
  <c r="CT42" i="4"/>
  <c r="CU42" i="4" s="1"/>
  <c r="BO34" i="4"/>
  <c r="G34" i="4"/>
  <c r="BO59" i="4"/>
  <c r="G59" i="4"/>
  <c r="BW52" i="4"/>
  <c r="BW81" i="4"/>
  <c r="G51" i="4"/>
  <c r="BO51" i="4"/>
  <c r="C35" i="23"/>
  <c r="BY17" i="4" a="1"/>
  <c r="BY17" i="4" s="1"/>
  <c r="BZ17" i="4" a="1"/>
  <c r="BZ17" i="4" s="1"/>
  <c r="BX17" i="4" s="1" a="1"/>
  <c r="BX17" i="4" s="1"/>
  <c r="C53" i="1"/>
  <c r="C10" i="1"/>
  <c r="C20" i="1"/>
  <c r="C74" i="1"/>
  <c r="AX1191" i="13"/>
  <c r="A1290" i="13"/>
  <c r="A235" i="13"/>
  <c r="AX135" i="13"/>
  <c r="A216" i="13"/>
  <c r="AX116" i="13"/>
  <c r="AX704" i="13"/>
  <c r="P701" i="13"/>
  <c r="K701" i="13"/>
  <c r="S701" i="13"/>
  <c r="L701" i="13"/>
  <c r="T701" i="13"/>
  <c r="R701" i="13"/>
  <c r="H701" i="13"/>
  <c r="X701" i="13"/>
  <c r="U701" i="13"/>
  <c r="M701" i="13"/>
  <c r="Y701" i="13"/>
  <c r="Z701" i="13"/>
  <c r="J701" i="13"/>
  <c r="V701" i="13"/>
  <c r="W701" i="13"/>
  <c r="N701" i="13"/>
  <c r="I701" i="13"/>
  <c r="F701" i="13"/>
  <c r="Q701" i="13"/>
  <c r="O701" i="13"/>
  <c r="G701" i="13"/>
  <c r="A222" i="13"/>
  <c r="AX122" i="13"/>
  <c r="BA16" i="4" a="1"/>
  <c r="BA16" i="4" s="1"/>
  <c r="BB16" i="4" s="1"/>
  <c r="AV118" i="13" s="1"/>
  <c r="B16" i="4"/>
  <c r="C33" i="1"/>
  <c r="A1209" i="13"/>
  <c r="AX1110" i="13"/>
  <c r="BY32" i="4" a="1"/>
  <c r="BY32" i="4" s="1"/>
  <c r="BZ32" i="4" a="1"/>
  <c r="BZ32" i="4" s="1"/>
  <c r="BX32" i="4" s="1" a="1"/>
  <c r="BX32" i="4" s="1"/>
  <c r="A263" i="13"/>
  <c r="AX163" i="13"/>
  <c r="BY85" i="4" a="1"/>
  <c r="BY85" i="4" s="1"/>
  <c r="BZ85" i="4" a="1"/>
  <c r="BZ85" i="4" s="1"/>
  <c r="BX85" i="4" s="1" a="1"/>
  <c r="BX85" i="4" s="1"/>
  <c r="H89" i="9"/>
  <c r="BY80" i="4" a="1"/>
  <c r="BY80" i="4" s="1"/>
  <c r="BZ80" i="4" a="1"/>
  <c r="BZ80" i="4" s="1"/>
  <c r="BX80" i="4" s="1" a="1"/>
  <c r="BX80" i="4" s="1"/>
  <c r="H84" i="9"/>
  <c r="A1597" i="13"/>
  <c r="AX1597" i="13" s="1"/>
  <c r="AX1498" i="13"/>
  <c r="E48" i="4"/>
  <c r="BT48" i="4" s="1"/>
  <c r="H83" i="9"/>
  <c r="Q58" i="69"/>
  <c r="BZ61" i="4" a="1"/>
  <c r="BZ61" i="4" s="1"/>
  <c r="BX61" i="4" s="1" a="1"/>
  <c r="BX61" i="4" s="1"/>
  <c r="BY61" i="4" a="1"/>
  <c r="BY61" i="4" s="1"/>
  <c r="BY18" i="4" a="1"/>
  <c r="BY18" i="4" s="1"/>
  <c r="BZ18" i="4" a="1"/>
  <c r="BZ18" i="4" s="1"/>
  <c r="BX18" i="4" s="1" a="1"/>
  <c r="BX18" i="4" s="1"/>
  <c r="AX1166" i="13"/>
  <c r="A1265" i="13"/>
  <c r="Y58" i="69"/>
  <c r="BO25" i="4"/>
  <c r="G25" i="4"/>
  <c r="CT11" i="4"/>
  <c r="CU11" i="4" s="1"/>
  <c r="G56" i="4"/>
  <c r="BO56" i="4"/>
  <c r="G84" i="4"/>
  <c r="BO84" i="4"/>
  <c r="BW19" i="4"/>
  <c r="BO31" i="4"/>
  <c r="G31" i="4"/>
  <c r="BO29" i="4"/>
  <c r="G29" i="4"/>
  <c r="BW10" i="4"/>
  <c r="BO5" i="4"/>
  <c r="G5" i="4"/>
  <c r="BO48" i="4"/>
  <c r="G48" i="4"/>
  <c r="BO18" i="4"/>
  <c r="G18" i="4"/>
  <c r="BO30" i="4"/>
  <c r="G30" i="4"/>
  <c r="Z44" i="23"/>
  <c r="P14" i="27" a="1"/>
  <c r="P14" i="27" s="1"/>
  <c r="AO1296" i="13" a="1"/>
  <c r="AO1296" i="13" s="1"/>
  <c r="X58" i="14" a="1"/>
  <c r="X58" i="14" s="1"/>
  <c r="B50" i="14"/>
  <c r="Q58" i="23" a="1"/>
  <c r="Q58" i="23" s="1"/>
  <c r="Q36" i="23" s="1"/>
  <c r="O14" i="27" a="1"/>
  <c r="O14" i="27" s="1"/>
  <c r="J521" i="15"/>
  <c r="J606" i="15"/>
  <c r="F57" i="14" a="1"/>
  <c r="F57" i="14" s="1"/>
  <c r="Y202" i="13" a="1"/>
  <c r="Y202" i="13" s="1"/>
  <c r="AI1197" i="13" a="1"/>
  <c r="AI1197" i="13" s="1"/>
  <c r="AG1197" i="13" a="1"/>
  <c r="AG1197" i="13" s="1"/>
  <c r="G57" i="23" a="1"/>
  <c r="G57" i="23" s="1"/>
  <c r="G35" i="23" s="1"/>
  <c r="U202" i="13" a="1"/>
  <c r="U202" i="13" s="1"/>
  <c r="J57" i="14" a="1"/>
  <c r="J57" i="14" s="1"/>
  <c r="J514" i="15"/>
  <c r="BZ3" i="4" a="1"/>
  <c r="BZ3" i="4" s="1"/>
  <c r="BX3" i="4" s="1" a="1"/>
  <c r="BX3" i="4" s="1"/>
  <c r="BY3" i="4" a="1"/>
  <c r="BY3" i="4" s="1"/>
  <c r="A226" i="13"/>
  <c r="AX126" i="13"/>
  <c r="BA22" i="4" a="1"/>
  <c r="BA22" i="4" s="1"/>
  <c r="BB22" i="4" s="1"/>
  <c r="AV124" i="13" s="1"/>
  <c r="B22" i="4"/>
  <c r="BD22" i="4" s="1"/>
  <c r="BA46" i="4" a="1"/>
  <c r="BA46" i="4" s="1"/>
  <c r="BB46" i="4" s="1"/>
  <c r="AV148" i="13" s="1"/>
  <c r="B46" i="4"/>
  <c r="E46" i="4" s="1"/>
  <c r="BT46" i="4" s="1"/>
  <c r="S92" i="22"/>
  <c r="BV60" i="4" a="1"/>
  <c r="BV60" i="4" s="1"/>
  <c r="D60" i="4"/>
  <c r="A60" i="4"/>
  <c r="BU60" i="4" a="1"/>
  <c r="BU60" i="4" s="1"/>
  <c r="C60" i="4"/>
  <c r="D60" i="1"/>
  <c r="A62" i="9"/>
  <c r="H62" i="9" s="1"/>
  <c r="A60" i="20"/>
  <c r="BC60" i="4" a="1"/>
  <c r="BC60" i="4" s="1"/>
  <c r="AX143" i="13"/>
  <c r="A243" i="13"/>
  <c r="H38" i="9"/>
  <c r="A217" i="13"/>
  <c r="AX117" i="13"/>
  <c r="E33" i="4"/>
  <c r="BD33" i="4"/>
  <c r="BZ14" i="4" a="1"/>
  <c r="BZ14" i="4" s="1"/>
  <c r="BX14" i="4" s="1" a="1"/>
  <c r="BX14" i="4" s="1"/>
  <c r="BY14" i="4" a="1"/>
  <c r="BY14" i="4" s="1"/>
  <c r="A218" i="13"/>
  <c r="AX118" i="13"/>
  <c r="F4" i="4"/>
  <c r="AX1168" i="13"/>
  <c r="A1267" i="13"/>
  <c r="AX1179" i="13"/>
  <c r="A1278" i="13"/>
  <c r="C85" i="1"/>
  <c r="C87" i="1"/>
  <c r="A274" i="13"/>
  <c r="AX174" i="13"/>
  <c r="C48" i="1"/>
  <c r="BY81" i="4" a="1"/>
  <c r="BY81" i="4" s="1"/>
  <c r="BZ81" i="4" a="1"/>
  <c r="BZ81" i="4" s="1"/>
  <c r="BX81" i="4" s="1" a="1"/>
  <c r="BX81" i="4" s="1"/>
  <c r="A1282" i="13"/>
  <c r="AX1183" i="13"/>
  <c r="AX150" i="13"/>
  <c r="A250" i="13"/>
  <c r="AX1188" i="13"/>
  <c r="A1287" i="13"/>
  <c r="G40" i="4"/>
  <c r="BO40" i="4"/>
  <c r="G37" i="4"/>
  <c r="BO37" i="4"/>
  <c r="BW6" i="4"/>
  <c r="G45" i="4"/>
  <c r="BO45" i="4"/>
  <c r="G23" i="4"/>
  <c r="BO23" i="4"/>
  <c r="BW93" i="4"/>
  <c r="G38" i="4"/>
  <c r="BO38" i="4"/>
  <c r="G39" i="4"/>
  <c r="BO39" i="4"/>
  <c r="G44" i="4"/>
  <c r="BO44" i="4"/>
  <c r="G33" i="4"/>
  <c r="BO33" i="4"/>
  <c r="BW34" i="4"/>
  <c r="BO85" i="4"/>
  <c r="G85" i="4"/>
  <c r="BO64" i="4"/>
  <c r="G64" i="4"/>
  <c r="W96" i="22" s="1"/>
  <c r="Y96" i="22" s="1"/>
  <c r="BY29" i="4" a="1"/>
  <c r="BY29" i="4" s="1"/>
  <c r="BZ29" i="4" a="1"/>
  <c r="BZ29" i="4" s="1"/>
  <c r="BX29" i="4" s="1" a="1"/>
  <c r="BX29" i="4" s="1"/>
  <c r="AX137" i="13"/>
  <c r="A237" i="13"/>
  <c r="BY46" i="4" a="1"/>
  <c r="BY46" i="4" s="1"/>
  <c r="BZ46" i="4" a="1"/>
  <c r="BZ46" i="4" s="1"/>
  <c r="BX46" i="4" s="1" a="1"/>
  <c r="BX46" i="4" s="1"/>
  <c r="A1158" i="13"/>
  <c r="A761" i="13"/>
  <c r="AX761" i="13" s="1"/>
  <c r="A960" i="13"/>
  <c r="AX960" i="13" s="1"/>
  <c r="AX62" i="13"/>
  <c r="A1059" i="13"/>
  <c r="AX662" i="13"/>
  <c r="A662" i="13"/>
  <c r="A562" i="13"/>
  <c r="AX562" i="13"/>
  <c r="A162" i="13"/>
  <c r="AX1059" i="13"/>
  <c r="A462" i="13"/>
  <c r="A861" i="13"/>
  <c r="AX861" i="13" s="1"/>
  <c r="AX462" i="13"/>
  <c r="H76" i="9"/>
  <c r="E38" i="4"/>
  <c r="BT38" i="4" s="1"/>
  <c r="C36" i="1"/>
  <c r="C39" i="1"/>
  <c r="A1217" i="13"/>
  <c r="AX1118" i="13"/>
  <c r="BY16" i="4" a="1"/>
  <c r="BY16" i="4" s="1"/>
  <c r="BZ16" i="4" a="1"/>
  <c r="BZ16" i="4" s="1"/>
  <c r="BX16" i="4" s="1" a="1"/>
  <c r="BX16" i="4" s="1"/>
  <c r="C44" i="1"/>
  <c r="J10" i="27"/>
  <c r="A3" i="27"/>
  <c r="A2" i="27"/>
  <c r="BA32" i="4" a="1"/>
  <c r="BA32" i="4" s="1"/>
  <c r="BB32" i="4" s="1"/>
  <c r="AV134" i="13" s="1"/>
  <c r="B32" i="4"/>
  <c r="AX1142" i="13"/>
  <c r="A1241" i="13"/>
  <c r="B34" i="4"/>
  <c r="BA34" i="4" a="1"/>
  <c r="BA34" i="4" s="1"/>
  <c r="BB34" i="4" s="1"/>
  <c r="AV136" i="13" s="1"/>
  <c r="C12" i="1"/>
  <c r="A1215" i="13"/>
  <c r="AX1116" i="13"/>
  <c r="H61" i="9"/>
  <c r="H82" i="9"/>
  <c r="H54" i="9"/>
  <c r="H50" i="9"/>
  <c r="BZ70" i="4" a="1"/>
  <c r="BZ70" i="4" s="1"/>
  <c r="BX70" i="4" s="1" a="1"/>
  <c r="BX70" i="4" s="1"/>
  <c r="BY70" i="4" a="1"/>
  <c r="BY70" i="4" s="1"/>
  <c r="C30" i="1"/>
  <c r="A1262" i="13"/>
  <c r="AX1163" i="13"/>
  <c r="J594" i="15"/>
  <c r="BA51" i="4" a="1"/>
  <c r="BA51" i="4" s="1"/>
  <c r="BB51" i="4" s="1"/>
  <c r="AV153" i="13" s="1"/>
  <c r="B51" i="4"/>
  <c r="G68" i="4"/>
  <c r="BO68" i="4"/>
  <c r="G11" i="4"/>
  <c r="BO11" i="4"/>
  <c r="BW79" i="4"/>
  <c r="CT45" i="4"/>
  <c r="CU45" i="4" s="1"/>
  <c r="CT57" i="4"/>
  <c r="CU57" i="4" s="1"/>
  <c r="BO19" i="4"/>
  <c r="G19" i="4"/>
  <c r="BO66" i="4"/>
  <c r="G66" i="4"/>
  <c r="BO63" i="4"/>
  <c r="G63" i="4"/>
  <c r="BO67" i="4"/>
  <c r="G67" i="4"/>
  <c r="BW17" i="4"/>
  <c r="BO22" i="4"/>
  <c r="G22" i="4"/>
  <c r="G46" i="4"/>
  <c r="BO46" i="4"/>
  <c r="G14" i="4"/>
  <c r="BO14" i="4"/>
  <c r="BW85" i="4"/>
  <c r="BO78" i="4"/>
  <c r="G78" i="4"/>
  <c r="G75" i="4"/>
  <c r="BO75" i="4"/>
  <c r="N575" i="15" a="1"/>
  <c r="N575" i="15" s="1"/>
  <c r="AF1197" i="13" a="1"/>
  <c r="AF1197" i="13" s="1"/>
  <c r="AE1197" i="13" s="1" a="1"/>
  <c r="AE1197" i="13" s="1"/>
  <c r="U58" i="23" a="1"/>
  <c r="U58" i="23" s="1"/>
  <c r="U36" i="23" s="1"/>
  <c r="AN1296" i="13" a="1"/>
  <c r="AN1296" i="13" s="1"/>
  <c r="J587" i="15"/>
  <c r="J56" i="14" a="1"/>
  <c r="J56" i="14" s="1"/>
  <c r="B56" i="14" s="1"/>
  <c r="F58" i="23" a="1"/>
  <c r="F58" i="23" s="1"/>
  <c r="Q12" i="27" a="1"/>
  <c r="Q12" i="27" s="1"/>
  <c r="J591" i="15"/>
  <c r="AI1296" i="13" a="1"/>
  <c r="AI1296" i="13" s="1"/>
  <c r="T12" i="27" a="1"/>
  <c r="T12" i="27" s="1"/>
  <c r="M57" i="23" a="1"/>
  <c r="M57" i="23" s="1"/>
  <c r="M35" i="23" s="1"/>
  <c r="J535" i="15"/>
  <c r="AB1197" i="13" a="1"/>
  <c r="AB1197" i="13" s="1"/>
  <c r="J528" i="15"/>
  <c r="J579" i="15"/>
  <c r="A1221" i="13"/>
  <c r="AX1122" i="13"/>
  <c r="C17" i="1"/>
  <c r="AX1133" i="13"/>
  <c r="A1232" i="13"/>
  <c r="H26" i="9"/>
  <c r="B36" i="4"/>
  <c r="BA36" i="4" a="1"/>
  <c r="BA36" i="4" s="1"/>
  <c r="BB36" i="4" s="1"/>
  <c r="AV138" i="13" s="1"/>
  <c r="A1229" i="13"/>
  <c r="AX1130" i="13"/>
  <c r="C14" i="1"/>
  <c r="AX1114" i="13"/>
  <c r="A1213" i="13"/>
  <c r="BA12" i="4" a="1"/>
  <c r="BA12" i="4" s="1"/>
  <c r="BB12" i="4" s="1"/>
  <c r="AV114" i="13" s="1"/>
  <c r="B12" i="4"/>
  <c r="H87" i="9"/>
  <c r="C59" i="1"/>
  <c r="C80" i="1"/>
  <c r="C52" i="1"/>
  <c r="C78" i="1"/>
  <c r="AX170" i="13"/>
  <c r="A270" i="13"/>
  <c r="L94" i="69"/>
  <c r="BO88" i="4"/>
  <c r="G88" i="4"/>
  <c r="BW40" i="4"/>
  <c r="BW69" i="4"/>
  <c r="BO62" i="4"/>
  <c r="G62" i="4"/>
  <c r="BW57" i="4"/>
  <c r="BO35" i="4"/>
  <c r="G35" i="4"/>
  <c r="BW3" i="4"/>
  <c r="BO3" i="4"/>
  <c r="G7" i="4"/>
  <c r="BO7" i="4"/>
  <c r="CT18" i="4"/>
  <c r="CU18" i="4" s="1"/>
  <c r="BW78" i="4"/>
  <c r="BW75" i="4"/>
  <c r="Z38" i="14"/>
  <c r="C3" i="1"/>
  <c r="A238" i="13"/>
  <c r="AX138" i="13"/>
  <c r="E17" i="4"/>
  <c r="BD17" i="4"/>
  <c r="AX1453" i="13"/>
  <c r="AV1557" i="13"/>
  <c r="AV1656" i="13" s="1"/>
  <c r="AV1453" i="13"/>
  <c r="Z1557" i="13"/>
  <c r="A1552" i="13"/>
  <c r="E10" i="4"/>
  <c r="BT10" i="4" s="1"/>
  <c r="BD10" i="4"/>
  <c r="BZ20" i="4" a="1"/>
  <c r="BZ20" i="4" s="1"/>
  <c r="BX20" i="4" s="1" a="1"/>
  <c r="BX20" i="4" s="1"/>
  <c r="BY20" i="4" a="1"/>
  <c r="BY20" i="4" s="1"/>
  <c r="AX169" i="13"/>
  <c r="A269" i="13"/>
  <c r="BY74" i="4" a="1"/>
  <c r="BY74" i="4" s="1"/>
  <c r="BZ74" i="4" a="1"/>
  <c r="BZ74" i="4" s="1"/>
  <c r="BX74" i="4" s="1" a="1"/>
  <c r="BX74" i="4" s="1"/>
  <c r="BZ38" i="4" a="1"/>
  <c r="BZ38" i="4" s="1"/>
  <c r="BX38" i="4" s="1" a="1"/>
  <c r="BX38" i="4" s="1"/>
  <c r="BY38" i="4" a="1"/>
  <c r="BY38" i="4" s="1"/>
  <c r="AX105" i="13"/>
  <c r="A205" i="13"/>
  <c r="A1224" i="13"/>
  <c r="AX1125" i="13"/>
  <c r="BA14" i="4" a="1"/>
  <c r="BA14" i="4" s="1"/>
  <c r="BB14" i="4" s="1"/>
  <c r="AV116" i="13" s="1"/>
  <c r="B14" i="4"/>
  <c r="E14" i="4" s="1"/>
  <c r="BT14" i="4" s="1"/>
  <c r="AH4" i="4"/>
  <c r="E4" i="4"/>
  <c r="BT4" i="4" s="1"/>
  <c r="H36" i="9"/>
  <c r="BY12" i="4" a="1"/>
  <c r="BY12" i="4" s="1"/>
  <c r="BZ12" i="4" a="1"/>
  <c r="BZ12" i="4" s="1"/>
  <c r="BX12" i="4" s="1" a="1"/>
  <c r="BX12" i="4" s="1"/>
  <c r="BY5" i="4" a="1"/>
  <c r="BY5" i="4" s="1"/>
  <c r="BZ5" i="4" a="1"/>
  <c r="BZ5" i="4" s="1"/>
  <c r="BX5" i="4" s="1" a="1"/>
  <c r="BX5" i="4" s="1"/>
  <c r="C82" i="1"/>
  <c r="BA52" i="4" a="1"/>
  <c r="BA52" i="4" s="1"/>
  <c r="BB52" i="4" s="1"/>
  <c r="AV154" i="13" s="1"/>
  <c r="B52" i="4"/>
  <c r="AN58" i="69"/>
  <c r="H80" i="9"/>
  <c r="C75" i="1"/>
  <c r="C51" i="1"/>
  <c r="BW68" i="4"/>
  <c r="BO8" i="4"/>
  <c r="G8" i="4"/>
  <c r="G89" i="4"/>
  <c r="BO89" i="4"/>
  <c r="G49" i="4"/>
  <c r="BO49" i="4"/>
  <c r="BW41" i="4"/>
  <c r="CT39" i="4"/>
  <c r="CU39" i="4" s="1"/>
  <c r="CT28" i="4"/>
  <c r="CU28" i="4" s="1"/>
  <c r="G70" i="4"/>
  <c r="BO70" i="4"/>
  <c r="BO72" i="4"/>
  <c r="G72" i="4"/>
  <c r="B20" i="4"/>
  <c r="E20" i="4" s="1"/>
  <c r="BA20" i="4" a="1"/>
  <c r="BA20" i="4" s="1"/>
  <c r="BB20" i="4" s="1"/>
  <c r="AV122" i="13" s="1"/>
  <c r="B44" i="4"/>
  <c r="E44" i="4" s="1"/>
  <c r="BA44" i="4" a="1"/>
  <c r="BA44" i="4" s="1"/>
  <c r="BB44" i="4" s="1"/>
  <c r="AV146" i="13" s="1"/>
  <c r="AX1124" i="13"/>
  <c r="A1223" i="13"/>
  <c r="A230" i="13"/>
  <c r="AX130" i="13"/>
  <c r="BZ34" i="4" a="1"/>
  <c r="BZ34" i="4" s="1"/>
  <c r="BX34" i="4" s="1" a="1"/>
  <c r="BX34" i="4" s="1"/>
  <c r="BY34" i="4" a="1"/>
  <c r="BY34" i="4" s="1"/>
  <c r="BZ59" i="4" a="1"/>
  <c r="BZ59" i="4" s="1"/>
  <c r="BX59" i="4" s="1" a="1"/>
  <c r="BX59" i="4" s="1"/>
  <c r="BY59" i="4" a="1"/>
  <c r="BY59" i="4" s="1"/>
  <c r="A285" i="13"/>
  <c r="AX185" i="13"/>
  <c r="AX107" i="13"/>
  <c r="A207" i="13"/>
  <c r="B30" i="4"/>
  <c r="BA30" i="4" a="1"/>
  <c r="BA30" i="4" s="1"/>
  <c r="BB30" i="4" s="1"/>
  <c r="AV132" i="13" s="1"/>
  <c r="AX182" i="13"/>
  <c r="A282" i="13"/>
  <c r="H85" i="9"/>
  <c r="A1249" i="13"/>
  <c r="AX1150" i="13"/>
  <c r="A267" i="13"/>
  <c r="AX167" i="13"/>
  <c r="A290" i="13"/>
  <c r="AX190" i="13"/>
  <c r="AC94" i="69"/>
  <c r="BW25" i="4"/>
  <c r="BO65" i="4"/>
  <c r="G65" i="4"/>
  <c r="W97" i="22" s="1"/>
  <c r="Y97" i="22" s="1"/>
  <c r="BW88" i="4"/>
  <c r="BO13" i="4"/>
  <c r="G13" i="4"/>
  <c r="BW92" i="4"/>
  <c r="BW76" i="4"/>
  <c r="BO71" i="4"/>
  <c r="G71" i="4"/>
  <c r="BO9" i="4"/>
  <c r="G9" i="4"/>
  <c r="BW66" i="4"/>
  <c r="BW27" i="4"/>
  <c r="BO42" i="4"/>
  <c r="G42" i="4"/>
  <c r="G24" i="4"/>
  <c r="BO24" i="4"/>
  <c r="BW39" i="4"/>
  <c r="BW7" i="4"/>
  <c r="BW61" i="4"/>
  <c r="G83" i="4"/>
  <c r="BO83" i="4"/>
  <c r="BK57" i="4" a="1"/>
  <c r="BJ57" i="4" a="1"/>
  <c r="BI57" i="4" a="1"/>
  <c r="BJ92" i="4" a="1"/>
  <c r="BI92" i="4" a="1"/>
  <c r="BK92" i="4" a="1"/>
  <c r="BI22" i="4" a="1"/>
  <c r="BJ22" i="4" a="1"/>
  <c r="BK22" i="4" a="1"/>
  <c r="BJ14" i="4" a="1"/>
  <c r="BK14" i="4" a="1"/>
  <c r="BI14" i="4" a="1"/>
  <c r="BI20" i="4" a="1"/>
  <c r="BJ20" i="4" a="1"/>
  <c r="BK20" i="4" a="1"/>
  <c r="BK46" i="4" a="1"/>
  <c r="BJ46" i="4" a="1"/>
  <c r="BI46" i="4" a="1"/>
  <c r="AE55" i="4" a="1"/>
  <c r="CS55" i="4"/>
  <c r="CF55" i="4" a="1"/>
  <c r="CC55" i="4" a="1"/>
  <c r="CP55" i="4"/>
  <c r="CB55" i="4" a="1"/>
  <c r="CD55" i="4" a="1"/>
  <c r="BP55" i="4" a="1"/>
  <c r="AK55" i="4" a="1"/>
  <c r="CI55" i="4" a="1"/>
  <c r="CE55" i="4" a="1"/>
  <c r="CG55" i="4" a="1"/>
  <c r="CL55" i="4" a="1"/>
  <c r="BN55" i="4" a="1"/>
  <c r="CK55" i="4" a="1"/>
  <c r="CJ55" i="4" a="1"/>
  <c r="CH55" i="4" a="1"/>
  <c r="CM55" i="4" a="1"/>
  <c r="AM55" i="4" a="1"/>
  <c r="AC55" i="4" a="1"/>
  <c r="BJ43" i="4" a="1"/>
  <c r="BK43" i="4" a="1"/>
  <c r="BI43" i="4" a="1"/>
  <c r="BK38" i="4" a="1"/>
  <c r="BJ38" i="4" a="1"/>
  <c r="BI38" i="4" a="1"/>
  <c r="B21" i="1" a="1"/>
  <c r="BK26" i="4" a="1"/>
  <c r="BI26" i="4" a="1"/>
  <c r="BJ26" i="4" a="1"/>
  <c r="BI48" i="4" a="1"/>
  <c r="BJ48" i="4" a="1"/>
  <c r="BK48" i="4" a="1"/>
  <c r="BI16" i="4" a="1"/>
  <c r="BK16" i="4" a="1"/>
  <c r="BJ16" i="4" a="1"/>
  <c r="BJ13" i="4" a="1"/>
  <c r="BI13" i="4" a="1"/>
  <c r="BK13" i="4" a="1"/>
  <c r="BJ42" i="4" a="1"/>
  <c r="BK42" i="4" a="1"/>
  <c r="BI42" i="4" a="1"/>
  <c r="BK11" i="4" a="1"/>
  <c r="BJ11" i="4" a="1"/>
  <c r="BI11" i="4" a="1"/>
  <c r="BK56" i="4" a="1"/>
  <c r="BJ56" i="4" a="1"/>
  <c r="BI56" i="4" a="1"/>
  <c r="BJ6" i="4" a="1"/>
  <c r="BI6" i="4" a="1"/>
  <c r="BK6" i="4" a="1"/>
  <c r="AN21" i="4" a="1"/>
  <c r="AO21" i="4" a="1"/>
  <c r="BJ27" i="4" a="1"/>
  <c r="BI27" i="4" a="1"/>
  <c r="BK27" i="4" a="1"/>
  <c r="BI31" i="4" a="1"/>
  <c r="BK31" i="4" a="1"/>
  <c r="BJ31" i="4" a="1"/>
  <c r="BK3" i="4" a="1"/>
  <c r="BI3" i="4" a="1"/>
  <c r="BJ3" i="4" a="1"/>
  <c r="BJ24" i="4" a="1"/>
  <c r="BI24" i="4" a="1"/>
  <c r="BK24" i="4" a="1"/>
  <c r="BI44" i="4" a="1"/>
  <c r="BJ44" i="4" a="1"/>
  <c r="BK44" i="4" a="1"/>
  <c r="AJ21" i="4" a="1"/>
  <c r="AI21" i="4" a="1"/>
  <c r="BJ86" i="4" a="1"/>
  <c r="BI86" i="4" a="1"/>
  <c r="BK86" i="4" a="1"/>
  <c r="BK28" i="4" a="1"/>
  <c r="BI28" i="4" a="1"/>
  <c r="BJ28" i="4" a="1"/>
  <c r="BI73" i="4" a="1"/>
  <c r="BK73" i="4" a="1"/>
  <c r="BJ73" i="4" a="1"/>
  <c r="BK49" i="4" a="1"/>
  <c r="BI49" i="4" a="1"/>
  <c r="BJ49" i="4" a="1"/>
  <c r="BI50" i="4" a="1"/>
  <c r="BK50" i="4" a="1"/>
  <c r="BJ50" i="4" a="1"/>
  <c r="BJ7" i="4" a="1"/>
  <c r="BI7" i="4" a="1"/>
  <c r="BK7" i="4" a="1"/>
  <c r="AG21" i="4" a="1"/>
  <c r="AF21" i="4" a="1"/>
  <c r="BJ23" i="4" a="1"/>
  <c r="BI23" i="4" a="1"/>
  <c r="BK23" i="4" a="1"/>
  <c r="BK15" i="4" a="1"/>
  <c r="BJ15" i="4" a="1"/>
  <c r="BI15" i="4" a="1"/>
  <c r="BK65" i="4" a="1"/>
  <c r="BJ65" i="4" a="1"/>
  <c r="BI65" i="4" a="1"/>
  <c r="BI40" i="4" a="1"/>
  <c r="BK40" i="4" a="1"/>
  <c r="BJ40" i="4" a="1"/>
  <c r="BJ17" i="4" a="1"/>
  <c r="BI17" i="4" a="1"/>
  <c r="BK17" i="4" a="1"/>
  <c r="BJ39" i="4" a="1"/>
  <c r="BK39" i="4" a="1"/>
  <c r="BI39" i="4" a="1"/>
  <c r="BK5" i="4" a="1"/>
  <c r="BJ5" i="4" a="1"/>
  <c r="BI5" i="4" a="1"/>
  <c r="BI30" i="4" a="1"/>
  <c r="BJ30" i="4" a="1"/>
  <c r="BK30" i="4" a="1"/>
  <c r="BJ45" i="4" a="1"/>
  <c r="BK45" i="4" a="1"/>
  <c r="BI45" i="4" a="1"/>
  <c r="BK41" i="4" a="1"/>
  <c r="BI41" i="4" a="1"/>
  <c r="BJ41" i="4" a="1"/>
  <c r="BK76" i="4" a="1"/>
  <c r="BI76" i="4" a="1"/>
  <c r="BJ76" i="4" a="1"/>
  <c r="BJ9" i="4" a="1"/>
  <c r="BI9" i="4" a="1"/>
  <c r="BK9" i="4" a="1"/>
  <c r="BK10" i="4" a="1"/>
  <c r="BJ10" i="4" a="1"/>
  <c r="BI10" i="4" a="1"/>
  <c r="BJ51" i="4" a="1"/>
  <c r="BK51" i="4" a="1"/>
  <c r="BI51" i="4" a="1"/>
  <c r="AB60" i="4" a="1"/>
  <c r="AA60" i="4" a="1"/>
  <c r="BK25" i="4" a="1"/>
  <c r="BJ25" i="4" a="1"/>
  <c r="BI25" i="4" a="1"/>
  <c r="BK71" i="4" a="1"/>
  <c r="BI71" i="4" a="1"/>
  <c r="BJ71" i="4" a="1"/>
  <c r="BI29" i="4" a="1"/>
  <c r="BJ29" i="4" a="1"/>
  <c r="BK29" i="4" a="1"/>
  <c r="BJ12" i="4" a="1"/>
  <c r="BI12" i="4" a="1"/>
  <c r="BK12" i="4" a="1"/>
  <c r="AO60" i="4" a="1"/>
  <c r="AN60" i="4" a="1"/>
  <c r="BK37" i="4" a="1"/>
  <c r="BJ37" i="4" a="1"/>
  <c r="BI37" i="4" a="1"/>
  <c r="BJ35" i="4" a="1"/>
  <c r="BI35" i="4" a="1"/>
  <c r="BK35" i="4" a="1"/>
  <c r="BJ8" i="4" a="1"/>
  <c r="BK8" i="4" a="1"/>
  <c r="BI8" i="4" a="1"/>
  <c r="BI90" i="4" a="1"/>
  <c r="BJ90" i="4" a="1"/>
  <c r="BK90" i="4" a="1"/>
  <c r="BK18" i="4" a="1"/>
  <c r="BJ18" i="4" a="1"/>
  <c r="BI18" i="4" a="1"/>
  <c r="BJ53" i="4" a="1"/>
  <c r="BI53" i="4" a="1"/>
  <c r="BK53" i="4" a="1"/>
  <c r="B60" i="1" a="1"/>
  <c r="AF60" i="4" a="1"/>
  <c r="AG60" i="4" a="1"/>
  <c r="BJ68" i="4" a="1"/>
  <c r="BK68" i="4" a="1"/>
  <c r="BI68" i="4" a="1"/>
  <c r="BK19" i="4" a="1"/>
  <c r="BJ19" i="4" a="1"/>
  <c r="BI19" i="4" a="1"/>
  <c r="BJ79" i="4" a="1"/>
  <c r="BK79" i="4" a="1"/>
  <c r="BI79" i="4" a="1"/>
  <c r="AB21" i="4" a="1"/>
  <c r="AA21" i="4" a="1"/>
  <c r="AI60" i="4" a="1"/>
  <c r="AJ60" i="4" a="1"/>
  <c r="BI88" i="4" a="1"/>
  <c r="BK88" i="4" a="1"/>
  <c r="BJ88" i="4" a="1"/>
  <c r="BJ47" i="4" a="1"/>
  <c r="BK47" i="4" a="1"/>
  <c r="BI47" i="4" a="1"/>
  <c r="BJ69" i="4" a="1"/>
  <c r="BI69" i="4" a="1"/>
  <c r="BK69" i="4" a="1"/>
  <c r="BK54" i="4" a="1"/>
  <c r="BI54" i="4" a="1"/>
  <c r="BJ54" i="4" a="1"/>
  <c r="BJ33" i="4" a="1"/>
  <c r="BK33" i="4" a="1"/>
  <c r="BI33" i="4" a="1"/>
  <c r="BK32" i="4" a="1"/>
  <c r="BI32" i="4" a="1"/>
  <c r="BJ32" i="4" a="1"/>
  <c r="BK52" i="4" a="1"/>
  <c r="BJ52" i="4" a="1"/>
  <c r="BI52" i="4" a="1"/>
  <c r="BK36" i="4" a="1"/>
  <c r="BJ36" i="4" a="1"/>
  <c r="BI36" i="4" a="1"/>
  <c r="BJ34" i="4" a="1"/>
  <c r="BK34" i="4" a="1"/>
  <c r="BI34" i="4" a="1"/>
  <c r="CQ55" i="4" a="1"/>
  <c r="CR55" i="4" a="1"/>
  <c r="CN55" i="4" a="1"/>
  <c r="CO55" i="4" a="1"/>
  <c r="BT20" i="4" l="1"/>
  <c r="BT71" i="4"/>
  <c r="BT86" i="4"/>
  <c r="BT17" i="4"/>
  <c r="BT44" i="4"/>
  <c r="C58" i="14"/>
  <c r="BT41" i="4"/>
  <c r="CO55" i="4"/>
  <c r="CN55" i="4"/>
  <c r="CR55" i="4"/>
  <c r="CQ55" i="4"/>
  <c r="BI34" i="4"/>
  <c r="BK34" i="4"/>
  <c r="BJ34" i="4"/>
  <c r="BI36" i="4"/>
  <c r="BJ36" i="4"/>
  <c r="BK36" i="4"/>
  <c r="BI52" i="4"/>
  <c r="BJ52" i="4"/>
  <c r="BK52" i="4"/>
  <c r="BJ32" i="4"/>
  <c r="BI32" i="4"/>
  <c r="BK32" i="4"/>
  <c r="BI33" i="4"/>
  <c r="BF33" i="4" s="1"/>
  <c r="BK33" i="4"/>
  <c r="BJ33" i="4"/>
  <c r="BJ54" i="4"/>
  <c r="BI54" i="4"/>
  <c r="BK54" i="4"/>
  <c r="BK69" i="4"/>
  <c r="BI69" i="4"/>
  <c r="BF69" i="4" s="1"/>
  <c r="BJ69" i="4"/>
  <c r="BI47" i="4"/>
  <c r="BK47" i="4"/>
  <c r="BJ47" i="4"/>
  <c r="BJ88" i="4"/>
  <c r="BK88" i="4"/>
  <c r="BI88" i="4"/>
  <c r="AJ60" i="4"/>
  <c r="AI60" i="4"/>
  <c r="AA21" i="4"/>
  <c r="DA21" i="4" s="1"/>
  <c r="AB21" i="4"/>
  <c r="BI79" i="4"/>
  <c r="BK79" i="4"/>
  <c r="BJ79" i="4"/>
  <c r="BI19" i="4"/>
  <c r="BJ19" i="4"/>
  <c r="BK19" i="4"/>
  <c r="BI68" i="4"/>
  <c r="BK68" i="4"/>
  <c r="BJ68" i="4"/>
  <c r="AG60" i="4"/>
  <c r="AF60" i="4"/>
  <c r="B60" i="1"/>
  <c r="X60" i="69" s="1"/>
  <c r="BK53" i="4"/>
  <c r="BI53" i="4"/>
  <c r="BJ53" i="4"/>
  <c r="BI18" i="4"/>
  <c r="BJ18" i="4"/>
  <c r="BK18" i="4"/>
  <c r="BK90" i="4"/>
  <c r="BJ90" i="4"/>
  <c r="BI90" i="4"/>
  <c r="BI8" i="4"/>
  <c r="BF8" i="4" s="1"/>
  <c r="BK8" i="4"/>
  <c r="BJ8" i="4"/>
  <c r="BK35" i="4"/>
  <c r="BI35" i="4"/>
  <c r="BJ35" i="4"/>
  <c r="BI37" i="4"/>
  <c r="BJ37" i="4"/>
  <c r="BK37" i="4"/>
  <c r="AN60" i="4"/>
  <c r="AO60" i="4"/>
  <c r="BK12" i="4"/>
  <c r="BI12" i="4"/>
  <c r="BJ12" i="4"/>
  <c r="BK29" i="4"/>
  <c r="BJ29" i="4"/>
  <c r="BI29" i="4"/>
  <c r="BJ71" i="4"/>
  <c r="BI71" i="4"/>
  <c r="BF71" i="4" s="1"/>
  <c r="BK71" i="4"/>
  <c r="BI25" i="4"/>
  <c r="BF25" i="4" s="1"/>
  <c r="BJ25" i="4"/>
  <c r="BK25" i="4"/>
  <c r="AA60" i="4"/>
  <c r="DA60" i="4" s="1"/>
  <c r="AB60" i="4"/>
  <c r="BI51" i="4"/>
  <c r="BK51" i="4"/>
  <c r="BJ51" i="4"/>
  <c r="BI10" i="4"/>
  <c r="BF10" i="4" s="1"/>
  <c r="BJ10" i="4"/>
  <c r="BK10" i="4"/>
  <c r="BK9" i="4"/>
  <c r="BI9" i="4"/>
  <c r="BJ9" i="4"/>
  <c r="BJ76" i="4"/>
  <c r="BI76" i="4"/>
  <c r="BK76" i="4"/>
  <c r="BJ41" i="4"/>
  <c r="BI41" i="4"/>
  <c r="BF41" i="4" s="1"/>
  <c r="BK41" i="4"/>
  <c r="BI45" i="4"/>
  <c r="BF45" i="4" s="1"/>
  <c r="BK45" i="4"/>
  <c r="BJ45" i="4"/>
  <c r="BK30" i="4"/>
  <c r="BJ30" i="4"/>
  <c r="BI30" i="4"/>
  <c r="BI5" i="4"/>
  <c r="BJ5" i="4"/>
  <c r="BK5" i="4"/>
  <c r="BI39" i="4"/>
  <c r="BK39" i="4"/>
  <c r="BJ39" i="4"/>
  <c r="BK17" i="4"/>
  <c r="BI17" i="4"/>
  <c r="BF17" i="4" s="1"/>
  <c r="BJ17" i="4"/>
  <c r="BJ40" i="4"/>
  <c r="BK40" i="4"/>
  <c r="BI40" i="4"/>
  <c r="BI65" i="4"/>
  <c r="BJ65" i="4"/>
  <c r="BK65" i="4"/>
  <c r="BI15" i="4"/>
  <c r="BF15" i="4" s="1"/>
  <c r="BJ15" i="4"/>
  <c r="BK15" i="4"/>
  <c r="BK23" i="4"/>
  <c r="BI23" i="4"/>
  <c r="BF23" i="4" s="1"/>
  <c r="BJ23" i="4"/>
  <c r="AF21" i="4"/>
  <c r="AG21" i="4"/>
  <c r="BK7" i="4"/>
  <c r="BI7" i="4"/>
  <c r="BF7" i="4" s="1"/>
  <c r="BJ7" i="4"/>
  <c r="BJ50" i="4"/>
  <c r="BK50" i="4"/>
  <c r="BI50" i="4"/>
  <c r="BJ49" i="4"/>
  <c r="BI49" i="4"/>
  <c r="BK49" i="4"/>
  <c r="BJ73" i="4"/>
  <c r="BK73" i="4"/>
  <c r="BI73" i="4"/>
  <c r="BF73" i="4" s="1"/>
  <c r="BJ28" i="4"/>
  <c r="BI28" i="4"/>
  <c r="BF28" i="4" s="1"/>
  <c r="BK28" i="4"/>
  <c r="BK86" i="4"/>
  <c r="BI86" i="4"/>
  <c r="BF86" i="4" s="1"/>
  <c r="BJ86" i="4"/>
  <c r="AI21" i="4"/>
  <c r="AJ21" i="4"/>
  <c r="BK44" i="4"/>
  <c r="BJ44" i="4"/>
  <c r="BI44" i="4"/>
  <c r="BF44" i="4" s="1"/>
  <c r="BK24" i="4"/>
  <c r="BI24" i="4"/>
  <c r="BJ24" i="4"/>
  <c r="BJ3" i="4"/>
  <c r="BI3" i="4"/>
  <c r="BK3" i="4"/>
  <c r="BJ31" i="4"/>
  <c r="BK31" i="4"/>
  <c r="BI31" i="4"/>
  <c r="BF31" i="4" s="1"/>
  <c r="BK27" i="4"/>
  <c r="BI27" i="4"/>
  <c r="BJ27" i="4"/>
  <c r="AO21" i="4"/>
  <c r="AN21" i="4"/>
  <c r="BK6" i="4"/>
  <c r="BI6" i="4"/>
  <c r="BJ6" i="4"/>
  <c r="BI56" i="4"/>
  <c r="BF56" i="4" s="1"/>
  <c r="BJ56" i="4"/>
  <c r="BK56" i="4"/>
  <c r="BI11" i="4"/>
  <c r="BJ11" i="4"/>
  <c r="BK11" i="4"/>
  <c r="BI42" i="4"/>
  <c r="BF42" i="4" s="1"/>
  <c r="BK42" i="4"/>
  <c r="BJ42" i="4"/>
  <c r="BK13" i="4"/>
  <c r="BI13" i="4"/>
  <c r="BJ13" i="4"/>
  <c r="BJ16" i="4"/>
  <c r="BK16" i="4"/>
  <c r="BI16" i="4"/>
  <c r="BK48" i="4"/>
  <c r="BJ48" i="4"/>
  <c r="BI48" i="4"/>
  <c r="BF48" i="4" s="1"/>
  <c r="BJ26" i="4"/>
  <c r="BI26" i="4"/>
  <c r="BK26" i="4"/>
  <c r="B21" i="1"/>
  <c r="X21" i="69" s="1"/>
  <c r="BI38" i="4"/>
  <c r="BF38" i="4" s="1"/>
  <c r="BJ38" i="4"/>
  <c r="BK38" i="4"/>
  <c r="BI43" i="4"/>
  <c r="BK43" i="4"/>
  <c r="BJ43" i="4"/>
  <c r="AC55" i="4"/>
  <c r="AM55" i="4"/>
  <c r="CM55" i="4"/>
  <c r="B49" i="14" s="1"/>
  <c r="CH55" i="4"/>
  <c r="CJ55" i="4"/>
  <c r="F47" i="14" s="1"/>
  <c r="P47" i="14" s="1"/>
  <c r="Z47" i="14" s="1"/>
  <c r="CK55" i="4"/>
  <c r="BN55" i="4"/>
  <c r="CL55" i="4"/>
  <c r="CG55" i="4"/>
  <c r="B48" i="23" s="1"/>
  <c r="CE55" i="4"/>
  <c r="BW55" i="4" s="1"/>
  <c r="CI55" i="4"/>
  <c r="AK55" i="4"/>
  <c r="BP55" i="4"/>
  <c r="BP97" i="4" s="1"/>
  <c r="CD55" i="4"/>
  <c r="B46" i="23" s="1"/>
  <c r="CB55" i="4"/>
  <c r="CC55" i="4"/>
  <c r="CF55" i="4"/>
  <c r="CS97" i="4"/>
  <c r="AE55" i="4"/>
  <c r="BI46" i="4"/>
  <c r="BF46" i="4" s="1"/>
  <c r="BJ46" i="4"/>
  <c r="BK46" i="4"/>
  <c r="BK20" i="4"/>
  <c r="BJ20" i="4"/>
  <c r="BI20" i="4"/>
  <c r="BF20" i="4" s="1"/>
  <c r="BI14" i="4"/>
  <c r="BF14" i="4" s="1"/>
  <c r="BK14" i="4"/>
  <c r="BJ14" i="4"/>
  <c r="BK22" i="4"/>
  <c r="BJ22" i="4"/>
  <c r="BI22" i="4"/>
  <c r="BF22" i="4" s="1"/>
  <c r="BK92" i="4"/>
  <c r="BI92" i="4"/>
  <c r="BF92" i="4" s="1"/>
  <c r="BJ92" i="4"/>
  <c r="BI57" i="4"/>
  <c r="BF57" i="4" s="1"/>
  <c r="BJ57" i="4"/>
  <c r="BK57" i="4"/>
  <c r="BT28" i="4"/>
  <c r="BD28" i="4"/>
  <c r="BD8" i="4"/>
  <c r="BT8" i="4"/>
  <c r="BT56" i="4"/>
  <c r="BD56" i="4"/>
  <c r="AX1229" i="13"/>
  <c r="A1328" i="13"/>
  <c r="E259" i="15"/>
  <c r="E469" i="15"/>
  <c r="E140" i="15"/>
  <c r="E245" i="15"/>
  <c r="E260" i="15"/>
  <c r="E116" i="15"/>
  <c r="E219" i="15"/>
  <c r="E135" i="15"/>
  <c r="E249" i="15"/>
  <c r="E206" i="15"/>
  <c r="E462" i="15"/>
  <c r="E444" i="15"/>
  <c r="E365" i="15"/>
  <c r="E55" i="15"/>
  <c r="E296" i="15"/>
  <c r="CV34" i="4"/>
  <c r="CW34" i="4" s="1"/>
  <c r="F42" i="4"/>
  <c r="AV44" i="13"/>
  <c r="AY42" i="4"/>
  <c r="AW42" i="4"/>
  <c r="Z1338" i="13"/>
  <c r="L42" i="4"/>
  <c r="AP42" i="4"/>
  <c r="AV344" i="13" s="1"/>
  <c r="AV444" i="13" s="1"/>
  <c r="W61" i="22"/>
  <c r="Y61" i="22" s="1"/>
  <c r="V61" i="22"/>
  <c r="CZ42" i="4" a="1"/>
  <c r="CZ42" i="4" s="1"/>
  <c r="CV42" i="4"/>
  <c r="CW42" i="4" s="1"/>
  <c r="CX42" i="4"/>
  <c r="CY42" i="4" s="1"/>
  <c r="AW44" i="4"/>
  <c r="L44" i="69" s="1"/>
  <c r="Z1340" i="13"/>
  <c r="AV46" i="13"/>
  <c r="F44" i="4"/>
  <c r="AY44" i="4"/>
  <c r="AP44" i="4"/>
  <c r="AV346" i="13" s="1"/>
  <c r="AV446" i="13" s="1"/>
  <c r="V66" i="22"/>
  <c r="CZ44" i="4" a="1"/>
  <c r="CZ44" i="4" s="1"/>
  <c r="W66" i="22"/>
  <c r="Y66" i="22" s="1"/>
  <c r="CV44" i="4"/>
  <c r="CW44" i="4" s="1"/>
  <c r="E585" i="15"/>
  <c r="E518" i="15"/>
  <c r="E118" i="15"/>
  <c r="E158" i="15"/>
  <c r="Z1363" i="13"/>
  <c r="AY67" i="4"/>
  <c r="AW67" i="4"/>
  <c r="L67" i="69" s="1"/>
  <c r="AV69" i="13"/>
  <c r="F11" i="4"/>
  <c r="AV13" i="13"/>
  <c r="AY11" i="4"/>
  <c r="AW11" i="4"/>
  <c r="L11" i="69" s="1"/>
  <c r="Z1307" i="13"/>
  <c r="L11" i="4"/>
  <c r="AP11" i="4"/>
  <c r="AV313" i="13" s="1"/>
  <c r="AV413" i="13" s="1"/>
  <c r="CZ11" i="4" a="1"/>
  <c r="CZ11" i="4" s="1"/>
  <c r="V21" i="22"/>
  <c r="W21" i="22"/>
  <c r="Y21" i="22" s="1"/>
  <c r="E311" i="15"/>
  <c r="E319" i="15"/>
  <c r="E101" i="15"/>
  <c r="E151" i="15"/>
  <c r="BD44" i="4"/>
  <c r="A338" i="13"/>
  <c r="AX338" i="13" s="1"/>
  <c r="AX238" i="13"/>
  <c r="F88" i="4"/>
  <c r="AY88" i="4"/>
  <c r="Z1384" i="13"/>
  <c r="AV90" i="13"/>
  <c r="AW88" i="4"/>
  <c r="AP88" i="4"/>
  <c r="AV390" i="13" s="1"/>
  <c r="AV490" i="13" s="1"/>
  <c r="CX88" i="4"/>
  <c r="CY88" i="4" s="1"/>
  <c r="CZ88" i="4" a="1"/>
  <c r="CZ88" i="4" s="1"/>
  <c r="F75" i="4"/>
  <c r="AY75" i="4"/>
  <c r="Z1371" i="13"/>
  <c r="AW75" i="4"/>
  <c r="AV77" i="13"/>
  <c r="AP75" i="4"/>
  <c r="AV377" i="13" s="1"/>
  <c r="AV477" i="13" s="1"/>
  <c r="E404" i="15"/>
  <c r="E385" i="15"/>
  <c r="E603" i="15"/>
  <c r="E619" i="15"/>
  <c r="E490" i="15"/>
  <c r="E394" i="15"/>
  <c r="E454" i="15"/>
  <c r="E126" i="15"/>
  <c r="E272" i="15"/>
  <c r="E514" i="15"/>
  <c r="E297" i="15"/>
  <c r="E429" i="15"/>
  <c r="E304" i="15"/>
  <c r="E238" i="15"/>
  <c r="E176" i="15"/>
  <c r="E606" i="15"/>
  <c r="CV32" i="4"/>
  <c r="CW32" i="4" s="1"/>
  <c r="AV41" i="13"/>
  <c r="F39" i="4"/>
  <c r="AW39" i="4"/>
  <c r="AY39" i="4"/>
  <c r="L39" i="4"/>
  <c r="Z1335" i="13"/>
  <c r="AP39" i="4"/>
  <c r="AV341" i="13" s="1"/>
  <c r="AV441" i="13" s="1"/>
  <c r="CV39" i="4"/>
  <c r="CW39" i="4" s="1"/>
  <c r="CZ39" i="4" a="1"/>
  <c r="CZ39" i="4" s="1"/>
  <c r="V57" i="22"/>
  <c r="W57" i="22"/>
  <c r="Y57" i="22" s="1"/>
  <c r="AW40" i="4"/>
  <c r="L40" i="69" s="1"/>
  <c r="Z1336" i="13"/>
  <c r="AV42" i="13"/>
  <c r="AY40" i="4"/>
  <c r="F40" i="4"/>
  <c r="L40" i="4"/>
  <c r="AP40" i="4"/>
  <c r="AV342" i="13" s="1"/>
  <c r="AV442" i="13" s="1"/>
  <c r="W59" i="22"/>
  <c r="Y59" i="22" s="1"/>
  <c r="V59" i="22"/>
  <c r="CZ40" i="4" a="1"/>
  <c r="CZ40" i="4" s="1"/>
  <c r="CV40" i="4"/>
  <c r="CW40" i="4" s="1"/>
  <c r="A374" i="13"/>
  <c r="AX374" i="13" s="1"/>
  <c r="AX274" i="13"/>
  <c r="D57" i="14"/>
  <c r="C57" i="14"/>
  <c r="E58" i="14" s="1"/>
  <c r="B57" i="14"/>
  <c r="F27" i="4"/>
  <c r="Z1323" i="13"/>
  <c r="AY27" i="4"/>
  <c r="L27" i="4"/>
  <c r="AV29" i="13"/>
  <c r="AW27" i="4"/>
  <c r="L27" i="69" s="1"/>
  <c r="AP27" i="4"/>
  <c r="AV329" i="13" s="1"/>
  <c r="AV429" i="13" s="1"/>
  <c r="CZ27" i="4" a="1"/>
  <c r="CZ27" i="4" s="1"/>
  <c r="CV27" i="4"/>
  <c r="CW27" i="4" s="1"/>
  <c r="CX27" i="4"/>
  <c r="CY27" i="4" s="1"/>
  <c r="AX280" i="13"/>
  <c r="A380" i="13"/>
  <c r="AX380" i="13" s="1"/>
  <c r="AW93" i="4"/>
  <c r="L93" i="69" s="1"/>
  <c r="AY93" i="4"/>
  <c r="AV95" i="13"/>
  <c r="Z1389" i="13"/>
  <c r="E283" i="15"/>
  <c r="E592" i="15"/>
  <c r="E620" i="15"/>
  <c r="E548" i="15"/>
  <c r="E418" i="15"/>
  <c r="E361" i="15"/>
  <c r="E353" i="15"/>
  <c r="E568" i="15"/>
  <c r="E615" i="15"/>
  <c r="CV33" i="4"/>
  <c r="CW33" i="4" s="1"/>
  <c r="E599" i="15"/>
  <c r="E202" i="15"/>
  <c r="E612" i="15"/>
  <c r="F41" i="4"/>
  <c r="AV43" i="13"/>
  <c r="AY41" i="4"/>
  <c r="Z1337" i="13"/>
  <c r="AW41" i="4"/>
  <c r="AP41" i="4"/>
  <c r="AV343" i="13" s="1"/>
  <c r="AV443" i="13" s="1"/>
  <c r="W60" i="22"/>
  <c r="Y60" i="22" s="1"/>
  <c r="V60" i="22"/>
  <c r="CZ41" i="4" a="1"/>
  <c r="CZ41" i="4" s="1"/>
  <c r="CV41" i="4"/>
  <c r="CW41" i="4" s="1"/>
  <c r="AX228" i="13"/>
  <c r="A328" i="13"/>
  <c r="AX328" i="13" s="1"/>
  <c r="AY82" i="4"/>
  <c r="Z1378" i="13"/>
  <c r="AW82" i="4"/>
  <c r="L82" i="69" s="1"/>
  <c r="AV84" i="13"/>
  <c r="A395" i="13"/>
  <c r="AX395" i="13" s="1"/>
  <c r="AX295" i="13"/>
  <c r="AX123" i="13"/>
  <c r="A223" i="13"/>
  <c r="D57" i="23"/>
  <c r="Z1370" i="13"/>
  <c r="AY74" i="4"/>
  <c r="AV76" i="13"/>
  <c r="AW74" i="4"/>
  <c r="CX74" i="4"/>
  <c r="CY74" i="4" s="1"/>
  <c r="AX1248" i="13"/>
  <c r="A1347" i="13"/>
  <c r="E571" i="15"/>
  <c r="AX1273" i="13"/>
  <c r="A1372" i="13"/>
  <c r="BD4" i="4"/>
  <c r="X4" i="4" s="1"/>
  <c r="E152" i="15"/>
  <c r="AX1259" i="13"/>
  <c r="A1358" i="13"/>
  <c r="CV47" i="4"/>
  <c r="CW47" i="4" s="1"/>
  <c r="E218" i="15"/>
  <c r="T16" i="27" a="1"/>
  <c r="T16" i="27" s="1"/>
  <c r="A1345" i="13"/>
  <c r="AX1246" i="13"/>
  <c r="A388" i="13"/>
  <c r="AX388" i="13" s="1"/>
  <c r="AX288" i="13"/>
  <c r="E88" i="4"/>
  <c r="CV88" i="4"/>
  <c r="CW88" i="4" s="1"/>
  <c r="A1380" i="13"/>
  <c r="AX1281" i="13"/>
  <c r="AX239" i="13"/>
  <c r="A339" i="13"/>
  <c r="AX339" i="13" s="1"/>
  <c r="B75" i="4"/>
  <c r="CZ75" i="4" s="1" a="1"/>
  <c r="CZ75" i="4" s="1"/>
  <c r="BA75" i="4" a="1"/>
  <c r="BA75" i="4" s="1"/>
  <c r="BB75" i="4" s="1"/>
  <c r="AV177" i="13" s="1"/>
  <c r="AX242" i="13"/>
  <c r="A342" i="13"/>
  <c r="AX342" i="13" s="1"/>
  <c r="Z28" i="4"/>
  <c r="AV1225" i="13" s="1"/>
  <c r="Z54" i="4"/>
  <c r="AV1251" i="13" s="1"/>
  <c r="Z71" i="4"/>
  <c r="AV1268" i="13" s="1"/>
  <c r="AD12" i="4"/>
  <c r="F12" i="69" s="1"/>
  <c r="AD76" i="4"/>
  <c r="F76" i="69" s="1"/>
  <c r="AA51" i="69"/>
  <c r="BP51" i="69"/>
  <c r="M51" i="69"/>
  <c r="AM51" i="69"/>
  <c r="AN51" i="69"/>
  <c r="N51" i="69" a="1"/>
  <c r="N51" i="69" s="1"/>
  <c r="AC51" i="69"/>
  <c r="V51" i="69"/>
  <c r="Q51" i="69"/>
  <c r="AX51" i="69"/>
  <c r="P51" i="69"/>
  <c r="W51" i="69"/>
  <c r="AW51" i="69"/>
  <c r="T51" i="69"/>
  <c r="BN51" i="69" s="1"/>
  <c r="AB51" i="69" a="1"/>
  <c r="AB51" i="69" s="1"/>
  <c r="A51" i="69"/>
  <c r="BC51" i="69"/>
  <c r="BL51" i="69" a="1"/>
  <c r="BL51" i="69" s="1"/>
  <c r="Y51" i="69"/>
  <c r="Z51" i="69"/>
  <c r="J51" i="69"/>
  <c r="AL41" i="4"/>
  <c r="I41" i="69" s="1"/>
  <c r="AH54" i="4"/>
  <c r="AV1350" i="13" s="1"/>
  <c r="A12" i="69"/>
  <c r="Y12" i="69"/>
  <c r="W12" i="69"/>
  <c r="BL12" i="69" s="1" a="1"/>
  <c r="BL12" i="69" s="1"/>
  <c r="Z12" i="69"/>
  <c r="T12" i="69"/>
  <c r="V12" i="69"/>
  <c r="AM12" i="69"/>
  <c r="AC12" i="69"/>
  <c r="AN12" i="69"/>
  <c r="Q12" i="69"/>
  <c r="AT12" i="69" s="1" a="1"/>
  <c r="AT12" i="69" s="1"/>
  <c r="BP12" i="69"/>
  <c r="N12" i="69" a="1"/>
  <c r="N12" i="69" s="1"/>
  <c r="J12" i="69"/>
  <c r="P12" i="69"/>
  <c r="AB12" i="69" a="1"/>
  <c r="AB12" i="69" s="1"/>
  <c r="AA12" i="69"/>
  <c r="AX12" i="69"/>
  <c r="M12" i="69"/>
  <c r="AW12" i="69"/>
  <c r="BN12" i="69" s="1"/>
  <c r="BC12" i="69"/>
  <c r="AD46" i="4"/>
  <c r="F46" i="69" s="1"/>
  <c r="AH52" i="4"/>
  <c r="AV1348" i="13" s="1"/>
  <c r="Z41" i="4"/>
  <c r="AV1238" i="13" s="1"/>
  <c r="AL75" i="4"/>
  <c r="I75" i="69" s="1"/>
  <c r="AH12" i="4"/>
  <c r="AV1308" i="13" s="1"/>
  <c r="AH35" i="4"/>
  <c r="AV1331" i="13" s="1"/>
  <c r="AD11" i="4"/>
  <c r="F11" i="69" s="1"/>
  <c r="AH5" i="4"/>
  <c r="AV1301" i="13" s="1"/>
  <c r="AL24" i="4"/>
  <c r="I24" i="69" s="1"/>
  <c r="AL54" i="4"/>
  <c r="I54" i="69" s="1"/>
  <c r="AL71" i="4"/>
  <c r="I71" i="69" s="1"/>
  <c r="AC22" i="69"/>
  <c r="V22" i="69"/>
  <c r="W22" i="69"/>
  <c r="BP22" i="69"/>
  <c r="AX22" i="69"/>
  <c r="M22" i="69"/>
  <c r="AM22" i="69"/>
  <c r="AN22" i="69"/>
  <c r="AA22" i="69"/>
  <c r="E22" i="69" s="1"/>
  <c r="A22" i="69"/>
  <c r="T22" i="69"/>
  <c r="AW22" i="69"/>
  <c r="Q22" i="69"/>
  <c r="AE22" i="69" s="1" a="1"/>
  <c r="AE22" i="69" s="1"/>
  <c r="AS22" i="69" s="1" a="1"/>
  <c r="AS22" i="69" s="1"/>
  <c r="P22" i="69"/>
  <c r="N22" i="69" a="1"/>
  <c r="N22" i="69" s="1"/>
  <c r="AB22" i="69" a="1"/>
  <c r="AB22" i="69" s="1"/>
  <c r="BK22" i="69"/>
  <c r="BJ22" i="69" s="1"/>
  <c r="BM22" i="69" s="1"/>
  <c r="BL22" i="69" a="1"/>
  <c r="BL22" i="69" s="1"/>
  <c r="Y22" i="69"/>
  <c r="J22" i="69"/>
  <c r="Z22" i="69"/>
  <c r="Z15" i="4"/>
  <c r="AV1212" i="13" s="1"/>
  <c r="AM70" i="69"/>
  <c r="V70" i="69"/>
  <c r="N70" i="69" a="1"/>
  <c r="N70" i="69" s="1"/>
  <c r="Q70" i="69"/>
  <c r="AN70" i="69"/>
  <c r="BP70" i="69"/>
  <c r="AC70" i="69"/>
  <c r="A70" i="69"/>
  <c r="P70" i="69"/>
  <c r="AE70" i="69" s="1" a="1"/>
  <c r="AE70" i="69" s="1"/>
  <c r="AW70" i="69"/>
  <c r="AB70" i="69" a="1"/>
  <c r="AB70" i="69" s="1"/>
  <c r="W70" i="69"/>
  <c r="AX70" i="69"/>
  <c r="AA70" i="69"/>
  <c r="E70" i="69" s="1"/>
  <c r="Y70" i="69"/>
  <c r="J70" i="69"/>
  <c r="Z70" i="69"/>
  <c r="AH24" i="4"/>
  <c r="AV1320" i="13" s="1"/>
  <c r="Z37" i="4"/>
  <c r="AV1234" i="13" s="1"/>
  <c r="Q92" i="69"/>
  <c r="A92" i="69"/>
  <c r="AX92" i="69"/>
  <c r="AC92" i="69"/>
  <c r="BP92" i="69"/>
  <c r="AB92" i="69" a="1"/>
  <c r="AB92" i="69" s="1"/>
  <c r="AN92" i="69"/>
  <c r="AA92" i="69"/>
  <c r="V92" i="69"/>
  <c r="AM92" i="69"/>
  <c r="P92" i="69"/>
  <c r="AT92" i="69" s="1" a="1"/>
  <c r="AT92" i="69" s="1"/>
  <c r="AW92" i="69"/>
  <c r="W92" i="69"/>
  <c r="N92" i="69" a="1"/>
  <c r="N92" i="69" s="1"/>
  <c r="T92" i="69"/>
  <c r="M92" i="69"/>
  <c r="Y92" i="69"/>
  <c r="Z92" i="69"/>
  <c r="J92" i="69"/>
  <c r="M15" i="69"/>
  <c r="BP15" i="69"/>
  <c r="AC15" i="69"/>
  <c r="AW15" i="69"/>
  <c r="N15" i="69" a="1"/>
  <c r="N15" i="69" s="1"/>
  <c r="AB15" i="69" a="1"/>
  <c r="AB15" i="69" s="1"/>
  <c r="AX15" i="69"/>
  <c r="P15" i="69"/>
  <c r="AM15" i="69"/>
  <c r="T15" i="69"/>
  <c r="A15" i="69"/>
  <c r="V15" i="69"/>
  <c r="Q15" i="69"/>
  <c r="AN15" i="69"/>
  <c r="W15" i="69"/>
  <c r="AA15" i="69"/>
  <c r="E15" i="69" s="1"/>
  <c r="BL15" i="69" a="1"/>
  <c r="BL15" i="69" s="1"/>
  <c r="Y15" i="69"/>
  <c r="J15" i="69"/>
  <c r="Z15" i="69"/>
  <c r="V69" i="69"/>
  <c r="Q69" i="69"/>
  <c r="AA69" i="69"/>
  <c r="E69" i="69" s="1"/>
  <c r="N69" i="69" a="1"/>
  <c r="N69" i="69" s="1"/>
  <c r="AW69" i="69"/>
  <c r="AN69" i="69"/>
  <c r="AC69" i="69"/>
  <c r="AB69" i="69" a="1"/>
  <c r="AB69" i="69" s="1"/>
  <c r="P69" i="69"/>
  <c r="BP69" i="69"/>
  <c r="A69" i="69"/>
  <c r="W69" i="69"/>
  <c r="AX69" i="69"/>
  <c r="AE69" i="69" s="1" a="1"/>
  <c r="AE69" i="69" s="1"/>
  <c r="AM69" i="69"/>
  <c r="T69" i="69"/>
  <c r="BN69" i="69" s="1"/>
  <c r="AT69" i="69" a="1"/>
  <c r="AT69" i="69" s="1"/>
  <c r="BK69" i="69"/>
  <c r="M69" i="69"/>
  <c r="Y69" i="69"/>
  <c r="Z69" i="69"/>
  <c r="J69" i="69"/>
  <c r="BP43" i="69"/>
  <c r="AN43" i="69"/>
  <c r="AW43" i="69"/>
  <c r="M43" i="69"/>
  <c r="AC43" i="69"/>
  <c r="AB43" i="69" a="1"/>
  <c r="AB43" i="69" s="1"/>
  <c r="W43" i="69"/>
  <c r="BL43" i="69" s="1" a="1"/>
  <c r="BL43" i="69" s="1"/>
  <c r="N43" i="69" a="1"/>
  <c r="N43" i="69" s="1"/>
  <c r="T43" i="69"/>
  <c r="P43" i="69"/>
  <c r="AM43" i="69"/>
  <c r="AA43" i="69"/>
  <c r="Q43" i="69"/>
  <c r="V43" i="69"/>
  <c r="AX43" i="69"/>
  <c r="A43" i="69"/>
  <c r="AT43" i="69" s="1" a="1"/>
  <c r="AT43" i="69" s="1"/>
  <c r="Y43" i="69"/>
  <c r="J43" i="69"/>
  <c r="Z43" i="69"/>
  <c r="Z1303" i="13"/>
  <c r="AW7" i="4"/>
  <c r="AV9" i="13"/>
  <c r="AY7" i="4"/>
  <c r="F7" i="4"/>
  <c r="L7" i="4"/>
  <c r="AP7" i="4"/>
  <c r="AV309" i="13" s="1"/>
  <c r="AV409" i="13" s="1"/>
  <c r="CZ7" i="4" a="1"/>
  <c r="CZ7" i="4" s="1"/>
  <c r="V28" i="22"/>
  <c r="W28" i="22"/>
  <c r="Y28" i="22" s="1"/>
  <c r="CX7" i="4"/>
  <c r="CY7" i="4" s="1"/>
  <c r="AX1232" i="13"/>
  <c r="A1331" i="13"/>
  <c r="AY78" i="4"/>
  <c r="AW78" i="4"/>
  <c r="L78" i="69" s="1"/>
  <c r="AV80" i="13"/>
  <c r="Z1374" i="13"/>
  <c r="CZ78" i="4" a="1"/>
  <c r="CZ78" i="4" s="1"/>
  <c r="CV78" i="4"/>
  <c r="CW78" i="4" s="1"/>
  <c r="CX78" i="4"/>
  <c r="CY78" i="4" s="1"/>
  <c r="AW63" i="4"/>
  <c r="L63" i="69" s="1"/>
  <c r="AV65" i="13"/>
  <c r="AY63" i="4"/>
  <c r="Z1359" i="13"/>
  <c r="AW68" i="4"/>
  <c r="F68" i="4"/>
  <c r="Z1364" i="13"/>
  <c r="AY68" i="4"/>
  <c r="AV70" i="13"/>
  <c r="L68" i="4"/>
  <c r="CA68" i="4" s="1"/>
  <c r="AP68" i="4"/>
  <c r="AV370" i="13" s="1"/>
  <c r="AV470" i="13" s="1"/>
  <c r="CV68" i="4"/>
  <c r="CW68" i="4" s="1"/>
  <c r="CZ68" i="4" a="1"/>
  <c r="CZ68" i="4" s="1"/>
  <c r="BD38" i="4"/>
  <c r="A1386" i="13"/>
  <c r="AX1287" i="13"/>
  <c r="Z1314" i="13"/>
  <c r="AW18" i="4"/>
  <c r="F18" i="4"/>
  <c r="AY18" i="4"/>
  <c r="L18" i="4"/>
  <c r="AV20" i="13"/>
  <c r="AP18" i="4"/>
  <c r="AV320" i="13" s="1"/>
  <c r="AV420" i="13" s="1"/>
  <c r="V27" i="22"/>
  <c r="CZ18" i="4" a="1"/>
  <c r="CZ18" i="4" s="1"/>
  <c r="CV18" i="4"/>
  <c r="CW18" i="4" s="1"/>
  <c r="W27" i="22"/>
  <c r="Y27" i="22" s="1"/>
  <c r="A322" i="13"/>
  <c r="AX322" i="13" s="1"/>
  <c r="AX222" i="13"/>
  <c r="A316" i="13"/>
  <c r="AX316" i="13" s="1"/>
  <c r="AX216" i="13"/>
  <c r="Z1343" i="13"/>
  <c r="AW47" i="4"/>
  <c r="AY47" i="4"/>
  <c r="F47" i="4"/>
  <c r="AV49" i="13"/>
  <c r="L47" i="4"/>
  <c r="AP47" i="4"/>
  <c r="AV349" i="13" s="1"/>
  <c r="AV449" i="13" s="1"/>
  <c r="CX47" i="4"/>
  <c r="CY47" i="4" s="1"/>
  <c r="CZ47" i="4" a="1"/>
  <c r="CZ47" i="4" s="1"/>
  <c r="W70" i="22"/>
  <c r="Y70" i="22" s="1"/>
  <c r="V70" i="22"/>
  <c r="B58" i="14"/>
  <c r="AX1280" i="13"/>
  <c r="A1379" i="13"/>
  <c r="AW15" i="4"/>
  <c r="L15" i="69" s="1"/>
  <c r="F15" i="4"/>
  <c r="Z1311" i="13"/>
  <c r="AY15" i="4"/>
  <c r="AV17" i="13"/>
  <c r="AP15" i="4"/>
  <c r="AV317" i="13" s="1"/>
  <c r="AV417" i="13" s="1"/>
  <c r="CV15" i="4"/>
  <c r="CW15" i="4" s="1"/>
  <c r="CZ15" i="4" a="1"/>
  <c r="CZ15" i="4" s="1"/>
  <c r="CX15" i="4"/>
  <c r="CY15" i="4" s="1"/>
  <c r="V13" i="22"/>
  <c r="W13" i="22"/>
  <c r="Y13" i="22" s="1"/>
  <c r="A320" i="13"/>
  <c r="AX320" i="13" s="1"/>
  <c r="AX220" i="13"/>
  <c r="E32" i="4"/>
  <c r="BT32" i="4" s="1"/>
  <c r="B57" i="23"/>
  <c r="I46" i="27"/>
  <c r="I19" i="27" s="1"/>
  <c r="J16" i="27" s="1"/>
  <c r="E36" i="4"/>
  <c r="BT36" i="4" s="1"/>
  <c r="AG4" i="69" a="1"/>
  <c r="AG4" i="69" s="1"/>
  <c r="AP4" i="69" a="1"/>
  <c r="AP4" i="69" s="1"/>
  <c r="AQ4" i="69" a="1"/>
  <c r="AQ4" i="69" s="1"/>
  <c r="AV4" i="69" a="1"/>
  <c r="AV4" i="69" s="1"/>
  <c r="AJ4" i="69" a="1"/>
  <c r="AJ4" i="69" s="1"/>
  <c r="AF4" i="69" a="1"/>
  <c r="AF4" i="69" s="1"/>
  <c r="AL4" i="69" a="1"/>
  <c r="AL4" i="69" s="1"/>
  <c r="AH4" i="69" a="1"/>
  <c r="AH4" i="69" s="1"/>
  <c r="AU4" i="69" a="1"/>
  <c r="AU4" i="69" s="1"/>
  <c r="AR4" i="69" a="1"/>
  <c r="AR4" i="69" s="1"/>
  <c r="A1306" i="13"/>
  <c r="AX1207" i="13"/>
  <c r="BD41" i="4"/>
  <c r="E19" i="4"/>
  <c r="BT19" i="4" s="1"/>
  <c r="E420" i="15"/>
  <c r="CV19" i="4"/>
  <c r="CW19" i="4" s="1"/>
  <c r="A1336" i="13"/>
  <c r="AX1237" i="13"/>
  <c r="BD15" i="4"/>
  <c r="AX293" i="13"/>
  <c r="A393" i="13"/>
  <c r="AX393" i="13" s="1"/>
  <c r="A378" i="13"/>
  <c r="AX378" i="13" s="1"/>
  <c r="AX278" i="13"/>
  <c r="A1371" i="13"/>
  <c r="AX1272" i="13"/>
  <c r="AX1210" i="13"/>
  <c r="A1309" i="13"/>
  <c r="B63" i="4"/>
  <c r="BA63" i="4" a="1"/>
  <c r="BA63" i="4" s="1"/>
  <c r="BB63" i="4" s="1"/>
  <c r="AV165" i="13" s="1"/>
  <c r="BA62" i="4" a="1"/>
  <c r="BA62" i="4" s="1"/>
  <c r="BB62" i="4" s="1"/>
  <c r="AV164" i="13" s="1"/>
  <c r="B62" i="4"/>
  <c r="AX264" i="13"/>
  <c r="A364" i="13"/>
  <c r="AX364" i="13" s="1"/>
  <c r="AO4" i="69" a="1"/>
  <c r="AO4" i="69" s="1"/>
  <c r="A1341" i="13"/>
  <c r="AX1242" i="13"/>
  <c r="BA78" i="4" a="1"/>
  <c r="BA78" i="4" s="1"/>
  <c r="BB78" i="4" s="1"/>
  <c r="AV180" i="13" s="1"/>
  <c r="B78" i="4"/>
  <c r="BD71" i="4"/>
  <c r="AX215" i="13"/>
  <c r="A315" i="13"/>
  <c r="AX315" i="13" s="1"/>
  <c r="AD52" i="4"/>
  <c r="F52" i="69" s="1"/>
  <c r="AL20" i="4"/>
  <c r="I20" i="69" s="1"/>
  <c r="AL42" i="4"/>
  <c r="I42" i="69" s="1"/>
  <c r="AN75" i="69"/>
  <c r="BP75" i="69"/>
  <c r="P75" i="69"/>
  <c r="N75" i="69" a="1"/>
  <c r="N75" i="69" s="1"/>
  <c r="Z75" i="69"/>
  <c r="AB75" i="69" a="1"/>
  <c r="AB75" i="69" s="1"/>
  <c r="T75" i="69"/>
  <c r="A75" i="69"/>
  <c r="AC75" i="69"/>
  <c r="J75" i="69"/>
  <c r="AM75" i="69"/>
  <c r="M75" i="69"/>
  <c r="Y75" i="69"/>
  <c r="Q75" i="69"/>
  <c r="AA75" i="69"/>
  <c r="AW75" i="69"/>
  <c r="V75" i="69"/>
  <c r="AX75" i="69"/>
  <c r="W75" i="69"/>
  <c r="BL75" i="69" s="1" a="1"/>
  <c r="BL75" i="69" s="1"/>
  <c r="U75" i="69" a="1"/>
  <c r="U75" i="69" s="1"/>
  <c r="AH30" i="4"/>
  <c r="AV1326" i="13" s="1"/>
  <c r="AD19" i="4"/>
  <c r="F19" i="69" s="1"/>
  <c r="AW44" i="69"/>
  <c r="AB44" i="69" a="1"/>
  <c r="AB44" i="69" s="1"/>
  <c r="AX44" i="69"/>
  <c r="AM44" i="69"/>
  <c r="AN44" i="69"/>
  <c r="AA44" i="69"/>
  <c r="AC44" i="69"/>
  <c r="N44" i="69" a="1"/>
  <c r="N44" i="69" s="1"/>
  <c r="P44" i="69"/>
  <c r="AT44" i="69" s="1" a="1"/>
  <c r="AT44" i="69" s="1"/>
  <c r="A44" i="69"/>
  <c r="Q44" i="69"/>
  <c r="W44" i="69"/>
  <c r="BL44" i="69" s="1" a="1"/>
  <c r="BL44" i="69" s="1"/>
  <c r="M44" i="69"/>
  <c r="BP44" i="69"/>
  <c r="T44" i="69"/>
  <c r="V44" i="69"/>
  <c r="U44" i="69" a="1"/>
  <c r="U44" i="69" s="1"/>
  <c r="Y44" i="69"/>
  <c r="Z44" i="69"/>
  <c r="J44" i="69"/>
  <c r="AD56" i="4"/>
  <c r="F56" i="69" s="1"/>
  <c r="AH44" i="4"/>
  <c r="AV1340" i="13" s="1"/>
  <c r="Z86" i="4"/>
  <c r="AV1283" i="13" s="1"/>
  <c r="AL10" i="4"/>
  <c r="I10" i="69" s="1"/>
  <c r="AH34" i="4"/>
  <c r="N29" i="69" a="1"/>
  <c r="N29" i="69" s="1"/>
  <c r="AN29" i="69"/>
  <c r="V29" i="69"/>
  <c r="AA29" i="69"/>
  <c r="BP29" i="69"/>
  <c r="AW29" i="69"/>
  <c r="BN29" i="69" s="1"/>
  <c r="AB29" i="69" a="1"/>
  <c r="AB29" i="69" s="1"/>
  <c r="AM29" i="69"/>
  <c r="W29" i="69"/>
  <c r="BK29" i="69" s="1"/>
  <c r="P29" i="69"/>
  <c r="AT29" i="69" s="1" a="1"/>
  <c r="AT29" i="69" s="1"/>
  <c r="Q29" i="69"/>
  <c r="AX29" i="69"/>
  <c r="A29" i="69"/>
  <c r="T29" i="69"/>
  <c r="AC29" i="69"/>
  <c r="M29" i="69"/>
  <c r="BC29" i="69"/>
  <c r="BL29" i="69" a="1"/>
  <c r="BL29" i="69" s="1"/>
  <c r="Y29" i="69"/>
  <c r="J29" i="69"/>
  <c r="Z29" i="69"/>
  <c r="AL7" i="4"/>
  <c r="I7" i="69" s="1"/>
  <c r="AH3" i="4"/>
  <c r="AD88" i="4"/>
  <c r="F88" i="69" s="1"/>
  <c r="Z47" i="4"/>
  <c r="AV1244" i="13" s="1"/>
  <c r="Z23" i="4"/>
  <c r="AV1220" i="13" s="1"/>
  <c r="Z56" i="4"/>
  <c r="AV1253" i="13" s="1"/>
  <c r="AW7" i="69"/>
  <c r="BN7" i="69" s="1"/>
  <c r="AX7" i="69"/>
  <c r="A7" i="69"/>
  <c r="AM7" i="69"/>
  <c r="T7" i="69"/>
  <c r="BP7" i="69"/>
  <c r="Q7" i="69"/>
  <c r="AA7" i="69"/>
  <c r="AN7" i="69"/>
  <c r="W7" i="69"/>
  <c r="AE7" i="69" s="1" a="1"/>
  <c r="AE7" i="69" s="1"/>
  <c r="P7" i="69"/>
  <c r="N7" i="69" a="1"/>
  <c r="N7" i="69" s="1"/>
  <c r="AB7" i="69" a="1"/>
  <c r="AB7" i="69" s="1"/>
  <c r="M7" i="69"/>
  <c r="AC7" i="69"/>
  <c r="V7" i="69"/>
  <c r="U7" i="69" a="1"/>
  <c r="U7" i="69" s="1"/>
  <c r="Y7" i="69"/>
  <c r="J7" i="69"/>
  <c r="Z7" i="69"/>
  <c r="AL32" i="4"/>
  <c r="I32" i="69" s="1"/>
  <c r="AL37" i="4"/>
  <c r="I37" i="69" s="1"/>
  <c r="AD65" i="4"/>
  <c r="F65" i="69" s="1"/>
  <c r="Z9" i="4"/>
  <c r="AV1206" i="13" s="1"/>
  <c r="AC91" i="69"/>
  <c r="AM91" i="69"/>
  <c r="AW91" i="69"/>
  <c r="AX91" i="69"/>
  <c r="Z91" i="69"/>
  <c r="Y91" i="69"/>
  <c r="N91" i="69" a="1"/>
  <c r="N91" i="69" s="1"/>
  <c r="J91" i="69"/>
  <c r="BP91" i="69"/>
  <c r="AN91" i="69"/>
  <c r="Q91" i="69"/>
  <c r="W91" i="69"/>
  <c r="BC91" i="69" s="1"/>
  <c r="AA91" i="69"/>
  <c r="V91" i="69"/>
  <c r="A91" i="69"/>
  <c r="P91" i="69"/>
  <c r="AT91" i="69" s="1" a="1"/>
  <c r="AT91" i="69" s="1"/>
  <c r="AB91" i="69" a="1"/>
  <c r="AB91" i="69" s="1"/>
  <c r="A35" i="69"/>
  <c r="AX35" i="69"/>
  <c r="AN35" i="69"/>
  <c r="AA35" i="69"/>
  <c r="AW35" i="69"/>
  <c r="Q35" i="69"/>
  <c r="P35" i="69"/>
  <c r="N35" i="69" a="1"/>
  <c r="N35" i="69" s="1"/>
  <c r="AC35" i="69"/>
  <c r="BP35" i="69"/>
  <c r="AB35" i="69" a="1"/>
  <c r="AB35" i="69" s="1"/>
  <c r="T35" i="69"/>
  <c r="AM35" i="69"/>
  <c r="V35" i="69"/>
  <c r="M35" i="69"/>
  <c r="W35" i="69"/>
  <c r="G35" i="69"/>
  <c r="AE35" i="69" a="1"/>
  <c r="AE35" i="69" s="1"/>
  <c r="AS35" i="69" s="1" a="1"/>
  <c r="AS35" i="69" s="1"/>
  <c r="BK35" i="69"/>
  <c r="Y35" i="69"/>
  <c r="J35" i="69"/>
  <c r="Z35" i="69"/>
  <c r="AN90" i="69"/>
  <c r="Y90" i="69"/>
  <c r="A90" i="69"/>
  <c r="J90" i="69"/>
  <c r="T90" i="69"/>
  <c r="N90" i="69" a="1"/>
  <c r="N90" i="69" s="1"/>
  <c r="M90" i="69"/>
  <c r="P90" i="69"/>
  <c r="AE90" i="69" s="1" a="1"/>
  <c r="AE90" i="69" s="1"/>
  <c r="AS90" i="69" s="1" a="1"/>
  <c r="AS90" i="69" s="1"/>
  <c r="Q90" i="69"/>
  <c r="BQ90" i="69" s="1"/>
  <c r="AW90" i="69"/>
  <c r="AC90" i="69"/>
  <c r="AX90" i="69"/>
  <c r="AT90" i="69" s="1" a="1"/>
  <c r="AT90" i="69" s="1"/>
  <c r="AM90" i="69"/>
  <c r="Z90" i="69"/>
  <c r="V90" i="69"/>
  <c r="BP90" i="69"/>
  <c r="AA90" i="69"/>
  <c r="E90" i="69" s="1"/>
  <c r="AB90" i="69" a="1"/>
  <c r="AB90" i="69" s="1"/>
  <c r="W90" i="69"/>
  <c r="BK90" i="69" s="1"/>
  <c r="N54" i="69" a="1"/>
  <c r="N54" i="69" s="1"/>
  <c r="S54" i="69"/>
  <c r="BP54" i="69"/>
  <c r="W54" i="69"/>
  <c r="BL54" i="69" s="1" a="1"/>
  <c r="BL54" i="69" s="1"/>
  <c r="AB54" i="69" a="1"/>
  <c r="AB54" i="69" s="1"/>
  <c r="V54" i="69"/>
  <c r="B54" i="69" s="1"/>
  <c r="P54" i="69"/>
  <c r="AN54" i="69"/>
  <c r="A54" i="69"/>
  <c r="Q54" i="69"/>
  <c r="M54" i="69"/>
  <c r="AM54" i="69"/>
  <c r="AA54" i="69"/>
  <c r="T54" i="69"/>
  <c r="AC54" i="69"/>
  <c r="AW54" i="69"/>
  <c r="G54" i="69"/>
  <c r="AX54" i="69"/>
  <c r="Y54" i="69"/>
  <c r="J54" i="69"/>
  <c r="Z54" i="69"/>
  <c r="AX285" i="13"/>
  <c r="A385" i="13"/>
  <c r="AX385" i="13" s="1"/>
  <c r="AV1300" i="13"/>
  <c r="G4" i="69"/>
  <c r="AW49" i="4"/>
  <c r="L49" i="69" s="1"/>
  <c r="AV51" i="13"/>
  <c r="AY49" i="4"/>
  <c r="F49" i="4"/>
  <c r="Z1345" i="13"/>
  <c r="L49" i="4"/>
  <c r="AP49" i="4"/>
  <c r="AV351" i="13" s="1"/>
  <c r="AV451" i="13" s="1"/>
  <c r="CV49" i="4"/>
  <c r="CW49" i="4" s="1"/>
  <c r="V72" i="22"/>
  <c r="W72" i="22"/>
  <c r="Y72" i="22" s="1"/>
  <c r="CZ49" i="4" a="1"/>
  <c r="CZ49" i="4" s="1"/>
  <c r="C60" i="1"/>
  <c r="A326" i="13"/>
  <c r="AX326" i="13" s="1"/>
  <c r="AX226" i="13"/>
  <c r="AX1277" i="13"/>
  <c r="A1376" i="13"/>
  <c r="E528" i="15"/>
  <c r="CV53" i="4"/>
  <c r="CW53" i="4" s="1"/>
  <c r="AW80" i="4"/>
  <c r="L80" i="69" s="1"/>
  <c r="Z1376" i="13"/>
  <c r="AY80" i="4"/>
  <c r="AV82" i="13"/>
  <c r="BL3" i="4"/>
  <c r="AV505" i="13"/>
  <c r="AV8" i="13"/>
  <c r="F6" i="4"/>
  <c r="Z1302" i="13"/>
  <c r="L6" i="4"/>
  <c r="CA6" i="4" s="1"/>
  <c r="AY6" i="4"/>
  <c r="AW6" i="4"/>
  <c r="AP6" i="4"/>
  <c r="AV308" i="13" s="1"/>
  <c r="AV408" i="13" s="1"/>
  <c r="W16" i="22"/>
  <c r="Y16" i="22" s="1"/>
  <c r="CZ6" i="4" a="1"/>
  <c r="CZ6" i="4" s="1"/>
  <c r="CV6" i="4"/>
  <c r="CW6" i="4" s="1"/>
  <c r="V16" i="22"/>
  <c r="E18" i="4"/>
  <c r="E421" i="15"/>
  <c r="E570" i="15"/>
  <c r="AX1269" i="13"/>
  <c r="A1368" i="13"/>
  <c r="B35" i="23"/>
  <c r="AX253" i="13"/>
  <c r="A353" i="13"/>
  <c r="AX353" i="13" s="1"/>
  <c r="AX266" i="13"/>
  <c r="A366" i="13"/>
  <c r="AX366" i="13" s="1"/>
  <c r="E537" i="15"/>
  <c r="E513" i="15"/>
  <c r="E378" i="15"/>
  <c r="E44" i="15"/>
  <c r="E167" i="15"/>
  <c r="E453" i="15"/>
  <c r="E181" i="15"/>
  <c r="E543" i="15"/>
  <c r="E597" i="15"/>
  <c r="E228" i="15"/>
  <c r="E478" i="15"/>
  <c r="E493" i="15"/>
  <c r="E241" i="15"/>
  <c r="E481" i="15"/>
  <c r="E578" i="15"/>
  <c r="E616" i="15"/>
  <c r="E247" i="15"/>
  <c r="E520" i="15"/>
  <c r="E589" i="15"/>
  <c r="E270" i="15"/>
  <c r="E517" i="15"/>
  <c r="E452" i="15"/>
  <c r="E510" i="15"/>
  <c r="E422" i="15"/>
  <c r="E499" i="15"/>
  <c r="E121" i="15"/>
  <c r="E210" i="15"/>
  <c r="E414" i="15"/>
  <c r="E505" i="15"/>
  <c r="E439" i="15"/>
  <c r="E148" i="15"/>
  <c r="E415" i="15"/>
  <c r="E157" i="15"/>
  <c r="E497" i="15"/>
  <c r="E127" i="15"/>
  <c r="E396" i="15"/>
  <c r="E607" i="15"/>
  <c r="E298" i="15"/>
  <c r="E450" i="15"/>
  <c r="E243" i="15"/>
  <c r="E535" i="15"/>
  <c r="E338" i="15"/>
  <c r="E455" i="15"/>
  <c r="A375" i="13"/>
  <c r="AX375" i="13" s="1"/>
  <c r="AX275" i="13"/>
  <c r="N572" i="15" a="1"/>
  <c r="N572" i="15" s="1"/>
  <c r="E37" i="4"/>
  <c r="BT37" i="4" s="1"/>
  <c r="E203" i="15"/>
  <c r="E560" i="15"/>
  <c r="E383" i="15"/>
  <c r="E407" i="15"/>
  <c r="E550" i="15"/>
  <c r="A1338" i="13"/>
  <c r="AX1239" i="13"/>
  <c r="A386" i="13"/>
  <c r="AX386" i="13" s="1"/>
  <c r="AX286" i="13"/>
  <c r="AX211" i="13"/>
  <c r="A311" i="13"/>
  <c r="AX311" i="13" s="1"/>
  <c r="B94" i="4"/>
  <c r="BA94" i="4" a="1"/>
  <c r="BA94" i="4" s="1"/>
  <c r="BB94" i="4" s="1"/>
  <c r="BA64" i="4" a="1"/>
  <c r="BA64" i="4" s="1"/>
  <c r="BB64" i="4" s="1"/>
  <c r="AV166" i="13" s="1"/>
  <c r="B64" i="4"/>
  <c r="AD64" i="4" s="1"/>
  <c r="F64" i="69" s="1"/>
  <c r="AD49" i="4"/>
  <c r="F49" i="69" s="1"/>
  <c r="AD79" i="4"/>
  <c r="F79" i="69" s="1"/>
  <c r="Z20" i="4"/>
  <c r="AV1217" i="13" s="1"/>
  <c r="BP82" i="69"/>
  <c r="AC82" i="69"/>
  <c r="AN82" i="69"/>
  <c r="AB82" i="69" a="1"/>
  <c r="AB82" i="69" s="1"/>
  <c r="AA82" i="69"/>
  <c r="V82" i="69"/>
  <c r="AX82" i="69"/>
  <c r="AM82" i="69"/>
  <c r="A82" i="69"/>
  <c r="Q82" i="69"/>
  <c r="P82" i="69"/>
  <c r="AW82" i="69"/>
  <c r="N82" i="69" a="1"/>
  <c r="N82" i="69" s="1"/>
  <c r="W82" i="69"/>
  <c r="BC82" i="69"/>
  <c r="Y82" i="69"/>
  <c r="J82" i="69"/>
  <c r="Z82" i="69"/>
  <c r="AD24" i="4"/>
  <c r="F24" i="69" s="1"/>
  <c r="AH76" i="4"/>
  <c r="AV1372" i="13" s="1"/>
  <c r="AH37" i="4"/>
  <c r="AV1333" i="13" s="1"/>
  <c r="AH26" i="4"/>
  <c r="AV1322" i="13" s="1"/>
  <c r="AD41" i="4"/>
  <c r="F41" i="69" s="1"/>
  <c r="AD69" i="4"/>
  <c r="F69" i="69" s="1"/>
  <c r="AX39" i="69"/>
  <c r="AM39" i="69"/>
  <c r="T39" i="69"/>
  <c r="BN39" i="69" s="1"/>
  <c r="AW39" i="69"/>
  <c r="M39" i="69"/>
  <c r="Z39" i="69"/>
  <c r="P39" i="69"/>
  <c r="AB39" i="69" a="1"/>
  <c r="AB39" i="69" s="1"/>
  <c r="Y39" i="69"/>
  <c r="AC39" i="69"/>
  <c r="Q39" i="69"/>
  <c r="AA39" i="69"/>
  <c r="V39" i="69"/>
  <c r="AN39" i="69"/>
  <c r="J39" i="69"/>
  <c r="W39" i="69"/>
  <c r="BL39" i="69" s="1" a="1"/>
  <c r="BL39" i="69" s="1"/>
  <c r="N39" i="69" a="1"/>
  <c r="N39" i="69" s="1"/>
  <c r="A39" i="69"/>
  <c r="AT39" i="69" s="1" a="1"/>
  <c r="AT39" i="69" s="1"/>
  <c r="BP39" i="69"/>
  <c r="U39" i="69" a="1"/>
  <c r="U39" i="69" s="1"/>
  <c r="L39" i="69"/>
  <c r="AE39" i="69" a="1"/>
  <c r="AE39" i="69" s="1"/>
  <c r="BK39" i="69"/>
  <c r="AL63" i="4"/>
  <c r="I63" i="69" s="1"/>
  <c r="AD68" i="4"/>
  <c r="F68" i="69" s="1"/>
  <c r="AH14" i="4"/>
  <c r="AV1310" i="13" s="1"/>
  <c r="AL11" i="4"/>
  <c r="I11" i="69" s="1"/>
  <c r="AL69" i="4"/>
  <c r="I69" i="69" s="1"/>
  <c r="Z31" i="4"/>
  <c r="AV1228" i="13" s="1"/>
  <c r="AL43" i="4"/>
  <c r="I43" i="69" s="1"/>
  <c r="AH68" i="4"/>
  <c r="AV1364" i="13" s="1"/>
  <c r="AN24" i="69"/>
  <c r="N24" i="69" a="1"/>
  <c r="N24" i="69" s="1"/>
  <c r="AW24" i="69"/>
  <c r="AA24" i="69"/>
  <c r="G24" i="69"/>
  <c r="M24" i="69"/>
  <c r="T24" i="69"/>
  <c r="AM24" i="69"/>
  <c r="W24" i="69"/>
  <c r="BK24" i="69" s="1"/>
  <c r="Q24" i="69"/>
  <c r="AC24" i="69"/>
  <c r="A24" i="69"/>
  <c r="AB24" i="69" a="1"/>
  <c r="AB24" i="69" s="1"/>
  <c r="AX24" i="69"/>
  <c r="BP24" i="69"/>
  <c r="V24" i="69"/>
  <c r="P24" i="69"/>
  <c r="BN24" i="69"/>
  <c r="Y24" i="69"/>
  <c r="J24" i="69"/>
  <c r="Z24" i="69"/>
  <c r="AD48" i="4"/>
  <c r="F48" i="69" s="1"/>
  <c r="AD43" i="4"/>
  <c r="F43" i="69" s="1"/>
  <c r="AW72" i="69"/>
  <c r="AM72" i="69"/>
  <c r="AB72" i="69" a="1"/>
  <c r="AB72" i="69" s="1"/>
  <c r="V72" i="69"/>
  <c r="Q72" i="69"/>
  <c r="BP72" i="69"/>
  <c r="AX72" i="69"/>
  <c r="AN72" i="69"/>
  <c r="A72" i="69"/>
  <c r="P72" i="69"/>
  <c r="AE72" i="69" s="1" a="1"/>
  <c r="AE72" i="69" s="1"/>
  <c r="AS72" i="69" s="1" a="1"/>
  <c r="AS72" i="69" s="1"/>
  <c r="W72" i="69"/>
  <c r="N72" i="69" a="1"/>
  <c r="N72" i="69" s="1"/>
  <c r="AA72" i="69"/>
  <c r="AC72" i="69"/>
  <c r="Y72" i="69"/>
  <c r="Z72" i="69"/>
  <c r="J72" i="69"/>
  <c r="Z13" i="4"/>
  <c r="AV1210" i="13" s="1"/>
  <c r="V89" i="69"/>
  <c r="AA89" i="69"/>
  <c r="N89" i="69" a="1"/>
  <c r="N89" i="69" s="1"/>
  <c r="Q89" i="69"/>
  <c r="W89" i="69"/>
  <c r="AW89" i="69"/>
  <c r="BP89" i="69"/>
  <c r="AB89" i="69" a="1"/>
  <c r="AB89" i="69" s="1"/>
  <c r="AX89" i="69"/>
  <c r="Y89" i="69"/>
  <c r="AM89" i="69"/>
  <c r="P89" i="69"/>
  <c r="AE89" i="69" s="1" a="1"/>
  <c r="AE89" i="69" s="1"/>
  <c r="AS89" i="69" s="1" a="1"/>
  <c r="AS89" i="69" s="1"/>
  <c r="Z89" i="69"/>
  <c r="AN89" i="69"/>
  <c r="A89" i="69"/>
  <c r="J89" i="69"/>
  <c r="AC89" i="69"/>
  <c r="BL89" i="69" a="1"/>
  <c r="BL89" i="69" s="1"/>
  <c r="AX71" i="69"/>
  <c r="A71" i="69"/>
  <c r="V71" i="69"/>
  <c r="AM71" i="69"/>
  <c r="BP71" i="69"/>
  <c r="AC71" i="69"/>
  <c r="AN71" i="69"/>
  <c r="P71" i="69"/>
  <c r="AA71" i="69"/>
  <c r="E71" i="69" s="1"/>
  <c r="N71" i="69" a="1"/>
  <c r="N71" i="69" s="1"/>
  <c r="AB71" i="69" a="1"/>
  <c r="AB71" i="69" s="1"/>
  <c r="Q71" i="69"/>
  <c r="AW71" i="69"/>
  <c r="W71" i="69"/>
  <c r="BC71" i="69" s="1"/>
  <c r="M71" i="69"/>
  <c r="T71" i="69"/>
  <c r="BK71" i="69"/>
  <c r="S71" i="69"/>
  <c r="B71" i="69"/>
  <c r="Y71" i="69"/>
  <c r="Z71" i="69"/>
  <c r="J71" i="69"/>
  <c r="P31" i="69"/>
  <c r="N31" i="69" a="1"/>
  <c r="N31" i="69" s="1"/>
  <c r="AN31" i="69"/>
  <c r="V31" i="69"/>
  <c r="AX31" i="69"/>
  <c r="AC31" i="69"/>
  <c r="W31" i="69"/>
  <c r="AM31" i="69"/>
  <c r="M31" i="69"/>
  <c r="AA31" i="69"/>
  <c r="T31" i="69"/>
  <c r="Q31" i="69"/>
  <c r="AE31" i="69" s="1" a="1"/>
  <c r="AE31" i="69" s="1"/>
  <c r="A31" i="69"/>
  <c r="BC31" i="69" s="1"/>
  <c r="AW31" i="69"/>
  <c r="BP31" i="69"/>
  <c r="AB31" i="69" a="1"/>
  <c r="AB31" i="69" s="1"/>
  <c r="Y31" i="69"/>
  <c r="Z31" i="69"/>
  <c r="J31" i="69"/>
  <c r="W84" i="69"/>
  <c r="AN84" i="69"/>
  <c r="AM84" i="69"/>
  <c r="N84" i="69" a="1"/>
  <c r="N84" i="69" s="1"/>
  <c r="AA84" i="69"/>
  <c r="Q84" i="69"/>
  <c r="P84" i="69"/>
  <c r="AT84" i="69" s="1" a="1"/>
  <c r="AT84" i="69" s="1"/>
  <c r="AX84" i="69"/>
  <c r="AB84" i="69" a="1"/>
  <c r="AB84" i="69" s="1"/>
  <c r="BP84" i="69"/>
  <c r="AW84" i="69"/>
  <c r="V84" i="69"/>
  <c r="A84" i="69"/>
  <c r="AC84" i="69"/>
  <c r="Y84" i="69"/>
  <c r="J84" i="69"/>
  <c r="Z84" i="69"/>
  <c r="AV11" i="13"/>
  <c r="AY9" i="4"/>
  <c r="AW9" i="4"/>
  <c r="Z1305" i="13"/>
  <c r="F9" i="4"/>
  <c r="L9" i="4"/>
  <c r="CA9" i="4"/>
  <c r="AP9" i="4"/>
  <c r="AV311" i="13" s="1"/>
  <c r="AV411" i="13" s="1"/>
  <c r="V19" i="22"/>
  <c r="W19" i="22"/>
  <c r="Y19" i="22" s="1"/>
  <c r="CX9" i="4"/>
  <c r="CY9" i="4" s="1"/>
  <c r="CV9" i="4"/>
  <c r="CW9" i="4" s="1"/>
  <c r="CZ9" i="4" a="1"/>
  <c r="CZ9" i="4" s="1"/>
  <c r="AX230" i="13"/>
  <c r="A330" i="13"/>
  <c r="AX330" i="13" s="1"/>
  <c r="AV91" i="13"/>
  <c r="AW89" i="4"/>
  <c r="L89" i="69" s="1"/>
  <c r="AY89" i="4"/>
  <c r="Z1385" i="13"/>
  <c r="AX1224" i="13"/>
  <c r="A1323" i="13"/>
  <c r="E65" i="15"/>
  <c r="E275" i="15"/>
  <c r="E324" i="15"/>
  <c r="E484" i="15"/>
  <c r="E389" i="15"/>
  <c r="E316" i="15"/>
  <c r="F36" i="23"/>
  <c r="D58" i="23"/>
  <c r="E58" i="23" s="1"/>
  <c r="AY66" i="4"/>
  <c r="AW66" i="4"/>
  <c r="L66" i="69" s="1"/>
  <c r="Z1362" i="13"/>
  <c r="AV68" i="13"/>
  <c r="AX250" i="13"/>
  <c r="A350" i="13"/>
  <c r="AX350" i="13" s="1"/>
  <c r="A1377" i="13"/>
  <c r="AX1278" i="13"/>
  <c r="BT33" i="4"/>
  <c r="AY48" i="4"/>
  <c r="Z1344" i="13"/>
  <c r="AV50" i="13"/>
  <c r="AW48" i="4"/>
  <c r="F48" i="4"/>
  <c r="L48" i="4"/>
  <c r="AP48" i="4"/>
  <c r="AV350" i="13" s="1"/>
  <c r="AV450" i="13" s="1"/>
  <c r="V22" i="22"/>
  <c r="W22" i="22"/>
  <c r="Y22" i="22" s="1"/>
  <c r="CZ48" i="4" a="1"/>
  <c r="CZ48" i="4" s="1"/>
  <c r="CV48" i="4"/>
  <c r="CW48" i="4" s="1"/>
  <c r="BQ58" i="69"/>
  <c r="AX235" i="13"/>
  <c r="A335" i="13"/>
  <c r="AX335" i="13" s="1"/>
  <c r="Z1369" i="13"/>
  <c r="AW73" i="4"/>
  <c r="AY73" i="4"/>
  <c r="AV75" i="13"/>
  <c r="F73" i="4"/>
  <c r="L73" i="4"/>
  <c r="CA73" i="4" s="1"/>
  <c r="AP73" i="4"/>
  <c r="AV375" i="13" s="1"/>
  <c r="AV475" i="13" s="1"/>
  <c r="CZ73" i="4" a="1"/>
  <c r="CZ73" i="4" s="1"/>
  <c r="CX73" i="4"/>
  <c r="CY73" i="4" s="1"/>
  <c r="Z1373" i="13"/>
  <c r="AV79" i="13"/>
  <c r="AY77" i="4"/>
  <c r="AW77" i="4"/>
  <c r="L77" i="69" s="1"/>
  <c r="A1344" i="13"/>
  <c r="AX1245" i="13"/>
  <c r="E29" i="4"/>
  <c r="CV29" i="4"/>
  <c r="CW29" i="4" s="1"/>
  <c r="E67" i="15"/>
  <c r="Z1377" i="13"/>
  <c r="AW81" i="4"/>
  <c r="AY81" i="4"/>
  <c r="AV83" i="13"/>
  <c r="CX81" i="4"/>
  <c r="CY81" i="4" s="1"/>
  <c r="BB58" i="69"/>
  <c r="R58" i="69"/>
  <c r="BL58" i="69" a="1"/>
  <c r="BL58" i="69" s="1"/>
  <c r="BK58" i="69"/>
  <c r="E58" i="69"/>
  <c r="F38" i="23"/>
  <c r="P51" i="23"/>
  <c r="F51" i="14"/>
  <c r="AX1204" i="13"/>
  <c r="A1303" i="13"/>
  <c r="AV56" i="13"/>
  <c r="Z1350" i="13"/>
  <c r="AY54" i="4"/>
  <c r="F54" i="4"/>
  <c r="AW54" i="4"/>
  <c r="L54" i="69" s="1"/>
  <c r="L54" i="4"/>
  <c r="AP54" i="4"/>
  <c r="AV356" i="13" s="1"/>
  <c r="AV456" i="13" s="1"/>
  <c r="CZ54" i="4" a="1"/>
  <c r="CZ54" i="4" s="1"/>
  <c r="CX54" i="4"/>
  <c r="CY54" i="4" s="1"/>
  <c r="CV54" i="4"/>
  <c r="CW54" i="4" s="1"/>
  <c r="V75" i="22"/>
  <c r="W75" i="22"/>
  <c r="A1310" i="13"/>
  <c r="AX1211" i="13"/>
  <c r="A349" i="13"/>
  <c r="AX349" i="13" s="1"/>
  <c r="AX249" i="13"/>
  <c r="BD19" i="4"/>
  <c r="A325" i="13"/>
  <c r="AX325" i="13" s="1"/>
  <c r="AX225" i="13"/>
  <c r="A341" i="13"/>
  <c r="AX341" i="13" s="1"/>
  <c r="AX241" i="13"/>
  <c r="AH71" i="4"/>
  <c r="AV1367" i="13" s="1"/>
  <c r="A344" i="13"/>
  <c r="AX344" i="13" s="1"/>
  <c r="AX244" i="13"/>
  <c r="AX268" i="13"/>
  <c r="A368" i="13"/>
  <c r="AX368" i="13" s="1"/>
  <c r="A1342" i="13"/>
  <c r="AX1243" i="13"/>
  <c r="AX1250" i="13"/>
  <c r="A1349" i="13"/>
  <c r="A1388" i="13"/>
  <c r="AX1289" i="13"/>
  <c r="E215" i="15"/>
  <c r="E182" i="15"/>
  <c r="E398" i="15"/>
  <c r="E285" i="15"/>
  <c r="E145" i="15"/>
  <c r="E267" i="15"/>
  <c r="E337" i="15"/>
  <c r="E230" i="15"/>
  <c r="E402" i="15"/>
  <c r="E614" i="15"/>
  <c r="E610" i="15"/>
  <c r="E242" i="15"/>
  <c r="E95" i="15"/>
  <c r="E252" i="15"/>
  <c r="E310" i="15"/>
  <c r="E563" i="15"/>
  <c r="E363" i="15"/>
  <c r="E555" i="15"/>
  <c r="E399" i="15"/>
  <c r="E200" i="15"/>
  <c r="E194" i="15"/>
  <c r="E196" i="15"/>
  <c r="E333" i="15"/>
  <c r="E405" i="15"/>
  <c r="E617" i="15"/>
  <c r="E540" i="15"/>
  <c r="E390" i="15"/>
  <c r="E211" i="15"/>
  <c r="E109" i="15"/>
  <c r="E409" i="15"/>
  <c r="E141" i="15"/>
  <c r="A1333" i="13"/>
  <c r="AX1234" i="13"/>
  <c r="AX256" i="13"/>
  <c r="A356" i="13"/>
  <c r="AX356" i="13" s="1"/>
  <c r="AX1244" i="13"/>
  <c r="A1343" i="13"/>
  <c r="A310" i="13"/>
  <c r="AX310" i="13" s="1"/>
  <c r="AX210" i="13"/>
  <c r="AX1271" i="13"/>
  <c r="A1370" i="13"/>
  <c r="BT23" i="4"/>
  <c r="AX1253" i="13"/>
  <c r="A1352" i="13"/>
  <c r="B85" i="4"/>
  <c r="BA85" i="4" a="1"/>
  <c r="BA85" i="4" s="1"/>
  <c r="BB85" i="4" s="1"/>
  <c r="AV187" i="13" s="1"/>
  <c r="BA95" i="4" a="1"/>
  <c r="BA95" i="4" s="1"/>
  <c r="BB95" i="4" s="1"/>
  <c r="AV197" i="13" s="1"/>
  <c r="Z58" i="23" s="1" a="1"/>
  <c r="Z58" i="23" s="1"/>
  <c r="Z36" i="23" s="1"/>
  <c r="C36" i="23" s="1"/>
  <c r="F40" i="23" s="1"/>
  <c r="P40" i="23" s="1"/>
  <c r="B95" i="4"/>
  <c r="AL38" i="4"/>
  <c r="I38" i="69" s="1"/>
  <c r="AL48" i="4"/>
  <c r="I48" i="69" s="1"/>
  <c r="AH32" i="4"/>
  <c r="AV1328" i="13" s="1"/>
  <c r="AD47" i="4"/>
  <c r="F47" i="69" s="1"/>
  <c r="Z49" i="4"/>
  <c r="AV1246" i="13" s="1"/>
  <c r="AD50" i="4"/>
  <c r="F50" i="69" s="1"/>
  <c r="AH18" i="4"/>
  <c r="AV1314" i="13" s="1"/>
  <c r="Z29" i="4"/>
  <c r="AV1226" i="13" s="1"/>
  <c r="AL49" i="4"/>
  <c r="I49" i="69" s="1"/>
  <c r="Z76" i="4"/>
  <c r="AV1273" i="13" s="1"/>
  <c r="AL27" i="4"/>
  <c r="I27" i="69" s="1"/>
  <c r="AM36" i="69"/>
  <c r="AX36" i="69"/>
  <c r="W36" i="69"/>
  <c r="BN36" i="69" s="1"/>
  <c r="V36" i="69"/>
  <c r="BP36" i="69"/>
  <c r="T36" i="69"/>
  <c r="AB36" i="69" a="1"/>
  <c r="AB36" i="69" s="1"/>
  <c r="AA36" i="69"/>
  <c r="AN36" i="69"/>
  <c r="A36" i="69"/>
  <c r="P36" i="69"/>
  <c r="N36" i="69" a="1"/>
  <c r="N36" i="69" s="1"/>
  <c r="AC36" i="69"/>
  <c r="AW36" i="69"/>
  <c r="Q36" i="69"/>
  <c r="M36" i="69"/>
  <c r="Y36" i="69"/>
  <c r="J36" i="69"/>
  <c r="Z36" i="69"/>
  <c r="Z10" i="4"/>
  <c r="AV1207" i="13" s="1"/>
  <c r="Z50" i="4"/>
  <c r="AV1247" i="13" s="1"/>
  <c r="BW60" i="4"/>
  <c r="AD20" i="4"/>
  <c r="F20" i="69" s="1"/>
  <c r="Z53" i="4"/>
  <c r="AV1250" i="13" s="1"/>
  <c r="Z35" i="4"/>
  <c r="AV1232" i="13" s="1"/>
  <c r="AH33" i="4"/>
  <c r="T2" i="14"/>
  <c r="AD54" i="4"/>
  <c r="F54" i="69" s="1"/>
  <c r="AD71" i="4"/>
  <c r="F71" i="69" s="1"/>
  <c r="AL33" i="4"/>
  <c r="I33" i="69" s="1"/>
  <c r="AH13" i="4"/>
  <c r="AV1309" i="13" s="1"/>
  <c r="AA61" i="69"/>
  <c r="A61" i="69"/>
  <c r="AM61" i="69"/>
  <c r="Q61" i="69"/>
  <c r="Z61" i="69"/>
  <c r="AW61" i="69"/>
  <c r="V61" i="69"/>
  <c r="AB61" i="69" a="1"/>
  <c r="AB61" i="69" s="1"/>
  <c r="J61" i="69"/>
  <c r="W61" i="69"/>
  <c r="BC61" i="69" s="1"/>
  <c r="BP61" i="69"/>
  <c r="AN61" i="69"/>
  <c r="AC61" i="69"/>
  <c r="P61" i="69"/>
  <c r="Y61" i="69"/>
  <c r="AX61" i="69"/>
  <c r="N61" i="69" a="1"/>
  <c r="N61" i="69" s="1"/>
  <c r="AE61" i="69" a="1"/>
  <c r="AE61" i="69" s="1"/>
  <c r="AS61" i="69" s="1" a="1"/>
  <c r="AS61" i="69" s="1"/>
  <c r="AH20" i="4"/>
  <c r="AV1316" i="13" s="1"/>
  <c r="P25" i="69"/>
  <c r="T25" i="69"/>
  <c r="AC25" i="69"/>
  <c r="AM25" i="69"/>
  <c r="BP25" i="69"/>
  <c r="W25" i="69"/>
  <c r="BK25" i="69" s="1"/>
  <c r="BJ25" i="69" s="1"/>
  <c r="BM25" i="69" s="1"/>
  <c r="AN25" i="69"/>
  <c r="N25" i="69" a="1"/>
  <c r="N25" i="69" s="1"/>
  <c r="AA25" i="69"/>
  <c r="AB25" i="69" a="1"/>
  <c r="AB25" i="69" s="1"/>
  <c r="V25" i="69"/>
  <c r="AX25" i="69"/>
  <c r="Q25" i="69"/>
  <c r="AW25" i="69"/>
  <c r="BN25" i="69" s="1"/>
  <c r="M25" i="69"/>
  <c r="A25" i="69"/>
  <c r="BL25" i="69" a="1"/>
  <c r="BL25" i="69" s="1"/>
  <c r="Y25" i="69"/>
  <c r="Z25" i="69"/>
  <c r="J25" i="69"/>
  <c r="Q11" i="69"/>
  <c r="BP11" i="69"/>
  <c r="AC11" i="69"/>
  <c r="AA11" i="69"/>
  <c r="E11" i="69" s="1"/>
  <c r="V11" i="69"/>
  <c r="A11" i="69"/>
  <c r="M11" i="69"/>
  <c r="T11" i="69"/>
  <c r="BN11" i="69" s="1"/>
  <c r="AX11" i="69"/>
  <c r="AT11" i="69" s="1" a="1"/>
  <c r="AT11" i="69" s="1"/>
  <c r="P11" i="69"/>
  <c r="W11" i="69"/>
  <c r="AW11" i="69"/>
  <c r="AB11" i="69" a="1"/>
  <c r="AB11" i="69" s="1"/>
  <c r="AN11" i="69"/>
  <c r="N11" i="69" a="1"/>
  <c r="N11" i="69" s="1"/>
  <c r="AM11" i="69"/>
  <c r="U11" i="69" a="1"/>
  <c r="U11" i="69" s="1"/>
  <c r="BL11" i="69" a="1"/>
  <c r="BL11" i="69" s="1"/>
  <c r="Y11" i="69"/>
  <c r="Z11" i="69"/>
  <c r="J11" i="69"/>
  <c r="BP9" i="69"/>
  <c r="AA9" i="69"/>
  <c r="V9" i="69"/>
  <c r="Q9" i="69"/>
  <c r="AB9" i="69" a="1"/>
  <c r="AB9" i="69" s="1"/>
  <c r="AC9" i="69"/>
  <c r="AW9" i="69"/>
  <c r="W9" i="69"/>
  <c r="BK9" i="69" s="1"/>
  <c r="AN9" i="69"/>
  <c r="AX9" i="69"/>
  <c r="N9" i="69" a="1"/>
  <c r="N9" i="69" s="1"/>
  <c r="A9" i="69"/>
  <c r="AM9" i="69"/>
  <c r="P9" i="69"/>
  <c r="T9" i="69"/>
  <c r="BC9" i="69"/>
  <c r="M9" i="69"/>
  <c r="BL9" i="69" a="1"/>
  <c r="BL9" i="69" s="1"/>
  <c r="U9" i="69" a="1"/>
  <c r="U9" i="69" s="1"/>
  <c r="S9" i="69"/>
  <c r="B9" i="69"/>
  <c r="Y9" i="69"/>
  <c r="Z9" i="69"/>
  <c r="J9" i="69"/>
  <c r="N13" i="69" a="1"/>
  <c r="N13" i="69" s="1"/>
  <c r="Q13" i="69"/>
  <c r="AE13" i="69" s="1" a="1"/>
  <c r="AE13" i="69" s="1"/>
  <c r="P13" i="69"/>
  <c r="AM13" i="69"/>
  <c r="V13" i="69"/>
  <c r="B13" i="69" s="1"/>
  <c r="AN13" i="69"/>
  <c r="M13" i="69"/>
  <c r="A13" i="69"/>
  <c r="T13" i="69"/>
  <c r="AA13" i="69"/>
  <c r="W13" i="69"/>
  <c r="AX13" i="69"/>
  <c r="AW13" i="69"/>
  <c r="BP13" i="69"/>
  <c r="AC13" i="69"/>
  <c r="AB13" i="69" a="1"/>
  <c r="AB13" i="69" s="1"/>
  <c r="S13" i="69"/>
  <c r="G13" i="69"/>
  <c r="BK13" i="69"/>
  <c r="BC13" i="69"/>
  <c r="Y13" i="69"/>
  <c r="Z13" i="69"/>
  <c r="J13" i="69"/>
  <c r="F24" i="4"/>
  <c r="Z1320" i="13"/>
  <c r="AW24" i="4"/>
  <c r="L24" i="69" s="1"/>
  <c r="AV26" i="13"/>
  <c r="AY24" i="4"/>
  <c r="L24" i="4"/>
  <c r="CA24" i="4" s="1"/>
  <c r="AP24" i="4"/>
  <c r="AV326" i="13" s="1"/>
  <c r="AV426" i="13" s="1"/>
  <c r="CZ24" i="4" a="1"/>
  <c r="CZ24" i="4" s="1"/>
  <c r="CV24" i="4"/>
  <c r="CW24" i="4" s="1"/>
  <c r="W40" i="22"/>
  <c r="Y40" i="22" s="1"/>
  <c r="V40" i="22"/>
  <c r="AX1241" i="13"/>
  <c r="A1340" i="13"/>
  <c r="A382" i="13"/>
  <c r="AX382" i="13" s="1"/>
  <c r="AX282" i="13"/>
  <c r="E51" i="4"/>
  <c r="BT51" i="4" s="1"/>
  <c r="E335" i="15"/>
  <c r="E526" i="15"/>
  <c r="E594" i="15"/>
  <c r="E461" i="15"/>
  <c r="E468" i="15"/>
  <c r="AY64" i="4"/>
  <c r="AW64" i="4"/>
  <c r="L64" i="69" s="1"/>
  <c r="AV66" i="13"/>
  <c r="Z1360" i="13"/>
  <c r="AP64" i="4"/>
  <c r="AV366" i="13" s="1"/>
  <c r="AV466" i="13" s="1"/>
  <c r="CX64" i="4"/>
  <c r="CY64" i="4" s="1"/>
  <c r="CZ64" i="4" a="1"/>
  <c r="CZ64" i="4" s="1"/>
  <c r="AV40" i="13"/>
  <c r="F38" i="4"/>
  <c r="L38" i="4"/>
  <c r="AY38" i="4"/>
  <c r="AW38" i="4"/>
  <c r="Z1334" i="13"/>
  <c r="AP38" i="4"/>
  <c r="AV340" i="13" s="1"/>
  <c r="AV440" i="13" s="1"/>
  <c r="V55" i="22"/>
  <c r="W55" i="22"/>
  <c r="Y55" i="22" s="1"/>
  <c r="CZ38" i="4" a="1"/>
  <c r="CZ38" i="4" s="1"/>
  <c r="CX38" i="4"/>
  <c r="CY38" i="4" s="1"/>
  <c r="AW84" i="4"/>
  <c r="AY84" i="4"/>
  <c r="AV86" i="13"/>
  <c r="Z1380" i="13"/>
  <c r="CZ84" i="4" a="1"/>
  <c r="CZ84" i="4" s="1"/>
  <c r="Z1379" i="13"/>
  <c r="AY83" i="4"/>
  <c r="AW83" i="4"/>
  <c r="L83" i="69" s="1"/>
  <c r="AV85" i="13"/>
  <c r="Z1367" i="13"/>
  <c r="AY71" i="4"/>
  <c r="AV73" i="13"/>
  <c r="AW71" i="4"/>
  <c r="L71" i="69" s="1"/>
  <c r="F71" i="4"/>
  <c r="L71" i="4"/>
  <c r="CA71" i="4" s="1"/>
  <c r="AP71" i="4"/>
  <c r="AV373" i="13" s="1"/>
  <c r="AV473" i="13" s="1"/>
  <c r="CZ71" i="4" a="1"/>
  <c r="CZ71" i="4" s="1"/>
  <c r="CV71" i="4"/>
  <c r="CW71" i="4" s="1"/>
  <c r="A1322" i="13"/>
  <c r="AX1223" i="13"/>
  <c r="CV8" i="4"/>
  <c r="CW8" i="4" s="1"/>
  <c r="AV10" i="13"/>
  <c r="Z1304" i="13"/>
  <c r="AY8" i="4"/>
  <c r="F8" i="4"/>
  <c r="L8" i="4"/>
  <c r="CA8" i="4" s="1"/>
  <c r="AW8" i="4"/>
  <c r="AP8" i="4"/>
  <c r="AV310" i="13" s="1"/>
  <c r="AV410" i="13" s="1"/>
  <c r="V18" i="22"/>
  <c r="W18" i="22"/>
  <c r="Y18" i="22" s="1"/>
  <c r="CZ8" i="4" a="1"/>
  <c r="CZ8" i="4" s="1"/>
  <c r="AX205" i="13"/>
  <c r="A305" i="13"/>
  <c r="AX305" i="13" s="1"/>
  <c r="AX1552" i="13"/>
  <c r="A1651" i="13"/>
  <c r="AX1651" i="13" s="1"/>
  <c r="Z1381" i="13"/>
  <c r="AY85" i="4"/>
  <c r="AV87" i="13"/>
  <c r="AW85" i="4"/>
  <c r="L85" i="69" s="1"/>
  <c r="F85" i="4"/>
  <c r="AP85" i="4"/>
  <c r="AV387" i="13" s="1"/>
  <c r="AV487" i="13" s="1"/>
  <c r="CX85" i="4"/>
  <c r="CY85" i="4" s="1"/>
  <c r="CV85" i="4"/>
  <c r="CW85" i="4" s="1"/>
  <c r="CZ85" i="4" a="1"/>
  <c r="CZ85" i="4" s="1"/>
  <c r="BY60" i="4" a="1"/>
  <c r="BY60" i="4" s="1"/>
  <c r="BZ60" i="4" a="1"/>
  <c r="BZ60" i="4" s="1"/>
  <c r="BX60" i="4" s="1" a="1"/>
  <c r="BX60" i="4" s="1"/>
  <c r="W88" i="22"/>
  <c r="AY56" i="4"/>
  <c r="AV58" i="13"/>
  <c r="AW56" i="4"/>
  <c r="L56" i="69" s="1"/>
  <c r="Z1352" i="13"/>
  <c r="L56" i="4"/>
  <c r="CA56" i="4" s="1"/>
  <c r="AP56" i="4"/>
  <c r="AV358" i="13" s="1"/>
  <c r="AV458" i="13" s="1"/>
  <c r="CZ56" i="4" a="1"/>
  <c r="CZ56" i="4" s="1"/>
  <c r="CV56" i="4"/>
  <c r="CW56" i="4" s="1"/>
  <c r="AX263" i="13"/>
  <c r="A363" i="13"/>
  <c r="AX363" i="13" s="1"/>
  <c r="AX1290" i="13"/>
  <c r="A1389" i="13"/>
  <c r="Z1347" i="13"/>
  <c r="F51" i="4"/>
  <c r="AW51" i="4"/>
  <c r="L51" i="69" s="1"/>
  <c r="AY51" i="4"/>
  <c r="AV53" i="13"/>
  <c r="L51" i="4"/>
  <c r="AP51" i="4"/>
  <c r="AV353" i="13" s="1"/>
  <c r="AV453" i="13" s="1"/>
  <c r="CV51" i="4"/>
  <c r="CW51" i="4" s="1"/>
  <c r="CZ51" i="4" a="1"/>
  <c r="CZ51" i="4" s="1"/>
  <c r="W71" i="22"/>
  <c r="Y71" i="22" s="1"/>
  <c r="V71" i="22"/>
  <c r="A361" i="13"/>
  <c r="AX361" i="13" s="1"/>
  <c r="AX261" i="13"/>
  <c r="BT7" i="4"/>
  <c r="C54" i="23"/>
  <c r="Z1365" i="13"/>
  <c r="AV71" i="13"/>
  <c r="AY69" i="4"/>
  <c r="AW69" i="4"/>
  <c r="L69" i="69" s="1"/>
  <c r="F69" i="4"/>
  <c r="L69" i="4"/>
  <c r="CA69" i="4" s="1"/>
  <c r="AP69" i="4"/>
  <c r="AV371" i="13" s="1"/>
  <c r="AV471" i="13" s="1"/>
  <c r="CX69" i="4"/>
  <c r="CY69" i="4" s="1"/>
  <c r="CZ69" i="4" a="1"/>
  <c r="CZ69" i="4" s="1"/>
  <c r="CV69" i="4"/>
  <c r="CW69" i="4" s="1"/>
  <c r="A1330" i="13"/>
  <c r="AX1231" i="13"/>
  <c r="A332" i="13"/>
  <c r="AX332" i="13" s="1"/>
  <c r="AX232" i="13"/>
  <c r="BY21" i="4" a="1"/>
  <c r="BY21" i="4" s="1"/>
  <c r="BZ21" i="4" a="1"/>
  <c r="BZ21" i="4" s="1"/>
  <c r="BX21" i="4" s="1" a="1"/>
  <c r="BX21" i="4" s="1"/>
  <c r="Z1383" i="13"/>
  <c r="AV89" i="13"/>
  <c r="AW87" i="4"/>
  <c r="AY87" i="4"/>
  <c r="CX87" i="4"/>
  <c r="CY87" i="4" s="1"/>
  <c r="A1383" i="13"/>
  <c r="AX1284" i="13"/>
  <c r="A1326" i="13"/>
  <c r="AX1227" i="13"/>
  <c r="E577" i="15"/>
  <c r="E129" i="15"/>
  <c r="B84" i="4"/>
  <c r="F84" i="4" s="1"/>
  <c r="BA84" i="4" a="1"/>
  <c r="BA84" i="4" s="1"/>
  <c r="BB84" i="4" s="1"/>
  <c r="AV186" i="13" s="1"/>
  <c r="E566" i="15"/>
  <c r="E372" i="15"/>
  <c r="E430" i="15"/>
  <c r="E451" i="15"/>
  <c r="E208" i="15"/>
  <c r="E49" i="15"/>
  <c r="A355" i="13"/>
  <c r="AX355" i="13" s="1"/>
  <c r="AX255" i="13"/>
  <c r="BT57" i="4"/>
  <c r="E355" i="15"/>
  <c r="E287" i="15"/>
  <c r="E294" i="15"/>
  <c r="E172" i="15"/>
  <c r="E443" i="15"/>
  <c r="E410" i="15"/>
  <c r="E538" i="15"/>
  <c r="E374" i="15"/>
  <c r="E231" i="15"/>
  <c r="E237" i="15"/>
  <c r="E375" i="15"/>
  <c r="E314" i="15"/>
  <c r="E322" i="15"/>
  <c r="E509" i="15"/>
  <c r="E572" i="15"/>
  <c r="E424" i="15"/>
  <c r="A327" i="13"/>
  <c r="AX327" i="13" s="1"/>
  <c r="AX227" i="13"/>
  <c r="AX1288" i="13"/>
  <c r="A1387" i="13"/>
  <c r="E438" i="15"/>
  <c r="E598" i="15"/>
  <c r="E500" i="15"/>
  <c r="E261" i="15"/>
  <c r="E220" i="15"/>
  <c r="E277" i="15"/>
  <c r="E395" i="15"/>
  <c r="E613" i="15"/>
  <c r="E419" i="15"/>
  <c r="E411" i="15"/>
  <c r="E45" i="15"/>
  <c r="E207" i="15"/>
  <c r="E79" i="4"/>
  <c r="BT79" i="4" s="1"/>
  <c r="BD92" i="4"/>
  <c r="B80" i="4"/>
  <c r="F80" i="4" s="1"/>
  <c r="BA80" i="4" a="1"/>
  <c r="BA80" i="4" s="1"/>
  <c r="BB80" i="4" s="1"/>
  <c r="AV182" i="13" s="1"/>
  <c r="BA61" i="4" a="1"/>
  <c r="BA61" i="4" s="1"/>
  <c r="BB61" i="4" s="1"/>
  <c r="AV163" i="13" s="1"/>
  <c r="B61" i="4"/>
  <c r="AD61" i="4" s="1"/>
  <c r="F61" i="69" s="1"/>
  <c r="AX1206" i="13"/>
  <c r="A1305" i="13"/>
  <c r="AH46" i="4"/>
  <c r="AV1342" i="13" s="1"/>
  <c r="AH9" i="4"/>
  <c r="AV1305" i="13" s="1"/>
  <c r="AH28" i="4"/>
  <c r="AV1324" i="13" s="1"/>
  <c r="AL15" i="4"/>
  <c r="I15" i="69" s="1"/>
  <c r="AH19" i="4"/>
  <c r="AV1315" i="13" s="1"/>
  <c r="Z11" i="4"/>
  <c r="AV1208" i="13" s="1"/>
  <c r="BF4" i="4"/>
  <c r="AH25" i="4"/>
  <c r="AV1321" i="13" s="1"/>
  <c r="AH6" i="4"/>
  <c r="AV1302" i="13" s="1"/>
  <c r="Z79" i="4"/>
  <c r="AV1276" i="13" s="1"/>
  <c r="AD16" i="4"/>
  <c r="F16" i="69" s="1"/>
  <c r="AD15" i="4"/>
  <c r="F15" i="69" s="1"/>
  <c r="Z6" i="4"/>
  <c r="AV1203" i="13" s="1"/>
  <c r="Z65" i="4"/>
  <c r="AV1262" i="13" s="1"/>
  <c r="AL14" i="4"/>
  <c r="I14" i="69" s="1"/>
  <c r="AH90" i="4"/>
  <c r="AV1386" i="13" s="1"/>
  <c r="Z48" i="4"/>
  <c r="AV1245" i="13" s="1"/>
  <c r="Z33" i="4"/>
  <c r="B33" i="69" s="1"/>
  <c r="U2" i="14"/>
  <c r="AH10" i="4"/>
  <c r="AV1306" i="13" s="1"/>
  <c r="AH73" i="4"/>
  <c r="AV1369" i="13" s="1"/>
  <c r="Z25" i="4"/>
  <c r="AV1222" i="13" s="1"/>
  <c r="AD32" i="4"/>
  <c r="F32" i="69" s="1"/>
  <c r="Z27" i="4"/>
  <c r="AL52" i="4"/>
  <c r="I52" i="69" s="1"/>
  <c r="AH62" i="4"/>
  <c r="AV1358" i="13" s="1"/>
  <c r="AC81" i="69"/>
  <c r="BP81" i="69"/>
  <c r="AB81" i="69" a="1"/>
  <c r="AB81" i="69" s="1"/>
  <c r="W81" i="69"/>
  <c r="BL81" i="69" s="1" a="1"/>
  <c r="BL81" i="69" s="1"/>
  <c r="AW81" i="69"/>
  <c r="N81" i="69" a="1"/>
  <c r="N81" i="69" s="1"/>
  <c r="V81" i="69"/>
  <c r="AN81" i="69"/>
  <c r="AX81" i="69"/>
  <c r="J81" i="69"/>
  <c r="Q81" i="69"/>
  <c r="AA81" i="69"/>
  <c r="AM81" i="69"/>
  <c r="Z81" i="69"/>
  <c r="A81" i="69"/>
  <c r="Y81" i="69"/>
  <c r="P81" i="69"/>
  <c r="AL62" i="4"/>
  <c r="I62" i="69" s="1"/>
  <c r="AN66" i="69"/>
  <c r="V66" i="69"/>
  <c r="BP66" i="69"/>
  <c r="AC66" i="69"/>
  <c r="AM66" i="69"/>
  <c r="Q66" i="69"/>
  <c r="AB66" i="69" a="1"/>
  <c r="AB66" i="69" s="1"/>
  <c r="AX66" i="69"/>
  <c r="P66" i="69"/>
  <c r="AE66" i="69" s="1" a="1"/>
  <c r="AE66" i="69" s="1"/>
  <c r="N66" i="69" a="1"/>
  <c r="N66" i="69" s="1"/>
  <c r="AA66" i="69"/>
  <c r="A66" i="69"/>
  <c r="AW66" i="69"/>
  <c r="W66" i="69"/>
  <c r="BL66" i="69" s="1" a="1"/>
  <c r="BL66" i="69" s="1"/>
  <c r="BK66" i="69"/>
  <c r="Y66" i="69"/>
  <c r="J66" i="69"/>
  <c r="Z66" i="69"/>
  <c r="AW57" i="69"/>
  <c r="AC57" i="69"/>
  <c r="N57" i="69" a="1"/>
  <c r="N57" i="69" s="1"/>
  <c r="Z57" i="69"/>
  <c r="AM57" i="69"/>
  <c r="V57" i="69"/>
  <c r="Q57" i="69"/>
  <c r="A57" i="69"/>
  <c r="BP57" i="69"/>
  <c r="AX57" i="69"/>
  <c r="Y57" i="69"/>
  <c r="AA57" i="69"/>
  <c r="P57" i="69"/>
  <c r="AE57" i="69" s="1" a="1"/>
  <c r="AE57" i="69" s="1"/>
  <c r="W57" i="69"/>
  <c r="BL57" i="69" s="1" a="1"/>
  <c r="BL57" i="69" s="1"/>
  <c r="J57" i="69"/>
  <c r="AB57" i="69" a="1"/>
  <c r="AB57" i="69" s="1"/>
  <c r="AN57" i="69"/>
  <c r="BC57" i="69"/>
  <c r="M57" i="69"/>
  <c r="T57" i="69"/>
  <c r="AA56" i="69"/>
  <c r="AC56" i="69"/>
  <c r="P56" i="69"/>
  <c r="AX56" i="69"/>
  <c r="N56" i="69" a="1"/>
  <c r="N56" i="69" s="1"/>
  <c r="AM56" i="69"/>
  <c r="AW56" i="69"/>
  <c r="BP56" i="69"/>
  <c r="W56" i="69"/>
  <c r="BC56" i="69" s="1"/>
  <c r="A56" i="69"/>
  <c r="AN56" i="69"/>
  <c r="Q56" i="69"/>
  <c r="AB56" i="69" a="1"/>
  <c r="AB56" i="69" s="1"/>
  <c r="V56" i="69"/>
  <c r="T56" i="69"/>
  <c r="M56" i="69"/>
  <c r="S56" i="69"/>
  <c r="B56" i="69"/>
  <c r="U56" i="69" a="1"/>
  <c r="U56" i="69" s="1"/>
  <c r="Y56" i="69"/>
  <c r="J56" i="69"/>
  <c r="Z56" i="69"/>
  <c r="AX1217" i="13"/>
  <c r="A1316" i="13"/>
  <c r="E580" i="15"/>
  <c r="E386" i="15"/>
  <c r="E534" i="15"/>
  <c r="E529" i="15"/>
  <c r="E552" i="15"/>
  <c r="E276" i="15"/>
  <c r="E392" i="15"/>
  <c r="E246" i="15"/>
  <c r="E184" i="15"/>
  <c r="E201" i="15"/>
  <c r="AV74" i="13"/>
  <c r="AY72" i="4"/>
  <c r="Z1368" i="13"/>
  <c r="AW72" i="4"/>
  <c r="L72" i="69" s="1"/>
  <c r="DC4" i="4" a="1"/>
  <c r="DC4" i="4" s="1"/>
  <c r="DC48" i="4" a="1"/>
  <c r="DC48" i="4" s="1"/>
  <c r="DC16" i="4" a="1"/>
  <c r="DC16" i="4" s="1"/>
  <c r="DC46" i="4" a="1"/>
  <c r="DC46" i="4" s="1"/>
  <c r="DC22" i="4" a="1"/>
  <c r="DC22" i="4" s="1"/>
  <c r="DC53" i="4" a="1"/>
  <c r="DC53" i="4" s="1"/>
  <c r="DC18" i="4" a="1"/>
  <c r="DC18" i="4" s="1"/>
  <c r="DC28" i="4" a="1"/>
  <c r="DC28" i="4" s="1"/>
  <c r="DC26" i="4" a="1"/>
  <c r="DC26" i="4" s="1"/>
  <c r="DC20" i="4" a="1"/>
  <c r="DC20" i="4" s="1"/>
  <c r="DC5" i="4" a="1"/>
  <c r="DC5" i="4" s="1"/>
  <c r="DC24" i="4" a="1"/>
  <c r="DC24" i="4" s="1"/>
  <c r="DC30" i="4" a="1"/>
  <c r="DC30" i="4" s="1"/>
  <c r="DC44" i="4" a="1"/>
  <c r="DC44" i="4" s="1"/>
  <c r="DC38" i="4" a="1"/>
  <c r="DC38" i="4" s="1"/>
  <c r="DC51" i="4" a="1"/>
  <c r="DC51" i="4" s="1"/>
  <c r="DC36" i="4" a="1"/>
  <c r="DC36" i="4" s="1"/>
  <c r="DC3" i="4" a="1"/>
  <c r="DC3" i="4" s="1"/>
  <c r="DC14" i="4" a="1"/>
  <c r="DC14" i="4" s="1"/>
  <c r="DC52" i="4" a="1"/>
  <c r="DC52" i="4" s="1"/>
  <c r="DC12" i="4" a="1"/>
  <c r="DC12" i="4" s="1"/>
  <c r="DC34" i="4" a="1"/>
  <c r="DC34" i="4" s="1"/>
  <c r="DC17" i="4" a="1"/>
  <c r="DC17" i="4" s="1"/>
  <c r="DC39" i="4" a="1"/>
  <c r="DC39" i="4" s="1"/>
  <c r="DC7" i="4" a="1"/>
  <c r="DC7" i="4" s="1"/>
  <c r="DC32" i="4" a="1"/>
  <c r="DC32" i="4" s="1"/>
  <c r="DC33" i="4" a="1"/>
  <c r="DC33" i="4" s="1"/>
  <c r="DC10" i="4" a="1"/>
  <c r="DC10" i="4" s="1"/>
  <c r="DC29" i="4" a="1"/>
  <c r="DC29" i="4" s="1"/>
  <c r="DC27" i="4" a="1"/>
  <c r="DC27" i="4" s="1"/>
  <c r="DC49" i="4" a="1"/>
  <c r="DC49" i="4" s="1"/>
  <c r="DC11" i="4" a="1"/>
  <c r="DC11" i="4" s="1"/>
  <c r="DC31" i="4" a="1"/>
  <c r="DC31" i="4" s="1"/>
  <c r="DC43" i="4" a="1"/>
  <c r="DC43" i="4" s="1"/>
  <c r="DC54" i="4" a="1"/>
  <c r="DC54" i="4" s="1"/>
  <c r="DC19" i="4" a="1"/>
  <c r="DC19" i="4" s="1"/>
  <c r="DC9" i="4" a="1"/>
  <c r="DC9" i="4" s="1"/>
  <c r="DC8" i="4" a="1"/>
  <c r="DC8" i="4" s="1"/>
  <c r="DC6" i="4" a="1"/>
  <c r="DC6" i="4" s="1"/>
  <c r="DC40" i="4" a="1"/>
  <c r="DC40" i="4" s="1"/>
  <c r="DC23" i="4" a="1"/>
  <c r="DC23" i="4" s="1"/>
  <c r="DC47" i="4" a="1"/>
  <c r="DC47" i="4" s="1"/>
  <c r="DC45" i="4" a="1"/>
  <c r="DC45" i="4" s="1"/>
  <c r="DC41" i="4" a="1"/>
  <c r="DC41" i="4" s="1"/>
  <c r="DC42" i="4" a="1"/>
  <c r="DC42" i="4" s="1"/>
  <c r="DC35" i="4" a="1"/>
  <c r="DC35" i="4" s="1"/>
  <c r="DC50" i="4" a="1"/>
  <c r="DC50" i="4" s="1"/>
  <c r="DC37" i="4" a="1"/>
  <c r="DC37" i="4" s="1"/>
  <c r="DC13" i="4" a="1"/>
  <c r="DC13" i="4" s="1"/>
  <c r="DC25" i="4" a="1"/>
  <c r="DC25" i="4" s="1"/>
  <c r="DC15" i="4" a="1"/>
  <c r="DC15" i="4" s="1"/>
  <c r="T65" i="4"/>
  <c r="S65" i="4"/>
  <c r="Z1657" i="13"/>
  <c r="AW35" i="4"/>
  <c r="L35" i="69" s="1"/>
  <c r="AY35" i="4"/>
  <c r="Z1331" i="13"/>
  <c r="AV37" i="13"/>
  <c r="F35" i="4"/>
  <c r="L35" i="4"/>
  <c r="CA35" i="4" s="1"/>
  <c r="AP35" i="4"/>
  <c r="AV337" i="13" s="1"/>
  <c r="AV437" i="13" s="1"/>
  <c r="V52" i="22"/>
  <c r="W52" i="22"/>
  <c r="Y52" i="22" s="1"/>
  <c r="CV35" i="4"/>
  <c r="CW35" i="4" s="1"/>
  <c r="CZ35" i="4" a="1"/>
  <c r="CZ35" i="4" s="1"/>
  <c r="A370" i="13"/>
  <c r="AX370" i="13" s="1"/>
  <c r="AX270" i="13"/>
  <c r="A1312" i="13"/>
  <c r="AX1213" i="13"/>
  <c r="AX1221" i="13"/>
  <c r="A1320" i="13"/>
  <c r="F14" i="4"/>
  <c r="L14" i="4"/>
  <c r="AY14" i="4"/>
  <c r="Z1310" i="13"/>
  <c r="AW14" i="4"/>
  <c r="L14" i="69" s="1"/>
  <c r="AV16" i="13"/>
  <c r="AP14" i="4"/>
  <c r="AV316" i="13" s="1"/>
  <c r="AV416" i="13" s="1"/>
  <c r="V25" i="22"/>
  <c r="CZ14" i="4" a="1"/>
  <c r="CZ14" i="4" s="1"/>
  <c r="CV14" i="4"/>
  <c r="CW14" i="4" s="1"/>
  <c r="W25" i="22"/>
  <c r="Y25" i="22" s="1"/>
  <c r="Z1315" i="13"/>
  <c r="AY19" i="4"/>
  <c r="AV21" i="13"/>
  <c r="AW19" i="4"/>
  <c r="F19" i="4"/>
  <c r="L19" i="4"/>
  <c r="AP19" i="4"/>
  <c r="AV321" i="13" s="1"/>
  <c r="AV421" i="13" s="1"/>
  <c r="V29" i="22"/>
  <c r="W29" i="22"/>
  <c r="Y29" i="22" s="1"/>
  <c r="CX19" i="4"/>
  <c r="CY19" i="4" s="1"/>
  <c r="CZ19" i="4" a="1"/>
  <c r="CZ19" i="4" s="1"/>
  <c r="B15" i="27" a="1"/>
  <c r="B15" i="27" s="1"/>
  <c r="H15" i="27"/>
  <c r="I15" i="27" s="1"/>
  <c r="F15" i="27" a="1"/>
  <c r="F15" i="27" s="1"/>
  <c r="F14" i="27" s="1"/>
  <c r="G19" i="27"/>
  <c r="F16" i="27" a="1"/>
  <c r="F16" i="27" s="1"/>
  <c r="H19" i="27"/>
  <c r="H16" i="27" s="1"/>
  <c r="A6" i="27" s="1" a="1"/>
  <c r="A6" i="27" s="1"/>
  <c r="F19" i="27"/>
  <c r="A1257" i="13"/>
  <c r="AX1158" i="13"/>
  <c r="Z1319" i="13"/>
  <c r="AY23" i="4"/>
  <c r="F23" i="4"/>
  <c r="AW23" i="4"/>
  <c r="L23" i="69" s="1"/>
  <c r="L23" i="4"/>
  <c r="AV25" i="13"/>
  <c r="AP23" i="4"/>
  <c r="AV325" i="13" s="1"/>
  <c r="AV425" i="13" s="1"/>
  <c r="W39" i="22"/>
  <c r="Y39" i="22" s="1"/>
  <c r="V39" i="22"/>
  <c r="CV23" i="4"/>
  <c r="CW23" i="4" s="1"/>
  <c r="CZ23" i="4" a="1"/>
  <c r="CZ23" i="4" s="1"/>
  <c r="CX23" i="4"/>
  <c r="CY23" i="4" s="1"/>
  <c r="AX1267" i="13"/>
  <c r="A1366" i="13"/>
  <c r="BA60" i="4" a="1"/>
  <c r="BA60" i="4" s="1"/>
  <c r="BB60" i="4" s="1"/>
  <c r="AV162" i="13" s="1"/>
  <c r="B60" i="4"/>
  <c r="Z1301" i="13"/>
  <c r="AV7" i="13"/>
  <c r="F5" i="4"/>
  <c r="AW5" i="4"/>
  <c r="AY5" i="4"/>
  <c r="L5" i="4"/>
  <c r="AP5" i="4"/>
  <c r="AV307" i="13" s="1"/>
  <c r="AV407" i="13" s="1"/>
  <c r="W15" i="22"/>
  <c r="Y15" i="22" s="1"/>
  <c r="V15" i="22"/>
  <c r="CV5" i="4"/>
  <c r="CW5" i="4" s="1"/>
  <c r="CX5" i="4"/>
  <c r="CY5" i="4" s="1"/>
  <c r="CZ5" i="4" a="1"/>
  <c r="CZ5" i="4" s="1"/>
  <c r="E235" i="15"/>
  <c r="E574" i="15"/>
  <c r="E149" i="15"/>
  <c r="E370" i="15"/>
  <c r="E232" i="15"/>
  <c r="E104" i="15"/>
  <c r="E565" i="15"/>
  <c r="E573" i="15"/>
  <c r="M572" i="15" s="1" a="1"/>
  <c r="M572" i="15" s="1"/>
  <c r="AX1256" i="13"/>
  <c r="A1355" i="13"/>
  <c r="E39" i="4"/>
  <c r="E442" i="15"/>
  <c r="F442" i="15" s="1" a="1"/>
  <c r="F442" i="15" s="1"/>
  <c r="E531" i="15"/>
  <c r="E139" i="15"/>
  <c r="E458" i="15"/>
  <c r="E474" i="15"/>
  <c r="E457" i="15"/>
  <c r="E466" i="15"/>
  <c r="E348" i="15"/>
  <c r="E384" i="15"/>
  <c r="E608" i="15"/>
  <c r="E445" i="15"/>
  <c r="E123" i="15"/>
  <c r="D56" i="23"/>
  <c r="AW50" i="4"/>
  <c r="L50" i="69" s="1"/>
  <c r="AV52" i="13"/>
  <c r="Z1346" i="13"/>
  <c r="F50" i="4"/>
  <c r="AY50" i="4"/>
  <c r="L50" i="4"/>
  <c r="AP50" i="4"/>
  <c r="AV352" i="13" s="1"/>
  <c r="AV452" i="13" s="1"/>
  <c r="CZ50" i="4" a="1"/>
  <c r="CZ50" i="4" s="1"/>
  <c r="CV50" i="4"/>
  <c r="CW50" i="4" s="1"/>
  <c r="W73" i="22"/>
  <c r="Y73" i="22" s="1"/>
  <c r="V73" i="22"/>
  <c r="AX1285" i="13"/>
  <c r="A1384" i="13"/>
  <c r="AX1212" i="13"/>
  <c r="A1311" i="13"/>
  <c r="E368" i="15"/>
  <c r="CV17" i="4"/>
  <c r="CW17" i="4" s="1"/>
  <c r="E77" i="15"/>
  <c r="E255" i="15"/>
  <c r="E78" i="15"/>
  <c r="E90" i="15"/>
  <c r="E227" i="15"/>
  <c r="E362" i="15"/>
  <c r="E110" i="15"/>
  <c r="E341" i="15"/>
  <c r="E82" i="15"/>
  <c r="E43" i="15"/>
  <c r="E557" i="15"/>
  <c r="E234" i="15"/>
  <c r="E446" i="15"/>
  <c r="AX272" i="13"/>
  <c r="A372" i="13"/>
  <c r="AX372" i="13" s="1"/>
  <c r="A1299" i="13"/>
  <c r="AX1200" i="13"/>
  <c r="BD51" i="4"/>
  <c r="AX240" i="13"/>
  <c r="A340" i="13"/>
  <c r="AX340" i="13" s="1"/>
  <c r="AV54" i="13"/>
  <c r="F52" i="4"/>
  <c r="AW52" i="4"/>
  <c r="AY52" i="4"/>
  <c r="Z1348" i="13"/>
  <c r="L52" i="4"/>
  <c r="CA52" i="4"/>
  <c r="AP52" i="4"/>
  <c r="AV354" i="13" s="1"/>
  <c r="AV454" i="13" s="1"/>
  <c r="W74" i="22"/>
  <c r="Y74" i="22" s="1"/>
  <c r="V74" i="22"/>
  <c r="CV52" i="4"/>
  <c r="CW52" i="4" s="1"/>
  <c r="CZ52" i="4" a="1"/>
  <c r="CZ52" i="4" s="1"/>
  <c r="Z1372" i="13"/>
  <c r="AY76" i="4"/>
  <c r="AV78" i="13"/>
  <c r="AW76" i="4"/>
  <c r="F76" i="4"/>
  <c r="L76" i="4"/>
  <c r="CA76" i="4"/>
  <c r="AP76" i="4"/>
  <c r="AV378" i="13" s="1"/>
  <c r="AV478" i="13" s="1"/>
  <c r="CZ76" i="4" a="1"/>
  <c r="CZ76" i="4" s="1"/>
  <c r="CV76" i="4"/>
  <c r="CW76" i="4" s="1"/>
  <c r="A15" i="27" a="1"/>
  <c r="A15" i="27" s="1"/>
  <c r="B23" i="27"/>
  <c r="AX214" i="13"/>
  <c r="A314" i="13"/>
  <c r="AX314" i="13" s="1"/>
  <c r="BT42" i="4"/>
  <c r="BT25" i="4"/>
  <c r="E40" i="4"/>
  <c r="E286" i="15"/>
  <c r="E63" i="15"/>
  <c r="E321" i="15"/>
  <c r="E332" i="15"/>
  <c r="E98" i="15"/>
  <c r="E313" i="15"/>
  <c r="E351" i="15"/>
  <c r="E188" i="15"/>
  <c r="E122" i="15"/>
  <c r="BA77" i="4" a="1"/>
  <c r="BA77" i="4" s="1"/>
  <c r="BB77" i="4" s="1"/>
  <c r="AV179" i="13" s="1"/>
  <c r="B77" i="4"/>
  <c r="F77" i="4" s="1"/>
  <c r="A1382" i="13"/>
  <c r="AX1283" i="13"/>
  <c r="CV65" i="4"/>
  <c r="CW65" i="4" s="1"/>
  <c r="W95" i="22"/>
  <c r="Y95" i="22" s="1"/>
  <c r="A359" i="13"/>
  <c r="AX359" i="13" s="1"/>
  <c r="AX259" i="13"/>
  <c r="E186" i="15"/>
  <c r="E302" i="15"/>
  <c r="E546" i="15"/>
  <c r="E93" i="15"/>
  <c r="E554" i="15"/>
  <c r="BD69" i="4"/>
  <c r="AX265" i="13"/>
  <c r="A365" i="13"/>
  <c r="AX365" i="13" s="1"/>
  <c r="E84" i="15"/>
  <c r="E465" i="15"/>
  <c r="E536" i="15"/>
  <c r="E397" i="15"/>
  <c r="E209" i="15"/>
  <c r="E54" i="15"/>
  <c r="E472" i="15"/>
  <c r="F472" i="15" s="1" a="1"/>
  <c r="F472" i="15" s="1"/>
  <c r="E601" i="15"/>
  <c r="E239" i="15"/>
  <c r="E70" i="15"/>
  <c r="F70" i="15" s="1" a="1"/>
  <c r="F70" i="15" s="1"/>
  <c r="E559" i="15"/>
  <c r="E187" i="15"/>
  <c r="E495" i="15"/>
  <c r="E460" i="15"/>
  <c r="A352" i="13"/>
  <c r="AX352" i="13" s="1"/>
  <c r="AX252" i="13"/>
  <c r="B93" i="4"/>
  <c r="AD93" i="4" s="1"/>
  <c r="F93" i="69" s="1"/>
  <c r="BA93" i="4" a="1"/>
  <c r="BA93" i="4" s="1"/>
  <c r="BB93" i="4" s="1"/>
  <c r="AV195" i="13" s="1"/>
  <c r="A324" i="13"/>
  <c r="AX324" i="13" s="1"/>
  <c r="AX224" i="13"/>
  <c r="A391" i="13"/>
  <c r="AX391" i="13" s="1"/>
  <c r="AX291" i="13"/>
  <c r="BD86" i="4"/>
  <c r="BA58" i="4" a="1"/>
  <c r="BA58" i="4" s="1"/>
  <c r="BB58" i="4" s="1"/>
  <c r="B58" i="4"/>
  <c r="AS4" i="69" a="1"/>
  <c r="AS4" i="69" s="1"/>
  <c r="AL65" i="4"/>
  <c r="I65" i="69" s="1"/>
  <c r="Z52" i="4"/>
  <c r="AV1249" i="13" s="1"/>
  <c r="AL46" i="4"/>
  <c r="I46" i="69" s="1"/>
  <c r="BL4" i="4"/>
  <c r="BG4" i="4"/>
  <c r="AV1102" i="13" s="1"/>
  <c r="BR4" i="4"/>
  <c r="L4" i="4"/>
  <c r="AH49" i="4"/>
  <c r="AV1345" i="13" s="1"/>
  <c r="AH50" i="4"/>
  <c r="AV1346" i="13" s="1"/>
  <c r="Q78" i="69"/>
  <c r="AX78" i="69"/>
  <c r="T78" i="69"/>
  <c r="N78" i="69" a="1"/>
  <c r="N78" i="69" s="1"/>
  <c r="A78" i="69"/>
  <c r="J78" i="69"/>
  <c r="AB78" i="69" a="1"/>
  <c r="AB78" i="69" s="1"/>
  <c r="Z78" i="69"/>
  <c r="AM78" i="69"/>
  <c r="AC78" i="69"/>
  <c r="AN78" i="69"/>
  <c r="W78" i="69"/>
  <c r="BP78" i="69"/>
  <c r="P78" i="69"/>
  <c r="AA78" i="69"/>
  <c r="AW78" i="69"/>
  <c r="Y78" i="69"/>
  <c r="V78" i="69"/>
  <c r="M78" i="69"/>
  <c r="Z3" i="4"/>
  <c r="AL77" i="4"/>
  <c r="I77" i="69" s="1"/>
  <c r="AH57" i="4"/>
  <c r="AV1353" i="13" s="1"/>
  <c r="AD6" i="4"/>
  <c r="F6" i="69" s="1"/>
  <c r="AL78" i="4"/>
  <c r="I78" i="69" s="1"/>
  <c r="AD14" i="4"/>
  <c r="F14" i="69" s="1"/>
  <c r="Z17" i="4"/>
  <c r="AV1214" i="13" s="1"/>
  <c r="AD78" i="4"/>
  <c r="F78" i="69" s="1"/>
  <c r="AD5" i="4"/>
  <c r="F5" i="69" s="1"/>
  <c r="AL16" i="4"/>
  <c r="I16" i="69" s="1"/>
  <c r="AL92" i="4"/>
  <c r="I92" i="69" s="1"/>
  <c r="AL18" i="4"/>
  <c r="I18" i="69" s="1"/>
  <c r="AD3" i="4"/>
  <c r="F3" i="69" s="1"/>
  <c r="Z16" i="4"/>
  <c r="AV1213" i="13" s="1"/>
  <c r="AL6" i="4"/>
  <c r="I6" i="69" s="1"/>
  <c r="AD26" i="4"/>
  <c r="F26" i="69" s="1"/>
  <c r="AH93" i="4"/>
  <c r="AV1389" i="13" s="1"/>
  <c r="Z46" i="4"/>
  <c r="AV1243" i="13" s="1"/>
  <c r="AD35" i="4"/>
  <c r="F35" i="69" s="1"/>
  <c r="AD33" i="4"/>
  <c r="F33" i="69" s="1"/>
  <c r="AH40" i="4"/>
  <c r="AV1336" i="13" s="1"/>
  <c r="AN28" i="69"/>
  <c r="AC28" i="69"/>
  <c r="AA28" i="69"/>
  <c r="AX28" i="69"/>
  <c r="Q28" i="69"/>
  <c r="AW28" i="69"/>
  <c r="W28" i="69"/>
  <c r="AM28" i="69"/>
  <c r="P28" i="69"/>
  <c r="V28" i="69"/>
  <c r="B28" i="69" s="1"/>
  <c r="N28" i="69" a="1"/>
  <c r="N28" i="69" s="1"/>
  <c r="BP28" i="69"/>
  <c r="T28" i="69"/>
  <c r="BN28" i="69" s="1"/>
  <c r="AB28" i="69" a="1"/>
  <c r="AB28" i="69" s="1"/>
  <c r="M28" i="69"/>
  <c r="A28" i="69"/>
  <c r="S28" i="69"/>
  <c r="G28" i="69"/>
  <c r="Y28" i="69"/>
  <c r="Z28" i="69"/>
  <c r="J28" i="69"/>
  <c r="AL12" i="4"/>
  <c r="I12" i="69" s="1"/>
  <c r="Z22" i="4"/>
  <c r="AV1219" i="13" s="1"/>
  <c r="Z40" i="4"/>
  <c r="AV1237" i="13" s="1"/>
  <c r="P8" i="69"/>
  <c r="T8" i="69"/>
  <c r="AM8" i="69"/>
  <c r="BP8" i="69"/>
  <c r="AN8" i="69"/>
  <c r="A8" i="69"/>
  <c r="M8" i="69"/>
  <c r="AX8" i="69"/>
  <c r="AB8" i="69" a="1"/>
  <c r="AB8" i="69" s="1"/>
  <c r="AA8" i="69"/>
  <c r="AW8" i="69"/>
  <c r="Q8" i="69"/>
  <c r="V8" i="69"/>
  <c r="N8" i="69" a="1"/>
  <c r="N8" i="69" s="1"/>
  <c r="AC8" i="69"/>
  <c r="W8" i="69"/>
  <c r="BC8" i="69" s="1"/>
  <c r="K8" i="69" a="1"/>
  <c r="K8" i="69" s="1"/>
  <c r="Y8" i="69"/>
  <c r="Z8" i="69"/>
  <c r="J8" i="69"/>
  <c r="AA62" i="69"/>
  <c r="AC62" i="69"/>
  <c r="Y62" i="69"/>
  <c r="J62" i="69"/>
  <c r="A62" i="69"/>
  <c r="N62" i="69" a="1"/>
  <c r="N62" i="69" s="1"/>
  <c r="AB62" i="69" a="1"/>
  <c r="AB62" i="69" s="1"/>
  <c r="BP62" i="69"/>
  <c r="P62" i="69"/>
  <c r="AM62" i="69"/>
  <c r="Q62" i="69"/>
  <c r="AX62" i="69"/>
  <c r="AW62" i="69"/>
  <c r="AN62" i="69"/>
  <c r="V62" i="69"/>
  <c r="Z62" i="69"/>
  <c r="W62" i="69"/>
  <c r="BL62" i="69" s="1" a="1"/>
  <c r="BL62" i="69" s="1"/>
  <c r="M62" i="69"/>
  <c r="T62" i="69"/>
  <c r="G62" i="69"/>
  <c r="J86" i="69"/>
  <c r="BP86" i="69"/>
  <c r="AC86" i="69"/>
  <c r="Q86" i="69"/>
  <c r="AA86" i="69"/>
  <c r="Y86" i="69"/>
  <c r="V86" i="69"/>
  <c r="B86" i="69" s="1"/>
  <c r="W86" i="69"/>
  <c r="AM86" i="69"/>
  <c r="Z86" i="69"/>
  <c r="AB86" i="69" a="1"/>
  <c r="AB86" i="69" s="1"/>
  <c r="AN86" i="69"/>
  <c r="P86" i="69"/>
  <c r="A86" i="69"/>
  <c r="AW86" i="69"/>
  <c r="N86" i="69" a="1"/>
  <c r="N86" i="69" s="1"/>
  <c r="AX86" i="69"/>
  <c r="M86" i="69"/>
  <c r="T86" i="69"/>
  <c r="S86" i="69"/>
  <c r="AX290" i="13"/>
  <c r="A390" i="13"/>
  <c r="AX390" i="13" s="1"/>
  <c r="AX207" i="13"/>
  <c r="A307" i="13"/>
  <c r="AX307" i="13" s="1"/>
  <c r="A1361" i="13"/>
  <c r="AX1262" i="13"/>
  <c r="A1314" i="13"/>
  <c r="AX1215" i="13"/>
  <c r="AX1282" i="13"/>
  <c r="A1381" i="13"/>
  <c r="A317" i="13"/>
  <c r="AX317" i="13" s="1"/>
  <c r="AX217" i="13"/>
  <c r="AY25" i="4"/>
  <c r="Z1321" i="13"/>
  <c r="AW25" i="4"/>
  <c r="L25" i="69" s="1"/>
  <c r="F25" i="4"/>
  <c r="BR25" i="4" s="1"/>
  <c r="L25" i="4"/>
  <c r="AV27" i="13"/>
  <c r="AP25" i="4"/>
  <c r="AV327" i="13" s="1"/>
  <c r="AV427" i="13" s="1"/>
  <c r="W41" i="22"/>
  <c r="Y41" i="22" s="1"/>
  <c r="CV25" i="4"/>
  <c r="CW25" i="4" s="1"/>
  <c r="CZ25" i="4" a="1"/>
  <c r="CZ25" i="4" s="1"/>
  <c r="V41" i="22"/>
  <c r="A389" i="13"/>
  <c r="AX389" i="13" s="1"/>
  <c r="AX289" i="13"/>
  <c r="Z1339" i="13"/>
  <c r="AY43" i="4"/>
  <c r="AW43" i="4"/>
  <c r="L43" i="69" s="1"/>
  <c r="AV45" i="13"/>
  <c r="F43" i="4"/>
  <c r="L43" i="4"/>
  <c r="CA43" i="4" s="1"/>
  <c r="AP43" i="4"/>
  <c r="AV345" i="13" s="1"/>
  <c r="AV445" i="13" s="1"/>
  <c r="V63" i="22"/>
  <c r="W63" i="22"/>
  <c r="Y63" i="22" s="1"/>
  <c r="CX43" i="4"/>
  <c r="CY43" i="4" s="1"/>
  <c r="CV43" i="4"/>
  <c r="CW43" i="4" s="1"/>
  <c r="CZ43" i="4" a="1"/>
  <c r="CZ43" i="4" s="1"/>
  <c r="AV1201" i="13"/>
  <c r="B4" i="69"/>
  <c r="S4" i="69"/>
  <c r="C56" i="23"/>
  <c r="E226" i="15"/>
  <c r="E147" i="15"/>
  <c r="E91" i="15"/>
  <c r="E142" i="15"/>
  <c r="E112" i="15"/>
  <c r="E195" i="15"/>
  <c r="CV7" i="4"/>
  <c r="CW7" i="4" s="1"/>
  <c r="AY32" i="4"/>
  <c r="Z1328" i="13"/>
  <c r="AV34" i="13"/>
  <c r="AW32" i="4"/>
  <c r="F32" i="4"/>
  <c r="AP32" i="4"/>
  <c r="AV334" i="13" s="1"/>
  <c r="AV434" i="13" s="1"/>
  <c r="W49" i="22"/>
  <c r="Y49" i="22" s="1"/>
  <c r="V49" i="22"/>
  <c r="CZ32" i="4" a="1"/>
  <c r="CZ32" i="4" s="1"/>
  <c r="E30" i="4"/>
  <c r="BT30" i="4" s="1"/>
  <c r="Z1308" i="13"/>
  <c r="AW12" i="4"/>
  <c r="L12" i="69" s="1"/>
  <c r="AV14" i="13"/>
  <c r="L12" i="4"/>
  <c r="CA12" i="4" s="1"/>
  <c r="F12" i="4"/>
  <c r="AY12" i="4"/>
  <c r="AP12" i="4"/>
  <c r="AV314" i="13" s="1"/>
  <c r="AV414" i="13" s="1"/>
  <c r="CV12" i="4"/>
  <c r="CW12" i="4" s="1"/>
  <c r="CZ12" i="4" a="1"/>
  <c r="CZ12" i="4" s="1"/>
  <c r="V24" i="22"/>
  <c r="W24" i="22"/>
  <c r="Y24" i="22" s="1"/>
  <c r="A354" i="13"/>
  <c r="AX354" i="13" s="1"/>
  <c r="AX254" i="13"/>
  <c r="AX1258" i="13"/>
  <c r="A1357" i="13"/>
  <c r="G15" i="27" a="1"/>
  <c r="G15" i="27" s="1"/>
  <c r="Y20" i="27"/>
  <c r="T20" i="27" a="1"/>
  <c r="AX1230" i="13"/>
  <c r="A1329" i="13"/>
  <c r="A1339" i="13"/>
  <c r="AX1240" i="13"/>
  <c r="AX251" i="13"/>
  <c r="A351" i="13"/>
  <c r="AX351" i="13" s="1"/>
  <c r="A345" i="13"/>
  <c r="AX345" i="13" s="1"/>
  <c r="AX245" i="13"/>
  <c r="E50" i="4"/>
  <c r="BT50" i="4" s="1"/>
  <c r="E590" i="15"/>
  <c r="E595" i="15"/>
  <c r="E258" i="15"/>
  <c r="E305" i="15"/>
  <c r="E435" i="15"/>
  <c r="E213" i="15"/>
  <c r="E257" i="15"/>
  <c r="E562" i="15"/>
  <c r="E278" i="15"/>
  <c r="E229" i="15"/>
  <c r="E539" i="15"/>
  <c r="E352" i="15"/>
  <c r="E262" i="15"/>
  <c r="E440" i="15"/>
  <c r="E521" i="15"/>
  <c r="E498" i="15"/>
  <c r="F498" i="15" s="1" a="1"/>
  <c r="F498" i="15" s="1"/>
  <c r="E292" i="15"/>
  <c r="E426" i="15"/>
  <c r="E479" i="15"/>
  <c r="A1362" i="13"/>
  <c r="AX1263" i="13"/>
  <c r="AX1214" i="13"/>
  <c r="A1313" i="13"/>
  <c r="BT69" i="4"/>
  <c r="A1315" i="13"/>
  <c r="AX1216" i="13"/>
  <c r="B67" i="4"/>
  <c r="AP67" i="4" s="1"/>
  <c r="BA67" i="4" a="1"/>
  <c r="BA67" i="4" s="1"/>
  <c r="BB67" i="4" s="1"/>
  <c r="AV169" i="13" s="1"/>
  <c r="E49" i="4"/>
  <c r="E125" i="15"/>
  <c r="CV73" i="4"/>
  <c r="CW73" i="4" s="1"/>
  <c r="AX276" i="13"/>
  <c r="A376" i="13"/>
  <c r="AX376" i="13" s="1"/>
  <c r="B59" i="4"/>
  <c r="AH59" i="4" s="1"/>
  <c r="BA59" i="4" a="1"/>
  <c r="BA59" i="4" s="1"/>
  <c r="BB59" i="4" s="1"/>
  <c r="AV161" i="13" s="1"/>
  <c r="BA83" i="4" a="1"/>
  <c r="BA83" i="4" s="1"/>
  <c r="BB83" i="4" s="1"/>
  <c r="AV185" i="13" s="1"/>
  <c r="B83" i="4"/>
  <c r="CZ83" i="4" s="1" a="1"/>
  <c r="CZ83" i="4" s="1"/>
  <c r="AH53" i="4"/>
  <c r="AV1349" i="13" s="1"/>
  <c r="AH39" i="4"/>
  <c r="AV1335" i="13" s="1"/>
  <c r="AL31" i="4"/>
  <c r="I31" i="69" s="1"/>
  <c r="AH77" i="4"/>
  <c r="AV1373" i="13" s="1"/>
  <c r="X3" i="69"/>
  <c r="B101" i="1"/>
  <c r="AD34" i="4"/>
  <c r="F34" i="69" s="1"/>
  <c r="P52" i="69"/>
  <c r="AT52" i="69" s="1" a="1"/>
  <c r="AT52" i="69" s="1"/>
  <c r="M52" i="69"/>
  <c r="AA52" i="69"/>
  <c r="Q52" i="69"/>
  <c r="AC52" i="69"/>
  <c r="V52" i="69"/>
  <c r="BP52" i="69"/>
  <c r="AB52" i="69" a="1"/>
  <c r="AB52" i="69" s="1"/>
  <c r="W52" i="69"/>
  <c r="L52" i="69" s="1"/>
  <c r="A52" i="69"/>
  <c r="AX52" i="69"/>
  <c r="T52" i="69"/>
  <c r="AM52" i="69"/>
  <c r="AN52" i="69"/>
  <c r="N52" i="69" a="1"/>
  <c r="N52" i="69" s="1"/>
  <c r="U52" i="69" a="1"/>
  <c r="U52" i="69" s="1"/>
  <c r="K52" i="69" a="1"/>
  <c r="K52" i="69" s="1"/>
  <c r="BL52" i="69" a="1"/>
  <c r="BL52" i="69" s="1"/>
  <c r="AW52" i="69"/>
  <c r="G52" i="69"/>
  <c r="Y52" i="69"/>
  <c r="Z52" i="69"/>
  <c r="J52" i="69"/>
  <c r="AH36" i="4"/>
  <c r="AV1332" i="13" s="1"/>
  <c r="AH88" i="4"/>
  <c r="AV1384" i="13" s="1"/>
  <c r="AD10" i="4"/>
  <c r="F10" i="69" s="1"/>
  <c r="AL35" i="4"/>
  <c r="I35" i="69" s="1"/>
  <c r="AD25" i="4"/>
  <c r="F25" i="69" s="1"/>
  <c r="Z38" i="4"/>
  <c r="AV1235" i="13" s="1"/>
  <c r="Z93" i="4"/>
  <c r="AV1290" i="13" s="1"/>
  <c r="AL8" i="4"/>
  <c r="I8" i="69" s="1"/>
  <c r="M26" i="69"/>
  <c r="P26" i="69"/>
  <c r="AE26" i="69" s="1" a="1"/>
  <c r="AE26" i="69" s="1"/>
  <c r="N26" i="69" a="1"/>
  <c r="N26" i="69" s="1"/>
  <c r="W26" i="69"/>
  <c r="BC26" i="69" s="1"/>
  <c r="AC26" i="69"/>
  <c r="AN26" i="69"/>
  <c r="AX26" i="69"/>
  <c r="BP26" i="69"/>
  <c r="AB26" i="69" a="1"/>
  <c r="AB26" i="69" s="1"/>
  <c r="AM26" i="69"/>
  <c r="AA26" i="69"/>
  <c r="Q26" i="69"/>
  <c r="AW26" i="69"/>
  <c r="BN26" i="69" s="1"/>
  <c r="T26" i="69"/>
  <c r="V26" i="69"/>
  <c r="G26" i="69"/>
  <c r="A26" i="69"/>
  <c r="Y26" i="69"/>
  <c r="Z26" i="69"/>
  <c r="J26" i="69"/>
  <c r="AD29" i="4"/>
  <c r="F29" i="69" s="1"/>
  <c r="AL57" i="4"/>
  <c r="I57" i="69" s="1"/>
  <c r="AD22" i="4"/>
  <c r="F22" i="69" s="1"/>
  <c r="AX64" i="69"/>
  <c r="T64" i="69"/>
  <c r="A64" i="69"/>
  <c r="AC64" i="69"/>
  <c r="AA64" i="69"/>
  <c r="AW64" i="69"/>
  <c r="BP64" i="69"/>
  <c r="Q64" i="69"/>
  <c r="N64" i="69" a="1"/>
  <c r="N64" i="69" s="1"/>
  <c r="V64" i="69"/>
  <c r="AB64" i="69" a="1"/>
  <c r="AB64" i="69" s="1"/>
  <c r="AN64" i="69"/>
  <c r="P64" i="69"/>
  <c r="W64" i="69"/>
  <c r="BC64" i="69" s="1"/>
  <c r="AM64" i="69"/>
  <c r="BN64" i="69"/>
  <c r="M64" i="69"/>
  <c r="U64" i="69" a="1"/>
  <c r="U64" i="69" s="1"/>
  <c r="Y64" i="69"/>
  <c r="J64" i="69"/>
  <c r="Z64" i="69"/>
  <c r="Z19" i="4"/>
  <c r="AV1216" i="13" s="1"/>
  <c r="AL50" i="4"/>
  <c r="I50" i="69" s="1"/>
  <c r="BO21" i="4"/>
  <c r="G21" i="4"/>
  <c r="AH80" i="4"/>
  <c r="AV1376" i="13" s="1"/>
  <c r="AL22" i="4"/>
  <c r="I22" i="69" s="1"/>
  <c r="Z88" i="4"/>
  <c r="AV1285" i="13" s="1"/>
  <c r="Q38" i="69"/>
  <c r="W38" i="69"/>
  <c r="BK38" i="69" s="1"/>
  <c r="AM38" i="69"/>
  <c r="V38" i="69"/>
  <c r="A38" i="69"/>
  <c r="P38" i="69"/>
  <c r="AN38" i="69"/>
  <c r="AC38" i="69"/>
  <c r="AW38" i="69"/>
  <c r="AA38" i="69"/>
  <c r="M38" i="69"/>
  <c r="N38" i="69" a="1"/>
  <c r="N38" i="69" s="1"/>
  <c r="T38" i="69"/>
  <c r="BP38" i="69"/>
  <c r="AB38" i="69" a="1"/>
  <c r="AB38" i="69" s="1"/>
  <c r="AX38" i="69"/>
  <c r="U38" i="69" a="1"/>
  <c r="U38" i="69" s="1"/>
  <c r="AT38" i="69" a="1"/>
  <c r="AT38" i="69" s="1"/>
  <c r="K38" i="69" a="1"/>
  <c r="K38" i="69" s="1"/>
  <c r="Y38" i="69"/>
  <c r="Z38" i="69"/>
  <c r="J38" i="69"/>
  <c r="AM42" i="69"/>
  <c r="T42" i="69"/>
  <c r="AC42" i="69"/>
  <c r="AX42" i="69"/>
  <c r="AB42" i="69" a="1"/>
  <c r="AB42" i="69" s="1"/>
  <c r="W42" i="69"/>
  <c r="AA42" i="69"/>
  <c r="V42" i="69"/>
  <c r="U42" i="69" a="1"/>
  <c r="U42" i="69" s="1"/>
  <c r="N42" i="69" a="1"/>
  <c r="N42" i="69" s="1"/>
  <c r="P42" i="69"/>
  <c r="M42" i="69"/>
  <c r="AN42" i="69"/>
  <c r="Q42" i="69"/>
  <c r="BP42" i="69"/>
  <c r="A42" i="69"/>
  <c r="AW42" i="69"/>
  <c r="BL42" i="69" a="1"/>
  <c r="BL42" i="69" s="1"/>
  <c r="K42" i="69" a="1"/>
  <c r="K42" i="69" s="1"/>
  <c r="Y42" i="69"/>
  <c r="Z42" i="69"/>
  <c r="J42" i="69"/>
  <c r="BP6" i="69"/>
  <c r="N6" i="69" a="1"/>
  <c r="N6" i="69" s="1"/>
  <c r="P6" i="69"/>
  <c r="AA6" i="69"/>
  <c r="T6" i="69"/>
  <c r="W6" i="69"/>
  <c r="BC6" i="69" s="1"/>
  <c r="V6" i="69"/>
  <c r="AC6" i="69"/>
  <c r="A6" i="69"/>
  <c r="AB6" i="69" a="1"/>
  <c r="AB6" i="69" s="1"/>
  <c r="U6" i="69" a="1"/>
  <c r="U6" i="69" s="1"/>
  <c r="Q6" i="69"/>
  <c r="AM6" i="69"/>
  <c r="AW6" i="69"/>
  <c r="M6" i="69"/>
  <c r="AN6" i="69"/>
  <c r="AX6" i="69"/>
  <c r="K6" i="69" a="1"/>
  <c r="K6" i="69" s="1"/>
  <c r="B6" i="69"/>
  <c r="BL6" i="69" a="1"/>
  <c r="BL6" i="69" s="1"/>
  <c r="G6" i="69"/>
  <c r="S6" i="69"/>
  <c r="L6" i="69"/>
  <c r="Y6" i="69"/>
  <c r="Z6" i="69"/>
  <c r="J6" i="69"/>
  <c r="Q79" i="69"/>
  <c r="N79" i="69" a="1"/>
  <c r="N79" i="69" s="1"/>
  <c r="P79" i="69"/>
  <c r="AE79" i="69" s="1" a="1"/>
  <c r="AE79" i="69" s="1"/>
  <c r="AX79" i="69"/>
  <c r="V79" i="69"/>
  <c r="AA79" i="69"/>
  <c r="E79" i="69" s="1"/>
  <c r="AC79" i="69"/>
  <c r="AW79" i="69"/>
  <c r="W79" i="69"/>
  <c r="BK79" i="69" s="1"/>
  <c r="AB79" i="69" a="1"/>
  <c r="AB79" i="69" s="1"/>
  <c r="A79" i="69"/>
  <c r="BP79" i="69"/>
  <c r="AM79" i="69"/>
  <c r="AN79" i="69"/>
  <c r="T79" i="69"/>
  <c r="M79" i="69"/>
  <c r="B79" i="69"/>
  <c r="S79" i="69"/>
  <c r="G79" i="69"/>
  <c r="Y79" i="69"/>
  <c r="Z79" i="69"/>
  <c r="J79" i="69"/>
  <c r="Z1342" i="13"/>
  <c r="AY46" i="4"/>
  <c r="AV48" i="13"/>
  <c r="F46" i="4"/>
  <c r="AW46" i="4"/>
  <c r="K46" i="69" s="1" a="1"/>
  <c r="K46" i="69" s="1"/>
  <c r="L46" i="4"/>
  <c r="AP46" i="4"/>
  <c r="AV348" i="13" s="1"/>
  <c r="AV448" i="13" s="1"/>
  <c r="W69" i="22"/>
  <c r="Y69" i="22" s="1"/>
  <c r="CZ46" i="4" a="1"/>
  <c r="CZ46" i="4" s="1"/>
  <c r="CX46" i="4"/>
  <c r="CY46" i="4" s="1"/>
  <c r="V69" i="22"/>
  <c r="AV47" i="13"/>
  <c r="AY45" i="4"/>
  <c r="Z1341" i="13"/>
  <c r="F45" i="4"/>
  <c r="X45" i="4" s="1"/>
  <c r="AW45" i="4"/>
  <c r="L45" i="4"/>
  <c r="AP45" i="4"/>
  <c r="AV347" i="13" s="1"/>
  <c r="AV447" i="13" s="1"/>
  <c r="V64" i="22"/>
  <c r="W64" i="22"/>
  <c r="Y64" i="22" s="1"/>
  <c r="CV45" i="4"/>
  <c r="CW45" i="4" s="1"/>
  <c r="CZ45" i="4" a="1"/>
  <c r="CZ45" i="4" s="1"/>
  <c r="CX45" i="4"/>
  <c r="CY45" i="4" s="1"/>
  <c r="W91" i="22"/>
  <c r="Y91" i="22" s="1"/>
  <c r="AY59" i="4"/>
  <c r="AW59" i="4"/>
  <c r="Z1355" i="13"/>
  <c r="AV61" i="13"/>
  <c r="AW79" i="4"/>
  <c r="L79" i="69" s="1"/>
  <c r="AV81" i="13"/>
  <c r="AY79" i="4"/>
  <c r="Z1375" i="13"/>
  <c r="F79" i="4"/>
  <c r="L79" i="4"/>
  <c r="CA79" i="4" s="1"/>
  <c r="AP79" i="4"/>
  <c r="AV381" i="13" s="1"/>
  <c r="AV481" i="13" s="1"/>
  <c r="CV79" i="4"/>
  <c r="CW79" i="4" s="1"/>
  <c r="CZ79" i="4" a="1"/>
  <c r="CZ79" i="4" s="1"/>
  <c r="A1301" i="13"/>
  <c r="AX1202" i="13"/>
  <c r="Z1357" i="13"/>
  <c r="AW61" i="4"/>
  <c r="L61" i="69" s="1"/>
  <c r="AV63" i="13"/>
  <c r="AY61" i="4"/>
  <c r="F61" i="4"/>
  <c r="AP61" i="4"/>
  <c r="AV363" i="13" s="1"/>
  <c r="AV463" i="13" s="1"/>
  <c r="CX61" i="4"/>
  <c r="CY61" i="4" s="1"/>
  <c r="CZ61" i="4" a="1"/>
  <c r="CZ61" i="4" s="1"/>
  <c r="AV105" i="13"/>
  <c r="E3" i="9"/>
  <c r="AW36" i="4"/>
  <c r="L36" i="69" s="1"/>
  <c r="Z1332" i="13"/>
  <c r="F36" i="4"/>
  <c r="AY36" i="4"/>
  <c r="AV38" i="13"/>
  <c r="AP36" i="4"/>
  <c r="AV338" i="13" s="1"/>
  <c r="AV438" i="13" s="1"/>
  <c r="CZ36" i="4" a="1"/>
  <c r="CZ36" i="4" s="1"/>
  <c r="CV36" i="4"/>
  <c r="CW36" i="4" s="1"/>
  <c r="CX36" i="4"/>
  <c r="CY36" i="4" s="1"/>
  <c r="W56" i="22"/>
  <c r="Y56" i="22" s="1"/>
  <c r="V56" i="22"/>
  <c r="E216" i="15"/>
  <c r="E53" i="15"/>
  <c r="E496" i="15"/>
  <c r="E569" i="15"/>
  <c r="B54" i="14"/>
  <c r="AW91" i="4"/>
  <c r="AY91" i="4"/>
  <c r="AV93" i="13"/>
  <c r="Z1387" i="13"/>
  <c r="AY16" i="4"/>
  <c r="AV18" i="13"/>
  <c r="Z1312" i="13"/>
  <c r="AW16" i="4"/>
  <c r="F16" i="4"/>
  <c r="L16" i="4"/>
  <c r="CA16" i="4"/>
  <c r="AP16" i="4"/>
  <c r="AV318" i="13" s="1"/>
  <c r="AV418" i="13" s="1"/>
  <c r="CZ16" i="4" a="1"/>
  <c r="CZ16" i="4" s="1"/>
  <c r="V68" i="22"/>
  <c r="W68" i="22"/>
  <c r="Y68" i="22" s="1"/>
  <c r="A16" i="27" a="1"/>
  <c r="A16" i="27" s="1"/>
  <c r="BD14" i="4"/>
  <c r="BR14" i="4" s="1"/>
  <c r="O14" i="69" s="1"/>
  <c r="A1385" i="13"/>
  <c r="AX1286" i="13"/>
  <c r="AX208" i="13"/>
  <c r="A308" i="13"/>
  <c r="AX308" i="13" s="1"/>
  <c r="AX213" i="13"/>
  <c r="A313" i="13"/>
  <c r="AX313" i="13" s="1"/>
  <c r="E61" i="15"/>
  <c r="AX1226" i="13"/>
  <c r="A1325" i="13"/>
  <c r="BT45" i="4"/>
  <c r="A333" i="13"/>
  <c r="AX333" i="13" s="1"/>
  <c r="AX233" i="13"/>
  <c r="BT73" i="4"/>
  <c r="AX1222" i="13"/>
  <c r="A1321" i="13"/>
  <c r="A319" i="13"/>
  <c r="AX319" i="13" s="1"/>
  <c r="AX219" i="13"/>
  <c r="A394" i="13"/>
  <c r="AX394" i="13" s="1"/>
  <c r="AX294" i="13"/>
  <c r="AX271" i="13"/>
  <c r="A371" i="13"/>
  <c r="AX371" i="13" s="1"/>
  <c r="B74" i="4"/>
  <c r="AP74" i="4" s="1"/>
  <c r="BA74" i="4" a="1"/>
  <c r="BA74" i="4" s="1"/>
  <c r="BB74" i="4" s="1"/>
  <c r="AV176" i="13" s="1"/>
  <c r="BA72" i="4" a="1"/>
  <c r="BA72" i="4" s="1"/>
  <c r="BB72" i="4" s="1"/>
  <c r="AV174" i="13" s="1"/>
  <c r="B72" i="4"/>
  <c r="CV72" i="4" s="1"/>
  <c r="CW72" i="4" s="1"/>
  <c r="AD51" i="4"/>
  <c r="F51" i="69" s="1"/>
  <c r="Z62" i="4"/>
  <c r="AV1259" i="13" s="1"/>
  <c r="Z30" i="4"/>
  <c r="AV1227" i="13" s="1"/>
  <c r="AD9" i="4"/>
  <c r="F9" i="69" s="1"/>
  <c r="Z90" i="4"/>
  <c r="AV1287" i="13" s="1"/>
  <c r="Z44" i="4"/>
  <c r="AV1241" i="13" s="1"/>
  <c r="AH79" i="4"/>
  <c r="AV1375" i="13" s="1"/>
  <c r="BP80" i="69"/>
  <c r="N80" i="69" a="1"/>
  <c r="N80" i="69" s="1"/>
  <c r="V80" i="69"/>
  <c r="AX80" i="69"/>
  <c r="P80" i="69"/>
  <c r="Q80" i="69"/>
  <c r="AM80" i="69"/>
  <c r="AC80" i="69"/>
  <c r="A80" i="69"/>
  <c r="W80" i="69"/>
  <c r="BL80" i="69" s="1" a="1"/>
  <c r="BL80" i="69" s="1"/>
  <c r="AA80" i="69"/>
  <c r="AN80" i="69"/>
  <c r="AW80" i="69"/>
  <c r="AB80" i="69" a="1"/>
  <c r="AB80" i="69" s="1"/>
  <c r="M80" i="69"/>
  <c r="T80" i="69"/>
  <c r="Y80" i="69"/>
  <c r="J80" i="69"/>
  <c r="Z80" i="69"/>
  <c r="AD31" i="4"/>
  <c r="F31" i="69" s="1"/>
  <c r="AL13" i="4"/>
  <c r="I13" i="69" s="1"/>
  <c r="Z77" i="4"/>
  <c r="AV1274" i="13" s="1"/>
  <c r="AH81" i="4"/>
  <c r="AV1377" i="13" s="1"/>
  <c r="Z12" i="4"/>
  <c r="AV1209" i="13" s="1"/>
  <c r="Z39" i="4"/>
  <c r="AV1236" i="13" s="1"/>
  <c r="V33" i="69"/>
  <c r="T33" i="69"/>
  <c r="AN33" i="69"/>
  <c r="AC33" i="69"/>
  <c r="N33" i="69" a="1"/>
  <c r="N33" i="69" s="1"/>
  <c r="BP33" i="69"/>
  <c r="W33" i="69"/>
  <c r="BK33" i="69" s="1"/>
  <c r="AW33" i="69"/>
  <c r="P33" i="69"/>
  <c r="Q33" i="69"/>
  <c r="AB33" i="69" a="1"/>
  <c r="AB33" i="69" s="1"/>
  <c r="A33" i="69"/>
  <c r="AA33" i="69"/>
  <c r="AM33" i="69"/>
  <c r="AX33" i="69"/>
  <c r="M33" i="69"/>
  <c r="G33" i="69"/>
  <c r="S33" i="69"/>
  <c r="K33" i="69" a="1"/>
  <c r="K33" i="69" s="1"/>
  <c r="Z33" i="69"/>
  <c r="Y33" i="69"/>
  <c r="J33" i="69"/>
  <c r="AH48" i="4"/>
  <c r="AV1344" i="13" s="1"/>
  <c r="Z75" i="4"/>
  <c r="AV1272" i="13" s="1"/>
  <c r="AD62" i="4"/>
  <c r="F62" i="69" s="1"/>
  <c r="AD40" i="4"/>
  <c r="F40" i="69" s="1"/>
  <c r="AD30" i="4"/>
  <c r="F30" i="69" s="1"/>
  <c r="Z42" i="4"/>
  <c r="AV1239" i="13" s="1"/>
  <c r="AL84" i="4"/>
  <c r="I84" i="69" s="1"/>
  <c r="BP18" i="69"/>
  <c r="U18" i="69" a="1"/>
  <c r="U18" i="69" s="1"/>
  <c r="T18" i="69"/>
  <c r="AW18" i="69"/>
  <c r="AX18" i="69"/>
  <c r="M18" i="69"/>
  <c r="A18" i="69"/>
  <c r="W18" i="69"/>
  <c r="L18" i="69" s="1"/>
  <c r="AB18" i="69" a="1"/>
  <c r="AB18" i="69" s="1"/>
  <c r="AA18" i="69"/>
  <c r="E18" i="69" s="1"/>
  <c r="Q18" i="69"/>
  <c r="N18" i="69" a="1"/>
  <c r="N18" i="69" s="1"/>
  <c r="P18" i="69"/>
  <c r="AM18" i="69"/>
  <c r="V18" i="69"/>
  <c r="AC18" i="69"/>
  <c r="AN18" i="69"/>
  <c r="AE18" i="69" a="1"/>
  <c r="AE18" i="69" s="1"/>
  <c r="AS18" i="69" s="1" a="1"/>
  <c r="AS18" i="69" s="1"/>
  <c r="BL18" i="69" a="1"/>
  <c r="BL18" i="69" s="1"/>
  <c r="K18" i="69" a="1"/>
  <c r="K18" i="69" s="1"/>
  <c r="G18" i="69"/>
  <c r="Y18" i="69"/>
  <c r="J18" i="69"/>
  <c r="Z18" i="69"/>
  <c r="AL17" i="4"/>
  <c r="I17" i="69" s="1"/>
  <c r="AD77" i="4"/>
  <c r="F77" i="69" s="1"/>
  <c r="AD92" i="4"/>
  <c r="F92" i="69" s="1"/>
  <c r="CT21" i="4"/>
  <c r="CU21" i="4" s="1"/>
  <c r="AL76" i="4"/>
  <c r="I76" i="69" s="1"/>
  <c r="Z51" i="4"/>
  <c r="AV1248" i="13" s="1"/>
  <c r="AD28" i="4"/>
  <c r="F28" i="69" s="1"/>
  <c r="AD17" i="4"/>
  <c r="F17" i="69" s="1"/>
  <c r="AD45" i="4"/>
  <c r="F45" i="69" s="1"/>
  <c r="T46" i="69"/>
  <c r="AC46" i="69"/>
  <c r="M46" i="69"/>
  <c r="AX46" i="69"/>
  <c r="Q46" i="69"/>
  <c r="P46" i="69"/>
  <c r="AM46" i="69"/>
  <c r="W46" i="69"/>
  <c r="BK46" i="69" s="1"/>
  <c r="BJ46" i="69" s="1"/>
  <c r="BM46" i="69" s="1"/>
  <c r="AN46" i="69"/>
  <c r="AW46" i="69"/>
  <c r="A46" i="69"/>
  <c r="BP46" i="69"/>
  <c r="AB46" i="69" a="1"/>
  <c r="AB46" i="69" s="1"/>
  <c r="V46" i="69"/>
  <c r="AA46" i="69"/>
  <c r="N46" i="69" a="1"/>
  <c r="N46" i="69" s="1"/>
  <c r="B46" i="69"/>
  <c r="G46" i="69"/>
  <c r="S46" i="69"/>
  <c r="U46" i="69" a="1"/>
  <c r="U46" i="69" s="1"/>
  <c r="Y46" i="69"/>
  <c r="J46" i="69"/>
  <c r="Z46" i="69"/>
  <c r="AN63" i="69"/>
  <c r="V63" i="69"/>
  <c r="W63" i="69"/>
  <c r="BK63" i="69" s="1"/>
  <c r="A63" i="69"/>
  <c r="AB63" i="69" a="1"/>
  <c r="AB63" i="69" s="1"/>
  <c r="BP63" i="69"/>
  <c r="AA63" i="69"/>
  <c r="AX63" i="69"/>
  <c r="AW63" i="69"/>
  <c r="P63" i="69"/>
  <c r="N63" i="69" a="1"/>
  <c r="N63" i="69" s="1"/>
  <c r="Q63" i="69"/>
  <c r="AC63" i="69"/>
  <c r="AM63" i="69"/>
  <c r="BL63" i="69" a="1"/>
  <c r="BL63" i="69" s="1"/>
  <c r="T63" i="69"/>
  <c r="M63" i="69"/>
  <c r="Y63" i="69"/>
  <c r="J63" i="69"/>
  <c r="Z63" i="69"/>
  <c r="AX65" i="69"/>
  <c r="AM65" i="69"/>
  <c r="N65" i="69" a="1"/>
  <c r="N65" i="69" s="1"/>
  <c r="AB65" i="69" a="1"/>
  <c r="AB65" i="69" s="1"/>
  <c r="P65" i="69"/>
  <c r="AW65" i="69"/>
  <c r="BN65" i="69" s="1"/>
  <c r="Q65" i="69"/>
  <c r="AE65" i="69" s="1" a="1"/>
  <c r="AE65" i="69" s="1"/>
  <c r="AS65" i="69" s="1" a="1"/>
  <c r="AS65" i="69" s="1"/>
  <c r="M65" i="69"/>
  <c r="A65" i="69"/>
  <c r="T65" i="69"/>
  <c r="W65" i="69"/>
  <c r="BL65" i="69" s="1" a="1"/>
  <c r="BL65" i="69" s="1"/>
  <c r="AN65" i="69"/>
  <c r="BP65" i="69"/>
  <c r="AA65" i="69"/>
  <c r="AC65" i="69"/>
  <c r="V65" i="69"/>
  <c r="B65" i="69" s="1"/>
  <c r="S65" i="69"/>
  <c r="BK65" i="69"/>
  <c r="Y65" i="69"/>
  <c r="J65" i="69"/>
  <c r="Z65" i="69"/>
  <c r="AN88" i="69"/>
  <c r="A88" i="69"/>
  <c r="AX88" i="69"/>
  <c r="AE88" i="69" s="1" a="1"/>
  <c r="AE88" i="69" s="1"/>
  <c r="AS88" i="69" s="1" a="1"/>
  <c r="AS88" i="69" s="1"/>
  <c r="M88" i="69"/>
  <c r="T88" i="69"/>
  <c r="P88" i="69"/>
  <c r="U88" i="69" a="1"/>
  <c r="U88" i="69" s="1"/>
  <c r="BP88" i="69"/>
  <c r="AM88" i="69"/>
  <c r="V88" i="69"/>
  <c r="B88" i="69" s="1"/>
  <c r="AC88" i="69"/>
  <c r="Q88" i="69"/>
  <c r="AA88" i="69"/>
  <c r="AW88" i="69"/>
  <c r="AB88" i="69" a="1"/>
  <c r="AB88" i="69" s="1"/>
  <c r="N88" i="69" a="1"/>
  <c r="N88" i="69" s="1"/>
  <c r="W88" i="69"/>
  <c r="BC88" i="69" s="1"/>
  <c r="S88" i="69"/>
  <c r="BK88" i="69"/>
  <c r="Y88" i="69"/>
  <c r="J88" i="69"/>
  <c r="Z88" i="69"/>
  <c r="E83" i="15"/>
  <c r="E583" i="15"/>
  <c r="E120" i="15"/>
  <c r="E177" i="15"/>
  <c r="E119" i="15"/>
  <c r="AV15" i="13"/>
  <c r="AW13" i="4"/>
  <c r="L13" i="69" s="1"/>
  <c r="Z1309" i="13"/>
  <c r="AY13" i="4"/>
  <c r="F13" i="4"/>
  <c r="L13" i="4"/>
  <c r="AP13" i="4"/>
  <c r="AV315" i="13" s="1"/>
  <c r="AV415" i="13" s="1"/>
  <c r="CZ13" i="4" a="1"/>
  <c r="CZ13" i="4" s="1"/>
  <c r="CV13" i="4"/>
  <c r="CW13" i="4" s="1"/>
  <c r="V23" i="22"/>
  <c r="W23" i="22"/>
  <c r="Y23" i="22" s="1"/>
  <c r="AX267" i="13"/>
  <c r="A367" i="13"/>
  <c r="AX367" i="13" s="1"/>
  <c r="AY70" i="4"/>
  <c r="Z1366" i="13"/>
  <c r="AW70" i="4"/>
  <c r="L70" i="69" s="1"/>
  <c r="AV72" i="13"/>
  <c r="W94" i="22"/>
  <c r="Y94" i="22" s="1"/>
  <c r="AY62" i="4"/>
  <c r="AV64" i="13"/>
  <c r="AW62" i="4"/>
  <c r="L62" i="69" s="1"/>
  <c r="Z1358" i="13"/>
  <c r="F62" i="4"/>
  <c r="AP62" i="4"/>
  <c r="AV364" i="13" s="1"/>
  <c r="AV464" i="13" s="1"/>
  <c r="CZ62" i="4" a="1"/>
  <c r="CZ62" i="4" s="1"/>
  <c r="AW22" i="4"/>
  <c r="L22" i="69" s="1"/>
  <c r="F22" i="4"/>
  <c r="X22" i="4" s="1"/>
  <c r="L22" i="4"/>
  <c r="AV24" i="13"/>
  <c r="Z1318" i="13"/>
  <c r="AY22" i="4"/>
  <c r="AP22" i="4"/>
  <c r="AV324" i="13" s="1"/>
  <c r="AV424" i="13" s="1"/>
  <c r="V38" i="22"/>
  <c r="W38" i="22"/>
  <c r="Y38" i="22" s="1"/>
  <c r="CV22" i="4"/>
  <c r="CW22" i="4" s="1"/>
  <c r="CZ22" i="4" a="1"/>
  <c r="CZ22" i="4" s="1"/>
  <c r="AX162" i="13"/>
  <c r="A262" i="13"/>
  <c r="AX237" i="13"/>
  <c r="A337" i="13"/>
  <c r="AX337" i="13" s="1"/>
  <c r="L33" i="4"/>
  <c r="Z1329" i="13"/>
  <c r="AW33" i="4"/>
  <c r="L33" i="69" s="1"/>
  <c r="AV35" i="13"/>
  <c r="AY33" i="4"/>
  <c r="F33" i="4"/>
  <c r="AP33" i="4"/>
  <c r="AV335" i="13" s="1"/>
  <c r="AV435" i="13" s="1"/>
  <c r="S2" i="14"/>
  <c r="V48" i="22"/>
  <c r="W1" i="14"/>
  <c r="W48" i="22"/>
  <c r="Y48" i="22" s="1"/>
  <c r="CZ33" i="4" a="1"/>
  <c r="CZ33" i="4" s="1"/>
  <c r="O1" i="14"/>
  <c r="E34" i="4"/>
  <c r="BT34" i="4" s="1"/>
  <c r="AX243" i="13"/>
  <c r="A343" i="13"/>
  <c r="AX343" i="13" s="1"/>
  <c r="AW29" i="4"/>
  <c r="L29" i="69" s="1"/>
  <c r="Z1325" i="13"/>
  <c r="AV31" i="13"/>
  <c r="AY29" i="4"/>
  <c r="F29" i="4"/>
  <c r="L29" i="4"/>
  <c r="CA29" i="4"/>
  <c r="AP29" i="4"/>
  <c r="AV331" i="13" s="1"/>
  <c r="AV431" i="13" s="1"/>
  <c r="W47" i="22"/>
  <c r="Y47" i="22" s="1"/>
  <c r="V47" i="22"/>
  <c r="CZ29" i="4" a="1"/>
  <c r="CZ29" i="4" s="1"/>
  <c r="AX1209" i="13"/>
  <c r="A1308" i="13"/>
  <c r="A1378" i="13"/>
  <c r="AX1279" i="13"/>
  <c r="A383" i="13"/>
  <c r="AX383" i="13" s="1"/>
  <c r="AX283" i="13"/>
  <c r="A346" i="13"/>
  <c r="AX346" i="13" s="1"/>
  <c r="AX246" i="13"/>
  <c r="D56" i="14"/>
  <c r="F90" i="4"/>
  <c r="AY90" i="4"/>
  <c r="Z1386" i="13"/>
  <c r="AV92" i="13"/>
  <c r="AW90" i="4"/>
  <c r="L90" i="69" s="1"/>
  <c r="L90" i="4"/>
  <c r="CA90" i="4" s="1"/>
  <c r="AP90" i="4"/>
  <c r="AV392" i="13" s="1"/>
  <c r="AV492" i="13" s="1"/>
  <c r="CZ90" i="4" a="1"/>
  <c r="CZ90" i="4" s="1"/>
  <c r="CV90" i="4"/>
  <c r="CW90" i="4" s="1"/>
  <c r="E24" i="4"/>
  <c r="E306" i="15"/>
  <c r="E584" i="15"/>
  <c r="E591" i="15"/>
  <c r="E346" i="15"/>
  <c r="E317" i="15"/>
  <c r="E325" i="15"/>
  <c r="E575" i="15"/>
  <c r="L572" i="15" s="1" a="1"/>
  <c r="L572" i="15" s="1"/>
  <c r="E449" i="15"/>
  <c r="E48" i="15"/>
  <c r="E308" i="15"/>
  <c r="E579" i="15"/>
  <c r="F579" i="15" s="1" a="1"/>
  <c r="F579" i="15" s="1"/>
  <c r="E269" i="15"/>
  <c r="E487" i="15"/>
  <c r="E71" i="15"/>
  <c r="E508" i="15"/>
  <c r="E185" i="15"/>
  <c r="E76" i="15"/>
  <c r="E345" i="15"/>
  <c r="E136" i="15"/>
  <c r="E359" i="15"/>
  <c r="E376" i="15"/>
  <c r="E364" i="15"/>
  <c r="E604" i="15"/>
  <c r="E567" i="15"/>
  <c r="CZ3" i="4" a="1"/>
  <c r="CZ3" i="4" s="1"/>
  <c r="CV3" i="4"/>
  <c r="CW3" i="4" s="1"/>
  <c r="A387" i="13"/>
  <c r="AX387" i="13" s="1"/>
  <c r="AX287" i="13"/>
  <c r="B21" i="4"/>
  <c r="BA21" i="4" a="1"/>
  <c r="BA21" i="4" s="1"/>
  <c r="BB21" i="4" s="1"/>
  <c r="AV123" i="13" s="1"/>
  <c r="AX284" i="13"/>
  <c r="A384" i="13"/>
  <c r="AX384" i="13" s="1"/>
  <c r="AX1119" i="13"/>
  <c r="A1218" i="13"/>
  <c r="E3" i="4"/>
  <c r="Z1388" i="13"/>
  <c r="AV94" i="13"/>
  <c r="AW92" i="4"/>
  <c r="L92" i="69" s="1"/>
  <c r="AY92" i="4"/>
  <c r="F92" i="4"/>
  <c r="L92" i="4"/>
  <c r="CA92" i="4"/>
  <c r="AP92" i="4"/>
  <c r="AV394" i="13" s="1"/>
  <c r="AV494" i="13" s="1"/>
  <c r="CV92" i="4"/>
  <c r="CW92" i="4" s="1"/>
  <c r="CZ92" i="4" a="1"/>
  <c r="CZ92" i="4" s="1"/>
  <c r="E18" i="27"/>
  <c r="I11" i="27" s="1"/>
  <c r="AX1264" i="13"/>
  <c r="A1363" i="13"/>
  <c r="E68" i="4"/>
  <c r="A1359" i="13"/>
  <c r="AX1260" i="13"/>
  <c r="AX1254" i="13"/>
  <c r="A1353" i="13"/>
  <c r="A1360" i="13"/>
  <c r="AX1261" i="13"/>
  <c r="AX1268" i="13"/>
  <c r="A1367" i="13"/>
  <c r="AX1228" i="13"/>
  <c r="A1327" i="13"/>
  <c r="BD37" i="4"/>
  <c r="AI4" i="69" a="1"/>
  <c r="AI4" i="69" s="1"/>
  <c r="E9" i="4"/>
  <c r="BT9" i="4" s="1"/>
  <c r="A1375" i="13"/>
  <c r="AX1276" i="13"/>
  <c r="AK4" i="69" a="1"/>
  <c r="AK4" i="69" s="1"/>
  <c r="E168" i="15"/>
  <c r="E516" i="15"/>
  <c r="E485" i="15"/>
  <c r="E217" i="15"/>
  <c r="E46" i="15"/>
  <c r="E525" i="15"/>
  <c r="E334" i="15"/>
  <c r="E138" i="15"/>
  <c r="E425" i="15"/>
  <c r="E582" i="15"/>
  <c r="E530" i="15"/>
  <c r="E545" i="15"/>
  <c r="E320" i="15"/>
  <c r="E459" i="15"/>
  <c r="E467" i="15"/>
  <c r="E165" i="15"/>
  <c r="E312" i="15"/>
  <c r="E456" i="15"/>
  <c r="E96" i="15"/>
  <c r="BA91" i="4" a="1"/>
  <c r="BA91" i="4" s="1"/>
  <c r="BB91" i="4" s="1"/>
  <c r="AV193" i="13" s="1"/>
  <c r="B91" i="4"/>
  <c r="CZ91" i="4" s="1" a="1"/>
  <c r="CZ91" i="4" s="1"/>
  <c r="E27" i="4"/>
  <c r="E54" i="4"/>
  <c r="E47" i="4"/>
  <c r="H79" i="9"/>
  <c r="E76" i="4"/>
  <c r="BT76" i="4" s="1"/>
  <c r="AX1236" i="13"/>
  <c r="A1335" i="13"/>
  <c r="AX258" i="13"/>
  <c r="A358" i="13"/>
  <c r="AX358" i="13" s="1"/>
  <c r="BA82" i="4" a="1"/>
  <c r="BA82" i="4" s="1"/>
  <c r="BB82" i="4" s="1"/>
  <c r="AV184" i="13" s="1"/>
  <c r="B82" i="4"/>
  <c r="F82" i="4" s="1"/>
  <c r="AX1208" i="13"/>
  <c r="A1307" i="13"/>
  <c r="AL30" i="4"/>
  <c r="I30" i="69" s="1"/>
  <c r="AL39" i="4"/>
  <c r="I39" i="69" s="1"/>
  <c r="AD90" i="4"/>
  <c r="F90" i="69" s="1"/>
  <c r="AL51" i="4"/>
  <c r="I51" i="69" s="1"/>
  <c r="AL67" i="4"/>
  <c r="I67" i="69" s="1"/>
  <c r="AL19" i="4"/>
  <c r="I19" i="69" s="1"/>
  <c r="AB59" i="69" a="1"/>
  <c r="AB59" i="69" s="1"/>
  <c r="AN59" i="69"/>
  <c r="Z59" i="69"/>
  <c r="AM59" i="69"/>
  <c r="W59" i="69"/>
  <c r="L59" i="69" s="1"/>
  <c r="BP59" i="69"/>
  <c r="Q59" i="69"/>
  <c r="V59" i="69"/>
  <c r="AA59" i="69"/>
  <c r="A59" i="69"/>
  <c r="P59" i="69"/>
  <c r="N59" i="69" a="1"/>
  <c r="N59" i="69" s="1"/>
  <c r="Y59" i="69"/>
  <c r="J59" i="69"/>
  <c r="AX59" i="69"/>
  <c r="AC59" i="69"/>
  <c r="AW59" i="69"/>
  <c r="T59" i="69"/>
  <c r="BL59" i="69" a="1"/>
  <c r="BL59" i="69" s="1"/>
  <c r="M59" i="69"/>
  <c r="AH43" i="4"/>
  <c r="AV1339" i="13" s="1"/>
  <c r="AH45" i="4"/>
  <c r="AV1341" i="13" s="1"/>
  <c r="Z36" i="4"/>
  <c r="AV1233" i="13" s="1"/>
  <c r="AD66" i="4"/>
  <c r="F66" i="69" s="1"/>
  <c r="W48" i="69"/>
  <c r="L48" i="69" s="1"/>
  <c r="N48" i="69" a="1"/>
  <c r="N48" i="69" s="1"/>
  <c r="AX48" i="69"/>
  <c r="A48" i="69"/>
  <c r="U48" i="69" a="1"/>
  <c r="U48" i="69" s="1"/>
  <c r="AM48" i="69"/>
  <c r="K48" i="69" a="1"/>
  <c r="K48" i="69" s="1"/>
  <c r="T48" i="69"/>
  <c r="AA48" i="69"/>
  <c r="AC48" i="69"/>
  <c r="P48" i="69"/>
  <c r="AB48" i="69" a="1"/>
  <c r="AB48" i="69" s="1"/>
  <c r="AW48" i="69"/>
  <c r="AN48" i="69"/>
  <c r="M48" i="69"/>
  <c r="Q48" i="69"/>
  <c r="V48" i="69"/>
  <c r="B48" i="69" s="1"/>
  <c r="BP48" i="69"/>
  <c r="S48" i="69"/>
  <c r="BL48" i="69" a="1"/>
  <c r="BL48" i="69" s="1"/>
  <c r="BK48" i="69"/>
  <c r="Y48" i="69"/>
  <c r="Z48" i="69"/>
  <c r="J48" i="69"/>
  <c r="AL53" i="4"/>
  <c r="I53" i="69" s="1"/>
  <c r="AD13" i="4"/>
  <c r="F13" i="69" s="1"/>
  <c r="Q74" i="69"/>
  <c r="P74" i="69"/>
  <c r="AT74" i="69" s="1" a="1"/>
  <c r="AT74" i="69" s="1"/>
  <c r="V74" i="69"/>
  <c r="AA74" i="69"/>
  <c r="AX74" i="69"/>
  <c r="AN74" i="69"/>
  <c r="Y74" i="69"/>
  <c r="AW74" i="69"/>
  <c r="AB74" i="69" a="1"/>
  <c r="AB74" i="69" s="1"/>
  <c r="BP74" i="69"/>
  <c r="T74" i="69"/>
  <c r="W74" i="69"/>
  <c r="L74" i="69" s="1"/>
  <c r="A74" i="69"/>
  <c r="J74" i="69"/>
  <c r="Z74" i="69"/>
  <c r="AC74" i="69"/>
  <c r="AM74" i="69"/>
  <c r="N74" i="69" a="1"/>
  <c r="N74" i="69" s="1"/>
  <c r="Z63" i="4"/>
  <c r="AV1260" i="13" s="1"/>
  <c r="AD86" i="4"/>
  <c r="F86" i="69" s="1"/>
  <c r="AL85" i="4"/>
  <c r="I85" i="69" s="1"/>
  <c r="AD39" i="4"/>
  <c r="F39" i="69" s="1"/>
  <c r="AD42" i="4"/>
  <c r="F42" i="69" s="1"/>
  <c r="AD53" i="4"/>
  <c r="F53" i="69" s="1"/>
  <c r="V5" i="69"/>
  <c r="AN5" i="69"/>
  <c r="K5" i="69" a="1"/>
  <c r="K5" i="69" s="1"/>
  <c r="P5" i="69"/>
  <c r="AX5" i="69"/>
  <c r="Z5" i="69"/>
  <c r="Y5" i="69"/>
  <c r="Q5" i="69"/>
  <c r="AA5" i="69"/>
  <c r="G5" i="69"/>
  <c r="AW5" i="69"/>
  <c r="AC5" i="69"/>
  <c r="BP5" i="69"/>
  <c r="M5" i="69"/>
  <c r="N5" i="69" a="1"/>
  <c r="N5" i="69" s="1"/>
  <c r="T5" i="69"/>
  <c r="U5" i="69" a="1"/>
  <c r="U5" i="69" s="1"/>
  <c r="AB5" i="69" a="1"/>
  <c r="AB5" i="69" s="1"/>
  <c r="J5" i="69"/>
  <c r="W5" i="69"/>
  <c r="AM5" i="69"/>
  <c r="A5" i="69"/>
  <c r="Z18" i="4"/>
  <c r="AV1215" i="13" s="1"/>
  <c r="AH29" i="4"/>
  <c r="AV1325" i="13" s="1"/>
  <c r="AL73" i="4"/>
  <c r="I73" i="69" s="1"/>
  <c r="AL68" i="4"/>
  <c r="I68" i="69" s="1"/>
  <c r="N47" i="69" a="1"/>
  <c r="N47" i="69" s="1"/>
  <c r="AN47" i="69"/>
  <c r="A47" i="69"/>
  <c r="P47" i="69"/>
  <c r="AB47" i="69" a="1"/>
  <c r="AB47" i="69" s="1"/>
  <c r="V47" i="69"/>
  <c r="AW47" i="69"/>
  <c r="BN47" i="69" s="1"/>
  <c r="AC47" i="69"/>
  <c r="W47" i="69"/>
  <c r="BK47" i="69" s="1"/>
  <c r="BP47" i="69"/>
  <c r="Q47" i="69"/>
  <c r="AA47" i="69"/>
  <c r="BC47" i="69" s="1"/>
  <c r="AM47" i="69"/>
  <c r="M47" i="69"/>
  <c r="AX47" i="69"/>
  <c r="AE47" i="69" s="1" a="1"/>
  <c r="AE47" i="69" s="1"/>
  <c r="T47" i="69"/>
  <c r="B47" i="69"/>
  <c r="S47" i="69"/>
  <c r="K47" i="69" a="1"/>
  <c r="K47" i="69" s="1"/>
  <c r="U47" i="69" a="1"/>
  <c r="U47" i="69" s="1"/>
  <c r="Y47" i="69"/>
  <c r="J47" i="69"/>
  <c r="Z47" i="69"/>
  <c r="AB50" i="69" a="1"/>
  <c r="AB50" i="69" s="1"/>
  <c r="J50" i="69"/>
  <c r="AW50" i="69"/>
  <c r="BP50" i="69"/>
  <c r="Y50" i="69"/>
  <c r="AA50" i="69"/>
  <c r="M50" i="69"/>
  <c r="Z50" i="69"/>
  <c r="T50" i="69"/>
  <c r="A50" i="69"/>
  <c r="V50" i="69"/>
  <c r="AN50" i="69"/>
  <c r="AC50" i="69"/>
  <c r="P50" i="69"/>
  <c r="AM50" i="69"/>
  <c r="AX50" i="69"/>
  <c r="N50" i="69" a="1"/>
  <c r="N50" i="69" s="1"/>
  <c r="Q50" i="69"/>
  <c r="W50" i="69"/>
  <c r="BK50" i="69" s="1"/>
  <c r="G50" i="69"/>
  <c r="K50" i="69" a="1"/>
  <c r="K50" i="69" s="1"/>
  <c r="S50" i="69"/>
  <c r="B50" i="69"/>
  <c r="U50" i="69" a="1"/>
  <c r="U50" i="69" s="1"/>
  <c r="N40" i="69" a="1"/>
  <c r="N40" i="69" s="1"/>
  <c r="AX40" i="69"/>
  <c r="BP40" i="69"/>
  <c r="S40" i="69"/>
  <c r="W40" i="69"/>
  <c r="P40" i="69"/>
  <c r="AE40" i="69" s="1" a="1"/>
  <c r="AE40" i="69" s="1"/>
  <c r="A40" i="69"/>
  <c r="AT40" i="69" s="1" a="1"/>
  <c r="AT40" i="69" s="1"/>
  <c r="M40" i="69"/>
  <c r="T40" i="69"/>
  <c r="AM40" i="69"/>
  <c r="AC40" i="69"/>
  <c r="AB40" i="69" a="1"/>
  <c r="AB40" i="69" s="1"/>
  <c r="AA40" i="69"/>
  <c r="V40" i="69"/>
  <c r="B40" i="69" s="1"/>
  <c r="AW40" i="69"/>
  <c r="AN40" i="69"/>
  <c r="Q40" i="69"/>
  <c r="BK40" i="69"/>
  <c r="BN40" i="69"/>
  <c r="U40" i="69" a="1"/>
  <c r="U40" i="69" s="1"/>
  <c r="K40" i="69" a="1"/>
  <c r="K40" i="69" s="1"/>
  <c r="G40" i="69"/>
  <c r="Y40" i="69"/>
  <c r="Z40" i="69"/>
  <c r="J40" i="69"/>
  <c r="V37" i="69"/>
  <c r="B37" i="69" s="1"/>
  <c r="BP37" i="69"/>
  <c r="W37" i="69"/>
  <c r="BL37" i="69" s="1" a="1"/>
  <c r="BL37" i="69" s="1"/>
  <c r="AW37" i="69"/>
  <c r="AM37" i="69"/>
  <c r="AB37" i="69" a="1"/>
  <c r="AB37" i="69" s="1"/>
  <c r="AN37" i="69"/>
  <c r="AC37" i="69"/>
  <c r="Q37" i="69"/>
  <c r="AX37" i="69"/>
  <c r="P37" i="69"/>
  <c r="AE37" i="69" s="1" a="1"/>
  <c r="AE37" i="69" s="1"/>
  <c r="A37" i="69"/>
  <c r="M37" i="69"/>
  <c r="T37" i="69"/>
  <c r="AA37" i="69"/>
  <c r="N37" i="69" a="1"/>
  <c r="N37" i="69" s="1"/>
  <c r="G37" i="69"/>
  <c r="S37" i="69"/>
  <c r="Y37" i="69"/>
  <c r="J37" i="69"/>
  <c r="Z37" i="69"/>
  <c r="AX1265" i="13"/>
  <c r="A1364" i="13"/>
  <c r="AV36" i="13"/>
  <c r="AY34" i="4"/>
  <c r="Z1330" i="13"/>
  <c r="L34" i="4"/>
  <c r="F34" i="4"/>
  <c r="AW34" i="4"/>
  <c r="L34" i="69" s="1"/>
  <c r="AP34" i="4"/>
  <c r="AV336" i="13" s="1"/>
  <c r="AV436" i="13" s="1"/>
  <c r="V37" i="22"/>
  <c r="CX34" i="4"/>
  <c r="CY34" i="4" s="1"/>
  <c r="CZ34" i="4" a="1"/>
  <c r="CZ34" i="4" s="1"/>
  <c r="W37" i="22"/>
  <c r="Y37" i="22" s="1"/>
  <c r="A1332" i="13"/>
  <c r="AX1233" i="13"/>
  <c r="C56" i="14"/>
  <c r="AY20" i="4"/>
  <c r="AV22" i="13"/>
  <c r="Z1316" i="13"/>
  <c r="F20" i="4"/>
  <c r="L20" i="4"/>
  <c r="AW20" i="4"/>
  <c r="K20" i="69" s="1" a="1"/>
  <c r="K20" i="69" s="1"/>
  <c r="AP20" i="4"/>
  <c r="AV322" i="13" s="1"/>
  <c r="AV422" i="13" s="1"/>
  <c r="W30" i="22"/>
  <c r="Y30" i="22" s="1"/>
  <c r="CV20" i="4"/>
  <c r="CW20" i="4" s="1"/>
  <c r="I11" i="7" a="1"/>
  <c r="I11" i="7" s="1"/>
  <c r="V30" i="22"/>
  <c r="H11" i="7" a="1"/>
  <c r="H11" i="7" s="1"/>
  <c r="CZ20" i="4" a="1"/>
  <c r="CZ20" i="4" s="1"/>
  <c r="AX1225" i="13"/>
  <c r="A1324" i="13"/>
  <c r="C54" i="14"/>
  <c r="AV19" i="13"/>
  <c r="AW17" i="4"/>
  <c r="K17" i="69" s="1" a="1"/>
  <c r="K17" i="69" s="1"/>
  <c r="F17" i="4"/>
  <c r="AY17" i="4"/>
  <c r="Z1313" i="13"/>
  <c r="L17" i="4"/>
  <c r="CA17" i="4" s="1"/>
  <c r="AP17" i="4"/>
  <c r="AV319" i="13" s="1"/>
  <c r="AV419" i="13" s="1"/>
  <c r="CZ17" i="4" a="1"/>
  <c r="CZ17" i="4" s="1"/>
  <c r="CX17" i="4"/>
  <c r="CY17" i="4" s="1"/>
  <c r="V26" i="22"/>
  <c r="W26" i="22"/>
  <c r="Y26" i="22" s="1"/>
  <c r="AY26" i="4"/>
  <c r="Z1322" i="13"/>
  <c r="AV28" i="13"/>
  <c r="F26" i="4"/>
  <c r="L26" i="4"/>
  <c r="AW26" i="4"/>
  <c r="L26" i="69" s="1"/>
  <c r="AP26" i="4"/>
  <c r="AV328" i="13" s="1"/>
  <c r="AV428" i="13" s="1"/>
  <c r="CZ26" i="4" a="1"/>
  <c r="CZ26" i="4" s="1"/>
  <c r="CV26" i="4"/>
  <c r="CW26" i="4" s="1"/>
  <c r="CX26" i="4"/>
  <c r="CY26" i="4" s="1"/>
  <c r="W42" i="22"/>
  <c r="Y42" i="22" s="1"/>
  <c r="V42" i="22"/>
  <c r="G16" i="27" a="1"/>
  <c r="G16" i="27" s="1"/>
  <c r="BD20" i="4"/>
  <c r="AX1203" i="13"/>
  <c r="A1302" i="13"/>
  <c r="E166" i="15"/>
  <c r="E107" i="15"/>
  <c r="E137" i="15"/>
  <c r="E128" i="15"/>
  <c r="E268" i="15"/>
  <c r="E85" i="15"/>
  <c r="E150" i="15"/>
  <c r="E437" i="15"/>
  <c r="E377" i="15"/>
  <c r="F376" i="15" s="1" a="1"/>
  <c r="F376" i="15" s="1"/>
  <c r="E309" i="15"/>
  <c r="E105" i="15"/>
  <c r="E357" i="15"/>
  <c r="E183" i="15"/>
  <c r="E533" i="15"/>
  <c r="E250" i="15"/>
  <c r="AX281" i="13"/>
  <c r="A381" i="13"/>
  <c r="AX381" i="13" s="1"/>
  <c r="F56" i="4"/>
  <c r="B66" i="4"/>
  <c r="AL66" i="4" s="1"/>
  <c r="I66" i="69" s="1"/>
  <c r="BA66" i="4" a="1"/>
  <c r="BA66" i="4" s="1"/>
  <c r="BB66" i="4" s="1"/>
  <c r="AV168" i="13" s="1"/>
  <c r="CV11" i="4"/>
  <c r="CW11" i="4" s="1"/>
  <c r="E382" i="15"/>
  <c r="E253" i="15"/>
  <c r="E587" i="15"/>
  <c r="E102" i="15"/>
  <c r="AX1266" i="13"/>
  <c r="A1365" i="13"/>
  <c r="E11" i="4"/>
  <c r="BT11" i="4" s="1"/>
  <c r="BI4" i="69" a="1"/>
  <c r="BI4" i="69" s="1"/>
  <c r="E13" i="4"/>
  <c r="E51" i="15"/>
  <c r="E527" i="15"/>
  <c r="E388" i="15"/>
  <c r="E273" i="15"/>
  <c r="E155" i="15"/>
  <c r="E199" i="15"/>
  <c r="E586" i="15"/>
  <c r="E106" i="15"/>
  <c r="E74" i="15"/>
  <c r="AX212" i="13"/>
  <c r="A312" i="13"/>
  <c r="AX312" i="13" s="1"/>
  <c r="BD6" i="4"/>
  <c r="BR6" i="4" s="1"/>
  <c r="O6" i="69" s="1"/>
  <c r="E35" i="4"/>
  <c r="BT35" i="4" s="1"/>
  <c r="BD90" i="4"/>
  <c r="BR90" i="4" s="1"/>
  <c r="BF90" i="69" s="1"/>
  <c r="BA81" i="4" a="1"/>
  <c r="BA81" i="4" s="1"/>
  <c r="BB81" i="4" s="1"/>
  <c r="AV183" i="13" s="1"/>
  <c r="B81" i="4"/>
  <c r="B87" i="4"/>
  <c r="BA87" i="4" a="1"/>
  <c r="BA87" i="4" s="1"/>
  <c r="BB87" i="4" s="1"/>
  <c r="AV189" i="13" s="1"/>
  <c r="AH75" i="4"/>
  <c r="AV1371" i="13" s="1"/>
  <c r="Z34" i="4"/>
  <c r="AV1231" i="13" s="1"/>
  <c r="AL3" i="4"/>
  <c r="I3" i="69" s="1"/>
  <c r="Z8" i="4"/>
  <c r="AV1205" i="13" s="1"/>
  <c r="Z59" i="4"/>
  <c r="AV1256" i="13" s="1"/>
  <c r="AH67" i="4"/>
  <c r="AV1363" i="13" s="1"/>
  <c r="Z43" i="4"/>
  <c r="AV1240" i="13" s="1"/>
  <c r="AH84" i="4"/>
  <c r="AV1380" i="13" s="1"/>
  <c r="Z64" i="4"/>
  <c r="AV1261" i="13" s="1"/>
  <c r="AL9" i="4"/>
  <c r="I9" i="69" s="1"/>
  <c r="AD73" i="4"/>
  <c r="F73" i="69" s="1"/>
  <c r="AB14" i="69" a="1"/>
  <c r="AB14" i="69" s="1"/>
  <c r="N14" i="69" a="1"/>
  <c r="N14" i="69" s="1"/>
  <c r="M14" i="69"/>
  <c r="BP14" i="69"/>
  <c r="AW14" i="69"/>
  <c r="P14" i="69"/>
  <c r="U14" i="69" a="1"/>
  <c r="U14" i="69" s="1"/>
  <c r="V14" i="69"/>
  <c r="AN14" i="69"/>
  <c r="A14" i="69"/>
  <c r="AX14" i="69"/>
  <c r="Q14" i="69"/>
  <c r="AA14" i="69"/>
  <c r="W14" i="69"/>
  <c r="T14" i="69"/>
  <c r="AM14" i="69"/>
  <c r="AC14" i="69"/>
  <c r="K14" i="69" a="1"/>
  <c r="K14" i="69" s="1"/>
  <c r="G14" i="69"/>
  <c r="AT14" i="69" a="1"/>
  <c r="AT14" i="69" s="1"/>
  <c r="BF14" i="69"/>
  <c r="Y14" i="69"/>
  <c r="Z14" i="69"/>
  <c r="J14" i="69"/>
  <c r="AL44" i="4"/>
  <c r="I44" i="69" s="1"/>
  <c r="AL93" i="4"/>
  <c r="I93" i="69" s="1"/>
  <c r="AH86" i="4"/>
  <c r="AV1382" i="13" s="1"/>
  <c r="AD83" i="4"/>
  <c r="F83" i="69" s="1"/>
  <c r="N87" i="69" a="1"/>
  <c r="N87" i="69" s="1"/>
  <c r="BP87" i="69"/>
  <c r="A87" i="69"/>
  <c r="AN87" i="69"/>
  <c r="AX87" i="69"/>
  <c r="W87" i="69"/>
  <c r="AA87" i="69"/>
  <c r="Q87" i="69"/>
  <c r="AT87" i="69" s="1" a="1"/>
  <c r="AT87" i="69" s="1"/>
  <c r="P87" i="69"/>
  <c r="V87" i="69"/>
  <c r="AB87" i="69" a="1"/>
  <c r="AB87" i="69" s="1"/>
  <c r="AW87" i="69"/>
  <c r="AM87" i="69"/>
  <c r="AC87" i="69"/>
  <c r="M87" i="69"/>
  <c r="Y87" i="69"/>
  <c r="Z87" i="69"/>
  <c r="J87" i="69"/>
  <c r="G60" i="4"/>
  <c r="BO60" i="4"/>
  <c r="AL36" i="4"/>
  <c r="I36" i="69" s="1"/>
  <c r="AH17" i="4"/>
  <c r="AV1313" i="13" s="1"/>
  <c r="Z57" i="4"/>
  <c r="AV1254" i="13" s="1"/>
  <c r="AH11" i="4"/>
  <c r="AV1307" i="13" s="1"/>
  <c r="N20" i="69" a="1"/>
  <c r="N20" i="69" s="1"/>
  <c r="V20" i="69"/>
  <c r="B20" i="69" s="1"/>
  <c r="AC20" i="69"/>
  <c r="AB20" i="69" a="1"/>
  <c r="AB20" i="69" s="1"/>
  <c r="BP20" i="69"/>
  <c r="AA20" i="69"/>
  <c r="M20" i="69"/>
  <c r="P20" i="69"/>
  <c r="AX20" i="69"/>
  <c r="T20" i="69"/>
  <c r="Y20" i="69"/>
  <c r="W20" i="69"/>
  <c r="BC20" i="69" s="1"/>
  <c r="J20" i="69"/>
  <c r="U20" i="69" a="1"/>
  <c r="U20" i="69" s="1"/>
  <c r="Z20" i="69"/>
  <c r="AM20" i="69"/>
  <c r="AN20" i="69"/>
  <c r="Q20" i="69"/>
  <c r="A20" i="69"/>
  <c r="AW20" i="69"/>
  <c r="S20" i="69"/>
  <c r="G20" i="69"/>
  <c r="L20" i="69"/>
  <c r="Z87" i="4"/>
  <c r="AV1284" i="13" s="1"/>
  <c r="AD74" i="4"/>
  <c r="F74" i="69" s="1"/>
  <c r="AD36" i="4"/>
  <c r="F36" i="69" s="1"/>
  <c r="AD27" i="4"/>
  <c r="F27" i="69" s="1"/>
  <c r="AH47" i="4"/>
  <c r="AV1343" i="13" s="1"/>
  <c r="AD8" i="4"/>
  <c r="F8" i="69" s="1"/>
  <c r="T34" i="69"/>
  <c r="V34" i="69"/>
  <c r="A34" i="69"/>
  <c r="AX34" i="69"/>
  <c r="P34" i="69"/>
  <c r="N34" i="69" a="1"/>
  <c r="N34" i="69" s="1"/>
  <c r="BP34" i="69"/>
  <c r="Y34" i="69"/>
  <c r="AN34" i="69"/>
  <c r="AW34" i="69"/>
  <c r="BN34" i="69" s="1"/>
  <c r="M34" i="69"/>
  <c r="AB34" i="69" a="1"/>
  <c r="AB34" i="69" s="1"/>
  <c r="J34" i="69"/>
  <c r="AC34" i="69"/>
  <c r="W34" i="69"/>
  <c r="BC34" i="69" s="1"/>
  <c r="Q34" i="69"/>
  <c r="AA34" i="69"/>
  <c r="Z34" i="69"/>
  <c r="AM34" i="69"/>
  <c r="K34" i="69" a="1"/>
  <c r="K34" i="69" s="1"/>
  <c r="U34" i="69" a="1"/>
  <c r="U34" i="69" s="1"/>
  <c r="AD91" i="4"/>
  <c r="F91" i="69" s="1"/>
  <c r="AD57" i="4"/>
  <c r="F57" i="69" s="1"/>
  <c r="AD85" i="4"/>
  <c r="F85" i="69" s="1"/>
  <c r="AL28" i="4"/>
  <c r="I28" i="69" s="1"/>
  <c r="AH66" i="4"/>
  <c r="AV1362" i="13" s="1"/>
  <c r="AL79" i="4"/>
  <c r="I79" i="69" s="1"/>
  <c r="AW76" i="69"/>
  <c r="AX76" i="69"/>
  <c r="J76" i="69"/>
  <c r="Q76" i="69"/>
  <c r="AA76" i="69"/>
  <c r="W76" i="69"/>
  <c r="L76" i="69" s="1"/>
  <c r="AM76" i="69"/>
  <c r="AB76" i="69" a="1"/>
  <c r="AB76" i="69" s="1"/>
  <c r="A76" i="69"/>
  <c r="BC76" i="69" s="1"/>
  <c r="AC76" i="69"/>
  <c r="P76" i="69"/>
  <c r="BP76" i="69"/>
  <c r="M76" i="69"/>
  <c r="N76" i="69" a="1"/>
  <c r="N76" i="69" s="1"/>
  <c r="V76" i="69"/>
  <c r="Y76" i="69"/>
  <c r="Z76" i="69"/>
  <c r="AN76" i="69"/>
  <c r="T76" i="69"/>
  <c r="U76" i="69" a="1"/>
  <c r="U76" i="69" s="1"/>
  <c r="B76" i="69"/>
  <c r="S76" i="69"/>
  <c r="BK76" i="69"/>
  <c r="G76" i="69"/>
  <c r="W73" i="69"/>
  <c r="L73" i="69" s="1"/>
  <c r="BP73" i="69"/>
  <c r="AB73" i="69" a="1"/>
  <c r="AB73" i="69" s="1"/>
  <c r="AX73" i="69"/>
  <c r="P73" i="69"/>
  <c r="AW73" i="69"/>
  <c r="A73" i="69"/>
  <c r="AA73" i="69"/>
  <c r="E73" i="69" s="1"/>
  <c r="AN73" i="69"/>
  <c r="V73" i="69"/>
  <c r="Q73" i="69"/>
  <c r="AE73" i="69" s="1" a="1"/>
  <c r="AE73" i="69" s="1"/>
  <c r="N73" i="69" a="1"/>
  <c r="N73" i="69" s="1"/>
  <c r="AM73" i="69"/>
  <c r="AC73" i="69"/>
  <c r="T73" i="69"/>
  <c r="M73" i="69"/>
  <c r="U73" i="69" a="1"/>
  <c r="U73" i="69" s="1"/>
  <c r="G73" i="69"/>
  <c r="Y73" i="69"/>
  <c r="J73" i="69"/>
  <c r="Z73" i="69"/>
  <c r="AB67" i="69" a="1"/>
  <c r="AB67" i="69" s="1"/>
  <c r="AX67" i="69"/>
  <c r="P67" i="69"/>
  <c r="A67" i="69"/>
  <c r="AM67" i="69"/>
  <c r="W67" i="69"/>
  <c r="Q67" i="69"/>
  <c r="N67" i="69" a="1"/>
  <c r="N67" i="69" s="1"/>
  <c r="AA67" i="69"/>
  <c r="AC67" i="69"/>
  <c r="BP67" i="69"/>
  <c r="AN67" i="69"/>
  <c r="AW67" i="69"/>
  <c r="V67" i="69"/>
  <c r="M67" i="69"/>
  <c r="T67" i="69"/>
  <c r="Y67" i="69"/>
  <c r="J67" i="69"/>
  <c r="Z67" i="69"/>
  <c r="AM45" i="69"/>
  <c r="A45" i="69"/>
  <c r="AC45" i="69"/>
  <c r="AN45" i="69"/>
  <c r="J45" i="69"/>
  <c r="AW45" i="69"/>
  <c r="BN45" i="69" s="1"/>
  <c r="BP45" i="69"/>
  <c r="P45" i="69"/>
  <c r="M45" i="69"/>
  <c r="N45" i="69" a="1"/>
  <c r="N45" i="69" s="1"/>
  <c r="V45" i="69"/>
  <c r="Z45" i="69"/>
  <c r="Y45" i="69"/>
  <c r="AA45" i="69"/>
  <c r="E45" i="69" s="1"/>
  <c r="W45" i="69"/>
  <c r="BL45" i="69" s="1" a="1"/>
  <c r="BL45" i="69" s="1"/>
  <c r="AX45" i="69"/>
  <c r="T45" i="69"/>
  <c r="AB45" i="69" a="1"/>
  <c r="AB45" i="69" s="1"/>
  <c r="Q45" i="69"/>
  <c r="K45" i="69" a="1"/>
  <c r="K45" i="69" s="1"/>
  <c r="AE45" i="69" a="1"/>
  <c r="AE45" i="69" s="1"/>
  <c r="AS45" i="69" s="1" a="1"/>
  <c r="AS45" i="69" s="1"/>
  <c r="U45" i="69" a="1"/>
  <c r="U45" i="69" s="1"/>
  <c r="L37" i="4"/>
  <c r="Z1333" i="13"/>
  <c r="AY37" i="4"/>
  <c r="AV39" i="13"/>
  <c r="AW37" i="4"/>
  <c r="L37" i="69" s="1"/>
  <c r="F37" i="4"/>
  <c r="AP37" i="4"/>
  <c r="AV339" i="13" s="1"/>
  <c r="AV439" i="13" s="1"/>
  <c r="W54" i="22"/>
  <c r="Y54" i="22" s="1"/>
  <c r="V54" i="22"/>
  <c r="CV37" i="4"/>
  <c r="CW37" i="4" s="1"/>
  <c r="CZ37" i="4" a="1"/>
  <c r="CZ37" i="4" s="1"/>
  <c r="F31" i="4"/>
  <c r="L31" i="4"/>
  <c r="AY31" i="4"/>
  <c r="AV33" i="13"/>
  <c r="Z1327" i="13"/>
  <c r="AW31" i="4"/>
  <c r="L31" i="69" s="1"/>
  <c r="AP31" i="4"/>
  <c r="AV333" i="13" s="1"/>
  <c r="AV433" i="13" s="1"/>
  <c r="W50" i="22"/>
  <c r="Y50" i="22" s="1"/>
  <c r="V50" i="22"/>
  <c r="CZ31" i="4" a="1"/>
  <c r="CZ31" i="4" s="1"/>
  <c r="CV31" i="4"/>
  <c r="CW31" i="4" s="1"/>
  <c r="CX31" i="4"/>
  <c r="CY31" i="4" s="1"/>
  <c r="E16" i="4"/>
  <c r="BT16" i="4" s="1"/>
  <c r="E486" i="15"/>
  <c r="E144" i="15"/>
  <c r="E134" i="15"/>
  <c r="E156" i="15"/>
  <c r="E371" i="15"/>
  <c r="CV16" i="4"/>
  <c r="CW16" i="4" s="1"/>
  <c r="E387" i="15"/>
  <c r="E47" i="15"/>
  <c r="E12" i="4"/>
  <c r="BT12" i="4" s="1"/>
  <c r="AV12" i="13"/>
  <c r="Z1306" i="13"/>
  <c r="AY10" i="4"/>
  <c r="AW10" i="4"/>
  <c r="K10" i="69" s="1" a="1"/>
  <c r="K10" i="69" s="1"/>
  <c r="F10" i="4"/>
  <c r="L10" i="4"/>
  <c r="CA10" i="4" s="1"/>
  <c r="AP10" i="4"/>
  <c r="AV312" i="13" s="1"/>
  <c r="AV412" i="13" s="1"/>
  <c r="W20" i="22"/>
  <c r="Y20" i="22" s="1"/>
  <c r="V20" i="22"/>
  <c r="CZ10" i="4" a="1"/>
  <c r="CZ10" i="4" s="1"/>
  <c r="CX10" i="4"/>
  <c r="CY10" i="4" s="1"/>
  <c r="CV10" i="4"/>
  <c r="CW10" i="4" s="1"/>
  <c r="AX292" i="13"/>
  <c r="A392" i="13"/>
  <c r="AX392" i="13" s="1"/>
  <c r="E50" i="15"/>
  <c r="E330" i="15"/>
  <c r="E339" i="15"/>
  <c r="E179" i="15"/>
  <c r="E178" i="15"/>
  <c r="E576" i="15"/>
  <c r="E354" i="15"/>
  <c r="E564" i="15"/>
  <c r="E154" i="15"/>
  <c r="F38" i="14"/>
  <c r="P38" i="14" s="1"/>
  <c r="AW28" i="4"/>
  <c r="L28" i="69" s="1"/>
  <c r="AY28" i="4"/>
  <c r="AV30" i="13"/>
  <c r="L28" i="4"/>
  <c r="F28" i="4"/>
  <c r="Z1324" i="13"/>
  <c r="AP28" i="4"/>
  <c r="AV330" i="13" s="1"/>
  <c r="AV430" i="13" s="1"/>
  <c r="V43" i="22"/>
  <c r="W43" i="22"/>
  <c r="Y43" i="22" s="1"/>
  <c r="CV28" i="4"/>
  <c r="CW28" i="4" s="1"/>
  <c r="CX28" i="4"/>
  <c r="CY28" i="4" s="1"/>
  <c r="CZ28" i="4" a="1"/>
  <c r="CZ28" i="4" s="1"/>
  <c r="W93" i="22"/>
  <c r="Y93" i="22" s="1"/>
  <c r="E26" i="4"/>
  <c r="E373" i="15"/>
  <c r="E347" i="15"/>
  <c r="E618" i="15"/>
  <c r="E602" i="15"/>
  <c r="E473" i="15"/>
  <c r="E52" i="15"/>
  <c r="E86" i="15"/>
  <c r="A1374" i="13"/>
  <c r="AX1275" i="13"/>
  <c r="A334" i="13"/>
  <c r="AX334" i="13" s="1"/>
  <c r="AX234" i="13"/>
  <c r="C21" i="1"/>
  <c r="K3" i="1" a="1"/>
  <c r="K3" i="1" s="1"/>
  <c r="K101" i="1" s="1"/>
  <c r="AV305" i="13"/>
  <c r="W89" i="22"/>
  <c r="Y89" i="22" s="1"/>
  <c r="AW57" i="4"/>
  <c r="L57" i="69" s="1"/>
  <c r="Z1353" i="13"/>
  <c r="AV59" i="13"/>
  <c r="AY57" i="4"/>
  <c r="F57" i="4"/>
  <c r="L57" i="4"/>
  <c r="CA57" i="4" s="1"/>
  <c r="AP57" i="4"/>
  <c r="AV359" i="13" s="1"/>
  <c r="AV459" i="13" s="1"/>
  <c r="CX57" i="4"/>
  <c r="CY57" i="4" s="1"/>
  <c r="CV38" i="4"/>
  <c r="CW38" i="4" s="1"/>
  <c r="B16" i="27" a="1"/>
  <c r="B16" i="27" s="1"/>
  <c r="AX273" i="13"/>
  <c r="A373" i="13"/>
  <c r="AX373" i="13" s="1"/>
  <c r="AX1247" i="13"/>
  <c r="A1346" i="13"/>
  <c r="AX1274" i="13"/>
  <c r="A1373" i="13"/>
  <c r="E43" i="4"/>
  <c r="E99" i="15"/>
  <c r="B89" i="4"/>
  <c r="CZ89" i="4" s="1" a="1"/>
  <c r="CZ89" i="4" s="1"/>
  <c r="BA89" i="4" a="1"/>
  <c r="BA89" i="4" s="1"/>
  <c r="BB89" i="4" s="1"/>
  <c r="M89" i="69" s="1"/>
  <c r="E6" i="4"/>
  <c r="BT6" i="4" s="1"/>
  <c r="E90" i="4"/>
  <c r="BT90" i="4" s="1"/>
  <c r="H93" i="9"/>
  <c r="S87" i="22"/>
  <c r="A55" i="4"/>
  <c r="D55" i="4"/>
  <c r="A57" i="9"/>
  <c r="H57" i="9" s="1"/>
  <c r="W98" i="22"/>
  <c r="Y98" i="22" s="1"/>
  <c r="BU55" i="4" a="1"/>
  <c r="BU55" i="4" s="1"/>
  <c r="A55" i="20"/>
  <c r="BC55" i="4" a="1"/>
  <c r="BC55" i="4" s="1"/>
  <c r="BC97" i="4" s="1"/>
  <c r="D55" i="1"/>
  <c r="BV55" i="4" a="1"/>
  <c r="BV55" i="4" s="1"/>
  <c r="C55" i="4"/>
  <c r="W90" i="22"/>
  <c r="Z90" i="22" s="1"/>
  <c r="AB58" i="69" a="1"/>
  <c r="AB58" i="69" s="1"/>
  <c r="J94" i="69"/>
  <c r="M22" i="9"/>
  <c r="E975" i="15"/>
  <c r="J795" i="15"/>
  <c r="M43" i="9"/>
  <c r="M63" i="9"/>
  <c r="J846" i="15"/>
  <c r="J771" i="15"/>
  <c r="J775" i="15"/>
  <c r="J920" i="15"/>
  <c r="J766" i="15"/>
  <c r="M14" i="9"/>
  <c r="J928" i="15"/>
  <c r="M85" i="9"/>
  <c r="J699" i="15"/>
  <c r="N98" i="9"/>
  <c r="L98" i="9" s="1"/>
  <c r="J888" i="15"/>
  <c r="J729" i="15"/>
  <c r="F13" i="15"/>
  <c r="N92" i="9"/>
  <c r="L92" i="9" s="1"/>
  <c r="E758" i="15"/>
  <c r="I3" i="15" a="1"/>
  <c r="I3" i="15" s="1"/>
  <c r="H20" i="7" a="1"/>
  <c r="H20" i="7" s="1"/>
  <c r="M91" i="9"/>
  <c r="E712" i="15"/>
  <c r="J999" i="15"/>
  <c r="K41" i="9"/>
  <c r="E993" i="15"/>
  <c r="J547" i="15"/>
  <c r="J800" i="15"/>
  <c r="E793" i="15"/>
  <c r="E627" i="15"/>
  <c r="E737" i="15"/>
  <c r="J815" i="15"/>
  <c r="E764" i="15"/>
  <c r="E634" i="15"/>
  <c r="M58" i="9"/>
  <c r="W65" i="22"/>
  <c r="Y65" i="22" s="1"/>
  <c r="H14" i="7" a="1"/>
  <c r="H14" i="7" s="1"/>
  <c r="J760" i="15"/>
  <c r="J991" i="15"/>
  <c r="M10" i="9"/>
  <c r="J651" i="15"/>
  <c r="E948" i="15"/>
  <c r="J686" i="15"/>
  <c r="W77" i="22"/>
  <c r="Y77" i="22" s="1"/>
  <c r="E621" i="15"/>
  <c r="E787" i="15"/>
  <c r="J987" i="15"/>
  <c r="E162" i="15"/>
  <c r="E726" i="15"/>
  <c r="E935" i="15"/>
  <c r="M81" i="9"/>
  <c r="E855" i="15"/>
  <c r="E664" i="15"/>
  <c r="AV1490" i="13"/>
  <c r="E775" i="15"/>
  <c r="J911" i="15"/>
  <c r="J990" i="15"/>
  <c r="E638" i="15"/>
  <c r="J850" i="15"/>
  <c r="J937" i="15"/>
  <c r="M28" i="9"/>
  <c r="E772" i="15"/>
  <c r="E786" i="15"/>
  <c r="V12" i="22"/>
  <c r="K24" i="9"/>
  <c r="J876" i="15"/>
  <c r="J903" i="15"/>
  <c r="E131" i="15"/>
  <c r="J895" i="15"/>
  <c r="J627" i="15"/>
  <c r="J889" i="15"/>
  <c r="E323" i="15"/>
  <c r="E721" i="15"/>
  <c r="E906" i="15"/>
  <c r="J788" i="15"/>
  <c r="J724" i="15"/>
  <c r="J894" i="15"/>
  <c r="N13" i="9"/>
  <c r="L13" i="9" s="1"/>
  <c r="J824" i="15"/>
  <c r="N47" i="9"/>
  <c r="L47" i="9" s="1"/>
  <c r="E899" i="15"/>
  <c r="N49" i="9"/>
  <c r="L49" i="9" s="1"/>
  <c r="J868" i="15"/>
  <c r="J851" i="15"/>
  <c r="J749" i="15"/>
  <c r="AV1491" i="13"/>
  <c r="E789" i="15"/>
  <c r="J948" i="15"/>
  <c r="E719" i="15"/>
  <c r="E756" i="15"/>
  <c r="J656" i="15"/>
  <c r="J955" i="15"/>
  <c r="J635" i="15"/>
  <c r="E731" i="15"/>
  <c r="J532" i="15"/>
  <c r="K527" i="15" s="1" a="1"/>
  <c r="K527" i="15" s="1"/>
  <c r="J753" i="15"/>
  <c r="W51" i="22"/>
  <c r="Y51" i="22" s="1"/>
  <c r="E739" i="15"/>
  <c r="J751" i="15"/>
  <c r="K67" i="9"/>
  <c r="E680" i="15"/>
  <c r="E358" i="15"/>
  <c r="J776" i="15"/>
  <c r="J650" i="15"/>
  <c r="H23" i="7" a="1"/>
  <c r="H23" i="7" s="1"/>
  <c r="E836" i="15"/>
  <c r="E823" i="15"/>
  <c r="J872" i="15"/>
  <c r="H13" i="7" a="1"/>
  <c r="H13" i="7" s="1"/>
  <c r="J792" i="15"/>
  <c r="J609" i="15"/>
  <c r="E854" i="15"/>
  <c r="E950" i="15"/>
  <c r="J886" i="15"/>
  <c r="J711" i="15"/>
  <c r="E769" i="15"/>
  <c r="J634" i="15"/>
  <c r="E288" i="15"/>
  <c r="J956" i="15"/>
  <c r="N97" i="9"/>
  <c r="L97" i="9" s="1"/>
  <c r="E839" i="15"/>
  <c r="H16" i="7" a="1"/>
  <c r="H16" i="7" s="1"/>
  <c r="J643" i="15"/>
  <c r="J731" i="15"/>
  <c r="J673" i="15"/>
  <c r="J600" i="15"/>
  <c r="K6" i="9"/>
  <c r="P6" i="9" s="1"/>
  <c r="J863" i="15"/>
  <c r="M23" i="9"/>
  <c r="J875" i="15"/>
  <c r="M88" i="9"/>
  <c r="N21" i="9"/>
  <c r="L21" i="9" s="1"/>
  <c r="E909" i="15"/>
  <c r="K34" i="9"/>
  <c r="E648" i="15"/>
  <c r="J953" i="15"/>
  <c r="J935" i="15"/>
  <c r="K44" i="9"/>
  <c r="M33" i="9"/>
  <c r="N24" i="9"/>
  <c r="L24" i="9" s="1"/>
  <c r="K76" i="9"/>
  <c r="P76" i="9" s="1"/>
  <c r="E88" i="15"/>
  <c r="J716" i="15"/>
  <c r="J837" i="15"/>
  <c r="J822" i="15"/>
  <c r="N29" i="9"/>
  <c r="L29" i="9" s="1"/>
  <c r="E700" i="15"/>
  <c r="K33" i="9"/>
  <c r="J661" i="15"/>
  <c r="E741" i="15"/>
  <c r="E757" i="15"/>
  <c r="J680" i="15"/>
  <c r="E895" i="15"/>
  <c r="J950" i="15"/>
  <c r="W95" i="69"/>
  <c r="E519" i="15"/>
  <c r="J967" i="15"/>
  <c r="E988" i="15"/>
  <c r="N95" i="9"/>
  <c r="L95" i="9" s="1"/>
  <c r="E824" i="15"/>
  <c r="N6" i="9"/>
  <c r="L6" i="9" s="1"/>
  <c r="J494" i="15"/>
  <c r="J958" i="15"/>
  <c r="K50" i="9"/>
  <c r="J962" i="15"/>
  <c r="J783" i="15"/>
  <c r="J803" i="15"/>
  <c r="E898" i="15"/>
  <c r="E315" i="15"/>
  <c r="J777" i="15"/>
  <c r="K30" i="9"/>
  <c r="J988" i="15"/>
  <c r="E814" i="15"/>
  <c r="I14" i="15" a="1"/>
  <c r="I14" i="15" s="1"/>
  <c r="K9" i="9"/>
  <c r="E788" i="15"/>
  <c r="N91" i="9"/>
  <c r="L91" i="9" s="1"/>
  <c r="E660" i="15"/>
  <c r="E873" i="15"/>
  <c r="V35" i="22"/>
  <c r="J807" i="15"/>
  <c r="I4" i="15" a="1"/>
  <c r="I4" i="15" s="1"/>
  <c r="E952" i="15"/>
  <c r="N95" i="69" a="1"/>
  <c r="N95" i="69" s="1"/>
  <c r="H21" i="7" a="1"/>
  <c r="H21" i="7" s="1"/>
  <c r="E980" i="15"/>
  <c r="N53" i="9"/>
  <c r="L53" i="9" s="1"/>
  <c r="E639" i="15"/>
  <c r="N62" i="9"/>
  <c r="L62" i="9" s="1"/>
  <c r="E503" i="15"/>
  <c r="E701" i="15"/>
  <c r="K52" i="9"/>
  <c r="P52" i="9" s="1"/>
  <c r="J808" i="15"/>
  <c r="K28" i="9"/>
  <c r="AV1497" i="13"/>
  <c r="AV1596" i="13" s="1"/>
  <c r="N65" i="9"/>
  <c r="L65" i="9" s="1"/>
  <c r="J640" i="15"/>
  <c r="P95" i="69"/>
  <c r="AE95" i="69" s="1" a="1"/>
  <c r="AE95" i="69" s="1"/>
  <c r="AS95" i="69" s="1" a="1"/>
  <c r="AS95" i="69" s="1"/>
  <c r="Z1498" i="13"/>
  <c r="J685" i="15"/>
  <c r="W62" i="22"/>
  <c r="Y62" i="22" s="1"/>
  <c r="J652" i="15"/>
  <c r="J901" i="15"/>
  <c r="W76" i="22"/>
  <c r="Y76" i="22" s="1"/>
  <c r="J930" i="15"/>
  <c r="E711" i="15"/>
  <c r="E992" i="15"/>
  <c r="W10" i="22"/>
  <c r="Y10" i="22" s="1"/>
  <c r="K74" i="9"/>
  <c r="J733" i="15"/>
  <c r="E59" i="15"/>
  <c r="J677" i="15"/>
  <c r="E501" i="15"/>
  <c r="E434" i="15"/>
  <c r="E927" i="15"/>
  <c r="E329" i="15"/>
  <c r="E494" i="15"/>
  <c r="J647" i="15"/>
  <c r="E781" i="15"/>
  <c r="V9" i="22"/>
  <c r="E959" i="15"/>
  <c r="M5" i="9"/>
  <c r="J976" i="15"/>
  <c r="E867" i="15"/>
  <c r="J817" i="15"/>
  <c r="M78" i="9"/>
  <c r="E970" i="15"/>
  <c r="N15" i="9"/>
  <c r="L15" i="9" s="1"/>
  <c r="J638" i="15"/>
  <c r="J923" i="15"/>
  <c r="E924" i="15"/>
  <c r="J653" i="15"/>
  <c r="J509" i="15"/>
  <c r="J882" i="15"/>
  <c r="E960" i="15"/>
  <c r="K18" i="9"/>
  <c r="E875" i="15"/>
  <c r="M38" i="9"/>
  <c r="E656" i="15"/>
  <c r="E761" i="15"/>
  <c r="E850" i="15"/>
  <c r="M60" i="9"/>
  <c r="E635" i="15"/>
  <c r="J931" i="15"/>
  <c r="F9" i="15"/>
  <c r="J933" i="15"/>
  <c r="M82" i="9"/>
  <c r="N55" i="9"/>
  <c r="L55" i="9" s="1"/>
  <c r="J556" i="15"/>
  <c r="J688" i="15"/>
  <c r="J906" i="15"/>
  <c r="N51" i="9"/>
  <c r="L51" i="9" s="1"/>
  <c r="E985" i="15"/>
  <c r="N58" i="9"/>
  <c r="L58" i="9" s="1"/>
  <c r="E845" i="15"/>
  <c r="N38" i="9"/>
  <c r="L38" i="9" s="1"/>
  <c r="E826" i="15"/>
  <c r="J826" i="15"/>
  <c r="K68" i="9"/>
  <c r="P68" i="9" s="1"/>
  <c r="E723" i="15"/>
  <c r="W31" i="22"/>
  <c r="Y31" i="22" s="1"/>
  <c r="J847" i="15"/>
  <c r="J679" i="15"/>
  <c r="E307" i="15"/>
  <c r="E984" i="15"/>
  <c r="N26" i="9"/>
  <c r="L26" i="9" s="1"/>
  <c r="J848" i="15"/>
  <c r="J743" i="15"/>
  <c r="M25" i="9"/>
  <c r="J625" i="15"/>
  <c r="J949" i="15"/>
  <c r="J476" i="15"/>
  <c r="E949" i="15"/>
  <c r="E240" i="15"/>
  <c r="J934" i="15"/>
  <c r="E654" i="15"/>
  <c r="N86" i="9"/>
  <c r="L86" i="9" s="1"/>
  <c r="M90" i="9"/>
  <c r="J671" i="15"/>
  <c r="E471" i="15"/>
  <c r="E750" i="15"/>
  <c r="E92" i="15"/>
  <c r="M32" i="9"/>
  <c r="E676" i="15"/>
  <c r="E751" i="15"/>
  <c r="E770" i="15"/>
  <c r="J725" i="15"/>
  <c r="N89" i="9"/>
  <c r="L89" i="9" s="1"/>
  <c r="J917" i="15"/>
  <c r="J632" i="15"/>
  <c r="E803" i="15"/>
  <c r="E649" i="15"/>
  <c r="J860" i="15"/>
  <c r="K21" i="9"/>
  <c r="P21" i="9" s="1"/>
  <c r="N5" i="9"/>
  <c r="L5" i="9" s="1"/>
  <c r="E661" i="15"/>
  <c r="I7" i="15" a="1"/>
  <c r="I7" i="15" s="1"/>
  <c r="K96" i="9"/>
  <c r="J912" i="15"/>
  <c r="K8" i="9"/>
  <c r="J881" i="15"/>
  <c r="J938" i="15"/>
  <c r="E887" i="15"/>
  <c r="J745" i="15"/>
  <c r="E783" i="15"/>
  <c r="J798" i="15"/>
  <c r="E978" i="15"/>
  <c r="E671" i="15"/>
  <c r="K60" i="9"/>
  <c r="P60" i="9" s="1"/>
  <c r="N33" i="9"/>
  <c r="L33" i="9" s="1"/>
  <c r="E921" i="15"/>
  <c r="J893" i="15"/>
  <c r="V33" i="22"/>
  <c r="M29" i="9"/>
  <c r="J946" i="15"/>
  <c r="E868" i="15"/>
  <c r="E842" i="15"/>
  <c r="K73" i="9"/>
  <c r="E929" i="15"/>
  <c r="N10" i="9"/>
  <c r="L10" i="9" s="1"/>
  <c r="M35" i="9"/>
  <c r="J831" i="15"/>
  <c r="J491" i="15"/>
  <c r="K32" i="9"/>
  <c r="E841" i="15"/>
  <c r="J932" i="15"/>
  <c r="F16" i="15"/>
  <c r="E423" i="15"/>
  <c r="J553" i="15"/>
  <c r="E852" i="15"/>
  <c r="N9" i="9"/>
  <c r="L9" i="9" s="1"/>
  <c r="E551" i="15"/>
  <c r="M77" i="9"/>
  <c r="K39" i="9"/>
  <c r="E161" i="15"/>
  <c r="E931" i="15"/>
  <c r="K88" i="9"/>
  <c r="E954" i="15"/>
  <c r="E851" i="15"/>
  <c r="K22" i="9"/>
  <c r="E792" i="15"/>
  <c r="K71" i="9"/>
  <c r="E982" i="15"/>
  <c r="E673" i="15"/>
  <c r="E876" i="15"/>
  <c r="J644" i="15"/>
  <c r="J757" i="15"/>
  <c r="K48" i="9"/>
  <c r="E702" i="15"/>
  <c r="J915" i="15"/>
  <c r="E880" i="15"/>
  <c r="J878" i="15"/>
  <c r="N75" i="9"/>
  <c r="L75" i="9" s="1"/>
  <c r="E747" i="15"/>
  <c r="M73" i="9"/>
  <c r="N32" i="9"/>
  <c r="L32" i="9" s="1"/>
  <c r="E827" i="15"/>
  <c r="E506" i="15"/>
  <c r="J502" i="15"/>
  <c r="E834" i="15"/>
  <c r="K40" i="9"/>
  <c r="N67" i="9"/>
  <c r="L67" i="9" s="1"/>
  <c r="E996" i="15"/>
  <c r="M64" i="9"/>
  <c r="J864" i="15"/>
  <c r="E936" i="15"/>
  <c r="AB94" i="69" a="1"/>
  <c r="AB94" i="69" s="1"/>
  <c r="J669" i="15"/>
  <c r="N90" i="9"/>
  <c r="L90" i="9" s="1"/>
  <c r="M62" i="9"/>
  <c r="J883" i="15"/>
  <c r="J710" i="15"/>
  <c r="J691" i="15"/>
  <c r="N14" i="9"/>
  <c r="L14" i="9" s="1"/>
  <c r="K62" i="9"/>
  <c r="W44" i="22"/>
  <c r="Y44" i="22" s="1"/>
  <c r="J952" i="15"/>
  <c r="E697" i="15"/>
  <c r="J746" i="15"/>
  <c r="J722" i="15"/>
  <c r="J605" i="15"/>
  <c r="M93" i="9"/>
  <c r="F15" i="15"/>
  <c r="AV1501" i="13"/>
  <c r="N41" i="9"/>
  <c r="L41" i="9" s="1"/>
  <c r="E857" i="15"/>
  <c r="M30" i="9"/>
  <c r="J718" i="15"/>
  <c r="M71" i="9"/>
  <c r="E774" i="15"/>
  <c r="E884" i="15"/>
  <c r="J697" i="15"/>
  <c r="E766" i="15"/>
  <c r="K56" i="9"/>
  <c r="M69" i="9"/>
  <c r="J845" i="15"/>
  <c r="E966" i="15"/>
  <c r="F14" i="15"/>
  <c r="F7" i="15"/>
  <c r="E753" i="15"/>
  <c r="E882" i="15"/>
  <c r="N82" i="9"/>
  <c r="L82" i="9" s="1"/>
  <c r="J884" i="15"/>
  <c r="M15" i="9"/>
  <c r="F6" i="15"/>
  <c r="E938" i="15"/>
  <c r="N94" i="9"/>
  <c r="L94" i="9" s="1"/>
  <c r="J904" i="15"/>
  <c r="J964" i="15"/>
  <c r="E532" i="15"/>
  <c r="E401" i="15"/>
  <c r="F401" i="15" s="1" a="1"/>
  <c r="F401" i="15" s="1"/>
  <c r="E825" i="15"/>
  <c r="J944" i="15"/>
  <c r="E692" i="15"/>
  <c r="E918" i="15"/>
  <c r="J715" i="15"/>
  <c r="V11" i="22"/>
  <c r="E830" i="15"/>
  <c r="W67" i="22"/>
  <c r="Y67" i="22" s="1"/>
  <c r="E878" i="15"/>
  <c r="M92" i="9"/>
  <c r="H18" i="7" a="1"/>
  <c r="H18" i="7" s="1"/>
  <c r="E593" i="15"/>
  <c r="E684" i="15"/>
  <c r="J989" i="15"/>
  <c r="J770" i="15"/>
  <c r="E657" i="15"/>
  <c r="M80" i="9"/>
  <c r="E1000" i="15"/>
  <c r="E871" i="15"/>
  <c r="N50" i="9"/>
  <c r="L50" i="9" s="1"/>
  <c r="E958" i="15"/>
  <c r="N78" i="9"/>
  <c r="L78" i="9" s="1"/>
  <c r="E969" i="15"/>
  <c r="F11" i="15"/>
  <c r="J752" i="15"/>
  <c r="M46" i="9"/>
  <c r="J869" i="15"/>
  <c r="J737" i="15"/>
  <c r="M97" i="9"/>
  <c r="E622" i="15"/>
  <c r="J838" i="15"/>
  <c r="J503" i="15"/>
  <c r="J659" i="15"/>
  <c r="E274" i="15"/>
  <c r="J515" i="15"/>
  <c r="J821" i="15"/>
  <c r="J921" i="15"/>
  <c r="J750" i="15"/>
  <c r="N72" i="9"/>
  <c r="L72" i="9" s="1"/>
  <c r="N48" i="9"/>
  <c r="L48" i="9" s="1"/>
  <c r="M56" i="9"/>
  <c r="J480" i="15"/>
  <c r="N479" i="15" s="1" a="1"/>
  <c r="N479" i="15" s="1"/>
  <c r="E665" i="15"/>
  <c r="K55" i="9"/>
  <c r="I15" i="15" a="1"/>
  <c r="I15" i="15" s="1"/>
  <c r="E113" i="15"/>
  <c r="J704" i="15"/>
  <c r="K16" i="9"/>
  <c r="E729" i="15"/>
  <c r="J611" i="15"/>
  <c r="J965" i="15"/>
  <c r="J862" i="15"/>
  <c r="E821" i="15"/>
  <c r="E799" i="15"/>
  <c r="J918" i="15"/>
  <c r="E961" i="15"/>
  <c r="J840" i="15"/>
  <c r="E832" i="15"/>
  <c r="J700" i="15"/>
  <c r="K70" i="9"/>
  <c r="M12" i="9"/>
  <c r="J542" i="15"/>
  <c r="J809" i="15"/>
  <c r="J734" i="15"/>
  <c r="I16" i="15" a="1"/>
  <c r="I16" i="15" s="1"/>
  <c r="J858" i="15"/>
  <c r="J667" i="15"/>
  <c r="E714" i="15"/>
  <c r="J819" i="15"/>
  <c r="E502" i="15"/>
  <c r="E412" i="15"/>
  <c r="K77" i="9"/>
  <c r="J865" i="15"/>
  <c r="K82" i="9"/>
  <c r="P82" i="9" s="1"/>
  <c r="K80" i="9"/>
  <c r="E679" i="15"/>
  <c r="J588" i="15"/>
  <c r="M579" i="15" s="1" a="1"/>
  <c r="M579" i="15" s="1"/>
  <c r="M26" i="9"/>
  <c r="E833" i="15"/>
  <c r="K94" i="9"/>
  <c r="N79" i="9"/>
  <c r="L79" i="9" s="1"/>
  <c r="J781" i="15"/>
  <c r="E708" i="15"/>
  <c r="E633" i="15"/>
  <c r="J891" i="15"/>
  <c r="E650" i="15"/>
  <c r="E777" i="15"/>
  <c r="E655" i="15"/>
  <c r="J844" i="15"/>
  <c r="J873" i="15"/>
  <c r="J774" i="15"/>
  <c r="N27" i="9"/>
  <c r="L27" i="9" s="1"/>
  <c r="J842" i="15"/>
  <c r="E939" i="15"/>
  <c r="W46" i="22"/>
  <c r="Y46" i="22" s="1"/>
  <c r="E989" i="15"/>
  <c r="J768" i="15"/>
  <c r="E856" i="15"/>
  <c r="E905" i="15"/>
  <c r="J827" i="15"/>
  <c r="Q95" i="69"/>
  <c r="I10" i="15" a="1"/>
  <c r="I10" i="15" s="1"/>
  <c r="E745" i="15"/>
  <c r="E644" i="15"/>
  <c r="K54" i="9"/>
  <c r="E645" i="15"/>
  <c r="V62" i="22"/>
  <c r="J780" i="15"/>
  <c r="M45" i="9"/>
  <c r="K38" i="9"/>
  <c r="P38" i="9" s="1"/>
  <c r="M40" i="9"/>
  <c r="E754" i="15"/>
  <c r="J687" i="15"/>
  <c r="J561" i="15"/>
  <c r="AB95" i="69" a="1"/>
  <c r="AB95" i="69" s="1"/>
  <c r="K46" i="9"/>
  <c r="M83" i="9"/>
  <c r="N76" i="9"/>
  <c r="L76" i="9" s="1"/>
  <c r="E971" i="15"/>
  <c r="E675" i="15"/>
  <c r="W35" i="22"/>
  <c r="Y35" i="22" s="1"/>
  <c r="E393" i="15"/>
  <c r="K29" i="9"/>
  <c r="K89" i="9"/>
  <c r="P89" i="9" s="1"/>
  <c r="E861" i="15"/>
  <c r="J978" i="15"/>
  <c r="J488" i="15"/>
  <c r="M13" i="9"/>
  <c r="N12" i="9"/>
  <c r="L12" i="9" s="1"/>
  <c r="J748" i="15"/>
  <c r="E768" i="15"/>
  <c r="F12" i="15"/>
  <c r="J897" i="15"/>
  <c r="E732" i="15"/>
  <c r="J694" i="15"/>
  <c r="E883" i="15"/>
  <c r="K75" i="9"/>
  <c r="H12" i="7" a="1"/>
  <c r="H12" i="7" s="1"/>
  <c r="K42" i="9"/>
  <c r="J900" i="15"/>
  <c r="E709" i="15"/>
  <c r="E991" i="15"/>
  <c r="J957" i="15"/>
  <c r="E507" i="15"/>
  <c r="J887" i="15"/>
  <c r="E60" i="15"/>
  <c r="J898" i="15"/>
  <c r="W9" i="22"/>
  <c r="Y9" i="22" s="1"/>
  <c r="E632" i="15"/>
  <c r="E785" i="15"/>
  <c r="E626" i="15"/>
  <c r="N16" i="9"/>
  <c r="L16" i="9" s="1"/>
  <c r="M95" i="9"/>
  <c r="I8" i="15" a="1"/>
  <c r="I8" i="15" s="1"/>
  <c r="E630" i="15"/>
  <c r="J483" i="15"/>
  <c r="E748" i="15"/>
  <c r="H15" i="7" a="1"/>
  <c r="H15" i="7" s="1"/>
  <c r="J740" i="15"/>
  <c r="E133" i="15"/>
  <c r="K81" i="9"/>
  <c r="K98" i="9"/>
  <c r="E816" i="15"/>
  <c r="M20" i="9"/>
  <c r="E703" i="15"/>
  <c r="J835" i="15"/>
  <c r="K53" i="9"/>
  <c r="J994" i="15"/>
  <c r="E925" i="15"/>
  <c r="J789" i="15"/>
  <c r="M96" i="9"/>
  <c r="J767" i="15"/>
  <c r="E879" i="15"/>
  <c r="N30" i="9"/>
  <c r="L30" i="9" s="1"/>
  <c r="E890" i="15"/>
  <c r="I11" i="15" a="1"/>
  <c r="I11" i="15" s="1"/>
  <c r="M87" i="9"/>
  <c r="J892" i="15"/>
  <c r="E725" i="15"/>
  <c r="J814" i="15"/>
  <c r="E953" i="15"/>
  <c r="N83" i="9"/>
  <c r="L83" i="9" s="1"/>
  <c r="E794" i="15"/>
  <c r="E999" i="15"/>
  <c r="J674" i="15"/>
  <c r="J726" i="15"/>
  <c r="E972" i="15"/>
  <c r="AX95" i="69"/>
  <c r="J849" i="15"/>
  <c r="E893" i="15"/>
  <c r="J682" i="15"/>
  <c r="J759" i="15"/>
  <c r="E885" i="15"/>
  <c r="M44" i="9"/>
  <c r="E848" i="15"/>
  <c r="E778" i="15"/>
  <c r="J843" i="15"/>
  <c r="J970" i="15"/>
  <c r="F5" i="15"/>
  <c r="E736" i="15"/>
  <c r="Z1497" i="13"/>
  <c r="I1702" i="13" s="1"/>
  <c r="E760" i="15"/>
  <c r="E677" i="15"/>
  <c r="J810" i="15"/>
  <c r="J829" i="15"/>
  <c r="J769" i="15"/>
  <c r="E625" i="15"/>
  <c r="J941" i="15"/>
  <c r="J730" i="15"/>
  <c r="E962" i="15"/>
  <c r="J708" i="15"/>
  <c r="I13" i="15" a="1"/>
  <c r="I13" i="15" s="1"/>
  <c r="K43" i="9"/>
  <c r="J658" i="15"/>
  <c r="E870" i="15"/>
  <c r="E699" i="15"/>
  <c r="W11" i="22"/>
  <c r="Y11" i="22" s="1"/>
  <c r="J675" i="15"/>
  <c r="M50" i="9"/>
  <c r="E94" i="15"/>
  <c r="J857" i="15"/>
  <c r="E840" i="15"/>
  <c r="J732" i="15"/>
  <c r="E691" i="15"/>
  <c r="J773" i="15"/>
  <c r="J756" i="15"/>
  <c r="E641" i="15"/>
  <c r="J905" i="15"/>
  <c r="J784" i="15"/>
  <c r="E804" i="15"/>
  <c r="N28" i="9"/>
  <c r="L28" i="9" s="1"/>
  <c r="K63" i="9"/>
  <c r="P63" i="9" s="1"/>
  <c r="E631" i="15"/>
  <c r="E746" i="15"/>
  <c r="E683" i="15"/>
  <c r="N45" i="9"/>
  <c r="L45" i="9" s="1"/>
  <c r="J778" i="15"/>
  <c r="M79" i="9"/>
  <c r="V46" i="22"/>
  <c r="E986" i="15"/>
  <c r="J914" i="15"/>
  <c r="N37" i="9"/>
  <c r="L37" i="9" s="1"/>
  <c r="E727" i="15"/>
  <c r="I12" i="15" a="1"/>
  <c r="I12" i="15" s="1"/>
  <c r="K7" i="9"/>
  <c r="M68" i="9"/>
  <c r="E864" i="15"/>
  <c r="M17" i="9"/>
  <c r="Z1499" i="13"/>
  <c r="J996" i="15"/>
  <c r="J754" i="15"/>
  <c r="E919" i="15"/>
  <c r="J874" i="15"/>
  <c r="J910" i="15"/>
  <c r="N11" i="9"/>
  <c r="L11" i="9" s="1"/>
  <c r="E859" i="15"/>
  <c r="J641" i="15"/>
  <c r="E881" i="15"/>
  <c r="J728" i="15"/>
  <c r="E646" i="15"/>
  <c r="J966" i="15"/>
  <c r="J986" i="15"/>
  <c r="E667" i="15"/>
  <c r="J841" i="15"/>
  <c r="J825" i="15"/>
  <c r="J764" i="15"/>
  <c r="J961" i="15"/>
  <c r="E776" i="15"/>
  <c r="E696" i="15"/>
  <c r="E284" i="15"/>
  <c r="M54" i="9"/>
  <c r="K90" i="9"/>
  <c r="P90" i="9" s="1"/>
  <c r="E624" i="15"/>
  <c r="J648" i="15"/>
  <c r="J902" i="15"/>
  <c r="N68" i="9"/>
  <c r="L68" i="9" s="1"/>
  <c r="E897" i="15"/>
  <c r="E652" i="15"/>
  <c r="E668" i="15"/>
  <c r="J519" i="15"/>
  <c r="K97" i="9"/>
  <c r="M37" i="9"/>
  <c r="E771" i="15"/>
  <c r="E874" i="15"/>
  <c r="E963" i="15"/>
  <c r="K25" i="9"/>
  <c r="P25" i="9" s="1"/>
  <c r="J690" i="15"/>
  <c r="E817" i="15"/>
  <c r="J681" i="15"/>
  <c r="E981" i="15"/>
  <c r="F4" i="15"/>
  <c r="E923" i="15"/>
  <c r="V58" i="22"/>
  <c r="J927" i="15"/>
  <c r="J959" i="15"/>
  <c r="H19" i="7" a="1"/>
  <c r="H19" i="7" s="1"/>
  <c r="V67" i="22"/>
  <c r="K65" i="9"/>
  <c r="P65" i="9" s="1"/>
  <c r="M47" i="9"/>
  <c r="J698" i="15"/>
  <c r="E847" i="15"/>
  <c r="M70" i="9"/>
  <c r="E681" i="15"/>
  <c r="N43" i="9"/>
  <c r="L43" i="9" s="1"/>
  <c r="N52" i="9"/>
  <c r="L52" i="9" s="1"/>
  <c r="E956" i="15"/>
  <c r="J631" i="15"/>
  <c r="E629" i="15"/>
  <c r="E628" i="15"/>
  <c r="E979" i="15"/>
  <c r="K35" i="9"/>
  <c r="N64" i="9"/>
  <c r="L64" i="9" s="1"/>
  <c r="K23" i="9"/>
  <c r="E717" i="15"/>
  <c r="M6" i="9"/>
  <c r="E911" i="15"/>
  <c r="E813" i="15"/>
  <c r="E722" i="15"/>
  <c r="J981" i="15"/>
  <c r="N60" i="9"/>
  <c r="L60" i="9" s="1"/>
  <c r="K17" i="9"/>
  <c r="K15" i="9"/>
  <c r="I9" i="15" a="1"/>
  <c r="I9" i="15" s="1"/>
  <c r="J672" i="15"/>
  <c r="E822" i="15"/>
  <c r="Z1500" i="13"/>
  <c r="K10" i="9"/>
  <c r="P10" i="9" s="1"/>
  <c r="E693" i="15"/>
  <c r="N44" i="9"/>
  <c r="L44" i="9" s="1"/>
  <c r="J524" i="15"/>
  <c r="J712" i="15"/>
  <c r="N81" i="9"/>
  <c r="L81" i="9" s="1"/>
  <c r="J992" i="15"/>
  <c r="N80" i="9"/>
  <c r="L80" i="9" s="1"/>
  <c r="E653" i="15"/>
  <c r="J954" i="15"/>
  <c r="J622" i="15"/>
  <c r="K87" i="9"/>
  <c r="P87" i="9" s="1"/>
  <c r="J802" i="15"/>
  <c r="J709" i="15"/>
  <c r="M7" i="9"/>
  <c r="J714" i="15"/>
  <c r="E796" i="15"/>
  <c r="K66" i="9"/>
  <c r="AV1498" i="13"/>
  <c r="J642" i="15"/>
  <c r="M52" i="9"/>
  <c r="K45" i="9"/>
  <c r="J654" i="15"/>
  <c r="K83" i="9"/>
  <c r="P83" i="9" s="1"/>
  <c r="M61" i="9"/>
  <c r="N19" i="9"/>
  <c r="L19" i="9" s="1"/>
  <c r="J968" i="15"/>
  <c r="E998" i="15"/>
  <c r="F10" i="15"/>
  <c r="M42" i="9"/>
  <c r="E920" i="15"/>
  <c r="E983" i="15"/>
  <c r="J812" i="15"/>
  <c r="J717" i="15"/>
  <c r="J969" i="15"/>
  <c r="J522" i="15"/>
  <c r="M520" i="15" s="1" a="1"/>
  <c r="M520" i="15" s="1"/>
  <c r="J512" i="15"/>
  <c r="M510" i="15" s="1" a="1"/>
  <c r="M510" i="15" s="1"/>
  <c r="E902" i="15"/>
  <c r="J639" i="15"/>
  <c r="K92" i="9"/>
  <c r="P92" i="9" s="1"/>
  <c r="W58" i="22"/>
  <c r="Y58" i="22" s="1"/>
  <c r="J998" i="15"/>
  <c r="E57" i="15"/>
  <c r="E695" i="15"/>
  <c r="J655" i="15"/>
  <c r="J693" i="15"/>
  <c r="N36" i="9"/>
  <c r="L36" i="9" s="1"/>
  <c r="J701" i="15"/>
  <c r="AN95" i="69"/>
  <c r="E858" i="15"/>
  <c r="E773" i="15"/>
  <c r="M89" i="9"/>
  <c r="M36" i="9"/>
  <c r="J853" i="15"/>
  <c r="M9" i="9"/>
  <c r="J859" i="15"/>
  <c r="N31" i="9"/>
  <c r="L31" i="9" s="1"/>
  <c r="E869" i="15"/>
  <c r="K64" i="9"/>
  <c r="P64" i="9" s="1"/>
  <c r="J995" i="15"/>
  <c r="J836" i="15"/>
  <c r="E735" i="15"/>
  <c r="E917" i="15"/>
  <c r="J637" i="15"/>
  <c r="J855" i="15"/>
  <c r="M48" i="9"/>
  <c r="V44" i="22"/>
  <c r="E942" i="15"/>
  <c r="E967" i="15"/>
  <c r="E686" i="15"/>
  <c r="J633" i="15"/>
  <c r="J721" i="15"/>
  <c r="J796" i="15"/>
  <c r="H97" i="9"/>
  <c r="J797" i="15"/>
  <c r="J984" i="15"/>
  <c r="E819" i="15"/>
  <c r="J974" i="15"/>
  <c r="N42" i="9"/>
  <c r="L42" i="9" s="1"/>
  <c r="K84" i="9"/>
  <c r="K95" i="9"/>
  <c r="E749" i="15"/>
  <c r="E762" i="15"/>
  <c r="J925" i="15"/>
  <c r="J818" i="15"/>
  <c r="F8" i="15"/>
  <c r="J908" i="15"/>
  <c r="E846" i="15"/>
  <c r="J549" i="15"/>
  <c r="AC95" i="69"/>
  <c r="E688" i="15"/>
  <c r="J720" i="15"/>
  <c r="J877" i="15"/>
  <c r="V10" i="22"/>
  <c r="K12" i="9"/>
  <c r="P12" i="9" s="1"/>
  <c r="E820" i="15"/>
  <c r="J558" i="15"/>
  <c r="BD1769" i="13" s="1" a="1"/>
  <c r="BD1769" i="13" s="1"/>
  <c r="E865" i="15"/>
  <c r="J763" i="15"/>
  <c r="E995" i="15"/>
  <c r="E687" i="15"/>
  <c r="J907" i="15"/>
  <c r="J758" i="15"/>
  <c r="M95" i="69"/>
  <c r="J696" i="15"/>
  <c r="M19" i="9"/>
  <c r="E928" i="15"/>
  <c r="N70" i="9"/>
  <c r="L70" i="9" s="1"/>
  <c r="E968" i="15"/>
  <c r="K20" i="9"/>
  <c r="J665" i="15"/>
  <c r="E937" i="15"/>
  <c r="E831" i="15"/>
  <c r="AV1499" i="13"/>
  <c r="N46" i="9"/>
  <c r="L46" i="9" s="1"/>
  <c r="M16" i="9"/>
  <c r="J506" i="15"/>
  <c r="J713" i="15"/>
  <c r="E973" i="15"/>
  <c r="E932" i="15"/>
  <c r="J735" i="15"/>
  <c r="E888" i="15"/>
  <c r="E808" i="15"/>
  <c r="E637" i="15"/>
  <c r="M72" i="9"/>
  <c r="N57" i="9"/>
  <c r="L57" i="9" s="1"/>
  <c r="AM95" i="69"/>
  <c r="J839" i="15"/>
  <c r="E724" i="15"/>
  <c r="E974" i="15"/>
  <c r="J475" i="15"/>
  <c r="N87" i="9"/>
  <c r="L87" i="9" s="1"/>
  <c r="M94" i="9"/>
  <c r="J922" i="15"/>
  <c r="N20" i="9"/>
  <c r="L20" i="9" s="1"/>
  <c r="E886" i="15"/>
  <c r="H24" i="7" a="1"/>
  <c r="H24" i="7" s="1"/>
  <c r="J657" i="15"/>
  <c r="M59" i="9"/>
  <c r="E933" i="15"/>
  <c r="E524" i="15"/>
  <c r="E790" i="15"/>
  <c r="E720" i="15"/>
  <c r="I5" i="15" a="1"/>
  <c r="I5" i="15" s="1"/>
  <c r="J596" i="15"/>
  <c r="K589" i="15" s="1" a="1"/>
  <c r="K589" i="15" s="1"/>
  <c r="J833" i="15"/>
  <c r="N25" i="9"/>
  <c r="L25" i="9" s="1"/>
  <c r="E894" i="15"/>
  <c r="E866" i="15"/>
  <c r="E977" i="15"/>
  <c r="N96" i="9"/>
  <c r="L96" i="9" s="1"/>
  <c r="J482" i="15"/>
  <c r="E715" i="15"/>
  <c r="E734" i="15"/>
  <c r="E690" i="15"/>
  <c r="J782" i="15"/>
  <c r="J738" i="15"/>
  <c r="E755" i="15"/>
  <c r="E733" i="15"/>
  <c r="N71" i="9"/>
  <c r="L71" i="9" s="1"/>
  <c r="K19" i="9"/>
  <c r="P19" i="9" s="1"/>
  <c r="E642" i="15"/>
  <c r="M53" i="9"/>
  <c r="J794" i="15"/>
  <c r="M21" i="9"/>
  <c r="E965" i="15"/>
  <c r="J799" i="15"/>
  <c r="M86" i="9"/>
  <c r="N23" i="9"/>
  <c r="L23" i="9" s="1"/>
  <c r="E685" i="15"/>
  <c r="E658" i="15"/>
  <c r="J695" i="15"/>
  <c r="J852" i="15"/>
  <c r="E795" i="15"/>
  <c r="N59" i="9"/>
  <c r="L59" i="9" s="1"/>
  <c r="E943" i="15"/>
  <c r="N66" i="9"/>
  <c r="L66" i="9" s="1"/>
  <c r="J801" i="15"/>
  <c r="W53" i="22"/>
  <c r="Y53" i="22" s="1"/>
  <c r="M41" i="9"/>
  <c r="E863" i="15"/>
  <c r="E844" i="15"/>
  <c r="J813" i="15"/>
  <c r="M84" i="9"/>
  <c r="J832" i="15"/>
  <c r="J856" i="15"/>
  <c r="J963" i="15"/>
  <c r="E682" i="15"/>
  <c r="M76" i="9"/>
  <c r="J755" i="15"/>
  <c r="AW95" i="69"/>
  <c r="E807" i="15"/>
  <c r="L95" i="69"/>
  <c r="J684" i="15"/>
  <c r="J747" i="15"/>
  <c r="E636" i="15"/>
  <c r="E910" i="15"/>
  <c r="J971" i="15"/>
  <c r="E488" i="15"/>
  <c r="J924" i="15"/>
  <c r="J683" i="15"/>
  <c r="N54" i="9"/>
  <c r="L54" i="9" s="1"/>
  <c r="E877" i="15"/>
  <c r="E97" i="15"/>
  <c r="J867" i="15"/>
  <c r="E742" i="15"/>
  <c r="K86" i="9"/>
  <c r="P86" i="9" s="1"/>
  <c r="J678" i="15"/>
  <c r="E782" i="15"/>
  <c r="E705" i="15"/>
  <c r="K36" i="9"/>
  <c r="E706" i="15"/>
  <c r="K61" i="9"/>
  <c r="E849" i="15"/>
  <c r="J551" i="15"/>
  <c r="J636" i="15"/>
  <c r="E997" i="15"/>
  <c r="J972" i="15"/>
  <c r="E647" i="15"/>
  <c r="J723" i="15"/>
  <c r="J913" i="15"/>
  <c r="J666" i="15"/>
  <c r="M34" i="9"/>
  <c r="J916" i="15"/>
  <c r="E611" i="15"/>
  <c r="E391" i="15"/>
  <c r="E72" i="15"/>
  <c r="T95" i="69"/>
  <c r="E69" i="15"/>
  <c r="E132" i="15"/>
  <c r="E561" i="15"/>
  <c r="E380" i="15"/>
  <c r="E303" i="15"/>
  <c r="E265" i="15"/>
  <c r="AX58" i="69"/>
  <c r="AY58" i="69" s="1"/>
  <c r="N94" i="69" a="1"/>
  <c r="N94" i="69" s="1"/>
  <c r="E990" i="15"/>
  <c r="K5" i="9"/>
  <c r="P5" i="9" s="1"/>
  <c r="E798" i="15"/>
  <c r="E835" i="15"/>
  <c r="N84" i="9"/>
  <c r="L84" i="9" s="1"/>
  <c r="E829" i="15"/>
  <c r="E892" i="15"/>
  <c r="J762" i="15"/>
  <c r="E784" i="15"/>
  <c r="K85" i="9"/>
  <c r="N34" i="9"/>
  <c r="L34" i="9" s="1"/>
  <c r="J703" i="15"/>
  <c r="J973" i="15"/>
  <c r="E678" i="15"/>
  <c r="J979" i="15"/>
  <c r="J929" i="15"/>
  <c r="J645" i="15"/>
  <c r="N77" i="9"/>
  <c r="L77" i="9" s="1"/>
  <c r="J879" i="15"/>
  <c r="E901" i="15"/>
  <c r="N61" i="9"/>
  <c r="L61" i="9" s="1"/>
  <c r="E767" i="15"/>
  <c r="E743" i="15"/>
  <c r="E908" i="15"/>
  <c r="E951" i="15"/>
  <c r="E431" i="15"/>
  <c r="E515" i="15"/>
  <c r="E89" i="15"/>
  <c r="E350" i="15"/>
  <c r="E504" i="15"/>
  <c r="E475" i="15"/>
  <c r="E483" i="15"/>
  <c r="E263" i="15"/>
  <c r="E738" i="15"/>
  <c r="E623" i="15"/>
  <c r="J982" i="15"/>
  <c r="J621" i="15"/>
  <c r="J1000" i="15"/>
  <c r="E713" i="15"/>
  <c r="E295" i="15"/>
  <c r="E672" i="15"/>
  <c r="H17" i="7" a="1"/>
  <c r="H17" i="7" s="1"/>
  <c r="N85" i="9"/>
  <c r="L85" i="9" s="1"/>
  <c r="E945" i="15"/>
  <c r="E838" i="15"/>
  <c r="E922" i="15"/>
  <c r="E809" i="15"/>
  <c r="E801" i="15"/>
  <c r="N73" i="9"/>
  <c r="L73" i="9" s="1"/>
  <c r="E170" i="15"/>
  <c r="E763" i="15"/>
  <c r="J985" i="15"/>
  <c r="M24" i="9"/>
  <c r="J793" i="15"/>
  <c r="E779" i="15"/>
  <c r="K78" i="9"/>
  <c r="P78" i="9" s="1"/>
  <c r="W33" i="22"/>
  <c r="Y33" i="22" s="1"/>
  <c r="E669" i="15"/>
  <c r="E115" i="15"/>
  <c r="E205" i="15"/>
  <c r="E114" i="15"/>
  <c r="E221" i="15"/>
  <c r="E264" i="15"/>
  <c r="E301" i="15"/>
  <c r="E62" i="15"/>
  <c r="E448" i="15"/>
  <c r="H442" i="15" s="1" a="1"/>
  <c r="H442" i="15" s="1"/>
  <c r="E544" i="15"/>
  <c r="W94" i="69"/>
  <c r="E198" i="15"/>
  <c r="J501" i="15"/>
  <c r="J765" i="15"/>
  <c r="E802" i="15"/>
  <c r="J820" i="15"/>
  <c r="E698" i="15"/>
  <c r="E659" i="15"/>
  <c r="M55" i="9"/>
  <c r="K79" i="9"/>
  <c r="J980" i="15"/>
  <c r="J707" i="15"/>
  <c r="M65" i="9"/>
  <c r="E707" i="15"/>
  <c r="J662" i="15"/>
  <c r="N74" i="9"/>
  <c r="L74" i="9" s="1"/>
  <c r="E828" i="15"/>
  <c r="J744" i="15"/>
  <c r="J689" i="15"/>
  <c r="J816" i="15"/>
  <c r="E740" i="15"/>
  <c r="J719" i="15"/>
  <c r="J870" i="15"/>
  <c r="J861" i="15"/>
  <c r="N35" i="9"/>
  <c r="L35" i="9" s="1"/>
  <c r="E556" i="15"/>
  <c r="E282" i="15"/>
  <c r="E491" i="15"/>
  <c r="E130" i="15"/>
  <c r="E87" i="15"/>
  <c r="E289" i="15"/>
  <c r="E600" i="15"/>
  <c r="L599" i="15" s="1" a="1"/>
  <c r="L599" i="15" s="1"/>
  <c r="E153" i="15"/>
  <c r="E73" i="15"/>
  <c r="H70" i="15" s="1" a="1"/>
  <c r="H70" i="15" s="1"/>
  <c r="AW94" i="69"/>
  <c r="E236" i="15"/>
  <c r="F235" i="15" s="1" a="1"/>
  <c r="F235" i="15" s="1"/>
  <c r="E752" i="15"/>
  <c r="J977" i="15"/>
  <c r="E805" i="15"/>
  <c r="E815" i="15"/>
  <c r="E837" i="15"/>
  <c r="J805" i="15"/>
  <c r="J804" i="15"/>
  <c r="J742" i="15"/>
  <c r="E913" i="15"/>
  <c r="E436" i="15"/>
  <c r="J830" i="15"/>
  <c r="K51" i="9"/>
  <c r="J919" i="15"/>
  <c r="J504" i="15"/>
  <c r="W12" i="22"/>
  <c r="Y12" i="22" s="1"/>
  <c r="K31" i="9"/>
  <c r="H22" i="7" a="1"/>
  <c r="H22" i="7" s="1"/>
  <c r="E744" i="15"/>
  <c r="E666" i="15"/>
  <c r="K69" i="9"/>
  <c r="P69" i="9" s="1"/>
  <c r="J942" i="15"/>
  <c r="E765" i="15"/>
  <c r="J947" i="15"/>
  <c r="M39" i="9"/>
  <c r="E558" i="15"/>
  <c r="E381" i="15"/>
  <c r="E447" i="15"/>
  <c r="E75" i="15"/>
  <c r="E189" i="15"/>
  <c r="E403" i="15"/>
  <c r="E512" i="15"/>
  <c r="V31" i="22"/>
  <c r="E367" i="15"/>
  <c r="J702" i="15"/>
  <c r="E818" i="15"/>
  <c r="J779" i="15"/>
  <c r="E941" i="15"/>
  <c r="E710" i="15"/>
  <c r="J593" i="15"/>
  <c r="E730" i="15"/>
  <c r="J828" i="15"/>
  <c r="E940" i="15"/>
  <c r="J871" i="15"/>
  <c r="E914" i="15"/>
  <c r="E891" i="15"/>
  <c r="W32" i="22"/>
  <c r="Y32" i="22" s="1"/>
  <c r="J951" i="15"/>
  <c r="J854" i="15"/>
  <c r="E716" i="15"/>
  <c r="J880" i="15"/>
  <c r="J997" i="15"/>
  <c r="V65" i="22"/>
  <c r="E964" i="15"/>
  <c r="E413" i="15"/>
  <c r="E976" i="15"/>
  <c r="N18" i="9"/>
  <c r="L18" i="9" s="1"/>
  <c r="E588" i="15"/>
  <c r="H579" i="15" s="1" a="1"/>
  <c r="H579" i="15" s="1"/>
  <c r="E432" i="15"/>
  <c r="E293" i="15"/>
  <c r="E256" i="15"/>
  <c r="F255" i="15" s="1" a="1"/>
  <c r="F255" i="15" s="1"/>
  <c r="E340" i="15"/>
  <c r="F338" i="15" s="1" a="1"/>
  <c r="F338" i="15" s="1"/>
  <c r="E279" i="15"/>
  <c r="E81" i="15"/>
  <c r="Y95" i="69"/>
  <c r="H96" i="9"/>
  <c r="Q94" i="69"/>
  <c r="M51" i="9"/>
  <c r="M8" i="9"/>
  <c r="E812" i="15"/>
  <c r="K49" i="9"/>
  <c r="N7" i="9"/>
  <c r="L7" i="9" s="1"/>
  <c r="J926" i="15"/>
  <c r="K58" i="9"/>
  <c r="P58" i="9" s="1"/>
  <c r="J823" i="15"/>
  <c r="J761" i="15"/>
  <c r="E900" i="15"/>
  <c r="J791" i="15"/>
  <c r="N17" i="9"/>
  <c r="L17" i="9" s="1"/>
  <c r="E800" i="15"/>
  <c r="E704" i="15"/>
  <c r="K93" i="9"/>
  <c r="P93" i="9" s="1"/>
  <c r="J834" i="15"/>
  <c r="J811" i="15"/>
  <c r="E811" i="15"/>
  <c r="E662" i="15"/>
  <c r="K59" i="9"/>
  <c r="P59" i="9" s="1"/>
  <c r="M74" i="9"/>
  <c r="K27" i="9"/>
  <c r="J676" i="15"/>
  <c r="J664" i="15"/>
  <c r="A95" i="69"/>
  <c r="E947" i="15"/>
  <c r="E482" i="15"/>
  <c r="E146" i="15"/>
  <c r="E427" i="15"/>
  <c r="E163" i="15"/>
  <c r="E281" i="15"/>
  <c r="E342" i="15"/>
  <c r="E280" i="15"/>
  <c r="E327" i="15"/>
  <c r="J95" i="69"/>
  <c r="L58" i="69"/>
  <c r="AX94" i="69"/>
  <c r="E689" i="15"/>
  <c r="E926" i="15"/>
  <c r="M67" i="9"/>
  <c r="V76" i="22"/>
  <c r="J945" i="15"/>
  <c r="V51" i="22"/>
  <c r="J909" i="15"/>
  <c r="E797" i="15"/>
  <c r="J741" i="15"/>
  <c r="E904" i="15"/>
  <c r="K14" i="9"/>
  <c r="P14" i="9" s="1"/>
  <c r="E480" i="15"/>
  <c r="E987" i="15"/>
  <c r="M18" i="9"/>
  <c r="M49" i="9"/>
  <c r="J739" i="15"/>
  <c r="N8" i="9"/>
  <c r="L8" i="9" s="1"/>
  <c r="E944" i="15"/>
  <c r="K26" i="9"/>
  <c r="P26" i="9" s="1"/>
  <c r="E994" i="15"/>
  <c r="E903" i="15"/>
  <c r="E651" i="15"/>
  <c r="J772" i="15"/>
  <c r="V53" i="22"/>
  <c r="N22" i="9"/>
  <c r="L22" i="9" s="1"/>
  <c r="E609" i="15"/>
  <c r="E190" i="15"/>
  <c r="E56" i="15"/>
  <c r="E290" i="15"/>
  <c r="E343" i="15"/>
  <c r="E366" i="15"/>
  <c r="E224" i="15"/>
  <c r="E464" i="15"/>
  <c r="P94" i="69"/>
  <c r="J790" i="15"/>
  <c r="M11" i="9"/>
  <c r="E806" i="15"/>
  <c r="J623" i="15"/>
  <c r="N39" i="9"/>
  <c r="L39" i="9" s="1"/>
  <c r="N88" i="9"/>
  <c r="L88" i="9" s="1"/>
  <c r="M57" i="9"/>
  <c r="E643" i="15"/>
  <c r="J663" i="15"/>
  <c r="J706" i="15"/>
  <c r="E416" i="15"/>
  <c r="E810" i="15"/>
  <c r="E860" i="15"/>
  <c r="E930" i="15"/>
  <c r="J806" i="15"/>
  <c r="N93" i="9"/>
  <c r="L93" i="9" s="1"/>
  <c r="J890" i="15"/>
  <c r="K91" i="9"/>
  <c r="J705" i="15"/>
  <c r="J885" i="15"/>
  <c r="K11" i="9"/>
  <c r="M31" i="9"/>
  <c r="J670" i="15"/>
  <c r="E674" i="15"/>
  <c r="E463" i="15"/>
  <c r="E64" i="15"/>
  <c r="E266" i="15"/>
  <c r="E522" i="15"/>
  <c r="K520" i="15" s="1" a="1"/>
  <c r="K520" i="15" s="1"/>
  <c r="E214" i="15"/>
  <c r="E596" i="15"/>
  <c r="E173" i="15"/>
  <c r="H60" i="9"/>
  <c r="AT58" i="69" a="1"/>
  <c r="AT58" i="69" s="1"/>
  <c r="A94" i="69"/>
  <c r="E955" i="15"/>
  <c r="J866" i="15"/>
  <c r="M27" i="9"/>
  <c r="J975" i="15"/>
  <c r="M75" i="9"/>
  <c r="E853" i="15"/>
  <c r="K72" i="9"/>
  <c r="J960" i="15"/>
  <c r="K57" i="9"/>
  <c r="J736" i="15"/>
  <c r="M98" i="9"/>
  <c r="E791" i="15"/>
  <c r="J649" i="15"/>
  <c r="E670" i="15"/>
  <c r="E476" i="15"/>
  <c r="J993" i="15"/>
  <c r="E915" i="15"/>
  <c r="J727" i="15"/>
  <c r="E946" i="15"/>
  <c r="E934" i="15"/>
  <c r="E349" i="15"/>
  <c r="F349" i="15" s="1" a="1"/>
  <c r="F349" i="15" s="1"/>
  <c r="J896" i="15"/>
  <c r="J899" i="15"/>
  <c r="E759" i="15"/>
  <c r="E780" i="15"/>
  <c r="E225" i="15"/>
  <c r="E191" i="15"/>
  <c r="E553" i="15"/>
  <c r="E605" i="15"/>
  <c r="E233" i="15"/>
  <c r="E79" i="15"/>
  <c r="E433" i="15"/>
  <c r="E299" i="15"/>
  <c r="F297" i="15" s="1" a="1"/>
  <c r="F297" i="15" s="1"/>
  <c r="E212" i="15"/>
  <c r="AM94" i="69"/>
  <c r="P58" i="69"/>
  <c r="AE58" i="69" s="1" a="1"/>
  <c r="AE58" i="69" s="1"/>
  <c r="J58" i="69"/>
  <c r="J668" i="15"/>
  <c r="E640" i="15"/>
  <c r="E862" i="15"/>
  <c r="E171" i="15"/>
  <c r="I6" i="15" a="1"/>
  <c r="I6" i="15" s="1"/>
  <c r="N56" i="9"/>
  <c r="L56" i="9" s="1"/>
  <c r="E843" i="15"/>
  <c r="J629" i="15"/>
  <c r="J630" i="15"/>
  <c r="M66" i="9"/>
  <c r="E907" i="15"/>
  <c r="K37" i="9"/>
  <c r="P37" i="9" s="1"/>
  <c r="J787" i="15"/>
  <c r="Z1501" i="13"/>
  <c r="E912" i="15"/>
  <c r="J983" i="15"/>
  <c r="E331" i="15"/>
  <c r="J939" i="15"/>
  <c r="F3" i="15"/>
  <c r="V32" i="22"/>
  <c r="E896" i="15"/>
  <c r="J646" i="15"/>
  <c r="J785" i="15"/>
  <c r="J628" i="15"/>
  <c r="BN95" i="69"/>
  <c r="E68" i="15"/>
  <c r="E470" i="15"/>
  <c r="E111" i="15"/>
  <c r="E254" i="15"/>
  <c r="E180" i="15"/>
  <c r="E160" i="15"/>
  <c r="E192" i="15"/>
  <c r="A58" i="69"/>
  <c r="BC58" i="69" s="1"/>
  <c r="T58" i="69"/>
  <c r="AS58" i="69" a="1"/>
  <c r="AS58" i="69" s="1"/>
  <c r="E694" i="15"/>
  <c r="K47" i="9"/>
  <c r="P47" i="9" s="1"/>
  <c r="N69" i="9"/>
  <c r="L69" i="9" s="1"/>
  <c r="J943" i="15"/>
  <c r="E728" i="15"/>
  <c r="E663" i="15"/>
  <c r="N63" i="9"/>
  <c r="L63" i="9" s="1"/>
  <c r="J544" i="15"/>
  <c r="J626" i="15"/>
  <c r="E718" i="15"/>
  <c r="J624" i="15"/>
  <c r="L615" i="15" s="1" a="1"/>
  <c r="L615" i="15" s="1"/>
  <c r="N40" i="9"/>
  <c r="L40" i="9" s="1"/>
  <c r="E872" i="15"/>
  <c r="J507" i="15"/>
  <c r="E916" i="15"/>
  <c r="E957" i="15"/>
  <c r="J660" i="15"/>
  <c r="J936" i="15"/>
  <c r="J940" i="15"/>
  <c r="AV1500" i="13"/>
  <c r="J692" i="15"/>
  <c r="E889" i="15"/>
  <c r="J786" i="15"/>
  <c r="K13" i="9"/>
  <c r="P13" i="9" s="1"/>
  <c r="E204" i="15"/>
  <c r="E244" i="15"/>
  <c r="E80" i="15"/>
  <c r="E328" i="15"/>
  <c r="E549" i="15"/>
  <c r="E159" i="15"/>
  <c r="E356" i="15"/>
  <c r="AW58" i="69"/>
  <c r="AL47" i="4"/>
  <c r="I47" i="69" s="1"/>
  <c r="AD18" i="4"/>
  <c r="F18" i="69" s="1"/>
  <c r="AH63" i="4"/>
  <c r="AV1359" i="13" s="1"/>
  <c r="AD44" i="4"/>
  <c r="F44" i="69" s="1"/>
  <c r="AH41" i="4"/>
  <c r="AV1337" i="13" s="1"/>
  <c r="AB17" i="69" a="1"/>
  <c r="AB17" i="69" s="1"/>
  <c r="Q17" i="69"/>
  <c r="AX17" i="69"/>
  <c r="A17" i="69"/>
  <c r="AC17" i="69"/>
  <c r="AA17" i="69"/>
  <c r="Y17" i="69"/>
  <c r="AN17" i="69"/>
  <c r="AW17" i="69"/>
  <c r="AM17" i="69"/>
  <c r="J17" i="69"/>
  <c r="M17" i="69"/>
  <c r="BP17" i="69"/>
  <c r="Z17" i="69"/>
  <c r="T17" i="69"/>
  <c r="P17" i="69"/>
  <c r="V17" i="69"/>
  <c r="B17" i="69" s="1"/>
  <c r="W17" i="69"/>
  <c r="AE17" i="69" s="1" a="1"/>
  <c r="AE17" i="69" s="1"/>
  <c r="N17" i="69" a="1"/>
  <c r="N17" i="69" s="1"/>
  <c r="G17" i="69"/>
  <c r="BK17" i="69"/>
  <c r="S17" i="69"/>
  <c r="U17" i="69" a="1"/>
  <c r="U17" i="69" s="1"/>
  <c r="AH23" i="4"/>
  <c r="AV1319" i="13" s="1"/>
  <c r="AL90" i="4"/>
  <c r="I90" i="69" s="1"/>
  <c r="AH82" i="4"/>
  <c r="AL56" i="4"/>
  <c r="I56" i="69" s="1"/>
  <c r="V85" i="69"/>
  <c r="BP85" i="69"/>
  <c r="AW85" i="69"/>
  <c r="P85" i="69"/>
  <c r="AX85" i="69"/>
  <c r="N85" i="69" a="1"/>
  <c r="N85" i="69" s="1"/>
  <c r="AB85" i="69" a="1"/>
  <c r="AB85" i="69" s="1"/>
  <c r="AM85" i="69"/>
  <c r="AA85" i="69"/>
  <c r="E85" i="69" s="1"/>
  <c r="A85" i="69"/>
  <c r="AN85" i="69"/>
  <c r="AC85" i="69"/>
  <c r="Q85" i="69"/>
  <c r="W85" i="69"/>
  <c r="BL85" i="69" s="1" a="1"/>
  <c r="BL85" i="69" s="1"/>
  <c r="T85" i="69"/>
  <c r="BN85" i="69" s="1"/>
  <c r="M85" i="69"/>
  <c r="BC85" i="69"/>
  <c r="U85" i="69" a="1"/>
  <c r="U85" i="69" s="1"/>
  <c r="Y85" i="69"/>
  <c r="J85" i="69"/>
  <c r="Z85" i="69"/>
  <c r="AL34" i="4"/>
  <c r="I34" i="69" s="1"/>
  <c r="AA10" i="69"/>
  <c r="BP10" i="69"/>
  <c r="V10" i="69"/>
  <c r="AC10" i="69"/>
  <c r="P10" i="69"/>
  <c r="AX10" i="69"/>
  <c r="Q10" i="69"/>
  <c r="AB10" i="69" a="1"/>
  <c r="AB10" i="69" s="1"/>
  <c r="A10" i="69"/>
  <c r="AN10" i="69"/>
  <c r="N10" i="69" a="1"/>
  <c r="N10" i="69" s="1"/>
  <c r="AW10" i="69"/>
  <c r="W10" i="69"/>
  <c r="BL10" i="69" s="1" a="1"/>
  <c r="BL10" i="69" s="1"/>
  <c r="AM10" i="69"/>
  <c r="M10" i="69"/>
  <c r="T10" i="69"/>
  <c r="G10" i="69"/>
  <c r="U10" i="69" a="1"/>
  <c r="U10" i="69" s="1"/>
  <c r="S10" i="69"/>
  <c r="B10" i="69"/>
  <c r="Y10" i="69"/>
  <c r="J10" i="69"/>
  <c r="Z10" i="69"/>
  <c r="AH42" i="4"/>
  <c r="AD75" i="4"/>
  <c r="F75" i="69" s="1"/>
  <c r="AH7" i="4"/>
  <c r="Z45" i="4"/>
  <c r="Z68" i="4"/>
  <c r="AV1265" i="13" s="1"/>
  <c r="N16" i="69" a="1"/>
  <c r="N16" i="69" s="1"/>
  <c r="AN16" i="69"/>
  <c r="AC16" i="69"/>
  <c r="Q16" i="69"/>
  <c r="BP16" i="69"/>
  <c r="T16" i="69"/>
  <c r="P16" i="69"/>
  <c r="AA16" i="69"/>
  <c r="U16" i="69" a="1"/>
  <c r="U16" i="69" s="1"/>
  <c r="K16" i="69" a="1"/>
  <c r="K16" i="69" s="1"/>
  <c r="M16" i="69"/>
  <c r="AB16" i="69" a="1"/>
  <c r="AB16" i="69" s="1"/>
  <c r="AW16" i="69"/>
  <c r="BN16" i="69" s="1"/>
  <c r="W16" i="69"/>
  <c r="BC16" i="69" s="1"/>
  <c r="V16" i="69"/>
  <c r="AX16" i="69"/>
  <c r="AM16" i="69"/>
  <c r="A16" i="69"/>
  <c r="S16" i="69"/>
  <c r="AT16" i="69" a="1"/>
  <c r="AT16" i="69" s="1"/>
  <c r="B16" i="69"/>
  <c r="Y16" i="69"/>
  <c r="J16" i="69"/>
  <c r="Z16" i="69"/>
  <c r="AL61" i="4"/>
  <c r="I61" i="69" s="1"/>
  <c r="AH31" i="4"/>
  <c r="AL40" i="4"/>
  <c r="I40" i="69" s="1"/>
  <c r="AH51" i="4"/>
  <c r="AH65" i="4"/>
  <c r="Z24" i="4"/>
  <c r="AL23" i="4"/>
  <c r="I23" i="69" s="1"/>
  <c r="Z92" i="4"/>
  <c r="AV1289" i="13" s="1"/>
  <c r="A41" i="69"/>
  <c r="Q41" i="69"/>
  <c r="AN41" i="69"/>
  <c r="U41" i="69" a="1"/>
  <c r="U41" i="69" s="1"/>
  <c r="AW41" i="69"/>
  <c r="BN41" i="69" s="1"/>
  <c r="AX41" i="69"/>
  <c r="V41" i="69"/>
  <c r="B41" i="69" s="1"/>
  <c r="AA41" i="69"/>
  <c r="AC41" i="69"/>
  <c r="M41" i="69"/>
  <c r="N41" i="69" a="1"/>
  <c r="N41" i="69" s="1"/>
  <c r="W41" i="69"/>
  <c r="AE41" i="69" s="1" a="1"/>
  <c r="AE41" i="69" s="1"/>
  <c r="AS41" i="69" s="1" a="1"/>
  <c r="AS41" i="69" s="1"/>
  <c r="T41" i="69"/>
  <c r="AB41" i="69" a="1"/>
  <c r="AB41" i="69" s="1"/>
  <c r="P41" i="69"/>
  <c r="BP41" i="69"/>
  <c r="AM41" i="69"/>
  <c r="G41" i="69"/>
  <c r="K41" i="69" a="1"/>
  <c r="K41" i="69" s="1"/>
  <c r="BK41" i="69"/>
  <c r="BJ41" i="69" s="1"/>
  <c r="BM41" i="69" s="1"/>
  <c r="S41" i="69"/>
  <c r="Y41" i="69"/>
  <c r="J41" i="69"/>
  <c r="Z41" i="69"/>
  <c r="AW68" i="69"/>
  <c r="BN68" i="69" s="1"/>
  <c r="AM68" i="69"/>
  <c r="W68" i="69"/>
  <c r="AE68" i="69" s="1" a="1"/>
  <c r="AE68" i="69" s="1"/>
  <c r="AS68" i="69" s="1" a="1"/>
  <c r="AS68" i="69" s="1"/>
  <c r="AX68" i="69"/>
  <c r="N68" i="69" a="1"/>
  <c r="N68" i="69" s="1"/>
  <c r="P68" i="69"/>
  <c r="V68" i="69"/>
  <c r="AA68" i="69"/>
  <c r="E68" i="69" s="1"/>
  <c r="AB68" i="69" a="1"/>
  <c r="AB68" i="69" s="1"/>
  <c r="A68" i="69"/>
  <c r="AC68" i="69"/>
  <c r="Q68" i="69"/>
  <c r="T68" i="69"/>
  <c r="AN68" i="69"/>
  <c r="M68" i="69"/>
  <c r="BP68" i="69"/>
  <c r="U68" i="69" a="1"/>
  <c r="U68" i="69" s="1"/>
  <c r="S68" i="69"/>
  <c r="G68" i="69"/>
  <c r="Y68" i="69"/>
  <c r="Z68" i="69"/>
  <c r="J68" i="69"/>
  <c r="A49" i="69"/>
  <c r="AB49" i="69" a="1"/>
  <c r="AB49" i="69" s="1"/>
  <c r="Q49" i="69"/>
  <c r="P49" i="69"/>
  <c r="AT49" i="69" s="1" a="1"/>
  <c r="AT49" i="69" s="1"/>
  <c r="BP49" i="69"/>
  <c r="T49" i="69"/>
  <c r="M49" i="69"/>
  <c r="V49" i="69"/>
  <c r="B49" i="69" s="1"/>
  <c r="W49" i="69"/>
  <c r="AX49" i="69"/>
  <c r="AC49" i="69"/>
  <c r="S49" i="69"/>
  <c r="AA49" i="69"/>
  <c r="N49" i="69" a="1"/>
  <c r="N49" i="69" s="1"/>
  <c r="AM49" i="69"/>
  <c r="AN49" i="69"/>
  <c r="BL49" i="69" a="1"/>
  <c r="BL49" i="69" s="1"/>
  <c r="K49" i="69" a="1"/>
  <c r="K49" i="69" s="1"/>
  <c r="U49" i="69" a="1"/>
  <c r="U49" i="69" s="1"/>
  <c r="AW49" i="69"/>
  <c r="G49" i="69"/>
  <c r="BN49" i="69"/>
  <c r="Y49" i="69"/>
  <c r="Z49" i="69"/>
  <c r="J49" i="69"/>
  <c r="U27" i="69" a="1"/>
  <c r="U27" i="69" s="1"/>
  <c r="K27" i="69" a="1"/>
  <c r="K27" i="69" s="1"/>
  <c r="BP27" i="69"/>
  <c r="AA27" i="69"/>
  <c r="T27" i="69"/>
  <c r="N27" i="69" a="1"/>
  <c r="N27" i="69" s="1"/>
  <c r="AM27" i="69"/>
  <c r="M27" i="69"/>
  <c r="V27" i="69"/>
  <c r="B27" i="69" s="1"/>
  <c r="AW27" i="69"/>
  <c r="BN27" i="69" s="1"/>
  <c r="AX27" i="69"/>
  <c r="AT27" i="69" s="1" a="1"/>
  <c r="AT27" i="69" s="1"/>
  <c r="Q27" i="69"/>
  <c r="AN27" i="69"/>
  <c r="AB27" i="69" a="1"/>
  <c r="AB27" i="69" s="1"/>
  <c r="P27" i="69"/>
  <c r="W27" i="69"/>
  <c r="BC27" i="69" s="1"/>
  <c r="A27" i="69"/>
  <c r="AC27" i="69"/>
  <c r="Y27" i="69"/>
  <c r="Z27" i="69"/>
  <c r="J27" i="69"/>
  <c r="AV506" i="13"/>
  <c r="BH4" i="4"/>
  <c r="E193" i="15"/>
  <c r="E100" i="15"/>
  <c r="CV46" i="4"/>
  <c r="CW46" i="4" s="1"/>
  <c r="E417" i="15"/>
  <c r="AX1249" i="13"/>
  <c r="A1348" i="13"/>
  <c r="E336" i="15"/>
  <c r="E223" i="15"/>
  <c r="E291" i="15"/>
  <c r="E441" i="15"/>
  <c r="E477" i="15"/>
  <c r="E248" i="15"/>
  <c r="E300" i="15"/>
  <c r="E251" i="15"/>
  <c r="E541" i="15"/>
  <c r="E408" i="15"/>
  <c r="E174" i="15"/>
  <c r="E489" i="15"/>
  <c r="E492" i="15"/>
  <c r="E103" i="15"/>
  <c r="E523" i="15"/>
  <c r="E318" i="15"/>
  <c r="E124" i="15"/>
  <c r="E326" i="15"/>
  <c r="E117" i="15"/>
  <c r="AX269" i="13"/>
  <c r="A369" i="13"/>
  <c r="AX369" i="13" s="1"/>
  <c r="AV67" i="13"/>
  <c r="AW65" i="4"/>
  <c r="AY65" i="4"/>
  <c r="Z1361" i="13"/>
  <c r="F65" i="4"/>
  <c r="AP65" i="4"/>
  <c r="CZ65" i="4" a="1"/>
  <c r="CZ65" i="4" s="1"/>
  <c r="CX65" i="4"/>
  <c r="CY65" i="4" s="1"/>
  <c r="AX218" i="13"/>
  <c r="A318" i="13"/>
  <c r="AX318" i="13" s="1"/>
  <c r="AW30" i="4"/>
  <c r="L30" i="69" s="1"/>
  <c r="L30" i="4"/>
  <c r="Z1326" i="13"/>
  <c r="AV32" i="13"/>
  <c r="F30" i="4"/>
  <c r="AY30" i="4"/>
  <c r="AP30" i="4"/>
  <c r="AV332" i="13" s="1"/>
  <c r="AV432" i="13" s="1"/>
  <c r="W45" i="22"/>
  <c r="Y45" i="22" s="1"/>
  <c r="CV30" i="4"/>
  <c r="CW30" i="4" s="1"/>
  <c r="V45" i="22"/>
  <c r="CZ30" i="4" a="1"/>
  <c r="CZ30" i="4" s="1"/>
  <c r="BD12" i="4"/>
  <c r="E53" i="4"/>
  <c r="AX236" i="13"/>
  <c r="A336" i="13"/>
  <c r="AX336" i="13" s="1"/>
  <c r="A1334" i="13"/>
  <c r="AX1235" i="13"/>
  <c r="E52" i="4"/>
  <c r="BT52" i="4" s="1"/>
  <c r="AX1238" i="13"/>
  <c r="A1337" i="13"/>
  <c r="AY53" i="4"/>
  <c r="L53" i="4"/>
  <c r="CA53" i="4" s="1"/>
  <c r="AV55" i="13"/>
  <c r="AW53" i="4"/>
  <c r="K53" i="69" s="1" a="1"/>
  <c r="K53" i="69" s="1"/>
  <c r="F53" i="4"/>
  <c r="Z1349" i="13"/>
  <c r="AP53" i="4"/>
  <c r="AV355" i="13" s="1"/>
  <c r="AV455" i="13" s="1"/>
  <c r="V36" i="22"/>
  <c r="CZ53" i="4" a="1"/>
  <c r="CZ53" i="4" s="1"/>
  <c r="W36" i="22"/>
  <c r="Y36" i="22" s="1"/>
  <c r="A309" i="13"/>
  <c r="AX309" i="13" s="1"/>
  <c r="AX209" i="13"/>
  <c r="BD46" i="4"/>
  <c r="BR46" i="4" s="1"/>
  <c r="N574" i="15" a="1"/>
  <c r="N574" i="15" s="1"/>
  <c r="AW86" i="4"/>
  <c r="L86" i="69" s="1"/>
  <c r="AV88" i="13"/>
  <c r="AY86" i="4"/>
  <c r="Z1382" i="13"/>
  <c r="F86" i="4"/>
  <c r="L86" i="4"/>
  <c r="CA86" i="4" s="1"/>
  <c r="AP86" i="4"/>
  <c r="CZ86" i="4" a="1"/>
  <c r="CZ86" i="4" s="1"/>
  <c r="CV86" i="4"/>
  <c r="CW86" i="4" s="1"/>
  <c r="A1687" i="13"/>
  <c r="AX1687" i="13" s="1"/>
  <c r="AX1588" i="13"/>
  <c r="E5" i="4"/>
  <c r="AX229" i="13"/>
  <c r="A329" i="13"/>
  <c r="AX329" i="13" s="1"/>
  <c r="I369" i="15" a="1"/>
  <c r="I369" i="15" s="1"/>
  <c r="AX1219" i="13"/>
  <c r="A1318" i="13"/>
  <c r="AX1205" i="13"/>
  <c r="A1304" i="13"/>
  <c r="L595" i="15" a="1"/>
  <c r="L595" i="15" s="1"/>
  <c r="K510" i="15" a="1"/>
  <c r="K510" i="15" s="1"/>
  <c r="N510" i="15" a="1"/>
  <c r="N510" i="15" s="1"/>
  <c r="AX248" i="13"/>
  <c r="A348" i="13"/>
  <c r="AX348" i="13" s="1"/>
  <c r="AX279" i="13"/>
  <c r="A379" i="13"/>
  <c r="AX379" i="13" s="1"/>
  <c r="AH92" i="4"/>
  <c r="A1350" i="13"/>
  <c r="AX1251" i="13"/>
  <c r="BT31" i="4"/>
  <c r="BD1767" i="13" a="1"/>
  <c r="BD1767" i="13" s="1"/>
  <c r="BB1767" i="13" a="1"/>
  <c r="BB1767" i="13" s="1"/>
  <c r="BA1767" i="13" a="1"/>
  <c r="BA1767" i="13" s="1"/>
  <c r="BD1766" i="13" a="1"/>
  <c r="BD1766" i="13" s="1"/>
  <c r="A1319" i="13"/>
  <c r="AX1220" i="13"/>
  <c r="A377" i="13"/>
  <c r="AX377" i="13" s="1"/>
  <c r="AX277" i="13"/>
  <c r="CZ57" i="4" a="1"/>
  <c r="CZ57" i="4" s="1"/>
  <c r="CV57" i="4"/>
  <c r="CW57" i="4" s="1"/>
  <c r="A347" i="13"/>
  <c r="AX347" i="13" s="1"/>
  <c r="AX247" i="13"/>
  <c r="A331" i="13"/>
  <c r="AX331" i="13" s="1"/>
  <c r="AX231" i="13"/>
  <c r="AX1270" i="13"/>
  <c r="A1369" i="13"/>
  <c r="A321" i="13"/>
  <c r="AX321" i="13" s="1"/>
  <c r="AX221" i="13"/>
  <c r="E65" i="4"/>
  <c r="B70" i="4"/>
  <c r="E379" i="15" s="1"/>
  <c r="BA70" i="4" a="1"/>
  <c r="BA70" i="4" s="1"/>
  <c r="BB70" i="4" s="1"/>
  <c r="A756" i="13"/>
  <c r="AX756" i="13" s="1"/>
  <c r="AX457" i="13"/>
  <c r="A856" i="13"/>
  <c r="AX856" i="13" s="1"/>
  <c r="AX557" i="13"/>
  <c r="A557" i="13"/>
  <c r="AX1054" i="13"/>
  <c r="A1153" i="13"/>
  <c r="A457" i="13"/>
  <c r="A1054" i="13"/>
  <c r="AX57" i="13"/>
  <c r="A157" i="13"/>
  <c r="AX657" i="13"/>
  <c r="A657" i="13"/>
  <c r="A955" i="13"/>
  <c r="AX955" i="13" s="1"/>
  <c r="Z32" i="4"/>
  <c r="AV1229" i="13" s="1"/>
  <c r="AH8" i="4"/>
  <c r="AV1304" i="13" s="1"/>
  <c r="AD7" i="4"/>
  <c r="F7" i="69" s="1"/>
  <c r="AL26" i="4"/>
  <c r="I26" i="69" s="1"/>
  <c r="Z91" i="4"/>
  <c r="AL86" i="4"/>
  <c r="I86" i="69" s="1"/>
  <c r="AL25" i="4"/>
  <c r="I25" i="69" s="1"/>
  <c r="AH16" i="4"/>
  <c r="AV1312" i="13" s="1"/>
  <c r="AH15" i="4"/>
  <c r="Z73" i="4"/>
  <c r="AH78" i="4"/>
  <c r="AH38" i="4"/>
  <c r="Z69" i="4"/>
  <c r="T30" i="69"/>
  <c r="AB30" i="69" a="1"/>
  <c r="AB30" i="69" s="1"/>
  <c r="M30" i="69"/>
  <c r="P30" i="69"/>
  <c r="AE30" i="69" s="1" a="1"/>
  <c r="AE30" i="69" s="1"/>
  <c r="AX30" i="69"/>
  <c r="A30" i="69"/>
  <c r="BC30" i="69" s="1"/>
  <c r="BP30" i="69"/>
  <c r="N30" i="69" a="1"/>
  <c r="N30" i="69" s="1"/>
  <c r="G30" i="69"/>
  <c r="AN30" i="69"/>
  <c r="V30" i="69"/>
  <c r="B30" i="69" s="1"/>
  <c r="AM30" i="69"/>
  <c r="AA30" i="69"/>
  <c r="W30" i="69"/>
  <c r="AC30" i="69"/>
  <c r="Q30" i="69"/>
  <c r="AW30" i="69"/>
  <c r="K30" i="69" a="1"/>
  <c r="K30" i="69" s="1"/>
  <c r="BL30" i="69" a="1"/>
  <c r="BL30" i="69" s="1"/>
  <c r="S30" i="69"/>
  <c r="BK30" i="69"/>
  <c r="BJ30" i="69" s="1"/>
  <c r="BM30" i="69" s="1"/>
  <c r="Y30" i="69"/>
  <c r="Z30" i="69"/>
  <c r="J30" i="69"/>
  <c r="Z26" i="4"/>
  <c r="Z14" i="4"/>
  <c r="AV1211" i="13" s="1"/>
  <c r="AD38" i="4"/>
  <c r="F38" i="69" s="1"/>
  <c r="AH56" i="4"/>
  <c r="AL88" i="4"/>
  <c r="I88" i="69" s="1"/>
  <c r="BP53" i="69"/>
  <c r="A53" i="69"/>
  <c r="AX53" i="69"/>
  <c r="M53" i="69"/>
  <c r="N53" i="69" a="1"/>
  <c r="N53" i="69" s="1"/>
  <c r="AC53" i="69"/>
  <c r="AW53" i="69"/>
  <c r="Q53" i="69"/>
  <c r="AB53" i="69" a="1"/>
  <c r="AB53" i="69" s="1"/>
  <c r="V53" i="69"/>
  <c r="W53" i="69"/>
  <c r="BK53" i="69" s="1"/>
  <c r="BJ53" i="69" s="1"/>
  <c r="BM53" i="69" s="1"/>
  <c r="AA53" i="69"/>
  <c r="T53" i="69"/>
  <c r="P53" i="69"/>
  <c r="AM53" i="69"/>
  <c r="AN53" i="69"/>
  <c r="S53" i="69"/>
  <c r="G53" i="69"/>
  <c r="B53" i="69"/>
  <c r="Y53" i="69"/>
  <c r="J53" i="69"/>
  <c r="Z53" i="69"/>
  <c r="AL5" i="4"/>
  <c r="I5" i="69" s="1"/>
  <c r="AH22" i="4"/>
  <c r="AD37" i="4"/>
  <c r="F37" i="69" s="1"/>
  <c r="M32" i="69"/>
  <c r="AW32" i="69"/>
  <c r="BP32" i="69"/>
  <c r="AA32" i="69"/>
  <c r="BC32" i="69" s="1"/>
  <c r="T32" i="69"/>
  <c r="W32" i="69"/>
  <c r="N32" i="69" a="1"/>
  <c r="N32" i="69" s="1"/>
  <c r="AB32" i="69" a="1"/>
  <c r="AB32" i="69" s="1"/>
  <c r="Q32" i="69"/>
  <c r="U32" i="69" a="1"/>
  <c r="U32" i="69" s="1"/>
  <c r="A32" i="69"/>
  <c r="P32" i="69"/>
  <c r="AT32" i="69" s="1" a="1"/>
  <c r="AT32" i="69" s="1"/>
  <c r="V32" i="69"/>
  <c r="B32" i="69" s="1"/>
  <c r="AN32" i="69"/>
  <c r="AM32" i="69"/>
  <c r="AC32" i="69"/>
  <c r="AX32" i="69"/>
  <c r="L32" i="69"/>
  <c r="G32" i="69"/>
  <c r="S32" i="69"/>
  <c r="BL32" i="69" a="1"/>
  <c r="BL32" i="69" s="1"/>
  <c r="K32" i="69" a="1"/>
  <c r="K32" i="69" s="1"/>
  <c r="Y32" i="69"/>
  <c r="J32" i="69"/>
  <c r="Z32" i="69"/>
  <c r="Z7" i="4"/>
  <c r="AL29" i="4"/>
  <c r="I29" i="69" s="1"/>
  <c r="AH27" i="4"/>
  <c r="AH69" i="4"/>
  <c r="AD23" i="4"/>
  <c r="F23" i="69" s="1"/>
  <c r="AL45" i="4"/>
  <c r="I45" i="69" s="1"/>
  <c r="V83" i="69"/>
  <c r="Q83" i="69"/>
  <c r="A83" i="69"/>
  <c r="BP83" i="69"/>
  <c r="AM83" i="69"/>
  <c r="AA83" i="69"/>
  <c r="T83" i="69"/>
  <c r="M83" i="69"/>
  <c r="AN83" i="69"/>
  <c r="AX83" i="69"/>
  <c r="AB83" i="69" a="1"/>
  <c r="AB83" i="69" s="1"/>
  <c r="P83" i="69"/>
  <c r="AE83" i="69" s="1" a="1"/>
  <c r="AE83" i="69" s="1"/>
  <c r="W83" i="69"/>
  <c r="BC83" i="69" s="1"/>
  <c r="AW83" i="69"/>
  <c r="BN83" i="69" s="1"/>
  <c r="AC83" i="69"/>
  <c r="N83" i="69" a="1"/>
  <c r="N83" i="69" s="1"/>
  <c r="Y83" i="69"/>
  <c r="Z83" i="69"/>
  <c r="J83" i="69"/>
  <c r="Z5" i="4"/>
  <c r="AD67" i="4"/>
  <c r="F67" i="69" s="1"/>
  <c r="AH70" i="4"/>
  <c r="BP23" i="69"/>
  <c r="AN23" i="69"/>
  <c r="Y23" i="69"/>
  <c r="M23" i="69"/>
  <c r="V23" i="69"/>
  <c r="AC23" i="69"/>
  <c r="A23" i="69"/>
  <c r="AA23" i="69"/>
  <c r="N23" i="69" a="1"/>
  <c r="N23" i="69" s="1"/>
  <c r="P23" i="69"/>
  <c r="Q23" i="69"/>
  <c r="T23" i="69"/>
  <c r="AX23" i="69"/>
  <c r="AM23" i="69"/>
  <c r="W23" i="69"/>
  <c r="BK23" i="69" s="1"/>
  <c r="BJ23" i="69" s="1"/>
  <c r="BM23" i="69" s="1"/>
  <c r="Z23" i="69"/>
  <c r="J23" i="69"/>
  <c r="AW23" i="69"/>
  <c r="AB23" i="69" a="1"/>
  <c r="AB23" i="69" s="1"/>
  <c r="U23" i="69" a="1"/>
  <c r="U23" i="69" s="1"/>
  <c r="S23" i="69"/>
  <c r="G23" i="69"/>
  <c r="B23" i="69"/>
  <c r="K23" i="69" a="1"/>
  <c r="K23" i="69" s="1"/>
  <c r="N93" i="69" a="1"/>
  <c r="N93" i="69" s="1"/>
  <c r="AA93" i="69"/>
  <c r="AC93" i="69"/>
  <c r="W93" i="69"/>
  <c r="BK93" i="69" s="1"/>
  <c r="BJ93" i="69" s="1"/>
  <c r="BM93" i="69" s="1"/>
  <c r="AB93" i="69" a="1"/>
  <c r="AB93" i="69" s="1"/>
  <c r="AM93" i="69"/>
  <c r="AN93" i="69"/>
  <c r="Q93" i="69"/>
  <c r="AX93" i="69"/>
  <c r="A93" i="69"/>
  <c r="AW93" i="69"/>
  <c r="P93" i="69"/>
  <c r="M93" i="69"/>
  <c r="BP93" i="69"/>
  <c r="T93" i="69"/>
  <c r="V93" i="69"/>
  <c r="B93" i="69" s="1"/>
  <c r="S93" i="69"/>
  <c r="G93" i="69"/>
  <c r="BC93" i="69"/>
  <c r="Y93" i="69"/>
  <c r="J93" i="69"/>
  <c r="Z93" i="69"/>
  <c r="BP19" i="69"/>
  <c r="AA19" i="69"/>
  <c r="E19" i="69" s="1"/>
  <c r="AN19" i="69"/>
  <c r="M19" i="69"/>
  <c r="AB19" i="69" a="1"/>
  <c r="AB19" i="69" s="1"/>
  <c r="T19" i="69"/>
  <c r="AM19" i="69"/>
  <c r="W19" i="69"/>
  <c r="BL19" i="69" s="1" a="1"/>
  <c r="BL19" i="69" s="1"/>
  <c r="A19" i="69"/>
  <c r="AC19" i="69"/>
  <c r="S19" i="69"/>
  <c r="U19" i="69" a="1"/>
  <c r="U19" i="69" s="1"/>
  <c r="Q19" i="69"/>
  <c r="N19" i="69" a="1"/>
  <c r="N19" i="69" s="1"/>
  <c r="V19" i="69"/>
  <c r="B19" i="69" s="1"/>
  <c r="P19" i="69"/>
  <c r="AW19" i="69"/>
  <c r="AX19" i="69"/>
  <c r="BK19" i="69"/>
  <c r="G19" i="69"/>
  <c r="K19" i="69" a="1"/>
  <c r="K19" i="69" s="1"/>
  <c r="Y19" i="69"/>
  <c r="J19" i="69"/>
  <c r="Z19" i="69"/>
  <c r="AW77" i="69"/>
  <c r="AN77" i="69"/>
  <c r="Q77" i="69"/>
  <c r="AB77" i="69" a="1"/>
  <c r="AB77" i="69" s="1"/>
  <c r="V77" i="69"/>
  <c r="AM77" i="69"/>
  <c r="P77" i="69"/>
  <c r="W77" i="69"/>
  <c r="BC77" i="69" s="1"/>
  <c r="AC77" i="69"/>
  <c r="Y77" i="69"/>
  <c r="A77" i="69"/>
  <c r="J77" i="69"/>
  <c r="BP77" i="69"/>
  <c r="Z77" i="69"/>
  <c r="AX77" i="69"/>
  <c r="N77" i="69" a="1"/>
  <c r="N77" i="69" s="1"/>
  <c r="AA77" i="69"/>
  <c r="AE77" i="69" a="1"/>
  <c r="AE77" i="69" s="1"/>
  <c r="AS77" i="69" s="1" a="1"/>
  <c r="AS77" i="69" s="1"/>
  <c r="T77" i="69"/>
  <c r="B77" i="69"/>
  <c r="S77" i="69"/>
  <c r="M77" i="69"/>
  <c r="G77" i="69"/>
  <c r="AJ55" i="4" a="1"/>
  <c r="AI55" i="4" a="1"/>
  <c r="BJ62" i="4" a="1"/>
  <c r="BK62" i="4" a="1"/>
  <c r="BI62" i="4" a="1"/>
  <c r="BI61" i="4" a="1"/>
  <c r="BJ61" i="4" a="1"/>
  <c r="BK61" i="4" a="1"/>
  <c r="BJ74" i="4" a="1"/>
  <c r="BI74" i="4" a="1"/>
  <c r="BK74" i="4" a="1"/>
  <c r="BJ21" i="4" a="1"/>
  <c r="BK21" i="4" a="1"/>
  <c r="BI21" i="4" a="1"/>
  <c r="AB55" i="4" a="1"/>
  <c r="AA55" i="4" a="1"/>
  <c r="BI93" i="4" a="1"/>
  <c r="BJ93" i="4" a="1"/>
  <c r="BK93" i="4" a="1"/>
  <c r="BJ82" i="4" a="1"/>
  <c r="BK82" i="4" a="1"/>
  <c r="BI82" i="4" a="1"/>
  <c r="AO55" i="4" a="1"/>
  <c r="AN55" i="4" a="1"/>
  <c r="BK75" i="4" a="1"/>
  <c r="BI75" i="4" a="1"/>
  <c r="BJ75" i="4" a="1"/>
  <c r="BK77" i="4" a="1"/>
  <c r="BI77" i="4" a="1"/>
  <c r="BJ77" i="4" a="1"/>
  <c r="BI84" i="4" a="1"/>
  <c r="BK84" i="4" a="1"/>
  <c r="BJ84" i="4" a="1"/>
  <c r="BJ59" i="4" a="1"/>
  <c r="BI59" i="4" a="1"/>
  <c r="BK59" i="4" a="1"/>
  <c r="BI72" i="4" a="1"/>
  <c r="BK72" i="4" a="1"/>
  <c r="BJ72" i="4" a="1"/>
  <c r="BJ94" i="4" a="1"/>
  <c r="BI94" i="4" a="1"/>
  <c r="BK94" i="4" a="1"/>
  <c r="BJ83" i="4" a="1"/>
  <c r="BI83" i="4" a="1"/>
  <c r="BK83" i="4" a="1"/>
  <c r="AF55" i="4" a="1"/>
  <c r="AG55" i="4" a="1"/>
  <c r="BJ78" i="4" a="1"/>
  <c r="BI78" i="4" a="1"/>
  <c r="BK78" i="4" a="1"/>
  <c r="BK85" i="4" a="1"/>
  <c r="BJ85" i="4" a="1"/>
  <c r="BI85" i="4" a="1"/>
  <c r="BJ66" i="4" a="1"/>
  <c r="BI66" i="4" a="1"/>
  <c r="BK66" i="4" a="1"/>
  <c r="BK60" i="4" a="1"/>
  <c r="BI60" i="4" a="1"/>
  <c r="BJ60" i="4" a="1"/>
  <c r="BI67" i="4" a="1"/>
  <c r="BJ67" i="4" a="1"/>
  <c r="BK67" i="4" a="1"/>
  <c r="BJ89" i="4" a="1"/>
  <c r="BI89" i="4" a="1"/>
  <c r="BK89" i="4" a="1"/>
  <c r="BJ63" i="4" a="1"/>
  <c r="BI63" i="4" a="1"/>
  <c r="BK63" i="4" a="1"/>
  <c r="BK64" i="4" a="1"/>
  <c r="BJ64" i="4" a="1"/>
  <c r="BI64" i="4" a="1"/>
  <c r="BK80" i="4" a="1"/>
  <c r="BI80" i="4" a="1"/>
  <c r="BJ80" i="4" a="1"/>
  <c r="BI58" i="4" a="1"/>
  <c r="BJ58" i="4" a="1"/>
  <c r="BK58" i="4" a="1"/>
  <c r="BK91" i="4" a="1"/>
  <c r="BJ91" i="4" a="1"/>
  <c r="BI91" i="4" a="1"/>
  <c r="B55" i="1" a="1"/>
  <c r="BJ95" i="4" a="1"/>
  <c r="BI95" i="4" a="1"/>
  <c r="BK95" i="4" a="1"/>
  <c r="BK81" i="4" a="1"/>
  <c r="BJ81" i="4" a="1"/>
  <c r="BI81" i="4" a="1"/>
  <c r="BK87" i="4" a="1"/>
  <c r="BI87" i="4" a="1"/>
  <c r="BJ87" i="4" a="1"/>
  <c r="BI70" i="4" a="1"/>
  <c r="BK70" i="4" a="1"/>
  <c r="BJ70" i="4" a="1"/>
  <c r="E23" i="69" l="1"/>
  <c r="BL83" i="69" a="1"/>
  <c r="BL83" i="69" s="1"/>
  <c r="AE19" i="69" a="1"/>
  <c r="AE19" i="69" s="1"/>
  <c r="BK83" i="69"/>
  <c r="BN32" i="69"/>
  <c r="AE94" i="69" a="1"/>
  <c r="AE94" i="69" s="1"/>
  <c r="AS94" i="69" s="1" a="1"/>
  <c r="AS94" i="69" s="1"/>
  <c r="BN67" i="69"/>
  <c r="BK73" i="69"/>
  <c r="BJ73" i="69" s="1"/>
  <c r="BM73" i="69" s="1"/>
  <c r="BC14" i="69"/>
  <c r="E40" i="69"/>
  <c r="AT59" i="69" a="1"/>
  <c r="AT59" i="69" s="1"/>
  <c r="BC33" i="69"/>
  <c r="AT33" i="69" a="1"/>
  <c r="AT33" i="69" s="1"/>
  <c r="BL79" i="69" a="1"/>
  <c r="BL79" i="69" s="1"/>
  <c r="AT64" i="69" a="1"/>
  <c r="AT64" i="69" s="1"/>
  <c r="BC86" i="69"/>
  <c r="BK8" i="69"/>
  <c r="BC28" i="69"/>
  <c r="E66" i="69"/>
  <c r="T84" i="69"/>
  <c r="BH84" i="69" s="1" a="1"/>
  <c r="BH84" i="69" s="1"/>
  <c r="BC24" i="69"/>
  <c r="BC39" i="69"/>
  <c r="BK91" i="69"/>
  <c r="BJ91" i="69" s="1"/>
  <c r="BM91" i="69" s="1"/>
  <c r="AT23" i="69" a="1"/>
  <c r="AT23" i="69" s="1"/>
  <c r="U53" i="69" a="1"/>
  <c r="U53" i="69" s="1"/>
  <c r="E77" i="69"/>
  <c r="E93" i="69"/>
  <c r="BC49" i="69"/>
  <c r="L17" i="69"/>
  <c r="AT73" i="69" a="1"/>
  <c r="AT73" i="69" s="1"/>
  <c r="BL34" i="69" a="1"/>
  <c r="BL34" i="69" s="1"/>
  <c r="E59" i="69"/>
  <c r="BN46" i="69"/>
  <c r="BN33" i="69"/>
  <c r="AE11" i="69" a="1"/>
  <c r="AE11" i="69" s="1"/>
  <c r="AT36" i="69" a="1"/>
  <c r="AT36" i="69" s="1"/>
  <c r="AT31" i="69" a="1"/>
  <c r="AT31" i="69" s="1"/>
  <c r="BJ39" i="69"/>
  <c r="BM39" i="69" s="1"/>
  <c r="AT82" i="69" a="1"/>
  <c r="AT82" i="69" s="1"/>
  <c r="BN54" i="69"/>
  <c r="BN44" i="69"/>
  <c r="AT8" i="69" a="1"/>
  <c r="AT8" i="69" s="1"/>
  <c r="AT93" i="69" a="1"/>
  <c r="AT93" i="69" s="1"/>
  <c r="U30" i="69" a="1"/>
  <c r="U30" i="69" s="1"/>
  <c r="G45" i="69"/>
  <c r="B87" i="69"/>
  <c r="S59" i="69"/>
  <c r="CZ21" i="4" a="1"/>
  <c r="CZ21" i="4" s="1"/>
  <c r="E88" i="69"/>
  <c r="E65" i="69"/>
  <c r="BC18" i="69"/>
  <c r="BC42" i="69"/>
  <c r="BN52" i="69"/>
  <c r="BN56" i="69"/>
  <c r="AT56" i="69" a="1"/>
  <c r="AT56" i="69" s="1"/>
  <c r="E57" i="69"/>
  <c r="AE9" i="69" a="1"/>
  <c r="AE9" i="69" s="1"/>
  <c r="AE84" i="69" a="1"/>
  <c r="AE84" i="69" s="1"/>
  <c r="BJ29" i="69"/>
  <c r="BM29" i="69" s="1"/>
  <c r="AE43" i="69" a="1"/>
  <c r="AE43" i="69" s="1"/>
  <c r="BL23" i="69" a="1"/>
  <c r="BL23" i="69" s="1"/>
  <c r="AT53" i="69" a="1"/>
  <c r="AT53" i="69" s="1"/>
  <c r="AE49" i="69" a="1"/>
  <c r="AE49" i="69" s="1"/>
  <c r="AS49" i="69" s="1" a="1"/>
  <c r="AS49" i="69" s="1"/>
  <c r="AE16" i="69" a="1"/>
  <c r="AE16" i="69" s="1"/>
  <c r="S34" i="69"/>
  <c r="S87" i="69"/>
  <c r="BC87" i="69"/>
  <c r="BO59" i="69"/>
  <c r="E26" i="69"/>
  <c r="AE52" i="69" a="1"/>
  <c r="AE52" i="69" s="1"/>
  <c r="AS52" i="69" s="1" a="1"/>
  <c r="AS52" i="69" s="1"/>
  <c r="G9" i="69"/>
  <c r="E61" i="69"/>
  <c r="BC89" i="69"/>
  <c r="L41" i="69"/>
  <c r="BN76" i="69"/>
  <c r="BJ47" i="69"/>
  <c r="BM47" i="69" s="1"/>
  <c r="BN59" i="69"/>
  <c r="BK59" i="69"/>
  <c r="AE64" i="69" a="1"/>
  <c r="AE64" i="69" s="1"/>
  <c r="BJ35" i="69"/>
  <c r="BM35" i="69" s="1"/>
  <c r="BN75" i="69"/>
  <c r="BJ69" i="69"/>
  <c r="BM69" i="69" s="1"/>
  <c r="AE15" i="69" a="1"/>
  <c r="AE15" i="69" s="1"/>
  <c r="AE87" i="69" a="1"/>
  <c r="AE87" i="69" s="1"/>
  <c r="AS87" i="69" s="1" a="1"/>
  <c r="AS87" i="69" s="1"/>
  <c r="BJ88" i="69"/>
  <c r="BM88" i="69" s="1"/>
  <c r="AT63" i="69" a="1"/>
  <c r="AT63" i="69" s="1"/>
  <c r="E62" i="69"/>
  <c r="AT71" i="69" a="1"/>
  <c r="AT71" i="69" s="1"/>
  <c r="AE76" i="69" a="1"/>
  <c r="AE76" i="69" s="1"/>
  <c r="BK20" i="69"/>
  <c r="BC37" i="69"/>
  <c r="AE59" i="69" a="1"/>
  <c r="AE59" i="69" s="1"/>
  <c r="BL88" i="69" a="1"/>
  <c r="BL88" i="69" s="1"/>
  <c r="E63" i="69"/>
  <c r="BC80" i="69"/>
  <c r="BL64" i="69" a="1"/>
  <c r="BL64" i="69" s="1"/>
  <c r="BL26" i="69" a="1"/>
  <c r="BL26" i="69" s="1"/>
  <c r="BK52" i="69"/>
  <c r="AT86" i="69" a="1"/>
  <c r="AT86" i="69" s="1"/>
  <c r="BQ81" i="69"/>
  <c r="AE25" i="69" a="1"/>
  <c r="AE25" i="69" s="1"/>
  <c r="B31" i="69"/>
  <c r="E89" i="69"/>
  <c r="AE12" i="69" a="1"/>
  <c r="AE12" i="69" s="1"/>
  <c r="AS12" i="69" s="1" a="1"/>
  <c r="AS12" i="69" s="1"/>
  <c r="AT19" i="69" a="1"/>
  <c r="AT19" i="69" s="1"/>
  <c r="BC68" i="69"/>
  <c r="BN77" i="69"/>
  <c r="AT77" i="69" a="1"/>
  <c r="AT77" i="69" s="1"/>
  <c r="AT83" i="69" a="1"/>
  <c r="AT83" i="69" s="1"/>
  <c r="AE27" i="69" a="1"/>
  <c r="AE27" i="69" s="1"/>
  <c r="AU27" i="69" s="1" a="1"/>
  <c r="AU27" i="69" s="1"/>
  <c r="AE34" i="69" a="1"/>
  <c r="AE34" i="69" s="1"/>
  <c r="AE14" i="69" a="1"/>
  <c r="AE14" i="69" s="1"/>
  <c r="BN37" i="69"/>
  <c r="BC5" i="69"/>
  <c r="AE5" i="69" a="1"/>
  <c r="AE5" i="69" s="1"/>
  <c r="M74" i="69"/>
  <c r="BN48" i="69"/>
  <c r="BC48" i="69"/>
  <c r="G88" i="69"/>
  <c r="AE46" i="69" a="1"/>
  <c r="AE46" i="69" s="1"/>
  <c r="BN18" i="69"/>
  <c r="E33" i="69"/>
  <c r="AE80" i="69" a="1"/>
  <c r="AE80" i="69" s="1"/>
  <c r="AH80" i="69" s="1" a="1"/>
  <c r="AH80" i="69" s="1"/>
  <c r="AT6" i="69" a="1"/>
  <c r="AT6" i="69" s="1"/>
  <c r="BC52" i="69"/>
  <c r="B52" i="69"/>
  <c r="B62" i="69"/>
  <c r="BQ57" i="69"/>
  <c r="S31" i="69"/>
  <c r="BC35" i="69"/>
  <c r="AT7" i="69" a="1"/>
  <c r="AT7" i="69" s="1"/>
  <c r="BC70" i="69"/>
  <c r="AT17" i="69" a="1"/>
  <c r="AT17" i="69" s="1"/>
  <c r="AT45" i="69" a="1"/>
  <c r="AT45" i="69" s="1"/>
  <c r="AT67" i="69" a="1"/>
  <c r="AT67" i="69" s="1"/>
  <c r="BN14" i="69"/>
  <c r="AT80" i="69" a="1"/>
  <c r="AT80" i="69" s="1"/>
  <c r="BN6" i="69"/>
  <c r="G71" i="69"/>
  <c r="AT22" i="69" a="1"/>
  <c r="AT22" i="69" s="1"/>
  <c r="E49" i="69"/>
  <c r="G16" i="69"/>
  <c r="BC67" i="69"/>
  <c r="BL73" i="69" a="1"/>
  <c r="BL73" i="69" s="1"/>
  <c r="BC73" i="69"/>
  <c r="BN20" i="69"/>
  <c r="AT20" i="69" a="1"/>
  <c r="AT20" i="69" s="1"/>
  <c r="AT37" i="69" a="1"/>
  <c r="AT37" i="69" s="1"/>
  <c r="AE48" i="69" a="1"/>
  <c r="AE48" i="69" s="1"/>
  <c r="AT65" i="69" a="1"/>
  <c r="AT65" i="69" s="1"/>
  <c r="BN63" i="69"/>
  <c r="AE42" i="69" a="1"/>
  <c r="AE42" i="69" s="1"/>
  <c r="E38" i="69"/>
  <c r="AT26" i="69" a="1"/>
  <c r="AT26" i="69" s="1"/>
  <c r="S52" i="69"/>
  <c r="BK62" i="69"/>
  <c r="BJ62" i="69" s="1"/>
  <c r="BM62" i="69" s="1"/>
  <c r="AE62" i="69" a="1"/>
  <c r="AE62" i="69" s="1"/>
  <c r="U8" i="69" a="1"/>
  <c r="U8" i="69" s="1"/>
  <c r="AT28" i="69" a="1"/>
  <c r="AT28" i="69" s="1"/>
  <c r="T61" i="69"/>
  <c r="BN71" i="69"/>
  <c r="AE82" i="69" a="1"/>
  <c r="AE82" i="69" s="1"/>
  <c r="AV82" i="69" s="1" a="1"/>
  <c r="AV82" i="69" s="1"/>
  <c r="BC54" i="69"/>
  <c r="AE54" i="69" a="1"/>
  <c r="AE54" i="69" s="1"/>
  <c r="AT15" i="69" a="1"/>
  <c r="AT15" i="69" s="1"/>
  <c r="BN19" i="69"/>
  <c r="AT47" i="69" a="1"/>
  <c r="AT47" i="69" s="1"/>
  <c r="BJ48" i="69"/>
  <c r="BM48" i="69" s="1"/>
  <c r="U33" i="69" a="1"/>
  <c r="U33" i="69" s="1"/>
  <c r="AE6" i="69" a="1"/>
  <c r="AE6" i="69" s="1"/>
  <c r="AJ6" i="69" s="1" a="1"/>
  <c r="AJ6" i="69" s="1"/>
  <c r="BN38" i="69"/>
  <c r="BC78" i="69"/>
  <c r="AT66" i="69" a="1"/>
  <c r="AT66" i="69" s="1"/>
  <c r="AT13" i="69" a="1"/>
  <c r="AT13" i="69" s="1"/>
  <c r="AT9" i="69" a="1"/>
  <c r="AT9" i="69" s="1"/>
  <c r="BK61" i="69"/>
  <c r="BJ61" i="69" s="1"/>
  <c r="BM61" i="69" s="1"/>
  <c r="AE24" i="69" a="1"/>
  <c r="AE24" i="69" s="1"/>
  <c r="BJ70" i="4"/>
  <c r="BK70" i="4"/>
  <c r="BI70" i="4"/>
  <c r="BJ87" i="4"/>
  <c r="BI87" i="4"/>
  <c r="BK87" i="4"/>
  <c r="BI81" i="4"/>
  <c r="BJ81" i="4"/>
  <c r="BK81" i="4"/>
  <c r="BK95" i="4"/>
  <c r="BI95" i="4"/>
  <c r="BJ95" i="4"/>
  <c r="B55" i="1"/>
  <c r="X55" i="69" s="1"/>
  <c r="BI91" i="4"/>
  <c r="BJ91" i="4"/>
  <c r="BK91" i="4"/>
  <c r="BK58" i="4"/>
  <c r="BJ58" i="4"/>
  <c r="BI58" i="4"/>
  <c r="BJ80" i="4"/>
  <c r="BI80" i="4"/>
  <c r="BK80" i="4"/>
  <c r="BI64" i="4"/>
  <c r="BJ64" i="4"/>
  <c r="BK64" i="4"/>
  <c r="BK63" i="4"/>
  <c r="BI63" i="4"/>
  <c r="BJ63" i="4"/>
  <c r="BK89" i="4"/>
  <c r="BI89" i="4"/>
  <c r="BJ89" i="4"/>
  <c r="BK67" i="4"/>
  <c r="BJ67" i="4"/>
  <c r="BI67" i="4"/>
  <c r="BJ60" i="4"/>
  <c r="BI60" i="4"/>
  <c r="BK60" i="4"/>
  <c r="BK66" i="4"/>
  <c r="BI66" i="4"/>
  <c r="BJ66" i="4"/>
  <c r="BI85" i="4"/>
  <c r="BJ85" i="4"/>
  <c r="BK85" i="4"/>
  <c r="BK78" i="4"/>
  <c r="BI78" i="4"/>
  <c r="BJ78" i="4"/>
  <c r="AG55" i="4"/>
  <c r="AF55" i="4"/>
  <c r="BK83" i="4"/>
  <c r="BI83" i="4"/>
  <c r="BJ83" i="4"/>
  <c r="BK94" i="4"/>
  <c r="BI94" i="4"/>
  <c r="BJ94" i="4"/>
  <c r="BJ72" i="4"/>
  <c r="BK72" i="4"/>
  <c r="BI72" i="4"/>
  <c r="BK59" i="4"/>
  <c r="BI59" i="4"/>
  <c r="BJ59" i="4"/>
  <c r="BJ84" i="4"/>
  <c r="BK84" i="4"/>
  <c r="BI84" i="4"/>
  <c r="BJ77" i="4"/>
  <c r="BI77" i="4"/>
  <c r="BK77" i="4"/>
  <c r="BJ75" i="4"/>
  <c r="BI75" i="4"/>
  <c r="BK75" i="4"/>
  <c r="AN55" i="4"/>
  <c r="AO55" i="4"/>
  <c r="BI82" i="4"/>
  <c r="BK82" i="4"/>
  <c r="BJ82" i="4"/>
  <c r="BK93" i="4"/>
  <c r="BJ93" i="4"/>
  <c r="BI93" i="4"/>
  <c r="AA55" i="4"/>
  <c r="DA55" i="4" s="1"/>
  <c r="DA97" i="4" s="1"/>
  <c r="AB55" i="4"/>
  <c r="BI21" i="4"/>
  <c r="BK21" i="4"/>
  <c r="BJ21" i="4"/>
  <c r="BK74" i="4"/>
  <c r="BI74" i="4"/>
  <c r="BJ74" i="4"/>
  <c r="BK61" i="4"/>
  <c r="BJ61" i="4"/>
  <c r="BI61" i="4"/>
  <c r="BI62" i="4"/>
  <c r="BK62" i="4"/>
  <c r="BJ62" i="4"/>
  <c r="AI55" i="4"/>
  <c r="AJ55" i="4"/>
  <c r="AV83" i="69" a="1"/>
  <c r="AV83" i="69" s="1"/>
  <c r="AH83" i="69" a="1"/>
  <c r="AH83" i="69" s="1"/>
  <c r="AU83" i="69" a="1"/>
  <c r="AU83" i="69" s="1"/>
  <c r="AL83" i="69" a="1"/>
  <c r="AL83" i="69" s="1"/>
  <c r="AF83" i="69" a="1"/>
  <c r="AF83" i="69" s="1"/>
  <c r="AP83" i="69" a="1"/>
  <c r="AP83" i="69" s="1"/>
  <c r="AS83" i="69" a="1"/>
  <c r="AS83" i="69" s="1"/>
  <c r="AH27" i="69" a="1"/>
  <c r="AH27" i="69" s="1"/>
  <c r="AL27" i="69" a="1"/>
  <c r="AL27" i="69" s="1"/>
  <c r="AF27" i="69" a="1"/>
  <c r="AF27" i="69" s="1"/>
  <c r="AS19" i="69" a="1"/>
  <c r="AS19" i="69" s="1"/>
  <c r="AF19" i="69" a="1"/>
  <c r="AF19" i="69" s="1"/>
  <c r="AV19" i="69" a="1"/>
  <c r="AV19" i="69" s="1"/>
  <c r="AP19" i="69" a="1"/>
  <c r="AP19" i="69" s="1"/>
  <c r="AL19" i="69" a="1"/>
  <c r="AL19" i="69" s="1"/>
  <c r="AU19" i="69" a="1"/>
  <c r="AU19" i="69" s="1"/>
  <c r="AH19" i="69" a="1"/>
  <c r="AH19" i="69" s="1"/>
  <c r="AH30" i="69" a="1"/>
  <c r="AH30" i="69" s="1"/>
  <c r="AV30" i="69" a="1"/>
  <c r="AV30" i="69" s="1"/>
  <c r="AU30" i="69" a="1"/>
  <c r="AU30" i="69" s="1"/>
  <c r="AP30" i="69" a="1"/>
  <c r="AP30" i="69" s="1"/>
  <c r="AF30" i="69" a="1"/>
  <c r="AF30" i="69" s="1"/>
  <c r="AL30" i="69" a="1"/>
  <c r="AL30" i="69" s="1"/>
  <c r="AS30" i="69" a="1"/>
  <c r="AS30" i="69" s="1"/>
  <c r="AE93" i="69" a="1"/>
  <c r="AE93" i="69" s="1"/>
  <c r="AZ93" i="69"/>
  <c r="BA93" i="69"/>
  <c r="BJ83" i="69"/>
  <c r="BM83" i="69" s="1"/>
  <c r="AV1323" i="13"/>
  <c r="G27" i="69"/>
  <c r="E53" i="69"/>
  <c r="BB1769" i="13" a="1"/>
  <c r="BB1769" i="13" s="1"/>
  <c r="N555" i="15" a="1"/>
  <c r="N555" i="15" s="1"/>
  <c r="BH53" i="4"/>
  <c r="AV555" i="13"/>
  <c r="BL53" i="4"/>
  <c r="BT53" i="4"/>
  <c r="BD53" i="4"/>
  <c r="X53" i="4" s="1"/>
  <c r="BA27" i="69"/>
  <c r="AZ27" i="69"/>
  <c r="AI27" i="69" s="1" a="1"/>
  <c r="AI27" i="69" s="1"/>
  <c r="AV1361" i="13"/>
  <c r="G65" i="69"/>
  <c r="L16" i="69"/>
  <c r="L10" i="69"/>
  <c r="AY10" i="69"/>
  <c r="R10" i="69"/>
  <c r="BB10" i="69"/>
  <c r="BH10" i="69" a="1"/>
  <c r="BH10" i="69" s="1"/>
  <c r="BO10" i="69"/>
  <c r="BK10" i="69"/>
  <c r="BJ10" i="69" s="1"/>
  <c r="BM10" i="69" s="1"/>
  <c r="E10" i="69"/>
  <c r="AZ17" i="69"/>
  <c r="AG17" i="69" s="1" a="1"/>
  <c r="AG17" i="69" s="1"/>
  <c r="BA17" i="69"/>
  <c r="BO58" i="69"/>
  <c r="BH58" i="69" a="1"/>
  <c r="BH58" i="69" s="1"/>
  <c r="BI94" i="69" a="1"/>
  <c r="BI94" i="69" s="1"/>
  <c r="AH94" i="69" a="1"/>
  <c r="AH94" i="69" s="1"/>
  <c r="AV94" i="69" a="1"/>
  <c r="AV94" i="69" s="1"/>
  <c r="AL94" i="69" a="1"/>
  <c r="AL94" i="69" s="1"/>
  <c r="AP94" i="69" a="1"/>
  <c r="AP94" i="69" s="1"/>
  <c r="AU94" i="69" a="1"/>
  <c r="AU94" i="69" s="1"/>
  <c r="AF94" i="69" a="1"/>
  <c r="AF94" i="69" s="1"/>
  <c r="AT95" i="69" a="1"/>
  <c r="AT95" i="69" s="1"/>
  <c r="BC95" i="69"/>
  <c r="H472" i="15" a="1"/>
  <c r="H472" i="15" s="1"/>
  <c r="H475" i="15" a="1"/>
  <c r="H475" i="15" s="1"/>
  <c r="F475" i="15" a="1"/>
  <c r="F475" i="15" s="1"/>
  <c r="AH79" i="69" a="1"/>
  <c r="AH79" i="69" s="1"/>
  <c r="AL79" i="69" a="1"/>
  <c r="AL79" i="69" s="1"/>
  <c r="AF79" i="69" a="1"/>
  <c r="AF79" i="69" s="1"/>
  <c r="AP79" i="69" a="1"/>
  <c r="AP79" i="69" s="1"/>
  <c r="AV79" i="69" a="1"/>
  <c r="AV79" i="69" s="1"/>
  <c r="AU79" i="69" a="1"/>
  <c r="AU79" i="69" s="1"/>
  <c r="AS79" i="69" a="1"/>
  <c r="AS79" i="69" s="1"/>
  <c r="AL64" i="69" a="1"/>
  <c r="AL64" i="69" s="1"/>
  <c r="AU64" i="69" a="1"/>
  <c r="AU64" i="69" s="1"/>
  <c r="AJ64" i="69" a="1"/>
  <c r="AJ64" i="69" s="1"/>
  <c r="AP64" i="69" a="1"/>
  <c r="AP64" i="69" s="1"/>
  <c r="AF64" i="69" a="1"/>
  <c r="AF64" i="69" s="1"/>
  <c r="AV64" i="69" a="1"/>
  <c r="AV64" i="69" s="1"/>
  <c r="AH64" i="69" a="1"/>
  <c r="AH64" i="69" s="1"/>
  <c r="AS64" i="69" a="1"/>
  <c r="AS64" i="69" s="1"/>
  <c r="AP15" i="69" a="1"/>
  <c r="AP15" i="69" s="1"/>
  <c r="AL15" i="69" a="1"/>
  <c r="AL15" i="69" s="1"/>
  <c r="AU15" i="69" a="1"/>
  <c r="AU15" i="69" s="1"/>
  <c r="AV15" i="69" a="1"/>
  <c r="AV15" i="69" s="1"/>
  <c r="AH15" i="69" a="1"/>
  <c r="AH15" i="69" s="1"/>
  <c r="AF15" i="69" a="1"/>
  <c r="AF15" i="69" s="1"/>
  <c r="AS15" i="69" a="1"/>
  <c r="AS15" i="69" s="1"/>
  <c r="CA30" i="4"/>
  <c r="AU30" i="4"/>
  <c r="AT30" i="4" a="1"/>
  <c r="AT30" i="4" s="1"/>
  <c r="H30" i="69" s="1"/>
  <c r="AV30" i="4" a="1"/>
  <c r="AV30" i="4" s="1"/>
  <c r="C30" i="69" s="1"/>
  <c r="D30" i="69" s="1" a="1"/>
  <c r="D30" i="69" s="1"/>
  <c r="Y30" i="4"/>
  <c r="CX30" i="4"/>
  <c r="CY30" i="4" s="1"/>
  <c r="BQ30" i="4"/>
  <c r="BB1766" i="13" a="1"/>
  <c r="BB1766" i="13" s="1"/>
  <c r="K555" i="15" a="1"/>
  <c r="K555" i="15" s="1"/>
  <c r="BB1768" i="13" a="1"/>
  <c r="BB1768" i="13" s="1"/>
  <c r="BC1766" i="13" a="1"/>
  <c r="BC1766" i="13" s="1"/>
  <c r="AZ10" i="69"/>
  <c r="BA10" i="69"/>
  <c r="BQ77" i="69"/>
  <c r="AO77" i="69" a="1"/>
  <c r="AO77" i="69" s="1"/>
  <c r="AV1318" i="13"/>
  <c r="G22" i="69"/>
  <c r="L517" i="15" a="1"/>
  <c r="L517" i="15" s="1"/>
  <c r="N517" i="15" a="1"/>
  <c r="N517" i="15" s="1"/>
  <c r="K517" i="15" a="1"/>
  <c r="K517" i="15" s="1"/>
  <c r="M517" i="15" a="1"/>
  <c r="M517" i="15" s="1"/>
  <c r="AO76" i="69" a="1"/>
  <c r="AO76" i="69" s="1"/>
  <c r="AU76" i="69" a="1"/>
  <c r="AU76" i="69" s="1"/>
  <c r="AL76" i="69" a="1"/>
  <c r="AL76" i="69" s="1"/>
  <c r="AH76" i="69" a="1"/>
  <c r="AH76" i="69" s="1"/>
  <c r="AP76" i="69" a="1"/>
  <c r="AP76" i="69" s="1"/>
  <c r="AV76" i="69" a="1"/>
  <c r="AV76" i="69" s="1"/>
  <c r="AF76" i="69" a="1"/>
  <c r="AF76" i="69" s="1"/>
  <c r="AS76" i="69" a="1"/>
  <c r="AS76" i="69" s="1"/>
  <c r="AL59" i="69" a="1"/>
  <c r="AL59" i="69" s="1"/>
  <c r="AF59" i="69" a="1"/>
  <c r="AF59" i="69" s="1"/>
  <c r="AP59" i="69" a="1"/>
  <c r="AP59" i="69" s="1"/>
  <c r="AU59" i="69" a="1"/>
  <c r="AU59" i="69" s="1"/>
  <c r="AJ59" i="69" a="1"/>
  <c r="AJ59" i="69" s="1"/>
  <c r="AV59" i="69" a="1"/>
  <c r="AV59" i="69" s="1"/>
  <c r="AH59" i="69" a="1"/>
  <c r="AH59" i="69" s="1"/>
  <c r="AS59" i="69" a="1"/>
  <c r="AS59" i="69" s="1"/>
  <c r="AV584" i="13"/>
  <c r="BL82" i="4"/>
  <c r="AV369" i="13"/>
  <c r="AV469" i="13" s="1"/>
  <c r="U67" i="69" a="1"/>
  <c r="U67" i="69" s="1"/>
  <c r="AL25" i="69" a="1"/>
  <c r="AL25" i="69" s="1"/>
  <c r="AJ25" i="69" a="1"/>
  <c r="AJ25" i="69" s="1"/>
  <c r="AH25" i="69" a="1"/>
  <c r="AH25" i="69" s="1"/>
  <c r="AV25" i="69" a="1"/>
  <c r="AV25" i="69" s="1"/>
  <c r="AU25" i="69" a="1"/>
  <c r="AU25" i="69" s="1"/>
  <c r="AP25" i="69" a="1"/>
  <c r="AP25" i="69" s="1"/>
  <c r="AF25" i="69" a="1"/>
  <c r="AF25" i="69" s="1"/>
  <c r="AS25" i="69" a="1"/>
  <c r="AS25" i="69" s="1"/>
  <c r="S36" i="14"/>
  <c r="V60" i="14"/>
  <c r="W60" i="14"/>
  <c r="F60" i="14"/>
  <c r="Y60" i="14"/>
  <c r="U60" i="14"/>
  <c r="L60" i="14"/>
  <c r="Z60" i="14"/>
  <c r="J60" i="14"/>
  <c r="X60" i="14"/>
  <c r="T60" i="14"/>
  <c r="K60" i="14"/>
  <c r="N60" i="14"/>
  <c r="R60" i="14"/>
  <c r="I60" i="14"/>
  <c r="G60" i="14"/>
  <c r="E57" i="14"/>
  <c r="M60" i="14"/>
  <c r="P60" i="14"/>
  <c r="Q60" i="14"/>
  <c r="S60" i="14"/>
  <c r="H60" i="14"/>
  <c r="O60" i="14"/>
  <c r="L36" i="14"/>
  <c r="I36" i="14"/>
  <c r="U36" i="14"/>
  <c r="W36" i="14"/>
  <c r="J36" i="14"/>
  <c r="N36" i="14"/>
  <c r="V36" i="14"/>
  <c r="R36" i="14"/>
  <c r="T36" i="14"/>
  <c r="O36" i="14"/>
  <c r="G36" i="14"/>
  <c r="H36" i="14"/>
  <c r="M36" i="14"/>
  <c r="Y36" i="14"/>
  <c r="Q36" i="14"/>
  <c r="P36" i="14"/>
  <c r="F36" i="14"/>
  <c r="K36" i="14"/>
  <c r="Z36" i="14"/>
  <c r="X36" i="14"/>
  <c r="AV1204" i="13"/>
  <c r="S7" i="69"/>
  <c r="BN93" i="69"/>
  <c r="BQ93" i="69"/>
  <c r="AO93" i="69" a="1"/>
  <c r="AO93" i="69" s="1"/>
  <c r="BA23" i="69"/>
  <c r="AZ23" i="69"/>
  <c r="E83" i="69"/>
  <c r="AT30" i="69" a="1"/>
  <c r="AT30" i="69" s="1"/>
  <c r="AV1266" i="13"/>
  <c r="B69" i="69"/>
  <c r="S69" i="69"/>
  <c r="BC1767" i="13" a="1"/>
  <c r="BC1767" i="13" s="1"/>
  <c r="A1449" i="13"/>
  <c r="AX1350" i="13"/>
  <c r="N595" i="15" a="1"/>
  <c r="N595" i="15" s="1"/>
  <c r="O46" i="69"/>
  <c r="BF46" i="69"/>
  <c r="AV53" i="4" a="1"/>
  <c r="AV53" i="4" s="1"/>
  <c r="C53" i="69" s="1"/>
  <c r="D53" i="69" s="1" a="1"/>
  <c r="D53" i="69" s="1"/>
  <c r="AT53" i="4" a="1"/>
  <c r="AT53" i="4" s="1"/>
  <c r="H53" i="69" s="1"/>
  <c r="AU53" i="4"/>
  <c r="Y53" i="4"/>
  <c r="BQ53" i="4"/>
  <c r="CX53" i="4"/>
  <c r="CY53" i="4" s="1"/>
  <c r="AQ4" i="4"/>
  <c r="AR4" i="4"/>
  <c r="AV1327" i="13"/>
  <c r="G31" i="69"/>
  <c r="BK16" i="69"/>
  <c r="BJ16" i="69" s="1"/>
  <c r="BM16" i="69" s="1"/>
  <c r="AV1303" i="13"/>
  <c r="G7" i="69"/>
  <c r="BL17" i="69" a="1"/>
  <c r="BL17" i="69" s="1"/>
  <c r="BI17" i="69" a="1"/>
  <c r="BI17" i="69" s="1"/>
  <c r="BH17" i="69" a="1"/>
  <c r="BH17" i="69" s="1"/>
  <c r="BB17" i="69"/>
  <c r="AQ17" i="69" s="1" a="1"/>
  <c r="AQ17" i="69" s="1"/>
  <c r="AY17" i="69"/>
  <c r="AJ17" i="69" s="1" a="1"/>
  <c r="AJ17" i="69" s="1"/>
  <c r="BO17" i="69"/>
  <c r="R17" i="69"/>
  <c r="AK17" i="69" a="1"/>
  <c r="AK17" i="69" s="1"/>
  <c r="E17" i="69"/>
  <c r="I297" i="15" a="1"/>
  <c r="I297" i="15" s="1"/>
  <c r="I349" i="15" a="1"/>
  <c r="I349" i="15" s="1"/>
  <c r="P57" i="9"/>
  <c r="AF34" i="69" a="1"/>
  <c r="AF34" i="69" s="1"/>
  <c r="AJ34" i="69" a="1"/>
  <c r="AJ34" i="69" s="1"/>
  <c r="AL34" i="69" a="1"/>
  <c r="AL34" i="69" s="1"/>
  <c r="AV34" i="69" a="1"/>
  <c r="AV34" i="69" s="1"/>
  <c r="AH34" i="69" a="1"/>
  <c r="AH34" i="69" s="1"/>
  <c r="AP34" i="69" a="1"/>
  <c r="AP34" i="69" s="1"/>
  <c r="AU34" i="69" a="1"/>
  <c r="AU34" i="69" s="1"/>
  <c r="AS34" i="69" a="1"/>
  <c r="AS34" i="69" s="1"/>
  <c r="AJ14" i="69" a="1"/>
  <c r="AJ14" i="69" s="1"/>
  <c r="AL14" i="69" a="1"/>
  <c r="AL14" i="69" s="1"/>
  <c r="AF14" i="69" a="1"/>
  <c r="AF14" i="69" s="1"/>
  <c r="AV14" i="69" a="1"/>
  <c r="AV14" i="69" s="1"/>
  <c r="AP14" i="69" a="1"/>
  <c r="AP14" i="69" s="1"/>
  <c r="AH14" i="69" a="1"/>
  <c r="AH14" i="69" s="1"/>
  <c r="AU14" i="69" a="1"/>
  <c r="AU14" i="69" s="1"/>
  <c r="AS14" i="69" a="1"/>
  <c r="AS14" i="69" s="1"/>
  <c r="AU5" i="69" a="1"/>
  <c r="AU5" i="69" s="1"/>
  <c r="AP5" i="69" a="1"/>
  <c r="AP5" i="69" s="1"/>
  <c r="AV5" i="69" a="1"/>
  <c r="AV5" i="69" s="1"/>
  <c r="AL5" i="69" a="1"/>
  <c r="AL5" i="69" s="1"/>
  <c r="AF5" i="69" a="1"/>
  <c r="AF5" i="69" s="1"/>
  <c r="AH5" i="69" a="1"/>
  <c r="AH5" i="69" s="1"/>
  <c r="AS5" i="69" a="1"/>
  <c r="AS5" i="69" s="1"/>
  <c r="AF46" i="69" a="1"/>
  <c r="AF46" i="69" s="1"/>
  <c r="AL46" i="69" a="1"/>
  <c r="AL46" i="69" s="1"/>
  <c r="AP46" i="69" a="1"/>
  <c r="AP46" i="69" s="1"/>
  <c r="AU46" i="69" a="1"/>
  <c r="AU46" i="69" s="1"/>
  <c r="AH46" i="69" a="1"/>
  <c r="AH46" i="69" s="1"/>
  <c r="AV46" i="69" a="1"/>
  <c r="AV46" i="69" s="1"/>
  <c r="AS46" i="69" a="1"/>
  <c r="AS46" i="69" s="1"/>
  <c r="AS80" i="69" a="1"/>
  <c r="AS80" i="69" s="1"/>
  <c r="AU80" i="69" a="1"/>
  <c r="AU80" i="69" s="1"/>
  <c r="AJ80" i="69" a="1"/>
  <c r="AJ80" i="69" s="1"/>
  <c r="AL80" i="69" a="1"/>
  <c r="AL80" i="69" s="1"/>
  <c r="AF80" i="69" a="1"/>
  <c r="AF80" i="69" s="1"/>
  <c r="AV80" i="69" a="1"/>
  <c r="AV80" i="69" s="1"/>
  <c r="AP80" i="69" a="1"/>
  <c r="AP80" i="69" s="1"/>
  <c r="O25" i="69"/>
  <c r="BF25" i="69"/>
  <c r="E41" i="69"/>
  <c r="BC41" i="69"/>
  <c r="F191" i="15" a="1"/>
  <c r="F191" i="15" s="1"/>
  <c r="AZ77" i="69"/>
  <c r="AG77" i="69" s="1" a="1"/>
  <c r="AG77" i="69" s="1"/>
  <c r="BA77" i="69"/>
  <c r="BC23" i="69"/>
  <c r="BQ53" i="69"/>
  <c r="AV1223" i="13"/>
  <c r="B26" i="69"/>
  <c r="S26" i="69"/>
  <c r="AV1334" i="13"/>
  <c r="G38" i="69"/>
  <c r="BC1768" i="13" a="1"/>
  <c r="BC1768" i="13" s="1"/>
  <c r="AV1388" i="13"/>
  <c r="G92" i="69"/>
  <c r="M595" i="15" a="1"/>
  <c r="M595" i="15" s="1"/>
  <c r="F441" i="15" a="1"/>
  <c r="F441" i="15" s="1"/>
  <c r="H441" i="15" a="1"/>
  <c r="H441" i="15" s="1"/>
  <c r="E16" i="69"/>
  <c r="H349" i="15" a="1"/>
  <c r="H349" i="15" s="1"/>
  <c r="F356" i="15" a="1"/>
  <c r="F356" i="15" s="1"/>
  <c r="H356" i="15" a="1"/>
  <c r="H356" i="15" s="1"/>
  <c r="F433" i="15" a="1"/>
  <c r="F433" i="15" s="1"/>
  <c r="H433" i="15" a="1"/>
  <c r="H433" i="15" s="1"/>
  <c r="H280" i="15" a="1"/>
  <c r="H280" i="15" s="1"/>
  <c r="F280" i="15" a="1"/>
  <c r="F280" i="15" s="1"/>
  <c r="L510" i="15" a="1"/>
  <c r="L510" i="15" s="1"/>
  <c r="N550" i="15" a="1"/>
  <c r="N550" i="15" s="1"/>
  <c r="AU7" i="69" a="1"/>
  <c r="AU7" i="69" s="1"/>
  <c r="AJ7" i="69" a="1"/>
  <c r="AJ7" i="69" s="1"/>
  <c r="AP7" i="69" a="1"/>
  <c r="AP7" i="69" s="1"/>
  <c r="AH7" i="69" a="1"/>
  <c r="AH7" i="69" s="1"/>
  <c r="AV7" i="69" a="1"/>
  <c r="AV7" i="69" s="1"/>
  <c r="AL7" i="69" a="1"/>
  <c r="AL7" i="69" s="1"/>
  <c r="AF7" i="69" a="1"/>
  <c r="AF7" i="69" s="1"/>
  <c r="AS7" i="69" a="1"/>
  <c r="AS7" i="69" s="1"/>
  <c r="AL69" i="69" a="1"/>
  <c r="AL69" i="69" s="1"/>
  <c r="AP69" i="69" a="1"/>
  <c r="AP69" i="69" s="1"/>
  <c r="AF69" i="69" a="1"/>
  <c r="AF69" i="69" s="1"/>
  <c r="AU69" i="69" a="1"/>
  <c r="AU69" i="69" s="1"/>
  <c r="AH69" i="69" a="1"/>
  <c r="AH69" i="69" s="1"/>
  <c r="AV69" i="69" a="1"/>
  <c r="AV69" i="69" s="1"/>
  <c r="AS69" i="69" a="1"/>
  <c r="AS69" i="69" s="1"/>
  <c r="BQ19" i="69"/>
  <c r="AO19" i="69" a="1"/>
  <c r="AO19" i="69" s="1"/>
  <c r="BL53" i="69" a="1"/>
  <c r="BL53" i="69" s="1"/>
  <c r="BO53" i="69"/>
  <c r="BH53" i="69" a="1"/>
  <c r="BH53" i="69" s="1"/>
  <c r="BB53" i="69"/>
  <c r="R53" i="69"/>
  <c r="AY53" i="69"/>
  <c r="AV1242" i="13"/>
  <c r="S45" i="69"/>
  <c r="BC53" i="69"/>
  <c r="AZ53" i="69"/>
  <c r="BA53" i="69"/>
  <c r="AV1374" i="13"/>
  <c r="G78" i="69"/>
  <c r="BA1768" i="13" a="1"/>
  <c r="BA1768" i="13" s="1"/>
  <c r="A1403" i="13"/>
  <c r="AX1304" i="13"/>
  <c r="AX1337" i="13"/>
  <c r="A1436" i="13"/>
  <c r="AV367" i="13"/>
  <c r="AV467" i="13" s="1"/>
  <c r="U65" i="69" a="1"/>
  <c r="U65" i="69" s="1"/>
  <c r="AV68" i="69" a="1"/>
  <c r="AV68" i="69" s="1"/>
  <c r="AJ68" i="69" a="1"/>
  <c r="AJ68" i="69" s="1"/>
  <c r="AP68" i="69" a="1"/>
  <c r="AP68" i="69" s="1"/>
  <c r="AU68" i="69" a="1"/>
  <c r="AU68" i="69" s="1"/>
  <c r="AL68" i="69" a="1"/>
  <c r="AL68" i="69" s="1"/>
  <c r="AH68" i="69" a="1"/>
  <c r="AH68" i="69" s="1"/>
  <c r="AF68" i="69" a="1"/>
  <c r="AF68" i="69" s="1"/>
  <c r="AU16" i="69" a="1"/>
  <c r="AU16" i="69" s="1"/>
  <c r="AL16" i="69" a="1"/>
  <c r="AL16" i="69" s="1"/>
  <c r="AV16" i="69" a="1"/>
  <c r="AV16" i="69" s="1"/>
  <c r="AF16" i="69" a="1"/>
  <c r="AF16" i="69" s="1"/>
  <c r="AJ16" i="69" a="1"/>
  <c r="AJ16" i="69" s="1"/>
  <c r="AH16" i="69" a="1"/>
  <c r="AH16" i="69" s="1"/>
  <c r="AP16" i="69" a="1"/>
  <c r="AP16" i="69" s="1"/>
  <c r="AV1338" i="13"/>
  <c r="G42" i="69"/>
  <c r="AT85" i="69" a="1"/>
  <c r="AT85" i="69" s="1"/>
  <c r="AE85" i="69" a="1"/>
  <c r="AE85" i="69" s="1"/>
  <c r="BI85" i="69" s="1" a="1"/>
  <c r="BI85" i="69" s="1"/>
  <c r="K595" i="15" a="1"/>
  <c r="K595" i="15" s="1"/>
  <c r="F362" i="15" a="1"/>
  <c r="F362" i="15" s="1"/>
  <c r="N539" i="15" a="1"/>
  <c r="N539" i="15" s="1"/>
  <c r="AV48" i="69" a="1"/>
  <c r="AV48" i="69" s="1"/>
  <c r="AU48" i="69" a="1"/>
  <c r="AU48" i="69" s="1"/>
  <c r="AL48" i="69" a="1"/>
  <c r="AL48" i="69" s="1"/>
  <c r="AJ48" i="69" a="1"/>
  <c r="AJ48" i="69" s="1"/>
  <c r="AP48" i="69" a="1"/>
  <c r="AP48" i="69" s="1"/>
  <c r="AH48" i="69" a="1"/>
  <c r="AH48" i="69" s="1"/>
  <c r="AF48" i="69" a="1"/>
  <c r="AF48" i="69" s="1"/>
  <c r="AS48" i="69" a="1"/>
  <c r="AS48" i="69" s="1"/>
  <c r="AV376" i="13"/>
  <c r="AV476" i="13" s="1"/>
  <c r="U74" i="69" a="1"/>
  <c r="U74" i="69" s="1"/>
  <c r="AF42" i="69" a="1"/>
  <c r="AF42" i="69" s="1"/>
  <c r="AP42" i="69" a="1"/>
  <c r="AP42" i="69" s="1"/>
  <c r="AH42" i="69" a="1"/>
  <c r="AH42" i="69" s="1"/>
  <c r="AU42" i="69" a="1"/>
  <c r="AU42" i="69" s="1"/>
  <c r="AV42" i="69" a="1"/>
  <c r="AV42" i="69" s="1"/>
  <c r="AL42" i="69" a="1"/>
  <c r="AL42" i="69" s="1"/>
  <c r="AS42" i="69" a="1"/>
  <c r="AS42" i="69" s="1"/>
  <c r="AJ62" i="69" a="1"/>
  <c r="AJ62" i="69" s="1"/>
  <c r="AU62" i="69" a="1"/>
  <c r="AU62" i="69" s="1"/>
  <c r="AF62" i="69" a="1"/>
  <c r="AF62" i="69" s="1"/>
  <c r="AP62" i="69" a="1"/>
  <c r="AP62" i="69" s="1"/>
  <c r="AL62" i="69" a="1"/>
  <c r="AL62" i="69" s="1"/>
  <c r="AV62" i="69" a="1"/>
  <c r="AV62" i="69" s="1"/>
  <c r="AH62" i="69" a="1"/>
  <c r="AH62" i="69" s="1"/>
  <c r="AS62" i="69" a="1"/>
  <c r="AS62" i="69" s="1"/>
  <c r="BL84" i="4"/>
  <c r="AV586" i="13"/>
  <c r="AU82" i="69" a="1"/>
  <c r="AU82" i="69" s="1"/>
  <c r="AL82" i="69" a="1"/>
  <c r="AL82" i="69" s="1"/>
  <c r="AH82" i="69" a="1"/>
  <c r="AH82" i="69" s="1"/>
  <c r="AF82" i="69" a="1"/>
  <c r="AF82" i="69" s="1"/>
  <c r="AP82" i="69" a="1"/>
  <c r="AP82" i="69" s="1"/>
  <c r="AS82" i="69" a="1"/>
  <c r="AS82" i="69" s="1"/>
  <c r="AP54" i="69" a="1"/>
  <c r="AP54" i="69" s="1"/>
  <c r="AU54" i="69" a="1"/>
  <c r="AU54" i="69" s="1"/>
  <c r="AF54" i="69" a="1"/>
  <c r="AF54" i="69" s="1"/>
  <c r="AL54" i="69" a="1"/>
  <c r="AL54" i="69" s="1"/>
  <c r="AH54" i="69" a="1"/>
  <c r="AH54" i="69" s="1"/>
  <c r="AV54" i="69" a="1"/>
  <c r="AV54" i="69" s="1"/>
  <c r="AS54" i="69" a="1"/>
  <c r="AS54" i="69" s="1"/>
  <c r="L19" i="69"/>
  <c r="AY19" i="69"/>
  <c r="BB19" i="69"/>
  <c r="AQ19" i="69" s="1" a="1"/>
  <c r="AQ19" i="69" s="1"/>
  <c r="BH19" i="69" a="1"/>
  <c r="BH19" i="69" s="1"/>
  <c r="R19" i="69"/>
  <c r="AJ19" i="69" s="1" a="1"/>
  <c r="AJ19" i="69" s="1"/>
  <c r="BO19" i="69"/>
  <c r="BI19" i="69" a="1"/>
  <c r="BI19" i="69" s="1"/>
  <c r="AK19" i="69" a="1"/>
  <c r="AK19" i="69" s="1"/>
  <c r="AV1270" i="13"/>
  <c r="B73" i="69"/>
  <c r="S73" i="69"/>
  <c r="AV172" i="13"/>
  <c r="M70" i="69"/>
  <c r="T70" i="69"/>
  <c r="BO70" i="69" s="1"/>
  <c r="BA1766" i="13" a="1"/>
  <c r="BA1766" i="13" s="1"/>
  <c r="BK27" i="69"/>
  <c r="BJ27" i="69" s="1"/>
  <c r="BM27" i="69" s="1"/>
  <c r="BB27" i="69"/>
  <c r="AR27" i="69" s="1" a="1"/>
  <c r="AR27" i="69" s="1"/>
  <c r="AY27" i="69"/>
  <c r="BO27" i="69"/>
  <c r="R27" i="69"/>
  <c r="BH27" i="69" a="1"/>
  <c r="BH27" i="69" s="1"/>
  <c r="AK27" i="69" a="1"/>
  <c r="AK27" i="69" s="1"/>
  <c r="BI27" i="69" a="1"/>
  <c r="BI27" i="69" s="1"/>
  <c r="E27" i="69"/>
  <c r="AT41" i="69" a="1"/>
  <c r="AT41" i="69" s="1"/>
  <c r="AZ85" i="69"/>
  <c r="BA85" i="69"/>
  <c r="H81" i="15" a="1"/>
  <c r="H81" i="15" s="1"/>
  <c r="F81" i="15" a="1"/>
  <c r="F81" i="15" s="1"/>
  <c r="N589" i="15" a="1"/>
  <c r="N589" i="15" s="1"/>
  <c r="M589" i="15" a="1"/>
  <c r="M589" i="15" s="1"/>
  <c r="N614" i="15" a="1"/>
  <c r="N614" i="15" s="1"/>
  <c r="AH37" i="69" a="1"/>
  <c r="AH37" i="69" s="1"/>
  <c r="AL37" i="69" a="1"/>
  <c r="AL37" i="69" s="1"/>
  <c r="AP37" i="69" a="1"/>
  <c r="AP37" i="69" s="1"/>
  <c r="AF37" i="69" a="1"/>
  <c r="AF37" i="69" s="1"/>
  <c r="AU37" i="69" a="1"/>
  <c r="AU37" i="69" s="1"/>
  <c r="AV37" i="69" a="1"/>
  <c r="AV37" i="69" s="1"/>
  <c r="AS37" i="69" a="1"/>
  <c r="AS37" i="69" s="1"/>
  <c r="AU47" i="69" a="1"/>
  <c r="AU47" i="69" s="1"/>
  <c r="AL47" i="69" a="1"/>
  <c r="AL47" i="69" s="1"/>
  <c r="AJ47" i="69" a="1"/>
  <c r="AJ47" i="69" s="1"/>
  <c r="AP47" i="69" a="1"/>
  <c r="AP47" i="69" s="1"/>
  <c r="AF47" i="69" a="1"/>
  <c r="AF47" i="69" s="1"/>
  <c r="AH47" i="69" a="1"/>
  <c r="AH47" i="69" s="1"/>
  <c r="AV47" i="69" a="1"/>
  <c r="AV47" i="69" s="1"/>
  <c r="AS47" i="69" a="1"/>
  <c r="AS47" i="69" s="1"/>
  <c r="AU6" i="69" a="1"/>
  <c r="AU6" i="69" s="1"/>
  <c r="AL6" i="69" a="1"/>
  <c r="AL6" i="69" s="1"/>
  <c r="AH6" i="69" a="1"/>
  <c r="AH6" i="69" s="1"/>
  <c r="AF6" i="69" a="1"/>
  <c r="AF6" i="69" s="1"/>
  <c r="AV6" i="69" a="1"/>
  <c r="AV6" i="69" s="1"/>
  <c r="AP6" i="69" a="1"/>
  <c r="AP6" i="69" s="1"/>
  <c r="AS6" i="69" a="1"/>
  <c r="AS6" i="69" s="1"/>
  <c r="AP24" i="69" a="1"/>
  <c r="AP24" i="69" s="1"/>
  <c r="AF24" i="69" a="1"/>
  <c r="AF24" i="69" s="1"/>
  <c r="AU24" i="69" a="1"/>
  <c r="AU24" i="69" s="1"/>
  <c r="AL24" i="69" a="1"/>
  <c r="AL24" i="69" s="1"/>
  <c r="AV24" i="69" a="1"/>
  <c r="AV24" i="69" s="1"/>
  <c r="AH24" i="69" a="1"/>
  <c r="AH24" i="69" s="1"/>
  <c r="AS24" i="69" a="1"/>
  <c r="AS24" i="69" s="1"/>
  <c r="AH70" i="69" a="1"/>
  <c r="AH70" i="69" s="1"/>
  <c r="AL70" i="69" a="1"/>
  <c r="AL70" i="69" s="1"/>
  <c r="AU70" i="69" a="1"/>
  <c r="AU70" i="69" s="1"/>
  <c r="AF70" i="69" a="1"/>
  <c r="AF70" i="69" s="1"/>
  <c r="AP70" i="69" a="1"/>
  <c r="AP70" i="69" s="1"/>
  <c r="AV70" i="69" a="1"/>
  <c r="AV70" i="69" s="1"/>
  <c r="AS70" i="69" a="1"/>
  <c r="AS70" i="69" s="1"/>
  <c r="AL77" i="69" a="1"/>
  <c r="AL77" i="69" s="1"/>
  <c r="AV77" i="69" a="1"/>
  <c r="AV77" i="69" s="1"/>
  <c r="AP77" i="69" a="1"/>
  <c r="AP77" i="69" s="1"/>
  <c r="AJ77" i="69" a="1"/>
  <c r="AJ77" i="69" s="1"/>
  <c r="AU77" i="69" a="1"/>
  <c r="AU77" i="69" s="1"/>
  <c r="AF77" i="69" a="1"/>
  <c r="AF77" i="69" s="1"/>
  <c r="AH77" i="69" a="1"/>
  <c r="AH77" i="69" s="1"/>
  <c r="AF41" i="69" a="1"/>
  <c r="AF41" i="69" s="1"/>
  <c r="AV41" i="69" a="1"/>
  <c r="AV41" i="69" s="1"/>
  <c r="AU41" i="69" a="1"/>
  <c r="AU41" i="69" s="1"/>
  <c r="AL41" i="69" a="1"/>
  <c r="AL41" i="69" s="1"/>
  <c r="AP41" i="69" a="1"/>
  <c r="AP41" i="69" s="1"/>
  <c r="AH41" i="69" a="1"/>
  <c r="AH41" i="69" s="1"/>
  <c r="BJ58" i="69"/>
  <c r="BM58" i="69" s="1"/>
  <c r="AZ58" i="69"/>
  <c r="AG58" i="69" s="1" a="1"/>
  <c r="AG58" i="69" s="1"/>
  <c r="BA58" i="69"/>
  <c r="BN58" i="69"/>
  <c r="BC19" i="69"/>
  <c r="AE23" i="69" a="1"/>
  <c r="AE23" i="69" s="1"/>
  <c r="BN53" i="69"/>
  <c r="AV388" i="13"/>
  <c r="AV488" i="13" s="1"/>
  <c r="U86" i="69" a="1"/>
  <c r="U86" i="69" s="1"/>
  <c r="BQ10" i="69"/>
  <c r="BL77" i="69" a="1"/>
  <c r="BL77" i="69" s="1"/>
  <c r="BL93" i="69" a="1"/>
  <c r="BL93" i="69" s="1"/>
  <c r="BH93" i="69" a="1"/>
  <c r="BH93" i="69" s="1"/>
  <c r="R93" i="69"/>
  <c r="AY93" i="69"/>
  <c r="BB93" i="69"/>
  <c r="BO93" i="69"/>
  <c r="AK93" i="69" a="1"/>
  <c r="AK93" i="69" s="1"/>
  <c r="BI93" i="69" a="1"/>
  <c r="BI93" i="69" s="1"/>
  <c r="BN23" i="69"/>
  <c r="AZ83" i="69"/>
  <c r="BA83" i="69"/>
  <c r="BQ83" i="69"/>
  <c r="AO83" i="69" a="1"/>
  <c r="AO83" i="69" s="1"/>
  <c r="BK32" i="69"/>
  <c r="BJ32" i="69" s="1"/>
  <c r="BM32" i="69" s="1"/>
  <c r="BB32" i="69"/>
  <c r="R32" i="69"/>
  <c r="BO32" i="69"/>
  <c r="AY32" i="69"/>
  <c r="BH32" i="69" a="1"/>
  <c r="BH32" i="69" s="1"/>
  <c r="AK32" i="69" a="1"/>
  <c r="AK32" i="69" s="1"/>
  <c r="AV1311" i="13"/>
  <c r="G15" i="69"/>
  <c r="AX157" i="13"/>
  <c r="DC60" i="4" s="1" a="1"/>
  <c r="DC60" i="4" s="1"/>
  <c r="A257" i="13"/>
  <c r="CV70" i="4"/>
  <c r="CW70" i="4" s="1"/>
  <c r="E70" i="4"/>
  <c r="BT70" i="4" s="1"/>
  <c r="BD70" i="4"/>
  <c r="E547" i="15"/>
  <c r="L541" i="15" s="1" a="1"/>
  <c r="L541" i="15" s="1"/>
  <c r="Z70" i="4"/>
  <c r="F70" i="4"/>
  <c r="AL70" i="4"/>
  <c r="I70" i="69" s="1"/>
  <c r="AD70" i="4"/>
  <c r="F70" i="69" s="1"/>
  <c r="AP70" i="4"/>
  <c r="CZ70" i="4" a="1"/>
  <c r="CZ70" i="4" s="1"/>
  <c r="E400" i="15"/>
  <c r="E58" i="15"/>
  <c r="BC1769" i="13" a="1"/>
  <c r="BC1769" i="13" s="1"/>
  <c r="BK68" i="69"/>
  <c r="BJ68" i="69" s="1"/>
  <c r="BM68" i="69" s="1"/>
  <c r="BQ41" i="69"/>
  <c r="AO41" i="69" a="1"/>
  <c r="AO41" i="69" s="1"/>
  <c r="BC10" i="69"/>
  <c r="BK85" i="69"/>
  <c r="BJ85" i="69" s="1"/>
  <c r="BM85" i="69" s="1"/>
  <c r="BO85" i="69"/>
  <c r="R85" i="69"/>
  <c r="BB85" i="69"/>
  <c r="BH85" i="69" a="1"/>
  <c r="BH85" i="69" s="1"/>
  <c r="AY85" i="69"/>
  <c r="BC17" i="69"/>
  <c r="F328" i="15" a="1"/>
  <c r="F328" i="15" s="1"/>
  <c r="H328" i="15" a="1"/>
  <c r="H328" i="15" s="1"/>
  <c r="AV1355" i="13"/>
  <c r="G59" i="69"/>
  <c r="BL77" i="4"/>
  <c r="AV579" i="13"/>
  <c r="AV1288" i="13"/>
  <c r="B91" i="69"/>
  <c r="S91" i="69"/>
  <c r="A1252" i="13"/>
  <c r="AX1153" i="13"/>
  <c r="AX1369" i="13"/>
  <c r="A1468" i="13"/>
  <c r="AV1352" i="13"/>
  <c r="G56" i="69"/>
  <c r="BT5" i="4"/>
  <c r="BD5" i="4"/>
  <c r="X5" i="4" s="1"/>
  <c r="L53" i="69"/>
  <c r="H300" i="15" a="1"/>
  <c r="H300" i="15" s="1"/>
  <c r="F300" i="15" a="1"/>
  <c r="F300" i="15" s="1"/>
  <c r="AV1347" i="13"/>
  <c r="G51" i="69"/>
  <c r="AV17" i="69" a="1"/>
  <c r="AV17" i="69" s="1"/>
  <c r="AH17" i="69" a="1"/>
  <c r="AH17" i="69" s="1"/>
  <c r="AL17" i="69" a="1"/>
  <c r="AL17" i="69" s="1"/>
  <c r="AU17" i="69" a="1"/>
  <c r="AU17" i="69" s="1"/>
  <c r="AP17" i="69" a="1"/>
  <c r="AP17" i="69" s="1"/>
  <c r="AF17" i="69" a="1"/>
  <c r="AF17" i="69" s="1"/>
  <c r="AR17" i="69" a="1"/>
  <c r="AR17" i="69" s="1"/>
  <c r="AI17" i="69" a="1"/>
  <c r="AI17" i="69" s="1"/>
  <c r="AS17" i="69" a="1"/>
  <c r="AS17" i="69" s="1"/>
  <c r="AE32" i="69" a="1"/>
  <c r="AE32" i="69" s="1"/>
  <c r="BI32" i="69" s="1" a="1"/>
  <c r="BI32" i="69" s="1"/>
  <c r="R83" i="69"/>
  <c r="AJ83" i="69" s="1" a="1"/>
  <c r="AJ83" i="69" s="1"/>
  <c r="AY83" i="69"/>
  <c r="BB83" i="69"/>
  <c r="AQ83" i="69" s="1" a="1"/>
  <c r="AQ83" i="69" s="1"/>
  <c r="BO83" i="69"/>
  <c r="BH83" i="69" a="1"/>
  <c r="BH83" i="69" s="1"/>
  <c r="BI83" i="69" a="1"/>
  <c r="BI83" i="69" s="1"/>
  <c r="AK83" i="69" a="1"/>
  <c r="AK83" i="69" s="1"/>
  <c r="BD65" i="4"/>
  <c r="BT65" i="4"/>
  <c r="BD1768" i="13" a="1"/>
  <c r="BD1768" i="13" s="1"/>
  <c r="AV588" i="13"/>
  <c r="BH86" i="4"/>
  <c r="AV532" i="13"/>
  <c r="BL30" i="4"/>
  <c r="BH30" i="4"/>
  <c r="F489" i="15" a="1"/>
  <c r="F489" i="15" s="1"/>
  <c r="H489" i="15" a="1"/>
  <c r="H489" i="15" s="1"/>
  <c r="AX1348" i="13"/>
  <c r="A1447" i="13"/>
  <c r="AS16" i="69" a="1"/>
  <c r="AS16" i="69" s="1"/>
  <c r="BQ16" i="69"/>
  <c r="AO16" i="69" a="1"/>
  <c r="AO16" i="69" s="1"/>
  <c r="BN10" i="69"/>
  <c r="AE10" i="69" a="1"/>
  <c r="AE10" i="69" s="1"/>
  <c r="AK10" i="69" s="1" a="1"/>
  <c r="AK10" i="69" s="1"/>
  <c r="L550" i="15" a="1"/>
  <c r="L550" i="15" s="1"/>
  <c r="F266" i="15" a="1"/>
  <c r="F266" i="15" s="1"/>
  <c r="F447" i="15" a="1"/>
  <c r="F447" i="15" s="1"/>
  <c r="H447" i="15" a="1"/>
  <c r="H447" i="15" s="1"/>
  <c r="H491" i="15" a="1"/>
  <c r="H491" i="15" s="1"/>
  <c r="F491" i="15" a="1"/>
  <c r="F491" i="15" s="1"/>
  <c r="K513" i="15" a="1"/>
  <c r="K513" i="15" s="1"/>
  <c r="AV582" i="13"/>
  <c r="BL80" i="4"/>
  <c r="AF11" i="69" a="1"/>
  <c r="AF11" i="69" s="1"/>
  <c r="AH11" i="69" a="1"/>
  <c r="AH11" i="69" s="1"/>
  <c r="AP11" i="69" a="1"/>
  <c r="AP11" i="69" s="1"/>
  <c r="AV11" i="69" a="1"/>
  <c r="AV11" i="69" s="1"/>
  <c r="AJ11" i="69" a="1"/>
  <c r="AJ11" i="69" s="1"/>
  <c r="AU11" i="69" a="1"/>
  <c r="AU11" i="69" s="1"/>
  <c r="AL11" i="69" a="1"/>
  <c r="AL11" i="69" s="1"/>
  <c r="AS11" i="69" a="1"/>
  <c r="AS11" i="69" s="1"/>
  <c r="BK77" i="69"/>
  <c r="BJ77" i="69" s="1"/>
  <c r="BM77" i="69" s="1"/>
  <c r="BH77" i="69" a="1"/>
  <c r="BH77" i="69" s="1"/>
  <c r="BB77" i="69"/>
  <c r="AR77" i="69" s="1" a="1"/>
  <c r="AR77" i="69" s="1"/>
  <c r="AY77" i="69"/>
  <c r="AK77" i="69" a="1"/>
  <c r="AK77" i="69" s="1"/>
  <c r="R77" i="69"/>
  <c r="BO77" i="69"/>
  <c r="BI77" i="69" a="1"/>
  <c r="BI77" i="69" s="1"/>
  <c r="BA19" i="69"/>
  <c r="AZ19" i="69"/>
  <c r="BJ19" i="69"/>
  <c r="BM19" i="69" s="1"/>
  <c r="AV1366" i="13"/>
  <c r="G70" i="69"/>
  <c r="E32" i="69"/>
  <c r="L589" i="15" a="1"/>
  <c r="L589" i="15" s="1"/>
  <c r="AX1334" i="13"/>
  <c r="A1433" i="13"/>
  <c r="BL27" i="69" a="1"/>
  <c r="BL27" i="69" s="1"/>
  <c r="BK49" i="69"/>
  <c r="BB49" i="69"/>
  <c r="AQ49" i="69" s="1" a="1"/>
  <c r="AQ49" i="69" s="1"/>
  <c r="BH49" i="69" a="1"/>
  <c r="BH49" i="69" s="1"/>
  <c r="AY49" i="69"/>
  <c r="AJ49" i="69" s="1" a="1"/>
  <c r="AJ49" i="69" s="1"/>
  <c r="R49" i="69"/>
  <c r="BO49" i="69"/>
  <c r="BI49" i="69" a="1"/>
  <c r="BI49" i="69" s="1"/>
  <c r="AK49" i="69" a="1"/>
  <c r="AK49" i="69" s="1"/>
  <c r="BN17" i="69"/>
  <c r="I255" i="15" a="1"/>
  <c r="I255" i="15" s="1"/>
  <c r="H282" i="15" a="1"/>
  <c r="H282" i="15" s="1"/>
  <c r="F282" i="15" a="1"/>
  <c r="F282" i="15" s="1"/>
  <c r="N499" i="15" a="1"/>
  <c r="N499" i="15" s="1"/>
  <c r="AO57" i="69" a="1"/>
  <c r="AO57" i="69" s="1"/>
  <c r="AJ57" i="69" a="1"/>
  <c r="AJ57" i="69" s="1"/>
  <c r="AV57" i="69" a="1"/>
  <c r="AV57" i="69" s="1"/>
  <c r="AL57" i="69" a="1"/>
  <c r="AL57" i="69" s="1"/>
  <c r="AP57" i="69" a="1"/>
  <c r="AP57" i="69" s="1"/>
  <c r="AF57" i="69" a="1"/>
  <c r="AF57" i="69" s="1"/>
  <c r="AU57" i="69" a="1"/>
  <c r="AU57" i="69" s="1"/>
  <c r="AH57" i="69" a="1"/>
  <c r="AH57" i="69" s="1"/>
  <c r="AS57" i="69" a="1"/>
  <c r="AS57" i="69" s="1"/>
  <c r="BQ23" i="69"/>
  <c r="AO23" i="69" a="1"/>
  <c r="AO23" i="69" s="1"/>
  <c r="AE53" i="69" a="1"/>
  <c r="AE53" i="69" s="1"/>
  <c r="BI53" i="69" s="1" a="1"/>
  <c r="BI53" i="69" s="1"/>
  <c r="BA30" i="69"/>
  <c r="AZ30" i="69"/>
  <c r="AG30" i="69" s="1" a="1"/>
  <c r="AG30" i="69" s="1"/>
  <c r="BN30" i="69"/>
  <c r="AX1319" i="13"/>
  <c r="A1418" i="13"/>
  <c r="BA1769" i="13" a="1"/>
  <c r="BA1769" i="13" s="1"/>
  <c r="BQ27" i="69"/>
  <c r="AO27" i="69" a="1"/>
  <c r="AO27" i="69" s="1"/>
  <c r="BL68" i="69" a="1"/>
  <c r="BL68" i="69" s="1"/>
  <c r="AY68" i="69"/>
  <c r="R68" i="69"/>
  <c r="BB68" i="69"/>
  <c r="AR68" i="69" s="1" a="1"/>
  <c r="AR68" i="69" s="1"/>
  <c r="BO68" i="69"/>
  <c r="BH68" i="69" a="1"/>
  <c r="BH68" i="69" s="1"/>
  <c r="AK68" i="69" a="1"/>
  <c r="AK68" i="69" s="1"/>
  <c r="BI68" i="69" a="1"/>
  <c r="BI68" i="69" s="1"/>
  <c r="AT68" i="69" a="1"/>
  <c r="AT68" i="69" s="1"/>
  <c r="BL16" i="69" a="1"/>
  <c r="BL16" i="69" s="1"/>
  <c r="BO16" i="69"/>
  <c r="AY16" i="69"/>
  <c r="BB16" i="69"/>
  <c r="AQ16" i="69" s="1" a="1"/>
  <c r="AQ16" i="69" s="1"/>
  <c r="R16" i="69"/>
  <c r="BH16" i="69" a="1"/>
  <c r="BH16" i="69" s="1"/>
  <c r="BI16" i="69" a="1"/>
  <c r="BI16" i="69" s="1"/>
  <c r="AK16" i="69" a="1"/>
  <c r="AK16" i="69" s="1"/>
  <c r="AT10" i="69" a="1"/>
  <c r="AT10" i="69" s="1"/>
  <c r="AV1378" i="13"/>
  <c r="G82" i="69"/>
  <c r="BJ17" i="69"/>
  <c r="BM17" i="69" s="1"/>
  <c r="F482" i="15" a="1"/>
  <c r="F482" i="15" s="1"/>
  <c r="H482" i="15" a="1"/>
  <c r="H482" i="15" s="1"/>
  <c r="AU9" i="69" a="1"/>
  <c r="AU9" i="69" s="1"/>
  <c r="AF9" i="69" a="1"/>
  <c r="AF9" i="69" s="1"/>
  <c r="AV9" i="69" a="1"/>
  <c r="AV9" i="69" s="1"/>
  <c r="AL9" i="69" a="1"/>
  <c r="AL9" i="69" s="1"/>
  <c r="AP9" i="69" a="1"/>
  <c r="AP9" i="69" s="1"/>
  <c r="AH9" i="69" a="1"/>
  <c r="AH9" i="69" s="1"/>
  <c r="AS9" i="69" a="1"/>
  <c r="AS9" i="69" s="1"/>
  <c r="AL84" i="69" a="1"/>
  <c r="AL84" i="69" s="1"/>
  <c r="AU84" i="69" a="1"/>
  <c r="AU84" i="69" s="1"/>
  <c r="AH84" i="69" a="1"/>
  <c r="AH84" i="69" s="1"/>
  <c r="AV84" i="69" a="1"/>
  <c r="AV84" i="69" s="1"/>
  <c r="AF84" i="69" a="1"/>
  <c r="AF84" i="69" s="1"/>
  <c r="AP84" i="69" a="1"/>
  <c r="AP84" i="69" s="1"/>
  <c r="AJ84" i="69" a="1"/>
  <c r="AJ84" i="69" s="1"/>
  <c r="AS84" i="69" a="1"/>
  <c r="AS84" i="69" s="1"/>
  <c r="AF43" i="69" a="1"/>
  <c r="AF43" i="69" s="1"/>
  <c r="AV43" i="69" a="1"/>
  <c r="AV43" i="69" s="1"/>
  <c r="AL43" i="69" a="1"/>
  <c r="AL43" i="69" s="1"/>
  <c r="AH43" i="69" a="1"/>
  <c r="AH43" i="69" s="1"/>
  <c r="AP43" i="69" a="1"/>
  <c r="AP43" i="69" s="1"/>
  <c r="AU43" i="69" a="1"/>
  <c r="AU43" i="69" s="1"/>
  <c r="AS43" i="69" a="1"/>
  <c r="AS43" i="69" s="1"/>
  <c r="AV1202" i="13"/>
  <c r="S5" i="69"/>
  <c r="AV1365" i="13"/>
  <c r="G69" i="69"/>
  <c r="BA32" i="69"/>
  <c r="AZ32" i="69"/>
  <c r="BQ30" i="69"/>
  <c r="AO30" i="69" a="1"/>
  <c r="AO30" i="69" s="1"/>
  <c r="AV49" i="69" a="1"/>
  <c r="AV49" i="69" s="1"/>
  <c r="AU49" i="69" a="1"/>
  <c r="AU49" i="69" s="1"/>
  <c r="AP49" i="69" a="1"/>
  <c r="AP49" i="69" s="1"/>
  <c r="AF49" i="69" a="1"/>
  <c r="AF49" i="69" s="1"/>
  <c r="AL49" i="69" a="1"/>
  <c r="AL49" i="69" s="1"/>
  <c r="AH49" i="69" a="1"/>
  <c r="AH49" i="69" s="1"/>
  <c r="AV1221" i="13"/>
  <c r="S24" i="69"/>
  <c r="BA16" i="69"/>
  <c r="AZ16" i="69"/>
  <c r="AI16" i="69" s="1" a="1"/>
  <c r="AI16" i="69" s="1"/>
  <c r="AQ58" i="69" a="1"/>
  <c r="AQ58" i="69" s="1"/>
  <c r="AU58" i="69" a="1"/>
  <c r="AU58" i="69" s="1"/>
  <c r="AH58" i="69" a="1"/>
  <c r="AH58" i="69" s="1"/>
  <c r="AL58" i="69" a="1"/>
  <c r="AL58" i="69" s="1"/>
  <c r="AJ58" i="69" a="1"/>
  <c r="AJ58" i="69" s="1"/>
  <c r="AR58" i="69" a="1"/>
  <c r="AR58" i="69" s="1"/>
  <c r="AV58" i="69" a="1"/>
  <c r="AV58" i="69" s="1"/>
  <c r="AP58" i="69" a="1"/>
  <c r="AP58" i="69" s="1"/>
  <c r="AF58" i="69" a="1"/>
  <c r="AF58" i="69" s="1"/>
  <c r="AI58" i="69" a="1"/>
  <c r="AI58" i="69" s="1"/>
  <c r="AO58" i="69" a="1"/>
  <c r="AO58" i="69" s="1"/>
  <c r="F483" i="15" a="1"/>
  <c r="F483" i="15" s="1"/>
  <c r="H483" i="15" a="1"/>
  <c r="H483" i="15" s="1"/>
  <c r="H376" i="15" a="1"/>
  <c r="H376" i="15" s="1"/>
  <c r="BH30" i="69" a="1"/>
  <c r="BH30" i="69" s="1"/>
  <c r="R30" i="69"/>
  <c r="AJ30" i="69" s="1" a="1"/>
  <c r="AJ30" i="69" s="1"/>
  <c r="AY30" i="69"/>
  <c r="BB30" i="69"/>
  <c r="AR30" i="69" s="1" a="1"/>
  <c r="AR30" i="69" s="1"/>
  <c r="BO30" i="69"/>
  <c r="AK30" i="69" a="1"/>
  <c r="AK30" i="69" s="1"/>
  <c r="BI30" i="69" a="1"/>
  <c r="BI30" i="69" s="1"/>
  <c r="A1417" i="13"/>
  <c r="AX1318" i="13"/>
  <c r="AV567" i="13"/>
  <c r="BH65" i="4"/>
  <c r="BL65" i="4"/>
  <c r="F223" i="15" a="1"/>
  <c r="F223" i="15" s="1"/>
  <c r="BJ49" i="69"/>
  <c r="BM49" i="69" s="1"/>
  <c r="AZ49" i="69"/>
  <c r="AG49" i="69" s="1" a="1"/>
  <c r="AG49" i="69" s="1"/>
  <c r="BA49" i="69"/>
  <c r="BQ49" i="69"/>
  <c r="AO49" i="69" a="1"/>
  <c r="AO49" i="69" s="1"/>
  <c r="B68" i="69"/>
  <c r="AZ68" i="69"/>
  <c r="AI68" i="69" s="1" a="1"/>
  <c r="AI68" i="69" s="1"/>
  <c r="BA68" i="69"/>
  <c r="BL41" i="69" a="1"/>
  <c r="BL41" i="69" s="1"/>
  <c r="AY41" i="69"/>
  <c r="AJ41" i="69" s="1" a="1"/>
  <c r="AJ41" i="69" s="1"/>
  <c r="BH41" i="69" a="1"/>
  <c r="BH41" i="69" s="1"/>
  <c r="BO41" i="69"/>
  <c r="R41" i="69"/>
  <c r="BB41" i="69"/>
  <c r="AQ41" i="69" s="1" a="1"/>
  <c r="AQ41" i="69" s="1"/>
  <c r="BI41" i="69" a="1"/>
  <c r="BI41" i="69" s="1"/>
  <c r="AK41" i="69" a="1"/>
  <c r="AK41" i="69" s="1"/>
  <c r="F76" i="15" a="1"/>
  <c r="F76" i="15" s="1"/>
  <c r="P72" i="9"/>
  <c r="P11" i="9"/>
  <c r="F462" i="15" a="1"/>
  <c r="F462" i="15" s="1"/>
  <c r="BQ94" i="69"/>
  <c r="AO94" i="69" a="1"/>
  <c r="AO94" i="69" s="1"/>
  <c r="L555" i="15" a="1"/>
  <c r="L555" i="15" s="1"/>
  <c r="P61" i="9"/>
  <c r="P95" i="9"/>
  <c r="P45" i="9"/>
  <c r="M483" i="15" a="1"/>
  <c r="M483" i="15" s="1"/>
  <c r="K483" i="15" a="1"/>
  <c r="K483" i="15" s="1"/>
  <c r="N483" i="15" a="1"/>
  <c r="N483" i="15" s="1"/>
  <c r="L483" i="15" a="1"/>
  <c r="L483" i="15" s="1"/>
  <c r="P77" i="9"/>
  <c r="P22" i="9"/>
  <c r="F423" i="15" a="1"/>
  <c r="F423" i="15" s="1"/>
  <c r="P74" i="9"/>
  <c r="P24" i="9"/>
  <c r="N616" i="15" a="1"/>
  <c r="N616" i="15" s="1"/>
  <c r="BD26" i="4"/>
  <c r="BT26" i="4"/>
  <c r="L45" i="69"/>
  <c r="B34" i="69"/>
  <c r="BQ20" i="69"/>
  <c r="E20" i="69"/>
  <c r="W92" i="22"/>
  <c r="Y92" i="22" s="1"/>
  <c r="AV62" i="13"/>
  <c r="AY60" i="4"/>
  <c r="F60" i="4"/>
  <c r="Z1356" i="13"/>
  <c r="AW60" i="4"/>
  <c r="K60" i="69" s="1" a="1"/>
  <c r="K60" i="69" s="1"/>
  <c r="L60" i="4"/>
  <c r="CA60" i="4" s="1"/>
  <c r="AP60" i="4"/>
  <c r="AV362" i="13" s="1"/>
  <c r="AV462" i="13" s="1"/>
  <c r="CZ60" i="4" a="1"/>
  <c r="CZ60" i="4" s="1"/>
  <c r="CX60" i="4"/>
  <c r="CY60" i="4" s="1"/>
  <c r="BQ14" i="69"/>
  <c r="AO14" i="69" a="1"/>
  <c r="AO14" i="69" s="1"/>
  <c r="CV87" i="4"/>
  <c r="CW87" i="4" s="1"/>
  <c r="E87" i="4"/>
  <c r="BT87" i="4" s="1"/>
  <c r="AV528" i="13"/>
  <c r="BH26" i="4"/>
  <c r="BL26" i="4"/>
  <c r="BK37" i="69"/>
  <c r="BJ37" i="69" s="1"/>
  <c r="BM37" i="69" s="1"/>
  <c r="BJ40" i="69"/>
  <c r="BM40" i="69" s="1"/>
  <c r="BJ50" i="69"/>
  <c r="BM50" i="69" s="1"/>
  <c r="AZ50" i="69"/>
  <c r="BA50" i="69"/>
  <c r="BK5" i="69"/>
  <c r="BJ5" i="69" s="1"/>
  <c r="BM5" i="69" s="1"/>
  <c r="AT48" i="69" a="1"/>
  <c r="AT48" i="69" s="1"/>
  <c r="G48" i="69"/>
  <c r="BC59" i="69"/>
  <c r="BD35" i="4"/>
  <c r="BR35" i="4" s="1"/>
  <c r="M527" i="15" a="1"/>
  <c r="M527" i="15" s="1"/>
  <c r="BH92" i="4"/>
  <c r="AV594" i="13"/>
  <c r="BL92" i="4"/>
  <c r="F185" i="15" a="1"/>
  <c r="F185" i="15" s="1"/>
  <c r="H185" i="15" a="1"/>
  <c r="H185" i="15" s="1"/>
  <c r="AZ65" i="69"/>
  <c r="AG65" i="69" s="1" a="1"/>
  <c r="AG65" i="69" s="1"/>
  <c r="BA65" i="69"/>
  <c r="BL46" i="69" a="1"/>
  <c r="BL46" i="69" s="1"/>
  <c r="BL33" i="69" a="1"/>
  <c r="BL33" i="69" s="1"/>
  <c r="R33" i="69"/>
  <c r="BH33" i="69" a="1"/>
  <c r="BH33" i="69" s="1"/>
  <c r="BO33" i="69"/>
  <c r="AY33" i="69"/>
  <c r="BB33" i="69"/>
  <c r="CV91" i="4"/>
  <c r="CW91" i="4" s="1"/>
  <c r="BD34" i="4"/>
  <c r="AT79" i="69" a="1"/>
  <c r="AT79" i="69" s="1"/>
  <c r="B42" i="69"/>
  <c r="BK26" i="69"/>
  <c r="BJ26" i="69" s="1"/>
  <c r="BM26" i="69" s="1"/>
  <c r="AZ26" i="69"/>
  <c r="AI26" i="69" s="1" a="1"/>
  <c r="AI26" i="69" s="1"/>
  <c r="BA26" i="69"/>
  <c r="AA3" i="69"/>
  <c r="AN3" i="69"/>
  <c r="K3" i="69" a="1"/>
  <c r="K3" i="69" s="1"/>
  <c r="BP3" i="69"/>
  <c r="P3" i="69"/>
  <c r="AB3" i="69" a="1"/>
  <c r="AB3" i="69" s="1"/>
  <c r="N3" i="69" a="1"/>
  <c r="N3" i="69" s="1"/>
  <c r="AW3" i="69"/>
  <c r="AC3" i="69"/>
  <c r="Q3" i="69"/>
  <c r="AX3" i="69"/>
  <c r="V3" i="69"/>
  <c r="W3" i="69"/>
  <c r="BL3" i="69" s="1" a="1"/>
  <c r="BL3" i="69" s="1"/>
  <c r="A3" i="69"/>
  <c r="M3" i="69"/>
  <c r="U3" i="69" a="1"/>
  <c r="U3" i="69" s="1"/>
  <c r="T3" i="69"/>
  <c r="AM3" i="69"/>
  <c r="G3" i="69"/>
  <c r="S3" i="69"/>
  <c r="X98" i="69"/>
  <c r="BD3" i="69"/>
  <c r="B10" i="27"/>
  <c r="K95" i="69" a="1"/>
  <c r="K95" i="69" s="1"/>
  <c r="Y3" i="69"/>
  <c r="J3" i="69"/>
  <c r="Z3" i="69"/>
  <c r="K4" i="69" a="1"/>
  <c r="K4" i="69" s="1"/>
  <c r="K94" i="69" a="1"/>
  <c r="K94" i="69" s="1"/>
  <c r="K58" i="69" a="1"/>
  <c r="K58" i="69" s="1"/>
  <c r="N513" i="15" a="1"/>
  <c r="N513" i="15" s="1"/>
  <c r="N579" i="15" a="1"/>
  <c r="N579" i="15" s="1"/>
  <c r="BQ86" i="69"/>
  <c r="BC62" i="69"/>
  <c r="BL8" i="69" a="1"/>
  <c r="BL8" i="69" s="1"/>
  <c r="E28" i="69"/>
  <c r="AL87" i="4"/>
  <c r="I87" i="69" s="1"/>
  <c r="F536" i="15" a="1"/>
  <c r="F536" i="15" s="1"/>
  <c r="K582" i="15" a="1"/>
  <c r="K582" i="15" s="1"/>
  <c r="F43" i="15" a="1"/>
  <c r="F43" i="15" s="1"/>
  <c r="H43" i="15" a="1"/>
  <c r="H43" i="15" s="1"/>
  <c r="AX1311" i="13"/>
  <c r="A1410" i="13"/>
  <c r="F458" i="15" a="1"/>
  <c r="F458" i="15" s="1"/>
  <c r="H458" i="15" a="1"/>
  <c r="H458" i="15" s="1"/>
  <c r="AV507" i="13"/>
  <c r="BH5" i="4"/>
  <c r="BL5" i="4"/>
  <c r="I16" i="27"/>
  <c r="A1415" i="13"/>
  <c r="AX1316" i="13"/>
  <c r="BQ56" i="69"/>
  <c r="AT57" i="69" a="1"/>
  <c r="AT57" i="69" s="1"/>
  <c r="R66" i="69"/>
  <c r="AY66" i="69"/>
  <c r="BB66" i="69"/>
  <c r="AK66" i="69" a="1"/>
  <c r="AK66" i="69" s="1"/>
  <c r="BI66" i="69" a="1"/>
  <c r="BI66" i="69" s="1"/>
  <c r="AZ81" i="69"/>
  <c r="F443" i="15" a="1"/>
  <c r="F443" i="15" s="1"/>
  <c r="H443" i="15" a="1"/>
  <c r="H443" i="15" s="1"/>
  <c r="A1425" i="13"/>
  <c r="AX1326" i="13"/>
  <c r="AU69" i="4"/>
  <c r="AV69" i="4" a="1"/>
  <c r="AV69" i="4" s="1"/>
  <c r="C69" i="69" s="1"/>
  <c r="D69" i="69" s="1" a="1"/>
  <c r="D69" i="69" s="1"/>
  <c r="AT69" i="4" a="1"/>
  <c r="AT69" i="4" s="1"/>
  <c r="H69" i="69" s="1"/>
  <c r="Y69" i="4"/>
  <c r="BQ69" i="4"/>
  <c r="G11" i="69"/>
  <c r="S25" i="69"/>
  <c r="U36" i="69" a="1"/>
  <c r="U36" i="69" s="1"/>
  <c r="AD82" i="4"/>
  <c r="F82" i="69" s="1"/>
  <c r="BI58" i="69" a="1"/>
  <c r="BI58" i="69" s="1"/>
  <c r="AV73" i="4" a="1"/>
  <c r="AV73" i="4" s="1"/>
  <c r="C73" i="69" s="1"/>
  <c r="D73" i="69" s="1" a="1"/>
  <c r="D73" i="69" s="1"/>
  <c r="AU73" i="4"/>
  <c r="AT73" i="4" a="1"/>
  <c r="AT73" i="4" s="1"/>
  <c r="H73" i="69" s="1"/>
  <c r="Y73" i="4"/>
  <c r="BQ73" i="4"/>
  <c r="AX1323" i="13"/>
  <c r="A1422" i="13"/>
  <c r="BC84" i="69"/>
  <c r="U31" i="69" a="1"/>
  <c r="U31" i="69" s="1"/>
  <c r="E31" i="69"/>
  <c r="AE71" i="69" a="1"/>
  <c r="AE71" i="69" s="1"/>
  <c r="K89" i="69" a="1"/>
  <c r="K89" i="69" s="1"/>
  <c r="BQ89" i="69"/>
  <c r="AO89" i="69" a="1"/>
  <c r="AO89" i="69" s="1"/>
  <c r="T72" i="69"/>
  <c r="BA24" i="69"/>
  <c r="BJ24" i="69"/>
  <c r="BM24" i="69" s="1"/>
  <c r="AZ24" i="69"/>
  <c r="AG24" i="69" s="1" a="1"/>
  <c r="AG24" i="69" s="1"/>
  <c r="AH83" i="4"/>
  <c r="AX1338" i="13"/>
  <c r="A1437" i="13"/>
  <c r="F481" i="15" a="1"/>
  <c r="F481" i="15" s="1"/>
  <c r="H481" i="15" a="1"/>
  <c r="H481" i="15" s="1"/>
  <c r="F513" i="15" a="1"/>
  <c r="F513" i="15" s="1"/>
  <c r="H513" i="15" a="1"/>
  <c r="H513" i="15" s="1"/>
  <c r="AT6" i="4" a="1"/>
  <c r="AT6" i="4" s="1"/>
  <c r="H6" i="69" s="1"/>
  <c r="AU6" i="4"/>
  <c r="AV6" i="4" a="1"/>
  <c r="AV6" i="4" s="1"/>
  <c r="C6" i="69" s="1"/>
  <c r="D6" i="69" s="1" a="1"/>
  <c r="D6" i="69" s="1"/>
  <c r="Y6" i="4"/>
  <c r="BQ6" i="4"/>
  <c r="CX6" i="4"/>
  <c r="CY6" i="4" s="1"/>
  <c r="AT54" i="69" a="1"/>
  <c r="AT54" i="69" s="1"/>
  <c r="E54" i="69"/>
  <c r="BL90" i="69" a="1"/>
  <c r="BL90" i="69" s="1"/>
  <c r="K7" i="69" a="1"/>
  <c r="K7" i="69" s="1"/>
  <c r="AZ7" i="69"/>
  <c r="AI7" i="69" s="1" a="1"/>
  <c r="AI7" i="69" s="1"/>
  <c r="BA7" i="69"/>
  <c r="M539" i="15" a="1"/>
  <c r="M539" i="15" s="1"/>
  <c r="A1430" i="13"/>
  <c r="AX1331" i="13"/>
  <c r="U43" i="69" a="1"/>
  <c r="U43" i="69" s="1"/>
  <c r="B15" i="69"/>
  <c r="AE92" i="69" a="1"/>
  <c r="AE92" i="69" s="1"/>
  <c r="BA22" i="69"/>
  <c r="AZ22" i="69"/>
  <c r="AG22" i="69" s="1" a="1"/>
  <c r="AG22" i="69" s="1"/>
  <c r="S12" i="69"/>
  <c r="Z83" i="4"/>
  <c r="K51" i="69" a="1"/>
  <c r="K51" i="69" s="1"/>
  <c r="AL91" i="4"/>
  <c r="I91" i="69" s="1"/>
  <c r="M498" i="15" a="1"/>
  <c r="M498" i="15" s="1"/>
  <c r="CV82" i="4"/>
  <c r="CW82" i="4" s="1"/>
  <c r="F42" i="23"/>
  <c r="P42" i="23" s="1"/>
  <c r="Z42" i="23" s="1"/>
  <c r="H297" i="15" a="1"/>
  <c r="H297" i="15" s="1"/>
  <c r="F259" i="15" a="1"/>
  <c r="F259" i="15" s="1"/>
  <c r="H259" i="15" a="1"/>
  <c r="H259" i="15" s="1"/>
  <c r="BF16" i="4"/>
  <c r="BG49" i="4"/>
  <c r="AV1147" i="13" s="1"/>
  <c r="BR49" i="4"/>
  <c r="BG39" i="4"/>
  <c r="AV1137" i="13" s="1"/>
  <c r="X51" i="4"/>
  <c r="BG51" i="4"/>
  <c r="AV1149" i="13" s="1"/>
  <c r="BR51" i="4"/>
  <c r="BG29" i="4"/>
  <c r="AV1127" i="13" s="1"/>
  <c r="BF79" i="4"/>
  <c r="BG52" i="4"/>
  <c r="AV1150" i="13" s="1"/>
  <c r="BO23" i="69"/>
  <c r="BH23" i="69" a="1"/>
  <c r="BH23" i="69" s="1"/>
  <c r="BB23" i="69"/>
  <c r="R23" i="69"/>
  <c r="AY23" i="69"/>
  <c r="BI23" i="69" a="1"/>
  <c r="BI23" i="69" s="1"/>
  <c r="BQ32" i="69"/>
  <c r="AO32" i="69" a="1"/>
  <c r="AO32" i="69" s="1"/>
  <c r="E30" i="69"/>
  <c r="AV86" i="4" a="1"/>
  <c r="AV86" i="4" s="1"/>
  <c r="C86" i="69" s="1"/>
  <c r="D86" i="69" s="1" a="1"/>
  <c r="D86" i="69" s="1"/>
  <c r="Y86" i="4"/>
  <c r="AU86" i="4"/>
  <c r="AT86" i="4" a="1"/>
  <c r="AT86" i="4" s="1"/>
  <c r="H86" i="69" s="1"/>
  <c r="CX86" i="4"/>
  <c r="CY86" i="4" s="1"/>
  <c r="BQ86" i="4"/>
  <c r="BQ68" i="69"/>
  <c r="AO68" i="69" a="1"/>
  <c r="AO68" i="69" s="1"/>
  <c r="F233" i="15" a="1"/>
  <c r="F233" i="15" s="1"/>
  <c r="H233" i="15" a="1"/>
  <c r="H233" i="15" s="1"/>
  <c r="F172" i="15" a="1"/>
  <c r="F172" i="15" s="1"/>
  <c r="H223" i="15" a="1"/>
  <c r="H223" i="15" s="1"/>
  <c r="H327" i="15" a="1"/>
  <c r="H327" i="15" s="1"/>
  <c r="F327" i="15" a="1"/>
  <c r="F327" i="15" s="1"/>
  <c r="P27" i="9"/>
  <c r="P51" i="9"/>
  <c r="I235" i="15" a="1"/>
  <c r="I235" i="15" s="1"/>
  <c r="BB94" i="69"/>
  <c r="AQ94" i="69" s="1" a="1"/>
  <c r="AQ94" i="69" s="1"/>
  <c r="R94" i="69"/>
  <c r="AY94" i="69"/>
  <c r="AJ94" i="69" s="1" a="1"/>
  <c r="AJ94" i="69" s="1"/>
  <c r="AK94" i="69" a="1"/>
  <c r="AK94" i="69" s="1"/>
  <c r="BK94" i="69"/>
  <c r="BJ94" i="69" s="1"/>
  <c r="BM94" i="69" s="1"/>
  <c r="BL94" i="69" a="1"/>
  <c r="BL94" i="69" s="1"/>
  <c r="E94" i="69"/>
  <c r="BC94" i="69"/>
  <c r="K482" i="15" a="1"/>
  <c r="K482" i="15" s="1"/>
  <c r="N482" i="15" a="1"/>
  <c r="N482" i="15" s="1"/>
  <c r="M482" i="15" a="1"/>
  <c r="M482" i="15" s="1"/>
  <c r="L482" i="15" a="1"/>
  <c r="L482" i="15" s="1"/>
  <c r="I401" i="15" a="1"/>
  <c r="I401" i="15" s="1"/>
  <c r="P62" i="9"/>
  <c r="P33" i="9"/>
  <c r="P67" i="9"/>
  <c r="L616" i="15" a="1"/>
  <c r="L616" i="15" s="1"/>
  <c r="BD52" i="4"/>
  <c r="BR52" i="4" s="1"/>
  <c r="CA31" i="4"/>
  <c r="AU31" i="4"/>
  <c r="AT31" i="4" a="1"/>
  <c r="AT31" i="4" s="1"/>
  <c r="H31" i="69" s="1"/>
  <c r="AV31" i="4" a="1"/>
  <c r="AV31" i="4" s="1"/>
  <c r="C31" i="69" s="1"/>
  <c r="D31" i="69" s="1" a="1"/>
  <c r="D31" i="69" s="1"/>
  <c r="Y31" i="4"/>
  <c r="BQ31" i="4"/>
  <c r="BC45" i="69"/>
  <c r="B45" i="69"/>
  <c r="E67" i="69"/>
  <c r="F81" i="4"/>
  <c r="CV81" i="4"/>
  <c r="CW81" i="4" s="1"/>
  <c r="BD81" i="4"/>
  <c r="E81" i="4"/>
  <c r="BT81" i="4" s="1"/>
  <c r="BH17" i="4"/>
  <c r="AV519" i="13"/>
  <c r="BL17" i="4"/>
  <c r="BQ37" i="69"/>
  <c r="AO37" i="69" a="1"/>
  <c r="AO37" i="69" s="1"/>
  <c r="BQ40" i="69"/>
  <c r="AO40" i="69" a="1"/>
  <c r="AO40" i="69" s="1"/>
  <c r="BL40" i="69" a="1"/>
  <c r="BL40" i="69" s="1"/>
  <c r="BO40" i="69"/>
  <c r="R40" i="69"/>
  <c r="BH40" i="69" a="1"/>
  <c r="BH40" i="69" s="1"/>
  <c r="BB40" i="69"/>
  <c r="AY40" i="69"/>
  <c r="BI40" i="69" a="1"/>
  <c r="BI40" i="69" s="1"/>
  <c r="AK40" i="69" a="1"/>
  <c r="AK40" i="69" s="1"/>
  <c r="BC50" i="69"/>
  <c r="E47" i="69"/>
  <c r="AZ74" i="69"/>
  <c r="BA74" i="69"/>
  <c r="E48" i="69"/>
  <c r="B59" i="69"/>
  <c r="H582" i="15" a="1"/>
  <c r="H582" i="15" s="1"/>
  <c r="F582" i="15" a="1"/>
  <c r="F582" i="15" s="1"/>
  <c r="A1474" i="13"/>
  <c r="AX1375" i="13"/>
  <c r="L88" i="69"/>
  <c r="AY88" i="69"/>
  <c r="R88" i="69"/>
  <c r="BH88" i="69" a="1"/>
  <c r="BH88" i="69" s="1"/>
  <c r="BO88" i="69"/>
  <c r="BB88" i="69"/>
  <c r="AQ88" i="69" s="1" a="1"/>
  <c r="AQ88" i="69" s="1"/>
  <c r="AK88" i="69" a="1"/>
  <c r="AK88" i="69" s="1"/>
  <c r="BI88" i="69" a="1"/>
  <c r="BI88" i="69" s="1"/>
  <c r="G63" i="69"/>
  <c r="BC63" i="69"/>
  <c r="BB63" i="69"/>
  <c r="AY63" i="69"/>
  <c r="R63" i="69"/>
  <c r="BO63" i="69"/>
  <c r="BH63" i="69" a="1"/>
  <c r="BH63" i="69" s="1"/>
  <c r="BC46" i="69"/>
  <c r="E46" i="69"/>
  <c r="E80" i="69"/>
  <c r="CV59" i="4"/>
  <c r="CW59" i="4" s="1"/>
  <c r="BO79" i="69"/>
  <c r="BB79" i="69"/>
  <c r="AR79" i="69" s="1" a="1"/>
  <c r="AR79" i="69" s="1"/>
  <c r="R79" i="69"/>
  <c r="AJ79" i="69" s="1" a="1"/>
  <c r="AJ79" i="69" s="1"/>
  <c r="BH79" i="69" a="1"/>
  <c r="BH79" i="69" s="1"/>
  <c r="AY79" i="69"/>
  <c r="AK79" i="69" a="1"/>
  <c r="AK79" i="69" s="1"/>
  <c r="BI79" i="69" a="1"/>
  <c r="BI79" i="69" s="1"/>
  <c r="AT42" i="69" a="1"/>
  <c r="AT42" i="69" s="1"/>
  <c r="E42" i="69"/>
  <c r="AL83" i="4"/>
  <c r="I83" i="69" s="1"/>
  <c r="BQ26" i="69"/>
  <c r="AO26" i="69" a="1"/>
  <c r="AO26" i="69" s="1"/>
  <c r="BH52" i="69" a="1"/>
  <c r="BH52" i="69" s="1"/>
  <c r="BB52" i="69"/>
  <c r="AR52" i="69" s="1" a="1"/>
  <c r="AR52" i="69" s="1"/>
  <c r="AY52" i="69"/>
  <c r="R52" i="69"/>
  <c r="BO52" i="69"/>
  <c r="BI52" i="69" a="1"/>
  <c r="BI52" i="69" s="1"/>
  <c r="AK52" i="69" a="1"/>
  <c r="AK52" i="69" s="1"/>
  <c r="BD49" i="4"/>
  <c r="X49" i="4" s="1"/>
  <c r="BT49" i="4"/>
  <c r="L579" i="15" a="1"/>
  <c r="L579" i="15" s="1"/>
  <c r="AZ86" i="69"/>
  <c r="BA86" i="69"/>
  <c r="AT62" i="69" a="1"/>
  <c r="AT62" i="69" s="1"/>
  <c r="K28" i="69" a="1"/>
  <c r="K28" i="69" s="1"/>
  <c r="AD80" i="4"/>
  <c r="F80" i="69" s="1"/>
  <c r="BQ78" i="69"/>
  <c r="F465" i="15" a="1"/>
  <c r="F465" i="15" s="1"/>
  <c r="H465" i="15" a="1"/>
  <c r="H465" i="15" s="1"/>
  <c r="N582" i="15" a="1"/>
  <c r="N582" i="15" s="1"/>
  <c r="B7" i="27"/>
  <c r="CA14" i="4"/>
  <c r="AU14" i="4"/>
  <c r="AV14" i="4" a="1"/>
  <c r="AV14" i="4" s="1"/>
  <c r="C14" i="69" s="1"/>
  <c r="D14" i="69" s="1" a="1"/>
  <c r="D14" i="69" s="1"/>
  <c r="AT14" i="4" a="1"/>
  <c r="AT14" i="4" s="1"/>
  <c r="H14" i="69" s="1"/>
  <c r="Y14" i="4"/>
  <c r="CX14" i="4"/>
  <c r="CY14" i="4" s="1"/>
  <c r="P16" i="9" s="1"/>
  <c r="BQ14" i="4"/>
  <c r="AZ66" i="69"/>
  <c r="AI66" i="69" s="1" a="1"/>
  <c r="AI66" i="69" s="1"/>
  <c r="BK81" i="69"/>
  <c r="BJ81" i="69" s="1"/>
  <c r="BM81" i="69" s="1"/>
  <c r="R81" i="69"/>
  <c r="BB81" i="69"/>
  <c r="AY81" i="69"/>
  <c r="AV1230" i="13"/>
  <c r="AV1197" i="13" s="1" a="1"/>
  <c r="AV1197" i="13" s="1"/>
  <c r="I8" i="27"/>
  <c r="H172" i="15" a="1"/>
  <c r="H172" i="15" s="1"/>
  <c r="F208" i="15" a="1"/>
  <c r="F208" i="15" s="1"/>
  <c r="H208" i="15" a="1"/>
  <c r="H208" i="15" s="1"/>
  <c r="BL69" i="4"/>
  <c r="AV571" i="13"/>
  <c r="BH69" i="4"/>
  <c r="BQ13" i="69"/>
  <c r="AO13" i="69" a="1"/>
  <c r="AO13" i="69" s="1"/>
  <c r="U25" i="69" a="1"/>
  <c r="U25" i="69" s="1"/>
  <c r="Z72" i="4"/>
  <c r="BK36" i="69"/>
  <c r="BJ36" i="69" s="1"/>
  <c r="BM36" i="69" s="1"/>
  <c r="AL81" i="4"/>
  <c r="I81" i="69" s="1"/>
  <c r="E95" i="4"/>
  <c r="BT95" i="4" s="1"/>
  <c r="CZ95" i="4" a="1"/>
  <c r="CZ95" i="4" s="1"/>
  <c r="F95" i="4"/>
  <c r="AH95" i="4"/>
  <c r="AD95" i="4"/>
  <c r="F95" i="69" s="1"/>
  <c r="Z95" i="4"/>
  <c r="CV95" i="4"/>
  <c r="CW95" i="4" s="1"/>
  <c r="AL95" i="4"/>
  <c r="I95" i="69" s="1"/>
  <c r="AP95" i="4"/>
  <c r="AX1343" i="13"/>
  <c r="A1442" i="13"/>
  <c r="N537" i="15" a="1"/>
  <c r="N537" i="15" s="1"/>
  <c r="AX1310" i="13"/>
  <c r="A1409" i="13"/>
  <c r="AK58" i="69" a="1"/>
  <c r="AK58" i="69" s="1"/>
  <c r="AV575" i="13"/>
  <c r="BH73" i="4"/>
  <c r="BL73" i="4"/>
  <c r="A1476" i="13"/>
  <c r="AX1377" i="13"/>
  <c r="F66" i="4"/>
  <c r="BL84" i="69" a="1"/>
  <c r="BL84" i="69" s="1"/>
  <c r="AZ84" i="69"/>
  <c r="AI84" i="69" s="1" a="1"/>
  <c r="AI84" i="69" s="1"/>
  <c r="BA84" i="69"/>
  <c r="E72" i="69"/>
  <c r="AP39" i="69" a="1"/>
  <c r="AP39" i="69" s="1"/>
  <c r="AU39" i="69" a="1"/>
  <c r="AU39" i="69" s="1"/>
  <c r="AH39" i="69" a="1"/>
  <c r="AH39" i="69" s="1"/>
  <c r="AJ39" i="69" a="1"/>
  <c r="AJ39" i="69" s="1"/>
  <c r="AV39" i="69" a="1"/>
  <c r="AV39" i="69" s="1"/>
  <c r="AL39" i="69" a="1"/>
  <c r="AL39" i="69" s="1"/>
  <c r="AF39" i="69" a="1"/>
  <c r="AF39" i="69" s="1"/>
  <c r="AR39" i="69" a="1"/>
  <c r="AR39" i="69" s="1"/>
  <c r="BH39" i="69" a="1"/>
  <c r="BH39" i="69" s="1"/>
  <c r="AY39" i="69"/>
  <c r="BO39" i="69"/>
  <c r="BB39" i="69"/>
  <c r="AQ39" i="69" s="1" a="1"/>
  <c r="AQ39" i="69" s="1"/>
  <c r="BI39" i="69" a="1"/>
  <c r="BI39" i="69" s="1"/>
  <c r="AK39" i="69" a="1"/>
  <c r="AK39" i="69" s="1"/>
  <c r="R39" i="69"/>
  <c r="BA39" i="69"/>
  <c r="AZ39" i="69"/>
  <c r="AG39" i="69" s="1" a="1"/>
  <c r="AG39" i="69" s="1"/>
  <c r="BK82" i="69"/>
  <c r="BJ82" i="69" s="1"/>
  <c r="BM82" i="69" s="1"/>
  <c r="BQ82" i="69"/>
  <c r="AO82" i="69" a="1"/>
  <c r="AO82" i="69" s="1"/>
  <c r="K495" i="15" a="1"/>
  <c r="K495" i="15" s="1"/>
  <c r="F499" i="15" a="1"/>
  <c r="F499" i="15" s="1"/>
  <c r="H499" i="15" a="1"/>
  <c r="H499" i="15" s="1"/>
  <c r="H241" i="15" a="1"/>
  <c r="H241" i="15" s="1"/>
  <c r="F241" i="15" a="1"/>
  <c r="F241" i="15" s="1"/>
  <c r="F537" i="15" a="1"/>
  <c r="F537" i="15" s="1"/>
  <c r="BL35" i="69" a="1"/>
  <c r="BL35" i="69" s="1"/>
  <c r="AE91" i="69" a="1"/>
  <c r="AE91" i="69" s="1"/>
  <c r="E29" i="69"/>
  <c r="K44" i="69" a="1"/>
  <c r="K44" i="69" s="1"/>
  <c r="G44" i="69"/>
  <c r="AX1336" i="13"/>
  <c r="A1435" i="13"/>
  <c r="L539" i="15" a="1"/>
  <c r="L539" i="15" s="1"/>
  <c r="AV570" i="13"/>
  <c r="BH68" i="4"/>
  <c r="BL68" i="4"/>
  <c r="BN43" i="69"/>
  <c r="K22" i="69" a="1"/>
  <c r="K22" i="69" s="1"/>
  <c r="U51" i="69" a="1"/>
  <c r="U51" i="69" s="1"/>
  <c r="A1479" i="13"/>
  <c r="AX1380" i="13"/>
  <c r="K498" i="15" a="1"/>
  <c r="K498" i="15" s="1"/>
  <c r="F74" i="4"/>
  <c r="CZ82" i="4" a="1"/>
  <c r="CZ82" i="4" s="1"/>
  <c r="CZ93" i="4" a="1"/>
  <c r="CZ93" i="4" s="1"/>
  <c r="F41" i="23"/>
  <c r="P41" i="23" s="1"/>
  <c r="Z41" i="23" s="1"/>
  <c r="CA40" i="4"/>
  <c r="AV40" i="4" a="1"/>
  <c r="AV40" i="4" s="1"/>
  <c r="C40" i="69" s="1"/>
  <c r="D40" i="69" s="1" a="1"/>
  <c r="D40" i="69" s="1"/>
  <c r="AU40" i="4"/>
  <c r="AT40" i="4" a="1"/>
  <c r="AT40" i="4" s="1"/>
  <c r="H40" i="69" s="1"/>
  <c r="Y40" i="4"/>
  <c r="CX40" i="4"/>
  <c r="CY40" i="4" s="1"/>
  <c r="BQ40" i="4"/>
  <c r="CA39" i="4"/>
  <c r="AV39" i="4" a="1"/>
  <c r="AV39" i="4" s="1"/>
  <c r="C39" i="69" s="1"/>
  <c r="D39" i="69" s="1" a="1"/>
  <c r="D39" i="69" s="1"/>
  <c r="AT39" i="4" a="1"/>
  <c r="AT39" i="4" s="1"/>
  <c r="H39" i="69" s="1"/>
  <c r="Y39" i="4"/>
  <c r="AU39" i="4"/>
  <c r="CX39" i="4"/>
  <c r="CY39" i="4" s="1"/>
  <c r="BQ39" i="4"/>
  <c r="F444" i="15" a="1"/>
  <c r="F444" i="15" s="1"/>
  <c r="H444" i="15" a="1"/>
  <c r="H444" i="15" s="1"/>
  <c r="A1427" i="13"/>
  <c r="AX1328" i="13"/>
  <c r="BG92" i="4"/>
  <c r="AV1190" i="13" s="1"/>
  <c r="X92" i="4"/>
  <c r="BF43" i="4"/>
  <c r="BL56" i="4"/>
  <c r="BG56" i="4"/>
  <c r="AV1154" i="13" s="1"/>
  <c r="BR56" i="4"/>
  <c r="X31" i="4"/>
  <c r="BG31" i="4"/>
  <c r="AV1129" i="13" s="1"/>
  <c r="BR31" i="4"/>
  <c r="BL86" i="4"/>
  <c r="BG86" i="4"/>
  <c r="AV1184" i="13" s="1"/>
  <c r="BR86" i="4"/>
  <c r="BF50" i="4"/>
  <c r="L15" i="4"/>
  <c r="X15" i="4"/>
  <c r="BR15" i="4"/>
  <c r="BG15" i="4"/>
  <c r="AV1113" i="13" s="1"/>
  <c r="X8" i="4"/>
  <c r="BG8" i="4"/>
  <c r="AV1106" i="13" s="1"/>
  <c r="AB60" i="69" a="1"/>
  <c r="AB60" i="69" s="1"/>
  <c r="P60" i="69"/>
  <c r="W60" i="69"/>
  <c r="AA60" i="69"/>
  <c r="AX60" i="69"/>
  <c r="AN60" i="69"/>
  <c r="AC60" i="69"/>
  <c r="T60" i="69"/>
  <c r="AM60" i="69"/>
  <c r="N60" i="69" a="1"/>
  <c r="N60" i="69" s="1"/>
  <c r="A60" i="69"/>
  <c r="V60" i="69"/>
  <c r="U60" i="69" a="1"/>
  <c r="U60" i="69" s="1"/>
  <c r="BP60" i="69"/>
  <c r="Q60" i="69"/>
  <c r="AE60" i="69" s="1" a="1"/>
  <c r="AE60" i="69" s="1"/>
  <c r="M60" i="69"/>
  <c r="AW60" i="69"/>
  <c r="L60" i="69"/>
  <c r="Y60" i="69"/>
  <c r="J60" i="69"/>
  <c r="Z60" i="69"/>
  <c r="Z21" i="4"/>
  <c r="AV1218" i="13" s="1"/>
  <c r="BF52" i="4"/>
  <c r="AZ94" i="69"/>
  <c r="AI94" i="69" s="1" a="1"/>
  <c r="AI94" i="69" s="1"/>
  <c r="P85" i="9"/>
  <c r="P36" i="9"/>
  <c r="P15" i="9"/>
  <c r="F532" i="15" a="1"/>
  <c r="F532" i="15" s="1"/>
  <c r="P30" i="9"/>
  <c r="M609" i="15" a="1"/>
  <c r="M609" i="15" s="1"/>
  <c r="N609" i="15" a="1"/>
  <c r="N609" i="15" s="1"/>
  <c r="K609" i="15" a="1"/>
  <c r="K609" i="15" s="1"/>
  <c r="L609" i="15" a="1"/>
  <c r="L609" i="15" s="1"/>
  <c r="C55" i="1"/>
  <c r="W3" i="1" a="1"/>
  <c r="W3" i="1" s="1"/>
  <c r="W101" i="1" s="1"/>
  <c r="AC3" i="1" a="1"/>
  <c r="AC3" i="1" s="1"/>
  <c r="AC101" i="1" s="1"/>
  <c r="AK3" i="1" a="1"/>
  <c r="AK3" i="1" s="1"/>
  <c r="AK101" i="1" s="1"/>
  <c r="Q3" i="1" a="1"/>
  <c r="Q3" i="1" s="1"/>
  <c r="Q101" i="1" s="1"/>
  <c r="I3" i="1" a="1"/>
  <c r="I3" i="1" s="1"/>
  <c r="I101" i="1" s="1"/>
  <c r="AS3" i="1" a="1"/>
  <c r="AS3" i="1" s="1"/>
  <c r="AS101" i="1" s="1"/>
  <c r="AA3" i="1" a="1"/>
  <c r="AA3" i="1" s="1"/>
  <c r="AA101" i="1" s="1"/>
  <c r="Y3" i="1" a="1"/>
  <c r="Y3" i="1" s="1"/>
  <c r="Y101" i="1" s="1"/>
  <c r="T89" i="69"/>
  <c r="BN89" i="69" s="1"/>
  <c r="AV191" i="13"/>
  <c r="M616" i="15" a="1"/>
  <c r="M616" i="15" s="1"/>
  <c r="Y57" i="4"/>
  <c r="AU57" i="4"/>
  <c r="AV57" i="4" a="1"/>
  <c r="AV57" i="4" s="1"/>
  <c r="C57" i="69" s="1"/>
  <c r="D57" i="69" s="1" a="1"/>
  <c r="D57" i="69" s="1"/>
  <c r="AT57" i="4" a="1"/>
  <c r="AT57" i="4" s="1"/>
  <c r="H57" i="69" s="1"/>
  <c r="BQ57" i="4"/>
  <c r="BL31" i="4"/>
  <c r="AV533" i="13"/>
  <c r="BH31" i="4"/>
  <c r="CA37" i="4"/>
  <c r="AV37" i="4" a="1"/>
  <c r="AV37" i="4" s="1"/>
  <c r="C37" i="69" s="1"/>
  <c r="D37" i="69" s="1" a="1"/>
  <c r="D37" i="69" s="1"/>
  <c r="AT37" i="4" a="1"/>
  <c r="AT37" i="4" s="1"/>
  <c r="H37" i="69" s="1"/>
  <c r="AU37" i="4"/>
  <c r="Y37" i="4"/>
  <c r="BQ37" i="4"/>
  <c r="CX37" i="4"/>
  <c r="CY37" i="4" s="1"/>
  <c r="P39" i="9" s="1"/>
  <c r="AL45" i="69" a="1"/>
  <c r="AL45" i="69" s="1"/>
  <c r="AV45" i="69" a="1"/>
  <c r="AV45" i="69" s="1"/>
  <c r="AU45" i="69" a="1"/>
  <c r="AU45" i="69" s="1"/>
  <c r="AP45" i="69" a="1"/>
  <c r="AP45" i="69" s="1"/>
  <c r="AF45" i="69" a="1"/>
  <c r="AF45" i="69" s="1"/>
  <c r="AH45" i="69" a="1"/>
  <c r="AH45" i="69" s="1"/>
  <c r="BA34" i="69"/>
  <c r="AZ34" i="69"/>
  <c r="AG34" i="69" s="1" a="1"/>
  <c r="AG34" i="69" s="1"/>
  <c r="Z82" i="4"/>
  <c r="I376" i="15" a="1"/>
  <c r="I376" i="15" s="1"/>
  <c r="AE50" i="69" a="1"/>
  <c r="AE50" i="69" s="1"/>
  <c r="BQ47" i="69"/>
  <c r="AO47" i="69" a="1"/>
  <c r="AO47" i="69" s="1"/>
  <c r="L5" i="69"/>
  <c r="E91" i="4"/>
  <c r="BT91" i="4" s="1"/>
  <c r="BD91" i="4"/>
  <c r="A1458" i="13"/>
  <c r="AX1359" i="13"/>
  <c r="H71" i="15" a="1"/>
  <c r="H71" i="15" s="1"/>
  <c r="F71" i="15" a="1"/>
  <c r="F71" i="15" s="1"/>
  <c r="F584" i="15" a="1"/>
  <c r="F584" i="15" s="1"/>
  <c r="H584" i="15" a="1"/>
  <c r="H584" i="15" s="1"/>
  <c r="AE33" i="69" a="1"/>
  <c r="AE33" i="69" s="1"/>
  <c r="AK33" i="69" s="1" a="1"/>
  <c r="AK33" i="69" s="1"/>
  <c r="AD87" i="4"/>
  <c r="F87" i="69" s="1"/>
  <c r="AY80" i="69"/>
  <c r="BB80" i="69"/>
  <c r="AR80" i="69" s="1" a="1"/>
  <c r="AR80" i="69" s="1"/>
  <c r="R80" i="69"/>
  <c r="BH80" i="69" a="1"/>
  <c r="BH80" i="69" s="1"/>
  <c r="BO80" i="69"/>
  <c r="AK80" i="69" a="1"/>
  <c r="AK80" i="69" s="1"/>
  <c r="BI80" i="69" a="1"/>
  <c r="BI80" i="69" s="1"/>
  <c r="AX1325" i="13"/>
  <c r="A1424" i="13"/>
  <c r="AP91" i="4"/>
  <c r="A1400" i="13"/>
  <c r="AX1301" i="13"/>
  <c r="CZ59" i="4" a="1"/>
  <c r="CZ59" i="4" s="1"/>
  <c r="AZ79" i="69"/>
  <c r="AG79" i="69" s="1" a="1"/>
  <c r="AG79" i="69" s="1"/>
  <c r="BA79" i="69"/>
  <c r="AZ42" i="69"/>
  <c r="AI42" i="69" s="1" a="1"/>
  <c r="AI42" i="69" s="1"/>
  <c r="BA42" i="69"/>
  <c r="L42" i="69"/>
  <c r="BB42" i="69"/>
  <c r="AR42" i="69" s="1" a="1"/>
  <c r="AR42" i="69" s="1"/>
  <c r="R42" i="69"/>
  <c r="BH42" i="69" a="1"/>
  <c r="BH42" i="69" s="1"/>
  <c r="AY42" i="69"/>
  <c r="AJ42" i="69" s="1" a="1"/>
  <c r="AJ42" i="69" s="1"/>
  <c r="BO42" i="69"/>
  <c r="AK42" i="69" a="1"/>
  <c r="AK42" i="69" s="1"/>
  <c r="BI42" i="69" a="1"/>
  <c r="BI42" i="69" s="1"/>
  <c r="K26" i="69" a="1"/>
  <c r="K26" i="69" s="1"/>
  <c r="A1461" i="13"/>
  <c r="AX1362" i="13"/>
  <c r="K579" i="15" a="1"/>
  <c r="K579" i="15" s="1"/>
  <c r="AZ62" i="69"/>
  <c r="AG62" i="69" s="1" a="1"/>
  <c r="AG62" i="69" s="1"/>
  <c r="BA62" i="69"/>
  <c r="S8" i="69"/>
  <c r="BQ8" i="69"/>
  <c r="BK78" i="69"/>
  <c r="R78" i="69"/>
  <c r="BH78" i="69" a="1"/>
  <c r="BH78" i="69" s="1"/>
  <c r="BO78" i="69"/>
  <c r="BB78" i="69"/>
  <c r="AY78" i="69"/>
  <c r="E58" i="4"/>
  <c r="BT58" i="4" s="1"/>
  <c r="Z58" i="4"/>
  <c r="F58" i="4"/>
  <c r="AH58" i="4"/>
  <c r="AP58" i="4"/>
  <c r="AD58" i="4"/>
  <c r="F58" i="69" s="1"/>
  <c r="BD58" i="4"/>
  <c r="AL58" i="4"/>
  <c r="I58" i="69" s="1"/>
  <c r="CZ58" i="4" a="1"/>
  <c r="CZ58" i="4" s="1"/>
  <c r="CV58" i="4"/>
  <c r="CW58" i="4" s="1"/>
  <c r="F495" i="15" a="1"/>
  <c r="F495" i="15" s="1"/>
  <c r="H495" i="15" a="1"/>
  <c r="H495" i="15" s="1"/>
  <c r="M582" i="15" a="1"/>
  <c r="M582" i="15" s="1"/>
  <c r="AX1384" i="13"/>
  <c r="A1483" i="13"/>
  <c r="H235" i="15" a="1"/>
  <c r="H235" i="15" s="1"/>
  <c r="CA23" i="4"/>
  <c r="AU23" i="4"/>
  <c r="Y23" i="4"/>
  <c r="AT23" i="4" a="1"/>
  <c r="AT23" i="4" s="1"/>
  <c r="H23" i="69" s="1"/>
  <c r="AV23" i="4" a="1"/>
  <c r="AV23" i="4" s="1"/>
  <c r="C23" i="69" s="1"/>
  <c r="D23" i="69" s="1" a="1"/>
  <c r="D23" i="69" s="1"/>
  <c r="BQ23" i="4"/>
  <c r="BL14" i="4"/>
  <c r="AV516" i="13"/>
  <c r="BH14" i="4"/>
  <c r="T66" i="69"/>
  <c r="BA66" i="69" s="1"/>
  <c r="Z80" i="4"/>
  <c r="E80" i="4"/>
  <c r="BT80" i="4" s="1"/>
  <c r="BD80" i="4"/>
  <c r="BR80" i="4" s="1"/>
  <c r="H572" i="15" a="1"/>
  <c r="H572" i="15" s="1"/>
  <c r="F572" i="15" a="1"/>
  <c r="F572" i="15" s="1"/>
  <c r="A1482" i="13"/>
  <c r="AX1383" i="13"/>
  <c r="AL13" i="69" a="1"/>
  <c r="AL13" i="69" s="1"/>
  <c r="AF13" i="69" a="1"/>
  <c r="AF13" i="69" s="1"/>
  <c r="AP13" i="69" a="1"/>
  <c r="AP13" i="69" s="1"/>
  <c r="AJ13" i="69" a="1"/>
  <c r="AJ13" i="69" s="1"/>
  <c r="AV13" i="69" a="1"/>
  <c r="AV13" i="69" s="1"/>
  <c r="AU13" i="69" a="1"/>
  <c r="AU13" i="69" s="1"/>
  <c r="AH13" i="69" a="1"/>
  <c r="AH13" i="69" s="1"/>
  <c r="BA13" i="69"/>
  <c r="AZ13" i="69"/>
  <c r="AI13" i="69" s="1" a="1"/>
  <c r="AI13" i="69" s="1"/>
  <c r="AE36" i="69" a="1"/>
  <c r="AE36" i="69" s="1"/>
  <c r="H405" i="15" a="1"/>
  <c r="H405" i="15" s="1"/>
  <c r="F405" i="15" a="1"/>
  <c r="F405" i="15" s="1"/>
  <c r="F242" i="15" a="1"/>
  <c r="F242" i="15" s="1"/>
  <c r="H242" i="15" a="1"/>
  <c r="H242" i="15" s="1"/>
  <c r="L537" i="15" a="1"/>
  <c r="L537" i="15" s="1"/>
  <c r="A1402" i="13"/>
  <c r="AX1303" i="13"/>
  <c r="C58" i="23"/>
  <c r="AF31" i="69" a="1"/>
  <c r="AF31" i="69" s="1"/>
  <c r="AL31" i="69" a="1"/>
  <c r="AL31" i="69" s="1"/>
  <c r="AV31" i="69" a="1"/>
  <c r="AV31" i="69" s="1"/>
  <c r="AH31" i="69" a="1"/>
  <c r="AH31" i="69" s="1"/>
  <c r="AU31" i="69" a="1"/>
  <c r="AU31" i="69" s="1"/>
  <c r="AP31" i="69" a="1"/>
  <c r="AP31" i="69" s="1"/>
  <c r="BA72" i="69"/>
  <c r="AZ72" i="69"/>
  <c r="AG72" i="69" s="1" a="1"/>
  <c r="AG72" i="69" s="1"/>
  <c r="F64" i="4"/>
  <c r="CV64" i="4"/>
  <c r="CW64" i="4" s="1"/>
  <c r="E64" i="4"/>
  <c r="BT64" i="4" s="1"/>
  <c r="L495" i="15" a="1"/>
  <c r="L495" i="15" s="1"/>
  <c r="K572" i="15" a="1"/>
  <c r="K572" i="15" s="1"/>
  <c r="F396" i="15" a="1"/>
  <c r="F396" i="15" s="1"/>
  <c r="H396" i="15" a="1"/>
  <c r="H396" i="15" s="1"/>
  <c r="F422" i="15" a="1"/>
  <c r="F422" i="15" s="1"/>
  <c r="BH6" i="4"/>
  <c r="AV508" i="13"/>
  <c r="BL6" i="4"/>
  <c r="K54" i="69" a="1"/>
  <c r="K54" i="69" s="1"/>
  <c r="AP35" i="69" a="1"/>
  <c r="AP35" i="69" s="1"/>
  <c r="AF35" i="69" a="1"/>
  <c r="AF35" i="69" s="1"/>
  <c r="AU35" i="69" a="1"/>
  <c r="AU35" i="69" s="1"/>
  <c r="AL35" i="69" a="1"/>
  <c r="AL35" i="69" s="1"/>
  <c r="AV35" i="69" a="1"/>
  <c r="AV35" i="69" s="1"/>
  <c r="AH35" i="69" a="1"/>
  <c r="AH35" i="69" s="1"/>
  <c r="AH61" i="4"/>
  <c r="B29" i="69"/>
  <c r="BK75" i="69"/>
  <c r="R75" i="69"/>
  <c r="AY75" i="69"/>
  <c r="BO75" i="69"/>
  <c r="BH75" i="69" a="1"/>
  <c r="BH75" i="69" s="1"/>
  <c r="BB75" i="69"/>
  <c r="E271" i="15"/>
  <c r="H266" i="15" s="1" a="1"/>
  <c r="H266" i="15" s="1"/>
  <c r="E63" i="4"/>
  <c r="BT63" i="4" s="1"/>
  <c r="L68" i="69"/>
  <c r="U22" i="69" a="1"/>
  <c r="U22" i="69" s="1"/>
  <c r="BA12" i="69"/>
  <c r="AZ12" i="69"/>
  <c r="AI12" i="69" s="1" a="1"/>
  <c r="AI12" i="69" s="1"/>
  <c r="BQ51" i="69"/>
  <c r="Z81" i="4"/>
  <c r="AX1358" i="13"/>
  <c r="A1457" i="13"/>
  <c r="N498" i="15" a="1"/>
  <c r="N498" i="15" s="1"/>
  <c r="AP82" i="4"/>
  <c r="H599" i="15" a="1"/>
  <c r="H599" i="15" s="1"/>
  <c r="F599" i="15" a="1"/>
  <c r="F599" i="15" s="1"/>
  <c r="CV93" i="4"/>
  <c r="CW93" i="4" s="1"/>
  <c r="BL40" i="4"/>
  <c r="BH40" i="4"/>
  <c r="AV542" i="13"/>
  <c r="H462" i="15" a="1"/>
  <c r="H462" i="15" s="1"/>
  <c r="DC21" i="4" a="1"/>
  <c r="DC21" i="4" s="1"/>
  <c r="BG46" i="4"/>
  <c r="AV1144" i="13" s="1"/>
  <c r="X46" i="4"/>
  <c r="BG16" i="4"/>
  <c r="AV1114" i="13" s="1"/>
  <c r="BF39" i="4"/>
  <c r="L41" i="4"/>
  <c r="BR41" i="4"/>
  <c r="BG41" i="4"/>
  <c r="AV1139" i="13" s="1"/>
  <c r="X41" i="4"/>
  <c r="BF51" i="4"/>
  <c r="BG12" i="4"/>
  <c r="AV1110" i="13" s="1"/>
  <c r="X12" i="4"/>
  <c r="BR12" i="4"/>
  <c r="AD60" i="4"/>
  <c r="F60" i="69" s="1"/>
  <c r="AQ3" i="1" a="1"/>
  <c r="AQ3" i="1" s="1"/>
  <c r="AQ101" i="1" s="1"/>
  <c r="P17" i="9"/>
  <c r="P43" i="9"/>
  <c r="P54" i="9"/>
  <c r="P88" i="9"/>
  <c r="P34" i="9"/>
  <c r="AL89" i="4"/>
  <c r="I89" i="69" s="1"/>
  <c r="E89" i="4"/>
  <c r="BT89" i="4" s="1"/>
  <c r="BD89" i="4"/>
  <c r="K616" i="15" a="1"/>
  <c r="K616" i="15" s="1"/>
  <c r="AV559" i="13"/>
  <c r="BH57" i="4"/>
  <c r="BL57" i="4"/>
  <c r="BQ67" i="69"/>
  <c r="AL73" i="69" a="1"/>
  <c r="AL73" i="69" s="1"/>
  <c r="AJ73" i="69" a="1"/>
  <c r="AJ73" i="69" s="1"/>
  <c r="AV73" i="69" a="1"/>
  <c r="AV73" i="69" s="1"/>
  <c r="AP73" i="69" a="1"/>
  <c r="AP73" i="69" s="1"/>
  <c r="AH73" i="69" a="1"/>
  <c r="AH73" i="69" s="1"/>
  <c r="AU73" i="69" a="1"/>
  <c r="AU73" i="69" s="1"/>
  <c r="AF73" i="69" a="1"/>
  <c r="AF73" i="69" s="1"/>
  <c r="BL76" i="69" a="1"/>
  <c r="BL76" i="69" s="1"/>
  <c r="R76" i="69"/>
  <c r="BO76" i="69"/>
  <c r="AY76" i="69"/>
  <c r="AJ76" i="69" s="1" a="1"/>
  <c r="AJ76" i="69" s="1"/>
  <c r="BB76" i="69"/>
  <c r="AR76" i="69" s="1" a="1"/>
  <c r="AR76" i="69" s="1"/>
  <c r="BH76" i="69" a="1"/>
  <c r="BH76" i="69" s="1"/>
  <c r="AK76" i="69" a="1"/>
  <c r="AK76" i="69" s="1"/>
  <c r="BI76" i="69" a="1"/>
  <c r="BI76" i="69" s="1"/>
  <c r="BQ87" i="69"/>
  <c r="AO87" i="69" a="1"/>
  <c r="AO87" i="69" s="1"/>
  <c r="H527" i="15" a="1"/>
  <c r="H527" i="15" s="1"/>
  <c r="F527" i="15" a="1"/>
  <c r="F527" i="15" s="1"/>
  <c r="F437" i="15" a="1"/>
  <c r="F437" i="15" s="1"/>
  <c r="H437" i="15" a="1"/>
  <c r="H437" i="15" s="1"/>
  <c r="CA20" i="4"/>
  <c r="AT20" i="4" a="1"/>
  <c r="AT20" i="4" s="1"/>
  <c r="H20" i="69" s="1"/>
  <c r="Y20" i="4"/>
  <c r="AU20" i="4"/>
  <c r="AV20" i="4" a="1"/>
  <c r="AV20" i="4" s="1"/>
  <c r="C20" i="69" s="1"/>
  <c r="D20" i="69" s="1" a="1"/>
  <c r="D20" i="69" s="1"/>
  <c r="CX20" i="4"/>
  <c r="CY20" i="4" s="1"/>
  <c r="BQ20" i="4"/>
  <c r="BA40" i="69"/>
  <c r="AZ40" i="69"/>
  <c r="B5" i="69"/>
  <c r="A1434" i="13"/>
  <c r="AX1335" i="13"/>
  <c r="BT68" i="4"/>
  <c r="BD68" i="4"/>
  <c r="BR68" i="4" s="1"/>
  <c r="F487" i="15" a="1"/>
  <c r="F487" i="15" s="1"/>
  <c r="AV592" i="13"/>
  <c r="BH90" i="4"/>
  <c r="CA33" i="4"/>
  <c r="AT33" i="4" a="1"/>
  <c r="AT33" i="4" s="1"/>
  <c r="H33" i="69" s="1"/>
  <c r="AU33" i="4"/>
  <c r="AV33" i="4" a="1"/>
  <c r="AV33" i="4" s="1"/>
  <c r="C33" i="69" s="1"/>
  <c r="D33" i="69" s="1" a="1"/>
  <c r="D33" i="69" s="1"/>
  <c r="Y33" i="4"/>
  <c r="CX33" i="4"/>
  <c r="CY33" i="4" s="1"/>
  <c r="P35" i="9" s="1"/>
  <c r="BQ33" i="4"/>
  <c r="B63" i="69"/>
  <c r="BQ18" i="69"/>
  <c r="AO18" i="69" a="1"/>
  <c r="AO18" i="69" s="1"/>
  <c r="G80" i="69"/>
  <c r="F91" i="4"/>
  <c r="AP59" i="4"/>
  <c r="BF6" i="69"/>
  <c r="S64" i="69"/>
  <c r="BQ64" i="69"/>
  <c r="AO64" i="69" a="1"/>
  <c r="AO64" i="69" s="1"/>
  <c r="AF26" i="69" a="1"/>
  <c r="AF26" i="69" s="1"/>
  <c r="AU26" i="69" a="1"/>
  <c r="AU26" i="69" s="1"/>
  <c r="AH26" i="69" a="1"/>
  <c r="AH26" i="69" s="1"/>
  <c r="AL26" i="69" a="1"/>
  <c r="AL26" i="69" s="1"/>
  <c r="AP26" i="69" a="1"/>
  <c r="AP26" i="69" s="1"/>
  <c r="AV26" i="69" a="1"/>
  <c r="AV26" i="69" s="1"/>
  <c r="AG26" i="69" a="1"/>
  <c r="AG26" i="69" s="1"/>
  <c r="F67" i="4"/>
  <c r="E67" i="4"/>
  <c r="BT67" i="4" s="1"/>
  <c r="F479" i="15" a="1"/>
  <c r="F479" i="15" s="1"/>
  <c r="H479" i="15" a="1"/>
  <c r="H479" i="15" s="1"/>
  <c r="F257" i="15" a="1"/>
  <c r="F257" i="15" s="1"/>
  <c r="H257" i="15" a="1"/>
  <c r="H257" i="15" s="1"/>
  <c r="BJ8" i="69"/>
  <c r="BM8" i="69" s="1"/>
  <c r="AZ8" i="69"/>
  <c r="BA8" i="69"/>
  <c r="AV1200" i="13"/>
  <c r="AV160" i="13"/>
  <c r="M58" i="69"/>
  <c r="H110" i="15" a="1"/>
  <c r="H110" i="15" s="1"/>
  <c r="F110" i="15" a="1"/>
  <c r="F110" i="15" s="1"/>
  <c r="I442" i="15" a="1"/>
  <c r="I442" i="15" s="1"/>
  <c r="CV60" i="4"/>
  <c r="CW60" i="4" s="1"/>
  <c r="AX1320" i="13"/>
  <c r="A1419" i="13"/>
  <c r="AU35" i="4"/>
  <c r="AT35" i="4" a="1"/>
  <c r="AT35" i="4" s="1"/>
  <c r="H35" i="69" s="1"/>
  <c r="AV35" i="4" a="1"/>
  <c r="AV35" i="4" s="1"/>
  <c r="C35" i="69" s="1"/>
  <c r="D35" i="69" s="1" a="1"/>
  <c r="D35" i="69" s="1"/>
  <c r="Y35" i="4"/>
  <c r="CX35" i="4"/>
  <c r="CY35" i="4" s="1"/>
  <c r="BQ35" i="4"/>
  <c r="BL56" i="69" a="1"/>
  <c r="BL56" i="69" s="1"/>
  <c r="BO56" i="69"/>
  <c r="BB56" i="69"/>
  <c r="R56" i="69"/>
  <c r="BH56" i="69" a="1"/>
  <c r="BH56" i="69" s="1"/>
  <c r="AY56" i="69"/>
  <c r="U57" i="69" a="1"/>
  <c r="U57" i="69" s="1"/>
  <c r="M66" i="69"/>
  <c r="G81" i="69"/>
  <c r="BR92" i="4"/>
  <c r="CA51" i="4"/>
  <c r="AT51" i="4" a="1"/>
  <c r="AT51" i="4" s="1"/>
  <c r="H51" i="69" s="1"/>
  <c r="AU51" i="4"/>
  <c r="AV51" i="4" a="1"/>
  <c r="AV51" i="4" s="1"/>
  <c r="C51" i="69" s="1"/>
  <c r="D51" i="69" s="1" a="1"/>
  <c r="D51" i="69" s="1"/>
  <c r="Y51" i="4"/>
  <c r="BQ51" i="4"/>
  <c r="CX51" i="4"/>
  <c r="CY51" i="4" s="1"/>
  <c r="P53" i="9" s="1"/>
  <c r="AP84" i="4"/>
  <c r="A1439" i="13"/>
  <c r="AX1340" i="13"/>
  <c r="K13" i="69" a="1"/>
  <c r="K13" i="69" s="1"/>
  <c r="B11" i="69"/>
  <c r="AT25" i="69" a="1"/>
  <c r="AT25" i="69" s="1"/>
  <c r="AY25" i="69"/>
  <c r="R25" i="69"/>
  <c r="BO25" i="69"/>
  <c r="BB25" i="69"/>
  <c r="AQ25" i="69" s="1" a="1"/>
  <c r="AQ25" i="69" s="1"/>
  <c r="BH25" i="69" a="1"/>
  <c r="BH25" i="69" s="1"/>
  <c r="BI25" i="69" a="1"/>
  <c r="BI25" i="69" s="1"/>
  <c r="AK25" i="69" a="1"/>
  <c r="AK25" i="69" s="1"/>
  <c r="AT61" i="69" a="1"/>
  <c r="AT61" i="69" s="1"/>
  <c r="AZ61" i="69"/>
  <c r="BA61" i="69"/>
  <c r="AV1329" i="13"/>
  <c r="I9" i="27"/>
  <c r="BC36" i="69"/>
  <c r="E36" i="69"/>
  <c r="AX1388" i="13"/>
  <c r="A1487" i="13"/>
  <c r="M537" i="15" a="1"/>
  <c r="M537" i="15" s="1"/>
  <c r="CA48" i="4"/>
  <c r="AU48" i="4"/>
  <c r="AV48" i="4" a="1"/>
  <c r="AV48" i="4" s="1"/>
  <c r="C48" i="69" s="1"/>
  <c r="D48" i="69" s="1" a="1"/>
  <c r="D48" i="69" s="1"/>
  <c r="AT48" i="4" a="1"/>
  <c r="AT48" i="4" s="1"/>
  <c r="H48" i="69" s="1"/>
  <c r="Y48" i="4"/>
  <c r="CX48" i="4"/>
  <c r="CY48" i="4" s="1"/>
  <c r="BQ48" i="4"/>
  <c r="B58" i="23"/>
  <c r="CV89" i="4"/>
  <c r="CW89" i="4" s="1"/>
  <c r="BK31" i="69"/>
  <c r="R31" i="69"/>
  <c r="BO31" i="69"/>
  <c r="BH31" i="69" a="1"/>
  <c r="BH31" i="69" s="1"/>
  <c r="AY31" i="69"/>
  <c r="AJ31" i="69" s="1" a="1"/>
  <c r="AJ31" i="69" s="1"/>
  <c r="BB31" i="69"/>
  <c r="AR31" i="69" s="1" a="1"/>
  <c r="AR31" i="69" s="1"/>
  <c r="AK31" i="69" a="1"/>
  <c r="AK31" i="69" s="1"/>
  <c r="BI31" i="69" a="1"/>
  <c r="BI31" i="69" s="1"/>
  <c r="K72" i="69" a="1"/>
  <c r="K72" i="69" s="1"/>
  <c r="BK72" i="69"/>
  <c r="BJ72" i="69" s="1"/>
  <c r="BM72" i="69" s="1"/>
  <c r="AY72" i="69"/>
  <c r="R72" i="69"/>
  <c r="BH72" i="69" a="1"/>
  <c r="BH72" i="69" s="1"/>
  <c r="BO72" i="69"/>
  <c r="BB72" i="69"/>
  <c r="AR72" i="69" s="1" a="1"/>
  <c r="AR72" i="69" s="1"/>
  <c r="AK72" i="69" a="1"/>
  <c r="AK72" i="69" s="1"/>
  <c r="BI72" i="69" a="1"/>
  <c r="BI72" i="69" s="1"/>
  <c r="AH72" i="4"/>
  <c r="AH74" i="4"/>
  <c r="N495" i="15" a="1"/>
  <c r="N495" i="15" s="1"/>
  <c r="F510" i="15" a="1"/>
  <c r="F510" i="15" s="1"/>
  <c r="H510" i="15" a="1"/>
  <c r="H510" i="15" s="1"/>
  <c r="BT18" i="4"/>
  <c r="BD18" i="4"/>
  <c r="X18" i="4" s="1"/>
  <c r="BQ54" i="69"/>
  <c r="AO54" i="69" a="1"/>
  <c r="AO54" i="69" s="1"/>
  <c r="O90" i="69"/>
  <c r="U90" i="69" a="1"/>
  <c r="U90" i="69" s="1"/>
  <c r="AZ90" i="69"/>
  <c r="BJ90" i="69"/>
  <c r="BM90" i="69" s="1"/>
  <c r="BA90" i="69"/>
  <c r="B35" i="69"/>
  <c r="BL7" i="69" a="1"/>
  <c r="BL7" i="69" s="1"/>
  <c r="BO7" i="69"/>
  <c r="R7" i="69"/>
  <c r="AY7" i="69"/>
  <c r="BH7" i="69" a="1"/>
  <c r="BH7" i="69" s="1"/>
  <c r="BB7" i="69"/>
  <c r="AQ7" i="69" s="1" a="1"/>
  <c r="AQ7" i="69" s="1"/>
  <c r="AK7" i="69" a="1"/>
  <c r="AK7" i="69" s="1"/>
  <c r="BI7" i="69" a="1"/>
  <c r="BI7" i="69" s="1"/>
  <c r="BQ29" i="69"/>
  <c r="BR71" i="4"/>
  <c r="AX1309" i="13"/>
  <c r="A1408" i="13"/>
  <c r="A1405" i="13"/>
  <c r="AX1306" i="13"/>
  <c r="AX1386" i="13"/>
  <c r="A1485" i="13"/>
  <c r="CV63" i="4"/>
  <c r="CW63" i="4" s="1"/>
  <c r="S43" i="69"/>
  <c r="BK15" i="69"/>
  <c r="AY15" i="69"/>
  <c r="AJ15" i="69" s="1" a="1"/>
  <c r="AJ15" i="69" s="1"/>
  <c r="BO15" i="69"/>
  <c r="R15" i="69"/>
  <c r="BB15" i="69"/>
  <c r="AQ15" i="69" s="1" a="1"/>
  <c r="AQ15" i="69" s="1"/>
  <c r="BH15" i="69" a="1"/>
  <c r="BH15" i="69" s="1"/>
  <c r="BI15" i="69" a="1"/>
  <c r="BI15" i="69" s="1"/>
  <c r="AK15" i="69" a="1"/>
  <c r="AK15" i="69" s="1"/>
  <c r="B92" i="69"/>
  <c r="AT70" i="69" a="1"/>
  <c r="AT70" i="69" s="1"/>
  <c r="B51" i="69"/>
  <c r="BT88" i="4"/>
  <c r="BD88" i="4"/>
  <c r="AP93" i="4"/>
  <c r="CA42" i="4"/>
  <c r="AV42" i="4" a="1"/>
  <c r="AV42" i="4" s="1"/>
  <c r="C42" i="69" s="1"/>
  <c r="D42" i="69" s="1" a="1"/>
  <c r="D42" i="69" s="1"/>
  <c r="AU42" i="4"/>
  <c r="AT42" i="4" a="1"/>
  <c r="AT42" i="4" s="1"/>
  <c r="H42" i="69" s="1"/>
  <c r="Y42" i="4"/>
  <c r="BQ42" i="4"/>
  <c r="BG38" i="4"/>
  <c r="AV1136" i="13" s="1"/>
  <c r="X38" i="4"/>
  <c r="X13" i="4"/>
  <c r="BG13" i="4"/>
  <c r="AV1111" i="13" s="1"/>
  <c r="BG6" i="4"/>
  <c r="AV1104" i="13" s="1"/>
  <c r="X6" i="4"/>
  <c r="BF3" i="4"/>
  <c r="BG50" i="4"/>
  <c r="AV1148" i="13" s="1"/>
  <c r="BS194" i="4"/>
  <c r="Z60" i="4"/>
  <c r="AV1257" i="13" s="1"/>
  <c r="BF12" i="4"/>
  <c r="BF54" i="4"/>
  <c r="L36" i="4"/>
  <c r="BG36" i="4"/>
  <c r="AV1134" i="13" s="1"/>
  <c r="P66" i="9"/>
  <c r="P46" i="9"/>
  <c r="P48" i="9"/>
  <c r="H487" i="15" a="1"/>
  <c r="H487" i="15" s="1"/>
  <c r="L499" i="15" a="1"/>
  <c r="L499" i="15" s="1"/>
  <c r="A1473" i="13"/>
  <c r="AX1374" i="13"/>
  <c r="F154" i="15" a="1"/>
  <c r="F154" i="15" s="1"/>
  <c r="BQ45" i="69"/>
  <c r="AO45" i="69" a="1"/>
  <c r="AO45" i="69" s="1"/>
  <c r="BK67" i="69"/>
  <c r="BB67" i="69"/>
  <c r="AY67" i="69"/>
  <c r="R67" i="69"/>
  <c r="BH67" i="69" a="1"/>
  <c r="BH67" i="69" s="1"/>
  <c r="BO67" i="69"/>
  <c r="AZ73" i="69"/>
  <c r="AG73" i="69" s="1" a="1"/>
  <c r="AG73" i="69" s="1"/>
  <c r="BA73" i="69"/>
  <c r="AT76" i="69" a="1"/>
  <c r="AT76" i="69" s="1"/>
  <c r="E76" i="69"/>
  <c r="AE20" i="69" a="1"/>
  <c r="AE20" i="69" s="1"/>
  <c r="T87" i="69"/>
  <c r="BN87" i="69" s="1"/>
  <c r="E87" i="69"/>
  <c r="S14" i="69"/>
  <c r="E66" i="4"/>
  <c r="BT66" i="4" s="1"/>
  <c r="BL20" i="4"/>
  <c r="AV522" i="13"/>
  <c r="BH20" i="4"/>
  <c r="AT50" i="69" a="1"/>
  <c r="AT50" i="69" s="1"/>
  <c r="BL47" i="69" a="1"/>
  <c r="BL47" i="69" s="1"/>
  <c r="BH47" i="69" a="1"/>
  <c r="BH47" i="69" s="1"/>
  <c r="BO47" i="69"/>
  <c r="R47" i="69"/>
  <c r="BB47" i="69"/>
  <c r="AR47" i="69" s="1" a="1"/>
  <c r="AR47" i="69" s="1"/>
  <c r="AY47" i="69"/>
  <c r="BI47" i="69" a="1"/>
  <c r="BI47" i="69" s="1"/>
  <c r="AK47" i="69" a="1"/>
  <c r="AK47" i="69" s="1"/>
  <c r="Z89" i="4"/>
  <c r="A1462" i="13"/>
  <c r="AX1363" i="13"/>
  <c r="F269" i="15" a="1"/>
  <c r="F269" i="15" s="1"/>
  <c r="H269" i="15" a="1"/>
  <c r="H269" i="15" s="1"/>
  <c r="BT24" i="4"/>
  <c r="BD24" i="4"/>
  <c r="CA22" i="4"/>
  <c r="AV22" i="4" a="1"/>
  <c r="AV22" i="4" s="1"/>
  <c r="C22" i="69" s="1"/>
  <c r="D22" i="69" s="1" a="1"/>
  <c r="D22" i="69" s="1"/>
  <c r="AT22" i="4" a="1"/>
  <c r="AT22" i="4" s="1"/>
  <c r="H22" i="69" s="1"/>
  <c r="AU22" i="4"/>
  <c r="Y22" i="4"/>
  <c r="CX22" i="4"/>
  <c r="CY22" i="4" s="1"/>
  <c r="BQ22" i="4"/>
  <c r="AZ88" i="69"/>
  <c r="AG88" i="69" s="1" a="1"/>
  <c r="AG88" i="69" s="1"/>
  <c r="BA88" i="69"/>
  <c r="BJ65" i="69"/>
  <c r="BM65" i="69" s="1"/>
  <c r="BJ63" i="69"/>
  <c r="BM63" i="69" s="1"/>
  <c r="BQ63" i="69"/>
  <c r="BJ33" i="69"/>
  <c r="BM33" i="69" s="1"/>
  <c r="AL82" i="4"/>
  <c r="I82" i="69" s="1"/>
  <c r="BD76" i="4"/>
  <c r="BR76" i="4" s="1"/>
  <c r="BN79" i="69"/>
  <c r="BK6" i="69"/>
  <c r="AY6" i="69"/>
  <c r="BO6" i="69"/>
  <c r="BB6" i="69"/>
  <c r="AQ6" i="69" s="1" a="1"/>
  <c r="AQ6" i="69" s="1"/>
  <c r="R6" i="69"/>
  <c r="BH6" i="69" a="1"/>
  <c r="BH6" i="69" s="1"/>
  <c r="BI6" i="69" a="1"/>
  <c r="BI6" i="69" s="1"/>
  <c r="AK6" i="69" a="1"/>
  <c r="AK6" i="69" s="1"/>
  <c r="BJ38" i="69"/>
  <c r="BM38" i="69" s="1"/>
  <c r="BL38" i="69" a="1"/>
  <c r="BL38" i="69" s="1"/>
  <c r="BB38" i="69"/>
  <c r="BO38" i="69"/>
  <c r="R38" i="69"/>
  <c r="AY38" i="69"/>
  <c r="BH38" i="69" a="1"/>
  <c r="BH38" i="69" s="1"/>
  <c r="AX1339" i="13"/>
  <c r="A1438" i="13"/>
  <c r="BK86" i="69"/>
  <c r="BJ86" i="69" s="1"/>
  <c r="BM86" i="69" s="1"/>
  <c r="BN62" i="69"/>
  <c r="AO62" i="69" a="1"/>
  <c r="AO62" i="69" s="1"/>
  <c r="BQ62" i="69"/>
  <c r="G8" i="69"/>
  <c r="E8" i="69"/>
  <c r="AE78" i="69" a="1"/>
  <c r="AE78" i="69" s="1"/>
  <c r="AK78" i="69" s="1" a="1"/>
  <c r="AK78" i="69" s="1"/>
  <c r="Z67" i="4"/>
  <c r="X86" i="4"/>
  <c r="H362" i="15" a="1"/>
  <c r="H362" i="15" s="1"/>
  <c r="BT39" i="4"/>
  <c r="BD39" i="4"/>
  <c r="X39" i="4" s="1"/>
  <c r="AV525" i="13"/>
  <c r="BH23" i="4"/>
  <c r="BL23" i="4"/>
  <c r="BH35" i="4"/>
  <c r="AV537" i="13"/>
  <c r="BL35" i="4"/>
  <c r="BK56" i="69"/>
  <c r="BJ56" i="69" s="1"/>
  <c r="BM56" i="69" s="1"/>
  <c r="G57" i="69"/>
  <c r="K81" i="69" a="1"/>
  <c r="K81" i="69" s="1"/>
  <c r="F355" i="15" a="1"/>
  <c r="F355" i="15" s="1"/>
  <c r="H355" i="15" a="1"/>
  <c r="H355" i="15" s="1"/>
  <c r="CZ87" i="4" a="1"/>
  <c r="CZ87" i="4" s="1"/>
  <c r="AV526" i="13"/>
  <c r="BH24" i="4"/>
  <c r="BL24" i="4"/>
  <c r="BJ13" i="69"/>
  <c r="BM13" i="69" s="1"/>
  <c r="BL13" i="69" a="1"/>
  <c r="BL13" i="69" s="1"/>
  <c r="BH13" i="69" a="1"/>
  <c r="BH13" i="69" s="1"/>
  <c r="AY13" i="69"/>
  <c r="R13" i="69"/>
  <c r="BB13" i="69"/>
  <c r="AR13" i="69" s="1" a="1"/>
  <c r="AR13" i="69" s="1"/>
  <c r="BO13" i="69"/>
  <c r="BI13" i="69" a="1"/>
  <c r="BI13" i="69" s="1"/>
  <c r="AK13" i="69" a="1"/>
  <c r="AK13" i="69" s="1"/>
  <c r="AD84" i="4"/>
  <c r="F84" i="69" s="1"/>
  <c r="K36" i="69" a="1"/>
  <c r="K36" i="69" s="1"/>
  <c r="Z85" i="4"/>
  <c r="E85" i="4"/>
  <c r="BT85" i="4" s="1"/>
  <c r="F614" i="15" a="1"/>
  <c r="F614" i="15" s="1"/>
  <c r="H614" i="15" a="1"/>
  <c r="H614" i="15" s="1"/>
  <c r="AX1349" i="13"/>
  <c r="A1448" i="13"/>
  <c r="K537" i="15" a="1"/>
  <c r="K537" i="15" s="1"/>
  <c r="BH48" i="4"/>
  <c r="BL48" i="4"/>
  <c r="AV550" i="13"/>
  <c r="CV66" i="4"/>
  <c r="CW66" i="4" s="1"/>
  <c r="AP89" i="4"/>
  <c r="K24" i="69" a="1"/>
  <c r="K24" i="69" s="1"/>
  <c r="BQ24" i="69"/>
  <c r="AO24" i="69" a="1"/>
  <c r="AO24" i="69" s="1"/>
  <c r="AL59" i="4"/>
  <c r="I59" i="69" s="1"/>
  <c r="AV196" i="13"/>
  <c r="T94" i="69"/>
  <c r="BH94" i="69" s="1" a="1"/>
  <c r="BH94" i="69" s="1"/>
  <c r="M94" i="69"/>
  <c r="M495" i="15" a="1"/>
  <c r="M495" i="15" s="1"/>
  <c r="F228" i="15" a="1"/>
  <c r="F228" i="15" s="1"/>
  <c r="H228" i="15" a="1"/>
  <c r="H228" i="15" s="1"/>
  <c r="M479" i="15" a="1"/>
  <c r="M479" i="15" s="1"/>
  <c r="BC90" i="69"/>
  <c r="S29" i="69"/>
  <c r="BC44" i="69"/>
  <c r="E44" i="69"/>
  <c r="B75" i="69"/>
  <c r="Z78" i="4"/>
  <c r="BD78" i="4"/>
  <c r="E78" i="4"/>
  <c r="BT78" i="4" s="1"/>
  <c r="BR38" i="4"/>
  <c r="CZ63" i="4" a="1"/>
  <c r="CZ63" i="4" s="1"/>
  <c r="AP78" i="4"/>
  <c r="B43" i="69"/>
  <c r="AZ69" i="69"/>
  <c r="AG69" i="69" s="1" a="1"/>
  <c r="AG69" i="69" s="1"/>
  <c r="BA69" i="69"/>
  <c r="BJ15" i="69"/>
  <c r="BM15" i="69" s="1"/>
  <c r="BA15" i="69"/>
  <c r="AZ15" i="69"/>
  <c r="AG15" i="69" s="1" a="1"/>
  <c r="AG15" i="69" s="1"/>
  <c r="S92" i="69"/>
  <c r="BK92" i="69"/>
  <c r="BH92" i="69" a="1"/>
  <c r="BH92" i="69" s="1"/>
  <c r="BB92" i="69"/>
  <c r="AQ92" i="69" s="1" a="1"/>
  <c r="AQ92" i="69" s="1"/>
  <c r="BO92" i="69"/>
  <c r="AY92" i="69"/>
  <c r="R92" i="69"/>
  <c r="AJ92" i="69" s="1" a="1"/>
  <c r="AJ92" i="69" s="1"/>
  <c r="BI92" i="69" a="1"/>
  <c r="BI92" i="69" s="1"/>
  <c r="AK92" i="69" a="1"/>
  <c r="AK92" i="69" s="1"/>
  <c r="BQ92" i="69"/>
  <c r="AO92" i="69" a="1"/>
  <c r="AO92" i="69" s="1"/>
  <c r="BQ70" i="69"/>
  <c r="AO70" i="69" a="1"/>
  <c r="AO70" i="69" s="1"/>
  <c r="BC22" i="69"/>
  <c r="AD81" i="4"/>
  <c r="F81" i="69" s="1"/>
  <c r="B12" i="69"/>
  <c r="AT51" i="69" a="1"/>
  <c r="AT51" i="69" s="1"/>
  <c r="AX1347" i="13"/>
  <c r="A1446" i="13"/>
  <c r="L614" i="15" a="1"/>
  <c r="L614" i="15" s="1"/>
  <c r="BR39" i="4"/>
  <c r="AV541" i="13"/>
  <c r="BH39" i="4"/>
  <c r="BL39" i="4"/>
  <c r="AV590" i="13"/>
  <c r="BH88" i="4"/>
  <c r="BL88" i="4"/>
  <c r="CA11" i="4"/>
  <c r="AU11" i="4"/>
  <c r="AV11" i="4" a="1"/>
  <c r="AV11" i="4" s="1"/>
  <c r="C11" i="69" s="1"/>
  <c r="D11" i="69" s="1" a="1"/>
  <c r="D11" i="69" s="1"/>
  <c r="AT11" i="4" a="1"/>
  <c r="AT11" i="4" s="1"/>
  <c r="H11" i="69" s="1"/>
  <c r="Y11" i="4"/>
  <c r="CX11" i="4"/>
  <c r="CY11" i="4" s="1"/>
  <c r="BQ11" i="4"/>
  <c r="BD16" i="4"/>
  <c r="BR16" i="4" s="1"/>
  <c r="BR57" i="4"/>
  <c r="G55" i="4"/>
  <c r="BO55" i="4"/>
  <c r="BO97" i="4" s="1"/>
  <c r="BN97" i="4"/>
  <c r="BF13" i="4"/>
  <c r="BF6" i="4"/>
  <c r="X3" i="4"/>
  <c r="BG3" i="4"/>
  <c r="BR3" i="4"/>
  <c r="BQ194" i="4"/>
  <c r="L3" i="4"/>
  <c r="BG7" i="4"/>
  <c r="AV1105" i="13" s="1"/>
  <c r="X7" i="4"/>
  <c r="L65" i="4"/>
  <c r="BR65" i="4"/>
  <c r="X65" i="4"/>
  <c r="BG65" i="4"/>
  <c r="AV1163" i="13" s="1"/>
  <c r="BG5" i="4"/>
  <c r="AV1103" i="13" s="1"/>
  <c r="BR5" i="4"/>
  <c r="BR194" i="4"/>
  <c r="BF76" i="4"/>
  <c r="BF90" i="4"/>
  <c r="BG68" i="4"/>
  <c r="AV1166" i="13" s="1"/>
  <c r="AH60" i="4"/>
  <c r="AV1356" i="13" s="1"/>
  <c r="BG54" i="4"/>
  <c r="AV1152" i="13" s="1"/>
  <c r="BF36" i="4"/>
  <c r="P42" i="9"/>
  <c r="K487" i="15" a="1"/>
  <c r="K487" i="15" s="1"/>
  <c r="N487" i="15" a="1"/>
  <c r="N487" i="15" s="1"/>
  <c r="M487" i="15" a="1"/>
  <c r="M487" i="15" s="1"/>
  <c r="L487" i="15" a="1"/>
  <c r="L487" i="15" s="1"/>
  <c r="P55" i="9"/>
  <c r="P32" i="9"/>
  <c r="P8" i="9"/>
  <c r="F307" i="15" a="1"/>
  <c r="F307" i="15" s="1"/>
  <c r="H307" i="15" a="1"/>
  <c r="H307" i="15" s="1"/>
  <c r="P41" i="9"/>
  <c r="BY55" i="4" a="1"/>
  <c r="BY55" i="4" s="1"/>
  <c r="BZ55" i="4" a="1"/>
  <c r="BZ55" i="4" s="1"/>
  <c r="BX55" i="4" s="1" a="1"/>
  <c r="BX55" i="4" s="1"/>
  <c r="BT43" i="4"/>
  <c r="BD43" i="4"/>
  <c r="K499" i="15" a="1"/>
  <c r="K499" i="15" s="1"/>
  <c r="BQ76" i="69"/>
  <c r="AH87" i="69" a="1"/>
  <c r="AH87" i="69" s="1"/>
  <c r="AV87" i="69" a="1"/>
  <c r="AV87" i="69" s="1"/>
  <c r="AL87" i="69" a="1"/>
  <c r="AL87" i="69" s="1"/>
  <c r="AF87" i="69" a="1"/>
  <c r="AF87" i="69" s="1"/>
  <c r="AU87" i="69" a="1"/>
  <c r="AU87" i="69" s="1"/>
  <c r="AJ87" i="69" a="1"/>
  <c r="AJ87" i="69" s="1"/>
  <c r="AP87" i="69" a="1"/>
  <c r="AP87" i="69" s="1"/>
  <c r="BK87" i="69"/>
  <c r="AY87" i="69"/>
  <c r="BB87" i="69"/>
  <c r="AR87" i="69" s="1" a="1"/>
  <c r="AR87" i="69" s="1"/>
  <c r="R87" i="69"/>
  <c r="BI87" i="69" a="1"/>
  <c r="BI87" i="69" s="1"/>
  <c r="AK87" i="69" a="1"/>
  <c r="AK87" i="69" s="1"/>
  <c r="BL14" i="69" a="1"/>
  <c r="BL14" i="69" s="1"/>
  <c r="BT13" i="4"/>
  <c r="BD13" i="4"/>
  <c r="BR13" i="4" s="1"/>
  <c r="AV558" i="13"/>
  <c r="BH56" i="4"/>
  <c r="AX1324" i="13"/>
  <c r="A1423" i="13"/>
  <c r="AV536" i="13"/>
  <c r="BL34" i="4"/>
  <c r="BH34" i="4"/>
  <c r="BN50" i="69"/>
  <c r="BA5" i="69"/>
  <c r="AZ5" i="69"/>
  <c r="AG5" i="69" s="1" a="1"/>
  <c r="AG5" i="69" s="1"/>
  <c r="BN74" i="69"/>
  <c r="E74" i="69"/>
  <c r="BQ48" i="69"/>
  <c r="AO48" i="69" a="1"/>
  <c r="AO48" i="69" s="1"/>
  <c r="AX1327" i="13"/>
  <c r="A1426" i="13"/>
  <c r="BT3" i="4"/>
  <c r="BT97" i="4" s="1"/>
  <c r="BD3" i="4"/>
  <c r="F604" i="15" a="1"/>
  <c r="F604" i="15" s="1"/>
  <c r="H604" i="15" a="1"/>
  <c r="H604" i="15" s="1"/>
  <c r="BE1766" i="13" a="1"/>
  <c r="BE1766" i="13" s="1"/>
  <c r="BE1767" i="13" a="1"/>
  <c r="BE1767" i="13" s="1"/>
  <c r="BE1768" i="13" a="1"/>
  <c r="BE1768" i="13" s="1"/>
  <c r="BE1769" i="13" a="1"/>
  <c r="BE1769" i="13" s="1"/>
  <c r="I579" i="15" a="1"/>
  <c r="I579" i="15" s="1"/>
  <c r="BL22" i="4"/>
  <c r="BH22" i="4"/>
  <c r="AV524" i="13"/>
  <c r="F120" i="15" a="1"/>
  <c r="F120" i="15" s="1"/>
  <c r="H120" i="15" a="1"/>
  <c r="H120" i="15" s="1"/>
  <c r="BQ42" i="69"/>
  <c r="AO42" i="69" a="1"/>
  <c r="AO42" i="69" s="1"/>
  <c r="B38" i="69"/>
  <c r="BQ38" i="69"/>
  <c r="AZ64" i="69"/>
  <c r="AI64" i="69" s="1" a="1"/>
  <c r="AI64" i="69" s="1"/>
  <c r="BA64" i="69"/>
  <c r="AS26" i="69" a="1"/>
  <c r="AS26" i="69" s="1"/>
  <c r="E83" i="4"/>
  <c r="BT83" i="4" s="1"/>
  <c r="AX1315" i="13"/>
  <c r="A1414" i="13"/>
  <c r="AX1329" i="13"/>
  <c r="A1428" i="13"/>
  <c r="F91" i="15" a="1"/>
  <c r="F91" i="15" s="1"/>
  <c r="H91" i="15" a="1"/>
  <c r="H91" i="15" s="1"/>
  <c r="BN86" i="69"/>
  <c r="AE28" i="69" a="1"/>
  <c r="AE28" i="69" s="1"/>
  <c r="AT78" i="69" a="1"/>
  <c r="AT78" i="69" s="1"/>
  <c r="AT4" i="4" a="1"/>
  <c r="AT4" i="4" s="1"/>
  <c r="H4" i="69" s="1"/>
  <c r="AV4" i="4" a="1"/>
  <c r="AV4" i="4" s="1"/>
  <c r="C4" i="69" s="1"/>
  <c r="D4" i="69" s="1" a="1"/>
  <c r="D4" i="69" s="1"/>
  <c r="AU4" i="4"/>
  <c r="Y4" i="4"/>
  <c r="CA4" i="4"/>
  <c r="CX4" i="4"/>
  <c r="CY4" i="4" s="1"/>
  <c r="BQ4" i="4"/>
  <c r="I70" i="15" a="1"/>
  <c r="I70" i="15" s="1"/>
  <c r="A1398" i="13"/>
  <c r="AX1299" i="13"/>
  <c r="AX1355" i="13"/>
  <c r="A1454" i="13"/>
  <c r="AX1366" i="13"/>
  <c r="A1465" i="13"/>
  <c r="CZ72" i="4" a="1"/>
  <c r="CZ72" i="4" s="1"/>
  <c r="AZ56" i="69"/>
  <c r="BA56" i="69"/>
  <c r="K57" i="69" a="1"/>
  <c r="K57" i="69" s="1"/>
  <c r="BJ66" i="69"/>
  <c r="BM66" i="69" s="1"/>
  <c r="AE81" i="69" a="1"/>
  <c r="AE81" i="69" s="1"/>
  <c r="E81" i="69"/>
  <c r="L536" i="15" a="1"/>
  <c r="L536" i="15" s="1"/>
  <c r="AP87" i="4"/>
  <c r="AU56" i="4"/>
  <c r="AT56" i="4" a="1"/>
  <c r="AT56" i="4" s="1"/>
  <c r="H56" i="69" s="1"/>
  <c r="AV56" i="4" a="1"/>
  <c r="AV56" i="4" s="1"/>
  <c r="C56" i="69" s="1"/>
  <c r="D56" i="69" s="1" a="1"/>
  <c r="D56" i="69" s="1"/>
  <c r="Y56" i="4"/>
  <c r="CX56" i="4"/>
  <c r="CY56" i="4" s="1"/>
  <c r="BQ56" i="4"/>
  <c r="AX1322" i="13"/>
  <c r="A1421" i="13"/>
  <c r="CV83" i="4"/>
  <c r="CW83" i="4" s="1"/>
  <c r="L38" i="69"/>
  <c r="U13" i="69" a="1"/>
  <c r="U13" i="69" s="1"/>
  <c r="E13" i="69"/>
  <c r="BJ9" i="69"/>
  <c r="BM9" i="69" s="1"/>
  <c r="L9" i="69"/>
  <c r="BB9" i="69"/>
  <c r="AQ9" i="69" s="1" a="1"/>
  <c r="AQ9" i="69" s="1"/>
  <c r="AY9" i="69"/>
  <c r="AJ9" i="69" s="1" a="1"/>
  <c r="AJ9" i="69" s="1"/>
  <c r="BO9" i="69"/>
  <c r="R9" i="69"/>
  <c r="BH9" i="69" a="1"/>
  <c r="BH9" i="69" s="1"/>
  <c r="BI9" i="69" a="1"/>
  <c r="BI9" i="69" s="1"/>
  <c r="AK9" i="69" a="1"/>
  <c r="AK9" i="69" s="1"/>
  <c r="BN61" i="69"/>
  <c r="BQ61" i="69"/>
  <c r="AO61" i="69" a="1"/>
  <c r="AO61" i="69" s="1"/>
  <c r="A1451" i="13"/>
  <c r="AX1352" i="13"/>
  <c r="P51" i="14"/>
  <c r="Z51" i="23"/>
  <c r="P38" i="23"/>
  <c r="CZ66" i="4" a="1"/>
  <c r="CZ66" i="4" s="1"/>
  <c r="B36" i="23"/>
  <c r="G84" i="69"/>
  <c r="BL71" i="69" a="1"/>
  <c r="BL71" i="69" s="1"/>
  <c r="R71" i="69"/>
  <c r="BO71" i="69"/>
  <c r="BH71" i="69" a="1"/>
  <c r="BH71" i="69" s="1"/>
  <c r="BB71" i="69"/>
  <c r="AR71" i="69" s="1" a="1"/>
  <c r="AR71" i="69" s="1"/>
  <c r="AY71" i="69"/>
  <c r="AK71" i="69" a="1"/>
  <c r="AK71" i="69" s="1"/>
  <c r="BI71" i="69" a="1"/>
  <c r="BI71" i="69" s="1"/>
  <c r="BL72" i="69" a="1"/>
  <c r="BL72" i="69" s="1"/>
  <c r="AT24" i="69" a="1"/>
  <c r="AT24" i="69" s="1"/>
  <c r="BL24" i="69" a="1"/>
  <c r="BL24" i="69" s="1"/>
  <c r="BB24" i="69"/>
  <c r="AQ24" i="69" s="1" a="1"/>
  <c r="AQ24" i="69" s="1"/>
  <c r="AY24" i="69"/>
  <c r="BO24" i="69"/>
  <c r="BH24" i="69" a="1"/>
  <c r="BH24" i="69" s="1"/>
  <c r="R24" i="69"/>
  <c r="AJ24" i="69" s="1" a="1"/>
  <c r="AJ24" i="69" s="1"/>
  <c r="BI24" i="69" a="1"/>
  <c r="BI24" i="69" s="1"/>
  <c r="AK24" i="69" a="1"/>
  <c r="AK24" i="69" s="1"/>
  <c r="E39" i="69"/>
  <c r="M82" i="69"/>
  <c r="E94" i="4"/>
  <c r="BT94" i="4" s="1"/>
  <c r="Z94" i="4"/>
  <c r="AH94" i="4"/>
  <c r="AP94" i="4"/>
  <c r="AL94" i="4"/>
  <c r="I94" i="69" s="1"/>
  <c r="AD94" i="4"/>
  <c r="F94" i="69" s="1"/>
  <c r="CZ94" i="4" a="1"/>
  <c r="CZ94" i="4" s="1"/>
  <c r="CV94" i="4"/>
  <c r="CW94" i="4" s="1"/>
  <c r="BD94" i="4"/>
  <c r="F94" i="4"/>
  <c r="M614" i="15" a="1"/>
  <c r="M614" i="15" s="1"/>
  <c r="F517" i="15" a="1"/>
  <c r="F517" i="15" s="1"/>
  <c r="H517" i="15" a="1"/>
  <c r="H517" i="15" s="1"/>
  <c r="K479" i="15" a="1"/>
  <c r="K479" i="15" s="1"/>
  <c r="AR3" i="4"/>
  <c r="AQ3" i="4"/>
  <c r="BN90" i="69"/>
  <c r="AT35" i="69" a="1"/>
  <c r="AT35" i="69" s="1"/>
  <c r="K91" i="69" a="1"/>
  <c r="K91" i="69" s="1"/>
  <c r="AZ91" i="69"/>
  <c r="E7" i="69"/>
  <c r="AV1299" i="13"/>
  <c r="U29" i="69" a="1"/>
  <c r="U29" i="69" s="1"/>
  <c r="AL74" i="4"/>
  <c r="I74" i="69" s="1"/>
  <c r="K75" i="69" a="1"/>
  <c r="K75" i="69" s="1"/>
  <c r="BJ75" i="69"/>
  <c r="BM75" i="69" s="1"/>
  <c r="AZ75" i="69"/>
  <c r="BA75" i="69"/>
  <c r="BL15" i="4"/>
  <c r="BH15" i="4"/>
  <c r="AV517" i="13"/>
  <c r="CA47" i="4"/>
  <c r="AT47" i="4" a="1"/>
  <c r="AT47" i="4" s="1"/>
  <c r="H47" i="69" s="1"/>
  <c r="AV47" i="4" a="1"/>
  <c r="AV47" i="4" s="1"/>
  <c r="C47" i="69" s="1"/>
  <c r="D47" i="69" s="1" a="1"/>
  <c r="D47" i="69" s="1"/>
  <c r="AU47" i="4"/>
  <c r="Y47" i="4"/>
  <c r="BQ47" i="4"/>
  <c r="AP63" i="4"/>
  <c r="K15" i="69" a="1"/>
  <c r="K15" i="69" s="1"/>
  <c r="U15" i="69" a="1"/>
  <c r="U15" i="69" s="1"/>
  <c r="BA92" i="69"/>
  <c r="AZ92" i="69"/>
  <c r="BJ92" i="69"/>
  <c r="BM92" i="69" s="1"/>
  <c r="B22" i="69"/>
  <c r="G12" i="69"/>
  <c r="E12" i="69"/>
  <c r="S51" i="69"/>
  <c r="L520" i="15" a="1"/>
  <c r="L520" i="15" s="1"/>
  <c r="BL44" i="4"/>
  <c r="AV546" i="13"/>
  <c r="BH44" i="4"/>
  <c r="X48" i="4"/>
  <c r="BR28" i="4"/>
  <c r="BG22" i="4"/>
  <c r="AV1120" i="13" s="1"/>
  <c r="BR22" i="4"/>
  <c r="Q21" i="69"/>
  <c r="BP21" i="69"/>
  <c r="M21" i="69"/>
  <c r="AC21" i="69"/>
  <c r="S21" i="69"/>
  <c r="A21" i="69"/>
  <c r="AX21" i="69"/>
  <c r="AW21" i="69"/>
  <c r="N21" i="69" a="1"/>
  <c r="N21" i="69" s="1"/>
  <c r="P21" i="69"/>
  <c r="V21" i="69"/>
  <c r="B21" i="69" s="1"/>
  <c r="T21" i="69"/>
  <c r="W21" i="69"/>
  <c r="BK21" i="69" s="1"/>
  <c r="AB21" i="69" a="1"/>
  <c r="AB21" i="69" s="1"/>
  <c r="AN21" i="69"/>
  <c r="AM21" i="69"/>
  <c r="AA21" i="69"/>
  <c r="E21" i="69" s="1"/>
  <c r="AE21" i="69" a="1"/>
  <c r="AE21" i="69" s="1"/>
  <c r="AS21" i="69" s="1" a="1"/>
  <c r="AS21" i="69" s="1"/>
  <c r="Y21" i="69"/>
  <c r="Z21" i="69"/>
  <c r="J21" i="69"/>
  <c r="BG24" i="4"/>
  <c r="AV1122" i="13" s="1"/>
  <c r="X24" i="4"/>
  <c r="BR24" i="4"/>
  <c r="BF65" i="4"/>
  <c r="BF5" i="4"/>
  <c r="BG76" i="4"/>
  <c r="AV1174" i="13" s="1"/>
  <c r="X76" i="4"/>
  <c r="BL90" i="4"/>
  <c r="BG90" i="4"/>
  <c r="AV1188" i="13" s="1"/>
  <c r="X90" i="4"/>
  <c r="BF88" i="4"/>
  <c r="X33" i="4"/>
  <c r="BG33" i="4"/>
  <c r="AV1131" i="13" s="1"/>
  <c r="BR33" i="4"/>
  <c r="BG34" i="4"/>
  <c r="AV1132" i="13" s="1"/>
  <c r="BR34" i="4"/>
  <c r="X34" i="4"/>
  <c r="F279" i="15" a="1"/>
  <c r="F279" i="15" s="1"/>
  <c r="H279" i="15" a="1"/>
  <c r="H279" i="15" s="1"/>
  <c r="H401" i="15" a="1"/>
  <c r="H401" i="15" s="1"/>
  <c r="F403" i="15" a="1"/>
  <c r="F403" i="15" s="1"/>
  <c r="H403" i="15" a="1"/>
  <c r="H403" i="15" s="1"/>
  <c r="H498" i="15" a="1"/>
  <c r="H498" i="15" s="1"/>
  <c r="H555" i="15" a="1"/>
  <c r="H555" i="15" s="1"/>
  <c r="H561" i="15" a="1"/>
  <c r="H561" i="15" s="1"/>
  <c r="F561" i="15" a="1"/>
  <c r="F561" i="15" s="1"/>
  <c r="F284" i="15" a="1"/>
  <c r="F284" i="15" s="1"/>
  <c r="H284" i="15" a="1"/>
  <c r="H284" i="15" s="1"/>
  <c r="P98" i="9"/>
  <c r="M561" i="15" a="1"/>
  <c r="M561" i="15" s="1"/>
  <c r="L561" i="15" a="1"/>
  <c r="L561" i="15" s="1"/>
  <c r="N561" i="15" a="1"/>
  <c r="N561" i="15" s="1"/>
  <c r="K561" i="15" a="1"/>
  <c r="K561" i="15" s="1"/>
  <c r="P56" i="9"/>
  <c r="K491" i="15" a="1"/>
  <c r="K491" i="15" s="1"/>
  <c r="L491" i="15" a="1"/>
  <c r="L491" i="15" s="1"/>
  <c r="M491" i="15" a="1"/>
  <c r="M491" i="15" s="1"/>
  <c r="N491" i="15" a="1"/>
  <c r="N491" i="15" s="1"/>
  <c r="M489" i="15" a="1"/>
  <c r="M489" i="15" s="1"/>
  <c r="N489" i="15" a="1"/>
  <c r="N489" i="15" s="1"/>
  <c r="L489" i="15" a="1"/>
  <c r="L489" i="15" s="1"/>
  <c r="K489" i="15" a="1"/>
  <c r="K489" i="15" s="1"/>
  <c r="BO95" i="69"/>
  <c r="BB95" i="69"/>
  <c r="AQ95" i="69" s="1" a="1"/>
  <c r="AQ95" i="69" s="1"/>
  <c r="AY95" i="69"/>
  <c r="R95" i="69"/>
  <c r="BH95" i="69" a="1"/>
  <c r="BH95" i="69" s="1"/>
  <c r="BK95" i="69"/>
  <c r="BJ95" i="69" s="1"/>
  <c r="BM95" i="69" s="1"/>
  <c r="BL95" i="69" a="1"/>
  <c r="BL95" i="69" s="1"/>
  <c r="E95" i="69"/>
  <c r="AK95" i="69" a="1"/>
  <c r="AK95" i="69" s="1"/>
  <c r="BI95" i="69" a="1"/>
  <c r="BI95" i="69" s="1"/>
  <c r="L532" i="15" a="1"/>
  <c r="L532" i="15" s="1"/>
  <c r="M532" i="15" a="1"/>
  <c r="M532" i="15" s="1"/>
  <c r="N532" i="15" a="1"/>
  <c r="N532" i="15" s="1"/>
  <c r="K532" i="15" a="1"/>
  <c r="K532" i="15" s="1"/>
  <c r="AX1373" i="13"/>
  <c r="A1472" i="13"/>
  <c r="M499" i="15" a="1"/>
  <c r="M499" i="15" s="1"/>
  <c r="BA45" i="69"/>
  <c r="AZ45" i="69"/>
  <c r="AI45" i="69" s="1" a="1"/>
  <c r="AI45" i="69" s="1"/>
  <c r="AE67" i="69" a="1"/>
  <c r="AE67" i="69" s="1"/>
  <c r="BI67" i="69" s="1" a="1"/>
  <c r="BI67" i="69" s="1"/>
  <c r="BN73" i="69"/>
  <c r="BL20" i="69" a="1"/>
  <c r="BL20" i="69" s="1"/>
  <c r="BH20" i="69" a="1"/>
  <c r="BH20" i="69" s="1"/>
  <c r="AY20" i="69"/>
  <c r="AJ20" i="69" s="1" a="1"/>
  <c r="AJ20" i="69" s="1"/>
  <c r="AK20" i="69" a="1"/>
  <c r="AK20" i="69" s="1"/>
  <c r="BI20" i="69" a="1"/>
  <c r="BI20" i="69" s="1"/>
  <c r="BB20" i="69"/>
  <c r="AQ20" i="69" s="1" a="1"/>
  <c r="AQ20" i="69" s="1"/>
  <c r="BO20" i="69"/>
  <c r="R20" i="69"/>
  <c r="BL87" i="69" a="1"/>
  <c r="BL87" i="69" s="1"/>
  <c r="F268" i="15" a="1"/>
  <c r="F268" i="15" s="1"/>
  <c r="H268" i="15" a="1"/>
  <c r="H268" i="15" s="1"/>
  <c r="P28" i="9"/>
  <c r="CA34" i="4"/>
  <c r="AT34" i="4" a="1"/>
  <c r="AT34" i="4" s="1"/>
  <c r="H34" i="69" s="1"/>
  <c r="Y34" i="4"/>
  <c r="AV34" i="4" a="1"/>
  <c r="AV34" i="4" s="1"/>
  <c r="C34" i="69" s="1"/>
  <c r="D34" i="69" s="1" a="1"/>
  <c r="D34" i="69" s="1"/>
  <c r="AU34" i="4"/>
  <c r="BQ34" i="4"/>
  <c r="AZ37" i="69"/>
  <c r="AI37" i="69" s="1" a="1"/>
  <c r="AI37" i="69" s="1"/>
  <c r="BA37" i="69"/>
  <c r="BC40" i="69"/>
  <c r="AZ47" i="69"/>
  <c r="AI47" i="69" s="1" a="1"/>
  <c r="AI47" i="69" s="1"/>
  <c r="BA47" i="69"/>
  <c r="BL74" i="69" a="1"/>
  <c r="BL74" i="69" s="1"/>
  <c r="BQ59" i="69"/>
  <c r="AO59" i="69" a="1"/>
  <c r="AO59" i="69" s="1"/>
  <c r="A1317" i="13"/>
  <c r="AX1218" i="13"/>
  <c r="H308" i="15" a="1"/>
  <c r="H308" i="15" s="1"/>
  <c r="AV29" i="4" a="1"/>
  <c r="AV29" i="4" s="1"/>
  <c r="C29" i="69" s="1"/>
  <c r="D29" i="69" s="1" a="1"/>
  <c r="D29" i="69" s="1"/>
  <c r="AU29" i="4"/>
  <c r="AT29" i="4" a="1"/>
  <c r="AT29" i="4" s="1"/>
  <c r="H29" i="69" s="1"/>
  <c r="Y29" i="4"/>
  <c r="CX29" i="4"/>
  <c r="CY29" i="4" s="1"/>
  <c r="BQ29" i="4"/>
  <c r="AX262" i="13"/>
  <c r="A362" i="13"/>
  <c r="AX362" i="13" s="1"/>
  <c r="BQ88" i="69"/>
  <c r="AO88" i="69" a="1"/>
  <c r="AO88" i="69" s="1"/>
  <c r="L65" i="69"/>
  <c r="BO65" i="69"/>
  <c r="AY65" i="69"/>
  <c r="R65" i="69"/>
  <c r="BB65" i="69"/>
  <c r="AR65" i="69" s="1" a="1"/>
  <c r="AR65" i="69" s="1"/>
  <c r="BH65" i="69" a="1"/>
  <c r="BH65" i="69" s="1"/>
  <c r="BI65" i="69" a="1"/>
  <c r="BI65" i="69" s="1"/>
  <c r="AK65" i="69" a="1"/>
  <c r="AK65" i="69" s="1"/>
  <c r="AZ46" i="69"/>
  <c r="AI46" i="69" s="1" a="1"/>
  <c r="AI46" i="69" s="1"/>
  <c r="BA46" i="69"/>
  <c r="BK18" i="69"/>
  <c r="AY18" i="69"/>
  <c r="BH18" i="69" a="1"/>
  <c r="BH18" i="69" s="1"/>
  <c r="R18" i="69"/>
  <c r="BB18" i="69"/>
  <c r="AQ18" i="69" s="1" a="1"/>
  <c r="AQ18" i="69" s="1"/>
  <c r="BO18" i="69"/>
  <c r="BI18" i="69" a="1"/>
  <c r="BI18" i="69" s="1"/>
  <c r="AK18" i="69" a="1"/>
  <c r="AK18" i="69" s="1"/>
  <c r="BQ80" i="69"/>
  <c r="AO80" i="69" a="1"/>
  <c r="AO80" i="69" s="1"/>
  <c r="AU16" i="4"/>
  <c r="AT16" i="4" a="1"/>
  <c r="AT16" i="4" s="1"/>
  <c r="H16" i="69" s="1"/>
  <c r="AV16" i="4" a="1"/>
  <c r="AV16" i="4" s="1"/>
  <c r="C16" i="69" s="1"/>
  <c r="D16" i="69" s="1" a="1"/>
  <c r="D16" i="69" s="1"/>
  <c r="Y16" i="4"/>
  <c r="BQ16" i="4"/>
  <c r="CX16" i="4"/>
  <c r="CY16" i="4" s="1"/>
  <c r="F59" i="4"/>
  <c r="CA46" i="4"/>
  <c r="AT46" i="4" a="1"/>
  <c r="AT46" i="4" s="1"/>
  <c r="H46" i="69" s="1"/>
  <c r="AV46" i="4" a="1"/>
  <c r="AV46" i="4" s="1"/>
  <c r="C46" i="69" s="1"/>
  <c r="D46" i="69" s="1" a="1"/>
  <c r="D46" i="69" s="1"/>
  <c r="AU46" i="4"/>
  <c r="Y46" i="4"/>
  <c r="BQ46" i="4"/>
  <c r="BJ79" i="69"/>
  <c r="BM79" i="69" s="1"/>
  <c r="E6" i="69"/>
  <c r="E64" i="69"/>
  <c r="BQ52" i="69"/>
  <c r="AO52" i="69" a="1"/>
  <c r="AO52" i="69" s="1"/>
  <c r="I498" i="15" a="1"/>
  <c r="I498" i="15" s="1"/>
  <c r="F305" i="15" a="1"/>
  <c r="F305" i="15" s="1"/>
  <c r="H305" i="15" a="1"/>
  <c r="H305" i="15" s="1"/>
  <c r="A1480" i="13"/>
  <c r="AX1381" i="13"/>
  <c r="O4" i="69"/>
  <c r="BF4" i="69"/>
  <c r="AX1312" i="13"/>
  <c r="A1411" i="13"/>
  <c r="AE56" i="69" a="1"/>
  <c r="AE56" i="69" s="1"/>
  <c r="AO56" i="69" s="1" a="1"/>
  <c r="AO56" i="69" s="1"/>
  <c r="AS66" i="69" a="1"/>
  <c r="AS66" i="69" s="1"/>
  <c r="AP66" i="69" a="1"/>
  <c r="AP66" i="69" s="1"/>
  <c r="AL66" i="69" a="1"/>
  <c r="AL66" i="69" s="1"/>
  <c r="AF66" i="69" a="1"/>
  <c r="AF66" i="69" s="1"/>
  <c r="AR66" i="69" a="1"/>
  <c r="AR66" i="69" s="1"/>
  <c r="AJ66" i="69" a="1"/>
  <c r="AJ66" i="69" s="1"/>
  <c r="AQ66" i="69" a="1"/>
  <c r="AQ66" i="69" s="1"/>
  <c r="AU66" i="69" a="1"/>
  <c r="AU66" i="69" s="1"/>
  <c r="AG66" i="69" a="1"/>
  <c r="AG66" i="69" s="1"/>
  <c r="AH66" i="69" a="1"/>
  <c r="AH66" i="69" s="1"/>
  <c r="AV66" i="69" a="1"/>
  <c r="AV66" i="69" s="1"/>
  <c r="K536" i="15" a="1"/>
  <c r="K536" i="15" s="1"/>
  <c r="A1429" i="13"/>
  <c r="AX1330" i="13"/>
  <c r="AP83" i="4"/>
  <c r="K9" i="69" a="1"/>
  <c r="K9" i="69" s="1"/>
  <c r="AZ9" i="69"/>
  <c r="AG9" i="69" s="1" a="1"/>
  <c r="AG9" i="69" s="1"/>
  <c r="BA9" i="69"/>
  <c r="AZ25" i="69"/>
  <c r="AG25" i="69" s="1" a="1"/>
  <c r="AG25" i="69" s="1"/>
  <c r="BA25" i="69"/>
  <c r="U61" i="69" a="1"/>
  <c r="U61" i="69" s="1"/>
  <c r="BQ36" i="69"/>
  <c r="AO36" i="69" a="1"/>
  <c r="AO36" i="69" s="1"/>
  <c r="AX1333" i="13"/>
  <c r="A1432" i="13"/>
  <c r="H200" i="15" a="1"/>
  <c r="H200" i="15" s="1"/>
  <c r="F200" i="15" a="1"/>
  <c r="F200" i="15" s="1"/>
  <c r="BT29" i="4"/>
  <c r="BD29" i="4"/>
  <c r="X29" i="4" s="1"/>
  <c r="AP66" i="4"/>
  <c r="BN84" i="69"/>
  <c r="BQ84" i="69"/>
  <c r="AO84" i="69" a="1"/>
  <c r="AO84" i="69" s="1"/>
  <c r="BA71" i="69"/>
  <c r="AZ71" i="69"/>
  <c r="AG71" i="69" s="1" a="1"/>
  <c r="AG71" i="69" s="1"/>
  <c r="AT89" i="69" a="1"/>
  <c r="AT89" i="69" s="1"/>
  <c r="AT72" i="69" a="1"/>
  <c r="AT72" i="69" s="1"/>
  <c r="AO39" i="69" a="1"/>
  <c r="AO39" i="69" s="1"/>
  <c r="BQ39" i="69"/>
  <c r="T82" i="69"/>
  <c r="BN82" i="69" s="1"/>
  <c r="E82" i="69"/>
  <c r="BR23" i="4"/>
  <c r="K614" i="15" a="1"/>
  <c r="K614" i="15" s="1"/>
  <c r="F270" i="15" a="1"/>
  <c r="F270" i="15" s="1"/>
  <c r="H270" i="15" a="1"/>
  <c r="H270" i="15" s="1"/>
  <c r="BH3" i="4"/>
  <c r="CA49" i="4"/>
  <c r="AU49" i="4"/>
  <c r="AT49" i="4" a="1"/>
  <c r="AT49" i="4" s="1"/>
  <c r="H49" i="69" s="1"/>
  <c r="AV49" i="4" a="1"/>
  <c r="AV49" i="4" s="1"/>
  <c r="C49" i="69" s="1"/>
  <c r="D49" i="69" s="1" a="1"/>
  <c r="D49" i="69" s="1"/>
  <c r="Y49" i="4"/>
  <c r="BQ49" i="4"/>
  <c r="CX49" i="4"/>
  <c r="CY49" i="4" s="1"/>
  <c r="R90" i="69"/>
  <c r="BH90" i="69" a="1"/>
  <c r="BH90" i="69" s="1"/>
  <c r="BB90" i="69"/>
  <c r="AY90" i="69"/>
  <c r="BO90" i="69"/>
  <c r="AK90" i="69" a="1"/>
  <c r="AK90" i="69" s="1"/>
  <c r="BI90" i="69" a="1"/>
  <c r="BI90" i="69" s="1"/>
  <c r="BN35" i="69"/>
  <c r="BQ35" i="69"/>
  <c r="AO35" i="69" a="1"/>
  <c r="AO35" i="69" s="1"/>
  <c r="T91" i="69"/>
  <c r="BN91" i="69" s="1"/>
  <c r="BC7" i="69"/>
  <c r="BQ7" i="69"/>
  <c r="AO7" i="69" a="1"/>
  <c r="AO7" i="69" s="1"/>
  <c r="AE29" i="69" a="1"/>
  <c r="AE29" i="69" s="1"/>
  <c r="AO29" i="69" s="1" a="1"/>
  <c r="AO29" i="69" s="1"/>
  <c r="G29" i="69"/>
  <c r="G34" i="69"/>
  <c r="AV1330" i="13"/>
  <c r="AV1296" i="13" s="1" a="1"/>
  <c r="AV1296" i="13" s="1"/>
  <c r="L75" i="69"/>
  <c r="E75" i="69"/>
  <c r="AX1371" i="13"/>
  <c r="A1470" i="13"/>
  <c r="R43" i="69"/>
  <c r="BO43" i="69"/>
  <c r="BB43" i="69"/>
  <c r="AR43" i="69" s="1" a="1"/>
  <c r="AR43" i="69" s="1"/>
  <c r="BH43" i="69" a="1"/>
  <c r="BH43" i="69" s="1"/>
  <c r="AY43" i="69"/>
  <c r="AJ43" i="69" s="1" a="1"/>
  <c r="AJ43" i="69" s="1"/>
  <c r="AK43" i="69" a="1"/>
  <c r="AK43" i="69" s="1"/>
  <c r="BI43" i="69" a="1"/>
  <c r="BI43" i="69" s="1"/>
  <c r="U69" i="69" a="1"/>
  <c r="U69" i="69" s="1"/>
  <c r="BQ15" i="69"/>
  <c r="AO15" i="69" a="1"/>
  <c r="AO15" i="69" s="1"/>
  <c r="U92" i="69" a="1"/>
  <c r="U92" i="69" s="1"/>
  <c r="K12" i="69" a="1"/>
  <c r="K12" i="69" s="1"/>
  <c r="M550" i="15" a="1"/>
  <c r="M550" i="15" s="1"/>
  <c r="N520" i="15" a="1"/>
  <c r="N520" i="15" s="1"/>
  <c r="BD36" i="4"/>
  <c r="BR36" i="4" s="1"/>
  <c r="CA27" i="4"/>
  <c r="AV27" i="4" a="1"/>
  <c r="AV27" i="4" s="1"/>
  <c r="C27" i="69" s="1"/>
  <c r="D27" i="69" s="1" a="1"/>
  <c r="D27" i="69" s="1"/>
  <c r="AT27" i="4" a="1"/>
  <c r="AT27" i="4" s="1"/>
  <c r="H27" i="69" s="1"/>
  <c r="AU27" i="4"/>
  <c r="Y27" i="4"/>
  <c r="BQ27" i="4"/>
  <c r="X56" i="4"/>
  <c r="X42" i="4"/>
  <c r="BG42" i="4"/>
  <c r="AV1140" i="13" s="1"/>
  <c r="BR42" i="4"/>
  <c r="AL21" i="4"/>
  <c r="I21" i="69" s="1"/>
  <c r="BF24" i="4"/>
  <c r="BG28" i="4"/>
  <c r="AV1126" i="13" s="1"/>
  <c r="X28" i="4"/>
  <c r="BF40" i="4"/>
  <c r="BF30" i="4"/>
  <c r="BG9" i="4"/>
  <c r="AV1107" i="13" s="1"/>
  <c r="BG25" i="4"/>
  <c r="AV1123" i="13" s="1"/>
  <c r="X25" i="4"/>
  <c r="AL60" i="4"/>
  <c r="I60" i="69" s="1"/>
  <c r="BF68" i="4"/>
  <c r="AZ41" i="69"/>
  <c r="AI41" i="69" s="1" a="1"/>
  <c r="AI41" i="69" s="1"/>
  <c r="BA41" i="69"/>
  <c r="BQ85" i="69"/>
  <c r="AO85" i="69" a="1"/>
  <c r="AO85" i="69" s="1"/>
  <c r="AT94" i="69" a="1"/>
  <c r="AT94" i="69" s="1"/>
  <c r="AF95" i="69" a="1"/>
  <c r="AF95" i="69" s="1"/>
  <c r="AL95" i="69" a="1"/>
  <c r="AL95" i="69" s="1"/>
  <c r="AU95" i="69" a="1"/>
  <c r="AU95" i="69" s="1"/>
  <c r="AH95" i="69" a="1"/>
  <c r="AH95" i="69" s="1"/>
  <c r="AJ95" i="69" a="1"/>
  <c r="AJ95" i="69" s="1"/>
  <c r="AV95" i="69" a="1"/>
  <c r="AV95" i="69" s="1"/>
  <c r="AP95" i="69" a="1"/>
  <c r="AP95" i="69" s="1"/>
  <c r="F609" i="15" a="1"/>
  <c r="F609" i="15" s="1"/>
  <c r="H609" i="15" a="1"/>
  <c r="H609" i="15" s="1"/>
  <c r="P49" i="9"/>
  <c r="I338" i="15" a="1"/>
  <c r="I338" i="15" s="1"/>
  <c r="H131" i="15" a="1"/>
  <c r="H131" i="15" s="1"/>
  <c r="P20" i="9"/>
  <c r="P97" i="9"/>
  <c r="P7" i="9"/>
  <c r="P75" i="9"/>
  <c r="BQ95" i="69"/>
  <c r="AO95" i="69" a="1"/>
  <c r="AO95" i="69" s="1"/>
  <c r="N584" i="15" a="1"/>
  <c r="N584" i="15" s="1"/>
  <c r="N480" i="15" a="1"/>
  <c r="N480" i="15" s="1"/>
  <c r="K480" i="15" a="1"/>
  <c r="K480" i="15" s="1"/>
  <c r="M480" i="15" a="1"/>
  <c r="M480" i="15" s="1"/>
  <c r="L480" i="15" a="1"/>
  <c r="L480" i="15" s="1"/>
  <c r="N604" i="15" a="1"/>
  <c r="N604" i="15" s="1"/>
  <c r="M604" i="15" a="1"/>
  <c r="M604" i="15" s="1"/>
  <c r="L604" i="15" a="1"/>
  <c r="L604" i="15" s="1"/>
  <c r="K604" i="15" a="1"/>
  <c r="K604" i="15" s="1"/>
  <c r="P96" i="9"/>
  <c r="H240" i="15" a="1"/>
  <c r="H240" i="15" s="1"/>
  <c r="F240" i="15" a="1"/>
  <c r="F240" i="15" s="1"/>
  <c r="F434" i="15" a="1"/>
  <c r="F434" i="15" s="1"/>
  <c r="H434" i="15" a="1"/>
  <c r="H434" i="15" s="1"/>
  <c r="F473" i="15" a="1"/>
  <c r="F473" i="15" s="1"/>
  <c r="H473" i="15" a="1"/>
  <c r="H473" i="15" s="1"/>
  <c r="G67" i="69"/>
  <c r="BL67" i="69" a="1"/>
  <c r="BL67" i="69" s="1"/>
  <c r="E34" i="69"/>
  <c r="L87" i="69"/>
  <c r="BA14" i="69"/>
  <c r="AZ14" i="69"/>
  <c r="AG14" i="69" s="1" a="1"/>
  <c r="AG14" i="69" s="1"/>
  <c r="E37" i="69"/>
  <c r="BH37" i="69" a="1"/>
  <c r="BH37" i="69" s="1"/>
  <c r="BB37" i="69"/>
  <c r="AQ37" i="69" s="1" a="1"/>
  <c r="AQ37" i="69" s="1"/>
  <c r="BO37" i="69"/>
  <c r="R37" i="69"/>
  <c r="AY37" i="69"/>
  <c r="AJ37" i="69" s="1" a="1"/>
  <c r="AJ37" i="69" s="1"/>
  <c r="BI37" i="69" a="1"/>
  <c r="BI37" i="69" s="1"/>
  <c r="AK37" i="69" a="1"/>
  <c r="AK37" i="69" s="1"/>
  <c r="G47" i="69"/>
  <c r="E5" i="69"/>
  <c r="BT47" i="4"/>
  <c r="BD47" i="4"/>
  <c r="AX1367" i="13"/>
  <c r="A1466" i="13"/>
  <c r="BH29" i="4"/>
  <c r="AV531" i="13"/>
  <c r="BL29" i="4"/>
  <c r="AT88" i="69" a="1"/>
  <c r="AT88" i="69" s="1"/>
  <c r="S63" i="69"/>
  <c r="AZ63" i="69"/>
  <c r="BA63" i="69"/>
  <c r="AT18" i="69" a="1"/>
  <c r="AT18" i="69" s="1"/>
  <c r="AD89" i="4"/>
  <c r="F89" i="69" s="1"/>
  <c r="AX1321" i="13"/>
  <c r="A1420" i="13"/>
  <c r="AV518" i="13"/>
  <c r="BL16" i="4"/>
  <c r="BH16" i="4"/>
  <c r="AT79" i="4" a="1"/>
  <c r="AT79" i="4" s="1"/>
  <c r="H79" i="69" s="1"/>
  <c r="AU79" i="4"/>
  <c r="AV79" i="4" a="1"/>
  <c r="AV79" i="4" s="1"/>
  <c r="C79" i="69" s="1"/>
  <c r="D79" i="69" s="1" a="1"/>
  <c r="D79" i="69" s="1"/>
  <c r="Y79" i="4"/>
  <c r="CX79" i="4"/>
  <c r="CY79" i="4" s="1"/>
  <c r="P81" i="9" s="1"/>
  <c r="BQ79" i="4"/>
  <c r="CA45" i="4"/>
  <c r="Y45" i="4"/>
  <c r="AT45" i="4" a="1"/>
  <c r="AT45" i="4" s="1"/>
  <c r="H45" i="69" s="1"/>
  <c r="AU45" i="4"/>
  <c r="AV45" i="4" a="1"/>
  <c r="AV45" i="4" s="1"/>
  <c r="C45" i="69" s="1"/>
  <c r="D45" i="69" s="1" a="1"/>
  <c r="D45" i="69" s="1"/>
  <c r="BQ45" i="4"/>
  <c r="U79" i="69" a="1"/>
  <c r="U79" i="69" s="1"/>
  <c r="BN42" i="69"/>
  <c r="AE38" i="69" a="1"/>
  <c r="AE38" i="69" s="1"/>
  <c r="AK38" i="69" s="1" a="1"/>
  <c r="AK38" i="69" s="1"/>
  <c r="B64" i="69"/>
  <c r="E52" i="69"/>
  <c r="AX1313" i="13"/>
  <c r="A1412" i="13"/>
  <c r="F258" i="15" a="1"/>
  <c r="F258" i="15" s="1"/>
  <c r="H258" i="15" a="1"/>
  <c r="H258" i="15" s="1"/>
  <c r="X23" i="27"/>
  <c r="X45" i="27"/>
  <c r="X28" i="27"/>
  <c r="X31" i="27"/>
  <c r="X42" i="27"/>
  <c r="X32" i="27"/>
  <c r="X27" i="27"/>
  <c r="X36" i="27"/>
  <c r="X40" i="27"/>
  <c r="X34" i="27"/>
  <c r="X25" i="27"/>
  <c r="X24" i="27"/>
  <c r="X50" i="27"/>
  <c r="X37" i="27"/>
  <c r="X41" i="27"/>
  <c r="X33" i="27"/>
  <c r="X21" i="27"/>
  <c r="X48" i="27"/>
  <c r="X39" i="27"/>
  <c r="X46" i="27"/>
  <c r="X29" i="27"/>
  <c r="X38" i="27"/>
  <c r="X22" i="27"/>
  <c r="X47" i="27"/>
  <c r="X26" i="27"/>
  <c r="X44" i="27"/>
  <c r="X35" i="27"/>
  <c r="X43" i="27"/>
  <c r="X49" i="27"/>
  <c r="X30" i="27"/>
  <c r="T20" i="27"/>
  <c r="X20" i="27" s="1"/>
  <c r="F226" i="15" a="1"/>
  <c r="F226" i="15" s="1"/>
  <c r="H226" i="15" a="1"/>
  <c r="H226" i="15" s="1"/>
  <c r="AT43" i="4" a="1"/>
  <c r="AT43" i="4" s="1"/>
  <c r="H43" i="69" s="1"/>
  <c r="AU43" i="4"/>
  <c r="AV43" i="4" a="1"/>
  <c r="AV43" i="4" s="1"/>
  <c r="C43" i="69" s="1"/>
  <c r="D43" i="69" s="1" a="1"/>
  <c r="D43" i="69" s="1"/>
  <c r="Y43" i="4"/>
  <c r="BQ43" i="4"/>
  <c r="BN8" i="69"/>
  <c r="Z66" i="4"/>
  <c r="B66" i="69" s="1"/>
  <c r="K78" i="69" a="1"/>
  <c r="K78" i="69" s="1"/>
  <c r="AV76" i="4" a="1"/>
  <c r="AV76" i="4" s="1"/>
  <c r="C76" i="69" s="1"/>
  <c r="D76" i="69" s="1" a="1"/>
  <c r="D76" i="69" s="1"/>
  <c r="Y76" i="4"/>
  <c r="AU76" i="4"/>
  <c r="AT76" i="4" a="1"/>
  <c r="AT76" i="4" s="1"/>
  <c r="H76" i="69" s="1"/>
  <c r="CX76" i="4"/>
  <c r="CY76" i="4" s="1"/>
  <c r="BQ76" i="4"/>
  <c r="AT52" i="4" a="1"/>
  <c r="AT52" i="4" s="1"/>
  <c r="H52" i="69" s="1"/>
  <c r="AV52" i="4" a="1"/>
  <c r="AV52" i="4" s="1"/>
  <c r="C52" i="69" s="1"/>
  <c r="D52" i="69" s="1" a="1"/>
  <c r="D52" i="69" s="1"/>
  <c r="AU52" i="4"/>
  <c r="Y52" i="4"/>
  <c r="CX52" i="4"/>
  <c r="CY52" i="4" s="1"/>
  <c r="BQ52" i="4"/>
  <c r="S57" i="69"/>
  <c r="BK57" i="69"/>
  <c r="R57" i="69"/>
  <c r="BB57" i="69"/>
  <c r="AR57" i="69" s="1" a="1"/>
  <c r="AR57" i="69" s="1"/>
  <c r="AY57" i="69"/>
  <c r="BO57" i="69"/>
  <c r="BH57" i="69" a="1"/>
  <c r="BH57" i="69" s="1"/>
  <c r="AK57" i="69" a="1"/>
  <c r="AK57" i="69" s="1"/>
  <c r="BI57" i="69" a="1"/>
  <c r="BI57" i="69" s="1"/>
  <c r="G66" i="69"/>
  <c r="BC81" i="69"/>
  <c r="S27" i="69"/>
  <c r="AV1224" i="13"/>
  <c r="M536" i="15" a="1"/>
  <c r="M536" i="15" s="1"/>
  <c r="BH51" i="4"/>
  <c r="BL51" i="4"/>
  <c r="AV553" i="13"/>
  <c r="AV587" i="13"/>
  <c r="BL85" i="4"/>
  <c r="BH85" i="4"/>
  <c r="CA38" i="4"/>
  <c r="AT38" i="4" a="1"/>
  <c r="AT38" i="4" s="1"/>
  <c r="H38" i="69" s="1"/>
  <c r="AV38" i="4" a="1"/>
  <c r="AV38" i="4" s="1"/>
  <c r="C38" i="69" s="1"/>
  <c r="D38" i="69" s="1" a="1"/>
  <c r="D38" i="69" s="1"/>
  <c r="AU38" i="4"/>
  <c r="Y38" i="4"/>
  <c r="BQ38" i="4"/>
  <c r="K25" i="69" a="1"/>
  <c r="K25" i="69" s="1"/>
  <c r="BQ25" i="69"/>
  <c r="AO25" i="69" a="1"/>
  <c r="AO25" i="69" s="1"/>
  <c r="M61" i="69"/>
  <c r="AZ36" i="69"/>
  <c r="AI36" i="69" s="1" a="1"/>
  <c r="AI36" i="69" s="1"/>
  <c r="BA36" i="69"/>
  <c r="B36" i="69"/>
  <c r="F141" i="15" a="1"/>
  <c r="F141" i="15" s="1"/>
  <c r="F399" i="15" a="1"/>
  <c r="F399" i="15" s="1"/>
  <c r="H399" i="15" a="1"/>
  <c r="H399" i="15" s="1"/>
  <c r="F337" i="15" a="1"/>
  <c r="F337" i="15" s="1"/>
  <c r="A1441" i="13"/>
  <c r="AX1342" i="13"/>
  <c r="BD21" i="4"/>
  <c r="CZ81" i="4" a="1"/>
  <c r="CZ81" i="4" s="1"/>
  <c r="F89" i="4"/>
  <c r="M84" i="69"/>
  <c r="E84" i="69"/>
  <c r="AS31" i="69" a="1"/>
  <c r="AS31" i="69" s="1"/>
  <c r="BJ31" i="69"/>
  <c r="BM31" i="69" s="1"/>
  <c r="BA31" i="69"/>
  <c r="AZ31" i="69"/>
  <c r="AI31" i="69" s="1" a="1"/>
  <c r="AI31" i="69" s="1"/>
  <c r="K71" i="69" a="1"/>
  <c r="K71" i="69" s="1"/>
  <c r="BQ71" i="69"/>
  <c r="AO71" i="69" a="1"/>
  <c r="AO71" i="69" s="1"/>
  <c r="AL64" i="4"/>
  <c r="I64" i="69" s="1"/>
  <c r="AS39" i="69" a="1"/>
  <c r="AS39" i="69" s="1"/>
  <c r="K39" i="69" a="1"/>
  <c r="K39" i="69" s="1"/>
  <c r="H589" i="15" a="1"/>
  <c r="H589" i="15" s="1"/>
  <c r="F589" i="15" a="1"/>
  <c r="F589" i="15" s="1"/>
  <c r="L479" i="15" a="1"/>
  <c r="L479" i="15" s="1"/>
  <c r="BM3" i="4"/>
  <c r="G90" i="69"/>
  <c r="AZ35" i="69"/>
  <c r="BA35" i="69"/>
  <c r="E91" i="69"/>
  <c r="K29" i="69" a="1"/>
  <c r="K29" i="69" s="1"/>
  <c r="BC75" i="69"/>
  <c r="BQ75" i="69"/>
  <c r="A1440" i="13"/>
  <c r="AX1341" i="13"/>
  <c r="F420" i="15" a="1"/>
  <c r="F420" i="15" s="1"/>
  <c r="AX1379" i="13"/>
  <c r="A1478" i="13"/>
  <c r="BL47" i="4"/>
  <c r="BH47" i="4"/>
  <c r="AV549" i="13"/>
  <c r="CA7" i="4"/>
  <c r="AV7" i="4" a="1"/>
  <c r="AV7" i="4" s="1"/>
  <c r="C7" i="69" s="1"/>
  <c r="D7" i="69" s="1" a="1"/>
  <c r="D7" i="69" s="1"/>
  <c r="AU7" i="4"/>
  <c r="AT7" i="4" a="1"/>
  <c r="AT7" i="4" s="1"/>
  <c r="H7" i="69" s="1"/>
  <c r="Y7" i="4"/>
  <c r="BQ7" i="4"/>
  <c r="BQ69" i="69"/>
  <c r="AO69" i="69" a="1"/>
  <c r="AO69" i="69" s="1"/>
  <c r="S15" i="69"/>
  <c r="BC92" i="69"/>
  <c r="BN22" i="69"/>
  <c r="U12" i="69" a="1"/>
  <c r="U12" i="69" s="1"/>
  <c r="BK12" i="69"/>
  <c r="BJ12" i="69" s="1"/>
  <c r="BM12" i="69" s="1"/>
  <c r="BB12" i="69"/>
  <c r="AR12" i="69" s="1" a="1"/>
  <c r="AR12" i="69" s="1"/>
  <c r="BO12" i="69"/>
  <c r="R12" i="69"/>
  <c r="BH12" i="69" a="1"/>
  <c r="BH12" i="69" s="1"/>
  <c r="AY12" i="69"/>
  <c r="AK12" i="69" a="1"/>
  <c r="AK12" i="69" s="1"/>
  <c r="BI12" i="69" a="1"/>
  <c r="BI12" i="69" s="1"/>
  <c r="K550" i="15" a="1"/>
  <c r="K550" i="15" s="1"/>
  <c r="CZ74" i="4" a="1"/>
  <c r="CZ74" i="4" s="1"/>
  <c r="AX223" i="13"/>
  <c r="A323" i="13"/>
  <c r="AX323" i="13" s="1"/>
  <c r="F361" i="15" a="1"/>
  <c r="F361" i="15" s="1"/>
  <c r="H361" i="15" a="1"/>
  <c r="H361" i="15" s="1"/>
  <c r="BD11" i="4"/>
  <c r="X11" i="4" s="1"/>
  <c r="BG14" i="4"/>
  <c r="AV1112" i="13" s="1"/>
  <c r="X14" i="4"/>
  <c r="BF26" i="4"/>
  <c r="BG30" i="4"/>
  <c r="AV1128" i="13" s="1"/>
  <c r="BR30" i="4"/>
  <c r="BF9" i="4"/>
  <c r="L88" i="4"/>
  <c r="X88" i="4"/>
  <c r="BG88" i="4"/>
  <c r="AV1186" i="13" s="1"/>
  <c r="BR88" i="4"/>
  <c r="BF34" i="4"/>
  <c r="F501" i="15" a="1"/>
  <c r="F501" i="15" s="1"/>
  <c r="H501" i="15" a="1"/>
  <c r="H501" i="15" s="1"/>
  <c r="F621" i="15" a="1"/>
  <c r="F621" i="15" s="1"/>
  <c r="H621" i="15" a="1"/>
  <c r="H621" i="15" s="1"/>
  <c r="AX1346" i="13"/>
  <c r="A1445" i="13"/>
  <c r="BJ76" i="69"/>
  <c r="BM76" i="69" s="1"/>
  <c r="AZ76" i="69"/>
  <c r="AG76" i="69" s="1" a="1"/>
  <c r="AG76" i="69" s="1"/>
  <c r="BA76" i="69"/>
  <c r="AO34" i="69" a="1"/>
  <c r="AO34" i="69" s="1"/>
  <c r="BQ34" i="69"/>
  <c r="B14" i="69"/>
  <c r="A1464" i="13"/>
  <c r="AX1365" i="13"/>
  <c r="F250" i="15" a="1"/>
  <c r="F250" i="15" s="1"/>
  <c r="H250" i="15" a="1"/>
  <c r="H250" i="15" s="1"/>
  <c r="K37" i="69" a="1"/>
  <c r="K37" i="69" s="1"/>
  <c r="AS40" i="69" a="1"/>
  <c r="AS40" i="69" s="1"/>
  <c r="AU40" i="69" a="1"/>
  <c r="AU40" i="69" s="1"/>
  <c r="AV40" i="69" a="1"/>
  <c r="AV40" i="69" s="1"/>
  <c r="AL40" i="69" a="1"/>
  <c r="AL40" i="69" s="1"/>
  <c r="AH40" i="69" a="1"/>
  <c r="AH40" i="69" s="1"/>
  <c r="AG40" i="69" a="1"/>
  <c r="AG40" i="69" s="1"/>
  <c r="AI40" i="69" a="1"/>
  <c r="AI40" i="69" s="1"/>
  <c r="AR40" i="69" a="1"/>
  <c r="AR40" i="69" s="1"/>
  <c r="AJ40" i="69" a="1"/>
  <c r="AJ40" i="69" s="1"/>
  <c r="AF40" i="69" a="1"/>
  <c r="AF40" i="69" s="1"/>
  <c r="AP40" i="69" a="1"/>
  <c r="AP40" i="69" s="1"/>
  <c r="AQ40" i="69" a="1"/>
  <c r="AQ40" i="69" s="1"/>
  <c r="BL50" i="69" a="1"/>
  <c r="BL50" i="69" s="1"/>
  <c r="R50" i="69"/>
  <c r="AJ50" i="69" s="1" a="1"/>
  <c r="AJ50" i="69" s="1"/>
  <c r="BH50" i="69" a="1"/>
  <c r="BH50" i="69" s="1"/>
  <c r="BO50" i="69"/>
  <c r="BB50" i="69"/>
  <c r="AQ50" i="69" s="1" a="1"/>
  <c r="AQ50" i="69" s="1"/>
  <c r="AY50" i="69"/>
  <c r="AK50" i="69" a="1"/>
  <c r="AK50" i="69" s="1"/>
  <c r="BI50" i="69" a="1"/>
  <c r="BI50" i="69" s="1"/>
  <c r="BL5" i="69" a="1"/>
  <c r="BL5" i="69" s="1"/>
  <c r="AY5" i="69"/>
  <c r="BH5" i="69" a="1"/>
  <c r="BH5" i="69" s="1"/>
  <c r="R5" i="69"/>
  <c r="AJ5" i="69" s="1" a="1"/>
  <c r="AJ5" i="69" s="1"/>
  <c r="BB5" i="69"/>
  <c r="AQ5" i="69" s="1" a="1"/>
  <c r="AQ5" i="69" s="1"/>
  <c r="BI5" i="69" a="1"/>
  <c r="BI5" i="69" s="1"/>
  <c r="AK5" i="69" a="1"/>
  <c r="AK5" i="69" s="1"/>
  <c r="BO5" i="69"/>
  <c r="BQ5" i="69"/>
  <c r="AO5" i="69" a="1"/>
  <c r="AO5" i="69" s="1"/>
  <c r="BK74" i="69"/>
  <c r="BJ74" i="69" s="1"/>
  <c r="BM74" i="69" s="1"/>
  <c r="R74" i="69"/>
  <c r="BH74" i="69" a="1"/>
  <c r="BH74" i="69" s="1"/>
  <c r="BO74" i="69"/>
  <c r="BB74" i="69"/>
  <c r="AY74" i="69"/>
  <c r="BQ74" i="69"/>
  <c r="BA48" i="69"/>
  <c r="AZ48" i="69"/>
  <c r="AI48" i="69" s="1" a="1"/>
  <c r="AI48" i="69" s="1"/>
  <c r="BJ59" i="69"/>
  <c r="BM59" i="69" s="1"/>
  <c r="AZ59" i="69"/>
  <c r="AI59" i="69" s="1" a="1"/>
  <c r="AI59" i="69" s="1"/>
  <c r="BA59" i="69"/>
  <c r="AX1307" i="13"/>
  <c r="A1406" i="13"/>
  <c r="BT54" i="4"/>
  <c r="BD54" i="4"/>
  <c r="X54" i="4" s="1"/>
  <c r="F359" i="15" a="1"/>
  <c r="F359" i="15" s="1"/>
  <c r="H359" i="15" a="1"/>
  <c r="H359" i="15" s="1"/>
  <c r="H449" i="15" a="1"/>
  <c r="H449" i="15" s="1"/>
  <c r="F449" i="15" a="1"/>
  <c r="F449" i="15" s="1"/>
  <c r="BO46" i="69"/>
  <c r="BB46" i="69"/>
  <c r="AQ46" i="69" s="1" a="1"/>
  <c r="AQ46" i="69" s="1"/>
  <c r="BH46" i="69" a="1"/>
  <c r="BH46" i="69" s="1"/>
  <c r="AY46" i="69"/>
  <c r="R46" i="69"/>
  <c r="AJ46" i="69" s="1" a="1"/>
  <c r="AJ46" i="69" s="1"/>
  <c r="AK46" i="69" a="1"/>
  <c r="AK46" i="69" s="1"/>
  <c r="BI46" i="69" a="1"/>
  <c r="BI46" i="69" s="1"/>
  <c r="AH18" i="69" a="1"/>
  <c r="AH18" i="69" s="1"/>
  <c r="AV18" i="69" a="1"/>
  <c r="AV18" i="69" s="1"/>
  <c r="AP18" i="69" a="1"/>
  <c r="AP18" i="69" s="1"/>
  <c r="AL18" i="69" a="1"/>
  <c r="AL18" i="69" s="1"/>
  <c r="AF18" i="69" a="1"/>
  <c r="AF18" i="69" s="1"/>
  <c r="AJ18" i="69" a="1"/>
  <c r="AJ18" i="69" s="1"/>
  <c r="AU18" i="69" a="1"/>
  <c r="AU18" i="69" s="1"/>
  <c r="AR18" i="69" a="1"/>
  <c r="AR18" i="69" s="1"/>
  <c r="AP72" i="4"/>
  <c r="E72" i="4"/>
  <c r="BT72" i="4" s="1"/>
  <c r="BD72" i="4"/>
  <c r="L91" i="69"/>
  <c r="BL61" i="4"/>
  <c r="AV563" i="13"/>
  <c r="BL79" i="4"/>
  <c r="AV581" i="13"/>
  <c r="BH79" i="4"/>
  <c r="AV548" i="13"/>
  <c r="BL46" i="4"/>
  <c r="BH46" i="4"/>
  <c r="BA6" i="69"/>
  <c r="AZ6" i="69"/>
  <c r="AI6" i="69" s="1" a="1"/>
  <c r="AI6" i="69" s="1"/>
  <c r="BJ6" i="69"/>
  <c r="BM6" i="69" s="1"/>
  <c r="BA52" i="69"/>
  <c r="AZ52" i="69"/>
  <c r="BJ52" i="69"/>
  <c r="BM52" i="69" s="1"/>
  <c r="E542" i="15"/>
  <c r="K541" i="15" s="1" a="1"/>
  <c r="K541" i="15" s="1"/>
  <c r="E59" i="4"/>
  <c r="BT59" i="4" s="1"/>
  <c r="H595" i="15" a="1"/>
  <c r="H595" i="15" s="1"/>
  <c r="F595" i="15" a="1"/>
  <c r="F595" i="15" s="1"/>
  <c r="BH32" i="4"/>
  <c r="BL32" i="4"/>
  <c r="AV534" i="13"/>
  <c r="BL43" i="4"/>
  <c r="AV545" i="13"/>
  <c r="BH43" i="4"/>
  <c r="G86" i="69"/>
  <c r="BL86" i="69" a="1"/>
  <c r="BL86" i="69" s="1"/>
  <c r="BB86" i="69"/>
  <c r="BH86" i="69" a="1"/>
  <c r="BH86" i="69" s="1"/>
  <c r="R86" i="69"/>
  <c r="AJ86" i="69" s="1" a="1"/>
  <c r="AJ86" i="69" s="1"/>
  <c r="AY86" i="69"/>
  <c r="BO86" i="69"/>
  <c r="U28" i="69" a="1"/>
  <c r="U28" i="69" s="1"/>
  <c r="BK28" i="69"/>
  <c r="BJ28" i="69" s="1"/>
  <c r="BM28" i="69" s="1"/>
  <c r="R28" i="69"/>
  <c r="BH28" i="69" a="1"/>
  <c r="BH28" i="69" s="1"/>
  <c r="AY28" i="69"/>
  <c r="BB28" i="69"/>
  <c r="AQ28" i="69" s="1" a="1"/>
  <c r="AQ28" i="69" s="1"/>
  <c r="BO28" i="69"/>
  <c r="AK28" i="69" a="1"/>
  <c r="AK28" i="69" s="1"/>
  <c r="BI28" i="69" a="1"/>
  <c r="BI28" i="69" s="1"/>
  <c r="BM4" i="4"/>
  <c r="BE4" i="4" s="1" a="1"/>
  <c r="BE4" i="4" s="1"/>
  <c r="BD4" i="69"/>
  <c r="AD4" i="69"/>
  <c r="I472" i="15" a="1"/>
  <c r="I472" i="15" s="1"/>
  <c r="A1481" i="13"/>
  <c r="AX1382" i="13"/>
  <c r="BT40" i="4"/>
  <c r="BD40" i="4"/>
  <c r="X40" i="4" s="1"/>
  <c r="BL76" i="4"/>
  <c r="AV578" i="13"/>
  <c r="BH76" i="4"/>
  <c r="BD30" i="4"/>
  <c r="X30" i="4" s="1"/>
  <c r="H255" i="15" a="1"/>
  <c r="H255" i="15" s="1"/>
  <c r="AX1257" i="13"/>
  <c r="A1356" i="13"/>
  <c r="B57" i="69"/>
  <c r="BJ57" i="69"/>
  <c r="BM57" i="69" s="1"/>
  <c r="AZ57" i="69"/>
  <c r="AG57" i="69" s="1" a="1"/>
  <c r="AG57" i="69" s="1"/>
  <c r="BA57" i="69"/>
  <c r="M81" i="69"/>
  <c r="N536" i="15" a="1"/>
  <c r="N536" i="15" s="1"/>
  <c r="F231" i="15" a="1"/>
  <c r="F231" i="15" s="1"/>
  <c r="H231" i="15" a="1"/>
  <c r="H231" i="15" s="1"/>
  <c r="M481" i="15" a="1"/>
  <c r="M481" i="15" s="1"/>
  <c r="Z84" i="4"/>
  <c r="CV84" i="4"/>
  <c r="CW84" i="4" s="1"/>
  <c r="E84" i="4"/>
  <c r="BT84" i="4" s="1"/>
  <c r="F87" i="4"/>
  <c r="AV540" i="13"/>
  <c r="BH38" i="4"/>
  <c r="BL38" i="4"/>
  <c r="AS13" i="69" a="1"/>
  <c r="AS13" i="69" s="1"/>
  <c r="K61" i="69" a="1"/>
  <c r="K61" i="69" s="1"/>
  <c r="BB36" i="69"/>
  <c r="AR36" i="69" s="1" a="1"/>
  <c r="AR36" i="69" s="1"/>
  <c r="AY36" i="69"/>
  <c r="BO36" i="69"/>
  <c r="R36" i="69"/>
  <c r="BH36" i="69" a="1"/>
  <c r="BH36" i="69" s="1"/>
  <c r="BI36" i="69" a="1"/>
  <c r="BI36" i="69" s="1"/>
  <c r="AK36" i="69" a="1"/>
  <c r="AK36" i="69" s="1"/>
  <c r="AX1370" i="13"/>
  <c r="A1469" i="13"/>
  <c r="M555" i="15" a="1"/>
  <c r="M555" i="15" s="1"/>
  <c r="F555" i="15" a="1"/>
  <c r="F555" i="15" s="1"/>
  <c r="CA54" i="4"/>
  <c r="AV54" i="4" a="1"/>
  <c r="AV54" i="4" s="1"/>
  <c r="C54" i="69" s="1"/>
  <c r="D54" i="69" s="1" a="1"/>
  <c r="D54" i="69" s="1"/>
  <c r="AU54" i="4"/>
  <c r="AT54" i="4" a="1"/>
  <c r="AT54" i="4" s="1"/>
  <c r="H54" i="69" s="1"/>
  <c r="Y54" i="4"/>
  <c r="BQ54" i="4"/>
  <c r="E21" i="4"/>
  <c r="BT21" i="4" s="1"/>
  <c r="AX1344" i="13"/>
  <c r="A1443" i="13"/>
  <c r="K84" i="69" a="1"/>
  <c r="K84" i="69" s="1"/>
  <c r="K31" i="69" a="1"/>
  <c r="K31" i="69" s="1"/>
  <c r="U71" i="69" a="1"/>
  <c r="U71" i="69" s="1"/>
  <c r="AF89" i="69" a="1"/>
  <c r="AF89" i="69" s="1"/>
  <c r="AU89" i="69" a="1"/>
  <c r="AU89" i="69" s="1"/>
  <c r="AH89" i="69" a="1"/>
  <c r="AH89" i="69" s="1"/>
  <c r="AP89" i="69" a="1"/>
  <c r="AP89" i="69" s="1"/>
  <c r="AL89" i="69" a="1"/>
  <c r="AL89" i="69" s="1"/>
  <c r="AV89" i="69" a="1"/>
  <c r="AV89" i="69" s="1"/>
  <c r="M72" i="69"/>
  <c r="G39" i="69"/>
  <c r="F550" i="15" a="1"/>
  <c r="F550" i="15" s="1"/>
  <c r="H550" i="15" a="1"/>
  <c r="H550" i="15" s="1"/>
  <c r="F439" i="15" a="1"/>
  <c r="F439" i="15" s="1"/>
  <c r="H439" i="15" a="1"/>
  <c r="H439" i="15" s="1"/>
  <c r="H520" i="15" a="1"/>
  <c r="H520" i="15" s="1"/>
  <c r="F520" i="15" a="1"/>
  <c r="F520" i="15" s="1"/>
  <c r="F453" i="15" a="1"/>
  <c r="F453" i="15" s="1"/>
  <c r="H453" i="15" a="1"/>
  <c r="H453" i="15" s="1"/>
  <c r="CZ80" i="4" a="1"/>
  <c r="CZ80" i="4" s="1"/>
  <c r="AX1376" i="13"/>
  <c r="A1475" i="13"/>
  <c r="BH49" i="4"/>
  <c r="AV551" i="13"/>
  <c r="BL49" i="4"/>
  <c r="K90" i="69" a="1"/>
  <c r="K90" i="69" s="1"/>
  <c r="BH35" i="69" a="1"/>
  <c r="BH35" i="69" s="1"/>
  <c r="R35" i="69"/>
  <c r="AJ35" i="69" s="1" a="1"/>
  <c r="AJ35" i="69" s="1"/>
  <c r="BO35" i="69"/>
  <c r="AY35" i="69"/>
  <c r="BB35" i="69"/>
  <c r="AR35" i="69" s="1" a="1"/>
  <c r="AR35" i="69" s="1"/>
  <c r="AK35" i="69" a="1"/>
  <c r="AK35" i="69" s="1"/>
  <c r="BI35" i="69" a="1"/>
  <c r="BI35" i="69" s="1"/>
  <c r="E35" i="69"/>
  <c r="BI91" i="69" a="1"/>
  <c r="BI91" i="69" s="1"/>
  <c r="AY91" i="69"/>
  <c r="BB91" i="69"/>
  <c r="AR91" i="69" s="1" a="1"/>
  <c r="AR91" i="69" s="1"/>
  <c r="AK91" i="69" a="1"/>
  <c r="AK91" i="69" s="1"/>
  <c r="R91" i="69"/>
  <c r="AJ91" i="69" s="1" a="1"/>
  <c r="AJ91" i="69" s="1"/>
  <c r="BO91" i="69"/>
  <c r="BH91" i="69" a="1"/>
  <c r="BH91" i="69" s="1"/>
  <c r="M91" i="69"/>
  <c r="B7" i="69"/>
  <c r="BB29" i="69"/>
  <c r="AR29" i="69" s="1" a="1"/>
  <c r="AR29" i="69" s="1"/>
  <c r="AY29" i="69"/>
  <c r="BH29" i="69" a="1"/>
  <c r="BH29" i="69" s="1"/>
  <c r="R29" i="69"/>
  <c r="BO29" i="69"/>
  <c r="BI29" i="69" a="1"/>
  <c r="BI29" i="69" s="1"/>
  <c r="AK29" i="69" a="1"/>
  <c r="AK29" i="69" s="1"/>
  <c r="G75" i="69"/>
  <c r="S75" i="69"/>
  <c r="F63" i="4"/>
  <c r="BL7" i="4"/>
  <c r="BH7" i="4"/>
  <c r="AV509" i="13"/>
  <c r="BN15" i="69"/>
  <c r="AD63" i="4"/>
  <c r="F63" i="69" s="1"/>
  <c r="BL70" i="69" a="1"/>
  <c r="BL70" i="69" s="1"/>
  <c r="R70" i="69"/>
  <c r="AJ70" i="69" s="1" a="1"/>
  <c r="AJ70" i="69" s="1"/>
  <c r="BB70" i="69"/>
  <c r="AQ70" i="69" s="1" a="1"/>
  <c r="AQ70" i="69" s="1"/>
  <c r="AY70" i="69"/>
  <c r="BH70" i="69" a="1"/>
  <c r="BH70" i="69" s="1"/>
  <c r="BI70" i="69" a="1"/>
  <c r="BI70" i="69" s="1"/>
  <c r="AK70" i="69" a="1"/>
  <c r="AK70" i="69" s="1"/>
  <c r="AV577" i="13"/>
  <c r="BL75" i="4"/>
  <c r="AV544" i="13"/>
  <c r="BH42" i="4"/>
  <c r="BL42" i="4"/>
  <c r="F260" i="15" a="1"/>
  <c r="F260" i="15" s="1"/>
  <c r="H260" i="15" a="1"/>
  <c r="H260" i="15" s="1"/>
  <c r="BR73" i="4"/>
  <c r="BD50" i="4"/>
  <c r="X50" i="4" s="1"/>
  <c r="C53" i="14"/>
  <c r="B53" i="14"/>
  <c r="BG26" i="4"/>
  <c r="AV1124" i="13" s="1"/>
  <c r="X26" i="4"/>
  <c r="BR26" i="4"/>
  <c r="X27" i="4"/>
  <c r="BG27" i="4"/>
  <c r="AV1125" i="13" s="1"/>
  <c r="AD21" i="4"/>
  <c r="F21" i="69" s="1"/>
  <c r="BG40" i="4"/>
  <c r="AV1138" i="13" s="1"/>
  <c r="X37" i="4"/>
  <c r="BR37" i="4"/>
  <c r="BG37" i="4"/>
  <c r="AV1135" i="13" s="1"/>
  <c r="BG18" i="4"/>
  <c r="AV1116" i="13" s="1"/>
  <c r="BR18" i="4"/>
  <c r="X19" i="4"/>
  <c r="BR19" i="4"/>
  <c r="BG19" i="4"/>
  <c r="AV1117" i="13" s="1"/>
  <c r="X47" i="4"/>
  <c r="BG47" i="4"/>
  <c r="AV1145" i="13" s="1"/>
  <c r="BR47" i="4"/>
  <c r="BQ17" i="69"/>
  <c r="AO17" i="69" a="1"/>
  <c r="AO17" i="69" s="1"/>
  <c r="F480" i="15" a="1"/>
  <c r="F480" i="15" s="1"/>
  <c r="H480" i="15" a="1"/>
  <c r="H480" i="15" s="1"/>
  <c r="P31" i="9"/>
  <c r="N621" i="15" a="1"/>
  <c r="N621" i="15" s="1"/>
  <c r="K621" i="15" a="1"/>
  <c r="K621" i="15" s="1"/>
  <c r="L621" i="15" a="1"/>
  <c r="L621" i="15" s="1"/>
  <c r="M621" i="15" a="1"/>
  <c r="M621" i="15" s="1"/>
  <c r="P29" i="9"/>
  <c r="P80" i="9"/>
  <c r="P18" i="9"/>
  <c r="P50" i="9"/>
  <c r="F131" i="15" a="1"/>
  <c r="F131" i="15" s="1"/>
  <c r="B55" i="4"/>
  <c r="E55" i="4" s="1"/>
  <c r="BA55" i="4" a="1"/>
  <c r="BA55" i="4" s="1"/>
  <c r="BB55" i="4" s="1"/>
  <c r="AV157" i="13" s="1"/>
  <c r="BT103" i="4"/>
  <c r="H179" i="15" a="1"/>
  <c r="H179" i="15" s="1"/>
  <c r="F179" i="15" a="1"/>
  <c r="F179" i="15" s="1"/>
  <c r="BL37" i="4"/>
  <c r="BH37" i="4"/>
  <c r="AV539" i="13"/>
  <c r="BK45" i="69"/>
  <c r="BJ45" i="69" s="1"/>
  <c r="BM45" i="69" s="1"/>
  <c r="BB45" i="69"/>
  <c r="AQ45" i="69" s="1" a="1"/>
  <c r="AQ45" i="69" s="1"/>
  <c r="AY45" i="69"/>
  <c r="BO45" i="69"/>
  <c r="BH45" i="69" a="1"/>
  <c r="BH45" i="69" s="1"/>
  <c r="R45" i="69"/>
  <c r="AJ45" i="69" s="1" a="1"/>
  <c r="AJ45" i="69" s="1"/>
  <c r="BI45" i="69" a="1"/>
  <c r="BI45" i="69" s="1"/>
  <c r="AK45" i="69" a="1"/>
  <c r="AK45" i="69" s="1"/>
  <c r="BJ67" i="69"/>
  <c r="BM67" i="69" s="1"/>
  <c r="AZ67" i="69"/>
  <c r="AI67" i="69" s="1" a="1"/>
  <c r="AI67" i="69" s="1"/>
  <c r="BA67" i="69"/>
  <c r="AS73" i="69" a="1"/>
  <c r="AS73" i="69" s="1"/>
  <c r="BB73" i="69"/>
  <c r="AR73" i="69" s="1" a="1"/>
  <c r="AR73" i="69" s="1"/>
  <c r="AY73" i="69"/>
  <c r="R73" i="69"/>
  <c r="BH73" i="69" a="1"/>
  <c r="BH73" i="69" s="1"/>
  <c r="BO73" i="69"/>
  <c r="AK73" i="69" a="1"/>
  <c r="AK73" i="69" s="1"/>
  <c r="BI73" i="69" a="1"/>
  <c r="BI73" i="69" s="1"/>
  <c r="BK34" i="69"/>
  <c r="BJ34" i="69" s="1"/>
  <c r="BM34" i="69" s="1"/>
  <c r="AY34" i="69"/>
  <c r="BB34" i="69"/>
  <c r="AQ34" i="69" s="1" a="1"/>
  <c r="AQ34" i="69" s="1"/>
  <c r="AK34" i="69" a="1"/>
  <c r="AK34" i="69" s="1"/>
  <c r="BH34" i="69" a="1"/>
  <c r="BH34" i="69" s="1"/>
  <c r="BO34" i="69"/>
  <c r="R34" i="69"/>
  <c r="BI34" i="69" a="1"/>
  <c r="BI34" i="69" s="1"/>
  <c r="F107" i="15" a="1"/>
  <c r="F107" i="15" s="1"/>
  <c r="U37" i="69" a="1"/>
  <c r="U37" i="69" s="1"/>
  <c r="AO50" i="69" a="1"/>
  <c r="AO50" i="69" s="1"/>
  <c r="BQ50" i="69"/>
  <c r="E50" i="69"/>
  <c r="AT5" i="69" a="1"/>
  <c r="AT5" i="69" s="1"/>
  <c r="AY48" i="69"/>
  <c r="BB48" i="69"/>
  <c r="AQ48" i="69" s="1" a="1"/>
  <c r="AQ48" i="69" s="1"/>
  <c r="BH48" i="69" a="1"/>
  <c r="BH48" i="69" s="1"/>
  <c r="R48" i="69"/>
  <c r="BO48" i="69"/>
  <c r="BI48" i="69" a="1"/>
  <c r="BI48" i="69" s="1"/>
  <c r="AK48" i="69" a="1"/>
  <c r="AK48" i="69" s="1"/>
  <c r="R59" i="69"/>
  <c r="AY59" i="69"/>
  <c r="AK59" i="69" a="1"/>
  <c r="AK59" i="69" s="1"/>
  <c r="BI59" i="69" a="1"/>
  <c r="BI59" i="69" s="1"/>
  <c r="BB59" i="69"/>
  <c r="AR59" i="69" s="1" a="1"/>
  <c r="AR59" i="69" s="1"/>
  <c r="BH59" i="69" a="1"/>
  <c r="BH59" i="69" s="1"/>
  <c r="BD27" i="4"/>
  <c r="BR27" i="4" s="1"/>
  <c r="BT27" i="4"/>
  <c r="CA13" i="4"/>
  <c r="AU13" i="4"/>
  <c r="AV13" i="4" a="1"/>
  <c r="AV13" i="4" s="1"/>
  <c r="C13" i="69" s="1"/>
  <c r="D13" i="69" s="1" a="1"/>
  <c r="D13" i="69" s="1"/>
  <c r="AT13" i="4" a="1"/>
  <c r="AT13" i="4" s="1"/>
  <c r="H13" i="69" s="1"/>
  <c r="Y13" i="4"/>
  <c r="CX13" i="4"/>
  <c r="CY13" i="4" s="1"/>
  <c r="BQ13" i="4"/>
  <c r="BN88" i="69"/>
  <c r="AE63" i="69" a="1"/>
  <c r="AE63" i="69" s="1"/>
  <c r="AO63" i="69" s="1" a="1"/>
  <c r="AO63" i="69" s="1"/>
  <c r="L46" i="69"/>
  <c r="BQ33" i="69"/>
  <c r="AO33" i="69" a="1"/>
  <c r="AO33" i="69" s="1"/>
  <c r="BK80" i="69"/>
  <c r="BJ80" i="69" s="1"/>
  <c r="BM80" i="69" s="1"/>
  <c r="BH45" i="4"/>
  <c r="BL45" i="4"/>
  <c r="AV547" i="13"/>
  <c r="AI79" i="69" a="1"/>
  <c r="AI79" i="69" s="1"/>
  <c r="BK42" i="69"/>
  <c r="BJ42" i="69" s="1"/>
  <c r="BM42" i="69" s="1"/>
  <c r="S38" i="69"/>
  <c r="BA38" i="69"/>
  <c r="AZ38" i="69"/>
  <c r="AI38" i="69" s="1" a="1"/>
  <c r="AI38" i="69" s="1"/>
  <c r="L21" i="4"/>
  <c r="AV23" i="13"/>
  <c r="Z1317" i="13"/>
  <c r="AY21" i="4"/>
  <c r="F21" i="4"/>
  <c r="AW21" i="4"/>
  <c r="L21" i="69" s="1"/>
  <c r="AP21" i="4"/>
  <c r="AV323" i="13" s="1"/>
  <c r="AV423" i="13" s="1"/>
  <c r="CX21" i="4"/>
  <c r="CY21" i="4" s="1"/>
  <c r="V34" i="22"/>
  <c r="W34" i="22"/>
  <c r="Y34" i="22" s="1"/>
  <c r="BK64" i="69"/>
  <c r="BJ64" i="69" s="1"/>
  <c r="BM64" i="69" s="1"/>
  <c r="BH64" i="69" a="1"/>
  <c r="BH64" i="69" s="1"/>
  <c r="BO64" i="69"/>
  <c r="R64" i="69"/>
  <c r="BB64" i="69"/>
  <c r="AR64" i="69" s="1" a="1"/>
  <c r="AR64" i="69" s="1"/>
  <c r="AY64" i="69"/>
  <c r="AK64" i="69" a="1"/>
  <c r="AK64" i="69" s="1"/>
  <c r="BI64" i="69" a="1"/>
  <c r="BI64" i="69" s="1"/>
  <c r="BH26" i="69" a="1"/>
  <c r="BH26" i="69" s="1"/>
  <c r="BB26" i="69"/>
  <c r="AQ26" i="69" s="1" a="1"/>
  <c r="AQ26" i="69" s="1"/>
  <c r="AY26" i="69"/>
  <c r="R26" i="69"/>
  <c r="AJ26" i="69" s="1" a="1"/>
  <c r="AJ26" i="69" s="1"/>
  <c r="BO26" i="69"/>
  <c r="BI26" i="69" a="1"/>
  <c r="BI26" i="69" s="1"/>
  <c r="AK26" i="69" a="1"/>
  <c r="AK26" i="69" s="1"/>
  <c r="AL72" i="4"/>
  <c r="I72" i="69" s="1"/>
  <c r="L513" i="15" a="1"/>
  <c r="L513" i="15" s="1"/>
  <c r="H262" i="15" a="1"/>
  <c r="H262" i="15" s="1"/>
  <c r="F262" i="15" a="1"/>
  <c r="F262" i="15" s="1"/>
  <c r="G14" i="27"/>
  <c r="AV514" i="13"/>
  <c r="BH12" i="4"/>
  <c r="BL12" i="4"/>
  <c r="CA25" i="4"/>
  <c r="AT25" i="4" a="1"/>
  <c r="AT25" i="4" s="1"/>
  <c r="H25" i="69" s="1"/>
  <c r="AU25" i="4"/>
  <c r="AV25" i="4" a="1"/>
  <c r="AV25" i="4" s="1"/>
  <c r="C25" i="69" s="1"/>
  <c r="D25" i="69" s="1" a="1"/>
  <c r="D25" i="69" s="1"/>
  <c r="Y25" i="4"/>
  <c r="CX25" i="4"/>
  <c r="CY25" i="4" s="1"/>
  <c r="BQ25" i="4"/>
  <c r="A1413" i="13"/>
  <c r="AX1314" i="13"/>
  <c r="AE86" i="69" a="1"/>
  <c r="AE86" i="69" s="1"/>
  <c r="AI86" i="69" s="1" a="1"/>
  <c r="AI86" i="69" s="1"/>
  <c r="U62" i="69" a="1"/>
  <c r="U62" i="69" s="1"/>
  <c r="B8" i="69"/>
  <c r="BL28" i="69" a="1"/>
  <c r="BL28" i="69" s="1"/>
  <c r="AZ28" i="69"/>
  <c r="AG28" i="69" s="1" a="1"/>
  <c r="AG28" i="69" s="1"/>
  <c r="BA28" i="69"/>
  <c r="E222" i="15"/>
  <c r="F215" i="15" s="1" a="1"/>
  <c r="F215" i="15" s="1"/>
  <c r="E77" i="4"/>
  <c r="BT77" i="4" s="1"/>
  <c r="BD77" i="4"/>
  <c r="X77" i="4" s="1"/>
  <c r="F446" i="15" a="1"/>
  <c r="F446" i="15" s="1"/>
  <c r="H446" i="15" a="1"/>
  <c r="H446" i="15" s="1"/>
  <c r="CA50" i="4"/>
  <c r="AT50" i="4" a="1"/>
  <c r="AT50" i="4" s="1"/>
  <c r="H50" i="69" s="1"/>
  <c r="AU50" i="4"/>
  <c r="AV50" i="4" a="1"/>
  <c r="AV50" i="4" s="1"/>
  <c r="C50" i="69" s="1"/>
  <c r="D50" i="69" s="1" a="1"/>
  <c r="D50" i="69" s="1"/>
  <c r="Y50" i="4"/>
  <c r="CX50" i="4"/>
  <c r="CY50" i="4" s="1"/>
  <c r="BQ50" i="4"/>
  <c r="H466" i="15" a="1"/>
  <c r="H466" i="15" s="1"/>
  <c r="F466" i="15" a="1"/>
  <c r="F466" i="15" s="1"/>
  <c r="CA5" i="4"/>
  <c r="AU5" i="4"/>
  <c r="Y5" i="4"/>
  <c r="AV5" i="4" a="1"/>
  <c r="AV5" i="4" s="1"/>
  <c r="C5" i="69" s="1"/>
  <c r="D5" i="69" s="1" a="1"/>
  <c r="D5" i="69" s="1"/>
  <c r="AT5" i="4" a="1"/>
  <c r="AT5" i="4" s="1"/>
  <c r="H5" i="69" s="1"/>
  <c r="BQ5" i="4"/>
  <c r="F72" i="4"/>
  <c r="BQ66" i="69"/>
  <c r="AO66" i="69" a="1"/>
  <c r="AO66" i="69" s="1"/>
  <c r="T81" i="69"/>
  <c r="BN81" i="69" s="1"/>
  <c r="A1404" i="13"/>
  <c r="AX1305" i="13"/>
  <c r="AX1387" i="13"/>
  <c r="A1486" i="13"/>
  <c r="F374" i="15" a="1"/>
  <c r="F374" i="15" s="1"/>
  <c r="H374" i="15" a="1"/>
  <c r="H374" i="15" s="1"/>
  <c r="K481" i="15" a="1"/>
  <c r="K481" i="15" s="1"/>
  <c r="AX1389" i="13"/>
  <c r="A1488" i="13"/>
  <c r="L8" i="69"/>
  <c r="F83" i="4"/>
  <c r="BN13" i="69"/>
  <c r="BQ9" i="69"/>
  <c r="AO9" i="69" a="1"/>
  <c r="AO9" i="69" s="1"/>
  <c r="K11" i="69" a="1"/>
  <c r="K11" i="69" s="1"/>
  <c r="BQ11" i="69"/>
  <c r="AO11" i="69" a="1"/>
  <c r="AO11" i="69" s="1"/>
  <c r="B25" i="69"/>
  <c r="BI61" i="69" a="1"/>
  <c r="BI61" i="69" s="1"/>
  <c r="AH61" i="69" a="1"/>
  <c r="AH61" i="69" s="1"/>
  <c r="AJ61" i="69" a="1"/>
  <c r="AJ61" i="69" s="1"/>
  <c r="AL61" i="69" a="1"/>
  <c r="AL61" i="69" s="1"/>
  <c r="AI61" i="69" a="1"/>
  <c r="AI61" i="69" s="1"/>
  <c r="AP61" i="69" a="1"/>
  <c r="AP61" i="69" s="1"/>
  <c r="AF61" i="69" a="1"/>
  <c r="AF61" i="69" s="1"/>
  <c r="AU61" i="69" a="1"/>
  <c r="AU61" i="69" s="1"/>
  <c r="AG61" i="69" a="1"/>
  <c r="AG61" i="69" s="1"/>
  <c r="AV61" i="69" a="1"/>
  <c r="AV61" i="69" s="1"/>
  <c r="AP81" i="4"/>
  <c r="CZ77" i="4" a="1"/>
  <c r="CZ77" i="4" s="1"/>
  <c r="AT9" i="4" a="1"/>
  <c r="AT9" i="4" s="1"/>
  <c r="H9" i="69" s="1"/>
  <c r="AV9" i="4" a="1"/>
  <c r="AV9" i="4" s="1"/>
  <c r="C9" i="69" s="1"/>
  <c r="D9" i="69" s="1" a="1"/>
  <c r="D9" i="69" s="1"/>
  <c r="AU9" i="4"/>
  <c r="Y9" i="4"/>
  <c r="BQ9" i="4"/>
  <c r="BQ31" i="69"/>
  <c r="AO31" i="69" a="1"/>
  <c r="AO31" i="69" s="1"/>
  <c r="AJ72" i="69" a="1"/>
  <c r="AJ72" i="69" s="1"/>
  <c r="AH72" i="69" a="1"/>
  <c r="AH72" i="69" s="1"/>
  <c r="AQ72" i="69" a="1"/>
  <c r="AQ72" i="69" s="1"/>
  <c r="AL72" i="69" a="1"/>
  <c r="AL72" i="69" s="1"/>
  <c r="AI72" i="69" a="1"/>
  <c r="AI72" i="69" s="1"/>
  <c r="AU72" i="69" a="1"/>
  <c r="AU72" i="69" s="1"/>
  <c r="AV72" i="69" a="1"/>
  <c r="AV72" i="69" s="1"/>
  <c r="AP72" i="69" a="1"/>
  <c r="AP72" i="69" s="1"/>
  <c r="AF72" i="69" a="1"/>
  <c r="AF72" i="69" s="1"/>
  <c r="BQ72" i="69"/>
  <c r="AO72" i="69" a="1"/>
  <c r="AO72" i="69" s="1"/>
  <c r="B24" i="69"/>
  <c r="BL82" i="69" a="1"/>
  <c r="BL82" i="69" s="1"/>
  <c r="BH82" i="69" a="1"/>
  <c r="BH82" i="69" s="1"/>
  <c r="R82" i="69"/>
  <c r="AY82" i="69"/>
  <c r="AJ82" i="69" s="1" a="1"/>
  <c r="AJ82" i="69" s="1"/>
  <c r="BO82" i="69"/>
  <c r="BB82" i="69"/>
  <c r="AQ82" i="69" s="1" a="1"/>
  <c r="AQ82" i="69" s="1"/>
  <c r="BI82" i="69" a="1"/>
  <c r="BI82" i="69" s="1"/>
  <c r="AK82" i="69" a="1"/>
  <c r="AK82" i="69" s="1"/>
  <c r="H406" i="15" a="1"/>
  <c r="H406" i="15" s="1"/>
  <c r="F406" i="15" a="1"/>
  <c r="F406" i="15" s="1"/>
  <c r="F247" i="15" a="1"/>
  <c r="F247" i="15" s="1"/>
  <c r="H247" i="15" a="1"/>
  <c r="H247" i="15" s="1"/>
  <c r="CV80" i="4"/>
  <c r="CW80" i="4" s="1"/>
  <c r="AZ54" i="69"/>
  <c r="AG54" i="69" s="1" a="1"/>
  <c r="AG54" i="69" s="1"/>
  <c r="BA54" i="69"/>
  <c r="BK54" i="69"/>
  <c r="BJ54" i="69" s="1"/>
  <c r="BM54" i="69" s="1"/>
  <c r="BB54" i="69"/>
  <c r="AQ54" i="69" s="1" a="1"/>
  <c r="AQ54" i="69" s="1"/>
  <c r="BH54" i="69" a="1"/>
  <c r="BH54" i="69" s="1"/>
  <c r="BO54" i="69"/>
  <c r="AY54" i="69"/>
  <c r="R54" i="69"/>
  <c r="AJ54" i="69" s="1" a="1"/>
  <c r="AJ54" i="69" s="1"/>
  <c r="BI54" i="69" a="1"/>
  <c r="BI54" i="69" s="1"/>
  <c r="AK54" i="69" a="1"/>
  <c r="AK54" i="69" s="1"/>
  <c r="AO90" i="69" a="1"/>
  <c r="AO90" i="69" s="1"/>
  <c r="AV90" i="69" a="1"/>
  <c r="AV90" i="69" s="1"/>
  <c r="AQ90" i="69" a="1"/>
  <c r="AQ90" i="69" s="1"/>
  <c r="AU90" i="69" a="1"/>
  <c r="AU90" i="69" s="1"/>
  <c r="AG90" i="69" a="1"/>
  <c r="AG90" i="69" s="1"/>
  <c r="AF90" i="69" a="1"/>
  <c r="AF90" i="69" s="1"/>
  <c r="AR90" i="69" a="1"/>
  <c r="AR90" i="69" s="1"/>
  <c r="AH90" i="69" a="1"/>
  <c r="AH90" i="69" s="1"/>
  <c r="AJ90" i="69" a="1"/>
  <c r="AJ90" i="69" s="1"/>
  <c r="AP90" i="69" a="1"/>
  <c r="AP90" i="69" s="1"/>
  <c r="AI90" i="69" a="1"/>
  <c r="AI90" i="69" s="1"/>
  <c r="AL90" i="69" a="1"/>
  <c r="AL90" i="69" s="1"/>
  <c r="S35" i="69"/>
  <c r="AO91" i="69" a="1"/>
  <c r="AO91" i="69" s="1"/>
  <c r="BQ91" i="69"/>
  <c r="B44" i="69"/>
  <c r="BK44" i="69"/>
  <c r="BJ44" i="69" s="1"/>
  <c r="BM44" i="69" s="1"/>
  <c r="R44" i="69"/>
  <c r="BB44" i="69"/>
  <c r="AY44" i="69"/>
  <c r="BO44" i="69"/>
  <c r="BH44" i="69" a="1"/>
  <c r="BH44" i="69" s="1"/>
  <c r="AZ44" i="69"/>
  <c r="BA44" i="69"/>
  <c r="M584" i="15" a="1"/>
  <c r="M584" i="15" s="1"/>
  <c r="L47" i="69"/>
  <c r="CA18" i="4"/>
  <c r="AV18" i="4" a="1"/>
  <c r="AV18" i="4" s="1"/>
  <c r="C18" i="69" s="1"/>
  <c r="D18" i="69" s="1" a="1"/>
  <c r="D18" i="69" s="1"/>
  <c r="AT18" i="4" a="1"/>
  <c r="AT18" i="4" s="1"/>
  <c r="H18" i="69" s="1"/>
  <c r="AU18" i="4"/>
  <c r="Y18" i="4"/>
  <c r="CX18" i="4"/>
  <c r="CY18" i="4" s="1"/>
  <c r="BQ18" i="4"/>
  <c r="AV68" i="4" a="1"/>
  <c r="AV68" i="4" s="1"/>
  <c r="C68" i="69" s="1"/>
  <c r="D68" i="69" s="1" a="1"/>
  <c r="D68" i="69" s="1"/>
  <c r="AU68" i="4"/>
  <c r="AT68" i="4" a="1"/>
  <c r="AT68" i="4" s="1"/>
  <c r="H68" i="69" s="1"/>
  <c r="Y68" i="4"/>
  <c r="CX68" i="4"/>
  <c r="CY68" i="4" s="1"/>
  <c r="P70" i="9" s="1"/>
  <c r="BQ68" i="4"/>
  <c r="K43" i="69" a="1"/>
  <c r="K43" i="69" s="1"/>
  <c r="G43" i="69"/>
  <c r="BC69" i="69"/>
  <c r="BL69" i="69" a="1"/>
  <c r="BL69" i="69" s="1"/>
  <c r="BB69" i="69"/>
  <c r="AR69" i="69" s="1" a="1"/>
  <c r="AR69" i="69" s="1"/>
  <c r="AY69" i="69"/>
  <c r="AJ69" i="69" s="1" a="1"/>
  <c r="AJ69" i="69" s="1"/>
  <c r="R69" i="69"/>
  <c r="BH69" i="69" a="1"/>
  <c r="BH69" i="69" s="1"/>
  <c r="BO69" i="69"/>
  <c r="AK69" i="69" a="1"/>
  <c r="AK69" i="69" s="1"/>
  <c r="BI69" i="69" a="1"/>
  <c r="BI69" i="69" s="1"/>
  <c r="BL92" i="69" a="1"/>
  <c r="BL92" i="69" s="1"/>
  <c r="E92" i="69"/>
  <c r="CV21" i="4"/>
  <c r="CW21" i="4" s="1"/>
  <c r="K70" i="69" a="1"/>
  <c r="K70" i="69" s="1"/>
  <c r="S22" i="69"/>
  <c r="BH22" i="69" a="1"/>
  <c r="BH22" i="69" s="1"/>
  <c r="BO22" i="69"/>
  <c r="BB22" i="69"/>
  <c r="AR22" i="69" s="1" a="1"/>
  <c r="AR22" i="69" s="1"/>
  <c r="AY22" i="69"/>
  <c r="R22" i="69"/>
  <c r="AK22" i="69" a="1"/>
  <c r="AK22" i="69" s="1"/>
  <c r="BI22" i="69" a="1"/>
  <c r="BI22" i="69" s="1"/>
  <c r="BA51" i="69"/>
  <c r="AZ51" i="69"/>
  <c r="E75" i="4"/>
  <c r="BT75" i="4" s="1"/>
  <c r="A1471" i="13"/>
  <c r="AX1372" i="13"/>
  <c r="CV74" i="4"/>
  <c r="CW74" i="4" s="1"/>
  <c r="BH27" i="4"/>
  <c r="AV529" i="13"/>
  <c r="BL27" i="4"/>
  <c r="F238" i="15" a="1"/>
  <c r="F238" i="15" s="1"/>
  <c r="H238" i="15" a="1"/>
  <c r="H238" i="15" s="1"/>
  <c r="BH11" i="4"/>
  <c r="AV513" i="13"/>
  <c r="BL11" i="4"/>
  <c r="BR7" i="4"/>
  <c r="C52" i="23"/>
  <c r="B52" i="23"/>
  <c r="BF27" i="4"/>
  <c r="L44" i="4"/>
  <c r="BG44" i="4"/>
  <c r="AV1142" i="13" s="1"/>
  <c r="X44" i="4"/>
  <c r="BR44" i="4"/>
  <c r="BG73" i="4"/>
  <c r="AV1171" i="13" s="1"/>
  <c r="X73" i="4"/>
  <c r="BG23" i="4"/>
  <c r="AV1121" i="13" s="1"/>
  <c r="X23" i="4"/>
  <c r="BR17" i="4"/>
  <c r="BG17" i="4"/>
  <c r="AV1115" i="13" s="1"/>
  <c r="X17" i="4"/>
  <c r="BG45" i="4"/>
  <c r="AV1143" i="13" s="1"/>
  <c r="BR45" i="4"/>
  <c r="BF37" i="4"/>
  <c r="BF18" i="4"/>
  <c r="BF19" i="4"/>
  <c r="BF32" i="4"/>
  <c r="AZ95" i="69"/>
  <c r="BA95" i="69"/>
  <c r="M475" i="15" a="1"/>
  <c r="M475" i="15" s="1"/>
  <c r="K475" i="15" a="1"/>
  <c r="K475" i="15" s="1"/>
  <c r="N475" i="15" a="1"/>
  <c r="N475" i="15" s="1"/>
  <c r="L475" i="15" a="1"/>
  <c r="L475" i="15" s="1"/>
  <c r="P71" i="9"/>
  <c r="P9" i="9"/>
  <c r="W87" i="22"/>
  <c r="Y87" i="22" s="1"/>
  <c r="AV405" i="13"/>
  <c r="BL28" i="4"/>
  <c r="AV530" i="13"/>
  <c r="BH28" i="4"/>
  <c r="AV10" i="4" a="1"/>
  <c r="AV10" i="4" s="1"/>
  <c r="C10" i="69" s="1"/>
  <c r="D10" i="69" s="1" a="1"/>
  <c r="D10" i="69" s="1"/>
  <c r="AU10" i="4"/>
  <c r="AT10" i="4" a="1"/>
  <c r="AT10" i="4" s="1"/>
  <c r="H10" i="69" s="1"/>
  <c r="Y10" i="4"/>
  <c r="BQ10" i="4"/>
  <c r="AZ20" i="69"/>
  <c r="AG20" i="69" s="1" a="1"/>
  <c r="AG20" i="69" s="1"/>
  <c r="BA20" i="69"/>
  <c r="BJ20" i="69"/>
  <c r="BM20" i="69" s="1"/>
  <c r="BK14" i="69"/>
  <c r="BJ14" i="69" s="1"/>
  <c r="BM14" i="69" s="1"/>
  <c r="R14" i="69"/>
  <c r="BH14" i="69" a="1"/>
  <c r="BH14" i="69" s="1"/>
  <c r="AY14" i="69"/>
  <c r="BB14" i="69"/>
  <c r="AR14" i="69" s="1" a="1"/>
  <c r="AR14" i="69" s="1"/>
  <c r="BO14" i="69"/>
  <c r="AK14" i="69" a="1"/>
  <c r="AK14" i="69" s="1"/>
  <c r="BI14" i="69" a="1"/>
  <c r="BI14" i="69" s="1"/>
  <c r="F102" i="15" a="1"/>
  <c r="F102" i="15" s="1"/>
  <c r="Y17" i="4"/>
  <c r="AV17" i="4" a="1"/>
  <c r="AV17" i="4" s="1"/>
  <c r="C17" i="69" s="1"/>
  <c r="D17" i="69" s="1" a="1"/>
  <c r="D17" i="69" s="1"/>
  <c r="AU17" i="4"/>
  <c r="AT17" i="4" a="1"/>
  <c r="AT17" i="4" s="1"/>
  <c r="H17" i="69" s="1"/>
  <c r="BQ17" i="4"/>
  <c r="A1431" i="13"/>
  <c r="AX1332" i="13"/>
  <c r="A1463" i="13"/>
  <c r="AX1364" i="13"/>
  <c r="AE74" i="69" a="1"/>
  <c r="AE74" i="69" s="1"/>
  <c r="AO74" i="69" s="1" a="1"/>
  <c r="AO74" i="69" s="1"/>
  <c r="E82" i="4"/>
  <c r="BT82" i="4" s="1"/>
  <c r="L527" i="15" a="1"/>
  <c r="L527" i="15" s="1"/>
  <c r="A1459" i="13"/>
  <c r="AX1360" i="13"/>
  <c r="AT90" i="4" a="1"/>
  <c r="AT90" i="4" s="1"/>
  <c r="H90" i="69" s="1"/>
  <c r="AU90" i="4"/>
  <c r="Y90" i="4"/>
  <c r="AV90" i="4" a="1"/>
  <c r="AV90" i="4" s="1"/>
  <c r="C90" i="69" s="1"/>
  <c r="D90" i="69" s="1" a="1"/>
  <c r="D90" i="69" s="1"/>
  <c r="BQ90" i="4"/>
  <c r="CX90" i="4"/>
  <c r="CY90" i="4" s="1"/>
  <c r="AX1378" i="13"/>
  <c r="A1477" i="13"/>
  <c r="BL33" i="4"/>
  <c r="AV535" i="13"/>
  <c r="BH33" i="4"/>
  <c r="BL13" i="4"/>
  <c r="AV515" i="13"/>
  <c r="BH13" i="4"/>
  <c r="AV88" i="69" a="1"/>
  <c r="AV88" i="69" s="1"/>
  <c r="AF88" i="69" a="1"/>
  <c r="AF88" i="69" s="1"/>
  <c r="AL88" i="69" a="1"/>
  <c r="AL88" i="69" s="1"/>
  <c r="AU88" i="69" a="1"/>
  <c r="AU88" i="69" s="1"/>
  <c r="AJ88" i="69" a="1"/>
  <c r="AJ88" i="69" s="1"/>
  <c r="AP88" i="69" a="1"/>
  <c r="AP88" i="69" s="1"/>
  <c r="AH88" i="69" a="1"/>
  <c r="AH88" i="69" s="1"/>
  <c r="AR88" i="69" a="1"/>
  <c r="AR88" i="69" s="1"/>
  <c r="AI88" i="69" a="1"/>
  <c r="AI88" i="69" s="1"/>
  <c r="AL65" i="69" a="1"/>
  <c r="AL65" i="69" s="1"/>
  <c r="AV65" i="69" a="1"/>
  <c r="AV65" i="69" s="1"/>
  <c r="AP65" i="69" a="1"/>
  <c r="AP65" i="69" s="1"/>
  <c r="AQ65" i="69" a="1"/>
  <c r="AQ65" i="69" s="1"/>
  <c r="AJ65" i="69" a="1"/>
  <c r="AJ65" i="69" s="1"/>
  <c r="AH65" i="69" a="1"/>
  <c r="AH65" i="69" s="1"/>
  <c r="AU65" i="69" a="1"/>
  <c r="AU65" i="69" s="1"/>
  <c r="AF65" i="69" a="1"/>
  <c r="AF65" i="69" s="1"/>
  <c r="AI65" i="69" a="1"/>
  <c r="AI65" i="69" s="1"/>
  <c r="BQ65" i="69"/>
  <c r="AO65" i="69" a="1"/>
  <c r="AO65" i="69" s="1"/>
  <c r="AT46" i="69" a="1"/>
  <c r="AT46" i="69" s="1"/>
  <c r="S18" i="69"/>
  <c r="BA18" i="69"/>
  <c r="BJ18" i="69"/>
  <c r="BM18" i="69" s="1"/>
  <c r="AZ18" i="69"/>
  <c r="AI18" i="69" s="1" a="1"/>
  <c r="AI18" i="69" s="1"/>
  <c r="BD9" i="4"/>
  <c r="BR9" i="4" s="1"/>
  <c r="A1484" i="13"/>
  <c r="AX1385" i="13"/>
  <c r="BL36" i="4"/>
  <c r="BH36" i="4"/>
  <c r="AV538" i="13"/>
  <c r="BQ79" i="69"/>
  <c r="AO79" i="69" a="1"/>
  <c r="AO79" i="69" s="1"/>
  <c r="BQ6" i="69"/>
  <c r="AO6" i="69" a="1"/>
  <c r="AO6" i="69" s="1"/>
  <c r="S42" i="69"/>
  <c r="U26" i="69" a="1"/>
  <c r="U26" i="69" s="1"/>
  <c r="AL52" i="69" a="1"/>
  <c r="AL52" i="69" s="1"/>
  <c r="AJ52" i="69" a="1"/>
  <c r="AJ52" i="69" s="1"/>
  <c r="AV52" i="69" a="1"/>
  <c r="AV52" i="69" s="1"/>
  <c r="AU52" i="69" a="1"/>
  <c r="AU52" i="69" s="1"/>
  <c r="AQ52" i="69" a="1"/>
  <c r="AQ52" i="69" s="1"/>
  <c r="AF52" i="69" a="1"/>
  <c r="AF52" i="69" s="1"/>
  <c r="AP52" i="69" a="1"/>
  <c r="AP52" i="69" s="1"/>
  <c r="AH52" i="69" a="1"/>
  <c r="AH52" i="69" s="1"/>
  <c r="AG52" i="69" a="1"/>
  <c r="AG52" i="69" s="1"/>
  <c r="AI52" i="69" a="1"/>
  <c r="AI52" i="69" s="1"/>
  <c r="M513" i="15" a="1"/>
  <c r="M513" i="15" s="1"/>
  <c r="AX1357" i="13"/>
  <c r="A1456" i="13"/>
  <c r="CX12" i="4"/>
  <c r="CY12" i="4" s="1"/>
  <c r="AV12" i="4" a="1"/>
  <c r="AV12" i="4" s="1"/>
  <c r="C12" i="69" s="1"/>
  <c r="D12" i="69" s="1" a="1"/>
  <c r="D12" i="69" s="1"/>
  <c r="AT12" i="4" a="1"/>
  <c r="AT12" i="4" s="1"/>
  <c r="H12" i="69" s="1"/>
  <c r="AU12" i="4"/>
  <c r="Y12" i="4"/>
  <c r="BQ12" i="4"/>
  <c r="AV527" i="13"/>
  <c r="BH25" i="4"/>
  <c r="BL25" i="4"/>
  <c r="S62" i="69"/>
  <c r="BI62" i="69" a="1"/>
  <c r="BI62" i="69" s="1"/>
  <c r="AY62" i="69"/>
  <c r="R62" i="69"/>
  <c r="BB62" i="69"/>
  <c r="AQ62" i="69" s="1" a="1"/>
  <c r="AQ62" i="69" s="1"/>
  <c r="BH62" i="69" a="1"/>
  <c r="BH62" i="69" s="1"/>
  <c r="AK62" i="69" a="1"/>
  <c r="AK62" i="69" s="1"/>
  <c r="BO62" i="69"/>
  <c r="AE8" i="69" a="1"/>
  <c r="AE8" i="69" s="1"/>
  <c r="AK8" i="69" s="1" a="1"/>
  <c r="AK8" i="69" s="1"/>
  <c r="R8" i="69"/>
  <c r="AY8" i="69"/>
  <c r="BB8" i="69"/>
  <c r="BH8" i="69" a="1"/>
  <c r="BH8" i="69" s="1"/>
  <c r="BO8" i="69"/>
  <c r="BQ28" i="69"/>
  <c r="AO28" i="69" a="1"/>
  <c r="AO28" i="69" s="1"/>
  <c r="AD72" i="4"/>
  <c r="F72" i="69" s="1"/>
  <c r="BN78" i="69"/>
  <c r="BJ78" i="69"/>
  <c r="BM78" i="69" s="1"/>
  <c r="BA78" i="69"/>
  <c r="AZ78" i="69"/>
  <c r="AI78" i="69" s="1" a="1"/>
  <c r="AI78" i="69" s="1"/>
  <c r="F93" i="4"/>
  <c r="E93" i="4"/>
  <c r="BT93" i="4" s="1"/>
  <c r="F209" i="15" a="1"/>
  <c r="F209" i="15" s="1"/>
  <c r="H209" i="15" a="1"/>
  <c r="H209" i="15" s="1"/>
  <c r="CA19" i="4"/>
  <c r="AT19" i="4" a="1"/>
  <c r="AT19" i="4" s="1"/>
  <c r="H19" i="69" s="1"/>
  <c r="AV19" i="4" a="1"/>
  <c r="AV19" i="4" s="1"/>
  <c r="C19" i="69" s="1"/>
  <c r="D19" i="69" s="1" a="1"/>
  <c r="D19" i="69" s="1"/>
  <c r="AU19" i="4"/>
  <c r="Y19" i="4"/>
  <c r="BQ19" i="4"/>
  <c r="BN57" i="69"/>
  <c r="BN66" i="69"/>
  <c r="AT81" i="69" a="1"/>
  <c r="AT81" i="69" s="1"/>
  <c r="AH87" i="4"/>
  <c r="N481" i="15" a="1"/>
  <c r="N481" i="15" s="1"/>
  <c r="AT8" i="4" a="1"/>
  <c r="AT8" i="4" s="1"/>
  <c r="H8" i="69" s="1"/>
  <c r="AU8" i="4"/>
  <c r="AV8" i="4" a="1"/>
  <c r="AV8" i="4" s="1"/>
  <c r="C8" i="69" s="1"/>
  <c r="D8" i="69" s="1" a="1"/>
  <c r="D8" i="69" s="1"/>
  <c r="Y8" i="4"/>
  <c r="CX8" i="4"/>
  <c r="CY8" i="4" s="1"/>
  <c r="BQ8" i="4"/>
  <c r="AV71" i="4" a="1"/>
  <c r="AV71" i="4" s="1"/>
  <c r="C71" i="69" s="1"/>
  <c r="D71" i="69" s="1" a="1"/>
  <c r="D71" i="69" s="1"/>
  <c r="AT71" i="4" a="1"/>
  <c r="AT71" i="4" s="1"/>
  <c r="H71" i="69" s="1"/>
  <c r="AU71" i="4"/>
  <c r="Y71" i="4"/>
  <c r="BQ71" i="4"/>
  <c r="CX71" i="4"/>
  <c r="CY71" i="4" s="1"/>
  <c r="L84" i="69"/>
  <c r="BN9" i="69"/>
  <c r="S11" i="69"/>
  <c r="BA11" i="69"/>
  <c r="AZ11" i="69"/>
  <c r="AG11" i="69" s="1" a="1"/>
  <c r="AG11" i="69" s="1"/>
  <c r="BC25" i="69"/>
  <c r="AH85" i="4"/>
  <c r="BL36" i="69" a="1"/>
  <c r="BL36" i="69" s="1"/>
  <c r="S36" i="69"/>
  <c r="BD79" i="4"/>
  <c r="H285" i="15" a="1"/>
  <c r="H285" i="15" s="1"/>
  <c r="F285" i="15" a="1"/>
  <c r="F285" i="15" s="1"/>
  <c r="AV556" i="13"/>
  <c r="BH54" i="4"/>
  <c r="BL54" i="4"/>
  <c r="CV77" i="4"/>
  <c r="CW77" i="4" s="1"/>
  <c r="E60" i="4"/>
  <c r="BT60" i="4" s="1"/>
  <c r="F275" i="15" a="1"/>
  <c r="F275" i="15" s="1"/>
  <c r="H275" i="15" a="1"/>
  <c r="H275" i="15" s="1"/>
  <c r="BL9" i="4"/>
  <c r="AV511" i="13"/>
  <c r="BH9" i="4"/>
  <c r="BL31" i="69" a="1"/>
  <c r="BL31" i="69" s="1"/>
  <c r="BJ71" i="69"/>
  <c r="BM71" i="69" s="1"/>
  <c r="AZ89" i="69"/>
  <c r="BA89" i="69"/>
  <c r="BN72" i="69"/>
  <c r="E24" i="69"/>
  <c r="S39" i="69"/>
  <c r="AH91" i="4"/>
  <c r="H414" i="15" a="1"/>
  <c r="H414" i="15" s="1"/>
  <c r="F414" i="15" a="1"/>
  <c r="F414" i="15" s="1"/>
  <c r="F616" i="15" a="1"/>
  <c r="F616" i="15" s="1"/>
  <c r="H616" i="15" a="1"/>
  <c r="H616" i="15" s="1"/>
  <c r="AP80" i="4"/>
  <c r="U54" i="69" a="1"/>
  <c r="U54" i="69" s="1"/>
  <c r="S90" i="69"/>
  <c r="U35" i="69" a="1"/>
  <c r="U35" i="69" s="1"/>
  <c r="BK7" i="69"/>
  <c r="BJ7" i="69" s="1"/>
  <c r="BM7" i="69" s="1"/>
  <c r="S44" i="69"/>
  <c r="BQ44" i="69"/>
  <c r="AE75" i="69" a="1"/>
  <c r="AE75" i="69" s="1"/>
  <c r="F78" i="4"/>
  <c r="BK43" i="69"/>
  <c r="BJ43" i="69" s="1"/>
  <c r="BM43" i="69" s="1"/>
  <c r="BQ43" i="69"/>
  <c r="AO43" i="69" a="1"/>
  <c r="AO43" i="69" s="1"/>
  <c r="AZ43" i="69"/>
  <c r="AI43" i="69" s="1" a="1"/>
  <c r="AI43" i="69" s="1"/>
  <c r="BA43" i="69"/>
  <c r="K69" i="69" a="1"/>
  <c r="K69" i="69" s="1"/>
  <c r="BN92" i="69"/>
  <c r="AZ70" i="69"/>
  <c r="AI70" i="69" s="1" a="1"/>
  <c r="AI70" i="69" s="1"/>
  <c r="BA70" i="69"/>
  <c r="AH64" i="4"/>
  <c r="AE51" i="69" a="1"/>
  <c r="AE51" i="69" s="1"/>
  <c r="BK51" i="69"/>
  <c r="BJ51" i="69" s="1"/>
  <c r="BM51" i="69" s="1"/>
  <c r="BH51" i="69" a="1"/>
  <c r="BH51" i="69" s="1"/>
  <c r="BB51" i="69"/>
  <c r="BO51" i="69"/>
  <c r="AY51" i="69"/>
  <c r="R51" i="69"/>
  <c r="E51" i="69"/>
  <c r="A1444" i="13"/>
  <c r="AX1345" i="13"/>
  <c r="BL41" i="4"/>
  <c r="BH41" i="4"/>
  <c r="AV543" i="13"/>
  <c r="F43" i="23"/>
  <c r="P43" i="23" s="1"/>
  <c r="Z43" i="23" s="1"/>
  <c r="CV67" i="4"/>
  <c r="CW67" i="4" s="1"/>
  <c r="F296" i="15" a="1"/>
  <c r="F296" i="15" s="1"/>
  <c r="H296" i="15" a="1"/>
  <c r="H296" i="15" s="1"/>
  <c r="CV55" i="4"/>
  <c r="CW55" i="4" s="1"/>
  <c r="BR48" i="4"/>
  <c r="BG48" i="4"/>
  <c r="AV1146" i="13" s="1"/>
  <c r="BG11" i="4"/>
  <c r="AV1109" i="13" s="1"/>
  <c r="BR11" i="4"/>
  <c r="X10" i="4"/>
  <c r="BG10" i="4"/>
  <c r="AV1108" i="13" s="1"/>
  <c r="BR10" i="4"/>
  <c r="BG71" i="4"/>
  <c r="AV1169" i="13" s="1"/>
  <c r="X71" i="4"/>
  <c r="BG35" i="4"/>
  <c r="AV1133" i="13" s="1"/>
  <c r="X35" i="4"/>
  <c r="BG53" i="4"/>
  <c r="AV1151" i="13" s="1"/>
  <c r="BR53" i="4"/>
  <c r="X79" i="4"/>
  <c r="BG79" i="4"/>
  <c r="AV1177" i="13" s="1"/>
  <c r="BR79" i="4"/>
  <c r="BF47" i="4"/>
  <c r="L32" i="4"/>
  <c r="BG32" i="4"/>
  <c r="AV1130" i="13" s="1"/>
  <c r="M501" i="15" a="1"/>
  <c r="M501" i="15" s="1"/>
  <c r="N501" i="15" a="1"/>
  <c r="N501" i="15" s="1"/>
  <c r="L501" i="15" a="1"/>
  <c r="L501" i="15" s="1"/>
  <c r="K501" i="15" a="1"/>
  <c r="K501" i="15" s="1"/>
  <c r="H391" i="15" a="1"/>
  <c r="H391" i="15" s="1"/>
  <c r="F391" i="15" a="1"/>
  <c r="F391" i="15" s="1"/>
  <c r="P23" i="9"/>
  <c r="M541" i="15" a="1"/>
  <c r="M541" i="15" s="1"/>
  <c r="N541" i="15" a="1"/>
  <c r="N541" i="15" s="1"/>
  <c r="P73" i="9"/>
  <c r="P44" i="9"/>
  <c r="M599" i="15" a="1"/>
  <c r="M599" i="15" s="1"/>
  <c r="K599" i="15" a="1"/>
  <c r="K599" i="15" s="1"/>
  <c r="N599" i="15" a="1"/>
  <c r="N599" i="15" s="1"/>
  <c r="CA28" i="4"/>
  <c r="AV28" i="4" a="1"/>
  <c r="AV28" i="4" s="1"/>
  <c r="C28" i="69" s="1"/>
  <c r="D28" i="69" s="1" a="1"/>
  <c r="D28" i="69" s="1"/>
  <c r="AU28" i="4"/>
  <c r="AT28" i="4" a="1"/>
  <c r="AT28" i="4" s="1"/>
  <c r="H28" i="69" s="1"/>
  <c r="Y28" i="4"/>
  <c r="BQ28" i="4"/>
  <c r="BH10" i="4"/>
  <c r="BL10" i="4"/>
  <c r="AV512" i="13"/>
  <c r="BQ73" i="69"/>
  <c r="AO73" i="69" a="1"/>
  <c r="AO73" i="69" s="1"/>
  <c r="AT34" i="69" a="1"/>
  <c r="AT34" i="69" s="1"/>
  <c r="BJ87" i="69"/>
  <c r="BM87" i="69" s="1"/>
  <c r="AZ87" i="69"/>
  <c r="AG87" i="69" s="1" a="1"/>
  <c r="AG87" i="69" s="1"/>
  <c r="BA87" i="69"/>
  <c r="E14" i="69"/>
  <c r="AX1302" i="13"/>
  <c r="A1401" i="13"/>
  <c r="CA26" i="4"/>
  <c r="AU26" i="4"/>
  <c r="AV26" i="4" a="1"/>
  <c r="AV26" i="4" s="1"/>
  <c r="C26" i="69" s="1"/>
  <c r="D26" i="69" s="1" a="1"/>
  <c r="D26" i="69" s="1"/>
  <c r="AT26" i="4" a="1"/>
  <c r="AT26" i="4" s="1"/>
  <c r="H26" i="69" s="1"/>
  <c r="Y26" i="4"/>
  <c r="BQ26" i="4"/>
  <c r="BN5" i="69"/>
  <c r="BC74" i="69"/>
  <c r="N527" i="15" a="1"/>
  <c r="N527" i="15" s="1"/>
  <c r="AX1353" i="13"/>
  <c r="A1452" i="13"/>
  <c r="AV92" i="4" a="1"/>
  <c r="AV92" i="4" s="1"/>
  <c r="C92" i="69" s="1"/>
  <c r="D92" i="69" s="1" a="1"/>
  <c r="D92" i="69" s="1"/>
  <c r="AU92" i="4"/>
  <c r="AT92" i="4" a="1"/>
  <c r="AT92" i="4" s="1"/>
  <c r="H92" i="69" s="1"/>
  <c r="Y92" i="4"/>
  <c r="CX92" i="4"/>
  <c r="CY92" i="4" s="1"/>
  <c r="P94" i="9" s="1"/>
  <c r="BQ92" i="4"/>
  <c r="E66" i="15"/>
  <c r="H62" i="15" s="1" a="1"/>
  <c r="H62" i="15" s="1"/>
  <c r="E108" i="15"/>
  <c r="H76" i="15" a="1"/>
  <c r="H76" i="15" s="1"/>
  <c r="AX1308" i="13"/>
  <c r="A1407" i="13"/>
  <c r="AV564" i="13"/>
  <c r="BL62" i="4"/>
  <c r="BC65" i="69"/>
  <c r="BQ46" i="69"/>
  <c r="AO46" i="69" a="1"/>
  <c r="AO46" i="69" s="1"/>
  <c r="B18" i="69"/>
  <c r="BA33" i="69"/>
  <c r="AZ33" i="69"/>
  <c r="AG33" i="69" s="1" a="1"/>
  <c r="AG33" i="69" s="1"/>
  <c r="BN80" i="69"/>
  <c r="AZ80" i="69"/>
  <c r="AG80" i="69" s="1" a="1"/>
  <c r="AG80" i="69" s="1"/>
  <c r="BA80" i="69"/>
  <c r="Z74" i="4"/>
  <c r="E74" i="4"/>
  <c r="BT74" i="4" s="1"/>
  <c r="BC79" i="69"/>
  <c r="BC38" i="69"/>
  <c r="F539" i="15" a="1"/>
  <c r="F539" i="15" s="1"/>
  <c r="H539" i="15" a="1"/>
  <c r="H539" i="15" s="1"/>
  <c r="A1460" i="13"/>
  <c r="AX1361" i="13"/>
  <c r="E86" i="69"/>
  <c r="BL78" i="69" a="1"/>
  <c r="BL78" i="69" s="1"/>
  <c r="E78" i="69"/>
  <c r="H397" i="15" a="1"/>
  <c r="H397" i="15" s="1"/>
  <c r="F397" i="15" a="1"/>
  <c r="F397" i="15" s="1"/>
  <c r="L582" i="15" a="1"/>
  <c r="L582" i="15" s="1"/>
  <c r="BL52" i="4"/>
  <c r="AV554" i="13"/>
  <c r="BH52" i="4"/>
  <c r="H368" i="15" a="1"/>
  <c r="H368" i="15" s="1"/>
  <c r="F368" i="15" a="1"/>
  <c r="F368" i="15" s="1"/>
  <c r="BH50" i="4"/>
  <c r="AV552" i="13"/>
  <c r="BL50" i="4"/>
  <c r="F370" i="15" a="1"/>
  <c r="F370" i="15" s="1"/>
  <c r="H370" i="15" a="1"/>
  <c r="H370" i="15" s="1"/>
  <c r="H369" i="15" a="1"/>
  <c r="H369" i="15" s="1"/>
  <c r="BH19" i="4"/>
  <c r="BL19" i="4"/>
  <c r="AV521" i="13"/>
  <c r="E56" i="69"/>
  <c r="BC66" i="69"/>
  <c r="L81" i="69"/>
  <c r="Z61" i="4"/>
  <c r="CV61" i="4"/>
  <c r="CW61" i="4" s="1"/>
  <c r="E61" i="4"/>
  <c r="BT61" i="4" s="1"/>
  <c r="BD61" i="4"/>
  <c r="X61" i="4" s="1"/>
  <c r="L481" i="15" a="1"/>
  <c r="L481" i="15" s="1"/>
  <c r="BR8" i="4"/>
  <c r="BL8" i="4"/>
  <c r="AV510" i="13"/>
  <c r="BH8" i="4"/>
  <c r="BL71" i="4"/>
  <c r="AV573" i="13"/>
  <c r="BH71" i="4"/>
  <c r="P40" i="9"/>
  <c r="AV24" i="4" a="1"/>
  <c r="AV24" i="4" s="1"/>
  <c r="C24" i="69" s="1"/>
  <c r="D24" i="69" s="1" a="1"/>
  <c r="D24" i="69" s="1"/>
  <c r="AT24" i="4" a="1"/>
  <c r="AT24" i="4" s="1"/>
  <c r="H24" i="69" s="1"/>
  <c r="AU24" i="4"/>
  <c r="Y24" i="4"/>
  <c r="CX24" i="4"/>
  <c r="CY24" i="4" s="1"/>
  <c r="BQ24" i="4"/>
  <c r="E9" i="69"/>
  <c r="BC11" i="69"/>
  <c r="BK11" i="69"/>
  <c r="BJ11" i="69" s="1"/>
  <c r="BM11" i="69" s="1"/>
  <c r="BB11" i="69"/>
  <c r="AR11" i="69" s="1" a="1"/>
  <c r="AR11" i="69" s="1"/>
  <c r="R11" i="69"/>
  <c r="BH11" i="69" a="1"/>
  <c r="BH11" i="69" s="1"/>
  <c r="BO11" i="69"/>
  <c r="AY11" i="69"/>
  <c r="BI11" i="69" a="1"/>
  <c r="BI11" i="69" s="1"/>
  <c r="AK11" i="69" a="1"/>
  <c r="AK11" i="69" s="1"/>
  <c r="G25" i="69"/>
  <c r="E25" i="69"/>
  <c r="BL61" i="69" a="1"/>
  <c r="BL61" i="69" s="1"/>
  <c r="BH61" i="69" a="1"/>
  <c r="BH61" i="69" s="1"/>
  <c r="R61" i="69"/>
  <c r="AY61" i="69"/>
  <c r="BB61" i="69"/>
  <c r="AQ61" i="69" s="1" a="1"/>
  <c r="AQ61" i="69" s="1"/>
  <c r="BO61" i="69"/>
  <c r="AK61" i="69" a="1"/>
  <c r="AK61" i="69" s="1"/>
  <c r="AD59" i="4"/>
  <c r="F59" i="69" s="1"/>
  <c r="G36" i="69"/>
  <c r="AH89" i="4"/>
  <c r="F308" i="15" a="1"/>
  <c r="F308" i="15" s="1"/>
  <c r="F398" i="15" a="1"/>
  <c r="F398" i="15" s="1"/>
  <c r="H398" i="15" a="1"/>
  <c r="H398" i="15" s="1"/>
  <c r="AP77" i="4"/>
  <c r="BK84" i="69"/>
  <c r="BJ84" i="69" s="1"/>
  <c r="BM84" i="69" s="1"/>
  <c r="AY84" i="69"/>
  <c r="BB84" i="69"/>
  <c r="AR84" i="69" s="1" a="1"/>
  <c r="AR84" i="69" s="1"/>
  <c r="R84" i="69"/>
  <c r="BO84" i="69"/>
  <c r="AK84" i="69" a="1"/>
  <c r="AK84" i="69" s="1"/>
  <c r="BI84" i="69" a="1"/>
  <c r="BI84" i="69" s="1"/>
  <c r="BN31" i="69"/>
  <c r="BK89" i="69"/>
  <c r="BJ89" i="69" s="1"/>
  <c r="BM89" i="69" s="1"/>
  <c r="BI89" i="69" a="1"/>
  <c r="BI89" i="69" s="1"/>
  <c r="AY89" i="69"/>
  <c r="BB89" i="69"/>
  <c r="AR89" i="69" s="1" a="1"/>
  <c r="AR89" i="69" s="1"/>
  <c r="R89" i="69"/>
  <c r="AJ89" i="69" s="1" a="1"/>
  <c r="AJ89" i="69" s="1"/>
  <c r="AK89" i="69" a="1"/>
  <c r="AK89" i="69" s="1"/>
  <c r="BO89" i="69"/>
  <c r="BH89" i="69" a="1"/>
  <c r="BH89" i="69" s="1"/>
  <c r="BC72" i="69"/>
  <c r="U24" i="69" a="1"/>
  <c r="U24" i="69" s="1"/>
  <c r="B39" i="69"/>
  <c r="K82" i="69" a="1"/>
  <c r="K82" i="69" s="1"/>
  <c r="AZ82" i="69"/>
  <c r="AG82" i="69" s="1" a="1"/>
  <c r="AG82" i="69" s="1"/>
  <c r="BA82" i="69"/>
  <c r="F210" i="15" a="1"/>
  <c r="F210" i="15" s="1"/>
  <c r="H210" i="15" a="1"/>
  <c r="H210" i="15" s="1"/>
  <c r="H378" i="15" a="1"/>
  <c r="H378" i="15" s="1"/>
  <c r="F378" i="15" a="1"/>
  <c r="F378" i="15" s="1"/>
  <c r="AX1368" i="13"/>
  <c r="A1467" i="13"/>
  <c r="B90" i="69"/>
  <c r="K35" i="69" a="1"/>
  <c r="K35" i="69" s="1"/>
  <c r="BL91" i="69" a="1"/>
  <c r="BL91" i="69" s="1"/>
  <c r="L7" i="69"/>
  <c r="BA29" i="69"/>
  <c r="AZ29" i="69"/>
  <c r="AG29" i="69" s="1" a="1"/>
  <c r="AG29" i="69" s="1"/>
  <c r="AL80" i="4"/>
  <c r="I80" i="69" s="1"/>
  <c r="AE44" i="69" a="1"/>
  <c r="AE44" i="69" s="1"/>
  <c r="BI44" i="69" s="1" a="1"/>
  <c r="BI44" i="69" s="1"/>
  <c r="AT75" i="69" a="1"/>
  <c r="AT75" i="69" s="1"/>
  <c r="E344" i="15"/>
  <c r="F341" i="15" s="1" a="1"/>
  <c r="F341" i="15" s="1"/>
  <c r="CV62" i="4"/>
  <c r="CW62" i="4" s="1"/>
  <c r="E62" i="4"/>
  <c r="BT62" i="4" s="1"/>
  <c r="K539" i="15" a="1"/>
  <c r="K539" i="15" s="1"/>
  <c r="BL18" i="4"/>
  <c r="AV520" i="13"/>
  <c r="BH18" i="4"/>
  <c r="BC43" i="69"/>
  <c r="E43" i="69"/>
  <c r="BC15" i="69"/>
  <c r="K92" i="69" a="1"/>
  <c r="K92" i="69" s="1"/>
  <c r="BK70" i="69"/>
  <c r="BJ70" i="69" s="1"/>
  <c r="BM70" i="69" s="1"/>
  <c r="AF22" i="69" a="1"/>
  <c r="AF22" i="69" s="1"/>
  <c r="AI22" i="69" a="1"/>
  <c r="AI22" i="69" s="1"/>
  <c r="AV22" i="69" a="1"/>
  <c r="AV22" i="69" s="1"/>
  <c r="AL22" i="69" a="1"/>
  <c r="AL22" i="69" s="1"/>
  <c r="AU22" i="69" a="1"/>
  <c r="AU22" i="69" s="1"/>
  <c r="AQ22" i="69" a="1"/>
  <c r="AQ22" i="69" s="1"/>
  <c r="AH22" i="69" a="1"/>
  <c r="AH22" i="69" s="1"/>
  <c r="AP22" i="69" a="1"/>
  <c r="AP22" i="69" s="1"/>
  <c r="AJ22" i="69" a="1"/>
  <c r="AJ22" i="69" s="1"/>
  <c r="BQ22" i="69"/>
  <c r="AO22" i="69" a="1"/>
  <c r="AO22" i="69" s="1"/>
  <c r="AF12" i="69" a="1"/>
  <c r="AF12" i="69" s="1"/>
  <c r="AJ12" i="69" a="1"/>
  <c r="AJ12" i="69" s="1"/>
  <c r="AH12" i="69" a="1"/>
  <c r="AH12" i="69" s="1"/>
  <c r="AV12" i="69" a="1"/>
  <c r="AV12" i="69" s="1"/>
  <c r="AL12" i="69" a="1"/>
  <c r="AL12" i="69" s="1"/>
  <c r="AU12" i="69" a="1"/>
  <c r="AU12" i="69" s="1"/>
  <c r="AP12" i="69" a="1"/>
  <c r="AP12" i="69" s="1"/>
  <c r="AQ12" i="69" a="1"/>
  <c r="AQ12" i="69" s="1"/>
  <c r="AG12" i="69" a="1"/>
  <c r="AG12" i="69" s="1"/>
  <c r="BQ12" i="69"/>
  <c r="AO12" i="69" a="1"/>
  <c r="AO12" i="69" s="1"/>
  <c r="L498" i="15" a="1"/>
  <c r="L498" i="15" s="1"/>
  <c r="BD32" i="4"/>
  <c r="BR32" i="4" s="1"/>
  <c r="K584" i="15" a="1"/>
  <c r="K584" i="15" s="1"/>
  <c r="H429" i="15" a="1"/>
  <c r="H429" i="15" s="1"/>
  <c r="F429" i="15" a="1"/>
  <c r="F429" i="15" s="1"/>
  <c r="CV75" i="4"/>
  <c r="CW75" i="4" s="1"/>
  <c r="F311" i="15" a="1"/>
  <c r="F311" i="15" s="1"/>
  <c r="I311" i="15" s="1" a="1"/>
  <c r="I311" i="15" s="1"/>
  <c r="H311" i="15" a="1"/>
  <c r="H311" i="15" s="1"/>
  <c r="CZ67" i="4" a="1"/>
  <c r="CZ67" i="4" s="1"/>
  <c r="F55" i="15" a="1"/>
  <c r="F55" i="15" s="1"/>
  <c r="H55" i="15" a="1"/>
  <c r="H55" i="15" s="1"/>
  <c r="F469" i="15" a="1"/>
  <c r="F469" i="15" s="1"/>
  <c r="H469" i="15" a="1"/>
  <c r="H469" i="15" s="1"/>
  <c r="L584" i="15" a="1"/>
  <c r="L584" i="15" s="1"/>
  <c r="BG57" i="4"/>
  <c r="AV1155" i="13" s="1"/>
  <c r="X57" i="4"/>
  <c r="BR20" i="4"/>
  <c r="X20" i="4"/>
  <c r="BG20" i="4"/>
  <c r="AV1118" i="13" s="1"/>
  <c r="CZ55" i="4" a="1"/>
  <c r="CZ55" i="4" s="1"/>
  <c r="CT55" i="4"/>
  <c r="CU55" i="4" s="1"/>
  <c r="CU97" i="4" s="1"/>
  <c r="X43" i="4"/>
  <c r="BG43" i="4"/>
  <c r="AV1141" i="13" s="1"/>
  <c r="BR43" i="4"/>
  <c r="BF11" i="4"/>
  <c r="AH21" i="4"/>
  <c r="AV1317" i="13" s="1"/>
  <c r="BF49" i="4"/>
  <c r="BF29" i="4"/>
  <c r="BF35" i="4"/>
  <c r="BF53" i="4"/>
  <c r="BG69" i="4"/>
  <c r="AV1167" i="13" s="1"/>
  <c r="BR69" i="4"/>
  <c r="X69" i="4"/>
  <c r="BK55" i="4" a="1"/>
  <c r="BI55" i="4" a="1"/>
  <c r="BJ55" i="4" a="1"/>
  <c r="CW97" i="4" l="1"/>
  <c r="AQ13" i="69" a="1"/>
  <c r="AQ13" i="69" s="1"/>
  <c r="AT3" i="69" a="1"/>
  <c r="AT3" i="69" s="1"/>
  <c r="AQ77" i="69" a="1"/>
  <c r="AQ77" i="69" s="1"/>
  <c r="BI8" i="69" a="1"/>
  <c r="BI8" i="69" s="1"/>
  <c r="X94" i="4"/>
  <c r="B60" i="69"/>
  <c r="BN3" i="69"/>
  <c r="AS27" i="69" a="1"/>
  <c r="AS27" i="69" s="1"/>
  <c r="BN60" i="69"/>
  <c r="BH3" i="69" a="1"/>
  <c r="BH3" i="69" s="1"/>
  <c r="AV27" i="69" a="1"/>
  <c r="AV27" i="69" s="1"/>
  <c r="AI35" i="69" a="1"/>
  <c r="AI35" i="69" s="1"/>
  <c r="AP27" i="69" a="1"/>
  <c r="AP27" i="69" s="1"/>
  <c r="AK86" i="69" a="1"/>
  <c r="AK86" i="69" s="1"/>
  <c r="AT21" i="69" a="1"/>
  <c r="AT21" i="69" s="1"/>
  <c r="X81" i="4"/>
  <c r="L3" i="69"/>
  <c r="AI77" i="69" a="1"/>
  <c r="AI77" i="69" s="1"/>
  <c r="AJ27" i="69" a="1"/>
  <c r="AJ27" i="69" s="1"/>
  <c r="BI86" i="69" a="1"/>
  <c r="BI86" i="69" s="1"/>
  <c r="AT60" i="69" a="1"/>
  <c r="AT60" i="69" s="1"/>
  <c r="AI39" i="69" a="1"/>
  <c r="AI39" i="69" s="1"/>
  <c r="AR61" i="69" a="1"/>
  <c r="AR61" i="69" s="1"/>
  <c r="AQ86" i="69" a="1"/>
  <c r="AQ86" i="69" s="1"/>
  <c r="AR95" i="69" a="1"/>
  <c r="AR95" i="69" s="1"/>
  <c r="BN21" i="69"/>
  <c r="AI73" i="69" a="1"/>
  <c r="AI73" i="69" s="1"/>
  <c r="X58" i="4"/>
  <c r="AO44" i="69" a="1"/>
  <c r="AO44" i="69" s="1"/>
  <c r="BC21" i="69"/>
  <c r="BF1767" i="13"/>
  <c r="BJ55" i="4"/>
  <c r="BI55" i="4"/>
  <c r="BK55" i="4"/>
  <c r="BK97" i="4" s="1"/>
  <c r="O27" i="69"/>
  <c r="BF27" i="69"/>
  <c r="I215" i="15" a="1"/>
  <c r="I215" i="15" s="1"/>
  <c r="BF36" i="69"/>
  <c r="O36" i="69"/>
  <c r="BF52" i="69"/>
  <c r="O52" i="69"/>
  <c r="BD55" i="4"/>
  <c r="BT55" i="4"/>
  <c r="I341" i="15" a="1"/>
  <c r="I341" i="15" s="1"/>
  <c r="O32" i="69"/>
  <c r="BF32" i="69"/>
  <c r="O16" i="69"/>
  <c r="BF16" i="69"/>
  <c r="BF13" i="69"/>
  <c r="O13" i="69"/>
  <c r="Z1548" i="13"/>
  <c r="AV1444" i="13"/>
  <c r="AV1548" i="13"/>
  <c r="AV1647" i="13" s="1"/>
  <c r="A1543" i="13"/>
  <c r="AX1444" i="13"/>
  <c r="I378" i="15" a="1"/>
  <c r="I378" i="15" s="1"/>
  <c r="AQ21" i="4"/>
  <c r="AR21" i="4"/>
  <c r="AQ54" i="4"/>
  <c r="AR54" i="4"/>
  <c r="AR10" i="4"/>
  <c r="AQ12" i="4"/>
  <c r="AR12" i="4"/>
  <c r="AQ10" i="4"/>
  <c r="I210" i="15" a="1"/>
  <c r="I210" i="15" s="1"/>
  <c r="AQ8" i="4"/>
  <c r="AR8" i="4"/>
  <c r="BM19" i="4"/>
  <c r="BE19" i="4" s="1" a="1"/>
  <c r="BE19" i="4" s="1"/>
  <c r="BD19" i="69"/>
  <c r="AD19" i="69"/>
  <c r="BM52" i="4"/>
  <c r="BE52" i="4" s="1" a="1"/>
  <c r="BE52" i="4" s="1"/>
  <c r="BD52" i="69"/>
  <c r="AD52" i="69"/>
  <c r="BM10" i="4"/>
  <c r="BE10" i="4" s="1" a="1"/>
  <c r="BE10" i="4" s="1"/>
  <c r="BD10" i="69"/>
  <c r="AD10" i="69"/>
  <c r="X32" i="4"/>
  <c r="BF10" i="69"/>
  <c r="O10" i="69"/>
  <c r="AQ43" i="4"/>
  <c r="AR43" i="4"/>
  <c r="I209" i="15" a="1"/>
  <c r="I209" i="15" s="1"/>
  <c r="AV1560" i="13"/>
  <c r="AV1659" i="13" s="1"/>
  <c r="A1555" i="13"/>
  <c r="AX1456" i="13"/>
  <c r="AV1456" i="13"/>
  <c r="Z1560" i="13"/>
  <c r="BF9" i="69"/>
  <c r="O9" i="69"/>
  <c r="O17" i="69"/>
  <c r="BF17" i="69"/>
  <c r="O7" i="69"/>
  <c r="BF7" i="69"/>
  <c r="BD75" i="4"/>
  <c r="X75" i="4" s="1"/>
  <c r="I406" i="15" a="1"/>
  <c r="I406" i="15" s="1"/>
  <c r="I466" i="15" a="1"/>
  <c r="I466" i="15" s="1"/>
  <c r="O47" i="69"/>
  <c r="BF47" i="69"/>
  <c r="BR40" i="4"/>
  <c r="O73" i="69"/>
  <c r="BF73" i="69"/>
  <c r="I439" i="15" a="1"/>
  <c r="I439" i="15" s="1"/>
  <c r="AV374" i="13"/>
  <c r="AV474" i="13" s="1"/>
  <c r="U72" i="69" a="1"/>
  <c r="U72" i="69" s="1"/>
  <c r="Z1510" i="13"/>
  <c r="AV1510" i="13"/>
  <c r="AV1609" i="13" s="1"/>
  <c r="A1505" i="13"/>
  <c r="AX1406" i="13"/>
  <c r="AV1406" i="13"/>
  <c r="AK74" i="69" a="1"/>
  <c r="AK74" i="69" s="1"/>
  <c r="I420" i="15" a="1"/>
  <c r="I420" i="15" s="1"/>
  <c r="AQ53" i="4"/>
  <c r="AR53" i="4"/>
  <c r="I258" i="15" a="1"/>
  <c r="I258" i="15" s="1"/>
  <c r="BJ21" i="69"/>
  <c r="BM21" i="69" s="1"/>
  <c r="BF28" i="69"/>
  <c r="O28" i="69"/>
  <c r="BM15" i="4"/>
  <c r="BE15" i="4" s="1" a="1"/>
  <c r="BE15" i="4" s="1"/>
  <c r="BD15" i="69"/>
  <c r="AD15" i="69"/>
  <c r="AL28" i="69" a="1"/>
  <c r="AL28" i="69" s="1"/>
  <c r="AH28" i="69" a="1"/>
  <c r="AH28" i="69" s="1"/>
  <c r="AJ28" i="69" a="1"/>
  <c r="AJ28" i="69" s="1"/>
  <c r="AF28" i="69" a="1"/>
  <c r="AF28" i="69" s="1"/>
  <c r="AR28" i="69" a="1"/>
  <c r="AR28" i="69" s="1"/>
  <c r="AP28" i="69" a="1"/>
  <c r="AP28" i="69" s="1"/>
  <c r="AU28" i="69" a="1"/>
  <c r="AU28" i="69" s="1"/>
  <c r="AV28" i="69" a="1"/>
  <c r="AV28" i="69" s="1"/>
  <c r="AI28" i="69" a="1"/>
  <c r="AI28" i="69" s="1"/>
  <c r="AS28" i="69" a="1"/>
  <c r="AS28" i="69" s="1"/>
  <c r="BF57" i="69"/>
  <c r="O57" i="69"/>
  <c r="BM39" i="4"/>
  <c r="BE39" i="4" s="1" a="1"/>
  <c r="BE39" i="4" s="1"/>
  <c r="AD39" i="69"/>
  <c r="BD39" i="69"/>
  <c r="AX1438" i="13"/>
  <c r="A1537" i="13"/>
  <c r="AV1542" i="13"/>
  <c r="AV1641" i="13" s="1"/>
  <c r="Z1542" i="13"/>
  <c r="AV1438" i="13"/>
  <c r="AV1408" i="13"/>
  <c r="AV1512" i="13"/>
  <c r="AV1611" i="13" s="1"/>
  <c r="AX1408" i="13"/>
  <c r="Z1512" i="13"/>
  <c r="A1507" i="13"/>
  <c r="I510" i="15" a="1"/>
  <c r="I510" i="15" s="1"/>
  <c r="O92" i="69"/>
  <c r="BF92" i="69"/>
  <c r="BD67" i="4"/>
  <c r="BR67" i="4" s="1"/>
  <c r="BM57" i="4"/>
  <c r="BE57" i="4" s="1" a="1"/>
  <c r="BE57" i="4" s="1"/>
  <c r="BD57" i="69"/>
  <c r="AD57" i="69"/>
  <c r="X16" i="4"/>
  <c r="AV384" i="13"/>
  <c r="AV484" i="13" s="1"/>
  <c r="U82" i="69" a="1"/>
  <c r="U82" i="69" s="1"/>
  <c r="BD63" i="4"/>
  <c r="X63" i="4" s="1"/>
  <c r="AV1357" i="13"/>
  <c r="G61" i="69"/>
  <c r="AR6" i="4"/>
  <c r="AQ6" i="4"/>
  <c r="I495" i="15" a="1"/>
  <c r="I495" i="15" s="1"/>
  <c r="AQ78" i="69" a="1"/>
  <c r="AQ78" i="69" s="1"/>
  <c r="I71" i="15" a="1"/>
  <c r="I71" i="15" s="1"/>
  <c r="BF86" i="69"/>
  <c r="O86" i="69"/>
  <c r="A1578" i="13"/>
  <c r="AV1479" i="13"/>
  <c r="AX1479" i="13"/>
  <c r="Z1583" i="13"/>
  <c r="AV1583" i="13"/>
  <c r="AV1682" i="13" s="1"/>
  <c r="BL66" i="4"/>
  <c r="AV568" i="13"/>
  <c r="BH66" i="4"/>
  <c r="AV1546" i="13"/>
  <c r="AV1645" i="13" s="1"/>
  <c r="AV1442" i="13"/>
  <c r="Z1546" i="13"/>
  <c r="AX1442" i="13"/>
  <c r="A1541" i="13"/>
  <c r="AO78" i="69" a="1"/>
  <c r="AO78" i="69" s="1"/>
  <c r="A1529" i="13"/>
  <c r="AX1430" i="13"/>
  <c r="AV1430" i="13"/>
  <c r="AV1534" i="13"/>
  <c r="AV1633" i="13" s="1"/>
  <c r="Z1534" i="13"/>
  <c r="BH66" i="69" a="1"/>
  <c r="BH66" i="69" s="1"/>
  <c r="AY3" i="69"/>
  <c r="R3" i="69"/>
  <c r="BB3" i="69"/>
  <c r="BO3" i="69"/>
  <c r="E3" i="69"/>
  <c r="AG32" i="69" a="1"/>
  <c r="AG32" i="69" s="1"/>
  <c r="AI57" i="69" a="1"/>
  <c r="AI57" i="69" s="1"/>
  <c r="H541" i="15" a="1"/>
  <c r="H541" i="15" s="1"/>
  <c r="BM80" i="4"/>
  <c r="BE80" i="4" s="1" a="1"/>
  <c r="BE80" i="4" s="1"/>
  <c r="AD80" i="69"/>
  <c r="BD80" i="69"/>
  <c r="AQ88" i="4"/>
  <c r="AR88" i="4"/>
  <c r="AR41" i="69" a="1"/>
  <c r="AR41" i="69" s="1"/>
  <c r="AQ47" i="69" a="1"/>
  <c r="AQ47" i="69" s="1"/>
  <c r="AR54" i="69" a="1"/>
  <c r="AR54" i="69" s="1"/>
  <c r="BH84" i="4"/>
  <c r="AR48" i="69" a="1"/>
  <c r="AR48" i="69" s="1"/>
  <c r="AI69" i="69" a="1"/>
  <c r="AI69" i="69" s="1"/>
  <c r="AQ76" i="69" a="1"/>
  <c r="AQ76" i="69" s="1"/>
  <c r="AQ55" i="4"/>
  <c r="AR55" i="4"/>
  <c r="AI30" i="69" a="1"/>
  <c r="AI30" i="69" s="1"/>
  <c r="BF74" i="4"/>
  <c r="BF82" i="4"/>
  <c r="BL59" i="4"/>
  <c r="BG59" i="4"/>
  <c r="AV1157" i="13" s="1"/>
  <c r="L59" i="4"/>
  <c r="AD55" i="4"/>
  <c r="AD97" i="4" s="1"/>
  <c r="BF60" i="4"/>
  <c r="BL64" i="4"/>
  <c r="BG64" i="4"/>
  <c r="AV1162" i="13" s="1"/>
  <c r="L64" i="4"/>
  <c r="L95" i="4"/>
  <c r="BG95" i="4"/>
  <c r="AV1193" i="13" s="1"/>
  <c r="G55" i="15"/>
  <c r="I55" i="15" a="1"/>
  <c r="I55" i="15" s="1"/>
  <c r="I398" i="15" a="1"/>
  <c r="I398" i="15" s="1"/>
  <c r="BM8" i="4"/>
  <c r="BE8" i="4" s="1" a="1"/>
  <c r="BE8" i="4" s="1"/>
  <c r="BD8" i="69"/>
  <c r="AD8" i="69"/>
  <c r="BD74" i="4"/>
  <c r="X74" i="4" s="1"/>
  <c r="BH62" i="4"/>
  <c r="AT32" i="4" a="1"/>
  <c r="AT32" i="4" s="1"/>
  <c r="H32" i="69" s="1"/>
  <c r="AU32" i="4"/>
  <c r="AV32" i="4" a="1"/>
  <c r="AV32" i="4" s="1"/>
  <c r="C32" i="69" s="1"/>
  <c r="D32" i="69" s="1" a="1"/>
  <c r="D32" i="69" s="1"/>
  <c r="Y32" i="4"/>
  <c r="CX32" i="4"/>
  <c r="CY32" i="4" s="1"/>
  <c r="BQ32" i="4"/>
  <c r="CA32" i="4"/>
  <c r="I616" i="15" a="1"/>
  <c r="I616" i="15" s="1"/>
  <c r="AV1383" i="13"/>
  <c r="G87" i="69"/>
  <c r="BD93" i="4"/>
  <c r="X93" i="4" s="1"/>
  <c r="Z1535" i="13"/>
  <c r="AV1535" i="13"/>
  <c r="AV1634" i="13" s="1"/>
  <c r="AV1431" i="13"/>
  <c r="A1530" i="13"/>
  <c r="AX1431" i="13"/>
  <c r="BM11" i="4"/>
  <c r="BE11" i="4" s="1" a="1"/>
  <c r="BE11" i="4" s="1"/>
  <c r="BD11" i="69"/>
  <c r="AX1404" i="13"/>
  <c r="A1503" i="13"/>
  <c r="AV1508" i="13"/>
  <c r="AV1607" i="13" s="1"/>
  <c r="Z1508" i="13"/>
  <c r="AV1404" i="13"/>
  <c r="AR39" i="4"/>
  <c r="AQ39" i="4"/>
  <c r="BM49" i="4"/>
  <c r="BE49" i="4" s="1" a="1"/>
  <c r="BE49" i="4" s="1"/>
  <c r="AD49" i="69"/>
  <c r="BD49" i="69"/>
  <c r="H338" i="15" a="1"/>
  <c r="H338" i="15" s="1"/>
  <c r="I595" i="15" a="1"/>
  <c r="I595" i="15" s="1"/>
  <c r="BM46" i="4"/>
  <c r="BE46" i="4" s="1" a="1"/>
  <c r="BE46" i="4" s="1"/>
  <c r="BD46" i="69"/>
  <c r="AD46" i="69"/>
  <c r="I250" i="15" a="1"/>
  <c r="I250" i="15" s="1"/>
  <c r="I621" i="15" a="1"/>
  <c r="I621" i="15" s="1"/>
  <c r="G621" i="15"/>
  <c r="AV1545" i="13"/>
  <c r="AV1644" i="13" s="1"/>
  <c r="Z1545" i="13"/>
  <c r="AV1441" i="13"/>
  <c r="A1540" i="13"/>
  <c r="AX1441" i="13"/>
  <c r="BM51" i="4"/>
  <c r="BE51" i="4" s="1" a="1"/>
  <c r="BE51" i="4" s="1"/>
  <c r="AD51" i="69"/>
  <c r="BD51" i="69"/>
  <c r="AV1412" i="13"/>
  <c r="AX1412" i="13"/>
  <c r="Z1516" i="13"/>
  <c r="A1511" i="13"/>
  <c r="AV1516" i="13"/>
  <c r="AV1615" i="13" s="1"/>
  <c r="BF42" i="69"/>
  <c r="O42" i="69"/>
  <c r="I305" i="15" a="1"/>
  <c r="I305" i="15" s="1"/>
  <c r="Z1502" i="13"/>
  <c r="A1497" i="13"/>
  <c r="AV1502" i="13"/>
  <c r="AV1601" i="13" s="1"/>
  <c r="AX1398" i="13"/>
  <c r="AV1398" i="13"/>
  <c r="BF5" i="69"/>
  <c r="O5" i="69"/>
  <c r="AV1264" i="13"/>
  <c r="S67" i="69"/>
  <c r="B67" i="69"/>
  <c r="AQ67" i="69" a="1"/>
  <c r="AQ67" i="69" s="1"/>
  <c r="AQ35" i="69" a="1"/>
  <c r="AQ35" i="69" s="1"/>
  <c r="Z1586" i="13"/>
  <c r="AX1482" i="13"/>
  <c r="AV1482" i="13"/>
  <c r="A1581" i="13"/>
  <c r="AV1586" i="13"/>
  <c r="AV1685" i="13" s="1"/>
  <c r="AV1279" i="13"/>
  <c r="B82" i="69"/>
  <c r="S82" i="69"/>
  <c r="BQ60" i="69"/>
  <c r="AO60" i="69" a="1"/>
  <c r="AO60" i="69" s="1"/>
  <c r="E60" i="69"/>
  <c r="AV1427" i="13"/>
  <c r="A1526" i="13"/>
  <c r="AV1531" i="13"/>
  <c r="AV1630" i="13" s="1"/>
  <c r="Z1531" i="13"/>
  <c r="AX1427" i="13"/>
  <c r="AF91" i="69" a="1"/>
  <c r="AF91" i="69" s="1"/>
  <c r="AV91" i="69" a="1"/>
  <c r="AV91" i="69" s="1"/>
  <c r="AL91" i="69" a="1"/>
  <c r="AL91" i="69" s="1"/>
  <c r="AU91" i="69" a="1"/>
  <c r="AU91" i="69" s="1"/>
  <c r="AP91" i="69" a="1"/>
  <c r="AP91" i="69" s="1"/>
  <c r="AH91" i="69" a="1"/>
  <c r="AH91" i="69" s="1"/>
  <c r="AQ91" i="69" a="1"/>
  <c r="AQ91" i="69" s="1"/>
  <c r="AG91" i="69" a="1"/>
  <c r="AG91" i="69" s="1"/>
  <c r="AI91" i="69" a="1"/>
  <c r="AI91" i="69" s="1"/>
  <c r="AS91" i="69" a="1"/>
  <c r="AS91" i="69" s="1"/>
  <c r="BM17" i="4"/>
  <c r="BE17" i="4" s="1" a="1"/>
  <c r="BE17" i="4" s="1"/>
  <c r="BD17" i="69"/>
  <c r="AD17" i="69"/>
  <c r="BO66" i="69"/>
  <c r="I458" i="15" a="1"/>
  <c r="I458" i="15" s="1"/>
  <c r="AO86" i="69" a="1"/>
  <c r="AO86" i="69" s="1"/>
  <c r="O35" i="69"/>
  <c r="BF35" i="69"/>
  <c r="AR28" i="4"/>
  <c r="AQ28" i="4"/>
  <c r="AI49" i="69" a="1"/>
  <c r="AI49" i="69" s="1"/>
  <c r="AQ84" i="69" a="1"/>
  <c r="AQ84" i="69" s="1"/>
  <c r="AQ57" i="69" a="1"/>
  <c r="AQ57" i="69" s="1"/>
  <c r="F541" i="15" a="1"/>
  <c r="F541" i="15" s="1"/>
  <c r="AQ82" i="4"/>
  <c r="AR82" i="4"/>
  <c r="BH77" i="4"/>
  <c r="AV372" i="13"/>
  <c r="AV472" i="13" s="1"/>
  <c r="U70" i="69" a="1"/>
  <c r="U70" i="69" s="1"/>
  <c r="AO10" i="69" a="1"/>
  <c r="AO10" i="69" s="1"/>
  <c r="AG41" i="69" a="1"/>
  <c r="AG41" i="69" s="1"/>
  <c r="AI54" i="69" a="1"/>
  <c r="AI54" i="69" s="1"/>
  <c r="AQ86" i="4"/>
  <c r="AR86" i="4"/>
  <c r="AG16" i="69" a="1"/>
  <c r="AG16" i="69" s="1"/>
  <c r="I441" i="15" a="1"/>
  <c r="I441" i="15" s="1"/>
  <c r="AG46" i="69" a="1"/>
  <c r="AG46" i="69" s="1"/>
  <c r="AQ59" i="69" a="1"/>
  <c r="AQ59" i="69" s="1"/>
  <c r="AR15" i="69" a="1"/>
  <c r="AR15" i="69" s="1"/>
  <c r="AQ79" i="69" a="1"/>
  <c r="AQ79" i="69" s="1"/>
  <c r="AQ30" i="69" a="1"/>
  <c r="AQ30" i="69" s="1"/>
  <c r="BF59" i="4"/>
  <c r="F55" i="69"/>
  <c r="BG60" i="4"/>
  <c r="AV1158" i="13" s="1"/>
  <c r="BF64" i="4"/>
  <c r="BF95" i="4"/>
  <c r="AD69" i="69"/>
  <c r="O69" i="69"/>
  <c r="BF69" i="69"/>
  <c r="I308" i="15" a="1"/>
  <c r="I308" i="15" s="1"/>
  <c r="BF8" i="69"/>
  <c r="O8" i="69"/>
  <c r="I397" i="15" a="1"/>
  <c r="I397" i="15" s="1"/>
  <c r="BM62" i="4"/>
  <c r="BE62" i="4" s="1" a="1"/>
  <c r="BE62" i="4" s="1"/>
  <c r="BD62" i="69"/>
  <c r="AV1505" i="13"/>
  <c r="AV1604" i="13" s="1"/>
  <c r="A1500" i="13"/>
  <c r="AV1401" i="13"/>
  <c r="AX1401" i="13"/>
  <c r="Z1505" i="13"/>
  <c r="BM41" i="4"/>
  <c r="BE41" i="4" s="1" a="1"/>
  <c r="BE41" i="4" s="1"/>
  <c r="BD41" i="69"/>
  <c r="AD41" i="69"/>
  <c r="AF51" i="69" a="1"/>
  <c r="AF51" i="69" s="1"/>
  <c r="AP51" i="69" a="1"/>
  <c r="AP51" i="69" s="1"/>
  <c r="AG51" i="69" a="1"/>
  <c r="AG51" i="69" s="1"/>
  <c r="AH51" i="69" a="1"/>
  <c r="AH51" i="69" s="1"/>
  <c r="AI51" i="69" a="1"/>
  <c r="AI51" i="69" s="1"/>
  <c r="AU51" i="69" a="1"/>
  <c r="AU51" i="69" s="1"/>
  <c r="AV51" i="69" a="1"/>
  <c r="AV51" i="69" s="1"/>
  <c r="AL51" i="69" a="1"/>
  <c r="AL51" i="69" s="1"/>
  <c r="AR51" i="69" a="1"/>
  <c r="AR51" i="69" s="1"/>
  <c r="AJ51" i="69" a="1"/>
  <c r="AJ51" i="69" s="1"/>
  <c r="AQ51" i="69" a="1"/>
  <c r="AQ51" i="69" s="1"/>
  <c r="AS51" i="69" a="1"/>
  <c r="AS51" i="69" s="1"/>
  <c r="AV580" i="13"/>
  <c r="BL78" i="4"/>
  <c r="BH78" i="4"/>
  <c r="I414" i="15" a="1"/>
  <c r="I414" i="15" s="1"/>
  <c r="AQ11" i="4"/>
  <c r="AR9" i="4"/>
  <c r="AR11" i="4"/>
  <c r="AQ9" i="4"/>
  <c r="AQ13" i="4"/>
  <c r="AR13" i="4"/>
  <c r="CA21" i="4"/>
  <c r="AV21" i="4" a="1"/>
  <c r="AV21" i="4" s="1"/>
  <c r="C21" i="69" s="1"/>
  <c r="D21" i="69" s="1" a="1"/>
  <c r="D21" i="69" s="1"/>
  <c r="AU21" i="4"/>
  <c r="AT21" i="4" a="1"/>
  <c r="AT21" i="4" s="1"/>
  <c r="H21" i="69" s="1"/>
  <c r="Y21" i="4"/>
  <c r="BQ21" i="4"/>
  <c r="I260" i="15" a="1"/>
  <c r="I260" i="15" s="1"/>
  <c r="AQ51" i="4"/>
  <c r="AR51" i="4"/>
  <c r="I231" i="15" a="1"/>
  <c r="I231" i="15" s="1"/>
  <c r="AQ78" i="4"/>
  <c r="AR78" i="4"/>
  <c r="AR48" i="4"/>
  <c r="AQ48" i="4"/>
  <c r="AG18" i="69" a="1"/>
  <c r="AG18" i="69" s="1"/>
  <c r="BI74" i="69" a="1"/>
  <c r="BI74" i="69" s="1"/>
  <c r="A1539" i="13"/>
  <c r="AV1544" i="13"/>
  <c r="AV1643" i="13" s="1"/>
  <c r="AX1440" i="13"/>
  <c r="Z1544" i="13"/>
  <c r="AV1440" i="13"/>
  <c r="H337" i="15" a="1"/>
  <c r="H337" i="15" s="1"/>
  <c r="I226" i="15" a="1"/>
  <c r="I226" i="15" s="1"/>
  <c r="Z1574" i="13"/>
  <c r="A1569" i="13"/>
  <c r="AV1574" i="13"/>
  <c r="AV1673" i="13" s="1"/>
  <c r="AV1470" i="13"/>
  <c r="AX1470" i="13"/>
  <c r="I200" i="15" a="1"/>
  <c r="I200" i="15" s="1"/>
  <c r="AV385" i="13"/>
  <c r="AV485" i="13" s="1"/>
  <c r="U83" i="69" a="1"/>
  <c r="U83" i="69" s="1"/>
  <c r="K21" i="69" a="1"/>
  <c r="K21" i="69" s="1"/>
  <c r="AZ21" i="69"/>
  <c r="AI21" i="69" s="1" a="1"/>
  <c r="AI21" i="69" s="1"/>
  <c r="BA21" i="69"/>
  <c r="AG75" i="69" a="1"/>
  <c r="AG75" i="69" s="1"/>
  <c r="AO81" i="69" a="1"/>
  <c r="AO81" i="69" s="1"/>
  <c r="AJ81" i="69" a="1"/>
  <c r="AJ81" i="69" s="1"/>
  <c r="AH81" i="69" a="1"/>
  <c r="AH81" i="69" s="1"/>
  <c r="AV81" i="69" a="1"/>
  <c r="AV81" i="69" s="1"/>
  <c r="AF81" i="69" a="1"/>
  <c r="AF81" i="69" s="1"/>
  <c r="AU81" i="69" a="1"/>
  <c r="AU81" i="69" s="1"/>
  <c r="AL81" i="69" a="1"/>
  <c r="AL81" i="69" s="1"/>
  <c r="AP81" i="69" a="1"/>
  <c r="AP81" i="69" s="1"/>
  <c r="AI81" i="69" a="1"/>
  <c r="AI81" i="69" s="1"/>
  <c r="AR81" i="69" a="1"/>
  <c r="AR81" i="69" s="1"/>
  <c r="AQ81" i="69" a="1"/>
  <c r="AQ81" i="69" s="1"/>
  <c r="AS81" i="69" a="1"/>
  <c r="AS81" i="69" s="1"/>
  <c r="AO38" i="69" a="1"/>
  <c r="AO38" i="69" s="1"/>
  <c r="AR58" i="4"/>
  <c r="AQ58" i="4"/>
  <c r="AR41" i="4"/>
  <c r="AQ41" i="4"/>
  <c r="I614" i="15" a="1"/>
  <c r="I614" i="15" s="1"/>
  <c r="AH78" i="69" a="1"/>
  <c r="AH78" i="69" s="1"/>
  <c r="AL78" i="69" a="1"/>
  <c r="AL78" i="69" s="1"/>
  <c r="AP78" i="69" a="1"/>
  <c r="AP78" i="69" s="1"/>
  <c r="AU78" i="69" a="1"/>
  <c r="AU78" i="69" s="1"/>
  <c r="AV78" i="69" a="1"/>
  <c r="AV78" i="69" s="1"/>
  <c r="AJ78" i="69" a="1"/>
  <c r="AJ78" i="69" s="1"/>
  <c r="AF78" i="69" a="1"/>
  <c r="AF78" i="69" s="1"/>
  <c r="AR78" i="69" a="1"/>
  <c r="AR78" i="69" s="1"/>
  <c r="AG78" i="69" a="1"/>
  <c r="AG78" i="69" s="1"/>
  <c r="AS78" i="69" a="1"/>
  <c r="AS78" i="69" s="1"/>
  <c r="AU20" i="69" a="1"/>
  <c r="AU20" i="69" s="1"/>
  <c r="AP20" i="69" a="1"/>
  <c r="AP20" i="69" s="1"/>
  <c r="AL20" i="69" a="1"/>
  <c r="AL20" i="69" s="1"/>
  <c r="AV20" i="69" a="1"/>
  <c r="AV20" i="69" s="1"/>
  <c r="AF20" i="69" a="1"/>
  <c r="AF20" i="69" s="1"/>
  <c r="AH20" i="69" a="1"/>
  <c r="AH20" i="69" s="1"/>
  <c r="AI20" i="69" a="1"/>
  <c r="AI20" i="69" s="1"/>
  <c r="AR20" i="69" a="1"/>
  <c r="AR20" i="69" s="1"/>
  <c r="AS20" i="69" a="1"/>
  <c r="AS20" i="69" s="1"/>
  <c r="AD71" i="69"/>
  <c r="O71" i="69"/>
  <c r="BF71" i="69"/>
  <c r="AV1370" i="13"/>
  <c r="G74" i="69"/>
  <c r="AV569" i="13"/>
  <c r="BH67" i="4"/>
  <c r="AR59" i="4"/>
  <c r="AQ59" i="4"/>
  <c r="O12" i="69"/>
  <c r="BF12" i="69"/>
  <c r="AX1457" i="13"/>
  <c r="AV1561" i="13"/>
  <c r="AV1660" i="13" s="1"/>
  <c r="AV1457" i="13"/>
  <c r="Z1561" i="13"/>
  <c r="A1556" i="13"/>
  <c r="AG35" i="69" a="1"/>
  <c r="AG35" i="69" s="1"/>
  <c r="I572" i="15" a="1"/>
  <c r="I572" i="15" s="1"/>
  <c r="BA94" i="69"/>
  <c r="AU60" i="69" a="1"/>
  <c r="AU60" i="69" s="1"/>
  <c r="AL60" i="69" a="1"/>
  <c r="AL60" i="69" s="1"/>
  <c r="AH60" i="69" a="1"/>
  <c r="AH60" i="69" s="1"/>
  <c r="AV60" i="69" a="1"/>
  <c r="AV60" i="69" s="1"/>
  <c r="AP60" i="69" a="1"/>
  <c r="AP60" i="69" s="1"/>
  <c r="AF60" i="69" a="1"/>
  <c r="AF60" i="69" s="1"/>
  <c r="AJ60" i="69" a="1"/>
  <c r="AJ60" i="69" s="1"/>
  <c r="BL60" i="69" a="1"/>
  <c r="BL60" i="69" s="1"/>
  <c r="R60" i="69"/>
  <c r="AY60" i="69"/>
  <c r="BB60" i="69"/>
  <c r="AR60" i="69" s="1" a="1"/>
  <c r="AR60" i="69" s="1"/>
  <c r="BH60" i="69" a="1"/>
  <c r="BH60" i="69" s="1"/>
  <c r="BO60" i="69"/>
  <c r="BI60" i="69" a="1"/>
  <c r="BI60" i="69" s="1"/>
  <c r="AK60" i="69" a="1"/>
  <c r="AK60" i="69" s="1"/>
  <c r="BM86" i="4"/>
  <c r="BE86" i="4" s="1" a="1"/>
  <c r="BE86" i="4" s="1"/>
  <c r="AD86" i="69"/>
  <c r="BD86" i="69"/>
  <c r="AV1476" i="13"/>
  <c r="AV1580" i="13"/>
  <c r="AV1679" i="13" s="1"/>
  <c r="A1575" i="13"/>
  <c r="AX1476" i="13"/>
  <c r="Z1580" i="13"/>
  <c r="AV397" i="13"/>
  <c r="AV497" i="13" s="1"/>
  <c r="U95" i="69" a="1"/>
  <c r="U95" i="69" s="1"/>
  <c r="AV1269" i="13"/>
  <c r="S72" i="69"/>
  <c r="B72" i="69"/>
  <c r="AK81" i="69" a="1"/>
  <c r="AK81" i="69" s="1"/>
  <c r="AQ19" i="4"/>
  <c r="AR19" i="4"/>
  <c r="AX1425" i="13"/>
  <c r="AV1425" i="13"/>
  <c r="A1524" i="13"/>
  <c r="AV1529" i="13"/>
  <c r="AV1628" i="13" s="1"/>
  <c r="Z1529" i="13"/>
  <c r="AX1410" i="13"/>
  <c r="AV1514" i="13"/>
  <c r="AV1613" i="13" s="1"/>
  <c r="AV1410" i="13"/>
  <c r="Z1514" i="13"/>
  <c r="A1509" i="13"/>
  <c r="BD87" i="4"/>
  <c r="BH60" i="4"/>
  <c r="AV562" i="13"/>
  <c r="BL60" i="4"/>
  <c r="AZ97" i="69"/>
  <c r="BH80" i="4"/>
  <c r="AQ79" i="4"/>
  <c r="AR79" i="4"/>
  <c r="AR24" i="69" a="1"/>
  <c r="AR24" i="69" s="1"/>
  <c r="AG6" i="69" a="1"/>
  <c r="AG6" i="69" s="1"/>
  <c r="BN70" i="69"/>
  <c r="BM84" i="4"/>
  <c r="BE84" i="4" s="1" a="1"/>
  <c r="BE84" i="4" s="1"/>
  <c r="BD84" i="69"/>
  <c r="I362" i="15" a="1"/>
  <c r="I362" i="15" s="1"/>
  <c r="AQ80" i="69" a="1"/>
  <c r="AQ80" i="69" s="1"/>
  <c r="R35" i="14"/>
  <c r="M35" i="14"/>
  <c r="Q35" i="14"/>
  <c r="O35" i="14"/>
  <c r="Z35" i="14"/>
  <c r="H35" i="14"/>
  <c r="K35" i="14"/>
  <c r="L35" i="14"/>
  <c r="P35" i="14"/>
  <c r="N35" i="14"/>
  <c r="S35" i="14"/>
  <c r="Y35" i="14"/>
  <c r="I35" i="14"/>
  <c r="T35" i="14"/>
  <c r="W35" i="14"/>
  <c r="V35" i="14"/>
  <c r="U35" i="14"/>
  <c r="G35" i="14"/>
  <c r="X35" i="14"/>
  <c r="J35" i="14"/>
  <c r="F35" i="14"/>
  <c r="AR25" i="69" a="1"/>
  <c r="AR25" i="69" s="1"/>
  <c r="AQ27" i="69" a="1"/>
  <c r="AQ27" i="69" s="1"/>
  <c r="BR21" i="4"/>
  <c r="BG21" i="4"/>
  <c r="AV1119" i="13" s="1"/>
  <c r="X21" i="4"/>
  <c r="AL55" i="4"/>
  <c r="AL97" i="4" s="1"/>
  <c r="BG78" i="4"/>
  <c r="AV1176" i="13" s="1"/>
  <c r="X78" i="4"/>
  <c r="L78" i="4"/>
  <c r="BF67" i="4"/>
  <c r="AR64" i="4"/>
  <c r="AQ64" i="4"/>
  <c r="AH75" i="69" a="1"/>
  <c r="AH75" i="69" s="1"/>
  <c r="AP75" i="69" a="1"/>
  <c r="AP75" i="69" s="1"/>
  <c r="AQ75" i="69" a="1"/>
  <c r="AQ75" i="69" s="1"/>
  <c r="AU75" i="69" a="1"/>
  <c r="AU75" i="69" s="1"/>
  <c r="AI75" i="69" a="1"/>
  <c r="AI75" i="69" s="1"/>
  <c r="AF75" i="69" a="1"/>
  <c r="AF75" i="69" s="1"/>
  <c r="AL75" i="69" a="1"/>
  <c r="AL75" i="69" s="1"/>
  <c r="AV75" i="69" a="1"/>
  <c r="AV75" i="69" s="1"/>
  <c r="AS75" i="69" a="1"/>
  <c r="AS75" i="69" s="1"/>
  <c r="BM9" i="4"/>
  <c r="BE9" i="4" s="1" a="1"/>
  <c r="BE9" i="4" s="1"/>
  <c r="BD9" i="69"/>
  <c r="AD9" i="69"/>
  <c r="AV595" i="13"/>
  <c r="BH93" i="4"/>
  <c r="BM25" i="4"/>
  <c r="BE25" i="4" s="1" a="1"/>
  <c r="BE25" i="4" s="1"/>
  <c r="AD25" i="69"/>
  <c r="BD25" i="69"/>
  <c r="AR15" i="4"/>
  <c r="AQ15" i="4"/>
  <c r="AR30" i="4"/>
  <c r="AQ30" i="4"/>
  <c r="AV585" i="13"/>
  <c r="BL83" i="4"/>
  <c r="BH83" i="4"/>
  <c r="AQ63" i="69" a="1"/>
  <c r="AQ63" i="69" s="1"/>
  <c r="AG63" i="69" a="1"/>
  <c r="AG63" i="69" s="1"/>
  <c r="AH63" i="69" a="1"/>
  <c r="AH63" i="69" s="1"/>
  <c r="AU63" i="69" a="1"/>
  <c r="AU63" i="69" s="1"/>
  <c r="AJ63" i="69" a="1"/>
  <c r="AJ63" i="69" s="1"/>
  <c r="AF63" i="69" a="1"/>
  <c r="AF63" i="69" s="1"/>
  <c r="AP63" i="69" a="1"/>
  <c r="AP63" i="69" s="1"/>
  <c r="AR63" i="69" a="1"/>
  <c r="AR63" i="69" s="1"/>
  <c r="AI63" i="69" a="1"/>
  <c r="AI63" i="69" s="1"/>
  <c r="AV63" i="69" a="1"/>
  <c r="AV63" i="69" s="1"/>
  <c r="AL63" i="69" a="1"/>
  <c r="AL63" i="69" s="1"/>
  <c r="AS63" i="69" a="1"/>
  <c r="AS63" i="69" s="1"/>
  <c r="BM37" i="4"/>
  <c r="BE37" i="4" s="1" a="1"/>
  <c r="BE37" i="4" s="1"/>
  <c r="AD37" i="69"/>
  <c r="BD37" i="69"/>
  <c r="BM42" i="4"/>
  <c r="BE42" i="4" s="1" a="1"/>
  <c r="BE42" i="4" s="1"/>
  <c r="AD42" i="69"/>
  <c r="BD42" i="69"/>
  <c r="I550" i="15" a="1"/>
  <c r="I550" i="15" s="1"/>
  <c r="I555" i="15" a="1"/>
  <c r="I555" i="15" s="1"/>
  <c r="BM76" i="4"/>
  <c r="BE76" i="4" s="1" a="1"/>
  <c r="BE76" i="4" s="1"/>
  <c r="BD76" i="69"/>
  <c r="AD76" i="69"/>
  <c r="BD59" i="4"/>
  <c r="X59" i="4" s="1"/>
  <c r="AV1568" i="13"/>
  <c r="AV1667" i="13" s="1"/>
  <c r="AV1464" i="13"/>
  <c r="AX1464" i="13"/>
  <c r="A1563" i="13"/>
  <c r="Z1568" i="13"/>
  <c r="I501" i="15" a="1"/>
  <c r="I501" i="15" s="1"/>
  <c r="AO75" i="69" a="1"/>
  <c r="AO75" i="69" s="1"/>
  <c r="I337" i="15" a="1"/>
  <c r="I337" i="15" s="1"/>
  <c r="AV561" i="13"/>
  <c r="BH59" i="4"/>
  <c r="AV1576" i="13"/>
  <c r="AV1675" i="13" s="1"/>
  <c r="A1571" i="13"/>
  <c r="Z1576" i="13"/>
  <c r="AV1472" i="13"/>
  <c r="AX1472" i="13"/>
  <c r="AU21" i="69" a="1"/>
  <c r="AU21" i="69" s="1"/>
  <c r="AF21" i="69" a="1"/>
  <c r="AF21" i="69" s="1"/>
  <c r="AH21" i="69" a="1"/>
  <c r="AH21" i="69" s="1"/>
  <c r="AP21" i="69" a="1"/>
  <c r="AP21" i="69" s="1"/>
  <c r="AL21" i="69" a="1"/>
  <c r="AL21" i="69" s="1"/>
  <c r="AG21" i="69" a="1"/>
  <c r="AG21" i="69" s="1"/>
  <c r="AV21" i="69" a="1"/>
  <c r="AV21" i="69" s="1"/>
  <c r="AR46" i="4"/>
  <c r="AQ46" i="4"/>
  <c r="AV365" i="13"/>
  <c r="AV465" i="13" s="1"/>
  <c r="U63" i="69" a="1"/>
  <c r="U63" i="69" s="1"/>
  <c r="AV396" i="13"/>
  <c r="AV496" i="13" s="1"/>
  <c r="U94" i="69" a="1"/>
  <c r="U94" i="69" s="1"/>
  <c r="AV1525" i="13"/>
  <c r="AV1624" i="13" s="1"/>
  <c r="A1520" i="13"/>
  <c r="Z1525" i="13"/>
  <c r="AV1421" i="13"/>
  <c r="AX1421" i="13"/>
  <c r="I91" i="15" a="1"/>
  <c r="I91" i="15" s="1"/>
  <c r="BF39" i="69"/>
  <c r="O39" i="69"/>
  <c r="BD85" i="4"/>
  <c r="X85" i="4" s="1"/>
  <c r="BM35" i="4"/>
  <c r="BE35" i="4" s="1" a="1"/>
  <c r="BE35" i="4" s="1"/>
  <c r="BD35" i="69"/>
  <c r="AD35" i="69"/>
  <c r="X36" i="4"/>
  <c r="AV1368" i="13"/>
  <c r="G72" i="69"/>
  <c r="AX1439" i="13"/>
  <c r="AV1439" i="13"/>
  <c r="A1538" i="13"/>
  <c r="AV1543" i="13"/>
  <c r="AV1642" i="13" s="1"/>
  <c r="Z1543" i="13"/>
  <c r="AR26" i="69" a="1"/>
  <c r="AR26" i="69" s="1"/>
  <c r="AV361" i="13"/>
  <c r="AV461" i="13" s="1"/>
  <c r="U59" i="69" a="1"/>
  <c r="U59" i="69" s="1"/>
  <c r="BI75" i="69" a="1"/>
  <c r="BI75" i="69" s="1"/>
  <c r="I422" i="15" a="1"/>
  <c r="I422" i="15" s="1"/>
  <c r="AG13" i="69" a="1"/>
  <c r="AG13" i="69" s="1"/>
  <c r="BK60" i="69"/>
  <c r="BJ60" i="69" s="1"/>
  <c r="BM60" i="69" s="1"/>
  <c r="BF31" i="69"/>
  <c r="O31" i="69"/>
  <c r="I444" i="15" a="1"/>
  <c r="I444" i="15" s="1"/>
  <c r="H537" i="15" a="1"/>
  <c r="H537" i="15" s="1"/>
  <c r="BM73" i="4"/>
  <c r="BE73" i="4" s="1" a="1"/>
  <c r="BE73" i="4" s="1"/>
  <c r="BD73" i="69"/>
  <c r="AD73" i="69"/>
  <c r="BD95" i="4"/>
  <c r="X95" i="4" s="1"/>
  <c r="BI81" i="69" a="1"/>
  <c r="BI81" i="69" s="1"/>
  <c r="AV1474" i="13"/>
  <c r="A1573" i="13"/>
  <c r="Z1578" i="13"/>
  <c r="AV1578" i="13"/>
  <c r="AV1677" i="13" s="1"/>
  <c r="AX1474" i="13"/>
  <c r="I513" i="15" a="1"/>
  <c r="I513" i="15" s="1"/>
  <c r="BQ3" i="69"/>
  <c r="AG84" i="69" a="1"/>
  <c r="AG84" i="69" s="1"/>
  <c r="BM77" i="4"/>
  <c r="BE77" i="4" s="1" a="1"/>
  <c r="BE77" i="4" s="1"/>
  <c r="BD77" i="69"/>
  <c r="AQ42" i="69" a="1"/>
  <c r="AQ42" i="69" s="1"/>
  <c r="AR16" i="69" a="1"/>
  <c r="AR16" i="69" s="1"/>
  <c r="C36" i="14"/>
  <c r="B36" i="14"/>
  <c r="AI25" i="69" a="1"/>
  <c r="AI25" i="69" s="1"/>
  <c r="F62" i="15" a="1"/>
  <c r="F62" i="15" s="1"/>
  <c r="AQ64" i="69" a="1"/>
  <c r="AQ64" i="69" s="1"/>
  <c r="BF1769" i="13"/>
  <c r="AH55" i="4"/>
  <c r="AV1351" i="13" s="1"/>
  <c r="BF72" i="4"/>
  <c r="BF78" i="4"/>
  <c r="BL67" i="4"/>
  <c r="BG67" i="4"/>
  <c r="AV1165" i="13" s="1"/>
  <c r="X67" i="4"/>
  <c r="L67" i="4"/>
  <c r="BF80" i="4"/>
  <c r="M3" i="1" a="1"/>
  <c r="M3" i="1" s="1"/>
  <c r="M101" i="1" s="1"/>
  <c r="AV1452" i="13"/>
  <c r="AV1556" i="13"/>
  <c r="AV1655" i="13" s="1"/>
  <c r="AX1452" i="13"/>
  <c r="A1551" i="13"/>
  <c r="Z1556" i="13"/>
  <c r="I391" i="15" a="1"/>
  <c r="I391" i="15" s="1"/>
  <c r="AV1579" i="13"/>
  <c r="AV1678" i="13" s="1"/>
  <c r="A1574" i="13"/>
  <c r="AX1475" i="13"/>
  <c r="Z1579" i="13"/>
  <c r="AV1475" i="13"/>
  <c r="BM38" i="4"/>
  <c r="BE38" i="4" s="1" a="1"/>
  <c r="BE38" i="4" s="1"/>
  <c r="AD38" i="69"/>
  <c r="BD38" i="69"/>
  <c r="AR81" i="4"/>
  <c r="AQ81" i="4"/>
  <c r="AV1536" i="13"/>
  <c r="AV1635" i="13" s="1"/>
  <c r="Z1536" i="13"/>
  <c r="AV1432" i="13"/>
  <c r="AX1432" i="13"/>
  <c r="A1531" i="13"/>
  <c r="AV1533" i="13"/>
  <c r="AV1632" i="13" s="1"/>
  <c r="Z1533" i="13"/>
  <c r="A1528" i="13"/>
  <c r="AX1429" i="13"/>
  <c r="AV1429" i="13"/>
  <c r="I403" i="15" a="1"/>
  <c r="I403" i="15" s="1"/>
  <c r="BM44" i="4"/>
  <c r="BE44" i="4" s="1" a="1"/>
  <c r="BE44" i="4" s="1"/>
  <c r="AD44" i="69"/>
  <c r="BD44" i="69"/>
  <c r="AV1390" i="13"/>
  <c r="G94" i="69"/>
  <c r="AX1428" i="13"/>
  <c r="AV1532" i="13"/>
  <c r="AV1631" i="13" s="1"/>
  <c r="AV1428" i="13"/>
  <c r="Z1532" i="13"/>
  <c r="A1527" i="13"/>
  <c r="AR37" i="4"/>
  <c r="AQ37" i="4"/>
  <c r="AV395" i="13"/>
  <c r="AV495" i="13" s="1"/>
  <c r="U93" i="69" a="1"/>
  <c r="U93" i="69" s="1"/>
  <c r="AV386" i="13"/>
  <c r="AV486" i="13" s="1"/>
  <c r="U84" i="69" a="1"/>
  <c r="U84" i="69" s="1"/>
  <c r="AK56" i="69" a="1"/>
  <c r="AK56" i="69" s="1"/>
  <c r="BL91" i="4"/>
  <c r="BH91" i="4"/>
  <c r="AV593" i="13"/>
  <c r="X89" i="4"/>
  <c r="AV1278" i="13"/>
  <c r="B81" i="69"/>
  <c r="S81" i="69"/>
  <c r="AR75" i="69" a="1"/>
  <c r="AR75" i="69" s="1"/>
  <c r="AG31" i="69" a="1"/>
  <c r="AG31" i="69" s="1"/>
  <c r="AV1506" i="13"/>
  <c r="AV1605" i="13" s="1"/>
  <c r="AV1402" i="13"/>
  <c r="A1501" i="13"/>
  <c r="AX1402" i="13"/>
  <c r="Z1506" i="13"/>
  <c r="BF80" i="69"/>
  <c r="O80" i="69"/>
  <c r="AV1565" i="13"/>
  <c r="AV1664" i="13" s="1"/>
  <c r="Z1565" i="13"/>
  <c r="AX1461" i="13"/>
  <c r="AV1461" i="13"/>
  <c r="A1560" i="13"/>
  <c r="AV1562" i="13"/>
  <c r="AV1661" i="13" s="1"/>
  <c r="Z1562" i="13"/>
  <c r="AX1458" i="13"/>
  <c r="A1557" i="13"/>
  <c r="AV1458" i="13"/>
  <c r="BM68" i="4"/>
  <c r="BE68" i="4" s="1" a="1"/>
  <c r="BE68" i="4" s="1"/>
  <c r="BD68" i="69"/>
  <c r="AD68" i="69"/>
  <c r="I537" i="15" a="1"/>
  <c r="I537" i="15" s="1"/>
  <c r="BO81" i="69"/>
  <c r="I582" i="15" a="1"/>
  <c r="I582" i="15" s="1"/>
  <c r="CT97" i="4"/>
  <c r="O49" i="69"/>
  <c r="BF49" i="69"/>
  <c r="AV1280" i="13"/>
  <c r="S83" i="69"/>
  <c r="AG83" i="69" s="1" a="1"/>
  <c r="AG83" i="69" s="1"/>
  <c r="B83" i="69"/>
  <c r="AV71" i="69" a="1"/>
  <c r="AV71" i="69" s="1"/>
  <c r="AU71" i="69" a="1"/>
  <c r="AU71" i="69" s="1"/>
  <c r="AQ71" i="69" a="1"/>
  <c r="AQ71" i="69" s="1"/>
  <c r="AL71" i="69" a="1"/>
  <c r="AL71" i="69" s="1"/>
  <c r="AJ71" i="69" a="1"/>
  <c r="AJ71" i="69" s="1"/>
  <c r="AI71" i="69" a="1"/>
  <c r="AI71" i="69" s="1"/>
  <c r="AP71" i="69" a="1"/>
  <c r="AP71" i="69" s="1"/>
  <c r="AF71" i="69" a="1"/>
  <c r="AF71" i="69" s="1"/>
  <c r="AH71" i="69" a="1"/>
  <c r="AH71" i="69" s="1"/>
  <c r="AS71" i="69" a="1"/>
  <c r="AS71" i="69" s="1"/>
  <c r="I443" i="15" a="1"/>
  <c r="I443" i="15" s="1"/>
  <c r="BF3" i="69"/>
  <c r="I282" i="15" a="1"/>
  <c r="I282" i="15" s="1"/>
  <c r="AI11" i="69" a="1"/>
  <c r="AI11" i="69" s="1"/>
  <c r="I491" i="15" a="1"/>
  <c r="I491" i="15" s="1"/>
  <c r="AV1447" i="13"/>
  <c r="AX1447" i="13"/>
  <c r="A1546" i="13"/>
  <c r="AV1551" i="13"/>
  <c r="AV1650" i="13" s="1"/>
  <c r="Z1551" i="13"/>
  <c r="BL70" i="4"/>
  <c r="BH70" i="4"/>
  <c r="AV572" i="13"/>
  <c r="AI24" i="69" a="1"/>
  <c r="AI24" i="69" s="1"/>
  <c r="AR6" i="69" a="1"/>
  <c r="AR6" i="69" s="1"/>
  <c r="AI82" i="69" a="1"/>
  <c r="AI82" i="69" s="1"/>
  <c r="AI62" i="69" a="1"/>
  <c r="AI62" i="69" s="1"/>
  <c r="AG42" i="69" a="1"/>
  <c r="AG42" i="69" s="1"/>
  <c r="AV85" i="69" a="1"/>
  <c r="AV85" i="69" s="1"/>
  <c r="AF85" i="69" a="1"/>
  <c r="AF85" i="69" s="1"/>
  <c r="AJ85" i="69" a="1"/>
  <c r="AJ85" i="69" s="1"/>
  <c r="AU85" i="69" a="1"/>
  <c r="AU85" i="69" s="1"/>
  <c r="AH85" i="69" a="1"/>
  <c r="AH85" i="69" s="1"/>
  <c r="AG85" i="69" a="1"/>
  <c r="AG85" i="69" s="1"/>
  <c r="AQ85" i="69" a="1"/>
  <c r="AQ85" i="69" s="1"/>
  <c r="AP85" i="69" a="1"/>
  <c r="AP85" i="69" s="1"/>
  <c r="AR85" i="69" a="1"/>
  <c r="AR85" i="69" s="1"/>
  <c r="AL85" i="69" a="1"/>
  <c r="AL85" i="69" s="1"/>
  <c r="AS85" i="69" a="1"/>
  <c r="AS85" i="69" s="1"/>
  <c r="I280" i="15" a="1"/>
  <c r="I280" i="15" s="1"/>
  <c r="BF21" i="4"/>
  <c r="BF75" i="4"/>
  <c r="X80" i="4"/>
  <c r="BG80" i="4"/>
  <c r="AV1178" i="13" s="1"/>
  <c r="L80" i="4"/>
  <c r="BG81" i="4"/>
  <c r="AV1179" i="13" s="1"/>
  <c r="BR81" i="4"/>
  <c r="L81" i="4"/>
  <c r="AV1387" i="13"/>
  <c r="G91" i="69"/>
  <c r="BM50" i="4"/>
  <c r="BE50" i="4" s="1" a="1"/>
  <c r="BE50" i="4" s="1"/>
  <c r="BS104" i="4"/>
  <c r="Z1748" i="13" s="1"/>
  <c r="BS107" i="4"/>
  <c r="BS106" i="4"/>
  <c r="BS108" i="4" s="1"/>
  <c r="BD50" i="69"/>
  <c r="I275" i="15" a="1"/>
  <c r="I275" i="15" s="1"/>
  <c r="AR27" i="4"/>
  <c r="AQ27" i="4"/>
  <c r="AV1459" i="13"/>
  <c r="A1558" i="13"/>
  <c r="AX1459" i="13"/>
  <c r="Z1563" i="13"/>
  <c r="AV1563" i="13"/>
  <c r="AV1662" i="13" s="1"/>
  <c r="O44" i="69"/>
  <c r="BF44" i="69"/>
  <c r="I238" i="15" a="1"/>
  <c r="I238" i="15" s="1"/>
  <c r="BD60" i="4"/>
  <c r="X60" i="4" s="1"/>
  <c r="AV1488" i="13"/>
  <c r="AX1488" i="13"/>
  <c r="A1587" i="13"/>
  <c r="BH72" i="4"/>
  <c r="BL72" i="4"/>
  <c r="AV574" i="13"/>
  <c r="AQ44" i="4"/>
  <c r="AR44" i="4"/>
  <c r="A1568" i="13"/>
  <c r="AV1573" i="13"/>
  <c r="AV1672" i="13" s="1"/>
  <c r="AX1469" i="13"/>
  <c r="Z1573" i="13"/>
  <c r="AV1469" i="13"/>
  <c r="BM79" i="4"/>
  <c r="BE79" i="4" s="1" a="1"/>
  <c r="BE79" i="4" s="1"/>
  <c r="BD79" i="69"/>
  <c r="AD79" i="69"/>
  <c r="BF88" i="69"/>
  <c r="O88" i="69"/>
  <c r="I361" i="15" a="1"/>
  <c r="I361" i="15" s="1"/>
  <c r="BE3" i="4" a="1"/>
  <c r="BE3" i="4" s="1"/>
  <c r="I399" i="15" a="1"/>
  <c r="I399" i="15" s="1"/>
  <c r="AL38" i="69" a="1"/>
  <c r="AL38" i="69" s="1"/>
  <c r="AV38" i="69" a="1"/>
  <c r="AV38" i="69" s="1"/>
  <c r="AP38" i="69" a="1"/>
  <c r="AP38" i="69" s="1"/>
  <c r="AF38" i="69" a="1"/>
  <c r="AF38" i="69" s="1"/>
  <c r="AU38" i="69" a="1"/>
  <c r="AU38" i="69" s="1"/>
  <c r="AH38" i="69" a="1"/>
  <c r="AH38" i="69" s="1"/>
  <c r="AG38" i="69" a="1"/>
  <c r="AG38" i="69" s="1"/>
  <c r="AQ38" i="69" a="1"/>
  <c r="AQ38" i="69" s="1"/>
  <c r="AS38" i="69" a="1"/>
  <c r="AS38" i="69" s="1"/>
  <c r="X9" i="4"/>
  <c r="AQ56" i="69" a="1"/>
  <c r="AQ56" i="69" s="1"/>
  <c r="AL56" i="69" a="1"/>
  <c r="AL56" i="69" s="1"/>
  <c r="AH56" i="69" a="1"/>
  <c r="AH56" i="69" s="1"/>
  <c r="AU56" i="69" a="1"/>
  <c r="AU56" i="69" s="1"/>
  <c r="AV56" i="69" a="1"/>
  <c r="AV56" i="69" s="1"/>
  <c r="AF56" i="69" a="1"/>
  <c r="AF56" i="69" s="1"/>
  <c r="AP56" i="69" a="1"/>
  <c r="AP56" i="69" s="1"/>
  <c r="AG56" i="69" a="1"/>
  <c r="AG56" i="69" s="1"/>
  <c r="AS56" i="69" a="1"/>
  <c r="AS56" i="69" s="1"/>
  <c r="BM90" i="4"/>
  <c r="BE90" i="4" s="1" a="1"/>
  <c r="BE90" i="4" s="1"/>
  <c r="BD90" i="69"/>
  <c r="AD90" i="69"/>
  <c r="AV1291" i="13"/>
  <c r="S94" i="69"/>
  <c r="AG94" i="69" s="1" a="1"/>
  <c r="AG94" i="69" s="1"/>
  <c r="B94" i="69"/>
  <c r="AQ87" i="69" a="1"/>
  <c r="AQ87" i="69" s="1"/>
  <c r="BF65" i="69"/>
  <c r="O65" i="69"/>
  <c r="AV1101" i="13"/>
  <c r="A1545" i="13"/>
  <c r="AX1446" i="13"/>
  <c r="Z1550" i="13"/>
  <c r="AV1550" i="13"/>
  <c r="AV1649" i="13" s="1"/>
  <c r="AV1446" i="13"/>
  <c r="AV391" i="13"/>
  <c r="AV491" i="13" s="1"/>
  <c r="U89" i="69" a="1"/>
  <c r="U89" i="69" s="1"/>
  <c r="AV1282" i="13"/>
  <c r="S85" i="69"/>
  <c r="B85" i="69"/>
  <c r="BM24" i="4"/>
  <c r="BE24" i="4" s="1" a="1"/>
  <c r="BE24" i="4" s="1"/>
  <c r="BD24" i="69"/>
  <c r="AD24" i="69"/>
  <c r="BI38" i="69" a="1"/>
  <c r="BI38" i="69" s="1"/>
  <c r="I269" i="15" a="1"/>
  <c r="I269" i="15" s="1"/>
  <c r="CA36" i="4"/>
  <c r="AV36" i="4" a="1"/>
  <c r="AV36" i="4" s="1"/>
  <c r="C36" i="69" s="1"/>
  <c r="D36" i="69" s="1" a="1"/>
  <c r="D36" i="69" s="1"/>
  <c r="AU36" i="4"/>
  <c r="AT36" i="4" a="1"/>
  <c r="AT36" i="4" s="1"/>
  <c r="H36" i="69" s="1"/>
  <c r="Y36" i="4"/>
  <c r="BQ36" i="4"/>
  <c r="BI56" i="69" a="1"/>
  <c r="BI56" i="69" s="1"/>
  <c r="AQ92" i="4"/>
  <c r="AR92" i="4"/>
  <c r="AQ73" i="69" a="1"/>
  <c r="AQ73" i="69" s="1"/>
  <c r="AO51" i="69" a="1"/>
  <c r="AO51" i="69" s="1"/>
  <c r="AK75" i="69" a="1"/>
  <c r="AK75" i="69" s="1"/>
  <c r="I396" i="15" a="1"/>
  <c r="I396" i="15" s="1"/>
  <c r="BI78" i="69" a="1"/>
  <c r="BI78" i="69" s="1"/>
  <c r="AG45" i="69" a="1"/>
  <c r="AG45" i="69" s="1"/>
  <c r="S60" i="69"/>
  <c r="I241" i="15" a="1"/>
  <c r="I241" i="15" s="1"/>
  <c r="AQ75" i="4"/>
  <c r="AR75" i="4"/>
  <c r="BH81" i="69" a="1"/>
  <c r="BH81" i="69" s="1"/>
  <c r="X52" i="4"/>
  <c r="I481" i="15" a="1"/>
  <c r="I481" i="15" s="1"/>
  <c r="AG81" i="69" a="1"/>
  <c r="AG81" i="69" s="1"/>
  <c r="I43" i="15" a="1"/>
  <c r="I43" i="15" s="1"/>
  <c r="G43" i="15"/>
  <c r="AD3" i="69"/>
  <c r="AZ3" i="69"/>
  <c r="BA3" i="69"/>
  <c r="I223" i="15" a="1"/>
  <c r="I223" i="15" s="1"/>
  <c r="AI9" i="69" a="1"/>
  <c r="AI9" i="69" s="1"/>
  <c r="I482" i="15" a="1"/>
  <c r="I482" i="15" s="1"/>
  <c r="AV1267" i="13"/>
  <c r="B70" i="69"/>
  <c r="S70" i="69"/>
  <c r="AG70" i="69" s="1" a="1"/>
  <c r="AG70" i="69" s="1"/>
  <c r="AR82" i="69" a="1"/>
  <c r="AR82" i="69" s="1"/>
  <c r="AR62" i="69" a="1"/>
  <c r="AR62" i="69" s="1"/>
  <c r="AG7" i="69" a="1"/>
  <c r="AG7" i="69" s="1"/>
  <c r="AR34" i="69" a="1"/>
  <c r="AR34" i="69" s="1"/>
  <c r="AI76" i="69" a="1"/>
  <c r="AI76" i="69" s="1"/>
  <c r="AG64" i="69" a="1"/>
  <c r="AG64" i="69" s="1"/>
  <c r="BG62" i="4"/>
  <c r="AV1160" i="13" s="1"/>
  <c r="BR62" i="4"/>
  <c r="AD62" i="69" s="1"/>
  <c r="L62" i="4"/>
  <c r="Z55" i="4"/>
  <c r="BG75" i="4"/>
  <c r="AV1173" i="13" s="1"/>
  <c r="BR75" i="4"/>
  <c r="L75" i="4"/>
  <c r="BR72" i="4"/>
  <c r="BG72" i="4"/>
  <c r="AV1170" i="13" s="1"/>
  <c r="X72" i="4"/>
  <c r="L72" i="4"/>
  <c r="BG89" i="4"/>
  <c r="AV1187" i="13" s="1"/>
  <c r="BR89" i="4"/>
  <c r="L89" i="4"/>
  <c r="BF58" i="4"/>
  <c r="BF81" i="4"/>
  <c r="I370" i="15" a="1"/>
  <c r="I370" i="15" s="1"/>
  <c r="O20" i="69"/>
  <c r="BF20" i="69"/>
  <c r="I429" i="15" a="1"/>
  <c r="I429" i="15" s="1"/>
  <c r="BD62" i="4"/>
  <c r="X62" i="4" s="1"/>
  <c r="AQ52" i="4"/>
  <c r="AR52" i="4"/>
  <c r="AD53" i="69"/>
  <c r="BF53" i="69"/>
  <c r="O53" i="69"/>
  <c r="O48" i="69"/>
  <c r="BF48" i="69"/>
  <c r="AK51" i="69" a="1"/>
  <c r="AK51" i="69" s="1"/>
  <c r="AR8" i="69" a="1"/>
  <c r="AR8" i="69" s="1"/>
  <c r="AJ8" i="69" a="1"/>
  <c r="AJ8" i="69" s="1"/>
  <c r="AI8" i="69" a="1"/>
  <c r="AI8" i="69" s="1"/>
  <c r="AU8" i="69" a="1"/>
  <c r="AU8" i="69" s="1"/>
  <c r="AQ8" i="69" a="1"/>
  <c r="AQ8" i="69" s="1"/>
  <c r="AF8" i="69" a="1"/>
  <c r="AF8" i="69" s="1"/>
  <c r="AH8" i="69" a="1"/>
  <c r="AH8" i="69" s="1"/>
  <c r="AP8" i="69" a="1"/>
  <c r="AP8" i="69" s="1"/>
  <c r="AL8" i="69" a="1"/>
  <c r="AL8" i="69" s="1"/>
  <c r="AG8" i="69" a="1"/>
  <c r="AG8" i="69" s="1"/>
  <c r="AV8" i="69" a="1"/>
  <c r="AV8" i="69" s="1"/>
  <c r="AS8" i="69" a="1"/>
  <c r="AS8" i="69" s="1"/>
  <c r="AQ35" i="4"/>
  <c r="AR35" i="4"/>
  <c r="BM27" i="4"/>
  <c r="BE27" i="4" s="1" a="1"/>
  <c r="BE27" i="4" s="1"/>
  <c r="AD27" i="69"/>
  <c r="AZ104" i="4"/>
  <c r="BD27" i="69"/>
  <c r="BM12" i="4"/>
  <c r="BE12" i="4" s="1" a="1"/>
  <c r="BE12" i="4" s="1"/>
  <c r="BD12" i="69"/>
  <c r="AD12" i="69"/>
  <c r="BF18" i="69"/>
  <c r="O18" i="69"/>
  <c r="BF26" i="69"/>
  <c r="O26" i="69"/>
  <c r="BH75" i="4"/>
  <c r="AQ7" i="4"/>
  <c r="AR7" i="4"/>
  <c r="AV1547" i="13"/>
  <c r="AV1646" i="13" s="1"/>
  <c r="Z1547" i="13"/>
  <c r="AV1443" i="13"/>
  <c r="A1542" i="13"/>
  <c r="AX1443" i="13"/>
  <c r="AR40" i="4"/>
  <c r="AQ40" i="4"/>
  <c r="BH61" i="4"/>
  <c r="I449" i="15" a="1"/>
  <c r="I449" i="15" s="1"/>
  <c r="AQ49" i="4"/>
  <c r="AR49" i="4"/>
  <c r="AV1263" i="13"/>
  <c r="S66" i="69"/>
  <c r="A1510" i="13"/>
  <c r="AV1515" i="13"/>
  <c r="AV1614" i="13" s="1"/>
  <c r="AX1411" i="13"/>
  <c r="Z1515" i="13"/>
  <c r="AV1411" i="13"/>
  <c r="A1416" i="13"/>
  <c r="AX1317" i="13"/>
  <c r="AI56" i="69" a="1"/>
  <c r="AI56" i="69" s="1"/>
  <c r="AV1518" i="13"/>
  <c r="AV1617" i="13" s="1"/>
  <c r="A1513" i="13"/>
  <c r="AX1414" i="13"/>
  <c r="Z1518" i="13"/>
  <c r="AV1414" i="13"/>
  <c r="BR54" i="4"/>
  <c r="AD54" i="69" s="1"/>
  <c r="CA65" i="4"/>
  <c r="AT65" i="4" a="1"/>
  <c r="AT65" i="4" s="1"/>
  <c r="H65" i="69" s="1"/>
  <c r="AU65" i="4"/>
  <c r="AV65" i="4" a="1"/>
  <c r="AV65" i="4" s="1"/>
  <c r="C65" i="69" s="1"/>
  <c r="D65" i="69" s="1" a="1"/>
  <c r="D65" i="69" s="1"/>
  <c r="Y65" i="4"/>
  <c r="BQ65" i="4"/>
  <c r="AV380" i="13"/>
  <c r="AV480" i="13" s="1"/>
  <c r="U78" i="69" a="1"/>
  <c r="U78" i="69" s="1"/>
  <c r="BM23" i="4"/>
  <c r="BE23" i="4" s="1" a="1"/>
  <c r="BE23" i="4" s="1"/>
  <c r="BD23" i="69"/>
  <c r="AD23" i="69"/>
  <c r="I154" i="15" a="1"/>
  <c r="I154" i="15" s="1"/>
  <c r="AJ56" i="69" a="1"/>
  <c r="AJ56" i="69" s="1"/>
  <c r="AV1523" i="13"/>
  <c r="AV1622" i="13" s="1"/>
  <c r="Z1523" i="13"/>
  <c r="AV1419" i="13"/>
  <c r="A1518" i="13"/>
  <c r="AX1419" i="13"/>
  <c r="I487" i="15" a="1"/>
  <c r="I487" i="15" s="1"/>
  <c r="AR42" i="4"/>
  <c r="AQ42" i="4"/>
  <c r="AV1277" i="13"/>
  <c r="B80" i="69"/>
  <c r="S80" i="69"/>
  <c r="AV1587" i="13"/>
  <c r="AV1686" i="13" s="1"/>
  <c r="AV1483" i="13"/>
  <c r="AX1483" i="13"/>
  <c r="A1582" i="13"/>
  <c r="Z1587" i="13"/>
  <c r="AV360" i="13"/>
  <c r="AV460" i="13" s="1"/>
  <c r="U58" i="69" a="1"/>
  <c r="U58" i="69" s="1"/>
  <c r="AR45" i="69" a="1"/>
  <c r="AR45" i="69" s="1"/>
  <c r="O56" i="69"/>
  <c r="BF56" i="69"/>
  <c r="AQ70" i="4"/>
  <c r="AR70" i="4"/>
  <c r="AV1292" i="13"/>
  <c r="S95" i="69"/>
  <c r="AG95" i="69" s="1" a="1"/>
  <c r="AG95" i="69" s="1"/>
  <c r="B95" i="69"/>
  <c r="I327" i="15" a="1"/>
  <c r="I327" i="15" s="1"/>
  <c r="A1536" i="13"/>
  <c r="AX1437" i="13"/>
  <c r="AV1541" i="13"/>
  <c r="AV1640" i="13" s="1"/>
  <c r="AV1437" i="13"/>
  <c r="Z1541" i="13"/>
  <c r="BA81" i="69"/>
  <c r="AE3" i="69" a="1"/>
  <c r="AE3" i="69" s="1"/>
  <c r="I423" i="15" a="1"/>
  <c r="I423" i="15" s="1"/>
  <c r="BM65" i="4"/>
  <c r="BE65" i="4" s="1" a="1"/>
  <c r="BE65" i="4" s="1"/>
  <c r="BD65" i="69"/>
  <c r="AD65" i="69"/>
  <c r="AR49" i="69" a="1"/>
  <c r="AR49" i="69" s="1"/>
  <c r="AV1522" i="13"/>
  <c r="AV1621" i="13" s="1"/>
  <c r="Z1522" i="13"/>
  <c r="AV1418" i="13"/>
  <c r="AX1418" i="13"/>
  <c r="A1517" i="13"/>
  <c r="A1567" i="13"/>
  <c r="AX1468" i="13"/>
  <c r="AV1468" i="13"/>
  <c r="Z1572" i="13"/>
  <c r="AV1572" i="13"/>
  <c r="AV1671" i="13" s="1"/>
  <c r="AK23" i="69" a="1"/>
  <c r="AK23" i="69" s="1"/>
  <c r="AL23" i="69" a="1"/>
  <c r="AL23" i="69" s="1"/>
  <c r="AJ23" i="69" a="1"/>
  <c r="AJ23" i="69" s="1"/>
  <c r="AH23" i="69" a="1"/>
  <c r="AH23" i="69" s="1"/>
  <c r="AP23" i="69" a="1"/>
  <c r="AP23" i="69" s="1"/>
  <c r="AG23" i="69" a="1"/>
  <c r="AG23" i="69" s="1"/>
  <c r="AF23" i="69" a="1"/>
  <c r="AF23" i="69" s="1"/>
  <c r="AR23" i="69" a="1"/>
  <c r="AR23" i="69" s="1"/>
  <c r="AI23" i="69" a="1"/>
  <c r="AI23" i="69" s="1"/>
  <c r="AQ23" i="69" a="1"/>
  <c r="AQ23" i="69" s="1"/>
  <c r="AU23" i="69" a="1"/>
  <c r="AU23" i="69" s="1"/>
  <c r="AV23" i="69" a="1"/>
  <c r="AV23" i="69" s="1"/>
  <c r="AS23" i="69" a="1"/>
  <c r="AS23" i="69" s="1"/>
  <c r="AR70" i="69" a="1"/>
  <c r="AR70" i="69" s="1"/>
  <c r="AV1540" i="13"/>
  <c r="AV1639" i="13" s="1"/>
  <c r="Z1540" i="13"/>
  <c r="AV1436" i="13"/>
  <c r="A1535" i="13"/>
  <c r="AX1436" i="13"/>
  <c r="AK53" i="69" a="1"/>
  <c r="AK53" i="69" s="1"/>
  <c r="AQ69" i="69" a="1"/>
  <c r="AQ69" i="69" s="1"/>
  <c r="AR7" i="69" a="1"/>
  <c r="AR7" i="69" s="1"/>
  <c r="I191" i="15" a="1"/>
  <c r="I191" i="15" s="1"/>
  <c r="AR46" i="69" a="1"/>
  <c r="AR46" i="69" s="1"/>
  <c r="BG94" i="4"/>
  <c r="AV1192" i="13" s="1"/>
  <c r="BR94" i="4"/>
  <c r="L94" i="4"/>
  <c r="BG85" i="4"/>
  <c r="AV1183" i="13" s="1"/>
  <c r="BR85" i="4"/>
  <c r="L85" i="4"/>
  <c r="BF89" i="4"/>
  <c r="BG58" i="4"/>
  <c r="AV1156" i="13" s="1"/>
  <c r="BR58" i="4"/>
  <c r="L58" i="4"/>
  <c r="AD11" i="69"/>
  <c r="O11" i="69"/>
  <c r="BF11" i="69"/>
  <c r="BM18" i="4"/>
  <c r="BE18" i="4" s="1" a="1"/>
  <c r="BE18" i="4" s="1"/>
  <c r="BD18" i="69"/>
  <c r="AD18" i="69"/>
  <c r="BM13" i="4"/>
  <c r="BE13" i="4" s="1" a="1"/>
  <c r="BE13" i="4" s="1"/>
  <c r="BD13" i="69"/>
  <c r="AD13" i="69"/>
  <c r="BM28" i="4"/>
  <c r="BE28" i="4" s="1" a="1"/>
  <c r="BE28" i="4" s="1"/>
  <c r="AD28" i="69"/>
  <c r="BD28" i="69"/>
  <c r="BF19" i="69"/>
  <c r="O19" i="69"/>
  <c r="AV1467" i="13"/>
  <c r="AV1571" i="13"/>
  <c r="AV1670" i="13" s="1"/>
  <c r="Z1571" i="13"/>
  <c r="AX1467" i="13"/>
  <c r="A1566" i="13"/>
  <c r="F108" i="15" a="1"/>
  <c r="F108" i="15" s="1"/>
  <c r="H108" i="15" a="1"/>
  <c r="H108" i="15" s="1"/>
  <c r="BM75" i="4"/>
  <c r="BE75" i="4" s="1" a="1"/>
  <c r="BE75" i="4" s="1"/>
  <c r="BD75" i="69"/>
  <c r="AQ89" i="69" a="1"/>
  <c r="AQ89" i="69" s="1"/>
  <c r="Z1585" i="13"/>
  <c r="A1580" i="13"/>
  <c r="AX1481" i="13"/>
  <c r="AV1481" i="13"/>
  <c r="AV1585" i="13"/>
  <c r="AV1684" i="13" s="1"/>
  <c r="AQ63" i="4"/>
  <c r="AR63" i="4"/>
  <c r="I589" i="15" a="1"/>
  <c r="I589" i="15" s="1"/>
  <c r="I141" i="15" a="1"/>
  <c r="I141" i="15" s="1"/>
  <c r="G141" i="15"/>
  <c r="BM29" i="4"/>
  <c r="BE29" i="4" s="1" a="1"/>
  <c r="BE29" i="4" s="1"/>
  <c r="BD29" i="69"/>
  <c r="I279" i="15" a="1"/>
  <c r="I279" i="15" s="1"/>
  <c r="AH97" i="4"/>
  <c r="I517" i="15" a="1"/>
  <c r="I517" i="15" s="1"/>
  <c r="Z51" i="14"/>
  <c r="Z38" i="23"/>
  <c r="I604" i="15" a="1"/>
  <c r="I604" i="15" s="1"/>
  <c r="I307" i="15" a="1"/>
  <c r="I307" i="15" s="1"/>
  <c r="AR50" i="4"/>
  <c r="AQ50" i="4"/>
  <c r="AQ26" i="4"/>
  <c r="AR26" i="4"/>
  <c r="AJ38" i="69" a="1"/>
  <c r="AJ38" i="69" s="1"/>
  <c r="AV1462" i="13"/>
  <c r="AV1566" i="13"/>
  <c r="AV1665" i="13" s="1"/>
  <c r="A1561" i="13"/>
  <c r="Z1566" i="13"/>
  <c r="AX1462" i="13"/>
  <c r="AQ22" i="4"/>
  <c r="AR22" i="4"/>
  <c r="AK67" i="69" a="1"/>
  <c r="AK67" i="69" s="1"/>
  <c r="A1586" i="13"/>
  <c r="AX1487" i="13"/>
  <c r="AV1487" i="13"/>
  <c r="O68" i="69"/>
  <c r="BF68" i="69"/>
  <c r="I242" i="15" a="1"/>
  <c r="I242" i="15" s="1"/>
  <c r="AV1354" i="13"/>
  <c r="G58" i="69"/>
  <c r="AO8" i="69" a="1"/>
  <c r="AO8" i="69" s="1"/>
  <c r="AX1409" i="13"/>
  <c r="AV1409" i="13"/>
  <c r="A1508" i="13"/>
  <c r="AV1513" i="13"/>
  <c r="AV1612" i="13" s="1"/>
  <c r="Z1513" i="13"/>
  <c r="AQ71" i="4"/>
  <c r="AR71" i="4"/>
  <c r="A1514" i="13"/>
  <c r="Z1519" i="13"/>
  <c r="AX1415" i="13"/>
  <c r="AV1415" i="13"/>
  <c r="AV1519" i="13"/>
  <c r="AV1618" i="13" s="1"/>
  <c r="H536" i="15" a="1"/>
  <c r="H536" i="15" s="1"/>
  <c r="O3" i="69"/>
  <c r="I462" i="15" a="1"/>
  <c r="I462" i="15" s="1"/>
  <c r="AR9" i="69" a="1"/>
  <c r="AR9" i="69" s="1"/>
  <c r="AV1537" i="13"/>
  <c r="AV1636" i="13" s="1"/>
  <c r="AX1433" i="13"/>
  <c r="A1532" i="13"/>
  <c r="Z1537" i="13"/>
  <c r="AV1433" i="13"/>
  <c r="I447" i="15" a="1"/>
  <c r="I447" i="15" s="1"/>
  <c r="I489" i="15" a="1"/>
  <c r="I489" i="15" s="1"/>
  <c r="I328" i="15" a="1"/>
  <c r="I328" i="15" s="1"/>
  <c r="BR70" i="4"/>
  <c r="AG68" i="69" a="1"/>
  <c r="AG68" i="69" s="1"/>
  <c r="I433" i="15" a="1"/>
  <c r="I433" i="15" s="1"/>
  <c r="AI14" i="69" a="1"/>
  <c r="AI14" i="69" s="1"/>
  <c r="AI34" i="69" a="1"/>
  <c r="AI34" i="69" s="1"/>
  <c r="AI15" i="69" a="1"/>
  <c r="AI15" i="69" s="1"/>
  <c r="AR94" i="69" a="1"/>
  <c r="AR94" i="69" s="1"/>
  <c r="BI10" i="69" a="1"/>
  <c r="BI10" i="69" s="1"/>
  <c r="BF62" i="4"/>
  <c r="BF93" i="4"/>
  <c r="BF77" i="4"/>
  <c r="BF94" i="4"/>
  <c r="BF85" i="4"/>
  <c r="BF87" i="4"/>
  <c r="AV1381" i="13"/>
  <c r="G85" i="69"/>
  <c r="I179" i="15" a="1"/>
  <c r="I179" i="15" s="1"/>
  <c r="AV1258" i="13"/>
  <c r="B61" i="69"/>
  <c r="S61" i="69"/>
  <c r="BI51" i="69" a="1"/>
  <c r="BI51" i="69" s="1"/>
  <c r="AR38" i="4"/>
  <c r="AQ38" i="4"/>
  <c r="BM33" i="4"/>
  <c r="BE33" i="4" s="1" a="1"/>
  <c r="BE33" i="4" s="1"/>
  <c r="AD33" i="69"/>
  <c r="BD33" i="69"/>
  <c r="AQ29" i="4"/>
  <c r="AR29" i="4"/>
  <c r="AV383" i="13"/>
  <c r="AV483" i="13" s="1"/>
  <c r="U81" i="69" a="1"/>
  <c r="U81" i="69" s="1"/>
  <c r="BL87" i="4"/>
  <c r="AV589" i="13"/>
  <c r="BH87" i="4"/>
  <c r="I368" i="15" a="1"/>
  <c r="I368" i="15" s="1"/>
  <c r="A1559" i="13"/>
  <c r="AV1460" i="13"/>
  <c r="AX1460" i="13"/>
  <c r="AV1564" i="13"/>
  <c r="AV1663" i="13" s="1"/>
  <c r="Z1564" i="13"/>
  <c r="BM54" i="4"/>
  <c r="BE54" i="4" s="1" a="1"/>
  <c r="BE54" i="4" s="1"/>
  <c r="BD54" i="69"/>
  <c r="A1576" i="13"/>
  <c r="AX1477" i="13"/>
  <c r="Z1581" i="13"/>
  <c r="AV1581" i="13"/>
  <c r="AV1680" i="13" s="1"/>
  <c r="AV1477" i="13"/>
  <c r="BD82" i="4"/>
  <c r="X82" i="4" s="1"/>
  <c r="O45" i="69"/>
  <c r="BF45" i="69"/>
  <c r="CA44" i="4"/>
  <c r="AV44" i="4" a="1"/>
  <c r="AV44" i="4" s="1"/>
  <c r="C44" i="69" s="1"/>
  <c r="D44" i="69" s="1" a="1"/>
  <c r="D44" i="69" s="1"/>
  <c r="AU44" i="4"/>
  <c r="AT44" i="4" a="1"/>
  <c r="AT44" i="4" s="1"/>
  <c r="H44" i="69" s="1"/>
  <c r="Y44" i="4"/>
  <c r="CX44" i="4"/>
  <c r="CY44" i="4" s="1"/>
  <c r="BQ44" i="4"/>
  <c r="AS86" i="69" a="1"/>
  <c r="AS86" i="69" s="1"/>
  <c r="AH86" i="69" a="1"/>
  <c r="AH86" i="69" s="1"/>
  <c r="AP86" i="69" a="1"/>
  <c r="AP86" i="69" s="1"/>
  <c r="AL86" i="69" a="1"/>
  <c r="AL86" i="69" s="1"/>
  <c r="AV86" i="69" a="1"/>
  <c r="AV86" i="69" s="1"/>
  <c r="AF86" i="69" a="1"/>
  <c r="AF86" i="69" s="1"/>
  <c r="AU86" i="69" a="1"/>
  <c r="AU86" i="69" s="1"/>
  <c r="AR86" i="69" a="1"/>
  <c r="AR86" i="69" s="1"/>
  <c r="AG86" i="69" a="1"/>
  <c r="AG86" i="69" s="1"/>
  <c r="AR14" i="4"/>
  <c r="AQ14" i="4"/>
  <c r="AQ47" i="4"/>
  <c r="AR47" i="4"/>
  <c r="H107" i="15" a="1"/>
  <c r="H107" i="15" s="1"/>
  <c r="AR77" i="4"/>
  <c r="AQ77" i="4"/>
  <c r="BM7" i="4"/>
  <c r="BD7" i="69"/>
  <c r="AD7" i="69"/>
  <c r="I453" i="15" a="1"/>
  <c r="I453" i="15" s="1"/>
  <c r="BD84" i="4"/>
  <c r="BR84" i="4" s="1"/>
  <c r="AQ45" i="4"/>
  <c r="AR45" i="4"/>
  <c r="BM61" i="4"/>
  <c r="BE61" i="4" s="1" a="1"/>
  <c r="BE61" i="4" s="1"/>
  <c r="BD61" i="69"/>
  <c r="AD61" i="69"/>
  <c r="CA88" i="4"/>
  <c r="AV88" i="4" a="1"/>
  <c r="AV88" i="4" s="1"/>
  <c r="C88" i="69" s="1"/>
  <c r="D88" i="69" s="1" a="1"/>
  <c r="D88" i="69" s="1"/>
  <c r="AT88" i="4" a="1"/>
  <c r="AT88" i="4" s="1"/>
  <c r="H88" i="69" s="1"/>
  <c r="AU88" i="4"/>
  <c r="Y88" i="4"/>
  <c r="BQ88" i="4"/>
  <c r="BM47" i="4"/>
  <c r="BE47" i="4" s="1" a="1"/>
  <c r="BE47" i="4" s="1"/>
  <c r="AD47" i="69"/>
  <c r="BD47" i="69"/>
  <c r="AQ31" i="4"/>
  <c r="AR31" i="4"/>
  <c r="I473" i="15" a="1"/>
  <c r="I473" i="15" s="1"/>
  <c r="U21" i="69" a="1"/>
  <c r="U21" i="69" s="1"/>
  <c r="AV1569" i="13"/>
  <c r="AV1668" i="13" s="1"/>
  <c r="A1564" i="13"/>
  <c r="AV1465" i="13"/>
  <c r="AX1465" i="13"/>
  <c r="Z1569" i="13"/>
  <c r="BD83" i="4"/>
  <c r="BR83" i="4" s="1"/>
  <c r="I120" i="15" a="1"/>
  <c r="I120" i="15" s="1"/>
  <c r="G120" i="15"/>
  <c r="BD97" i="4"/>
  <c r="BO87" i="69"/>
  <c r="X68" i="4"/>
  <c r="O38" i="69"/>
  <c r="BF38" i="69"/>
  <c r="I228" i="15" a="1"/>
  <c r="I228" i="15" s="1"/>
  <c r="BM48" i="4"/>
  <c r="BE48" i="4" s="1" a="1"/>
  <c r="BE48" i="4" s="1"/>
  <c r="BD48" i="69"/>
  <c r="AD48" i="69"/>
  <c r="AR25" i="4"/>
  <c r="AQ25" i="4"/>
  <c r="AV1286" i="13"/>
  <c r="B89" i="69"/>
  <c r="S89" i="69"/>
  <c r="AI89" i="69" s="1" a="1"/>
  <c r="AI89" i="69" s="1"/>
  <c r="BM20" i="4"/>
  <c r="BE20" i="4" s="1" a="1"/>
  <c r="BE20" i="4" s="1"/>
  <c r="BD20" i="69"/>
  <c r="AD20" i="69"/>
  <c r="AV1577" i="13"/>
  <c r="AV1676" i="13" s="1"/>
  <c r="AV1473" i="13"/>
  <c r="AX1473" i="13"/>
  <c r="Z1577" i="13"/>
  <c r="A1572" i="13"/>
  <c r="A1584" i="13"/>
  <c r="AV1589" i="13"/>
  <c r="AV1688" i="13" s="1"/>
  <c r="Z1589" i="13"/>
  <c r="Z1689" i="13" s="1"/>
  <c r="AV1485" i="13"/>
  <c r="AX1485" i="13"/>
  <c r="O41" i="69"/>
  <c r="BF41" i="69"/>
  <c r="BM40" i="4"/>
  <c r="BE40" i="4" s="1" a="1"/>
  <c r="BE40" i="4" s="1"/>
  <c r="BD40" i="69"/>
  <c r="AD40" i="69"/>
  <c r="BD64" i="4"/>
  <c r="BR64" i="4" s="1"/>
  <c r="AQ31" i="69" a="1"/>
  <c r="AQ31" i="69" s="1"/>
  <c r="I405" i="15" a="1"/>
  <c r="I405" i="15" s="1"/>
  <c r="H341" i="15" a="1"/>
  <c r="H341" i="15" s="1"/>
  <c r="BL58" i="4"/>
  <c r="AV560" i="13"/>
  <c r="BH58" i="4"/>
  <c r="BF15" i="69"/>
  <c r="O15" i="69"/>
  <c r="BM56" i="4"/>
  <c r="BE56" i="4" s="1" a="1"/>
  <c r="BE56" i="4" s="1"/>
  <c r="BD56" i="69"/>
  <c r="AD56" i="69"/>
  <c r="AV1539" i="13"/>
  <c r="AV1638" i="13" s="1"/>
  <c r="A1534" i="13"/>
  <c r="Z1539" i="13"/>
  <c r="AV1435" i="13"/>
  <c r="AX1435" i="13"/>
  <c r="I499" i="15" a="1"/>
  <c r="I499" i="15" s="1"/>
  <c r="AV1391" i="13"/>
  <c r="G95" i="69"/>
  <c r="BM69" i="4"/>
  <c r="BE69" i="4" s="1" a="1"/>
  <c r="BE69" i="4" s="1"/>
  <c r="BD69" i="69"/>
  <c r="AV583" i="13"/>
  <c r="BH81" i="4"/>
  <c r="BL81" i="4"/>
  <c r="AL92" i="69" a="1"/>
  <c r="AL92" i="69" s="1"/>
  <c r="AV92" i="69" a="1"/>
  <c r="AV92" i="69" s="1"/>
  <c r="AH92" i="69" a="1"/>
  <c r="AH92" i="69" s="1"/>
  <c r="AF92" i="69" a="1"/>
  <c r="AF92" i="69" s="1"/>
  <c r="AU92" i="69" a="1"/>
  <c r="AU92" i="69" s="1"/>
  <c r="AP92" i="69" a="1"/>
  <c r="AP92" i="69" s="1"/>
  <c r="AR92" i="69" a="1"/>
  <c r="AR92" i="69" s="1"/>
  <c r="AI92" i="69" a="1"/>
  <c r="AI92" i="69" s="1"/>
  <c r="AS92" i="69" a="1"/>
  <c r="AS92" i="69" s="1"/>
  <c r="AV1379" i="13"/>
  <c r="G83" i="69"/>
  <c r="A1521" i="13"/>
  <c r="AV1526" i="13"/>
  <c r="AV1625" i="13" s="1"/>
  <c r="Z1526" i="13"/>
  <c r="AX1422" i="13"/>
  <c r="AV1422" i="13"/>
  <c r="AC22" i="27"/>
  <c r="C15" i="27"/>
  <c r="A8" i="27"/>
  <c r="A7" i="27" s="1"/>
  <c r="I536" i="15" a="1"/>
  <c r="I536" i="15" s="1"/>
  <c r="BK3" i="69"/>
  <c r="BJ3" i="69" s="1"/>
  <c r="BM3" i="69" s="1"/>
  <c r="I185" i="15" a="1"/>
  <c r="I185" i="15" s="1"/>
  <c r="AO20" i="69" a="1"/>
  <c r="AO20" i="69" s="1"/>
  <c r="AQ67" i="4"/>
  <c r="AR67" i="4"/>
  <c r="I483" i="15" a="1"/>
  <c r="I483" i="15" s="1"/>
  <c r="AQ43" i="69" a="1"/>
  <c r="AQ43" i="69" s="1"/>
  <c r="AQ11" i="69" a="1"/>
  <c r="AQ11" i="69" s="1"/>
  <c r="I81" i="15" a="1"/>
  <c r="I81" i="15" s="1"/>
  <c r="G81" i="15"/>
  <c r="AG48" i="69" a="1"/>
  <c r="AG48" i="69" s="1"/>
  <c r="AQ68" i="69" a="1"/>
  <c r="AQ68" i="69" s="1"/>
  <c r="AI80" i="69" a="1"/>
  <c r="AI80" i="69" s="1"/>
  <c r="AQ14" i="69" a="1"/>
  <c r="AQ14" i="69" s="1"/>
  <c r="AG59" i="69" a="1"/>
  <c r="AG59" i="69" s="1"/>
  <c r="I475" i="15" a="1"/>
  <c r="I475" i="15" s="1"/>
  <c r="AI19" i="69" a="1"/>
  <c r="AI19" i="69" s="1"/>
  <c r="AR83" i="69" a="1"/>
  <c r="AR83" i="69" s="1"/>
  <c r="BF61" i="4"/>
  <c r="BL93" i="4"/>
  <c r="BG93" i="4"/>
  <c r="AV1191" i="13" s="1"/>
  <c r="BR93" i="4"/>
  <c r="L93" i="4"/>
  <c r="BG77" i="4"/>
  <c r="AV1175" i="13" s="1"/>
  <c r="BR77" i="4"/>
  <c r="L77" i="4"/>
  <c r="BR66" i="4"/>
  <c r="BG66" i="4"/>
  <c r="AV1164" i="13" s="1"/>
  <c r="L66" i="4"/>
  <c r="BG63" i="4"/>
  <c r="AV1161" i="13" s="1"/>
  <c r="BR63" i="4"/>
  <c r="L63" i="4"/>
  <c r="BG87" i="4"/>
  <c r="AV1185" i="13" s="1"/>
  <c r="BR87" i="4"/>
  <c r="X87" i="4"/>
  <c r="L87" i="4"/>
  <c r="AV1407" i="13"/>
  <c r="A1506" i="13"/>
  <c r="AX1407" i="13"/>
  <c r="AV1511" i="13"/>
  <c r="AV1610" i="13" s="1"/>
  <c r="Z1511" i="13"/>
  <c r="BM36" i="4"/>
  <c r="BE36" i="4" s="1" a="1"/>
  <c r="BE36" i="4" s="1"/>
  <c r="BD36" i="69"/>
  <c r="AD36" i="69"/>
  <c r="AH74" i="69" a="1"/>
  <c r="AH74" i="69" s="1"/>
  <c r="AL74" i="69" a="1"/>
  <c r="AL74" i="69" s="1"/>
  <c r="AF74" i="69" a="1"/>
  <c r="AF74" i="69" s="1"/>
  <c r="AP74" i="69" a="1"/>
  <c r="AP74" i="69" s="1"/>
  <c r="AU74" i="69" a="1"/>
  <c r="AU74" i="69" s="1"/>
  <c r="AV74" i="69" a="1"/>
  <c r="AV74" i="69" s="1"/>
  <c r="AQ74" i="69" a="1"/>
  <c r="AQ74" i="69" s="1"/>
  <c r="AJ74" i="69" a="1"/>
  <c r="AJ74" i="69" s="1"/>
  <c r="AI74" i="69" a="1"/>
  <c r="AI74" i="69" s="1"/>
  <c r="AS74" i="69" a="1"/>
  <c r="AS74" i="69" s="1"/>
  <c r="I102" i="15" a="1"/>
  <c r="I102" i="15" s="1"/>
  <c r="G102" i="15"/>
  <c r="I374" i="15" a="1"/>
  <c r="I374" i="15" s="1"/>
  <c r="BM45" i="4"/>
  <c r="BE45" i="4" s="1" a="1"/>
  <c r="BE45" i="4" s="1"/>
  <c r="BD45" i="69"/>
  <c r="AD45" i="69"/>
  <c r="I107" i="15" a="1"/>
  <c r="I107" i="15" s="1"/>
  <c r="G107" i="15"/>
  <c r="AX99" i="4"/>
  <c r="E164" i="15"/>
  <c r="E428" i="15"/>
  <c r="E143" i="15"/>
  <c r="E197" i="15"/>
  <c r="E169" i="15"/>
  <c r="I480" i="15" a="1"/>
  <c r="I480" i="15" s="1"/>
  <c r="O37" i="69"/>
  <c r="BF37" i="69"/>
  <c r="BL63" i="4"/>
  <c r="AV565" i="13"/>
  <c r="BH63" i="4"/>
  <c r="I520" i="15" a="1"/>
  <c r="I520" i="15" s="1"/>
  <c r="A1455" i="13"/>
  <c r="AX1356" i="13"/>
  <c r="BM43" i="4"/>
  <c r="BE43" i="4" s="1" a="1"/>
  <c r="BE43" i="4" s="1"/>
  <c r="AD43" i="69"/>
  <c r="BD43" i="69"/>
  <c r="I359" i="15" a="1"/>
  <c r="I359" i="15" s="1"/>
  <c r="AV1478" i="13"/>
  <c r="A1577" i="13"/>
  <c r="AV1582" i="13"/>
  <c r="AV1681" i="13" s="1"/>
  <c r="AX1478" i="13"/>
  <c r="Z1582" i="13"/>
  <c r="BL89" i="4"/>
  <c r="BH89" i="4"/>
  <c r="AV591" i="13"/>
  <c r="BM16" i="4"/>
  <c r="BE16" i="4" s="1" a="1"/>
  <c r="BE16" i="4" s="1"/>
  <c r="AD16" i="69"/>
  <c r="BD16" i="69"/>
  <c r="AS29" i="69" a="1"/>
  <c r="AS29" i="69" s="1"/>
  <c r="AI29" i="69" a="1"/>
  <c r="AI29" i="69" s="1"/>
  <c r="AL29" i="69" a="1"/>
  <c r="AL29" i="69" s="1"/>
  <c r="AJ29" i="69" a="1"/>
  <c r="AJ29" i="69" s="1"/>
  <c r="AF29" i="69" a="1"/>
  <c r="AF29" i="69" s="1"/>
  <c r="AV29" i="69" a="1"/>
  <c r="AV29" i="69" s="1"/>
  <c r="AQ29" i="69" a="1"/>
  <c r="AQ29" i="69" s="1"/>
  <c r="AU29" i="69" a="1"/>
  <c r="AU29" i="69" s="1"/>
  <c r="AH29" i="69" a="1"/>
  <c r="AH29" i="69" s="1"/>
  <c r="AP29" i="69" a="1"/>
  <c r="AP29" i="69" s="1"/>
  <c r="I270" i="15" a="1"/>
  <c r="I270" i="15" s="1"/>
  <c r="BF34" i="69"/>
  <c r="O34" i="69"/>
  <c r="BL21" i="69" a="1"/>
  <c r="BL21" i="69" s="1"/>
  <c r="BO21" i="69"/>
  <c r="R21" i="69"/>
  <c r="BH21" i="69" a="1"/>
  <c r="BH21" i="69" s="1"/>
  <c r="AY21" i="69"/>
  <c r="AJ21" i="69" s="1" a="1"/>
  <c r="AJ21" i="69" s="1"/>
  <c r="BB21" i="69"/>
  <c r="AQ21" i="69" s="1" a="1"/>
  <c r="AQ21" i="69" s="1"/>
  <c r="AK21" i="69" a="1"/>
  <c r="AK21" i="69" s="1"/>
  <c r="BI21" i="69" a="1"/>
  <c r="BI21" i="69" s="1"/>
  <c r="BQ21" i="69"/>
  <c r="AO21" i="69" a="1"/>
  <c r="AO21" i="69" s="1"/>
  <c r="AV596" i="13"/>
  <c r="BH94" i="4"/>
  <c r="BL94" i="4"/>
  <c r="AR24" i="4"/>
  <c r="AQ24" i="4"/>
  <c r="E97" i="4"/>
  <c r="BB105" i="4" s="1"/>
  <c r="C1754" i="13" s="1"/>
  <c r="BM34" i="4"/>
  <c r="BE34" i="4" s="1" a="1"/>
  <c r="BE34" i="4" s="1"/>
  <c r="BD34" i="69"/>
  <c r="AD34" i="69"/>
  <c r="BH87" i="69" a="1"/>
  <c r="BH87" i="69" s="1"/>
  <c r="AI87" i="69" a="1"/>
  <c r="AI87" i="69" s="1"/>
  <c r="BM88" i="4"/>
  <c r="BE88" i="4" s="1" a="1"/>
  <c r="BE88" i="4" s="1"/>
  <c r="AD88" i="69"/>
  <c r="BD88" i="69"/>
  <c r="E3" i="1" a="1"/>
  <c r="BD66" i="4"/>
  <c r="X66" i="4" s="1"/>
  <c r="AR56" i="69" a="1"/>
  <c r="AR56" i="69" s="1"/>
  <c r="I257" i="15" a="1"/>
  <c r="I257" i="15" s="1"/>
  <c r="AU41" i="4"/>
  <c r="AV41" i="4" a="1"/>
  <c r="AV41" i="4" s="1"/>
  <c r="C41" i="69" s="1"/>
  <c r="D41" i="69" s="1" a="1"/>
  <c r="D41" i="69" s="1"/>
  <c r="AT41" i="4" a="1"/>
  <c r="AT41" i="4" s="1"/>
  <c r="H41" i="69" s="1"/>
  <c r="Y41" i="4"/>
  <c r="CX41" i="4"/>
  <c r="CY41" i="4" s="1"/>
  <c r="BQ41" i="4"/>
  <c r="CA41" i="4"/>
  <c r="AJ75" i="69" a="1"/>
  <c r="AJ75" i="69" s="1"/>
  <c r="AQ16" i="4"/>
  <c r="AR16" i="4"/>
  <c r="AV1255" i="13"/>
  <c r="S58" i="69"/>
  <c r="B58" i="69"/>
  <c r="AV1400" i="13"/>
  <c r="A1499" i="13"/>
  <c r="AV1504" i="13"/>
  <c r="AV1603" i="13" s="1"/>
  <c r="Z1504" i="13"/>
  <c r="AX1400" i="13"/>
  <c r="AU33" i="69" a="1"/>
  <c r="AU33" i="69" s="1"/>
  <c r="AH33" i="69" a="1"/>
  <c r="AH33" i="69" s="1"/>
  <c r="AJ33" i="69" a="1"/>
  <c r="AJ33" i="69" s="1"/>
  <c r="AF33" i="69" a="1"/>
  <c r="AF33" i="69" s="1"/>
  <c r="AP33" i="69" a="1"/>
  <c r="AP33" i="69" s="1"/>
  <c r="AL33" i="69" a="1"/>
  <c r="AL33" i="69" s="1"/>
  <c r="AI33" i="69" a="1"/>
  <c r="AI33" i="69" s="1"/>
  <c r="AV33" i="69" a="1"/>
  <c r="AV33" i="69" s="1"/>
  <c r="AQ33" i="69" a="1"/>
  <c r="AQ33" i="69" s="1"/>
  <c r="AS33" i="69" a="1"/>
  <c r="AS33" i="69" s="1"/>
  <c r="AQ33" i="4"/>
  <c r="AR33" i="4"/>
  <c r="H532" i="15" a="1"/>
  <c r="H532" i="15" s="1"/>
  <c r="BC60" i="69"/>
  <c r="AV576" i="13"/>
  <c r="BL74" i="4"/>
  <c r="BH74" i="4"/>
  <c r="BH95" i="4"/>
  <c r="BL95" i="4"/>
  <c r="AV597" i="13"/>
  <c r="BI63" i="69" a="1"/>
  <c r="BI63" i="69" s="1"/>
  <c r="AG74" i="69" a="1"/>
  <c r="AG74" i="69" s="1"/>
  <c r="I172" i="15" a="1"/>
  <c r="I172" i="15" s="1"/>
  <c r="I259" i="15" a="1"/>
  <c r="I259" i="15" s="1"/>
  <c r="BM5" i="4"/>
  <c r="BE5" i="4" s="1" a="1"/>
  <c r="BE5" i="4" s="1"/>
  <c r="BR104" i="4"/>
  <c r="Z1747" i="13" s="1"/>
  <c r="BR107" i="4"/>
  <c r="BR103" i="4"/>
  <c r="Z1726" i="13" s="1"/>
  <c r="BR106" i="4"/>
  <c r="BD5" i="69"/>
  <c r="AD5" i="69"/>
  <c r="B3" i="69"/>
  <c r="BC3" i="69"/>
  <c r="BI33" i="69" a="1"/>
  <c r="BI33" i="69" s="1"/>
  <c r="BM92" i="4"/>
  <c r="BE92" i="4" s="1" a="1"/>
  <c r="BE92" i="4" s="1"/>
  <c r="AD92" i="69"/>
  <c r="BD92" i="69"/>
  <c r="AG43" i="69" a="1"/>
  <c r="AG43" i="69" s="1"/>
  <c r="I266" i="15" a="1"/>
  <c r="I266" i="15" s="1"/>
  <c r="BM30" i="4"/>
  <c r="BE30" i="4" s="1" a="1"/>
  <c r="BE30" i="4" s="1"/>
  <c r="BD30" i="69"/>
  <c r="AD30" i="69"/>
  <c r="AX1252" i="13"/>
  <c r="A1351" i="13"/>
  <c r="AK85" i="69" a="1"/>
  <c r="AK85" i="69" s="1"/>
  <c r="AR37" i="69" a="1"/>
  <c r="AR37" i="69" s="1"/>
  <c r="AX1403" i="13"/>
  <c r="Z1507" i="13"/>
  <c r="AV1507" i="13"/>
  <c r="AV1606" i="13" s="1"/>
  <c r="AV1403" i="13"/>
  <c r="A1502" i="13"/>
  <c r="I356" i="15" a="1"/>
  <c r="I356" i="15" s="1"/>
  <c r="AI5" i="69" a="1"/>
  <c r="AI5" i="69" s="1"/>
  <c r="A1548" i="13"/>
  <c r="AV1553" i="13"/>
  <c r="AV1652" i="13" s="1"/>
  <c r="Z1553" i="13"/>
  <c r="AX1449" i="13"/>
  <c r="AV1449" i="13"/>
  <c r="BM82" i="4"/>
  <c r="BE82" i="4" s="1" a="1"/>
  <c r="BE82" i="4" s="1"/>
  <c r="BD82" i="69"/>
  <c r="AR19" i="69" a="1"/>
  <c r="AR19" i="69" s="1"/>
  <c r="AG27" i="69" a="1"/>
  <c r="AG27" i="69" s="1"/>
  <c r="BG61" i="4"/>
  <c r="AV1159" i="13" s="1"/>
  <c r="BR61" i="4"/>
  <c r="L61" i="4"/>
  <c r="BF84" i="4"/>
  <c r="BG83" i="4"/>
  <c r="AV1181" i="13" s="1"/>
  <c r="X83" i="4"/>
  <c r="L83" i="4"/>
  <c r="BF66" i="4"/>
  <c r="BF63" i="4"/>
  <c r="BR91" i="4"/>
  <c r="BG91" i="4"/>
  <c r="AV1189" i="13" s="1"/>
  <c r="X91" i="4"/>
  <c r="L91" i="4"/>
  <c r="BF70" i="4"/>
  <c r="AV1385" i="13"/>
  <c r="G89" i="69"/>
  <c r="AV1271" i="13"/>
  <c r="S74" i="69"/>
  <c r="B74" i="69"/>
  <c r="O79" i="69"/>
  <c r="BF79" i="69"/>
  <c r="AV1360" i="13"/>
  <c r="G64" i="69"/>
  <c r="BM71" i="4"/>
  <c r="BE71" i="4" s="1" a="1"/>
  <c r="BE71" i="4" s="1"/>
  <c r="BD71" i="69"/>
  <c r="I539" i="15" a="1"/>
  <c r="I539" i="15" s="1"/>
  <c r="AQ56" i="4"/>
  <c r="AR56" i="4"/>
  <c r="AV1590" i="13"/>
  <c r="AV1689" i="13" s="1"/>
  <c r="A1585" i="13"/>
  <c r="Z1590" i="13"/>
  <c r="AX1486" i="13"/>
  <c r="AV1486" i="13"/>
  <c r="I446" i="15" a="1"/>
  <c r="I446" i="15" s="1"/>
  <c r="A1512" i="13"/>
  <c r="Z1517" i="13"/>
  <c r="AV1517" i="13"/>
  <c r="AV1616" i="13" s="1"/>
  <c r="AV1413" i="13"/>
  <c r="AX1413" i="13"/>
  <c r="I262" i="15" a="1"/>
  <c r="I262" i="15" s="1"/>
  <c r="AV523" i="13"/>
  <c r="BL21" i="4"/>
  <c r="BH21" i="4"/>
  <c r="I131" i="15" a="1"/>
  <c r="I131" i="15" s="1"/>
  <c r="G131" i="15"/>
  <c r="AR34" i="4"/>
  <c r="AQ34" i="4"/>
  <c r="AR74" i="69" a="1"/>
  <c r="AR74" i="69" s="1"/>
  <c r="AX1445" i="13"/>
  <c r="AV1445" i="13"/>
  <c r="AV1549" i="13"/>
  <c r="AV1648" i="13" s="1"/>
  <c r="A1544" i="13"/>
  <c r="Z1549" i="13"/>
  <c r="O30" i="69"/>
  <c r="BF30" i="69"/>
  <c r="BM85" i="4"/>
  <c r="BE85" i="4" s="1" a="1"/>
  <c r="BE85" i="4" s="1"/>
  <c r="AD85" i="69"/>
  <c r="BD85" i="69"/>
  <c r="AR18" i="4"/>
  <c r="AQ18" i="4"/>
  <c r="AX1466" i="13"/>
  <c r="A1565" i="13"/>
  <c r="AV1570" i="13"/>
  <c r="AV1669" i="13" s="1"/>
  <c r="Z1570" i="13"/>
  <c r="AV1466" i="13"/>
  <c r="I434" i="15" a="1"/>
  <c r="I434" i="15" s="1"/>
  <c r="I609" i="15" a="1"/>
  <c r="I609" i="15" s="1"/>
  <c r="AJ67" i="69" a="1"/>
  <c r="AJ67" i="69" s="1"/>
  <c r="AF67" i="69" a="1"/>
  <c r="AF67" i="69" s="1"/>
  <c r="AH67" i="69" a="1"/>
  <c r="AH67" i="69" s="1"/>
  <c r="AU67" i="69" a="1"/>
  <c r="AU67" i="69" s="1"/>
  <c r="AP67" i="69" a="1"/>
  <c r="AP67" i="69" s="1"/>
  <c r="AL67" i="69" a="1"/>
  <c r="AL67" i="69" s="1"/>
  <c r="AV67" i="69" a="1"/>
  <c r="AV67" i="69" s="1"/>
  <c r="AR67" i="69" a="1"/>
  <c r="AR67" i="69" s="1"/>
  <c r="AG67" i="69" a="1"/>
  <c r="AG67" i="69" s="1"/>
  <c r="AS67" i="69" a="1"/>
  <c r="AS67" i="69" s="1"/>
  <c r="I284" i="15" a="1"/>
  <c r="I284" i="15" s="1"/>
  <c r="O24" i="69"/>
  <c r="BF24" i="69"/>
  <c r="G21" i="69"/>
  <c r="O22" i="69"/>
  <c r="BF22" i="69"/>
  <c r="AQ17" i="4"/>
  <c r="AR17" i="4"/>
  <c r="BA91" i="69"/>
  <c r="AV1555" i="13"/>
  <c r="AV1654" i="13" s="1"/>
  <c r="Z1555" i="13"/>
  <c r="AV1451" i="13"/>
  <c r="A1550" i="13"/>
  <c r="AX1451" i="13"/>
  <c r="AX1454" i="13"/>
  <c r="Z1558" i="13"/>
  <c r="AV1454" i="13"/>
  <c r="A1553" i="13"/>
  <c r="AV1558" i="13"/>
  <c r="AV1657" i="13" s="1"/>
  <c r="AQ36" i="4"/>
  <c r="AR36" i="4"/>
  <c r="AT3" i="4" a="1"/>
  <c r="AT3" i="4" s="1"/>
  <c r="H3" i="69" s="1"/>
  <c r="AV3" i="4" a="1"/>
  <c r="AV3" i="4" s="1"/>
  <c r="C3" i="69" s="1"/>
  <c r="D3" i="69" s="1" a="1"/>
  <c r="D3" i="69" s="1"/>
  <c r="AU3" i="4"/>
  <c r="Y3" i="4"/>
  <c r="CX3" i="4"/>
  <c r="CY3" i="4" s="1"/>
  <c r="F3" i="9" s="1"/>
  <c r="J3" i="9" s="1"/>
  <c r="CA3" i="4"/>
  <c r="CA97" i="4" s="1"/>
  <c r="BR78" i="4"/>
  <c r="I355" i="15" a="1"/>
  <c r="I355" i="15" s="1"/>
  <c r="AR38" i="69" a="1"/>
  <c r="AR38" i="69" s="1"/>
  <c r="BF76" i="69"/>
  <c r="O76" i="69"/>
  <c r="BR50" i="4"/>
  <c r="AD50" i="69" s="1"/>
  <c r="AV1434" i="13"/>
  <c r="A1533" i="13"/>
  <c r="AX1434" i="13"/>
  <c r="Z1538" i="13"/>
  <c r="AV1538" i="13"/>
  <c r="AV1637" i="13" s="1"/>
  <c r="I437" i="15" a="1"/>
  <c r="I437" i="15" s="1"/>
  <c r="AO67" i="69" a="1"/>
  <c r="AO67" i="69" s="1"/>
  <c r="I599" i="15" a="1"/>
  <c r="I599" i="15" s="1"/>
  <c r="AF36" i="69" a="1"/>
  <c r="AF36" i="69" s="1"/>
  <c r="AU36" i="69" a="1"/>
  <c r="AU36" i="69" s="1"/>
  <c r="AU97" i="69" s="1"/>
  <c r="AH36" i="69" a="1"/>
  <c r="AH36" i="69" s="1"/>
  <c r="AH97" i="69" s="1"/>
  <c r="AV36" i="69" a="1"/>
  <c r="AV36" i="69" s="1"/>
  <c r="AV97" i="69" s="1"/>
  <c r="AL36" i="69" a="1"/>
  <c r="AL36" i="69" s="1"/>
  <c r="AP36" i="69" a="1"/>
  <c r="AP36" i="69" s="1"/>
  <c r="AG36" i="69" a="1"/>
  <c r="AG36" i="69" s="1"/>
  <c r="AJ36" i="69" a="1"/>
  <c r="AJ36" i="69" s="1"/>
  <c r="AQ36" i="69" a="1"/>
  <c r="AQ36" i="69" s="1"/>
  <c r="AS36" i="69" a="1"/>
  <c r="AS36" i="69" s="1"/>
  <c r="BM14" i="4"/>
  <c r="BE14" i="4" s="1" a="1"/>
  <c r="BE14" i="4" s="1"/>
  <c r="BD14" i="69"/>
  <c r="AD14" i="69"/>
  <c r="AV393" i="13"/>
  <c r="AV493" i="13" s="1"/>
  <c r="U91" i="69" a="1"/>
  <c r="U91" i="69" s="1"/>
  <c r="AS50" i="69" a="1"/>
  <c r="AS50" i="69" s="1"/>
  <c r="AV50" i="69" a="1"/>
  <c r="AV50" i="69" s="1"/>
  <c r="AP50" i="69" a="1"/>
  <c r="AP50" i="69" s="1"/>
  <c r="AG50" i="69" a="1"/>
  <c r="AG50" i="69" s="1"/>
  <c r="AF50" i="69" a="1"/>
  <c r="AF50" i="69" s="1"/>
  <c r="AI50" i="69" a="1"/>
  <c r="AI50" i="69" s="1"/>
  <c r="AU50" i="69" a="1"/>
  <c r="AU50" i="69" s="1"/>
  <c r="AH50" i="69" a="1"/>
  <c r="AH50" i="69" s="1"/>
  <c r="AL50" i="69" a="1"/>
  <c r="AL50" i="69" s="1"/>
  <c r="AR50" i="69" a="1"/>
  <c r="AR50" i="69" s="1"/>
  <c r="BM31" i="4"/>
  <c r="BE31" i="4" s="1" a="1"/>
  <c r="BE31" i="4" s="1"/>
  <c r="BD31" i="69"/>
  <c r="AD31" i="69"/>
  <c r="I532" i="15" a="1"/>
  <c r="I532" i="15" s="1"/>
  <c r="G60" i="69"/>
  <c r="CA15" i="4"/>
  <c r="AT15" i="4" a="1"/>
  <c r="AT15" i="4" s="1"/>
  <c r="H15" i="69" s="1"/>
  <c r="AV15" i="4" a="1"/>
  <c r="AV15" i="4" s="1"/>
  <c r="C15" i="69" s="1"/>
  <c r="D15" i="69" s="1" a="1"/>
  <c r="D15" i="69" s="1"/>
  <c r="AU15" i="4"/>
  <c r="Y15" i="4"/>
  <c r="BQ15" i="4"/>
  <c r="H215" i="15" a="1"/>
  <c r="H215" i="15" s="1"/>
  <c r="I208" i="15" a="1"/>
  <c r="I208" i="15" s="1"/>
  <c r="I465" i="15" a="1"/>
  <c r="I465" i="15" s="1"/>
  <c r="AK63" i="69" a="1"/>
  <c r="AK63" i="69" s="1"/>
  <c r="BR29" i="4"/>
  <c r="AR33" i="69" a="1"/>
  <c r="AR33" i="69" s="1"/>
  <c r="AR94" i="4"/>
  <c r="AQ94" i="4"/>
  <c r="I76" i="15" a="1"/>
  <c r="I76" i="15" s="1"/>
  <c r="G76" i="15"/>
  <c r="AX1417" i="13"/>
  <c r="Z1521" i="13"/>
  <c r="A1516" i="13"/>
  <c r="AV1417" i="13"/>
  <c r="AV1521" i="13"/>
  <c r="AV1620" i="13" s="1"/>
  <c r="AR32" i="4"/>
  <c r="AQ32" i="4"/>
  <c r="AX257" i="13"/>
  <c r="A357" i="13"/>
  <c r="AX357" i="13" s="1"/>
  <c r="AG37" i="69" a="1"/>
  <c r="AG37" i="69" s="1"/>
  <c r="BF1768" i="13"/>
  <c r="AQ53" i="69" a="1"/>
  <c r="AQ53" i="69" s="1"/>
  <c r="AR5" i="69" a="1"/>
  <c r="AR5" i="69" s="1"/>
  <c r="BH82" i="4"/>
  <c r="AJ93" i="69" a="1"/>
  <c r="AJ93" i="69" s="1"/>
  <c r="AH93" i="69" a="1"/>
  <c r="AH93" i="69" s="1"/>
  <c r="AV93" i="69" a="1"/>
  <c r="AV93" i="69" s="1"/>
  <c r="AL93" i="69" a="1"/>
  <c r="AL93" i="69" s="1"/>
  <c r="AR93" i="69" a="1"/>
  <c r="AR93" i="69" s="1"/>
  <c r="AU93" i="69" a="1"/>
  <c r="AU93" i="69" s="1"/>
  <c r="AI93" i="69" a="1"/>
  <c r="AI93" i="69" s="1"/>
  <c r="AP93" i="69" a="1"/>
  <c r="AP93" i="69" s="1"/>
  <c r="AG93" i="69" a="1"/>
  <c r="AG93" i="69" s="1"/>
  <c r="AF93" i="69" a="1"/>
  <c r="AF93" i="69" s="1"/>
  <c r="AQ93" i="69" a="1"/>
  <c r="AQ93" i="69" s="1"/>
  <c r="AS93" i="69" a="1"/>
  <c r="AS93" i="69" s="1"/>
  <c r="AG19" i="69" a="1"/>
  <c r="AG19" i="69" s="1"/>
  <c r="BG82" i="4"/>
  <c r="AV1180" i="13" s="1"/>
  <c r="BR82" i="4"/>
  <c r="L82" i="4"/>
  <c r="BF83" i="4"/>
  <c r="BF91" i="4"/>
  <c r="AR20" i="4"/>
  <c r="AQ20" i="4"/>
  <c r="AQ73" i="4"/>
  <c r="AR73" i="4"/>
  <c r="I296" i="15" a="1"/>
  <c r="I296" i="15" s="1"/>
  <c r="O43" i="69"/>
  <c r="BF43" i="69"/>
  <c r="I469" i="15" a="1"/>
  <c r="I469" i="15" s="1"/>
  <c r="AQ44" i="69" a="1"/>
  <c r="AQ44" i="69" s="1"/>
  <c r="AF44" i="69" a="1"/>
  <c r="AF44" i="69" s="1"/>
  <c r="AU44" i="69" a="1"/>
  <c r="AU44" i="69" s="1"/>
  <c r="AH44" i="69" a="1"/>
  <c r="AH44" i="69" s="1"/>
  <c r="AV44" i="69" a="1"/>
  <c r="AV44" i="69" s="1"/>
  <c r="AI44" i="69" a="1"/>
  <c r="AI44" i="69" s="1"/>
  <c r="AJ44" i="69" a="1"/>
  <c r="AJ44" i="69" s="1"/>
  <c r="AL44" i="69" a="1"/>
  <c r="AL44" i="69" s="1"/>
  <c r="AP44" i="69" a="1"/>
  <c r="AP44" i="69" s="1"/>
  <c r="AG44" i="69" a="1"/>
  <c r="AG44" i="69" s="1"/>
  <c r="AR44" i="69" a="1"/>
  <c r="AR44" i="69" s="1"/>
  <c r="AS44" i="69" a="1"/>
  <c r="AS44" i="69" s="1"/>
  <c r="AV379" i="13"/>
  <c r="AV479" i="13" s="1"/>
  <c r="U77" i="69" a="1"/>
  <c r="U77" i="69" s="1"/>
  <c r="AV382" i="13"/>
  <c r="AV482" i="13" s="1"/>
  <c r="U80" i="69" a="1"/>
  <c r="U80" i="69" s="1"/>
  <c r="I285" i="15" a="1"/>
  <c r="I285" i="15" s="1"/>
  <c r="AV1484" i="13"/>
  <c r="AX1484" i="13"/>
  <c r="A1583" i="13"/>
  <c r="AV1588" i="13"/>
  <c r="AV1687" i="13" s="1"/>
  <c r="Z1588" i="13"/>
  <c r="AX1463" i="13"/>
  <c r="Z1567" i="13"/>
  <c r="AV1567" i="13"/>
  <c r="AV1666" i="13" s="1"/>
  <c r="A1562" i="13"/>
  <c r="AV1463" i="13"/>
  <c r="AX1471" i="13"/>
  <c r="Z1575" i="13"/>
  <c r="A1570" i="13"/>
  <c r="AV1471" i="13"/>
  <c r="AV1575" i="13"/>
  <c r="AV1674" i="13" s="1"/>
  <c r="AK44" i="69" a="1"/>
  <c r="AK44" i="69" s="1"/>
  <c r="I247" i="15" a="1"/>
  <c r="I247" i="15" s="1"/>
  <c r="AV1281" i="13"/>
  <c r="S84" i="69"/>
  <c r="B84" i="69"/>
  <c r="BM32" i="4"/>
  <c r="BE32" i="4" s="1" a="1"/>
  <c r="BE32" i="4" s="1"/>
  <c r="AD32" i="69"/>
  <c r="BD32" i="69"/>
  <c r="AR87" i="4"/>
  <c r="AQ87" i="4"/>
  <c r="Z1524" i="13"/>
  <c r="A1519" i="13"/>
  <c r="AX1420" i="13"/>
  <c r="AV1524" i="13"/>
  <c r="AV1623" i="13" s="1"/>
  <c r="AV1420" i="13"/>
  <c r="I240" i="15" a="1"/>
  <c r="I240" i="15" s="1"/>
  <c r="BF23" i="69"/>
  <c r="O23" i="69"/>
  <c r="AV368" i="13"/>
  <c r="AV468" i="13" s="1"/>
  <c r="U66" i="69" a="1"/>
  <c r="U66" i="69" s="1"/>
  <c r="A1579" i="13"/>
  <c r="AV1480" i="13"/>
  <c r="AV1584" i="13"/>
  <c r="AV1683" i="13" s="1"/>
  <c r="Z1584" i="13"/>
  <c r="AX1480" i="13"/>
  <c r="I268" i="15" a="1"/>
  <c r="I268" i="15" s="1"/>
  <c r="I561" i="15" a="1"/>
  <c r="I561" i="15" s="1"/>
  <c r="BF33" i="69"/>
  <c r="O33" i="69"/>
  <c r="AV389" i="13"/>
  <c r="AV489" i="13" s="1"/>
  <c r="U87" i="69" a="1"/>
  <c r="U87" i="69" s="1"/>
  <c r="BM22" i="4"/>
  <c r="BE22" i="4" s="1" a="1"/>
  <c r="BE22" i="4" s="1"/>
  <c r="BD22" i="69"/>
  <c r="AD22" i="69"/>
  <c r="AV1426" i="13"/>
  <c r="A1525" i="13"/>
  <c r="AV1530" i="13"/>
  <c r="AV1629" i="13" s="1"/>
  <c r="AX1426" i="13"/>
  <c r="Z1530" i="13"/>
  <c r="Z1527" i="13"/>
  <c r="AX1423" i="13"/>
  <c r="A1522" i="13"/>
  <c r="AV1527" i="13"/>
  <c r="AV1626" i="13" s="1"/>
  <c r="AV1423" i="13"/>
  <c r="AV57" i="13"/>
  <c r="AW55" i="4"/>
  <c r="K55" i="69" s="1" a="1"/>
  <c r="K55" i="69" s="1"/>
  <c r="Z1351" i="13"/>
  <c r="F55" i="4"/>
  <c r="F97" i="4" s="1"/>
  <c r="BC105" i="4" s="1"/>
  <c r="AY55" i="4"/>
  <c r="AP55" i="4"/>
  <c r="CX55" i="4"/>
  <c r="CY55" i="4" s="1"/>
  <c r="AQ90" i="4"/>
  <c r="AR90" i="4"/>
  <c r="AG92" i="69" a="1"/>
  <c r="AG92" i="69" s="1"/>
  <c r="AV1275" i="13"/>
  <c r="S78" i="69"/>
  <c r="B78" i="69"/>
  <c r="BO94" i="69"/>
  <c r="BN94" i="69"/>
  <c r="AX1448" i="13"/>
  <c r="A1547" i="13"/>
  <c r="Z1552" i="13"/>
  <c r="AV1552" i="13"/>
  <c r="AV1651" i="13" s="1"/>
  <c r="AV1448" i="13"/>
  <c r="A1504" i="13"/>
  <c r="AX1405" i="13"/>
  <c r="AV1509" i="13"/>
  <c r="AV1608" i="13" s="1"/>
  <c r="Z1509" i="13"/>
  <c r="AV1405" i="13"/>
  <c r="G110" i="15"/>
  <c r="I110" i="15" a="1"/>
  <c r="I110" i="15" s="1"/>
  <c r="I479" i="15" a="1"/>
  <c r="I479" i="15" s="1"/>
  <c r="I527" i="15" a="1"/>
  <c r="I527" i="15" s="1"/>
  <c r="BM6" i="4"/>
  <c r="BE6" i="4" s="1" a="1"/>
  <c r="BE6" i="4" s="1"/>
  <c r="AD6" i="69"/>
  <c r="BD6" i="69"/>
  <c r="AV566" i="13"/>
  <c r="BH64" i="4"/>
  <c r="AV1424" i="13"/>
  <c r="AX1424" i="13"/>
  <c r="Z1528" i="13"/>
  <c r="AV1528" i="13"/>
  <c r="AV1627" i="13" s="1"/>
  <c r="A1523" i="13"/>
  <c r="I584" i="15" a="1"/>
  <c r="I584" i="15" s="1"/>
  <c r="AS60" i="69" a="1"/>
  <c r="AS60" i="69" s="1"/>
  <c r="BA60" i="69"/>
  <c r="AZ60" i="69"/>
  <c r="AG60" i="69" s="1" a="1"/>
  <c r="AG60" i="69" s="1"/>
  <c r="I233" i="15" a="1"/>
  <c r="I233" i="15" s="1"/>
  <c r="BF51" i="69"/>
  <c r="O51" i="69"/>
  <c r="AQ5" i="4"/>
  <c r="AR5" i="4"/>
  <c r="BM26" i="4"/>
  <c r="BE26" i="4" s="1" a="1"/>
  <c r="BE26" i="4" s="1"/>
  <c r="BD26" i="69"/>
  <c r="AD26" i="69"/>
  <c r="AT60" i="4" a="1"/>
  <c r="AT60" i="4" s="1"/>
  <c r="H60" i="69" s="1"/>
  <c r="AU60" i="4"/>
  <c r="AV60" i="4" a="1"/>
  <c r="AV60" i="4" s="1"/>
  <c r="C60" i="69" s="1"/>
  <c r="D60" i="69" s="1" a="1"/>
  <c r="D60" i="69" s="1"/>
  <c r="Y60" i="4"/>
  <c r="BQ60" i="4"/>
  <c r="H102" i="15" a="1"/>
  <c r="H102" i="15" s="1"/>
  <c r="AP53" i="69" a="1"/>
  <c r="AP53" i="69" s="1"/>
  <c r="AL53" i="69" a="1"/>
  <c r="AL53" i="69" s="1"/>
  <c r="AF53" i="69" a="1"/>
  <c r="AF53" i="69" s="1"/>
  <c r="AJ53" i="69" a="1"/>
  <c r="AJ53" i="69" s="1"/>
  <c r="AU53" i="69" a="1"/>
  <c r="AU53" i="69" s="1"/>
  <c r="AV53" i="69" a="1"/>
  <c r="AV53" i="69" s="1"/>
  <c r="AH53" i="69" a="1"/>
  <c r="AH53" i="69" s="1"/>
  <c r="AI53" i="69" a="1"/>
  <c r="AI53" i="69" s="1"/>
  <c r="AR53" i="69" a="1"/>
  <c r="AR53" i="69" s="1"/>
  <c r="AG53" i="69" a="1"/>
  <c r="AG53" i="69" s="1"/>
  <c r="AS53" i="69" a="1"/>
  <c r="AS53" i="69" s="1"/>
  <c r="AL10" i="69" a="1"/>
  <c r="AL10" i="69" s="1"/>
  <c r="AF10" i="69" a="1"/>
  <c r="AF10" i="69" s="1"/>
  <c r="AH10" i="69" a="1"/>
  <c r="AH10" i="69" s="1"/>
  <c r="AV10" i="69" a="1"/>
  <c r="AV10" i="69" s="1"/>
  <c r="AJ10" i="69" a="1"/>
  <c r="AJ10" i="69" s="1"/>
  <c r="AP10" i="69" a="1"/>
  <c r="AP10" i="69" s="1"/>
  <c r="AQ10" i="69" a="1"/>
  <c r="AQ10" i="69" s="1"/>
  <c r="AG10" i="69" a="1"/>
  <c r="AG10" i="69" s="1"/>
  <c r="AI10" i="69" a="1"/>
  <c r="AI10" i="69" s="1"/>
  <c r="AU10" i="69" a="1"/>
  <c r="AU10" i="69" s="1"/>
  <c r="AS10" i="69" a="1"/>
  <c r="AS10" i="69" s="1"/>
  <c r="AP32" i="69" a="1"/>
  <c r="AP32" i="69" s="1"/>
  <c r="AL32" i="69" a="1"/>
  <c r="AL32" i="69" s="1"/>
  <c r="AV32" i="69" a="1"/>
  <c r="AV32" i="69" s="1"/>
  <c r="AI32" i="69" a="1"/>
  <c r="AI32" i="69" s="1"/>
  <c r="AJ32" i="69" a="1"/>
  <c r="AJ32" i="69" s="1"/>
  <c r="AF32" i="69" a="1"/>
  <c r="AF32" i="69" s="1"/>
  <c r="AU32" i="69" a="1"/>
  <c r="AU32" i="69" s="1"/>
  <c r="AH32" i="69" a="1"/>
  <c r="AH32" i="69" s="1"/>
  <c r="AQ32" i="69" a="1"/>
  <c r="AQ32" i="69" s="1"/>
  <c r="AR32" i="69" a="1"/>
  <c r="AR32" i="69" s="1"/>
  <c r="AS32" i="69" a="1"/>
  <c r="AS32" i="69" s="1"/>
  <c r="I300" i="15" a="1"/>
  <c r="I300" i="15" s="1"/>
  <c r="F400" i="15" a="1"/>
  <c r="F400" i="15" s="1"/>
  <c r="H400" i="15" a="1"/>
  <c r="H400" i="15" s="1"/>
  <c r="DC71" i="4" a="1"/>
  <c r="DC71" i="4" s="1"/>
  <c r="DC81" i="4" a="1"/>
  <c r="DC81" i="4" s="1"/>
  <c r="DC68" i="4" a="1"/>
  <c r="DC68" i="4" s="1"/>
  <c r="DC55" i="4" a="1"/>
  <c r="DC55" i="4" s="1"/>
  <c r="DC82" i="4" a="1"/>
  <c r="DC82" i="4" s="1"/>
  <c r="DC90" i="4" a="1"/>
  <c r="DC90" i="4" s="1"/>
  <c r="DC64" i="4" a="1"/>
  <c r="DC64" i="4" s="1"/>
  <c r="DC65" i="4" a="1"/>
  <c r="DC65" i="4" s="1"/>
  <c r="DC87" i="4" a="1"/>
  <c r="DC87" i="4" s="1"/>
  <c r="DC78" i="4" a="1"/>
  <c r="DC78" i="4" s="1"/>
  <c r="DC74" i="4" a="1"/>
  <c r="DC74" i="4" s="1"/>
  <c r="DC66" i="4" a="1"/>
  <c r="DC66" i="4" s="1"/>
  <c r="DC62" i="4" a="1"/>
  <c r="DC62" i="4" s="1"/>
  <c r="DC93" i="4" a="1"/>
  <c r="DC93" i="4" s="1"/>
  <c r="DC72" i="4" a="1"/>
  <c r="DC72" i="4" s="1"/>
  <c r="DC86" i="4" a="1"/>
  <c r="DC86" i="4" s="1"/>
  <c r="DC76" i="4" a="1"/>
  <c r="DC76" i="4" s="1"/>
  <c r="DC67" i="4" a="1"/>
  <c r="DC67" i="4" s="1"/>
  <c r="DC83" i="4" a="1"/>
  <c r="DC83" i="4" s="1"/>
  <c r="DC69" i="4" a="1"/>
  <c r="DC69" i="4" s="1"/>
  <c r="DC57" i="4" a="1"/>
  <c r="DC57" i="4" s="1"/>
  <c r="DC95" i="4" a="1"/>
  <c r="DC95" i="4" s="1"/>
  <c r="DC84" i="4" a="1"/>
  <c r="DC84" i="4" s="1"/>
  <c r="DC63" i="4" a="1"/>
  <c r="DC63" i="4" s="1"/>
  <c r="DC75" i="4" a="1"/>
  <c r="DC75" i="4" s="1"/>
  <c r="DC59" i="4" a="1"/>
  <c r="DC59" i="4" s="1"/>
  <c r="DC79" i="4" a="1"/>
  <c r="DC79" i="4" s="1"/>
  <c r="DC94" i="4" a="1"/>
  <c r="DC94" i="4" s="1"/>
  <c r="DC70" i="4" a="1"/>
  <c r="DC70" i="4" s="1"/>
  <c r="DC89" i="4" a="1"/>
  <c r="DC89" i="4" s="1"/>
  <c r="DC58" i="4" a="1"/>
  <c r="DC58" i="4" s="1"/>
  <c r="DC80" i="4" a="1"/>
  <c r="DC80" i="4" s="1"/>
  <c r="DC56" i="4" a="1"/>
  <c r="DC56" i="4" s="1"/>
  <c r="DC91" i="4" a="1"/>
  <c r="DC91" i="4" s="1"/>
  <c r="DC73" i="4" a="1"/>
  <c r="DC73" i="4" s="1"/>
  <c r="DC61" i="4" a="1"/>
  <c r="DC61" i="4" s="1"/>
  <c r="DC85" i="4" a="1"/>
  <c r="DC85" i="4" s="1"/>
  <c r="DC77" i="4" a="1"/>
  <c r="DC77" i="4" s="1"/>
  <c r="DC92" i="4" a="1"/>
  <c r="DC92" i="4" s="1"/>
  <c r="DC88" i="4" a="1"/>
  <c r="DC88" i="4" s="1"/>
  <c r="AG47" i="69" a="1"/>
  <c r="AG47" i="69" s="1"/>
  <c r="AI85" i="69" a="1"/>
  <c r="AI85" i="69" s="1"/>
  <c r="BF1766" i="13"/>
  <c r="BF1765" i="13" s="1"/>
  <c r="AO53" i="69" a="1"/>
  <c r="AO53" i="69" s="1"/>
  <c r="AR84" i="4"/>
  <c r="AQ84" i="4"/>
  <c r="AR10" i="69" a="1"/>
  <c r="AR10" i="69" s="1"/>
  <c r="BM53" i="4"/>
  <c r="BE53" i="4" s="1" a="1"/>
  <c r="BE53" i="4" s="1"/>
  <c r="BD53" i="69"/>
  <c r="BG74" i="4"/>
  <c r="AV1172" i="13" s="1"/>
  <c r="BR74" i="4"/>
  <c r="L74" i="4"/>
  <c r="BG84" i="4"/>
  <c r="AV1182" i="13" s="1"/>
  <c r="X84" i="4"/>
  <c r="L84" i="4"/>
  <c r="K86" i="69" a="1"/>
  <c r="K86" i="69" s="1"/>
  <c r="AX55" i="69"/>
  <c r="V55" i="69"/>
  <c r="X103" i="69" s="1"/>
  <c r="W55" i="69"/>
  <c r="BK55" i="69" s="1"/>
  <c r="BJ55" i="69" s="1"/>
  <c r="BM55" i="69" s="1"/>
  <c r="AA55" i="69"/>
  <c r="A55" i="69"/>
  <c r="Q55" i="69"/>
  <c r="AC55" i="69"/>
  <c r="AB55" i="69" a="1"/>
  <c r="AB55" i="69" s="1"/>
  <c r="N55" i="69" a="1"/>
  <c r="N55" i="69" s="1"/>
  <c r="AN55" i="69"/>
  <c r="AW55" i="69"/>
  <c r="BN55" i="69" s="1"/>
  <c r="BP55" i="69"/>
  <c r="AM55" i="69"/>
  <c r="P55" i="69"/>
  <c r="T55" i="69"/>
  <c r="B8" i="27" s="1"/>
  <c r="B9" i="27" s="1"/>
  <c r="M55" i="69"/>
  <c r="L55" i="69"/>
  <c r="G55" i="69"/>
  <c r="S55" i="69"/>
  <c r="Y55" i="69"/>
  <c r="J55" i="69"/>
  <c r="Z55" i="69"/>
  <c r="K73" i="69" a="1"/>
  <c r="K73" i="69" s="1"/>
  <c r="K76" i="69" a="1"/>
  <c r="K76" i="69" s="1"/>
  <c r="K87" i="69" a="1"/>
  <c r="K87" i="69" s="1"/>
  <c r="K68" i="69" a="1"/>
  <c r="K68" i="69" s="1"/>
  <c r="K63" i="69" a="1"/>
  <c r="K63" i="69" s="1"/>
  <c r="K65" i="69" a="1"/>
  <c r="K65" i="69" s="1"/>
  <c r="K66" i="69" a="1"/>
  <c r="K66" i="69" s="1"/>
  <c r="K56" i="69" a="1"/>
  <c r="K56" i="69" s="1"/>
  <c r="K88" i="69" a="1"/>
  <c r="K88" i="69" s="1"/>
  <c r="K62" i="69" a="1"/>
  <c r="K62" i="69" s="1"/>
  <c r="K59" i="69" a="1"/>
  <c r="K59" i="69" s="1"/>
  <c r="K64" i="69" a="1"/>
  <c r="K64" i="69" s="1"/>
  <c r="K79" i="69" a="1"/>
  <c r="K79" i="69" s="1"/>
  <c r="K74" i="69" a="1"/>
  <c r="K74" i="69" s="1"/>
  <c r="K67" i="69" a="1"/>
  <c r="K67" i="69" s="1"/>
  <c r="K80" i="69" a="1"/>
  <c r="K80" i="69" s="1"/>
  <c r="K83" i="69" a="1"/>
  <c r="K83" i="69" s="1"/>
  <c r="K93" i="69" a="1"/>
  <c r="K93" i="69" s="1"/>
  <c r="K77" i="69" a="1"/>
  <c r="K77" i="69" s="1"/>
  <c r="K85" i="69" a="1"/>
  <c r="K85" i="69" s="1"/>
  <c r="BG70" i="4"/>
  <c r="AV1168" i="13" s="1"/>
  <c r="X70" i="4"/>
  <c r="L70" i="4"/>
  <c r="BS193" i="4" l="1"/>
  <c r="BC55" i="69"/>
  <c r="U97" i="69"/>
  <c r="B55" i="69"/>
  <c r="AP97" i="69"/>
  <c r="E55" i="69"/>
  <c r="M3" i="27" s="1" a="1"/>
  <c r="M3" i="27" s="1"/>
  <c r="BQ55" i="69"/>
  <c r="A1661" i="13"/>
  <c r="AX1661" i="13" s="1"/>
  <c r="AX1562" i="13"/>
  <c r="AX1553" i="13"/>
  <c r="A1652" i="13"/>
  <c r="AX1652" i="13" s="1"/>
  <c r="A1664" i="13"/>
  <c r="AX1664" i="13" s="1"/>
  <c r="AX1565" i="13"/>
  <c r="A1643" i="13"/>
  <c r="AX1643" i="13" s="1"/>
  <c r="AX1544" i="13"/>
  <c r="A1684" i="13"/>
  <c r="AX1684" i="13" s="1"/>
  <c r="AX1585" i="13"/>
  <c r="AV83" i="4" a="1"/>
  <c r="AV83" i="4" s="1"/>
  <c r="C83" i="69" s="1"/>
  <c r="D83" i="69" s="1" a="1"/>
  <c r="D83" i="69" s="1"/>
  <c r="AT83" i="4" a="1"/>
  <c r="AT83" i="4" s="1"/>
  <c r="H83" i="69" s="1"/>
  <c r="AU83" i="4"/>
  <c r="Y83" i="4"/>
  <c r="CX83" i="4"/>
  <c r="CY83" i="4" s="1"/>
  <c r="BQ83" i="4"/>
  <c r="CA83" i="4"/>
  <c r="AR76" i="4"/>
  <c r="AQ76" i="4"/>
  <c r="T90" i="4"/>
  <c r="S90" i="4"/>
  <c r="Z1682" i="13"/>
  <c r="H420" i="15" a="1"/>
  <c r="H420" i="15" s="1"/>
  <c r="H423" i="15" a="1"/>
  <c r="H423" i="15" s="1"/>
  <c r="F426" i="15" a="1"/>
  <c r="F426" i="15" s="1"/>
  <c r="H422" i="15" a="1"/>
  <c r="H422" i="15" s="1"/>
  <c r="H426" i="15" a="1"/>
  <c r="H426" i="15" s="1"/>
  <c r="D15" i="27"/>
  <c r="B12" i="27"/>
  <c r="C16" i="27"/>
  <c r="A1663" i="13"/>
  <c r="AX1663" i="13" s="1"/>
  <c r="AX1564" i="13"/>
  <c r="AD84" i="69"/>
  <c r="BF84" i="69"/>
  <c r="O84" i="69"/>
  <c r="A10" i="27"/>
  <c r="BF58" i="69"/>
  <c r="O58" i="69"/>
  <c r="AG89" i="69" a="1"/>
  <c r="AG89" i="69" s="1"/>
  <c r="AX1587" i="13"/>
  <c r="A1686" i="13"/>
  <c r="AX1686" i="13" s="1"/>
  <c r="S70" i="4"/>
  <c r="T70" i="4"/>
  <c r="Z1662" i="13"/>
  <c r="AX1531" i="13"/>
  <c r="A1630" i="13"/>
  <c r="AX1630" i="13" s="1"/>
  <c r="BQ106" i="4"/>
  <c r="BM83" i="4"/>
  <c r="BE83" i="4" s="1" a="1"/>
  <c r="BE83" i="4" s="1"/>
  <c r="BD83" i="69"/>
  <c r="B35" i="14"/>
  <c r="C35" i="14"/>
  <c r="Z1674" i="13"/>
  <c r="T82" i="4"/>
  <c r="S82" i="4"/>
  <c r="X105" i="69"/>
  <c r="A1639" i="13"/>
  <c r="AX1639" i="13" s="1"/>
  <c r="AX1540" i="13"/>
  <c r="AX1505" i="13"/>
  <c r="A1604" i="13"/>
  <c r="AX1604" i="13" s="1"/>
  <c r="Z1684" i="13"/>
  <c r="S92" i="4"/>
  <c r="T92" i="4"/>
  <c r="H164" i="15" a="1"/>
  <c r="H164" i="15" s="1"/>
  <c r="F164" i="15" a="1"/>
  <c r="F164" i="15" s="1"/>
  <c r="H154" i="15" a="1"/>
  <c r="H154" i="15" s="1"/>
  <c r="T19" i="4"/>
  <c r="S19" i="4"/>
  <c r="Z1611" i="13"/>
  <c r="AV66" i="4" a="1"/>
  <c r="AV66" i="4" s="1"/>
  <c r="C66" i="69" s="1"/>
  <c r="D66" i="69" s="1" a="1"/>
  <c r="D66" i="69" s="1"/>
  <c r="AT66" i="4" a="1"/>
  <c r="AT66" i="4" s="1"/>
  <c r="H66" i="69" s="1"/>
  <c r="AU66" i="4"/>
  <c r="Y66" i="4"/>
  <c r="BQ66" i="4"/>
  <c r="CX66" i="4"/>
  <c r="CY66" i="4" s="1"/>
  <c r="CA66" i="4"/>
  <c r="A1658" i="13"/>
  <c r="AX1658" i="13" s="1"/>
  <c r="AX1559" i="13"/>
  <c r="Z1623" i="13"/>
  <c r="T31" i="4"/>
  <c r="S31" i="4"/>
  <c r="AU72" i="4"/>
  <c r="AV72" i="4" a="1"/>
  <c r="AV72" i="4" s="1"/>
  <c r="C72" i="69" s="1"/>
  <c r="D72" i="69" s="1" a="1"/>
  <c r="D72" i="69" s="1"/>
  <c r="AT72" i="4" a="1"/>
  <c r="AT72" i="4" s="1"/>
  <c r="H72" i="69" s="1"/>
  <c r="Y72" i="4"/>
  <c r="BQ72" i="4"/>
  <c r="CX72" i="4"/>
  <c r="CY72" i="4" s="1"/>
  <c r="CA72" i="4"/>
  <c r="I62" i="15" a="1"/>
  <c r="I62" i="15" s="1"/>
  <c r="G62" i="15"/>
  <c r="AQ85" i="4"/>
  <c r="AR85" i="4"/>
  <c r="A1608" i="13"/>
  <c r="AX1608" i="13" s="1"/>
  <c r="AX1509" i="13"/>
  <c r="AI60" i="69" a="1"/>
  <c r="AI60" i="69" s="1"/>
  <c r="AR69" i="4"/>
  <c r="AQ69" i="4"/>
  <c r="X104" i="69"/>
  <c r="A1602" i="13"/>
  <c r="AX1602" i="13" s="1"/>
  <c r="AX1503" i="13"/>
  <c r="BM64" i="4"/>
  <c r="BE64" i="4" s="1" a="1"/>
  <c r="BE64" i="4" s="1"/>
  <c r="BD64" i="69"/>
  <c r="S42" i="4"/>
  <c r="T42" i="4"/>
  <c r="Z1634" i="13"/>
  <c r="AR68" i="4"/>
  <c r="AQ68" i="4"/>
  <c r="Z1642" i="13"/>
  <c r="T50" i="4"/>
  <c r="S50" i="4"/>
  <c r="S97" i="69"/>
  <c r="AX1512" i="13"/>
  <c r="A1611" i="13"/>
  <c r="AX1611" i="13" s="1"/>
  <c r="CA91" i="4"/>
  <c r="Y91" i="4"/>
  <c r="AV91" i="4" a="1"/>
  <c r="AV91" i="4" s="1"/>
  <c r="C91" i="69" s="1"/>
  <c r="D91" i="69" s="1" a="1"/>
  <c r="D91" i="69" s="1"/>
  <c r="AU91" i="4"/>
  <c r="AT91" i="4" a="1"/>
  <c r="AT91" i="4" s="1"/>
  <c r="H91" i="69" s="1"/>
  <c r="CX91" i="4"/>
  <c r="CY91" i="4" s="1"/>
  <c r="BQ91" i="4"/>
  <c r="A1598" i="13"/>
  <c r="AX1598" i="13" s="1"/>
  <c r="AX1499" i="13"/>
  <c r="A1646" i="13"/>
  <c r="AX1646" i="13" s="1"/>
  <c r="AX1547" i="13"/>
  <c r="AE55" i="69" a="1"/>
  <c r="AE55" i="69" s="1"/>
  <c r="AZ55" i="69"/>
  <c r="BA55" i="69"/>
  <c r="BA97" i="69" s="1"/>
  <c r="AV84" i="4" a="1"/>
  <c r="AV84" i="4" s="1"/>
  <c r="C84" i="69" s="1"/>
  <c r="D84" i="69" s="1" a="1"/>
  <c r="D84" i="69" s="1"/>
  <c r="AT84" i="4" a="1"/>
  <c r="AT84" i="4" s="1"/>
  <c r="H84" i="69" s="1"/>
  <c r="AU84" i="4"/>
  <c r="Y84" i="4"/>
  <c r="CX84" i="4"/>
  <c r="CY84" i="4" s="1"/>
  <c r="BQ84" i="4"/>
  <c r="CA84" i="4"/>
  <c r="S17" i="4"/>
  <c r="Z1609" i="13"/>
  <c r="T17" i="4"/>
  <c r="AX1519" i="13"/>
  <c r="A1618" i="13"/>
  <c r="AX1618" i="13" s="1"/>
  <c r="Z1667" i="13"/>
  <c r="S75" i="4"/>
  <c r="T75" i="4"/>
  <c r="BF29" i="69"/>
  <c r="O29" i="69"/>
  <c r="O78" i="69"/>
  <c r="BF78" i="69"/>
  <c r="Z1658" i="13"/>
  <c r="T66" i="4"/>
  <c r="S66" i="4"/>
  <c r="T61" i="4"/>
  <c r="Z1653" i="13"/>
  <c r="S61" i="4"/>
  <c r="E3" i="1"/>
  <c r="E101" i="1" s="1"/>
  <c r="F97" i="1"/>
  <c r="BM94" i="4"/>
  <c r="BE94" i="4" s="1" a="1"/>
  <c r="BE94" i="4" s="1"/>
  <c r="BD94" i="69"/>
  <c r="AD94" i="69"/>
  <c r="AR60" i="4"/>
  <c r="AQ60" i="4"/>
  <c r="BF70" i="69"/>
  <c r="O70" i="69"/>
  <c r="AX1567" i="13"/>
  <c r="A1666" i="13"/>
  <c r="AX1666" i="13" s="1"/>
  <c r="AX1416" i="13"/>
  <c r="A1515" i="13"/>
  <c r="AV1416" i="13"/>
  <c r="AV1520" i="13"/>
  <c r="AV1619" i="13" s="1"/>
  <c r="Z1520" i="13"/>
  <c r="AV81" i="4" a="1"/>
  <c r="AV81" i="4" s="1"/>
  <c r="C81" i="69" s="1"/>
  <c r="D81" i="69" s="1" a="1"/>
  <c r="D81" i="69" s="1"/>
  <c r="Y81" i="4"/>
  <c r="AU81" i="4"/>
  <c r="AT81" i="4" a="1"/>
  <c r="AT81" i="4" s="1"/>
  <c r="H81" i="69" s="1"/>
  <c r="BQ81" i="4"/>
  <c r="CA81" i="4"/>
  <c r="AX1560" i="13"/>
  <c r="A1659" i="13"/>
  <c r="AX1659" i="13" s="1"/>
  <c r="S87" i="4"/>
  <c r="Z1679" i="13"/>
  <c r="T87" i="4"/>
  <c r="Z1643" i="13"/>
  <c r="S51" i="4"/>
  <c r="T51" i="4"/>
  <c r="AU78" i="4"/>
  <c r="AV78" i="4" a="1"/>
  <c r="AV78" i="4" s="1"/>
  <c r="C78" i="69" s="1"/>
  <c r="D78" i="69" s="1" a="1"/>
  <c r="D78" i="69" s="1"/>
  <c r="Y78" i="4"/>
  <c r="AT78" i="4" a="1"/>
  <c r="AT78" i="4" s="1"/>
  <c r="H78" i="69" s="1"/>
  <c r="BQ78" i="4"/>
  <c r="CA78" i="4"/>
  <c r="Z1614" i="13"/>
  <c r="S22" i="4"/>
  <c r="T22" i="4"/>
  <c r="BM78" i="4"/>
  <c r="BE78" i="4" s="1" a="1"/>
  <c r="BE78" i="4" s="1"/>
  <c r="AD78" i="69"/>
  <c r="BD78" i="69"/>
  <c r="BR60" i="4"/>
  <c r="I541" i="15" a="1"/>
  <c r="I541" i="15" s="1"/>
  <c r="Z1645" i="13"/>
  <c r="T53" i="4"/>
  <c r="S53" i="4"/>
  <c r="BM66" i="4"/>
  <c r="BE66" i="4" s="1" a="1"/>
  <c r="BE66" i="4" s="1"/>
  <c r="BD66" i="69"/>
  <c r="AD66" i="69"/>
  <c r="O67" i="69"/>
  <c r="BF67" i="69"/>
  <c r="Z1610" i="13"/>
  <c r="S18" i="4"/>
  <c r="T18" i="4"/>
  <c r="A1654" i="13"/>
  <c r="AX1654" i="13" s="1"/>
  <c r="AX1555" i="13"/>
  <c r="S56" i="4"/>
  <c r="Z1648" i="13"/>
  <c r="T56" i="4"/>
  <c r="AT55" i="69" a="1"/>
  <c r="AT55" i="69" s="1"/>
  <c r="AQ66" i="4"/>
  <c r="AR66" i="4"/>
  <c r="T32" i="4"/>
  <c r="S32" i="4"/>
  <c r="Z1624" i="13"/>
  <c r="AT82" i="4" a="1"/>
  <c r="AT82" i="4" s="1"/>
  <c r="H82" i="69" s="1"/>
  <c r="AU82" i="4"/>
  <c r="AV82" i="4" a="1"/>
  <c r="AV82" i="4" s="1"/>
  <c r="C82" i="69" s="1"/>
  <c r="D82" i="69" s="1" a="1"/>
  <c r="D82" i="69" s="1"/>
  <c r="Y82" i="4"/>
  <c r="CX82" i="4"/>
  <c r="CY82" i="4" s="1"/>
  <c r="P84" i="9" s="1"/>
  <c r="BQ82" i="4"/>
  <c r="CA82" i="4"/>
  <c r="AX1351" i="13"/>
  <c r="A1450" i="13"/>
  <c r="A1676" i="13"/>
  <c r="AX1676" i="13" s="1"/>
  <c r="AX1577" i="13"/>
  <c r="AQ65" i="4"/>
  <c r="AR65" i="4"/>
  <c r="BF66" i="69"/>
  <c r="O66" i="69"/>
  <c r="BM58" i="4"/>
  <c r="BE58" i="4" s="1" a="1"/>
  <c r="BE58" i="4" s="1"/>
  <c r="BD58" i="69"/>
  <c r="AD58" i="69"/>
  <c r="S89" i="4"/>
  <c r="Z1681" i="13"/>
  <c r="T89" i="4"/>
  <c r="T21" i="4"/>
  <c r="Z1613" i="13"/>
  <c r="S21" i="4"/>
  <c r="I108" i="15" a="1"/>
  <c r="I108" i="15" s="1"/>
  <c r="G108" i="15"/>
  <c r="AT85" i="4" a="1"/>
  <c r="AT85" i="4" s="1"/>
  <c r="H85" i="69" s="1"/>
  <c r="AU85" i="4"/>
  <c r="AV85" i="4" a="1"/>
  <c r="AV85" i="4" s="1"/>
  <c r="C85" i="69" s="1"/>
  <c r="D85" i="69" s="1" a="1"/>
  <c r="D85" i="69" s="1"/>
  <c r="Y85" i="4"/>
  <c r="BQ85" i="4"/>
  <c r="CA85" i="4"/>
  <c r="AV3" i="69" a="1"/>
  <c r="AV3" i="69" s="1"/>
  <c r="AP3" i="69" a="1"/>
  <c r="AP3" i="69" s="1"/>
  <c r="AH3" i="69" a="1"/>
  <c r="AH3" i="69" s="1"/>
  <c r="AJ3" i="69" a="1"/>
  <c r="AJ3" i="69" s="1"/>
  <c r="AR3" i="69" a="1"/>
  <c r="AR3" i="69" s="1"/>
  <c r="AF3" i="69" a="1"/>
  <c r="AF3" i="69" s="1"/>
  <c r="AI3" i="69" a="1"/>
  <c r="AI3" i="69" s="1"/>
  <c r="AL3" i="69" a="1"/>
  <c r="AL3" i="69" s="1"/>
  <c r="AG3" i="69" a="1"/>
  <c r="AG3" i="69" s="1"/>
  <c r="AQ3" i="69" a="1"/>
  <c r="AQ3" i="69" s="1"/>
  <c r="AU3" i="69" a="1"/>
  <c r="AU3" i="69" s="1"/>
  <c r="AS3" i="69" a="1"/>
  <c r="AS3" i="69" s="1"/>
  <c r="T58" i="4"/>
  <c r="S58" i="4"/>
  <c r="Z1650" i="13"/>
  <c r="T81" i="4"/>
  <c r="Z1673" i="13"/>
  <c r="S81" i="4"/>
  <c r="BF81" i="69"/>
  <c r="O81" i="69"/>
  <c r="T44" i="4"/>
  <c r="S44" i="4"/>
  <c r="Z1636" i="13"/>
  <c r="AT67" i="4" a="1"/>
  <c r="AT67" i="4" s="1"/>
  <c r="H67" i="69" s="1"/>
  <c r="AV67" i="4" a="1"/>
  <c r="AV67" i="4" s="1"/>
  <c r="C67" i="69" s="1"/>
  <c r="D67" i="69" s="1" a="1"/>
  <c r="D67" i="69" s="1"/>
  <c r="AU67" i="4"/>
  <c r="Y67" i="4"/>
  <c r="CX67" i="4"/>
  <c r="CY67" i="4" s="1"/>
  <c r="BQ67" i="4"/>
  <c r="CA67" i="4"/>
  <c r="S84" i="4"/>
  <c r="Z1676" i="13"/>
  <c r="T84" i="4"/>
  <c r="AX1556" i="13"/>
  <c r="A1655" i="13"/>
  <c r="AX1655" i="13" s="1"/>
  <c r="AR80" i="4"/>
  <c r="AQ80" i="4"/>
  <c r="AX1537" i="13"/>
  <c r="A1636" i="13"/>
  <c r="AX1636" i="13" s="1"/>
  <c r="A1678" i="13"/>
  <c r="AX1678" i="13" s="1"/>
  <c r="AX1579" i="13"/>
  <c r="T96" i="4"/>
  <c r="S96" i="4"/>
  <c r="Z1688" i="13"/>
  <c r="BF82" i="69"/>
  <c r="O82" i="69"/>
  <c r="S46" i="4"/>
  <c r="T46" i="4"/>
  <c r="Z1638" i="13"/>
  <c r="AT61" i="4" a="1"/>
  <c r="AT61" i="4" s="1"/>
  <c r="H61" i="69" s="1"/>
  <c r="Y61" i="4"/>
  <c r="AU61" i="4"/>
  <c r="AV61" i="4" a="1"/>
  <c r="AV61" i="4" s="1"/>
  <c r="C61" i="69" s="1"/>
  <c r="D61" i="69" s="1" a="1"/>
  <c r="D61" i="69" s="1"/>
  <c r="BQ61" i="4"/>
  <c r="CA61" i="4"/>
  <c r="AX1548" i="13"/>
  <c r="A1647" i="13"/>
  <c r="AX1647" i="13" s="1"/>
  <c r="Z1604" i="13"/>
  <c r="S10" i="4"/>
  <c r="S12" i="4"/>
  <c r="T10" i="4"/>
  <c r="T12" i="4"/>
  <c r="AR96" i="4"/>
  <c r="AQ96" i="4"/>
  <c r="BM63" i="4"/>
  <c r="BE63" i="4" s="1" a="1"/>
  <c r="BE63" i="4" s="1"/>
  <c r="AD63" i="69"/>
  <c r="BD63" i="69"/>
  <c r="A1605" i="13"/>
  <c r="AX1605" i="13" s="1"/>
  <c r="AX1506" i="13"/>
  <c r="AT77" i="4" a="1"/>
  <c r="AT77" i="4" s="1"/>
  <c r="H77" i="69" s="1"/>
  <c r="AU77" i="4"/>
  <c r="AV77" i="4" a="1"/>
  <c r="AV77" i="4" s="1"/>
  <c r="C77" i="69" s="1"/>
  <c r="D77" i="69" s="1" a="1"/>
  <c r="D77" i="69" s="1"/>
  <c r="Y77" i="4"/>
  <c r="BQ77" i="4"/>
  <c r="CX77" i="4"/>
  <c r="CY77" i="4" s="1"/>
  <c r="P79" i="9" s="1"/>
  <c r="CA77" i="4"/>
  <c r="S34" i="4"/>
  <c r="Z1626" i="13"/>
  <c r="T34" i="4"/>
  <c r="A1665" i="13"/>
  <c r="AX1665" i="13" s="1"/>
  <c r="AX1566" i="13"/>
  <c r="BF85" i="69"/>
  <c r="O85" i="69"/>
  <c r="A1634" i="13"/>
  <c r="AX1634" i="13" s="1"/>
  <c r="AX1535" i="13"/>
  <c r="A1616" i="13"/>
  <c r="AX1616" i="13" s="1"/>
  <c r="AX1517" i="13"/>
  <c r="T23" i="4"/>
  <c r="S23" i="4"/>
  <c r="Z1615" i="13"/>
  <c r="BF72" i="69"/>
  <c r="O72" i="69"/>
  <c r="O3" i="1" a="1"/>
  <c r="O3" i="1" s="1"/>
  <c r="O101" i="1" s="1"/>
  <c r="AQ72" i="4"/>
  <c r="AR72" i="4"/>
  <c r="AX1574" i="13"/>
  <c r="A1673" i="13"/>
  <c r="AX1673" i="13" s="1"/>
  <c r="AX1538" i="13"/>
  <c r="A1637" i="13"/>
  <c r="AX1637" i="13" s="1"/>
  <c r="G91" i="15"/>
  <c r="AX1571" i="13"/>
  <c r="A1670" i="13"/>
  <c r="AX1670" i="13" s="1"/>
  <c r="T76" i="4"/>
  <c r="S76" i="4"/>
  <c r="Z1668" i="13"/>
  <c r="Z1661" i="13"/>
  <c r="S69" i="4"/>
  <c r="T69" i="4"/>
  <c r="A1610" i="13"/>
  <c r="AX1610" i="13" s="1"/>
  <c r="AX1511" i="13"/>
  <c r="Y59" i="4"/>
  <c r="AV59" i="4" a="1"/>
  <c r="AV59" i="4" s="1"/>
  <c r="C59" i="69" s="1"/>
  <c r="D59" i="69" s="1" a="1"/>
  <c r="D59" i="69" s="1"/>
  <c r="AT59" i="4" a="1"/>
  <c r="AT59" i="4" s="1"/>
  <c r="H59" i="69" s="1"/>
  <c r="AU59" i="4"/>
  <c r="CX59" i="4"/>
  <c r="CY59" i="4" s="1"/>
  <c r="BQ59" i="4"/>
  <c r="CA59" i="4"/>
  <c r="T91" i="4"/>
  <c r="Z1683" i="13"/>
  <c r="S91" i="4"/>
  <c r="AI83" i="69" a="1"/>
  <c r="AI83" i="69" s="1"/>
  <c r="AI97" i="69" s="1"/>
  <c r="AI95" i="69" a="1"/>
  <c r="AI95" i="69" s="1"/>
  <c r="Y74" i="4"/>
  <c r="AU74" i="4"/>
  <c r="AV74" i="4" a="1"/>
  <c r="AV74" i="4" s="1"/>
  <c r="C74" i="69" s="1"/>
  <c r="D74" i="69" s="1" a="1"/>
  <c r="D74" i="69" s="1"/>
  <c r="AT74" i="4" a="1"/>
  <c r="AT74" i="4" s="1"/>
  <c r="H74" i="69" s="1"/>
  <c r="BQ74" i="4"/>
  <c r="CA74" i="4"/>
  <c r="A1603" i="13"/>
  <c r="AX1603" i="13" s="1"/>
  <c r="AX1504" i="13"/>
  <c r="A1621" i="13"/>
  <c r="AX1621" i="13" s="1"/>
  <c r="AX1522" i="13"/>
  <c r="AX1550" i="13"/>
  <c r="A1649" i="13"/>
  <c r="AX1649" i="13" s="1"/>
  <c r="S25" i="4"/>
  <c r="T25" i="4"/>
  <c r="Z1617" i="13"/>
  <c r="BF61" i="69"/>
  <c r="O61" i="69"/>
  <c r="BF77" i="69"/>
  <c r="O77" i="69"/>
  <c r="Z1639" i="13"/>
  <c r="T47" i="4"/>
  <c r="S47" i="4"/>
  <c r="A1675" i="13"/>
  <c r="AX1675" i="13" s="1"/>
  <c r="AX1576" i="13"/>
  <c r="AQ89" i="4"/>
  <c r="AR89" i="4"/>
  <c r="A1607" i="13"/>
  <c r="AX1607" i="13" s="1"/>
  <c r="AX1508" i="13"/>
  <c r="A1685" i="13"/>
  <c r="AX1685" i="13" s="1"/>
  <c r="AX1586" i="13"/>
  <c r="T49" i="4"/>
  <c r="Z1641" i="13"/>
  <c r="S49" i="4"/>
  <c r="AU75" i="4"/>
  <c r="AV75" i="4" a="1"/>
  <c r="AV75" i="4" s="1"/>
  <c r="C75" i="69" s="1"/>
  <c r="D75" i="69" s="1" a="1"/>
  <c r="D75" i="69" s="1"/>
  <c r="AT75" i="4" a="1"/>
  <c r="AT75" i="4" s="1"/>
  <c r="H75" i="69" s="1"/>
  <c r="Y75" i="4"/>
  <c r="BQ75" i="4"/>
  <c r="CX75" i="4"/>
  <c r="CY75" i="4" s="1"/>
  <c r="CA75" i="4"/>
  <c r="AX1545" i="13"/>
  <c r="A1644" i="13"/>
  <c r="AX1644" i="13" s="1"/>
  <c r="AV80" i="4" a="1"/>
  <c r="AV80" i="4" s="1"/>
  <c r="C80" i="69" s="1"/>
  <c r="D80" i="69" s="1" a="1"/>
  <c r="D80" i="69" s="1"/>
  <c r="AU80" i="4"/>
  <c r="AT80" i="4" a="1"/>
  <c r="AT80" i="4" s="1"/>
  <c r="H80" i="69" s="1"/>
  <c r="Y80" i="4"/>
  <c r="BQ80" i="4"/>
  <c r="CX80" i="4"/>
  <c r="CY80" i="4" s="1"/>
  <c r="CA80" i="4"/>
  <c r="T73" i="4"/>
  <c r="Z1665" i="13"/>
  <c r="S73" i="4"/>
  <c r="T86" i="4"/>
  <c r="Z1678" i="13"/>
  <c r="S86" i="4"/>
  <c r="AR21" i="69" a="1"/>
  <c r="AR21" i="69" s="1"/>
  <c r="AX1563" i="13"/>
  <c r="A1662" i="13"/>
  <c r="AX1662" i="13" s="1"/>
  <c r="T24" i="4"/>
  <c r="Z1616" i="13"/>
  <c r="S24" i="4"/>
  <c r="A1628" i="13"/>
  <c r="AX1628" i="13" s="1"/>
  <c r="AX1529" i="13"/>
  <c r="BF74" i="69"/>
  <c r="O74" i="69"/>
  <c r="AX1533" i="13"/>
  <c r="A1632" i="13"/>
  <c r="AX1632" i="13" s="1"/>
  <c r="AT87" i="4" a="1"/>
  <c r="AT87" i="4" s="1"/>
  <c r="H87" i="69" s="1"/>
  <c r="AV87" i="4" a="1"/>
  <c r="AV87" i="4" s="1"/>
  <c r="C87" i="69" s="1"/>
  <c r="D87" i="69" s="1" a="1"/>
  <c r="D87" i="69" s="1"/>
  <c r="AU87" i="4"/>
  <c r="Y87" i="4"/>
  <c r="BQ87" i="4"/>
  <c r="CA87" i="4"/>
  <c r="AX1521" i="13"/>
  <c r="A1620" i="13"/>
  <c r="AX1620" i="13" s="1"/>
  <c r="BM81" i="4"/>
  <c r="BE81" i="4" s="1" a="1"/>
  <c r="BE81" i="4" s="1"/>
  <c r="BD81" i="69"/>
  <c r="AD81" i="69"/>
  <c r="A1633" i="13"/>
  <c r="AX1633" i="13" s="1"/>
  <c r="AX1534" i="13"/>
  <c r="AX1584" i="13"/>
  <c r="A1683" i="13"/>
  <c r="AX1683" i="13" s="1"/>
  <c r="BM87" i="4"/>
  <c r="BE87" i="4" s="1" a="1"/>
  <c r="BE87" i="4" s="1"/>
  <c r="BD87" i="69"/>
  <c r="AD87" i="69"/>
  <c r="Z1671" i="13"/>
  <c r="S79" i="4"/>
  <c r="T79" i="4"/>
  <c r="AU94" i="4"/>
  <c r="Y94" i="4"/>
  <c r="AT94" i="4" a="1"/>
  <c r="AT94" i="4" s="1"/>
  <c r="H94" i="69" s="1"/>
  <c r="AV94" i="4" a="1"/>
  <c r="AV94" i="4" s="1"/>
  <c r="C94" i="69" s="1"/>
  <c r="D94" i="69" s="1" a="1"/>
  <c r="D94" i="69" s="1"/>
  <c r="CA94" i="4"/>
  <c r="BQ94" i="4"/>
  <c r="CX94" i="4"/>
  <c r="CY94" i="4" s="1"/>
  <c r="S48" i="4"/>
  <c r="T48" i="4"/>
  <c r="Z1640" i="13"/>
  <c r="O54" i="69"/>
  <c r="BF54" i="69"/>
  <c r="BF75" i="69"/>
  <c r="O75" i="69"/>
  <c r="AX1568" i="13"/>
  <c r="A1667" i="13"/>
  <c r="AX1667" i="13" s="1"/>
  <c r="BM70" i="4"/>
  <c r="BE70" i="4" s="1" a="1"/>
  <c r="BE70" i="4" s="1"/>
  <c r="BD70" i="69"/>
  <c r="AD70" i="69"/>
  <c r="BM67" i="4"/>
  <c r="BE67" i="4" s="1" a="1"/>
  <c r="BE67" i="4" s="1"/>
  <c r="BD67" i="69"/>
  <c r="AD67" i="69"/>
  <c r="AX1573" i="13"/>
  <c r="A1672" i="13"/>
  <c r="AX1672" i="13" s="1"/>
  <c r="Z1629" i="13"/>
  <c r="S37" i="4"/>
  <c r="T37" i="4"/>
  <c r="BQ104" i="4"/>
  <c r="Z1746" i="13" s="1"/>
  <c r="A1629" i="13"/>
  <c r="AX1629" i="13" s="1"/>
  <c r="AX1530" i="13"/>
  <c r="BR59" i="4"/>
  <c r="AD59" i="69" s="1"/>
  <c r="AK3" i="69" a="1"/>
  <c r="AK3" i="69" s="1"/>
  <c r="AU70" i="4"/>
  <c r="AV70" i="4" a="1"/>
  <c r="AV70" i="4" s="1"/>
  <c r="C70" i="69" s="1"/>
  <c r="D70" i="69" s="1" a="1"/>
  <c r="D70" i="69" s="1"/>
  <c r="AT70" i="4" a="1"/>
  <c r="AT70" i="4" s="1"/>
  <c r="H70" i="69" s="1"/>
  <c r="Y70" i="4"/>
  <c r="CX70" i="4"/>
  <c r="CY70" i="4" s="1"/>
  <c r="BQ70" i="4"/>
  <c r="CA70" i="4"/>
  <c r="T35" i="4"/>
  <c r="S35" i="4"/>
  <c r="Z1627" i="13"/>
  <c r="Z1621" i="13"/>
  <c r="S29" i="4"/>
  <c r="T29" i="4"/>
  <c r="S63" i="4"/>
  <c r="T63" i="4"/>
  <c r="Z1655" i="13"/>
  <c r="BR108" i="4"/>
  <c r="AT93" i="4" a="1"/>
  <c r="AT93" i="4" s="1"/>
  <c r="H93" i="69" s="1"/>
  <c r="AV93" i="4" a="1"/>
  <c r="AV93" i="4" s="1"/>
  <c r="C93" i="69" s="1"/>
  <c r="D93" i="69" s="1" a="1"/>
  <c r="D93" i="69" s="1"/>
  <c r="AU93" i="4"/>
  <c r="Y93" i="4"/>
  <c r="CX93" i="4"/>
  <c r="CY93" i="4" s="1"/>
  <c r="BQ93" i="4"/>
  <c r="CA93" i="4"/>
  <c r="AX1572" i="13"/>
  <c r="A1671" i="13"/>
  <c r="AX1671" i="13" s="1"/>
  <c r="AD29" i="69"/>
  <c r="BF94" i="69"/>
  <c r="O94" i="69"/>
  <c r="S30" i="4"/>
  <c r="Z1622" i="13"/>
  <c r="T30" i="4"/>
  <c r="AX1510" i="13"/>
  <c r="A1609" i="13"/>
  <c r="AX1609" i="13" s="1"/>
  <c r="Z1651" i="13"/>
  <c r="T59" i="4"/>
  <c r="S59" i="4"/>
  <c r="AX1527" i="13"/>
  <c r="A1626" i="13"/>
  <c r="AX1626" i="13" s="1"/>
  <c r="BQ103" i="4"/>
  <c r="Z1725" i="13" s="1"/>
  <c r="AD77" i="69"/>
  <c r="AR61" i="4"/>
  <c r="AQ61" i="4"/>
  <c r="AQ60" i="69" a="1"/>
  <c r="AQ60" i="69" s="1"/>
  <c r="T52" i="4"/>
  <c r="Z1644" i="13"/>
  <c r="S52" i="4"/>
  <c r="S13" i="4"/>
  <c r="Z1605" i="13"/>
  <c r="T13" i="4"/>
  <c r="I55" i="69"/>
  <c r="AX1581" i="13"/>
  <c r="A1680" i="13"/>
  <c r="AX1680" i="13" s="1"/>
  <c r="BR95" i="4"/>
  <c r="BM59" i="4"/>
  <c r="BE59" i="4" s="1" a="1"/>
  <c r="BE59" i="4" s="1"/>
  <c r="BD59" i="69"/>
  <c r="BI3" i="69" a="1"/>
  <c r="BI3" i="69" s="1"/>
  <c r="AX1541" i="13"/>
  <c r="A1640" i="13"/>
  <c r="AX1640" i="13" s="1"/>
  <c r="AX1578" i="13"/>
  <c r="A1677" i="13"/>
  <c r="AX1677" i="13" s="1"/>
  <c r="AX1507" i="13"/>
  <c r="A1606" i="13"/>
  <c r="AX1606" i="13" s="1"/>
  <c r="T60" i="4"/>
  <c r="Z1652" i="13"/>
  <c r="S60" i="4"/>
  <c r="U55" i="69" a="1"/>
  <c r="U55" i="69" s="1"/>
  <c r="V98" i="69" s="1"/>
  <c r="AV357" i="13"/>
  <c r="AP97" i="4"/>
  <c r="T38" i="4"/>
  <c r="Z1630" i="13"/>
  <c r="S38" i="4"/>
  <c r="A1669" i="13"/>
  <c r="AX1669" i="13" s="1"/>
  <c r="AX1570" i="13"/>
  <c r="BF50" i="69"/>
  <c r="O50" i="69"/>
  <c r="AX1502" i="13"/>
  <c r="A1601" i="13"/>
  <c r="AX1601" i="13" s="1"/>
  <c r="AV1726" i="13"/>
  <c r="Z1768" i="13"/>
  <c r="AB1726" i="13"/>
  <c r="BM95" i="4"/>
  <c r="BE95" i="4" s="1" a="1"/>
  <c r="BE95" i="4" s="1"/>
  <c r="BD95" i="69"/>
  <c r="AD95" i="69"/>
  <c r="AR91" i="4"/>
  <c r="AQ91" i="4"/>
  <c r="BF87" i="69"/>
  <c r="O87" i="69"/>
  <c r="O93" i="69"/>
  <c r="BF93" i="69"/>
  <c r="AQ83" i="4"/>
  <c r="AR83" i="4"/>
  <c r="AD64" i="69"/>
  <c r="BF64" i="69"/>
  <c r="O64" i="69"/>
  <c r="S85" i="4"/>
  <c r="Z1677" i="13"/>
  <c r="T85" i="4"/>
  <c r="AD83" i="69"/>
  <c r="O83" i="69"/>
  <c r="BF83" i="69"/>
  <c r="A1679" i="13"/>
  <c r="AX1679" i="13" s="1"/>
  <c r="AX1580" i="13"/>
  <c r="S26" i="4"/>
  <c r="Z1618" i="13"/>
  <c r="T26" i="4"/>
  <c r="AX1542" i="13"/>
  <c r="A1641" i="13"/>
  <c r="AX1641" i="13" s="1"/>
  <c r="AV1252" i="13"/>
  <c r="AG3" i="1" s="1" a="1"/>
  <c r="AG3" i="1" s="1"/>
  <c r="AG101" i="1" s="1"/>
  <c r="Z97" i="4"/>
  <c r="AQ93" i="4"/>
  <c r="AR93" i="4"/>
  <c r="S40" i="4"/>
  <c r="T40" i="4"/>
  <c r="Z1632" i="13"/>
  <c r="Z1656" i="13"/>
  <c r="T64" i="4"/>
  <c r="S64" i="4"/>
  <c r="Z1625" i="13"/>
  <c r="S33" i="4"/>
  <c r="T33" i="4"/>
  <c r="O21" i="69"/>
  <c r="BF21" i="69"/>
  <c r="AX1524" i="13"/>
  <c r="A1623" i="13"/>
  <c r="AX1623" i="13" s="1"/>
  <c r="S88" i="4"/>
  <c r="T88" i="4"/>
  <c r="Z1680" i="13"/>
  <c r="T39" i="4"/>
  <c r="S39" i="4"/>
  <c r="Z1631" i="13"/>
  <c r="T20" i="4"/>
  <c r="Z1612" i="13"/>
  <c r="S20" i="4"/>
  <c r="H166" i="15" a="1"/>
  <c r="H166" i="15" s="1"/>
  <c r="F166" i="15" a="1"/>
  <c r="F166" i="15" s="1"/>
  <c r="T77" i="4"/>
  <c r="Z1669" i="13"/>
  <c r="S77" i="4"/>
  <c r="T72" i="4"/>
  <c r="S72" i="4"/>
  <c r="Z1664" i="13"/>
  <c r="Z1685" i="13"/>
  <c r="T93" i="4"/>
  <c r="S93" i="4"/>
  <c r="A1635" i="13"/>
  <c r="AX1635" i="13" s="1"/>
  <c r="AX1536" i="13"/>
  <c r="AU62" i="4"/>
  <c r="AV62" i="4" a="1"/>
  <c r="AV62" i="4" s="1"/>
  <c r="C62" i="69" s="1"/>
  <c r="D62" i="69" s="1" a="1"/>
  <c r="D62" i="69" s="1"/>
  <c r="AT62" i="4" a="1"/>
  <c r="AT62" i="4" s="1"/>
  <c r="H62" i="69" s="1"/>
  <c r="Y62" i="4"/>
  <c r="CX62" i="4"/>
  <c r="CY62" i="4" s="1"/>
  <c r="BQ62" i="4"/>
  <c r="CA62" i="4"/>
  <c r="AQ74" i="4"/>
  <c r="AR74" i="4"/>
  <c r="Z1663" i="13"/>
  <c r="S71" i="4"/>
  <c r="T71" i="4"/>
  <c r="AV1748" i="13"/>
  <c r="AB1748" i="13"/>
  <c r="Z1769" i="13"/>
  <c r="AX1546" i="13"/>
  <c r="A1645" i="13"/>
  <c r="AX1645" i="13" s="1"/>
  <c r="S14" i="4"/>
  <c r="Z1606" i="13"/>
  <c r="T14" i="4"/>
  <c r="AX1528" i="13"/>
  <c r="A1627" i="13"/>
  <c r="AX1627" i="13" s="1"/>
  <c r="AX1551" i="13"/>
  <c r="A1650" i="13"/>
  <c r="AX1650" i="13" s="1"/>
  <c r="AI3" i="1" a="1"/>
  <c r="AI3" i="1" s="1"/>
  <c r="AI101" i="1" s="1"/>
  <c r="A1619" i="13"/>
  <c r="AX1619" i="13" s="1"/>
  <c r="AX1520" i="13"/>
  <c r="BM60" i="4"/>
  <c r="BE60" i="4" s="1" a="1"/>
  <c r="BE60" i="4" s="1"/>
  <c r="AD60" i="69"/>
  <c r="BD60" i="69"/>
  <c r="A1596" i="13"/>
  <c r="AX1596" i="13" s="1"/>
  <c r="AX1497" i="13"/>
  <c r="T43" i="4"/>
  <c r="Z1635" i="13"/>
  <c r="S43" i="4"/>
  <c r="AV95" i="4" a="1"/>
  <c r="AV95" i="4" s="1"/>
  <c r="C95" i="69" s="1"/>
  <c r="D95" i="69" s="1" a="1"/>
  <c r="D95" i="69" s="1"/>
  <c r="AT95" i="4" a="1"/>
  <c r="AT95" i="4" s="1"/>
  <c r="H95" i="69" s="1"/>
  <c r="AU95" i="4"/>
  <c r="Y95" i="4"/>
  <c r="BQ95" i="4"/>
  <c r="CA95" i="4"/>
  <c r="T54" i="4"/>
  <c r="S54" i="4"/>
  <c r="Z1646" i="13"/>
  <c r="BF40" i="69"/>
  <c r="O40" i="69"/>
  <c r="AX1583" i="13"/>
  <c r="A1682" i="13"/>
  <c r="AX1682" i="13" s="1"/>
  <c r="AX1516" i="13"/>
  <c r="A1615" i="13"/>
  <c r="AX1615" i="13" s="1"/>
  <c r="BF91" i="69"/>
  <c r="O91" i="69"/>
  <c r="T78" i="4"/>
  <c r="S78" i="4"/>
  <c r="Z1670" i="13"/>
  <c r="BM21" i="4"/>
  <c r="BE21" i="4" s="1" a="1"/>
  <c r="BE21" i="4" s="1"/>
  <c r="AD21" i="69"/>
  <c r="BD21" i="69"/>
  <c r="AD82" i="69"/>
  <c r="BM89" i="4"/>
  <c r="BE89" i="4" s="1" a="1"/>
  <c r="BE89" i="4" s="1"/>
  <c r="BD89" i="69"/>
  <c r="AD89" i="69"/>
  <c r="H191" i="15" a="1"/>
  <c r="H191" i="15" s="1"/>
  <c r="H195" i="15" a="1"/>
  <c r="H195" i="15" s="1"/>
  <c r="F195" i="15" a="1"/>
  <c r="F195" i="15" s="1"/>
  <c r="AT63" i="4" a="1"/>
  <c r="AT63" i="4" s="1"/>
  <c r="H63" i="69" s="1"/>
  <c r="AV63" i="4" a="1"/>
  <c r="AV63" i="4" s="1"/>
  <c r="C63" i="69" s="1"/>
  <c r="D63" i="69" s="1" a="1"/>
  <c r="D63" i="69" s="1"/>
  <c r="AU63" i="4"/>
  <c r="Y63" i="4"/>
  <c r="BQ63" i="4"/>
  <c r="CX63" i="4"/>
  <c r="CY63" i="4" s="1"/>
  <c r="CA63" i="4"/>
  <c r="BM93" i="4"/>
  <c r="BE93" i="4" s="1" a="1"/>
  <c r="BE93" i="4" s="1"/>
  <c r="BD93" i="69"/>
  <c r="AD93" i="69"/>
  <c r="BE7" i="4" a="1"/>
  <c r="BE7" i="4" s="1"/>
  <c r="Z1637" i="13"/>
  <c r="S45" i="4"/>
  <c r="T45" i="4"/>
  <c r="Z1619" i="13"/>
  <c r="T27" i="4"/>
  <c r="S27" i="4"/>
  <c r="S74" i="4"/>
  <c r="Z1666" i="13"/>
  <c r="T74" i="4"/>
  <c r="Z1687" i="13"/>
  <c r="S95" i="4"/>
  <c r="T95" i="4"/>
  <c r="A1612" i="13"/>
  <c r="AX1612" i="13" s="1"/>
  <c r="AX1513" i="13"/>
  <c r="Z1647" i="13"/>
  <c r="T55" i="4"/>
  <c r="S55" i="4"/>
  <c r="AU89" i="4"/>
  <c r="Y89" i="4"/>
  <c r="AV89" i="4" a="1"/>
  <c r="AV89" i="4" s="1"/>
  <c r="C89" i="69" s="1"/>
  <c r="D89" i="69" s="1" a="1"/>
  <c r="D89" i="69" s="1"/>
  <c r="AT89" i="4" a="1"/>
  <c r="AT89" i="4" s="1"/>
  <c r="H89" i="69" s="1"/>
  <c r="BQ89" i="4"/>
  <c r="CX89" i="4"/>
  <c r="CY89" i="4" s="1"/>
  <c r="P91" i="9" s="1"/>
  <c r="CA89" i="4"/>
  <c r="O62" i="69"/>
  <c r="BF62" i="69"/>
  <c r="BM72" i="4"/>
  <c r="AD72" i="69"/>
  <c r="BD72" i="69"/>
  <c r="AX1557" i="13"/>
  <c r="A1656" i="13"/>
  <c r="AX1656" i="13" s="1"/>
  <c r="BM91" i="4"/>
  <c r="BE91" i="4" s="1" a="1"/>
  <c r="BE91" i="4" s="1"/>
  <c r="BD91" i="69"/>
  <c r="AD91" i="69"/>
  <c r="T41" i="4"/>
  <c r="Z1633" i="13"/>
  <c r="S41" i="4"/>
  <c r="AQ95" i="4"/>
  <c r="AR95" i="4"/>
  <c r="AR62" i="4"/>
  <c r="AQ62" i="4"/>
  <c r="AX1575" i="13"/>
  <c r="A1674" i="13"/>
  <c r="AX1674" i="13" s="1"/>
  <c r="G70" i="15"/>
  <c r="A1638" i="13"/>
  <c r="AX1638" i="13" s="1"/>
  <c r="AX1539" i="13"/>
  <c r="AX1500" i="13"/>
  <c r="A1599" i="13"/>
  <c r="AX1599" i="13" s="1"/>
  <c r="A1625" i="13"/>
  <c r="AX1625" i="13" s="1"/>
  <c r="AX1526" i="13"/>
  <c r="Z1686" i="13"/>
  <c r="T94" i="4"/>
  <c r="S94" i="4"/>
  <c r="S8" i="4"/>
  <c r="Z1602" i="13"/>
  <c r="T8" i="4"/>
  <c r="AU64" i="4"/>
  <c r="AV64" i="4" a="1"/>
  <c r="AV64" i="4" s="1"/>
  <c r="C64" i="69" s="1"/>
  <c r="D64" i="69" s="1" a="1"/>
  <c r="D64" i="69" s="1"/>
  <c r="AT64" i="4" a="1"/>
  <c r="AT64" i="4" s="1"/>
  <c r="H64" i="69" s="1"/>
  <c r="Y64" i="4"/>
  <c r="BQ64" i="4"/>
  <c r="CA64" i="4"/>
  <c r="G71" i="15"/>
  <c r="BF55" i="4"/>
  <c r="BF97" i="4" s="1"/>
  <c r="BI97" i="4"/>
  <c r="AG97" i="69"/>
  <c r="A1622" i="13"/>
  <c r="AX1622" i="13" s="1"/>
  <c r="AX1523" i="13"/>
  <c r="T83" i="4"/>
  <c r="S83" i="4"/>
  <c r="Z1675" i="13"/>
  <c r="BL55" i="69" a="1"/>
  <c r="BL55" i="69" s="1"/>
  <c r="BB55" i="69"/>
  <c r="BO55" i="69"/>
  <c r="BH55" i="69" a="1"/>
  <c r="BH55" i="69" s="1"/>
  <c r="AY55" i="69"/>
  <c r="R55" i="69"/>
  <c r="AK55" i="69" a="1"/>
  <c r="AK55" i="69" s="1"/>
  <c r="BI55" i="69" a="1"/>
  <c r="BI55" i="69" s="1"/>
  <c r="I400" i="15" a="1"/>
  <c r="I400" i="15" s="1"/>
  <c r="Z1628" i="13"/>
  <c r="T36" i="4"/>
  <c r="S36" i="4"/>
  <c r="AV557" i="13"/>
  <c r="BH55" i="4"/>
  <c r="BH97" i="4" s="1"/>
  <c r="BE108" i="4" s="1"/>
  <c r="BL55" i="4"/>
  <c r="BN103" i="4" s="1"/>
  <c r="AX1525" i="13"/>
  <c r="A1624" i="13"/>
  <c r="AX1624" i="13" s="1"/>
  <c r="S57" i="4"/>
  <c r="T57" i="4"/>
  <c r="Z1649" i="13"/>
  <c r="AQ23" i="4"/>
  <c r="AR23" i="4"/>
  <c r="Z1607" i="13"/>
  <c r="S15" i="4"/>
  <c r="T15" i="4"/>
  <c r="AV1747" i="13"/>
  <c r="AB1747" i="13"/>
  <c r="BM74" i="4"/>
  <c r="BE74" i="4" s="1" a="1"/>
  <c r="BE74" i="4" s="1"/>
  <c r="BD74" i="69"/>
  <c r="AD74" i="69"/>
  <c r="AV1455" i="13"/>
  <c r="AV1559" i="13"/>
  <c r="AV1658" i="13" s="1"/>
  <c r="A1554" i="13"/>
  <c r="Z1559" i="13"/>
  <c r="AX1455" i="13"/>
  <c r="F142" i="15" a="1"/>
  <c r="F142" i="15" s="1"/>
  <c r="G466" i="15" s="1"/>
  <c r="H142" i="15" a="1"/>
  <c r="H142" i="15" s="1"/>
  <c r="H141" i="15" a="1"/>
  <c r="H141" i="15" s="1"/>
  <c r="O63" i="69"/>
  <c r="BF63" i="69"/>
  <c r="AX1532" i="13"/>
  <c r="A1631" i="13"/>
  <c r="AX1631" i="13" s="1"/>
  <c r="AX1514" i="13"/>
  <c r="A1613" i="13"/>
  <c r="AX1613" i="13" s="1"/>
  <c r="G242" i="15"/>
  <c r="AX1561" i="13"/>
  <c r="A1660" i="13"/>
  <c r="AX1660" i="13" s="1"/>
  <c r="AD75" i="69"/>
  <c r="AV58" i="4" a="1"/>
  <c r="AV58" i="4" s="1"/>
  <c r="C58" i="69" s="1"/>
  <c r="D58" i="69" s="1" a="1"/>
  <c r="D58" i="69" s="1"/>
  <c r="AU58" i="4"/>
  <c r="AT58" i="4" a="1"/>
  <c r="AT58" i="4" s="1"/>
  <c r="H58" i="69" s="1"/>
  <c r="Y58" i="4"/>
  <c r="CA58" i="4"/>
  <c r="CX58" i="4"/>
  <c r="CY58" i="4" s="1"/>
  <c r="BQ58" i="4"/>
  <c r="T80" i="4"/>
  <c r="Z1672" i="13"/>
  <c r="S80" i="4"/>
  <c r="A1681" i="13"/>
  <c r="AX1681" i="13" s="1"/>
  <c r="AX1582" i="13"/>
  <c r="A1617" i="13"/>
  <c r="AX1617" i="13" s="1"/>
  <c r="AX1518" i="13"/>
  <c r="BF89" i="69"/>
  <c r="O89" i="69"/>
  <c r="A1657" i="13"/>
  <c r="AX1657" i="13" s="1"/>
  <c r="AX1558" i="13"/>
  <c r="AX1501" i="13"/>
  <c r="A1600" i="13"/>
  <c r="AX1600" i="13" s="1"/>
  <c r="AO3" i="69" a="1"/>
  <c r="AO3" i="69" s="1"/>
  <c r="A1668" i="13"/>
  <c r="AX1668" i="13" s="1"/>
  <c r="AX1569" i="13"/>
  <c r="G414" i="15"/>
  <c r="X102" i="69"/>
  <c r="T16" i="4"/>
  <c r="Z1608" i="13"/>
  <c r="S16" i="4"/>
  <c r="X64" i="4"/>
  <c r="T68" i="4"/>
  <c r="Z1660" i="13"/>
  <c r="S68" i="4"/>
  <c r="AX1543" i="13"/>
  <c r="A1642" i="13"/>
  <c r="AX1642" i="13" s="1"/>
  <c r="BQ107" i="4"/>
  <c r="L55" i="4"/>
  <c r="BG55" i="4"/>
  <c r="BR55" i="4"/>
  <c r="X55" i="4"/>
  <c r="BP194" i="4"/>
  <c r="BH101" i="4"/>
  <c r="BJ97" i="4"/>
  <c r="BC106" i="4" s="1"/>
  <c r="BC107" i="4" s="1"/>
  <c r="BF107" i="4" s="1"/>
  <c r="AZ103" i="4"/>
  <c r="BA103" i="4"/>
  <c r="Z1772" i="13" s="1"/>
  <c r="BC103" i="4" l="1"/>
  <c r="BF104" i="4"/>
  <c r="Z1736" i="13" s="1"/>
  <c r="BG104" i="4"/>
  <c r="X97" i="4"/>
  <c r="BN104" i="4"/>
  <c r="M105" i="4" a="1"/>
  <c r="M105" i="4" s="1"/>
  <c r="BC104" i="4"/>
  <c r="BH202" i="4"/>
  <c r="Z1712" i="13"/>
  <c r="G341" i="15"/>
  <c r="BI104" i="4"/>
  <c r="BL104" i="4" s="1"/>
  <c r="Z1742" i="13" s="1"/>
  <c r="G439" i="15"/>
  <c r="BH103" i="4"/>
  <c r="Z1717" i="13" s="1"/>
  <c r="G397" i="15"/>
  <c r="G275" i="15"/>
  <c r="BB104" i="4"/>
  <c r="G223" i="15"/>
  <c r="AV1772" i="13"/>
  <c r="AB1772" i="13"/>
  <c r="Z1731" i="13"/>
  <c r="Z1773" i="13"/>
  <c r="BG202" i="4"/>
  <c r="G235" i="15"/>
  <c r="G250" i="15"/>
  <c r="G378" i="15"/>
  <c r="G487" i="15"/>
  <c r="G443" i="15"/>
  <c r="AV1746" i="13"/>
  <c r="AB1746" i="13"/>
  <c r="G510" i="15"/>
  <c r="G209" i="15"/>
  <c r="G269" i="15"/>
  <c r="G517" i="15"/>
  <c r="G426" i="15"/>
  <c r="I426" i="15" a="1"/>
  <c r="I426" i="15" s="1"/>
  <c r="G472" i="15"/>
  <c r="Z1737" i="13"/>
  <c r="G589" i="15"/>
  <c r="G195" i="15"/>
  <c r="I195" i="15" a="1"/>
  <c r="I195" i="15" s="1"/>
  <c r="AB1768" i="13"/>
  <c r="AV1768" i="13"/>
  <c r="AX1768" i="13" s="1"/>
  <c r="G200" i="15"/>
  <c r="G595" i="15"/>
  <c r="G297" i="15"/>
  <c r="AS55" i="69" a="1"/>
  <c r="AS55" i="69" s="1"/>
  <c r="AH55" i="69" a="1"/>
  <c r="AH55" i="69" s="1"/>
  <c r="AP55" i="69" a="1"/>
  <c r="AP55" i="69" s="1"/>
  <c r="AV55" i="69" a="1"/>
  <c r="AV55" i="69" s="1"/>
  <c r="AJ55" i="69" a="1"/>
  <c r="AJ55" i="69" s="1"/>
  <c r="AU55" i="69" a="1"/>
  <c r="AU55" i="69" s="1"/>
  <c r="AQ55" i="69" a="1"/>
  <c r="AQ55" i="69" s="1"/>
  <c r="AL55" i="69" a="1"/>
  <c r="AL55" i="69" s="1"/>
  <c r="AL97" i="69" s="1"/>
  <c r="AI55" i="69" a="1"/>
  <c r="AI55" i="69" s="1"/>
  <c r="AI100" i="69" s="1"/>
  <c r="AG55" i="69" a="1"/>
  <c r="AG55" i="69" s="1"/>
  <c r="AR55" i="69" a="1"/>
  <c r="AR55" i="69" s="1"/>
  <c r="AR99" i="69" s="1"/>
  <c r="AF55" i="69" a="1"/>
  <c r="AF55" i="69" s="1"/>
  <c r="AO55" i="69" a="1"/>
  <c r="AO55" i="69" s="1"/>
  <c r="BI103" i="4"/>
  <c r="BM55" i="4"/>
  <c r="BE55" i="4" s="1" a="1"/>
  <c r="BE55" i="4" s="1"/>
  <c r="AD55" i="69"/>
  <c r="BJ104" i="4"/>
  <c r="Z1740" i="13" s="1"/>
  <c r="BP106" i="4"/>
  <c r="BP108" i="4" s="1"/>
  <c r="BB103" i="4"/>
  <c r="BP107" i="4"/>
  <c r="BE104" i="4"/>
  <c r="Z1735" i="13" s="1"/>
  <c r="Z1744" i="13" s="1"/>
  <c r="BG103" i="4"/>
  <c r="BP104" i="4"/>
  <c r="BP103" i="4"/>
  <c r="Z1724" i="13" s="1"/>
  <c r="BD55" i="69"/>
  <c r="BD97" i="69" s="1"/>
  <c r="G579" i="15"/>
  <c r="G327" i="15"/>
  <c r="G337" i="15"/>
  <c r="AV457" i="13"/>
  <c r="U3" i="1" s="1" a="1"/>
  <c r="U3" i="1" s="1"/>
  <c r="U101" i="1" s="1"/>
  <c r="S3" i="1" a="1"/>
  <c r="S3" i="1" s="1"/>
  <c r="S101" i="1" s="1"/>
  <c r="BD103" i="4"/>
  <c r="G279" i="15"/>
  <c r="G498" i="15"/>
  <c r="G429" i="15"/>
  <c r="G368" i="15"/>
  <c r="G228" i="15"/>
  <c r="BF108" i="4"/>
  <c r="G210" i="15"/>
  <c r="G191" i="15"/>
  <c r="G260" i="15"/>
  <c r="H42" i="15" a="1"/>
  <c r="H42" i="15" s="1"/>
  <c r="I42" i="15" a="1"/>
  <c r="I42" i="15" s="1"/>
  <c r="BP193" i="4"/>
  <c r="BH104" i="4"/>
  <c r="Z1738" i="13" s="1"/>
  <c r="BJ103" i="4"/>
  <c r="Z1719" i="13" s="1"/>
  <c r="BE103" i="4"/>
  <c r="Z1714" i="13" s="1"/>
  <c r="BK103" i="4"/>
  <c r="Z1720" i="13" s="1"/>
  <c r="G614" i="15"/>
  <c r="BM97" i="4"/>
  <c r="G406" i="15"/>
  <c r="G449" i="15"/>
  <c r="G215" i="15"/>
  <c r="G453" i="15"/>
  <c r="G361" i="15"/>
  <c r="G403" i="15"/>
  <c r="G537" i="15"/>
  <c r="AH100" i="69"/>
  <c r="T28" i="4"/>
  <c r="S28" i="4"/>
  <c r="Z1620" i="13"/>
  <c r="G616" i="15"/>
  <c r="G164" i="15"/>
  <c r="I164" i="15" a="1"/>
  <c r="I164" i="15" s="1"/>
  <c r="G491" i="15"/>
  <c r="AQ57" i="4"/>
  <c r="AR57" i="4"/>
  <c r="G241" i="15"/>
  <c r="G154" i="15"/>
  <c r="G541" i="15"/>
  <c r="G555" i="15"/>
  <c r="G572" i="15"/>
  <c r="G444" i="15"/>
  <c r="G362" i="15"/>
  <c r="BF55" i="69"/>
  <c r="O55" i="69"/>
  <c r="AV1153" i="13"/>
  <c r="AE3" i="1" s="1" a="1"/>
  <c r="AE3" i="1" s="1"/>
  <c r="AE101" i="1" s="1"/>
  <c r="BG97" i="4"/>
  <c r="S67" i="4"/>
  <c r="T67" i="4"/>
  <c r="Z1659" i="13"/>
  <c r="G422" i="15"/>
  <c r="O95" i="69"/>
  <c r="BF95" i="69"/>
  <c r="F42" i="15"/>
  <c r="BF103" i="4"/>
  <c r="Z1715" i="13" s="1"/>
  <c r="BM104" i="4"/>
  <c r="G550" i="15"/>
  <c r="AW98" i="69"/>
  <c r="AO3" i="1" a="1"/>
  <c r="AO3" i="1" s="1"/>
  <c r="AO101" i="1" s="1"/>
  <c r="G513" i="15"/>
  <c r="F41" i="14"/>
  <c r="P41" i="14" s="1"/>
  <c r="F40" i="14"/>
  <c r="P40" i="14" s="1"/>
  <c r="F43" i="14"/>
  <c r="P43" i="14" s="1"/>
  <c r="F42" i="14"/>
  <c r="P42" i="14" s="1"/>
  <c r="BD104" i="4"/>
  <c r="AT55" i="4" a="1"/>
  <c r="AT55" i="4" s="1"/>
  <c r="H55" i="69" s="1"/>
  <c r="AV55" i="4" a="1"/>
  <c r="AV55" i="4" s="1"/>
  <c r="C55" i="69" s="1"/>
  <c r="D55" i="69" s="1" a="1"/>
  <c r="D55" i="69" s="1"/>
  <c r="K3" i="27" s="1" a="1"/>
  <c r="K3" i="27" s="1"/>
  <c r="AU55" i="4"/>
  <c r="Y55" i="4"/>
  <c r="BQ55" i="4"/>
  <c r="CA55" i="4"/>
  <c r="G305" i="15"/>
  <c r="A1653" i="13"/>
  <c r="AX1653" i="13" s="1"/>
  <c r="AX1554" i="13"/>
  <c r="BH203" i="4"/>
  <c r="Z1733" i="13"/>
  <c r="BE72" i="4" a="1"/>
  <c r="BE72" i="4" s="1"/>
  <c r="BV103" i="4" s="1"/>
  <c r="BV104" i="4" s="1"/>
  <c r="BR193" i="4"/>
  <c r="AB1769" i="13"/>
  <c r="AV1769" i="13"/>
  <c r="AX1769" i="13" s="1"/>
  <c r="G420" i="15"/>
  <c r="G3" i="1" a="1"/>
  <c r="G3" i="1" s="1"/>
  <c r="G101" i="1" s="1"/>
  <c r="G231" i="15"/>
  <c r="G238" i="15"/>
  <c r="G255" i="15"/>
  <c r="AV1554" i="13"/>
  <c r="AV1653" i="13" s="1"/>
  <c r="AX1450" i="13"/>
  <c r="Z1554" i="13"/>
  <c r="A1549" i="13"/>
  <c r="AV1450" i="13"/>
  <c r="G258" i="15"/>
  <c r="BF60" i="69"/>
  <c r="O60" i="69"/>
  <c r="AX1515" i="13"/>
  <c r="A1614" i="13"/>
  <c r="AX1614" i="13" s="1"/>
  <c r="Z43" i="14"/>
  <c r="Z41" i="14"/>
  <c r="Z42" i="14"/>
  <c r="G399" i="15"/>
  <c r="G311" i="15"/>
  <c r="G142" i="15"/>
  <c r="I142" i="15" a="1"/>
  <c r="I142" i="15" s="1"/>
  <c r="G442" i="15"/>
  <c r="G376" i="15"/>
  <c r="G599" i="15"/>
  <c r="G268" i="15"/>
  <c r="G257" i="15"/>
  <c r="G208" i="15"/>
  <c r="G604" i="15"/>
  <c r="G536" i="15"/>
  <c r="G285" i="15"/>
  <c r="G240" i="15"/>
  <c r="G179" i="15"/>
  <c r="G374" i="15"/>
  <c r="G266" i="15"/>
  <c r="G561" i="15"/>
  <c r="G307" i="15"/>
  <c r="G447" i="15"/>
  <c r="G480" i="15"/>
  <c r="G446" i="15"/>
  <c r="G434" i="15"/>
  <c r="G296" i="15"/>
  <c r="G527" i="15"/>
  <c r="G584" i="15"/>
  <c r="G369" i="15"/>
  <c r="G370" i="15"/>
  <c r="G185" i="15"/>
  <c r="G489" i="15"/>
  <c r="G405" i="15"/>
  <c r="G359" i="15"/>
  <c r="G270" i="15"/>
  <c r="G609" i="15"/>
  <c r="G284" i="15"/>
  <c r="G539" i="15"/>
  <c r="G532" i="15"/>
  <c r="G465" i="15"/>
  <c r="G462" i="15"/>
  <c r="G328" i="15"/>
  <c r="G473" i="15"/>
  <c r="G172" i="15"/>
  <c r="G469" i="15"/>
  <c r="G247" i="15"/>
  <c r="G475" i="15"/>
  <c r="G401" i="15"/>
  <c r="G233" i="15"/>
  <c r="G356" i="15"/>
  <c r="G499" i="15"/>
  <c r="G483" i="15"/>
  <c r="G259" i="15"/>
  <c r="G437" i="15"/>
  <c r="G300" i="15"/>
  <c r="G479" i="15"/>
  <c r="G520" i="15"/>
  <c r="G262" i="15"/>
  <c r="G355" i="15"/>
  <c r="G280" i="15"/>
  <c r="AB1736" i="13"/>
  <c r="AV1736" i="13"/>
  <c r="G400" i="15"/>
  <c r="G482" i="15"/>
  <c r="G349" i="15"/>
  <c r="G338" i="15"/>
  <c r="BL97" i="4"/>
  <c r="G282" i="15"/>
  <c r="AV98" i="69"/>
  <c r="AM3" i="1" a="1"/>
  <c r="AM3" i="1" s="1"/>
  <c r="AM101" i="1" s="1"/>
  <c r="G501" i="15"/>
  <c r="G495" i="15"/>
  <c r="G441" i="15"/>
  <c r="G396" i="15"/>
  <c r="G433" i="15"/>
  <c r="BQ193" i="4"/>
  <c r="AB1725" i="13"/>
  <c r="Z1767" i="13"/>
  <c r="AV1725" i="13"/>
  <c r="O59" i="69"/>
  <c r="BF59" i="69"/>
  <c r="BE97" i="4"/>
  <c r="AZ99" i="4" s="1"/>
  <c r="G398" i="15"/>
  <c r="G226" i="15"/>
  <c r="G582" i="15"/>
  <c r="AZ105" i="4"/>
  <c r="I166" i="15" a="1"/>
  <c r="I166" i="15" s="1"/>
  <c r="G166" i="15"/>
  <c r="G308" i="15"/>
  <c r="G391" i="15"/>
  <c r="BM103" i="4"/>
  <c r="G458" i="15"/>
  <c r="G481" i="15"/>
  <c r="G423" i="15"/>
  <c r="BQ108" i="4"/>
  <c r="AL99" i="69" l="1"/>
  <c r="BW103" i="4"/>
  <c r="BW104" i="4" s="1"/>
  <c r="H40" i="15"/>
  <c r="I40" i="15"/>
  <c r="AV1740" i="13"/>
  <c r="Z1749" i="13"/>
  <c r="AB1740" i="13"/>
  <c r="BK104" i="4"/>
  <c r="Z1741" i="13" s="1"/>
  <c r="Z1762" i="13" s="1"/>
  <c r="C1733" i="13"/>
  <c r="AY203" i="4"/>
  <c r="BU103" i="4"/>
  <c r="BU104" i="4" s="1"/>
  <c r="AB1737" i="13"/>
  <c r="AV1737" i="13"/>
  <c r="AB1767" i="13"/>
  <c r="AV1767" i="13"/>
  <c r="AX1767" i="13" s="1"/>
  <c r="BC202" i="4"/>
  <c r="Z1718" i="13"/>
  <c r="AY103" i="4"/>
  <c r="AV1742" i="13"/>
  <c r="AB1742" i="13"/>
  <c r="AB1715" i="13"/>
  <c r="AV1715" i="13"/>
  <c r="Z1757" i="13"/>
  <c r="Z1723" i="13"/>
  <c r="AV1724" i="13"/>
  <c r="AB1724" i="13"/>
  <c r="AB1717" i="13"/>
  <c r="AV1717" i="13"/>
  <c r="Z1759" i="13"/>
  <c r="AV1720" i="13"/>
  <c r="AB1720" i="13"/>
  <c r="BP105" i="4"/>
  <c r="Z1745" i="13"/>
  <c r="BG204" i="4"/>
  <c r="AX1549" i="13"/>
  <c r="A1648" i="13"/>
  <c r="AX1648" i="13" s="1"/>
  <c r="Z1716" i="13"/>
  <c r="Z1758" i="13" s="1"/>
  <c r="BL103" i="4"/>
  <c r="BB1754" i="13"/>
  <c r="AV1773" i="13"/>
  <c r="AB1773" i="13"/>
  <c r="AY104" i="4"/>
  <c r="BC203" i="4"/>
  <c r="Z1739" i="13"/>
  <c r="Z1734" i="13"/>
  <c r="BA203" i="4"/>
  <c r="BE203" i="4" s="1"/>
  <c r="AB1719" i="13"/>
  <c r="AV1719" i="13"/>
  <c r="Z1761" i="13"/>
  <c r="Z1728" i="13"/>
  <c r="AB1735" i="13"/>
  <c r="AV1735" i="13"/>
  <c r="AV1731" i="13"/>
  <c r="AB1731" i="13"/>
  <c r="T62" i="4"/>
  <c r="T97" i="4" s="1"/>
  <c r="Z1654" i="13"/>
  <c r="S62" i="4"/>
  <c r="S97" i="4" s="1"/>
  <c r="Z1750" i="13"/>
  <c r="AB1733" i="13"/>
  <c r="AV1733" i="13"/>
  <c r="AB1714" i="13"/>
  <c r="AV1714" i="13"/>
  <c r="Z1756" i="13"/>
  <c r="AV1744" i="13"/>
  <c r="AB1744" i="13"/>
  <c r="AB1738" i="13"/>
  <c r="AV1738" i="13"/>
  <c r="Z1729" i="13"/>
  <c r="AB1712" i="13"/>
  <c r="AV1712" i="13"/>
  <c r="Z1754" i="13"/>
  <c r="BA202" i="4"/>
  <c r="Z1713" i="13"/>
  <c r="AY202" i="4"/>
  <c r="C1712" i="13"/>
  <c r="BH204" i="4"/>
  <c r="BC204" i="4" l="1"/>
  <c r="C1762" i="13"/>
  <c r="AB1762" i="13"/>
  <c r="AV1762" i="13"/>
  <c r="AB1750" i="13"/>
  <c r="AV1750" i="13"/>
  <c r="AB1729" i="13"/>
  <c r="AV1729" i="13"/>
  <c r="AB1758" i="13"/>
  <c r="AV1758" i="13"/>
  <c r="BB203" i="4"/>
  <c r="AZ203" i="4"/>
  <c r="BI203" i="4" s="1"/>
  <c r="AB1759" i="13"/>
  <c r="AV1759" i="13"/>
  <c r="C1759" i="13"/>
  <c r="AV1734" i="13"/>
  <c r="AB1734" i="13"/>
  <c r="Z1760" i="13"/>
  <c r="Z1743" i="13"/>
  <c r="AB1739" i="13"/>
  <c r="AV1739" i="13"/>
  <c r="AB1757" i="13"/>
  <c r="C1757" i="13"/>
  <c r="Z1765" i="13"/>
  <c r="AV1757" i="13"/>
  <c r="AV1745" i="13"/>
  <c r="AB1745" i="13"/>
  <c r="Z1755" i="13"/>
  <c r="AV1713" i="13"/>
  <c r="AB1713" i="13"/>
  <c r="AV1761" i="13"/>
  <c r="Z1770" i="13"/>
  <c r="C1761" i="13"/>
  <c r="AB1761" i="13"/>
  <c r="AB1716" i="13"/>
  <c r="AV1716" i="13"/>
  <c r="AB1723" i="13"/>
  <c r="AV1723" i="13"/>
  <c r="AV1741" i="13"/>
  <c r="AB1741" i="13"/>
  <c r="C1756" i="13"/>
  <c r="AV1756" i="13"/>
  <c r="AB1756" i="13"/>
  <c r="AZ202" i="4"/>
  <c r="AY204" i="4"/>
  <c r="BB202" i="4"/>
  <c r="AB1728" i="13"/>
  <c r="AV1728" i="13"/>
  <c r="AV1718" i="13"/>
  <c r="AB1718" i="13"/>
  <c r="Z1722" i="13"/>
  <c r="Z1766" i="13"/>
  <c r="Z1721" i="13"/>
  <c r="BL105" i="4"/>
  <c r="AV1749" i="13"/>
  <c r="AB1749" i="13"/>
  <c r="BE202" i="4"/>
  <c r="BF202" i="4" s="1"/>
  <c r="BF204" i="4" s="1"/>
  <c r="BA204" i="4"/>
  <c r="AB1754" i="13"/>
  <c r="Z1771" i="13"/>
  <c r="AV1754" i="13"/>
  <c r="E1753" i="13"/>
  <c r="E1754" i="13"/>
  <c r="AZ1754" i="13"/>
  <c r="BC1754" i="13" s="1"/>
  <c r="AZ204" i="4" l="1"/>
  <c r="BI202" i="4"/>
  <c r="BO202" i="4"/>
  <c r="BB204" i="4"/>
  <c r="BO204" i="4" s="1"/>
  <c r="BD202" i="4"/>
  <c r="AB1743" i="13"/>
  <c r="AV1743" i="13"/>
  <c r="Z1753" i="13"/>
  <c r="BO203" i="4"/>
  <c r="BD203" i="4"/>
  <c r="BL203" i="4" s="1"/>
  <c r="AV1760" i="13"/>
  <c r="AB1760" i="13"/>
  <c r="Z1764" i="13"/>
  <c r="AB1721" i="13"/>
  <c r="AV1721" i="13"/>
  <c r="Z1763" i="13"/>
  <c r="AB1766" i="13"/>
  <c r="AV1766" i="13"/>
  <c r="AX1766" i="13" s="1"/>
  <c r="AX1770" i="13" s="1"/>
  <c r="AB1755" i="13"/>
  <c r="AV1755" i="13"/>
  <c r="AV1771" i="13"/>
  <c r="AB1771" i="13"/>
  <c r="AB1765" i="13"/>
  <c r="AV1765" i="13"/>
  <c r="BJ203" i="4"/>
  <c r="AV1770" i="13"/>
  <c r="AB1770" i="13"/>
  <c r="AB1722" i="13"/>
  <c r="AV1722" i="13"/>
  <c r="Z1732" i="13"/>
  <c r="BE204" i="4"/>
  <c r="BD204" i="4" l="1"/>
  <c r="BL204" i="4" s="1"/>
  <c r="BL202" i="4"/>
  <c r="AB1763" i="13"/>
  <c r="AV1763" i="13"/>
  <c r="BI204" i="4"/>
  <c r="BN204" i="4" s="1"/>
  <c r="BN202" i="4"/>
  <c r="BJ202" i="4"/>
  <c r="BJ204" i="4" s="1"/>
  <c r="BN203" i="4"/>
  <c r="AB1764" i="13"/>
  <c r="BA1754" i="13"/>
  <c r="AV1764" i="13"/>
  <c r="Z1774" i="13"/>
  <c r="AB1774" i="13" l="1"/>
  <c r="AV1774"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tc={09D9AF85-40DA-9140-AD90-3798BF19C569}</author>
  </authors>
  <commentList>
    <comment ref="L19" authorId="0" shapeId="0" xr:uid="{09D9AF85-40DA-9140-AD90-3798BF19C569}">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tc={0F3CC822-2037-444A-9EE3-BC594F4A6744}</author>
    <author>tc={DE9C5028-2DF2-CB4C-A5C2-508E06AA48CC}</author>
    <author>tc={5DF87627-8CC0-6048-947C-BB52A35ECC7D}</author>
    <author>tc={D9E3711E-C374-1946-88A7-A3386C7F9257}</author>
    <author>tc={C767CD06-4D51-8040-9D61-659A9FECE44F}</author>
    <author>tc={6A6CD30C-B15D-2D40-BBF5-EF3E17914281}</author>
    <author>tc={E1ABA867-6041-694C-B7AA-5056252287EF}</author>
    <author>tc={1F1CB195-3AA5-0245-80B0-4DCDA754D110}</author>
    <author>tc={552EF1AB-78AD-4448-84B9-3C95E0969F58}</author>
    <author>tc={8AA3CB45-C783-124D-B52A-2A1BA9BE6BC7}</author>
    <author>tc={A8070C35-B9E1-E548-B063-975539C3FFFF}</author>
    <author>tc={5B431876-B5FB-8741-8158-B49071C22017}</author>
  </authors>
  <commentList>
    <comment ref="D3" authorId="0" shapeId="0" xr:uid="{0F3CC822-2037-444A-9EE3-BC594F4A6744}">
      <text>
        <t>[Threaded comment]
Your version of Excel allows you to read this threaded comment; however, any edits to it will get removed if the file is opened in a newer version of Excel. Learn more: https://go.microsoft.com/fwlink/?linkid=870924
Comment:
    Relation(CurrentDayVolume)/(AverageVolume)vs.(TimeSinceExchangeOpen)</t>
      </text>
    </comment>
    <comment ref="B4" authorId="1" shapeId="0" xr:uid="{DE9C5028-2DF2-CB4C-A5C2-508E06AA48CC}">
      <text>
        <t>[Threaded comment]
Your version of Excel allows you to read this threaded comment; however, any edits to it will get removed if the file is opened in a newer version of Excel. Learn more: https://go.microsoft.com/fwlink/?linkid=870924
Comment:
    Green fill parameters are real-time collected (Refinitive)</t>
      </text>
    </comment>
    <comment ref="R10" authorId="2" shapeId="0" xr:uid="{5DF87627-8CC0-6048-947C-BB52A35ECC7D}">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 ref="S25" authorId="3" shapeId="0" xr:uid="{D9E3711E-C374-1946-88A7-A3386C7F9257}">
      <text>
        <t xml:space="preserve">[Threaded comment]
Your version of Excel allows you to read this threaded comment; however, any edits to it will get removed if the file is opened in a newer version of Excel. Learn more: https://go.microsoft.com/fwlink/?linkid=870924
Comment:
    When newA&lt;A the result is 
New A= (N*A - n*S)/(N-n);
In particular for n=k*N, k&lt;1
newA&lt;=(2A-S), in general
newA=(A-kS)/(1-k)
New value V=(kM+(1-k)A)N
</t>
      </text>
    </comment>
    <comment ref="DU34" authorId="4" shapeId="0" xr:uid="{C767CD06-4D51-8040-9D61-659A9FECE44F}">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U41" authorId="5" shapeId="0" xr:uid="{6A6CD30C-B15D-2D40-BBF5-EF3E17914281}">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A56" authorId="6" shapeId="0" xr:uid="{E1ABA867-6041-694C-B7AA-5056252287EF}">
      <text>
        <t>[Threaded comment]
Your version of Excel allows you to read this threaded comment; however, any edits to it will get removed if the file is opened in a newer version of Excel. Learn more: https://go.microsoft.com/fwlink/?linkid=870924
Comment:
    Total cost = 
Cost of shares bought - 
Revenue from shares sold</t>
      </text>
    </comment>
    <comment ref="C56" authorId="7" shapeId="0" xr:uid="{1F1CB195-3AA5-0245-80B0-4DCDA754D110}">
      <text>
        <t>[Threaded comment]
Your version of Excel allows you to read this threaded comment; however, any edits to it will get removed if the file is opened in a newer version of Excel. Learn more: https://go.microsoft.com/fwlink/?linkid=870924
Comment:
    Effective cost is equal to the cost of all purchases minus the revenue of all sales</t>
      </text>
    </comment>
    <comment ref="DJ108" authorId="8" shapeId="0" xr:uid="{552EF1AB-78AD-4448-84B9-3C95E0969F58}">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J115" authorId="9" shapeId="0" xr:uid="{8AA3CB45-C783-124D-B52A-2A1BA9BE6BC7}">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116" authorId="10" shapeId="0" xr:uid="{A8070C35-B9E1-E548-B063-975539C3FFFF}">
      <text>
        <t>[Threaded comment]
Your version of Excel allows you to read this threaded comment; however, any edits to it will get removed if the file is opened in a newer version of Excel. Learn more: https://go.microsoft.com/fwlink/?linkid=870924
Comment:
    Difference between the original number of shares and the current one</t>
      </text>
    </comment>
    <comment ref="C117" authorId="11" shapeId="0" xr:uid="{5B431876-B5FB-8741-8158-B49071C22017}">
      <text>
        <t>[Threaded comment]
Your version of Excel allows you to read this threaded comment; however, any edits to it will get removed if the file is opened in a newer version of Excel. Learn more: https://go.microsoft.com/fwlink/?linkid=870924
Comment:
    Value of extra stock (difference between the original number of shares and the current one)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tc={D0395B5C-58BC-4444-8043-B1A8B5420B7F}</author>
    <author>tc={00A7F780-2B98-4347-AD42-DA65554E0826}</author>
    <author>tc={A61A36B9-6D06-894B-A58D-3B39EE47C0BF}</author>
  </authors>
  <commentList>
    <comment ref="X15" authorId="0" shapeId="0" xr:uid="{D0395B5C-58BC-4444-8043-B1A8B5420B7F}">
      <text>
        <t>[Threaded comment]
Your version of Excel allows you to read this threaded comment; however, any edits to it will get removed if the file is opened in a newer version of Excel. Learn more: https://go.microsoft.com/fwlink/?linkid=870924
Comment:
    For the same calculation</t>
      </text>
    </comment>
    <comment ref="Y37" authorId="1" shapeId="0" xr:uid="{00A7F780-2B98-4347-AD42-DA65554E0826}">
      <text>
        <t>[Threaded comment]
Your version of Excel allows you to read this threaded comment; however, any edits to it will get removed if the file is opened in a newer version of Excel. Learn more: https://go.microsoft.com/fwlink/?linkid=870924
Comment:
    Just another formula</t>
      </text>
    </comment>
    <comment ref="AC37" authorId="2" shapeId="0" xr:uid="{A61A36B9-6D06-894B-A58D-3B39EE47C0BF}">
      <text>
        <t>[Threaded comment]
Your version of Excel allows you to read this threaded comment; however, any edits to it will get removed if the file is opened in a newer version of Excel. Learn more: https://go.microsoft.com/fwlink/?linkid=870924
Comment:
    Just another formula</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tc={B6FCC38C-03C1-F644-9656-2BAD7549507B}</author>
    <author>tc={28C17D77-177E-2646-A328-6DEB83E70D66}</author>
    <author>tc={B60A0E20-D41B-F34D-9F09-4917BCCFC640}</author>
    <author>tc={E1D6F229-C3AE-7848-BEAD-A9669A1882D4}</author>
    <author>tc={21F14720-6B3F-D043-B419-7E7DD7B9E789}</author>
    <author>tc={7EFC1CEC-5521-374A-89C0-EC9FC9E1EDE2}</author>
    <author>tc={A041CC84-4DC3-6845-AA5C-38999E3E74B8}</author>
    <author>tc={3B98603A-A95D-BC42-8605-44FEF5743B13}</author>
    <author>tc={E7834834-7108-3A49-8E68-27B00FDF41E7}</author>
    <author>tc={E8E78C57-3D45-BB4A-AA04-03B3B4BEEB02}</author>
    <author>tc={5991728E-023E-8548-9330-852BF1055778}</author>
    <author>tc={F2E6A3FA-BDC2-8443-993A-EADB4CCAAA24}</author>
  </authors>
  <commentList>
    <comment ref="B3" authorId="0" shapeId="0" xr:uid="{B6FCC38C-03C1-F644-9656-2BAD7549507B}">
      <text>
        <t>[Threaded comment]
Your version of Excel allows you to read this threaded comment; however, any edits to it will get removed if the file is opened in a newer version of Excel. Learn more: https://go.microsoft.com/fwlink/?linkid=870924
Comment:
    9/29/25</t>
      </text>
    </comment>
    <comment ref="A5" authorId="1" shapeId="0" xr:uid="{28C17D77-177E-2646-A328-6DEB83E70D66}">
      <text>
        <t>[Threaded comment]
Your version of Excel allows you to read this threaded comment; however, any edits to it will get removed if the file is opened in a newer version of Excel. Learn more: https://go.microsoft.com/fwlink/?linkid=870924
Comment:
    How many shares to sell to get the position free (of zero cost)</t>
      </text>
    </comment>
    <comment ref="B7" authorId="2" shapeId="0" xr:uid="{B60A0E20-D41B-F34D-9F09-4917BCCFC640}">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 ref="B8" authorId="3" shapeId="0" xr:uid="{E1D6F229-C3AE-7848-BEAD-A9669A1882D4}">
      <text>
        <t>[Threaded comment]
Your version of Excel allows you to read this threaded comment; however, any edits to it will get removed if the file is opened in a newer version of Excel. Learn more: https://go.microsoft.com/fwlink/?linkid=870924
Comment:
    Current Stock, 
on Y</t>
      </text>
    </comment>
    <comment ref="B9" authorId="4" shapeId="0" xr:uid="{21F14720-6B3F-D043-B419-7E7DD7B9E789}">
      <text>
        <t>[Threaded comment]
Your version of Excel allows you to read this threaded comment; however, any edits to it will get removed if the file is opened in a newer version of Excel. Learn more: https://go.microsoft.com/fwlink/?linkid=870924
Comment:
    ReBuy @M Gain/Loss vs 
Current stock Gain/Loss @Y</t>
      </text>
    </comment>
    <comment ref="A11" authorId="5" shapeId="0" xr:uid="{7EFC1CEC-5521-374A-89C0-EC9FC9E1EDE2}">
      <text>
        <t>[Threaded comment]
Your version of Excel allows you to read this threaded comment; however, any edits to it will get removed if the file is opened in a newer version of Excel. Learn more: https://go.microsoft.com/fwlink/?linkid=870924
Comment:
    Sell above worst purchase price</t>
      </text>
    </comment>
    <comment ref="B11" authorId="6" shapeId="0" xr:uid="{A041CC84-4DC3-6845-AA5C-38999E3E74B8}">
      <text>
        <t>[Threaded comment]
Your version of Excel allows you to read this threaded comment; however, any edits to it will get removed if the file is opened in a newer version of Excel. Learn more: https://go.microsoft.com/fwlink/?linkid=870924
Comment:
    The price of shares to buy (number equal to Remaining) to have zero Gaiin/Loss</t>
      </text>
    </comment>
    <comment ref="D14" authorId="7" shapeId="0" xr:uid="{3B98603A-A95D-BC42-8605-44FEF5743B13}">
      <text>
        <t>[Threaded comment]
Your version of Excel allows you to read this threaded comment; however, any edits to it will get removed if the file is opened in a newer version of Excel. Learn more: https://go.microsoft.com/fwlink/?linkid=870924
Comment:
    To the average cost per share</t>
      </text>
    </comment>
    <comment ref="F20" authorId="8" shapeId="0" xr:uid="{E7834834-7108-3A49-8E68-27B00FDF41E7}">
      <text>
        <t>[Threaded comment]
Your version of Excel allows you to read this threaded comment; however, any edits to it will get removed if the file is opened in a newer version of Excel. Learn more: https://go.microsoft.com/fwlink/?linkid=870924
Comment:
    Gbp Currency Scaling not taken into account below</t>
      </text>
    </comment>
    <comment ref="R21" authorId="9" shapeId="0" xr:uid="{E8E78C57-3D45-BB4A-AA04-03B3B4BEEB02}">
      <text>
        <t>[Threaded comment]
Your version of Excel allows you to read this threaded comment; however, any edits to it will get removed if the file is opened in a newer version of Excel. Learn more: https://go.microsoft.com/fwlink/?linkid=870924
Comment:
    Number of shares with a value of 40,000 (1 lot)</t>
      </text>
    </comment>
    <comment ref="Z21" authorId="10" shapeId="0" xr:uid="{5991728E-023E-8548-9330-852BF1055778}">
      <text>
        <t>[Threaded comment]
Your version of Excel allows you to read this threaded comment; however, any edits to it will get removed if the file is opened in a newer version of Excel. Learn more: https://go.microsoft.com/fwlink/?linkid=870924
Comment:
    Nonzero value for Consolid</t>
      </text>
    </comment>
    <comment ref="O22" authorId="11" shapeId="0" xr:uid="{F2E6A3FA-BDC2-8443-993A-EADB4CCAAA24}">
      <text>
        <t>[Threaded comment]
Your version of Excel allows you to read this threaded comment; however, any edits to it will get removed if the file is opened in a newer version of Excel. Learn more: https://go.microsoft.com/fwlink/?linkid=870924
Comment:
    (Sell Above)</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tc={144CDF80-6F64-B14C-9F34-66339FAE41BE}</author>
    <author>tc={1ACBFE9E-58F9-4A47-9CFC-6086A284B57E}</author>
    <author>tc={5736B209-3FA3-EC4A-87BB-D4E40554888C}</author>
    <author>tc={C207A891-D055-8F4E-9A76-6A2554FA4E0D}</author>
    <author>tc={96C4DA76-72EE-994D-906D-58971C7F892A}</author>
    <author>tc={12DC2977-8E14-7F49-BB06-7ED34AEAB7F9}</author>
    <author>tc={8B64F07E-7D6D-0A4A-A714-4EB622F7B6E0}</author>
    <author>tc={8690499B-FF21-CA45-9587-694D9F9A5E0D}</author>
    <author>tc={23F190C4-8311-BC44-B180-A17F13EED9F2}</author>
    <author>tc={1BB462EA-CD41-2C47-9D8E-BE2640DCC4BD}</author>
    <author>tc={4E16C3F5-8C8E-F14C-A8A5-5F38079CE677}</author>
    <author>tc={2C98D10A-5BEF-5944-822A-58DDC124ECC3}</author>
  </authors>
  <commentList>
    <comment ref="AK1" authorId="0" shapeId="0" xr:uid="{144CDF80-6F64-B14C-9F34-66339FAE41B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O1" authorId="1" shapeId="0" xr:uid="{1ACBFE9E-58F9-4A47-9CFC-6086A284B57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S1" authorId="2" shapeId="0" xr:uid="{5736B209-3FA3-EC4A-87BB-D4E40554888C}">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E2" authorId="3" shapeId="0" xr:uid="{C207A891-D055-8F4E-9A76-6A2554FA4E0D}">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H2" authorId="4" shapeId="0" xr:uid="{96C4DA76-72EE-994D-906D-58971C7F892A}">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I2" authorId="5" shapeId="0" xr:uid="{12DC2977-8E14-7F49-BB06-7ED34AEAB7F9}">
      <text>
        <t>[Threaded comment]
Your version of Excel allows you to read this threaded comment; however, any edits to it will get removed if the file is opened in a newer version of Excel. Learn more: https://go.microsoft.com/fwlink/?linkid=870924
Comment:
    When M Up: Sell or Buy: 
Potential  revenue N vs. A
(number of shares sold: min of last sale and available stock
When M Down: Buy or Sell: 
Stock value at M</t>
      </text>
    </comment>
    <comment ref="AJ2" authorId="6" shapeId="0" xr:uid="{8B64F07E-7D6D-0A4A-A714-4EB622F7B6E0}">
      <text>
        <t>[Threaded comment]
Your version of Excel allows you to read this threaded comment; however, any edits to it will get removed if the file is opened in a newer version of Excel. Learn more: https://go.microsoft.com/fwlink/?linkid=870924
Comment:
    SellMore: M vs. A</t>
      </text>
    </comment>
    <comment ref="AM2" authorId="7" shapeId="0" xr:uid="{8690499B-FF21-CA45-9587-694D9F9A5E0D}">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AN2" authorId="8" shapeId="0" xr:uid="{23F190C4-8311-BC44-B180-A17F13EED9F2}">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AT2" authorId="9" shapeId="0" xr:uid="{1BB462EA-CD41-2C47-9D8E-BE2640DCC4BD}">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K2" authorId="10" shapeId="0" xr:uid="{4E16C3F5-8C8E-F14C-A8A5-5F38079CE677}">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A3" authorId="11" shapeId="0" xr:uid="{2C98D10A-5BEF-5944-822A-58DDC124ECC3}">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tc={A8A6EEDC-8F4E-1E4E-81F4-A4E446BABA21}</author>
    <author>tc={ADE8A951-AC39-B142-8BA1-E525B4E082DD}</author>
    <author>tc={1BC095DB-2CA2-334E-BEE4-48D5EEE2C069}</author>
    <author>tc={E232150E-BF95-FA45-9F7A-8F23B6F1005D}</author>
    <author>tc={AE011861-0A03-2746-8AD0-B0F6FC56E77E}</author>
    <author>tc={8DBBCC43-0D2A-0146-A346-21E053C82492}</author>
    <author>tc={11FBBA63-D251-DA47-B3DD-F5BEA86CC914}</author>
    <author>tc={68E60758-C4D0-974E-95E6-30F9828EE6BA}</author>
    <author>tc={BDD6FB8F-21A0-924C-AEDF-6493E7D24B6B}</author>
    <author>tc={2EA1BBCF-5097-1047-B45B-038BDF4DBFFB}</author>
    <author>tc={44F3808B-AF32-BD41-A2CC-020BB39E8A06}</author>
    <author>tc={541D638A-B6CE-814A-B981-B1D5C58D6026}</author>
    <author>tc={B3AB1925-73EC-F049-8002-AF6C66DCAECC}</author>
    <author>tc={06A96AA1-EE1F-CD4C-9F2A-3A39EE287510}</author>
    <author>tc={9371267B-FD54-DB4C-A430-CAFF18FF39A7}</author>
    <author>tc={F6C00C09-21F5-CB40-87DE-5C57CACCD159}</author>
    <author>tc={8626F2A3-67DD-8B45-9354-1D7838EF204F}</author>
    <author>tc={AE42AC27-4767-1F45-ABE5-1AC1CA139BC7}</author>
    <author>tc={DE182165-2D5F-5D42-A91F-2F59F1722AD4}</author>
    <author>tc={0ED22159-ECAC-364A-BB47-E2CB49F60E49}</author>
    <author>tc={CD9AC06C-FA1D-2544-9ABF-3FD45733941B}</author>
    <author>tc={9C0043D0-DC46-9849-9BF5-295C8313B3A6}</author>
    <author>tc={0D905DCA-58AA-5442-B077-A181026BB62B}</author>
    <author>tc={82C8C7D0-03A1-234E-911E-AA4AB4F44CA7}</author>
    <author>tc={71E5E94D-E505-A348-AA7E-A898B268E548}</author>
    <author>tc={447A1541-66F4-134D-9252-4D89B5590282}</author>
    <author>tc={2CB088A2-92C8-F64A-99D3-0B906B3150C6}</author>
    <author>tc={4DE414DF-F5B4-3E48-82A5-12F704C3E5E0}</author>
    <author>tc={C6C16620-B9F3-6446-B93A-AE0D1464D771}</author>
    <author>tc={73A8C02F-2ECC-C542-BB91-9734447BF864}</author>
    <author>tc={DBC4D0FF-7A14-2745-9CD3-94CDDBCF4F5C}</author>
    <author>tc={A645EA7E-CC45-B24D-84EE-A315BA389338}</author>
    <author>tc={2CF0F987-B046-D449-ADB8-057864EDF189}</author>
    <author>tc={D737190E-FF3C-DA4F-B211-B710BEDEC840}</author>
    <author>tc={4DA4D09D-2332-4941-A0B2-808FB7E8BF02}</author>
    <author>tc={DF752F22-3244-284D-BF5D-49D1B52AB1F5}</author>
    <author>tc={204C7865-35C1-694A-AE58-D31D8F10EE1D}</author>
    <author>tc={10A77EFF-6C20-0249-82C8-8488F44A6BEF}</author>
    <author>tc={8F4E3459-60E9-A146-B036-EC5081B4818B}</author>
    <author>tc={B37EFCD5-2C9B-E54B-9497-FD124C7007C4}</author>
    <author>tc={B272A6A3-CDE9-E544-A0D8-B66D74615A54}</author>
    <author>tc={4395F13F-71C3-AC48-B8AA-24BE81D74E9E}</author>
    <author>tc={778CFFF7-39FD-CA42-BDF1-7D0FD10A3797}</author>
    <author>tc={E7ACA462-B179-1B42-9E65-75D3B860F65D}</author>
    <author>tc={95D05CB3-0136-5048-B730-AD8CF2C616DF}</author>
  </authors>
  <commentList>
    <comment ref="C2" authorId="0" shapeId="0" xr:uid="{A8A6EEDC-8F4E-1E4E-81F4-A4E446BABA21}">
      <text>
        <t>[Threaded comment]
Your version of Excel allows you to read this threaded comment; however, any edits to it will get removed if the file is opened in a newer version of Excel. Learn more: https://go.microsoft.com/fwlink/?linkid=870924
Comment:
    Number of shares originally owned</t>
      </text>
    </comment>
    <comment ref="G2" authorId="1" shapeId="0" xr:uid="{ADE8A951-AC39-B142-8BA1-E525B4E082DD}">
      <text>
        <t>[Threaded comment]
Your version of Excel allows you to read this threaded comment; however, any edits to it will get removed if the file is opened in a newer version of Excel. Learn more: https://go.microsoft.com/fwlink/?linkid=870924
Comment:
    Current stock (after all transactions)</t>
      </text>
    </comment>
    <comment ref="L2" authorId="2" shapeId="0" xr:uid="{1BC095DB-2CA2-334E-BEE4-48D5EEE2C069}">
      <text>
        <t>[Threaded comment]
Your version of Excel allows you to read this threaded comment; however, any edits to it will get removed if the file is opened in a newer version of Excel. Learn more: https://go.microsoft.com/fwlink/?linkid=870924
Comment:
    Effective price on position
Free: if all cost is already recuperated
GREEN fill &lt;min(M-Price, Y)
GREEN font double M&gt;Y
GREEN font abs(E)&lt;M
RED abs(E)&gt;max(M-Price, Y)</t>
      </text>
    </comment>
    <comment ref="O2" authorId="3" shapeId="0" xr:uid="{E232150E-BF95-FA45-9F7A-8F23B6F1005D}">
      <text>
        <t>[Threaded comment]
Your version of Excel allows you to read this threaded comment; however, any edits to it will get removed if the file is opened in a newer version of Excel. Learn more: https://go.microsoft.com/fwlink/?linkid=870924
Comment:
    Difference between
Markov% 
Up and Down</t>
      </text>
    </comment>
    <comment ref="P2" authorId="4" shapeId="0" xr:uid="{AE011861-0A03-2746-8AD0-B0F6FC56E77E}">
      <text>
        <t>[Threaded comment]
Your version of Excel allows you to read this threaded comment; however, any edits to it will get removed if the file is opened in a newer version of Excel. Learn more: https://go.microsoft.com/fwlink/?linkid=870924
Comment:
    Difference between the probabilities for forward and downward movement.</t>
      </text>
    </comment>
    <comment ref="R2" authorId="5" shapeId="0" xr:uid="{8DBBCC43-0D2A-0146-A346-21E053C82492}">
      <text>
        <t>[Threaded comment]
Your version of Excel allows you to read this threaded comment; however, any edits to it will get removed if the file is opened in a newer version of Excel. Learn more: https://go.microsoft.com/fwlink/?linkid=870924
Comment:
    Difference between % 
Up and Down</t>
      </text>
    </comment>
    <comment ref="S2" authorId="6" shapeId="0" xr:uid="{11FBBA63-D251-DA47-B3DD-F5BEA86CC914}">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T2" authorId="7" shapeId="0" xr:uid="{68E60758-C4D0-974E-95E6-30F9828EE6BA}">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U2" authorId="8" shapeId="0" xr:uid="{BDD6FB8F-21A0-924C-AEDF-6493E7D24B6B}">
      <text>
        <t>[Threaded comment]
Your version of Excel allows you to read this threaded comment; however, any edits to it will get removed if the file is opened in a newer version of Excel. Learn more: https://go.microsoft.com/fwlink/?linkid=870924
Comment:
    Shares above the market price</t>
      </text>
    </comment>
    <comment ref="V2" authorId="9" shapeId="0" xr:uid="{2EA1BBCF-5097-1047-B45B-038BDF4DBFFB}">
      <text>
        <t>[Threaded comment]
Your version of Excel allows you to read this threaded comment; however, any edits to it will get removed if the file is opened in a newer version of Excel. Learn more: https://go.microsoft.com/fwlink/?linkid=870924
Comment:
    Shares below the market price</t>
      </text>
    </comment>
    <comment ref="W2" authorId="10" shapeId="0" xr:uid="{44F3808B-AF32-BD41-A2CC-020BB39E8A06}">
      <text>
        <t>[Threaded comment]
Your version of Excel allows you to read this threaded comment; however, any edits to it will get removed if the file is opened in a newer version of Excel. Learn more: https://go.microsoft.com/fwlink/?linkid=870924
Comment:
    Neutral rice zone around the market rice M (+/- % NetralZoneM)
0.5% in ws ID</t>
      </text>
    </comment>
    <comment ref="Y2" authorId="11" shapeId="0" xr:uid="{541D638A-B6CE-814A-B981-B1D5C58D6026}">
      <text>
        <t>[Threaded comment]
Your version of Excel allows you to read this threaded comment; however, any edits to it will get removed if the file is opened in a newer version of Excel. Learn more: https://go.microsoft.com/fwlink/?linkid=870924
Comment:
    How many shares to buy to make 
A [cost per share] &lt; Y[1YTarg]
In the formula when @E&gt;0, position is at Gain</t>
      </text>
    </comment>
    <comment ref="Z2" authorId="12" shapeId="0" xr:uid="{B3AB1925-73EC-F049-8002-AF6C66DCAECC}">
      <text>
        <t>[Threaded comment]
Your version of Excel allows you to read this threaded comment; however, any edits to it will get removed if the file is opened in a newer version of Excel. Learn more: https://go.microsoft.com/fwlink/?linkid=870924
Comment:
    Reverse sale: 
min of remaining stock</t>
      </text>
    </comment>
    <comment ref="AP2" authorId="13" shapeId="0" xr:uid="{06A96AA1-EE1F-CD4C-9F2A-3A39EE287510}">
      <text>
        <t xml:space="preserve">[Threaded comment]
Your version of Excel allows you to read this threaded comment; however, any edits to it will get removed if the file is opened in a newer version of Excel. Learn more: https://go.microsoft.com/fwlink/?linkid=870924
Comment:
    Saldo of the day=
M_Value x Change%
</t>
      </text>
    </comment>
    <comment ref="AT2" authorId="14" shapeId="0" xr:uid="{9371267B-FD54-DB4C-A430-CAFF18FF39A7}">
      <text>
        <t>[Threaded comment]
Your version of Excel allows you to read this threaded comment; however, any edits to it will get removed if the file is opened in a newer version of Excel. Learn more: https://go.microsoft.com/fwlink/?linkid=870924
Comment:
    BUY to REFILL position, if:
E&gt;0: stock cost is  already recuperated, or 
abs(E) &lt; last sale L_SP
On effective price E =&gt; last sale transaction reverse is not recommended
B_more: On M&gt;L_SP, independently of E value</t>
      </text>
    </comment>
    <comment ref="AV2" authorId="15" shapeId="0" xr:uid="{F6C00C09-21F5-CB40-87DE-5C57CACCD159}">
      <text>
        <t>[Threaded comment]
Your version of Excel allows you to read this threaded comment; however, any edits to it will get removed if the file is opened in a newer version of Excel. Learn more: https://go.microsoft.com/fwlink/?linkid=870924
Comment:
    Free trade if E&gt;0
Don’t resell on low M_Price:
M GT and(E, lastBuy)</t>
      </text>
    </comment>
    <comment ref="AX2" authorId="16" shapeId="0" xr:uid="{8626F2A3-67DD-8B45-9354-1D7838EF204F}">
      <text>
        <t>[Threaded comment]
Your version of Excel allows you to read this threaded comment; however, any edits to it will get removed if the file is opened in a newer version of Excel. Learn more: https://go.microsoft.com/fwlink/?linkid=870924
Comment:
    sign(M-Y)*(M-Y)**3/(Y*M)
?</t>
      </text>
    </comment>
    <comment ref="AY2" authorId="17" shapeId="0" xr:uid="{AE42AC27-4767-1F45-ABE5-1AC1CA139BC7}">
      <text>
        <t>[Threaded comment]
Your version of Excel allows you to read this threaded comment; however, any edits to it will get removed if the file is opened in a newer version of Excel. Learn more: https://go.microsoft.com/fwlink/?linkid=870924
Comment:
    Shares actually sold from original position (so, current position is smaller than the one n the beginning)</t>
      </text>
    </comment>
    <comment ref="BC2" authorId="18" shapeId="0" xr:uid="{DE182165-2D5F-5D42-A91F-2F59F1722AD4}">
      <text>
        <t>[Threaded comment]
Your version of Excel allows you to read this threaded comment; however, any edits to it will get removed if the file is opened in a newer version of Excel. Learn more: https://go.microsoft.com/fwlink/?linkid=870924
Comment:
    Hypothetical No-Trade-Case
Column unused</t>
      </text>
    </comment>
    <comment ref="BD2" authorId="19" shapeId="0" xr:uid="{0ED22159-ECAC-364A-BB47-E2CB49F60E49}">
      <text>
        <t>[Threaded comment]
Your version of Excel allows you to read this threaded comment; however, any edits to it will get removed if the file is opened in a newer version of Excel. Learn more: https://go.microsoft.com/fwlink/?linkid=870924
Comment:
    No-Trade-Case: 
Hypothetical Gain/Loss</t>
      </text>
    </comment>
    <comment ref="BE2" authorId="20" shapeId="0" xr:uid="{CD9AC06C-FA1D-2544-9ABF-3FD45733941B}">
      <text>
        <t xml:space="preserve">[Threaded comment]
Your version of Excel allows you to read this threaded comment; however, any edits to it will get removed if the file is opened in a newer version of Excel. Learn more: https://go.microsoft.com/fwlink/?linkid=870924
Comment:
    Current market value
</t>
      </text>
    </comment>
    <comment ref="BF2" authorId="21" shapeId="0" xr:uid="{9C0043D0-DC46-9849-9BF5-295C8313B3A6}">
      <text>
        <t>[Threaded comment]
Your version of Excel allows you to read this threaded comment; however, any edits to it will get removed if the file is opened in a newer version of Excel. Learn more: https://go.microsoft.com/fwlink/?linkid=870924
Comment:
    New spendings (for trades)</t>
      </text>
    </comment>
    <comment ref="BG2" authorId="22" shapeId="0" xr:uid="{0D905DCA-58AA-5442-B077-A181026BB62B}">
      <text>
        <t xml:space="preserve">[Threaded comment]
Your version of Excel allows you to read this threaded comment; however, any edits to it will get removed if the file is opened in a newer version of Excel. Learn more: https://go.microsoft.com/fwlink/?linkid=870924
Comment:
    Trade Result - 
new position cost- 
cost begin 
</t>
      </text>
    </comment>
    <comment ref="BH2" authorId="23" shapeId="0" xr:uid="{82C8C7D0-03A1-234E-911E-AA4AB4F44CA7}">
      <text>
        <t>[Threaded comment]
Your version of Excel allows you to read this threaded comment; however, any edits to it will get removed if the file is opened in a newer version of Excel. Learn more: https://go.microsoft.com/fwlink/?linkid=870924
Comment:
    Actual m_Value -original value (=original cost)</t>
      </text>
    </comment>
    <comment ref="BI2" authorId="24" shapeId="0" xr:uid="{71E5E94D-E505-A348-AA7E-A898B268E548}">
      <text>
        <t>[Threaded comment]
Your version of Excel allows you to read this threaded comment; however, any edits to it will get removed if the file is opened in a newer version of Excel. Learn more: https://go.microsoft.com/fwlink/?linkid=870924
Comment:
    Total spent: the amount used to buy shares, sales revenue not taken into account</t>
      </text>
    </comment>
    <comment ref="BJ2" authorId="25" shapeId="0" xr:uid="{447A1541-66F4-134D-9252-4D89B5590282}">
      <text>
        <t>[Threaded comment]
Your version of Excel allows you to read this threaded comment; however, any edits to it will get removed if the file is opened in a newer version of Excel. Learn more: https://go.microsoft.com/fwlink/?linkid=870924
Comment:
    Effective spent of position = 
Cost of shares bought - 
Revenue from shares sold
NB: Current market value isn’t taken into account</t>
      </text>
    </comment>
    <comment ref="BK2" authorId="26" shapeId="0" xr:uid="{2CB088A2-92C8-F64A-99D3-0B906B3150C6}">
      <text>
        <t>[Threaded comment]
Your version of Excel allows you to read this threaded comment; however, any edits to it will get removed if the file is opened in a newer version of Excel. Learn more: https://go.microsoft.com/fwlink/?linkid=870924
Comment:
    Revenue from trades</t>
      </text>
    </comment>
    <comment ref="BL2" authorId="27" shapeId="0" xr:uid="{4DE414DF-F5B4-3E48-82A5-12F704C3E5E0}">
      <text>
        <t>[Threaded comment]
Your version of Excel allows you to read this threaded comment; however, any edits to it will get removed if the file is opened in a newer version of Excel. Learn more: https://go.microsoft.com/fwlink/?linkid=870924
Comment:
    Result of position:
Effective cost + Market value</t>
      </text>
    </comment>
    <comment ref="BM2" authorId="28" shapeId="0" xr:uid="{C6C16620-B9F3-6446-B93A-AE0D1464D771}">
      <text>
        <t>[Threaded comment]
Your version of Excel allows you to read this threaded comment; however, any edits to it will get removed if the file is opened in a newer version of Excel. Learn more: https://go.microsoft.com/fwlink/?linkid=870924
Comment:
    Current market value
Eff. cost &lt; Gain/Loss</t>
      </text>
    </comment>
    <comment ref="BN2" authorId="29" shapeId="0" xr:uid="{73A8C02F-2ECC-C542-BB91-9734447BF864}">
      <text>
        <t>[Threaded comment]
Your version of Excel allows you to read this threaded comment; however, any edits to it will get removed if the file is opened in a newer version of Excel. Learn more: https://go.microsoft.com/fwlink/?linkid=870924
Comment:
    Total number of shares bought</t>
      </text>
    </comment>
    <comment ref="BO2" authorId="30" shapeId="0" xr:uid="{DBC4D0FF-7A14-2745-9CD3-94CDDBCF4F5C}">
      <text>
        <t>[Threaded comment]
Your version of Excel allows you to read this threaded comment; however, any edits to it will get removed if the file is opened in a newer version of Excel. Learn more: https://go.microsoft.com/fwlink/?linkid=870924
Comment:
    Number of shares additionally bought (during trading) after the establishment of the original position</t>
      </text>
    </comment>
    <comment ref="BP2" authorId="31" shapeId="0" xr:uid="{A645EA7E-CC45-B24D-84EE-A315BA389338}">
      <text>
        <t>[Threaded comment]
Your version of Excel allows you to read this threaded comment; however, any edits to it will get removed if the file is opened in a newer version of Excel. Learn more: https://go.microsoft.com/fwlink/?linkid=870924
Comment:
    Number of shares sold after the establishment of the original position</t>
      </text>
    </comment>
    <comment ref="BQ2" authorId="32" shapeId="0" xr:uid="{2CF0F987-B046-D449-ADB8-057864EDF189}">
      <text>
        <t xml:space="preserve">[Threaded comment]
Your version of Excel allows you to read this threaded comment; however, any edits to it will get removed if the file is opened in a newer version of Excel. Learn more: https://go.microsoft.com/fwlink/?linkid=870924
Comment:
    Analysis of BUY Reverse: LS&gt;M&gt;E case:
M=NE/((n*(k+2),
Where 
k.M=Last sale price, k&gt;1,
	as last sale reverse buy is 	analyzed here, M&gt;L_SP)
N - number of shares,
E - effective price,
n - last sale number of shares.
Basic case N=n (reverse stock)
</t>
      </text>
    </comment>
    <comment ref="BR2" authorId="33" shapeId="0" xr:uid="{D737190E-FF3C-DA4F-B211-B710BEDEC840}">
      <text>
        <t>[Threaded comment]
Your version of Excel allows you to read this threaded comment; however, any edits to it will get removed if the file is opened in a newer version of Excel. Learn more: https://go.microsoft.com/fwlink/?linkid=870924
Comment:
    Position status:
Pile: if no trade gives better revenue
Trade: if trading history (including market value) 
is showing result better than no trading case</t>
      </text>
    </comment>
    <comment ref="BS2" authorId="34" shapeId="0" xr:uid="{4DA4D09D-2332-4941-A0B2-808FB7E8BF02}">
      <text>
        <t>[Threaded comment]
Your version of Excel allows you to read this threaded comment; however, any edits to it will get removed if the file is opened in a newer version of Excel. Learn more: https://go.microsoft.com/fwlink/?linkid=870924
Comment:
    Stock Exchange last trade time</t>
      </text>
    </comment>
    <comment ref="BU2" authorId="35" shapeId="0" xr:uid="{DF752F22-3244-284D-BF5D-49D1B52AB1F5}">
      <text>
        <t>[Threaded comment]
Your version of Excel allows you to read this threaded comment; however, any edits to it will get removed if the file is opened in a newer version of Excel. Learn more: https://go.microsoft.com/fwlink/?linkid=870924
Comment:
    Vertical index NewReg</t>
      </text>
    </comment>
    <comment ref="BV2" authorId="36" shapeId="0" xr:uid="{204C7865-35C1-694A-AE58-D31D8F10EE1D}">
      <text>
        <t>[Threaded comment]
Your version of Excel allows you to read this threaded comment; however, any edits to it will get removed if the file is opened in a newer version of Excel. Learn more: https://go.microsoft.com/fwlink/?linkid=870924
Comment:
    Horizontal index NewReg</t>
      </text>
    </comment>
    <comment ref="BW2" authorId="37" shapeId="0" xr:uid="{10A77EFF-6C20-0249-82C8-8488F44A6BEF}">
      <text>
        <t>[Threaded comment]
Your version of Excel allows you to read this threaded comment; however, any edits to it will get removed if the file is opened in a newer version of Excel. Learn more: https://go.microsoft.com/fwlink/?linkid=870924
Comment:
    Last Trade Date
(Independently buy or sell</t>
      </text>
    </comment>
    <comment ref="BY2" authorId="38" shapeId="0" xr:uid="{8F4E3459-60E9-A146-B036-EC5081B4818B}">
      <text>
        <t>[Threaded comment]
Your version of Excel allows you to read this threaded comment; however, any edits to it will get removed if the file is opened in a newer version of Excel. Learn more: https://go.microsoft.com/fwlink/?linkid=870924
Comment:
    Last trade number of shares</t>
      </text>
    </comment>
    <comment ref="CK2" authorId="39" shapeId="0" xr:uid="{B37EFCD5-2C9B-E54B-9497-FD124C7007C4}">
      <text>
        <t>[Threaded comment]
Your version of Excel allows you to read this threaded comment; however, any edits to it will get removed if the file is opened in a newer version of Excel. Learn more: https://go.microsoft.com/fwlink/?linkid=870924
Comment:
    Last Purchase date</t>
      </text>
    </comment>
    <comment ref="CT2" authorId="40" shapeId="0" xr:uid="{B272A6A3-CDE9-E544-A0D8-B66D74615A54}">
      <text>
        <t>[Threaded comment]
Your version of Excel allows you to read this threaded comment; however, any edits to it will get removed if the file is opened in a newer version of Excel. Learn more: https://go.microsoft.com/fwlink/?linkid=870924
Comment:
    How many shares 
to BUY to make 
T_Bound (=1500/2000) 
gain of compared with the 
last SALE</t>
      </text>
    </comment>
    <comment ref="CV2" authorId="41" shapeId="0" xr:uid="{4395F13F-71C3-AC48-B8AA-24BE81D74E9E}">
      <text>
        <t>[Threaded comment]
Your version of Excel allows you to read this threaded comment; however, any edits to it will get removed if the file is opened in a newer version of Excel. Learn more: https://go.microsoft.com/fwlink/?linkid=870924
Comment:
    If M &gt; last Buy
how many shares 
to SELL to make 
T_Bound (=5000); 
gain of compared with the 
last PURCHASE</t>
      </text>
    </comment>
    <comment ref="CX2" authorId="42" shapeId="0" xr:uid="{778CFFF7-39FD-CA42-BDF1-7D0FD10A3797}">
      <text>
        <t>[Threaded comment]
Your version of Excel allows you to read this threaded comment; however, any edits to it will get removed if the file is opened in a newer version of Excel. Learn more: https://go.microsoft.com/fwlink/?linkid=870924
Comment:
    Number of shares to get the transaction gain limit ($5000) based on the difference of 
M_price and A [cost per share]</t>
      </text>
    </comment>
    <comment ref="H35" authorId="43" shapeId="0" xr:uid="{E7ACA462-B179-1B42-9E65-75D3B860F65D}">
      <text>
        <t>[Threaded comment]
Your version of Excel allows you to read this threaded comment; however, any edits to it will get removed if the file is opened in a newer version of Excel. Learn more: https://go.microsoft.com/fwlink/?linkid=870924
Comment:
    Liquidated position with loss reduced by 2K</t>
      </text>
    </comment>
    <comment ref="BC108" authorId="44" shapeId="0" xr:uid="{95D05CB3-0136-5048-B730-AD8CF2C616DF}">
      <text>
        <t xml:space="preserve">[Threaded comment]
Your version of Excel allows you to read this threaded comment; however, any edits to it will get removed if the file is opened in a newer version of Excel. Learn more: https://go.microsoft.com/fwlink/?linkid=870924
Comment:
    Market vaalue - Oriinal stock cost
</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tc={64089E49-BAE9-D140-BD47-3D9B2ECC09FC}</author>
    <author>tc={1C6870CB-9BB8-A047-886A-4A2437187C6F}</author>
    <author>tc={17C95D9E-F2AC-DD41-B81C-C807C523BA53}</author>
    <author>tc={8ECC8214-070C-A242-88E0-85689640A8F1}</author>
    <author>tc={68899EF9-5F7A-3D44-A78C-3E7607208C5B}</author>
    <author>tc={549B2514-E821-1846-AC40-B51A3C429A90}</author>
    <author>tc={4AD71C8E-ADEE-B047-BFFD-A4DEE3B6699D}</author>
    <author>tc={C8313177-35DE-AA4C-A7B6-9D6991F4866F}</author>
    <author>tc={28997FB5-CE9F-6144-BE8B-DE030C1E5026}</author>
    <author>tc={2FEF4FB4-FEB3-D643-A56D-9C174446883C}</author>
    <author>tc={49C9F164-EF21-044C-8BF0-25EA2067177C}</author>
    <author>tc={8BA43598-4B8F-3A47-8C91-D7AF81DFEA34}</author>
    <author>tc={4135C877-A19F-234C-B84C-1A761E9C8004}</author>
    <author>tc={C74609F5-505F-EF41-839F-A2CD0B9CAA40}</author>
    <author>tc={09313EB2-2CB8-9B4B-9B45-851DA7B5EE55}</author>
    <author>tc={EB72A686-96F8-AE4F-97DE-CEA78A27F856}</author>
    <author>tc={EBBB06EC-E38D-FE4F-A319-4361EEEF1F7D}</author>
    <author>tc={56A39AE2-79D0-8A47-8CC5-7B1A7F8BEAE1}</author>
    <author>tc={83EA0299-A22F-264C-9E34-71D699329526}</author>
    <author>tc={F0006BD1-E326-1648-BA39-E24CC874D683}</author>
    <author>tc={16BE8569-0112-2642-BF7B-40D606010A6F}</author>
    <author>tc={5F9DB92B-9E76-4743-98FE-F58D6E5E5B51}</author>
    <author>tc={03EFEFA8-F3DF-6E42-B44F-0209E12FCFA6}</author>
    <author>tc={64CF9D23-951F-0F41-A95E-7B389FEE99D9}</author>
    <author>tc={31927001-1AA3-984D-ABD6-70D5E687E29E}</author>
    <author>tc={B8A35589-C0A4-7A49-BEF5-0648553FFA1F}</author>
    <author>tc={A9AB904A-43D7-E344-AC22-4564A8301619}</author>
    <author>tc={DEF092DB-85B1-384E-89F5-A0D4B99A6D88}</author>
    <author>tc={A5BFFE70-6BE3-AE4D-9873-293FA2A021C9}</author>
    <author>tc={E7F5F14A-5964-8843-9C91-16C2D7BE7D79}</author>
    <author>tc={9DC0BBF1-6CBF-BB4C-BFC7-B68264E8651B}</author>
    <author>tc={12CACF3C-67CB-6B4A-8473-58B56A93A086}</author>
    <author>tc={19E9CCCA-0E1D-6946-82F8-455540C10303}</author>
    <author>tc={97CFCFF8-733D-FC48-BC5D-BA3C47CF3709}</author>
    <author>tc={9890E2EC-D390-D946-9DE5-BED002D34B2A}</author>
    <author>tc={1F705F25-DF4F-014A-A527-D81B4318F613}</author>
    <author>tc={02500364-7AAB-614C-9A24-A0AD0C8BBC68}</author>
    <author>tc={DCF45572-6688-E041-AE39-B76FF6AB5827}</author>
    <author>tc={8CAD3954-CA25-FC43-A95C-5B72EEBE6812}</author>
    <author>tc={E4A1CEAD-FDCE-9341-962A-641C08C19492}</author>
    <author>tc={B4809271-30D1-8B41-8530-8304899B0B9C}</author>
    <author>tc={CDA76358-3B0B-984D-A5F1-70B8674FFAE7}</author>
    <author>tc={EDB65063-99EB-AC4F-B48A-398C76DA76CA}</author>
    <author>tc={B45B851D-CF82-234E-8907-71A4660A664C}</author>
    <author>tc={B9E9781C-37E8-6040-BD4D-4CD4F9F23AFE}</author>
    <author>tc={D496637A-5574-444B-B6B2-86877F992E76}</author>
    <author>tc={170A17F3-515B-4E4B-8E4B-BC16063DAF96}</author>
    <author>tc={570C907D-3B0E-3B4D-A322-D870786B11DC}</author>
    <author>tc={32BFBEC3-E417-F14A-B967-3A4A022A4300}</author>
    <author>tc={7973D9BB-64CB-9941-AE71-0BA2C7AF752C}</author>
    <author>tc={F4E638AB-C6DD-CE47-A349-39B4C4E93B0D}</author>
    <author>tc={84C50E93-A1D8-AA43-9D2C-357E2BA1C8AD}</author>
    <author>tc={79E700FD-996F-4B45-84BF-394A68062705}</author>
    <author>tc={B51801E2-5107-964B-9F0D-0AA8E4E70F9F}</author>
  </authors>
  <commentList>
    <comment ref="D2" authorId="0" shapeId="0" xr:uid="{64089E49-BAE9-D140-BD47-3D9B2ECC09FC}">
      <text>
        <t>[Threaded comment]
Your version of Excel allows you to read this threaded comment; however, any edits to it will get removed if the file is opened in a newer version of Excel. Learn more: https://go.microsoft.com/fwlink/?linkid=870924
Comment:
    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
      </text>
    </comment>
    <comment ref="F3" authorId="1" shapeId="0" xr:uid="{1C6870CB-9BB8-A047-886A-4A2437187C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H4" authorId="2" shapeId="0" xr:uid="{17C95D9E-F2AC-DD41-B81C-C807C523BA53}">
      <text>
        <t>[Threaded comment]
Your version of Excel allows you to read this threaded comment; however, any edits to it will get removed if the file is opened in a newer version of Excel. Learn more: https://go.microsoft.com/fwlink/?linkid=870924
Comment:
    Current market price!</t>
      </text>
    </comment>
    <comment ref="J4" authorId="3" shapeId="0" xr:uid="{8ECC8214-070C-A242-88E0-85689640A8F1}">
      <text>
        <t>[Threaded comment]
Your version of Excel allows you to read this threaded comment; however, any edits to it will get removed if the file is opened in a newer version of Excel. Learn more: https://go.microsoft.com/fwlink/?linkid=870924
Comment:
    Ch%/Agio@M:
(nsell=Income[M&gt;A])</t>
      </text>
    </comment>
    <comment ref="F5" authorId="4" shapeId="0" xr:uid="{68899EF9-5F7A-3D44-A78C-3E7607208C5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 authorId="5" shapeId="0" xr:uid="{549B2514-E821-1846-AC40-B51A3C429A9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 authorId="6" shapeId="0" xr:uid="{4AD71C8E-ADEE-B047-BFFD-A4DEE3B6699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0" authorId="7" shapeId="0" xr:uid="{C8313177-35DE-AA4C-A7B6-9D6991F486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1" authorId="8" shapeId="0" xr:uid="{28997FB5-CE9F-6144-BE8B-DE030C1E50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3" authorId="9" shapeId="0" xr:uid="{2FEF4FB4-FEB3-D643-A56D-9C174446883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6" authorId="10" shapeId="0" xr:uid="{49C9F164-EF21-044C-8BF0-25EA2067177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7" authorId="11" shapeId="0" xr:uid="{8BA43598-4B8F-3A47-8C91-D7AF81DFEA3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9" authorId="12" shapeId="0" xr:uid="{4135C877-A19F-234C-B84C-1A761E9C800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0" authorId="13" shapeId="0" xr:uid="{C74609F5-505F-EF41-839F-A2CD0B9CAA4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1" authorId="14" shapeId="0" xr:uid="{09313EB2-2CB8-9B4B-9B45-851DA7B5EE55}">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8" authorId="15" shapeId="0" xr:uid="{EB72A686-96F8-AE4F-97DE-CEA78A27F85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3" authorId="16" shapeId="0" xr:uid="{EBBB06EC-E38D-FE4F-A319-4361EEEF1F7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5" authorId="17" shapeId="0" xr:uid="{56A39AE2-79D0-8A47-8CC5-7B1A7F8BEAE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6" authorId="18" shapeId="0" xr:uid="{83EA0299-A22F-264C-9E34-71D6993295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7" authorId="19" shapeId="0" xr:uid="{F0006BD1-E326-1648-BA39-E24CC874D68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9" authorId="20" shapeId="0" xr:uid="{16BE8569-0112-2642-BF7B-40D606010A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0" authorId="21" shapeId="0" xr:uid="{5F9DB92B-9E76-4743-98FE-F58D6E5E5B5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1" authorId="22" shapeId="0" xr:uid="{03EFEFA8-F3DF-6E42-B44F-0209E12FCFA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2" authorId="23" shapeId="0" xr:uid="{64CF9D23-951F-0F41-A95E-7B389FEE99D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3" authorId="24" shapeId="0" xr:uid="{31927001-1AA3-984D-ABD6-70D5E687E29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4" authorId="25" shapeId="0" xr:uid="{B8A35589-C0A4-7A49-BEF5-0648553FFA1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5" authorId="26" shapeId="0" xr:uid="{A9AB904A-43D7-E344-AC22-4564A830161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1" authorId="27" shapeId="0" xr:uid="{DEF092DB-85B1-384E-89F5-A0D4B99A6D8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2" authorId="28" shapeId="0" xr:uid="{A5BFFE70-6BE3-AE4D-9873-293FA2A021C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3" authorId="29" shapeId="0" xr:uid="{E7F5F14A-5964-8843-9C91-16C2D7BE7D7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5" authorId="30" shapeId="0" xr:uid="{9DC0BBF1-6CBF-BB4C-BFC7-B68264E8651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6" authorId="31" shapeId="0" xr:uid="{12CACF3C-67CB-6B4A-8473-58B56A93A08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8" authorId="32" shapeId="0" xr:uid="{19E9CCCA-0E1D-6946-82F8-455540C1030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3" authorId="33" shapeId="0" xr:uid="{97CFCFF8-733D-FC48-BC5D-BA3C47CF370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4" authorId="34" shapeId="0" xr:uid="{9890E2EC-D390-D946-9DE5-BED002D34B2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64" authorId="35" shapeId="0" xr:uid="{1F705F25-DF4F-014A-A527-D81B4318F61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9" authorId="36" shapeId="0" xr:uid="{02500364-7AAB-614C-9A24-A0AD0C8BBC6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0" authorId="37" shapeId="0" xr:uid="{DCF45572-6688-E041-AE39-B76FF6AB582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1" authorId="38" shapeId="0" xr:uid="{8CAD3954-CA25-FC43-A95C-5B72EEBE681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2" authorId="39" shapeId="0" xr:uid="{E4A1CEAD-FDCE-9341-962A-641C08C1949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6" authorId="40" shapeId="0" xr:uid="{B4809271-30D1-8B41-8530-8304899B0B9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76" authorId="41" shapeId="0" xr:uid="{CDA76358-3B0B-984D-A5F1-70B8674FFAE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9" authorId="42" shapeId="0" xr:uid="{EDB65063-99EB-AC4F-B48A-398C76DA76C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1" authorId="43" shapeId="0" xr:uid="{B45B851D-CF82-234E-8907-71A4660A664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4" authorId="44" shapeId="0" xr:uid="{B9E9781C-37E8-6040-BD4D-4CD4F9F23AF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8" authorId="45" shapeId="0" xr:uid="{D496637A-5574-444B-B6B2-86877F992E7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0" authorId="46" shapeId="0" xr:uid="{170A17F3-515B-4E4B-8E4B-BC16063DAF9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1" authorId="47" shapeId="0" xr:uid="{570C907D-3B0E-3B4D-A322-D870786B11D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3" authorId="48" shapeId="0" xr:uid="{32BFBEC3-E417-F14A-B967-3A4A022A430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4" authorId="49" shapeId="0" xr:uid="{7973D9BB-64CB-9941-AE71-0BA2C7AF752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5" authorId="50" shapeId="0" xr:uid="{F4E638AB-C6DD-CE47-A349-39B4C4E93B0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6" authorId="51" shapeId="0" xr:uid="{84C50E93-A1D8-AA43-9D2C-357E2BA1C8A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7" authorId="52" shapeId="0" xr:uid="{79E700FD-996F-4B45-84BF-394A68062705}">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8" authorId="53" shapeId="0" xr:uid="{B51801E2-5107-964B-9F0D-0AA8E4E70F9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tc={AB2FC931-34E5-C04B-B733-936EF810D80A}</author>
    <author>tc={314B2EE6-427C-084B-9ECA-FA956584BA45}</author>
    <author>tc={185DB4F8-D131-1844-A4A8-554EAC36305E}</author>
    <author>tc={9E83D646-AF2B-9148-AFF8-F32BD955FDA5}</author>
    <author>tc={C61EBEFE-9175-9C44-9A4E-79C7DB2CCF1E}</author>
    <author>tc={D1A5E0E6-4F00-6A4F-9358-EC4FC1E03883}</author>
    <author>tc={676DF21A-62C1-A043-812C-97AE9E0CD4F8}</author>
    <author>tc={52BEFD65-A713-1D45-9FC6-969EA3EC27E5}</author>
  </authors>
  <commentList>
    <comment ref="AV204" authorId="0" shapeId="0" xr:uid="{AB2FC931-34E5-C04B-B733-936EF810D80A}">
      <text>
        <t>[Threaded comment]
Your version of Excel allows you to read this threaded comment; however, any edits to it will get removed if the file is opened in a newer version of Excel. Learn more: https://go.microsoft.com/fwlink/?linkid=870924
Comment:
    Ratio last 8 vs 20 day %</t>
      </text>
    </comment>
    <comment ref="AV1397" authorId="1" shapeId="0" xr:uid="{314B2EE6-427C-084B-9ECA-FA956584BA45}">
      <text>
        <t xml:space="preserve">[Threaded comment]
Your version of Excel allows you to read this threaded comment; however, any edits to it will get removed if the file is opened in a newer version of Excel. Learn more: https://go.microsoft.com/fwlink/?linkid=870924
Comment:
    Value of the new stock when the number of shares actually owned  is &gt; original:
Number of shares now - 
original number *
Market price M
</t>
      </text>
    </comment>
    <comment ref="AU1740" authorId="2" shapeId="0" xr:uid="{185DB4F8-D131-1844-A4A8-554EAC36305E}">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AU1761" authorId="3" shapeId="0" xr:uid="{9E83D646-AF2B-9148-AFF8-F32BD955FDA5}">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AX1765" authorId="4" shapeId="0" xr:uid="{C61EBEFE-9175-9C44-9A4E-79C7DB2CCF1E}">
      <text>
        <t>[Threaded comment]
Your version of Excel allows you to read this threaded comment; however, any edits to it will get removed if the file is opened in a newer version of Excel. Learn more: https://go.microsoft.com/fwlink/?linkid=870924
Comment:
    Day gain/loss: 
During the day (before shift)
Market Value+ Day Trades
After shift (daily update)
Day trade results by currency</t>
      </text>
    </comment>
    <comment ref="AV1766" authorId="5" shapeId="0" xr:uid="{D1A5E0E6-4F00-6A4F-9358-EC4FC1E03883}">
      <text>
        <t>[Threaded comment]
Your version of Excel allows you to read this threaded comment; however, any edits to it will get removed if the file is opened in a newer version of Excel. Learn more: https://go.microsoft.com/fwlink/?linkid=870924
Comment:
    Vs. Yesterday</t>
      </text>
    </comment>
    <comment ref="B1774" authorId="6" shapeId="0" xr:uid="{676DF21A-62C1-A043-812C-97AE9E0CD4F8}">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 ref="AY1774" authorId="7" shapeId="0" xr:uid="{52BEFD65-A713-1D45-9FC6-969EA3EC27E5}">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tc={48DDBD45-031D-384C-803A-F1856D70F83A}</author>
    <author>tc={E41341EE-7358-DA4A-8B3F-6E227DC846F8}</author>
    <author>tc={036AE940-3C0A-E948-A447-B9A740D8AE64}</author>
    <author>tc={17454EE7-A109-C648-B92C-556FDEBECCA1}</author>
    <author>tc={09D8E527-360D-254F-8A7E-871FA3F7C15A}</author>
    <author>tc={B81BE5BB-B340-9C41-8F7D-70C31F425B46}</author>
    <author>tc={A086E24D-4D96-7046-B480-7675AB5CA8B2}</author>
    <author>tc={1AA97CA7-EFAC-034F-A619-20DDDF9A9738}</author>
  </authors>
  <commentList>
    <comment ref="A1" authorId="0" shapeId="0" xr:uid="{48DDBD45-031D-384C-803A-F1856D70F83A}">
      <text>
        <t>[Threaded comment]
Your version of Excel allows you to read this threaded comment; however, any edits to it will get removed if the file is opened in a newer version of Excel. Learn more: https://go.microsoft.com/fwlink/?linkid=870924
Comment:
    Old trade data comes from the GITTRAPPER.xlsm.
New trades have to be entered in Entries work Sheed and formulas in NewReg work sheet put the values into this trade  register.</t>
      </text>
    </comment>
    <comment ref="E3" authorId="1" shapeId="0" xr:uid="{E41341EE-7358-DA4A-8B3F-6E227DC846F8}">
      <text>
        <t xml:space="preserve">[Threaded comment]
Your version of Excel allows you to read this threaded comment; however, any edits to it will get removed if the file is opened in a newer version of Excel. Learn more: https://go.microsoft.com/fwlink/?linkid=870924
Comment:
    If 
Ticker&lt;&gt; ticker: “”;
Entry=previous: “”;
And
previous #,P are numbers;
Status=Booked: enter data.
</t>
      </text>
    </comment>
    <comment ref="AC3" authorId="2" shapeId="0" xr:uid="{036AE940-3C0A-E948-A447-B9A740D8AE64}">
      <text>
        <t>[Threaded comment]
Your version of Excel allows you to read this threaded comment; however, any edits to it will get removed if the file is opened in a newer version of Excel. Learn more: https://go.microsoft.com/fwlink/?linkid=870924
Comment:
    21/4/25 Split 8:1
15,000 x 6.90
12/9/24: 15,000 x 0.31
17/1/25: 70,000 x 0.72
= 12,500 x 12.7196</t>
      </text>
    </comment>
    <comment ref="EG3" authorId="3" shapeId="0" xr:uid="{17454EE7-A109-C648-B92C-556FDEBECCA1}">
      <text>
        <t xml:space="preserve">[Threaded comment]
Your version of Excel allows you to read this threaded comment; however, any edits to it will get removed if the file is opened in a newer version of Excel. Learn more: https://go.microsoft.com/fwlink/?linkid=870924
Comment:
    From Safra
5-Sep
                10,852 
6.44 
</t>
      </text>
    </comment>
    <comment ref="HP20" authorId="4" shapeId="0" xr:uid="{09D8E527-360D-254F-8A7E-871FA3F7C15A}">
      <text>
        <t>[Threaded comment]
Your version of Excel allows you to read this threaded comment; however, any edits to it will get removed if the file is opened in a newer version of Excel. Learn more: https://go.microsoft.com/fwlink/?linkid=870924
Comment:
    in Vontobel .002</t>
      </text>
    </comment>
    <comment ref="Q27" authorId="5" shapeId="0" xr:uid="{B81BE5BB-B340-9C41-8F7D-70C31F425B46}">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Q34" authorId="6" shapeId="0" xr:uid="{A086E24D-4D96-7046-B480-7675AB5CA8B2}">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N36" authorId="7" shapeId="0" xr:uid="{1AA97CA7-EFAC-034F-A619-20DDDF9A9738}">
      <text>
        <t>[Threaded comment]
Your version of Excel allows you to read this threaded comment; however, any edits to it will get removed if the file is opened in a newer version of Excel. Learn more: https://go.microsoft.com/fwlink/?linkid=870924
Comment:
    In .002 account</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tc={E6584042-EFC3-3247-9556-3DB44E441BB1}</author>
    <author>tc={2DA56AE6-53F6-8C48-BF7B-AEF3E2AB8528}</author>
  </authors>
  <commentList>
    <comment ref="E10" authorId="0" shapeId="0" xr:uid="{E6584042-EFC3-3247-9556-3DB44E441BB1}">
      <text>
        <t>[Threaded comment]
Your version of Excel allows you to read this threaded comment; however, any edits to it will get removed if the file is opened in a newer version of Excel. Learn more: https://go.microsoft.com/fwlink/?linkid=870924
Comment:
    Price should be above 
the A_Price =34.79
Margin&gt;Eur 2</t>
      </text>
    </comment>
    <comment ref="H10" authorId="1" shapeId="0" xr:uid="{2DA56AE6-53F6-8C48-BF7B-AEF3E2AB8528}">
      <text>
        <t>[Threaded comment]
Your version of Excel allows you to read this threaded comment; however, any edits to it will get removed if the file is opened in a newer version of Excel. Learn more: https://go.microsoft.com/fwlink/?linkid=870924
Comment:
    1 is Going Up, 9 is bad</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tc={054083AA-D92C-F64A-8108-C3A35D8AF0DC}</author>
    <author>tc={D604112D-1CAC-2340-A5C1-6E4B1EE8A4EA}</author>
    <author>tc={27C68760-BE7B-154D-A675-DA0A1241E5BE}</author>
    <author>tc={8B3255E9-08C4-1D47-8D96-7DBE005485C0}</author>
  </authors>
  <commentList>
    <comment ref="T18" authorId="0" shapeId="0" xr:uid="{054083AA-D92C-F64A-8108-C3A35D8AF0DC}">
      <text>
        <t>[Threaded comment]
Your version of Excel allows you to read this threaded comment; however, any edits to it will get removed if the file is opened in a newer version of Excel. Learn more: https://go.microsoft.com/fwlink/?linkid=870924
Comment:
    200 in MVE</t>
      </text>
    </comment>
    <comment ref="W18" authorId="1" shapeId="0" xr:uid="{D604112D-1CAC-2340-A5C1-6E4B1EE8A4EA}">
      <text>
        <t>[Threaded comment]
Your version of Excel allows you to read this threaded comment; however, any edits to it will get removed if the file is opened in a newer version of Excel. Learn more: https://go.microsoft.com/fwlink/?linkid=870924
Comment:
    200 in MVE</t>
      </text>
    </comment>
    <comment ref="S51" authorId="2" shapeId="0" xr:uid="{27C68760-BE7B-154D-A675-DA0A1241E5BE}">
      <text>
        <t>[Threaded comment]
Your version of Excel allows you to read this threaded comment; however, any edits to it will get removed if the file is opened in a newer version of Excel. Learn more: https://go.microsoft.com/fwlink/?linkid=870924
Comment:
    Registered for Safra</t>
      </text>
    </comment>
    <comment ref="S87" authorId="3" shapeId="0" xr:uid="{8B3255E9-08C4-1D47-8D96-7DBE005485C0}">
      <text>
        <t>[Threaded comment]
Your version of Excel allows you to read this threaded comment; however, any edits to it will get removed if the file is opened in a newer version of Excel. Learn more: https://go.microsoft.com/fwlink/?linkid=870924
Comment:
    Not included as a position for MVE portfolio</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tc={7CED445A-5CA6-9141-B63F-2377B59E0F26}</author>
    <author>tc={349F7C5B-82A9-8146-954F-58FB198CFBDF}</author>
  </authors>
  <commentList>
    <comment ref="D11" authorId="0" shapeId="0" xr:uid="{7CED445A-5CA6-9141-B63F-2377B59E0F26}">
      <text>
        <t xml:space="preserve">[Threaded comment]
Your version of Excel allows you to read this threaded comment; however, any edits to it will get removed if the file is opened in a newer version of Excel. Learn more: https://go.microsoft.com/fwlink/?linkid=870924
Comment:
    Today-1 added
</t>
      </text>
    </comment>
    <comment ref="D17" authorId="1" shapeId="0" xr:uid="{349F7C5B-82A9-8146-954F-58FB198CFBDF}">
      <text>
        <t>[Threaded comment]
Your version of Excel allows you to read this threaded comment; however, any edits to it will get removed if the file is opened in a newer version of Excel. Learn more: https://go.microsoft.com/fwlink/?linkid=870924
Comment:
    Today-1 added</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12">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bk>
      <extLst>
        <ext uri="{3e2802c4-a4d2-4d8b-9148-e3be6c30e623}">
          <xlrd:rvb i="348"/>
        </ext>
      </extLst>
    </bk>
    <bk>
      <extLst>
        <ext uri="{3e2802c4-a4d2-4d8b-9148-e3be6c30e623}">
          <xlrd:rvb i="349"/>
        </ext>
      </extLst>
    </bk>
    <bk>
      <extLst>
        <ext uri="{3e2802c4-a4d2-4d8b-9148-e3be6c30e623}">
          <xlrd:rvb i="350"/>
        </ext>
      </extLst>
    </bk>
    <bk>
      <extLst>
        <ext uri="{3e2802c4-a4d2-4d8b-9148-e3be6c30e623}">
          <xlrd:rvb i="351"/>
        </ext>
      </extLst>
    </bk>
    <bk>
      <extLst>
        <ext uri="{3e2802c4-a4d2-4d8b-9148-e3be6c30e623}">
          <xlrd:rvb i="352"/>
        </ext>
      </extLst>
    </bk>
    <bk>
      <extLst>
        <ext uri="{3e2802c4-a4d2-4d8b-9148-e3be6c30e623}">
          <xlrd:rvb i="353"/>
        </ext>
      </extLst>
    </bk>
    <bk>
      <extLst>
        <ext uri="{3e2802c4-a4d2-4d8b-9148-e3be6c30e623}">
          <xlrd:rvb i="354"/>
        </ext>
      </extLst>
    </bk>
    <bk>
      <extLst>
        <ext uri="{3e2802c4-a4d2-4d8b-9148-e3be6c30e623}">
          <xlrd:rvb i="355"/>
        </ext>
      </extLst>
    </bk>
    <bk>
      <extLst>
        <ext uri="{3e2802c4-a4d2-4d8b-9148-e3be6c30e623}">
          <xlrd:rvb i="356"/>
        </ext>
      </extLst>
    </bk>
    <bk>
      <extLst>
        <ext uri="{3e2802c4-a4d2-4d8b-9148-e3be6c30e623}">
          <xlrd:rvb i="357"/>
        </ext>
      </extLst>
    </bk>
    <bk>
      <extLst>
        <ext uri="{3e2802c4-a4d2-4d8b-9148-e3be6c30e623}">
          <xlrd:rvb i="358"/>
        </ext>
      </extLst>
    </bk>
    <bk>
      <extLst>
        <ext uri="{3e2802c4-a4d2-4d8b-9148-e3be6c30e623}">
          <xlrd:rvb i="359"/>
        </ext>
      </extLst>
    </bk>
    <bk>
      <extLst>
        <ext uri="{3e2802c4-a4d2-4d8b-9148-e3be6c30e623}">
          <xlrd:rvb i="360"/>
        </ext>
      </extLst>
    </bk>
    <bk>
      <extLst>
        <ext uri="{3e2802c4-a4d2-4d8b-9148-e3be6c30e623}">
          <xlrd:rvb i="361"/>
        </ext>
      </extLst>
    </bk>
    <bk>
      <extLst>
        <ext uri="{3e2802c4-a4d2-4d8b-9148-e3be6c30e623}">
          <xlrd:rvb i="362"/>
        </ext>
      </extLst>
    </bk>
    <bk>
      <extLst>
        <ext uri="{3e2802c4-a4d2-4d8b-9148-e3be6c30e623}">
          <xlrd:rvb i="363"/>
        </ext>
      </extLst>
    </bk>
    <bk>
      <extLst>
        <ext uri="{3e2802c4-a4d2-4d8b-9148-e3be6c30e623}">
          <xlrd:rvb i="364"/>
        </ext>
      </extLst>
    </bk>
    <bk>
      <extLst>
        <ext uri="{3e2802c4-a4d2-4d8b-9148-e3be6c30e623}">
          <xlrd:rvb i="365"/>
        </ext>
      </extLst>
    </bk>
    <bk>
      <extLst>
        <ext uri="{3e2802c4-a4d2-4d8b-9148-e3be6c30e623}">
          <xlrd:rvb i="366"/>
        </ext>
      </extLst>
    </bk>
    <bk>
      <extLst>
        <ext uri="{3e2802c4-a4d2-4d8b-9148-e3be6c30e623}">
          <xlrd:rvb i="367"/>
        </ext>
      </extLst>
    </bk>
    <bk>
      <extLst>
        <ext uri="{3e2802c4-a4d2-4d8b-9148-e3be6c30e623}">
          <xlrd:rvb i="368"/>
        </ext>
      </extLst>
    </bk>
    <bk>
      <extLst>
        <ext uri="{3e2802c4-a4d2-4d8b-9148-e3be6c30e623}">
          <xlrd:rvb i="369"/>
        </ext>
      </extLst>
    </bk>
    <bk>
      <extLst>
        <ext uri="{3e2802c4-a4d2-4d8b-9148-e3be6c30e623}">
          <xlrd:rvb i="370"/>
        </ext>
      </extLst>
    </bk>
    <bk>
      <extLst>
        <ext uri="{3e2802c4-a4d2-4d8b-9148-e3be6c30e623}">
          <xlrd:rvb i="371"/>
        </ext>
      </extLst>
    </bk>
    <bk>
      <extLst>
        <ext uri="{3e2802c4-a4d2-4d8b-9148-e3be6c30e623}">
          <xlrd:rvb i="372"/>
        </ext>
      </extLst>
    </bk>
    <bk>
      <extLst>
        <ext uri="{3e2802c4-a4d2-4d8b-9148-e3be6c30e623}">
          <xlrd:rvb i="373"/>
        </ext>
      </extLst>
    </bk>
    <bk>
      <extLst>
        <ext uri="{3e2802c4-a4d2-4d8b-9148-e3be6c30e623}">
          <xlrd:rvb i="374"/>
        </ext>
      </extLst>
    </bk>
    <bk>
      <extLst>
        <ext uri="{3e2802c4-a4d2-4d8b-9148-e3be6c30e623}">
          <xlrd:rvb i="375"/>
        </ext>
      </extLst>
    </bk>
    <bk>
      <extLst>
        <ext uri="{3e2802c4-a4d2-4d8b-9148-e3be6c30e623}">
          <xlrd:rvb i="376"/>
        </ext>
      </extLst>
    </bk>
    <bk>
      <extLst>
        <ext uri="{3e2802c4-a4d2-4d8b-9148-e3be6c30e623}">
          <xlrd:rvb i="377"/>
        </ext>
      </extLst>
    </bk>
    <bk>
      <extLst>
        <ext uri="{3e2802c4-a4d2-4d8b-9148-e3be6c30e623}">
          <xlrd:rvb i="378"/>
        </ext>
      </extLst>
    </bk>
    <bk>
      <extLst>
        <ext uri="{3e2802c4-a4d2-4d8b-9148-e3be6c30e623}">
          <xlrd:rvb i="379"/>
        </ext>
      </extLst>
    </bk>
    <bk>
      <extLst>
        <ext uri="{3e2802c4-a4d2-4d8b-9148-e3be6c30e623}">
          <xlrd:rvb i="380"/>
        </ext>
      </extLst>
    </bk>
    <bk>
      <extLst>
        <ext uri="{3e2802c4-a4d2-4d8b-9148-e3be6c30e623}">
          <xlrd:rvb i="381"/>
        </ext>
      </extLst>
    </bk>
    <bk>
      <extLst>
        <ext uri="{3e2802c4-a4d2-4d8b-9148-e3be6c30e623}">
          <xlrd:rvb i="382"/>
        </ext>
      </extLst>
    </bk>
    <bk>
      <extLst>
        <ext uri="{3e2802c4-a4d2-4d8b-9148-e3be6c30e623}">
          <xlrd:rvb i="383"/>
        </ext>
      </extLst>
    </bk>
    <bk>
      <extLst>
        <ext uri="{3e2802c4-a4d2-4d8b-9148-e3be6c30e623}">
          <xlrd:rvb i="384"/>
        </ext>
      </extLst>
    </bk>
    <bk>
      <extLst>
        <ext uri="{3e2802c4-a4d2-4d8b-9148-e3be6c30e623}">
          <xlrd:rvb i="385"/>
        </ext>
      </extLst>
    </bk>
    <bk>
      <extLst>
        <ext uri="{3e2802c4-a4d2-4d8b-9148-e3be6c30e623}">
          <xlrd:rvb i="386"/>
        </ext>
      </extLst>
    </bk>
    <bk>
      <extLst>
        <ext uri="{3e2802c4-a4d2-4d8b-9148-e3be6c30e623}">
          <xlrd:rvb i="387"/>
        </ext>
      </extLst>
    </bk>
    <bk>
      <extLst>
        <ext uri="{3e2802c4-a4d2-4d8b-9148-e3be6c30e623}">
          <xlrd:rvb i="388"/>
        </ext>
      </extLst>
    </bk>
    <bk>
      <extLst>
        <ext uri="{3e2802c4-a4d2-4d8b-9148-e3be6c30e623}">
          <xlrd:rvb i="389"/>
        </ext>
      </extLst>
    </bk>
    <bk>
      <extLst>
        <ext uri="{3e2802c4-a4d2-4d8b-9148-e3be6c30e623}">
          <xlrd:rvb i="390"/>
        </ext>
      </extLst>
    </bk>
    <bk>
      <extLst>
        <ext uri="{3e2802c4-a4d2-4d8b-9148-e3be6c30e623}">
          <xlrd:rvb i="391"/>
        </ext>
      </extLst>
    </bk>
    <bk>
      <extLst>
        <ext uri="{3e2802c4-a4d2-4d8b-9148-e3be6c30e623}">
          <xlrd:rvb i="392"/>
        </ext>
      </extLst>
    </bk>
    <bk>
      <extLst>
        <ext uri="{3e2802c4-a4d2-4d8b-9148-e3be6c30e623}">
          <xlrd:rvb i="393"/>
        </ext>
      </extLst>
    </bk>
    <bk>
      <extLst>
        <ext uri="{3e2802c4-a4d2-4d8b-9148-e3be6c30e623}">
          <xlrd:rvb i="394"/>
        </ext>
      </extLst>
    </bk>
    <bk>
      <extLst>
        <ext uri="{3e2802c4-a4d2-4d8b-9148-e3be6c30e623}">
          <xlrd:rvb i="395"/>
        </ext>
      </extLst>
    </bk>
    <bk>
      <extLst>
        <ext uri="{3e2802c4-a4d2-4d8b-9148-e3be6c30e623}">
          <xlrd:rvb i="396"/>
        </ext>
      </extLst>
    </bk>
    <bk>
      <extLst>
        <ext uri="{3e2802c4-a4d2-4d8b-9148-e3be6c30e623}">
          <xlrd:rvb i="397"/>
        </ext>
      </extLst>
    </bk>
    <bk>
      <extLst>
        <ext uri="{3e2802c4-a4d2-4d8b-9148-e3be6c30e623}">
          <xlrd:rvb i="398"/>
        </ext>
      </extLst>
    </bk>
    <bk>
      <extLst>
        <ext uri="{3e2802c4-a4d2-4d8b-9148-e3be6c30e623}">
          <xlrd:rvb i="399"/>
        </ext>
      </extLst>
    </bk>
    <bk>
      <extLst>
        <ext uri="{3e2802c4-a4d2-4d8b-9148-e3be6c30e623}">
          <xlrd:rvb i="400"/>
        </ext>
      </extLst>
    </bk>
    <bk>
      <extLst>
        <ext uri="{3e2802c4-a4d2-4d8b-9148-e3be6c30e623}">
          <xlrd:rvb i="401"/>
        </ext>
      </extLst>
    </bk>
    <bk>
      <extLst>
        <ext uri="{3e2802c4-a4d2-4d8b-9148-e3be6c30e623}">
          <xlrd:rvb i="402"/>
        </ext>
      </extLst>
    </bk>
    <bk>
      <extLst>
        <ext uri="{3e2802c4-a4d2-4d8b-9148-e3be6c30e623}">
          <xlrd:rvb i="403"/>
        </ext>
      </extLst>
    </bk>
    <bk>
      <extLst>
        <ext uri="{3e2802c4-a4d2-4d8b-9148-e3be6c30e623}">
          <xlrd:rvb i="404"/>
        </ext>
      </extLst>
    </bk>
    <bk>
      <extLst>
        <ext uri="{3e2802c4-a4d2-4d8b-9148-e3be6c30e623}">
          <xlrd:rvb i="405"/>
        </ext>
      </extLst>
    </bk>
    <bk>
      <extLst>
        <ext uri="{3e2802c4-a4d2-4d8b-9148-e3be6c30e623}">
          <xlrd:rvb i="406"/>
        </ext>
      </extLst>
    </bk>
    <bk>
      <extLst>
        <ext uri="{3e2802c4-a4d2-4d8b-9148-e3be6c30e623}">
          <xlrd:rvb i="407"/>
        </ext>
      </extLst>
    </bk>
    <bk>
      <extLst>
        <ext uri="{3e2802c4-a4d2-4d8b-9148-e3be6c30e623}">
          <xlrd:rvb i="408"/>
        </ext>
      </extLst>
    </bk>
    <bk>
      <extLst>
        <ext uri="{3e2802c4-a4d2-4d8b-9148-e3be6c30e623}">
          <xlrd:rvb i="409"/>
        </ext>
      </extLst>
    </bk>
    <bk>
      <extLst>
        <ext uri="{3e2802c4-a4d2-4d8b-9148-e3be6c30e623}">
          <xlrd:rvb i="410"/>
        </ext>
      </extLst>
    </bk>
    <bk>
      <extLst>
        <ext uri="{3e2802c4-a4d2-4d8b-9148-e3be6c30e623}">
          <xlrd:rvb i="411"/>
        </ext>
      </extLst>
    </bk>
  </futureMetadata>
  <cellMetadata count="1">
    <bk>
      <rc t="1" v="0"/>
    </bk>
  </cellMetadata>
  <valueMetadata count="412">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bk>
      <rc t="2" v="337"/>
    </bk>
    <bk>
      <rc t="2" v="338"/>
    </bk>
    <bk>
      <rc t="2" v="339"/>
    </bk>
    <bk>
      <rc t="2" v="340"/>
    </bk>
    <bk>
      <rc t="2" v="341"/>
    </bk>
    <bk>
      <rc t="2" v="342"/>
    </bk>
    <bk>
      <rc t="2" v="343"/>
    </bk>
    <bk>
      <rc t="2" v="344"/>
    </bk>
    <bk>
      <rc t="2" v="345"/>
    </bk>
    <bk>
      <rc t="2" v="346"/>
    </bk>
    <bk>
      <rc t="2" v="347"/>
    </bk>
    <bk>
      <rc t="2" v="348"/>
    </bk>
    <bk>
      <rc t="2" v="349"/>
    </bk>
    <bk>
      <rc t="2" v="350"/>
    </bk>
    <bk>
      <rc t="2" v="351"/>
    </bk>
    <bk>
      <rc t="2" v="352"/>
    </bk>
    <bk>
      <rc t="2" v="353"/>
    </bk>
    <bk>
      <rc t="2" v="354"/>
    </bk>
    <bk>
      <rc t="2" v="355"/>
    </bk>
    <bk>
      <rc t="2" v="356"/>
    </bk>
    <bk>
      <rc t="2" v="357"/>
    </bk>
    <bk>
      <rc t="2" v="358"/>
    </bk>
    <bk>
      <rc t="2" v="359"/>
    </bk>
    <bk>
      <rc t="2" v="360"/>
    </bk>
    <bk>
      <rc t="2" v="361"/>
    </bk>
    <bk>
      <rc t="2" v="362"/>
    </bk>
    <bk>
      <rc t="2" v="363"/>
    </bk>
    <bk>
      <rc t="2" v="364"/>
    </bk>
    <bk>
      <rc t="2" v="365"/>
    </bk>
    <bk>
      <rc t="2" v="366"/>
    </bk>
    <bk>
      <rc t="2" v="367"/>
    </bk>
    <bk>
      <rc t="2" v="368"/>
    </bk>
    <bk>
      <rc t="2" v="369"/>
    </bk>
    <bk>
      <rc t="2" v="370"/>
    </bk>
    <bk>
      <rc t="2" v="371"/>
    </bk>
    <bk>
      <rc t="2" v="372"/>
    </bk>
    <bk>
      <rc t="2" v="373"/>
    </bk>
    <bk>
      <rc t="2" v="374"/>
    </bk>
    <bk>
      <rc t="2" v="375"/>
    </bk>
    <bk>
      <rc t="2" v="376"/>
    </bk>
    <bk>
      <rc t="2" v="377"/>
    </bk>
    <bk>
      <rc t="2" v="378"/>
    </bk>
    <bk>
      <rc t="2" v="379"/>
    </bk>
    <bk>
      <rc t="2" v="380"/>
    </bk>
    <bk>
      <rc t="2" v="381"/>
    </bk>
    <bk>
      <rc t="2" v="382"/>
    </bk>
    <bk>
      <rc t="2" v="383"/>
    </bk>
    <bk>
      <rc t="2" v="384"/>
    </bk>
    <bk>
      <rc t="2" v="385"/>
    </bk>
    <bk>
      <rc t="2" v="386"/>
    </bk>
    <bk>
      <rc t="2" v="387"/>
    </bk>
    <bk>
      <rc t="2" v="388"/>
    </bk>
    <bk>
      <rc t="2" v="389"/>
    </bk>
    <bk>
      <rc t="2" v="390"/>
    </bk>
    <bk>
      <rc t="2" v="391"/>
    </bk>
    <bk>
      <rc t="2" v="392"/>
    </bk>
    <bk>
      <rc t="2" v="393"/>
    </bk>
    <bk>
      <rc t="2" v="394"/>
    </bk>
    <bk>
      <rc t="2" v="395"/>
    </bk>
    <bk>
      <rc t="2" v="396"/>
    </bk>
    <bk>
      <rc t="2" v="397"/>
    </bk>
    <bk>
      <rc t="2" v="398"/>
    </bk>
    <bk>
      <rc t="2" v="399"/>
    </bk>
    <bk>
      <rc t="2" v="400"/>
    </bk>
    <bk>
      <rc t="2" v="401"/>
    </bk>
    <bk>
      <rc t="2" v="402"/>
    </bk>
    <bk>
      <rc t="2" v="403"/>
    </bk>
    <bk>
      <rc t="2" v="404"/>
    </bk>
    <bk>
      <rc t="2" v="405"/>
    </bk>
    <bk>
      <rc t="2" v="406"/>
    </bk>
    <bk>
      <rc t="2" v="407"/>
    </bk>
    <bk>
      <rc t="2" v="408"/>
    </bk>
    <bk>
      <rc t="2" v="409"/>
    </bk>
    <bk>
      <rc t="2" v="410"/>
    </bk>
    <bk>
      <rc t="2" v="411"/>
    </bk>
  </valueMetadata>
</metadata>
</file>

<file path=xl/sharedStrings.xml><?xml version="1.0" encoding="utf-8"?>
<sst xmlns="http://schemas.openxmlformats.org/spreadsheetml/2006/main" count="5831" uniqueCount="2769">
  <si>
    <t>AAPL</t>
  </si>
  <si>
    <t>ADEA</t>
  </si>
  <si>
    <t>AET</t>
  </si>
  <si>
    <t>AMZN</t>
  </si>
  <si>
    <t>ALDNE</t>
  </si>
  <si>
    <t>AZN</t>
  </si>
  <si>
    <t>BLDP</t>
  </si>
  <si>
    <t>BMRA</t>
  </si>
  <si>
    <t>C</t>
  </si>
  <si>
    <t>CSCO</t>
  </si>
  <si>
    <t>CVS</t>
  </si>
  <si>
    <t>DDD</t>
  </si>
  <si>
    <t>DIS</t>
  </si>
  <si>
    <t>DSY</t>
  </si>
  <si>
    <t>DVA</t>
  </si>
  <si>
    <t>DXC</t>
  </si>
  <si>
    <t>EOAN</t>
  </si>
  <si>
    <t>EPIX</t>
  </si>
  <si>
    <t>JBEOAN</t>
  </si>
  <si>
    <t>GM</t>
  </si>
  <si>
    <t>HPE</t>
  </si>
  <si>
    <t>HPQ</t>
  </si>
  <si>
    <t>IAG</t>
  </si>
  <si>
    <t>KR</t>
  </si>
  <si>
    <t>LNSR</t>
  </si>
  <si>
    <t>LUMN</t>
  </si>
  <si>
    <t>MRNA</t>
  </si>
  <si>
    <t>MSFT</t>
  </si>
  <si>
    <t>NEE</t>
  </si>
  <si>
    <t>NEM</t>
  </si>
  <si>
    <t>NFLX</t>
  </si>
  <si>
    <t>PAAS</t>
  </si>
  <si>
    <t>ASML</t>
  </si>
  <si>
    <t>PROF</t>
  </si>
  <si>
    <t>PW</t>
  </si>
  <si>
    <t>RIGL</t>
  </si>
  <si>
    <t>TSLA</t>
  </si>
  <si>
    <t>RWE</t>
  </si>
  <si>
    <t>SAP</t>
  </si>
  <si>
    <t>SHECY</t>
  </si>
  <si>
    <t>SSYS</t>
  </si>
  <si>
    <t>MVEEPIX</t>
  </si>
  <si>
    <t>MVEORA</t>
  </si>
  <si>
    <t>TSM</t>
  </si>
  <si>
    <t>UN0</t>
  </si>
  <si>
    <t>UNIT</t>
  </si>
  <si>
    <t>AVGO</t>
  </si>
  <si>
    <t>VLVLY</t>
  </si>
  <si>
    <t>VONN</t>
  </si>
  <si>
    <t>VTRS</t>
  </si>
  <si>
    <t>WBA</t>
  </si>
  <si>
    <t>XOM</t>
  </si>
  <si>
    <t>XPER</t>
  </si>
  <si>
    <t>NOTE</t>
  </si>
  <si>
    <t>MVEALDNE</t>
  </si>
  <si>
    <t>MVEDDD</t>
  </si>
  <si>
    <t>MVEDSY</t>
  </si>
  <si>
    <t>MVEEOAN</t>
  </si>
  <si>
    <t>MVEENI</t>
  </si>
  <si>
    <t>MVERWE</t>
  </si>
  <si>
    <t>MVEGLE</t>
  </si>
  <si>
    <t>MVEUN0</t>
  </si>
  <si>
    <t>MVESAP</t>
  </si>
  <si>
    <t>SAFIAG</t>
  </si>
  <si>
    <t>SAFDDD</t>
  </si>
  <si>
    <t>SAFAMZN</t>
  </si>
  <si>
    <t>SAFAAPL</t>
  </si>
  <si>
    <t>SAFGM</t>
  </si>
  <si>
    <t>SAFMRNA</t>
  </si>
  <si>
    <t>SAFDIS</t>
  </si>
  <si>
    <t>GS</t>
  </si>
  <si>
    <t>RIG</t>
  </si>
  <si>
    <t>NVS</t>
  </si>
  <si>
    <t>SAFASML</t>
  </si>
  <si>
    <t>ENI</t>
  </si>
  <si>
    <t>ORA</t>
  </si>
  <si>
    <t>GLE</t>
  </si>
  <si>
    <t>EZJ</t>
  </si>
  <si>
    <t>BLNK</t>
  </si>
  <si>
    <t>F</t>
  </si>
  <si>
    <t>GNRC</t>
  </si>
  <si>
    <t>LAZR</t>
  </si>
  <si>
    <t>MA</t>
  </si>
  <si>
    <t>NVAX</t>
  </si>
  <si>
    <t>OXY</t>
  </si>
  <si>
    <t>PFE</t>
  </si>
  <si>
    <t>RRC</t>
  </si>
  <si>
    <t>LUV</t>
  </si>
  <si>
    <t>THC</t>
  </si>
  <si>
    <t>X</t>
  </si>
  <si>
    <t>SUMMER TIME SHIFT</t>
  </si>
  <si>
    <t>ZoneSHIFT</t>
  </si>
  <si>
    <t>Now (local time)</t>
  </si>
  <si>
    <t>Today (local date)</t>
  </si>
  <si>
    <t>LOCAL</t>
  </si>
  <si>
    <t>Last trade EOAN</t>
  </si>
  <si>
    <t>Now</t>
  </si>
  <si>
    <t>Current CET (now-today)</t>
  </si>
  <si>
    <t>LAST EOAN TRADE EUROPE (1h delay)</t>
  </si>
  <si>
    <t>GMT</t>
  </si>
  <si>
    <t>now-last trade (Day +1)</t>
  </si>
  <si>
    <t>Today is</t>
  </si>
  <si>
    <t>XLON 8am-16:30</t>
  </si>
  <si>
    <t>Open for trade at 8:00 am GMT</t>
  </si>
  <si>
    <t>Since XLON Opens</t>
  </si>
  <si>
    <t>now-today-9h CET</t>
  </si>
  <si>
    <t>CET</t>
  </si>
  <si>
    <t>XFRA 9am-17:30pm</t>
  </si>
  <si>
    <t>Open for trade at 9am CET</t>
  </si>
  <si>
    <t>Since XFRA Opening</t>
  </si>
  <si>
    <t>Hour value to Post Trade session</t>
  </si>
  <si>
    <t>EST TIME zone</t>
  </si>
  <si>
    <t>Text  value</t>
  </si>
  <si>
    <t>Pre Trade</t>
  </si>
  <si>
    <t>Post Trade</t>
  </si>
  <si>
    <t>NYSE 4-9:30am, 9:30-4pm, 4-8pm EST</t>
  </si>
  <si>
    <t>Open for trade at (NYC local time)</t>
  </si>
  <si>
    <t>Since NYSE Session Opens</t>
  </si>
  <si>
    <t>now-today-14:30 -Time Zone Shift</t>
  </si>
  <si>
    <t xml:space="preserve">Length of  </t>
  </si>
  <si>
    <t>Trading sessions durations 5:30, 6:30, 4 h</t>
  </si>
  <si>
    <t>4-9:30am, 9:30-4pm, 4-8pm</t>
  </si>
  <si>
    <t>Email Orders</t>
  </si>
  <si>
    <t>See Yesterday Trade Results</t>
  </si>
  <si>
    <t>0.1 per account custody fee</t>
  </si>
  <si>
    <t>Dear Albi,</t>
  </si>
  <si>
    <t>UP: BLDP,C, CVS, HPE, KR,NEM,NFLX, ASML,TSLA,TSM,AVGO,VONN,EOAN,AAPL,GS,MA,OXY</t>
  </si>
  <si>
    <t>0.6% per account mandate fee</t>
  </si>
  <si>
    <t>Operation</t>
  </si>
  <si>
    <t>DOWN: PROF,NVAX,SQ,NVS,SAFGM,SAFDDD,SAFAMZN,MVE(SAP,DDD,DSY),SAP,SHECY,MRNA</t>
  </si>
  <si>
    <t>Sell</t>
  </si>
  <si>
    <t>Market</t>
  </si>
  <si>
    <t>MVE</t>
  </si>
  <si>
    <t>at market</t>
  </si>
  <si>
    <t>at price</t>
  </si>
  <si>
    <t>AMZN,AZN</t>
  </si>
  <si>
    <t>Buy</t>
  </si>
  <si>
    <t>Limit</t>
  </si>
  <si>
    <t>.002</t>
  </si>
  <si>
    <t>Price</t>
  </si>
  <si>
    <t>?; WBA</t>
  </si>
  <si>
    <t>Hold</t>
  </si>
  <si>
    <t>Watch</t>
  </si>
  <si>
    <t>ORDERED</t>
  </si>
  <si>
    <t>Action</t>
  </si>
  <si>
    <t>Account</t>
  </si>
  <si>
    <t>Enter Number of Shares</t>
  </si>
  <si>
    <t>Remarks</t>
  </si>
  <si>
    <t>Sintetic Ticker</t>
  </si>
  <si>
    <t>Email:</t>
  </si>
  <si>
    <t>Please make the following trade:</t>
  </si>
  <si>
    <t>Thanks in advance!</t>
  </si>
  <si>
    <t>Best regards,</t>
  </si>
  <si>
    <t>Kosta</t>
  </si>
  <si>
    <t>Please inform about the execution.</t>
  </si>
  <si>
    <t>Limit Price</t>
  </si>
  <si>
    <t>Date</t>
  </si>
  <si>
    <t>Trade</t>
  </si>
  <si>
    <t>TradeRevenue</t>
  </si>
  <si>
    <t>TradeGL</t>
  </si>
  <si>
    <t>Yesterday</t>
  </si>
  <si>
    <t>MSGSTicker</t>
  </si>
  <si>
    <t>Reverse</t>
  </si>
  <si>
    <t>Last</t>
  </si>
  <si>
    <t>Pile/Trade</t>
  </si>
  <si>
    <t>SharesSold</t>
  </si>
  <si>
    <t>StockNow</t>
  </si>
  <si>
    <t>MarketPrice</t>
  </si>
  <si>
    <t>NoTradeCase</t>
  </si>
  <si>
    <t>WorstBuy</t>
  </si>
  <si>
    <t>BestBuy</t>
  </si>
  <si>
    <t>WorstSale</t>
  </si>
  <si>
    <t>BestSale</t>
  </si>
  <si>
    <t>BeginPrice</t>
  </si>
  <si>
    <t>BeginCost</t>
  </si>
  <si>
    <t>TradeRevenueNet</t>
  </si>
  <si>
    <t>EffectivePrice</t>
  </si>
  <si>
    <t>Cash</t>
  </si>
  <si>
    <t>Stock</t>
  </si>
  <si>
    <t>Beta</t>
  </si>
  <si>
    <t>UN01</t>
  </si>
  <si>
    <t>Reverse Gain</t>
  </si>
  <si>
    <t>SALDO</t>
  </si>
  <si>
    <t>AGIO</t>
  </si>
  <si>
    <t>Der 2</t>
  </si>
  <si>
    <t>TCOH</t>
  </si>
  <si>
    <t>V</t>
  </si>
  <si>
    <t>Column2</t>
  </si>
  <si>
    <t>Column1</t>
  </si>
  <si>
    <t>Today</t>
  </si>
  <si>
    <t>Close</t>
  </si>
  <si>
    <t>Open</t>
  </si>
  <si>
    <t>Low</t>
  </si>
  <si>
    <t>High</t>
  </si>
  <si>
    <t>P/E</t>
  </si>
  <si>
    <t>Change</t>
  </si>
  <si>
    <t>Change%</t>
  </si>
  <si>
    <t>52_week_low</t>
  </si>
  <si>
    <t>52_week_high</t>
  </si>
  <si>
    <t>Volume</t>
  </si>
  <si>
    <t>TICKLST</t>
  </si>
  <si>
    <t>Column3</t>
  </si>
  <si>
    <t>Row</t>
  </si>
  <si>
    <t>Column5</t>
  </si>
  <si>
    <t>Close0</t>
  </si>
  <si>
    <t>Close1</t>
  </si>
  <si>
    <t>Close2</t>
  </si>
  <si>
    <t>Close3</t>
  </si>
  <si>
    <t>Close4</t>
  </si>
  <si>
    <t>Close5</t>
  </si>
  <si>
    <t>Close6</t>
  </si>
  <si>
    <t>Close7</t>
  </si>
  <si>
    <t>Close8</t>
  </si>
  <si>
    <t>Close9</t>
  </si>
  <si>
    <t>Close10</t>
  </si>
  <si>
    <t>Close11</t>
  </si>
  <si>
    <t>Close12</t>
  </si>
  <si>
    <t>Close13</t>
  </si>
  <si>
    <t>Close14</t>
  </si>
  <si>
    <t>Close15</t>
  </si>
  <si>
    <t>Close16</t>
  </si>
  <si>
    <t>Close17</t>
  </si>
  <si>
    <t>Close18</t>
  </si>
  <si>
    <t>Close19</t>
  </si>
  <si>
    <t>Close20</t>
  </si>
  <si>
    <t>Open0</t>
  </si>
  <si>
    <t>Open1</t>
  </si>
  <si>
    <t>Open2</t>
  </si>
  <si>
    <t>Open3</t>
  </si>
  <si>
    <t>Open4</t>
  </si>
  <si>
    <t>Open5</t>
  </si>
  <si>
    <t>Open6</t>
  </si>
  <si>
    <t>Open7</t>
  </si>
  <si>
    <t>Open8</t>
  </si>
  <si>
    <t>Open9</t>
  </si>
  <si>
    <t>Open10</t>
  </si>
  <si>
    <t>Open11</t>
  </si>
  <si>
    <t>Open12</t>
  </si>
  <si>
    <t>Open13</t>
  </si>
  <si>
    <t>Open14</t>
  </si>
  <si>
    <t>Open15</t>
  </si>
  <si>
    <t>Open16</t>
  </si>
  <si>
    <t>Open17</t>
  </si>
  <si>
    <t>Open18</t>
  </si>
  <si>
    <t>Open19</t>
  </si>
  <si>
    <t>Open20</t>
  </si>
  <si>
    <t>Price0</t>
  </si>
  <si>
    <t>Price1</t>
  </si>
  <si>
    <t>Price2</t>
  </si>
  <si>
    <t>Price3</t>
  </si>
  <si>
    <t>Price4</t>
  </si>
  <si>
    <t>Price5</t>
  </si>
  <si>
    <t>Price6</t>
  </si>
  <si>
    <t>Price7</t>
  </si>
  <si>
    <t>Price8</t>
  </si>
  <si>
    <t>Price9</t>
  </si>
  <si>
    <t>Price10</t>
  </si>
  <si>
    <t>Price11</t>
  </si>
  <si>
    <t>Price12</t>
  </si>
  <si>
    <t>Price13</t>
  </si>
  <si>
    <t>Price14</t>
  </si>
  <si>
    <t>Price15</t>
  </si>
  <si>
    <t>Price16</t>
  </si>
  <si>
    <t>Price17</t>
  </si>
  <si>
    <t>Price18</t>
  </si>
  <si>
    <t>Price19</t>
  </si>
  <si>
    <t>Price20</t>
  </si>
  <si>
    <t>Low0</t>
  </si>
  <si>
    <t>Low1</t>
  </si>
  <si>
    <t>Low2</t>
  </si>
  <si>
    <t>Low3</t>
  </si>
  <si>
    <t>Low4</t>
  </si>
  <si>
    <t>Low5</t>
  </si>
  <si>
    <t>Low6</t>
  </si>
  <si>
    <t>Low7</t>
  </si>
  <si>
    <t>Low8</t>
  </si>
  <si>
    <t>Low9</t>
  </si>
  <si>
    <t>Low10</t>
  </si>
  <si>
    <t>Low11</t>
  </si>
  <si>
    <t>Low12</t>
  </si>
  <si>
    <t>Low13</t>
  </si>
  <si>
    <t>Low14</t>
  </si>
  <si>
    <t>Low15</t>
  </si>
  <si>
    <t>Low16</t>
  </si>
  <si>
    <t>Low17</t>
  </si>
  <si>
    <t>Low18</t>
  </si>
  <si>
    <t>Low19</t>
  </si>
  <si>
    <t>Low20</t>
  </si>
  <si>
    <t>High0</t>
  </si>
  <si>
    <t>High1</t>
  </si>
  <si>
    <t>High2</t>
  </si>
  <si>
    <t>High3</t>
  </si>
  <si>
    <t>High4</t>
  </si>
  <si>
    <t>High5</t>
  </si>
  <si>
    <t>High6</t>
  </si>
  <si>
    <t>High7</t>
  </si>
  <si>
    <t>High8</t>
  </si>
  <si>
    <t>High9</t>
  </si>
  <si>
    <t>High10</t>
  </si>
  <si>
    <t>High11</t>
  </si>
  <si>
    <t>High12</t>
  </si>
  <si>
    <t>High13</t>
  </si>
  <si>
    <t>High14</t>
  </si>
  <si>
    <t>High15</t>
  </si>
  <si>
    <t>High16</t>
  </si>
  <si>
    <t>High17</t>
  </si>
  <si>
    <t>High18</t>
  </si>
  <si>
    <t>High19</t>
  </si>
  <si>
    <t>High20</t>
  </si>
  <si>
    <t>PE0</t>
  </si>
  <si>
    <t>PE1</t>
  </si>
  <si>
    <t>PE2</t>
  </si>
  <si>
    <t>PE3</t>
  </si>
  <si>
    <t>PE4</t>
  </si>
  <si>
    <t>PE5</t>
  </si>
  <si>
    <t>PE6</t>
  </si>
  <si>
    <t>PE7</t>
  </si>
  <si>
    <t>PE8</t>
  </si>
  <si>
    <t>PE9</t>
  </si>
  <si>
    <t>PE10</t>
  </si>
  <si>
    <t>PE11</t>
  </si>
  <si>
    <t>PE12</t>
  </si>
  <si>
    <t>PE13</t>
  </si>
  <si>
    <t>PE14</t>
  </si>
  <si>
    <t>PE15</t>
  </si>
  <si>
    <t>PE16</t>
  </si>
  <si>
    <t>PE17</t>
  </si>
  <si>
    <t>PE18</t>
  </si>
  <si>
    <t>PE19</t>
  </si>
  <si>
    <t>PE20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</si>
  <si>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</si>
  <si>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</si>
  <si>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</si>
  <si>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</si>
  <si>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</si>
  <si>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</si>
  <si>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</si>
  <si>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</si>
  <si>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</si>
  <si>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</si>
  <si>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</si>
  <si>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</si>
  <si>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</si>
  <si>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</si>
  <si>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</si>
  <si>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</si>
  <si>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</si>
  <si>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</si>
  <si>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</si>
  <si>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</si>
  <si>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</si>
  <si>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</si>
  <si>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</si>
  <si>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</si>
  <si>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</si>
  <si>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</si>
  <si>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</si>
  <si>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</si>
  <si>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</si>
  <si>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</si>
  <si>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</si>
  <si>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</si>
  <si>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</si>
  <si>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</si>
  <si>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</si>
  <si>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</si>
  <si>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</si>
  <si>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</si>
  <si>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</si>
  <si>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</si>
  <si>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</si>
  <si>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</si>
  <si>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LOW520</t>
  </si>
  <si>
    <t>LOW521</t>
  </si>
  <si>
    <t>LOW522</t>
  </si>
  <si>
    <t>LOW523</t>
  </si>
  <si>
    <t>LOW524</t>
  </si>
  <si>
    <t>LOW525</t>
  </si>
  <si>
    <t>LOW526</t>
  </si>
  <si>
    <t>LOW527</t>
  </si>
  <si>
    <t>LOW528</t>
  </si>
  <si>
    <t>LOW529</t>
  </si>
  <si>
    <t>LOW530</t>
  </si>
  <si>
    <t>LOW531</t>
  </si>
  <si>
    <t>LOW532</t>
  </si>
  <si>
    <t>LOW533</t>
  </si>
  <si>
    <t>LOW534</t>
  </si>
  <si>
    <t>LOW535</t>
  </si>
  <si>
    <t>LOW536</t>
  </si>
  <si>
    <t>LOW537</t>
  </si>
  <si>
    <t>LOW538</t>
  </si>
  <si>
    <t>LOW539</t>
  </si>
  <si>
    <t>LOW540</t>
  </si>
  <si>
    <t>HIGH520</t>
  </si>
  <si>
    <t>HIGH521</t>
  </si>
  <si>
    <t>HIGH522</t>
  </si>
  <si>
    <t>HIGH523</t>
  </si>
  <si>
    <t>HIGH524</t>
  </si>
  <si>
    <t>HIGH525</t>
  </si>
  <si>
    <t>HIGH526</t>
  </si>
  <si>
    <t>HIGH527</t>
  </si>
  <si>
    <t>HIGH528</t>
  </si>
  <si>
    <t>HIGH529</t>
  </si>
  <si>
    <t>HIGH530</t>
  </si>
  <si>
    <t>HIGH531</t>
  </si>
  <si>
    <t>HIGH532</t>
  </si>
  <si>
    <t>HIGH533</t>
  </si>
  <si>
    <t>HIGH534</t>
  </si>
  <si>
    <t>HIGH535</t>
  </si>
  <si>
    <t>HIGH536</t>
  </si>
  <si>
    <t>HIGH537</t>
  </si>
  <si>
    <t>HIGH538</t>
  </si>
  <si>
    <t>HIGH539</t>
  </si>
  <si>
    <t>HIGH540</t>
  </si>
  <si>
    <t>Volume0</t>
  </si>
  <si>
    <t>Volume1</t>
  </si>
  <si>
    <t>Volume2</t>
  </si>
  <si>
    <t>Volume3</t>
  </si>
  <si>
    <t>Volume4</t>
  </si>
  <si>
    <t>Volume5</t>
  </si>
  <si>
    <t>Volume6</t>
  </si>
  <si>
    <t>Volume7</t>
  </si>
  <si>
    <t>Volume8</t>
  </si>
  <si>
    <t>Volume9</t>
  </si>
  <si>
    <t>Volume10</t>
  </si>
  <si>
    <t>Volume11</t>
  </si>
  <si>
    <t>Volume12</t>
  </si>
  <si>
    <t>Volume13</t>
  </si>
  <si>
    <t>Volume14</t>
  </si>
  <si>
    <t>Volume15</t>
  </si>
  <si>
    <t>Volume16</t>
  </si>
  <si>
    <t>Volume17</t>
  </si>
  <si>
    <t>Volume18</t>
  </si>
  <si>
    <t>Volume19</t>
  </si>
  <si>
    <t>Volume20</t>
  </si>
  <si>
    <t>VolumeAV0</t>
  </si>
  <si>
    <t>VolumeAV1</t>
  </si>
  <si>
    <t>VolumeAV2</t>
  </si>
  <si>
    <t>VolumeAV3</t>
  </si>
  <si>
    <t>VolumeAV4</t>
  </si>
  <si>
    <t>VolumeAV5</t>
  </si>
  <si>
    <t>VolumeAV6</t>
  </si>
  <si>
    <t>VolumeAV7</t>
  </si>
  <si>
    <t>VolumeAV8</t>
  </si>
  <si>
    <t>VolumeAV9</t>
  </si>
  <si>
    <t>VolumeAV10</t>
  </si>
  <si>
    <t>VolumeAV11</t>
  </si>
  <si>
    <t>VolumeAV12</t>
  </si>
  <si>
    <t>VolumeAV13</t>
  </si>
  <si>
    <t>VolumeAV14</t>
  </si>
  <si>
    <t>VolumeAV15</t>
  </si>
  <si>
    <t>VolumeAV16</t>
  </si>
  <si>
    <t>VolumeAV17</t>
  </si>
  <si>
    <t>VolumeAV18</t>
  </si>
  <si>
    <t>VolumeAV19</t>
  </si>
  <si>
    <t>VolumeAV20</t>
  </si>
  <si>
    <t>BETA0</t>
  </si>
  <si>
    <t>BETA1</t>
  </si>
  <si>
    <t>BETA2</t>
  </si>
  <si>
    <t>BETA3</t>
  </si>
  <si>
    <t>BETA4</t>
  </si>
  <si>
    <t>BETA5</t>
  </si>
  <si>
    <t>BETA6</t>
  </si>
  <si>
    <t>BETA7</t>
  </si>
  <si>
    <t>BETA8</t>
  </si>
  <si>
    <t>BETA9</t>
  </si>
  <si>
    <t>BETA10</t>
  </si>
  <si>
    <t>BETA11</t>
  </si>
  <si>
    <t>BETA12</t>
  </si>
  <si>
    <t>BETA13</t>
  </si>
  <si>
    <t>BETA14</t>
  </si>
  <si>
    <t>BETA15</t>
  </si>
  <si>
    <t>BETA16</t>
  </si>
  <si>
    <t>BETA17</t>
  </si>
  <si>
    <t>BETA18</t>
  </si>
  <si>
    <t>BETA19</t>
  </si>
  <si>
    <t>BETA20</t>
  </si>
  <si>
    <t>DTicker2</t>
  </si>
  <si>
    <t>DTicker3</t>
  </si>
  <si>
    <t>DTicker4</t>
  </si>
  <si>
    <t>Y1</t>
  </si>
  <si>
    <t>Stock0</t>
  </si>
  <si>
    <t>Stock1</t>
  </si>
  <si>
    <t>Stock2</t>
  </si>
  <si>
    <t>Stock3</t>
  </si>
  <si>
    <t>Stock4</t>
  </si>
  <si>
    <t>Stock5</t>
  </si>
  <si>
    <t>Stock6</t>
  </si>
  <si>
    <t>Stock7</t>
  </si>
  <si>
    <t>Stock8</t>
  </si>
  <si>
    <t>Stock9</t>
  </si>
  <si>
    <t>Stock10</t>
  </si>
  <si>
    <t>Stock11</t>
  </si>
  <si>
    <t>Stock12</t>
  </si>
  <si>
    <t>Stock13</t>
  </si>
  <si>
    <t>Stock14</t>
  </si>
  <si>
    <t>Stock15</t>
  </si>
  <si>
    <t>Stock16</t>
  </si>
  <si>
    <t>Stock17</t>
  </si>
  <si>
    <t>Stock18</t>
  </si>
  <si>
    <t>Stock19</t>
  </si>
  <si>
    <t>Stock20</t>
  </si>
  <si>
    <t>XAgio0</t>
  </si>
  <si>
    <t>XAgio1</t>
  </si>
  <si>
    <t>XAgio2</t>
  </si>
  <si>
    <t>XAgio3</t>
  </si>
  <si>
    <t>XAgio4</t>
  </si>
  <si>
    <t>XAgio5</t>
  </si>
  <si>
    <t>XAgio6</t>
  </si>
  <si>
    <t>XAgio7</t>
  </si>
  <si>
    <t>XAgio8</t>
  </si>
  <si>
    <t>XAgio9</t>
  </si>
  <si>
    <t>XAgio10</t>
  </si>
  <si>
    <t>XAgio11</t>
  </si>
  <si>
    <t>XAgio12</t>
  </si>
  <si>
    <t>XAgio13</t>
  </si>
  <si>
    <t>XAgio14</t>
  </si>
  <si>
    <t>XAgio15</t>
  </si>
  <si>
    <t>XAgio16</t>
  </si>
  <si>
    <t>XAgio17</t>
  </si>
  <si>
    <t>XAgio18</t>
  </si>
  <si>
    <t>XAgio19</t>
  </si>
  <si>
    <t>XAgio20</t>
  </si>
  <si>
    <t>Sald0</t>
  </si>
  <si>
    <t>Sald1</t>
  </si>
  <si>
    <t>Sald2</t>
  </si>
  <si>
    <t>Sald3</t>
  </si>
  <si>
    <t>Sald4</t>
  </si>
  <si>
    <t>Sald5</t>
  </si>
  <si>
    <t>Sald6</t>
  </si>
  <si>
    <t>Sald7</t>
  </si>
  <si>
    <t>Sald8</t>
  </si>
  <si>
    <t>Sald9</t>
  </si>
  <si>
    <t>Sald10</t>
  </si>
  <si>
    <t>Sald11</t>
  </si>
  <si>
    <t>Sald12</t>
  </si>
  <si>
    <t>Sald13</t>
  </si>
  <si>
    <t>Sald14</t>
  </si>
  <si>
    <t>Sald15</t>
  </si>
  <si>
    <t>Sald16</t>
  </si>
  <si>
    <t>Sald17</t>
  </si>
  <si>
    <t>Sald18</t>
  </si>
  <si>
    <t>Sald19</t>
  </si>
  <si>
    <t>Sald20</t>
  </si>
  <si>
    <t>Agiotage</t>
  </si>
  <si>
    <t>BankPrice</t>
  </si>
  <si>
    <t>Ticker</t>
  </si>
  <si>
    <t>Scale</t>
  </si>
  <si>
    <t>AAPL2</t>
  </si>
  <si>
    <t>Number</t>
  </si>
  <si>
    <t>Order Date</t>
  </si>
  <si>
    <t>ADEA2</t>
  </si>
  <si>
    <t>AET2</t>
  </si>
  <si>
    <t>AMZN2</t>
  </si>
  <si>
    <t>ALDNE2</t>
  </si>
  <si>
    <t>AZN2</t>
  </si>
  <si>
    <t>BLDP2</t>
  </si>
  <si>
    <t>BMRA2</t>
  </si>
  <si>
    <t>C2</t>
  </si>
  <si>
    <t>CSCO2</t>
  </si>
  <si>
    <t>CVS2</t>
  </si>
  <si>
    <t>DDD2</t>
  </si>
  <si>
    <t>DIS2</t>
  </si>
  <si>
    <t>DSY2</t>
  </si>
  <si>
    <t>DVA2</t>
  </si>
  <si>
    <t>DXC2</t>
  </si>
  <si>
    <t>EOAN2</t>
  </si>
  <si>
    <t>EPIX2</t>
  </si>
  <si>
    <t>JBEOAN2</t>
  </si>
  <si>
    <t>GM2</t>
  </si>
  <si>
    <t>HPE2</t>
  </si>
  <si>
    <t>HPQ2</t>
  </si>
  <si>
    <t>IAG2</t>
  </si>
  <si>
    <t>KR2</t>
  </si>
  <si>
    <t>LNSR2</t>
  </si>
  <si>
    <t>LUMN2</t>
  </si>
  <si>
    <t>MRNA2</t>
  </si>
  <si>
    <t>MSFT2</t>
  </si>
  <si>
    <t>NEE2</t>
  </si>
  <si>
    <t>NEM2</t>
  </si>
  <si>
    <t>NFLX2</t>
  </si>
  <si>
    <t>PAAS2</t>
  </si>
  <si>
    <t>ASML2</t>
  </si>
  <si>
    <t>PROF2</t>
  </si>
  <si>
    <t>PW2</t>
  </si>
  <si>
    <t>RIGL2</t>
  </si>
  <si>
    <t>TSLA2</t>
  </si>
  <si>
    <t>RWE2</t>
  </si>
  <si>
    <t>SAP2</t>
  </si>
  <si>
    <t>SHECY2</t>
  </si>
  <si>
    <t>SSYS2</t>
  </si>
  <si>
    <t>MVEEPIX2</t>
  </si>
  <si>
    <t>TSM2</t>
  </si>
  <si>
    <t>UNIT2</t>
  </si>
  <si>
    <t>AVGO2</t>
  </si>
  <si>
    <t>VLVLY2</t>
  </si>
  <si>
    <t>VONN2</t>
  </si>
  <si>
    <t>VTRS2</t>
  </si>
  <si>
    <t>WBA2</t>
  </si>
  <si>
    <t>XOM2</t>
  </si>
  <si>
    <t>XPER2</t>
  </si>
  <si>
    <t>NOTE2</t>
  </si>
  <si>
    <t>MVEALDNE2</t>
  </si>
  <si>
    <t>MVEDDD2</t>
  </si>
  <si>
    <t>MVEDSY2</t>
  </si>
  <si>
    <t>MVEEOAN2</t>
  </si>
  <si>
    <t>MVEENI2</t>
  </si>
  <si>
    <t>MVERWE2</t>
  </si>
  <si>
    <t>MVEGLE2</t>
  </si>
  <si>
    <t>MVESAP2</t>
  </si>
  <si>
    <t>SAFIAG2</t>
  </si>
  <si>
    <t>SAFDDD2</t>
  </si>
  <si>
    <t>SAFAMZN2</t>
  </si>
  <si>
    <t>SAFAAPL2</t>
  </si>
  <si>
    <t>SAFGM2</t>
  </si>
  <si>
    <t>SAFMRNA2</t>
  </si>
  <si>
    <t>SAFDIS2</t>
  </si>
  <si>
    <t>GS2</t>
  </si>
  <si>
    <t>RIG2</t>
  </si>
  <si>
    <t>NVS2</t>
  </si>
  <si>
    <t>SAFASML2</t>
  </si>
  <si>
    <t>ENI2</t>
  </si>
  <si>
    <t>ORA2</t>
  </si>
  <si>
    <t>GLE2</t>
  </si>
  <si>
    <t>EZJ2</t>
  </si>
  <si>
    <t>BLNK2</t>
  </si>
  <si>
    <t>F2</t>
  </si>
  <si>
    <t>GNRC2</t>
  </si>
  <si>
    <t>LAZR2</t>
  </si>
  <si>
    <t>MA2</t>
  </si>
  <si>
    <t>NVAX2</t>
  </si>
  <si>
    <t>OXY2</t>
  </si>
  <si>
    <t>PFE2</t>
  </si>
  <si>
    <t>RRC2</t>
  </si>
  <si>
    <t>LUV2</t>
  </si>
  <si>
    <t>THC2</t>
  </si>
  <si>
    <t>X2</t>
  </si>
  <si>
    <t>AveragePurchaseTotal</t>
  </si>
  <si>
    <t>AverageSaleTotal</t>
  </si>
  <si>
    <t>AveragePurchaseTrade</t>
  </si>
  <si>
    <t>AverageSaleTrade</t>
  </si>
  <si>
    <t>TotalISpent</t>
  </si>
  <si>
    <t>InitialInvestment</t>
  </si>
  <si>
    <t>TradingCost</t>
  </si>
  <si>
    <t>RevenueFromTrade</t>
  </si>
  <si>
    <t>StockValue(M)</t>
  </si>
  <si>
    <t>NetValue</t>
  </si>
  <si>
    <t>BeginStock/Price/Cost</t>
  </si>
  <si>
    <t>TradingStockBough</t>
  </si>
  <si>
    <t>ChangeInStock</t>
  </si>
  <si>
    <t>LastDate/Stock/Price</t>
  </si>
  <si>
    <t>TradeNetResultGL</t>
  </si>
  <si>
    <t>ACTTIME: now-today (local time)</t>
  </si>
  <si>
    <t>Duration</t>
  </si>
  <si>
    <t>OPEN CET</t>
  </si>
  <si>
    <t>Real Time CET</t>
  </si>
  <si>
    <t>CLOSE CET</t>
  </si>
  <si>
    <t>DURATION</t>
  </si>
  <si>
    <t>NoTradeGL</t>
  </si>
  <si>
    <t>NetGL</t>
  </si>
  <si>
    <t>STATUS</t>
  </si>
  <si>
    <t>Agio</t>
  </si>
  <si>
    <t>RSI</t>
  </si>
  <si>
    <t>UN02</t>
  </si>
  <si>
    <t>MVEUN02</t>
  </si>
  <si>
    <t>MVEORA2</t>
  </si>
  <si>
    <t>XYZ</t>
  </si>
  <si>
    <t>XYZ2</t>
  </si>
  <si>
    <t>European Companies</t>
  </si>
  <si>
    <t>Documentation</t>
  </si>
  <si>
    <t>Name</t>
  </si>
  <si>
    <t>Abbreviation</t>
  </si>
  <si>
    <t>VA</t>
  </si>
  <si>
    <t>L52</t>
  </si>
  <si>
    <t>H52</t>
  </si>
  <si>
    <t>CH</t>
  </si>
  <si>
    <t>CH%</t>
  </si>
  <si>
    <t>M</t>
  </si>
  <si>
    <t>O</t>
  </si>
  <si>
    <t>L</t>
  </si>
  <si>
    <t>H</t>
  </si>
  <si>
    <t>Meaning</t>
  </si>
  <si>
    <t>Y</t>
  </si>
  <si>
    <t>D%</t>
  </si>
  <si>
    <t>BSD</t>
  </si>
  <si>
    <t>Tax</t>
  </si>
  <si>
    <t>NVP</t>
  </si>
  <si>
    <t>GLN</t>
  </si>
  <si>
    <t>Pile</t>
  </si>
  <si>
    <t>CIS</t>
  </si>
  <si>
    <t>E</t>
  </si>
  <si>
    <t>B</t>
  </si>
  <si>
    <t>CG</t>
  </si>
  <si>
    <t>CEP</t>
  </si>
  <si>
    <t>Dividend</t>
  </si>
  <si>
    <t>DL</t>
  </si>
  <si>
    <t>YM</t>
  </si>
  <si>
    <t>Ranks of different parameters</t>
  </si>
  <si>
    <t>V52</t>
  </si>
  <si>
    <t>CCS</t>
  </si>
  <si>
    <t>YM%</t>
  </si>
  <si>
    <t>TC</t>
  </si>
  <si>
    <t>Gravity</t>
  </si>
  <si>
    <t>GLTC</t>
  </si>
  <si>
    <t>GLT</t>
  </si>
  <si>
    <t>OM</t>
  </si>
  <si>
    <t>HM</t>
  </si>
  <si>
    <t>LM</t>
  </si>
  <si>
    <t>CM</t>
  </si>
  <si>
    <t>Trends</t>
  </si>
  <si>
    <t>GLPS</t>
  </si>
  <si>
    <t>SF</t>
  </si>
  <si>
    <t>Value-to-Free</t>
  </si>
  <si>
    <t>RVF</t>
  </si>
  <si>
    <t>Ranks</t>
  </si>
  <si>
    <t>RS</t>
  </si>
  <si>
    <t>RB</t>
  </si>
  <si>
    <t>EXS</t>
  </si>
  <si>
    <t>EXV</t>
  </si>
  <si>
    <t>RTLn</t>
  </si>
  <si>
    <t>ED</t>
  </si>
  <si>
    <t>Percentages</t>
  </si>
  <si>
    <t>AST</t>
  </si>
  <si>
    <t>AB</t>
  </si>
  <si>
    <t>AS</t>
  </si>
  <si>
    <t>ABT</t>
  </si>
  <si>
    <t>DA</t>
  </si>
  <si>
    <t>Fees</t>
  </si>
  <si>
    <t>Fee</t>
  </si>
  <si>
    <t>SB</t>
  </si>
  <si>
    <t>SBT</t>
  </si>
  <si>
    <t>SST</t>
  </si>
  <si>
    <t>SS</t>
  </si>
  <si>
    <t>SCT</t>
  </si>
  <si>
    <t>ListofParameters</t>
  </si>
  <si>
    <t>Relation(CurrentDayVolume)/(AverageVolume)vs.(TimeSinceExchangeOpen)</t>
  </si>
  <si>
    <t>Lasttradetime</t>
  </si>
  <si>
    <t>Volumeaverage</t>
  </si>
  <si>
    <t>EqualtoTotalCostdividedbynumberofstockowned</t>
  </si>
  <si>
    <t>1-YearTarget</t>
  </si>
  <si>
    <t>EarningDate</t>
  </si>
  <si>
    <t>Ex-DividentDate</t>
  </si>
  <si>
    <t>DividendPercent</t>
  </si>
  <si>
    <t>DividendLast</t>
  </si>
  <si>
    <t>DividendAmount</t>
  </si>
  <si>
    <t>Changeofpositionvaluefrompreviousday</t>
  </si>
  <si>
    <t>StockOriginallyOwned</t>
  </si>
  <si>
    <t>Numberofsharesinthebeginning</t>
  </si>
  <si>
    <t>CurrentStock</t>
  </si>
  <si>
    <t>Currentnumberofshares</t>
  </si>
  <si>
    <t>MarketValueofPosition</t>
  </si>
  <si>
    <t>Valueofstockinapositionatmarketprice</t>
  </si>
  <si>
    <t>LastSaleDate</t>
  </si>
  <si>
    <t>LastPurchaseDate</t>
  </si>
  <si>
    <t>LastSaleStock</t>
  </si>
  <si>
    <t>LastPurchaseStock</t>
  </si>
  <si>
    <t>LastBuyPrice</t>
  </si>
  <si>
    <t>LastSalePrice</t>
  </si>
  <si>
    <t>Beginningsharecost+commissionandfees</t>
  </si>
  <si>
    <t>BeginStock</t>
  </si>
  <si>
    <t>CostCurrent</t>
  </si>
  <si>
    <t>Currentsharecost+commissionandfees</t>
  </si>
  <si>
    <t>Perbank</t>
  </si>
  <si>
    <t>BankStampDuty</t>
  </si>
  <si>
    <t>Percountry</t>
  </si>
  <si>
    <t>Positionvalueifnotradetookplace</t>
  </si>
  <si>
    <t>NoTradeGain/LossL</t>
  </si>
  <si>
    <t>GainorLossifnotradetookplace</t>
  </si>
  <si>
    <t>NetValueofPosition</t>
  </si>
  <si>
    <t>Currentpositionvalueminustotalcost</t>
  </si>
  <si>
    <t>NetGainorLoss</t>
  </si>
  <si>
    <t>TotalStockPurchased</t>
  </si>
  <si>
    <t>DuringTrading</t>
  </si>
  <si>
    <t>TotalStockSold</t>
  </si>
  <si>
    <t>ChangeofStockinTrading</t>
  </si>
  <si>
    <t>CostofTrading</t>
  </si>
  <si>
    <t>Revenueoftrading(beginexcluded)</t>
  </si>
  <si>
    <t>RFTN</t>
  </si>
  <si>
    <t>GainorLossBrutTotal</t>
  </si>
  <si>
    <t>GainorLossBrutfromTrade</t>
  </si>
  <si>
    <t>Commission,fees,andtaxesexcluded</t>
  </si>
  <si>
    <t>Identifierofpositionofstocktopile</t>
  </si>
  <si>
    <t>Identifierofpositionbettertotradethanpile</t>
  </si>
  <si>
    <t>Averagepriceinbankterms(manualentry)</t>
  </si>
  <si>
    <t>CashGenerated</t>
  </si>
  <si>
    <t>Cashgeneratedbyclosedoralreadyfreestock</t>
  </si>
  <si>
    <t>Changeofthenumberofshares</t>
  </si>
  <si>
    <t>CostatEffectivePrice</t>
  </si>
  <si>
    <t>ValueofeffectivepriceEto(tocomparewithM)</t>
  </si>
  <si>
    <t>WorstBuyPrice</t>
  </si>
  <si>
    <t>WorstBuyStock</t>
  </si>
  <si>
    <t>BestBuyPrice</t>
  </si>
  <si>
    <t>BestBuyStock</t>
  </si>
  <si>
    <t>WorstSalePrice</t>
  </si>
  <si>
    <t>WorstSaleStock</t>
  </si>
  <si>
    <t>BestSalePrice</t>
  </si>
  <si>
    <t>BestSaleStock</t>
  </si>
  <si>
    <t>Includingpositionatbeginning</t>
  </si>
  <si>
    <t>Fortradeoperationsonly</t>
  </si>
  <si>
    <t>GainersValue</t>
  </si>
  <si>
    <t>GainersCost</t>
  </si>
  <si>
    <t>LoosersValue</t>
  </si>
  <si>
    <t>LoosersCost</t>
  </si>
  <si>
    <t>TargettoMarket</t>
  </si>
  <si>
    <t>TargetvsMarket%</t>
  </si>
  <si>
    <t>Gravity%</t>
  </si>
  <si>
    <t>TargetvsCost</t>
  </si>
  <si>
    <t>1-yeartargetpricevseffectivepriceE</t>
  </si>
  <si>
    <t>GainatTargetvsCost</t>
  </si>
  <si>
    <t>GainatTarget</t>
  </si>
  <si>
    <t>52WeeksVariance</t>
  </si>
  <si>
    <t>CurrentCostperShare</t>
  </si>
  <si>
    <t>OpenMove</t>
  </si>
  <si>
    <t>Changefrompreviousday</t>
  </si>
  <si>
    <t>HighMove</t>
  </si>
  <si>
    <t>LowMove</t>
  </si>
  <si>
    <t>CloseMove</t>
  </si>
  <si>
    <t>Open-to-High,HCO/COHL</t>
  </si>
  <si>
    <t>DividendvsGain/Loss</t>
  </si>
  <si>
    <t>Sale-to-Free</t>
  </si>
  <si>
    <t>HowmanystocktoselltozeroeffectivepriceE</t>
  </si>
  <si>
    <t>Gain/LossperShare</t>
  </si>
  <si>
    <t>ResidualValueofFreeStock</t>
  </si>
  <si>
    <t>SequenceUp</t>
  </si>
  <si>
    <t>SequenceDown</t>
  </si>
  <si>
    <t>ReverseSale</t>
  </si>
  <si>
    <t>ReverseBuy</t>
  </si>
  <si>
    <t>ExtraSaleStock</t>
  </si>
  <si>
    <t>Saleofstocksurplus</t>
  </si>
  <si>
    <t>ExtraSaleValue</t>
  </si>
  <si>
    <t>Valueofstocksurplus</t>
  </si>
  <si>
    <t>Real-TimeLine</t>
  </si>
  <si>
    <t>Ranksofpreviousndays</t>
  </si>
  <si>
    <t>E/M,M/T,E/T,E/B,E/S,M/S,M/B</t>
  </si>
  <si>
    <t>CostvsValue</t>
  </si>
  <si>
    <t>TrapBuy-to-Sellstock</t>
  </si>
  <si>
    <t>TrapBuy-to-SellValue</t>
  </si>
  <si>
    <t>TrapSell-to-Buystock</t>
  </si>
  <si>
    <t>TrapSell-to-BuyValue</t>
  </si>
  <si>
    <t>AAPL1</t>
  </si>
  <si>
    <t>ADEA1</t>
  </si>
  <si>
    <t>AET1</t>
  </si>
  <si>
    <t>AMZN1</t>
  </si>
  <si>
    <t>ALDNE1</t>
  </si>
  <si>
    <t>AZN1</t>
  </si>
  <si>
    <t>BLDP1</t>
  </si>
  <si>
    <t>BMRA1</t>
  </si>
  <si>
    <t>C1</t>
  </si>
  <si>
    <t>CSCO1</t>
  </si>
  <si>
    <t>CVS1</t>
  </si>
  <si>
    <t>DDD1</t>
  </si>
  <si>
    <t>DIS1</t>
  </si>
  <si>
    <t>DSY1</t>
  </si>
  <si>
    <t>DVA1</t>
  </si>
  <si>
    <t>DXC1</t>
  </si>
  <si>
    <t>EOAN1</t>
  </si>
  <si>
    <t>EPIX1</t>
  </si>
  <si>
    <t>JBEOAN1</t>
  </si>
  <si>
    <t>GM1</t>
  </si>
  <si>
    <t>HPE1</t>
  </si>
  <si>
    <t>HPQ1</t>
  </si>
  <si>
    <t>IAG1</t>
  </si>
  <si>
    <t>KR1</t>
  </si>
  <si>
    <t>LNSR1</t>
  </si>
  <si>
    <t>LUMN1</t>
  </si>
  <si>
    <t>MRNA1</t>
  </si>
  <si>
    <t>MSFT1</t>
  </si>
  <si>
    <t>NEE1</t>
  </si>
  <si>
    <t>NEM1</t>
  </si>
  <si>
    <t>NFLX1</t>
  </si>
  <si>
    <t>PAAS1</t>
  </si>
  <si>
    <t>ASML1</t>
  </si>
  <si>
    <t>PROF1</t>
  </si>
  <si>
    <t>PW1</t>
  </si>
  <si>
    <t>RIGL1</t>
  </si>
  <si>
    <t>TSLA1</t>
  </si>
  <si>
    <t>RWE1</t>
  </si>
  <si>
    <t>SAP1</t>
  </si>
  <si>
    <t>SHECY1</t>
  </si>
  <si>
    <t>SSYS1</t>
  </si>
  <si>
    <t>MVEEPIX1</t>
  </si>
  <si>
    <t>MVEORA1</t>
  </si>
  <si>
    <t>TSM1</t>
  </si>
  <si>
    <t>UNIT1</t>
  </si>
  <si>
    <t>AVGO1</t>
  </si>
  <si>
    <t>VLVLY1</t>
  </si>
  <si>
    <t>VONN1</t>
  </si>
  <si>
    <t>VTRS1</t>
  </si>
  <si>
    <t>WBA1</t>
  </si>
  <si>
    <t>XOM1</t>
  </si>
  <si>
    <t>XPER1</t>
  </si>
  <si>
    <t>NOTE1</t>
  </si>
  <si>
    <t>MVEALDNE1</t>
  </si>
  <si>
    <t>MVEDDD1</t>
  </si>
  <si>
    <t>MVEDSY1</t>
  </si>
  <si>
    <t>MVEEOAN1</t>
  </si>
  <si>
    <t>MVEENI1</t>
  </si>
  <si>
    <t>MVERWE1</t>
  </si>
  <si>
    <t>MVEGLE1</t>
  </si>
  <si>
    <t>MVEUN01</t>
  </si>
  <si>
    <t>MVESAP1</t>
  </si>
  <si>
    <t>SAFIAG1</t>
  </si>
  <si>
    <t>SAFDDD1</t>
  </si>
  <si>
    <t>SAFAMZN1</t>
  </si>
  <si>
    <t>SAFAAPL1</t>
  </si>
  <si>
    <t>SAFGM1</t>
  </si>
  <si>
    <t>SAFMRNA1</t>
  </si>
  <si>
    <t>SAFDIS1</t>
  </si>
  <si>
    <t>GS1</t>
  </si>
  <si>
    <t>RIG1</t>
  </si>
  <si>
    <t>NVS1</t>
  </si>
  <si>
    <t>SAFASML1</t>
  </si>
  <si>
    <t>ENI1</t>
  </si>
  <si>
    <t>ORA1</t>
  </si>
  <si>
    <t>GLE1</t>
  </si>
  <si>
    <t>EZJ1</t>
  </si>
  <si>
    <t>BLNK1</t>
  </si>
  <si>
    <t>XYZ1</t>
  </si>
  <si>
    <t>F1</t>
  </si>
  <si>
    <t>GNRC1</t>
  </si>
  <si>
    <t>LAZR1</t>
  </si>
  <si>
    <t>MA1</t>
  </si>
  <si>
    <t>NVAX1</t>
  </si>
  <si>
    <t>OXY1</t>
  </si>
  <si>
    <t>PFE1</t>
  </si>
  <si>
    <t>RRC1</t>
  </si>
  <si>
    <t>LUV1</t>
  </si>
  <si>
    <t>THC1</t>
  </si>
  <si>
    <t>X1</t>
  </si>
  <si>
    <t>Booked</t>
  </si>
  <si>
    <t>Watched</t>
  </si>
  <si>
    <t>Refused</t>
  </si>
  <si>
    <t>Expired</t>
  </si>
  <si>
    <t>V/VA</t>
  </si>
  <si>
    <t>ValueChangeTotal</t>
  </si>
  <si>
    <t>ValueChangeTradeDay</t>
  </si>
  <si>
    <t>VChTot</t>
  </si>
  <si>
    <t>Timer</t>
  </si>
  <si>
    <t>RegIndex</t>
  </si>
  <si>
    <t>NT_C</t>
  </si>
  <si>
    <t>NT_GL</t>
  </si>
  <si>
    <t>Sumofallpurchases,commissions,fees,taxes</t>
  </si>
  <si>
    <t>T_GL</t>
  </si>
  <si>
    <t>SharesBought</t>
  </si>
  <si>
    <t>TradeResult</t>
  </si>
  <si>
    <t>Act</t>
  </si>
  <si>
    <t>GL</t>
  </si>
  <si>
    <t>UnknownX</t>
  </si>
  <si>
    <t>UnknownX1</t>
  </si>
  <si>
    <t>UnknownX2</t>
  </si>
  <si>
    <t>UnknownX3</t>
  </si>
  <si>
    <t>UnknownX14</t>
  </si>
  <si>
    <t>UnknownX25</t>
  </si>
  <si>
    <t>UnknownX6</t>
  </si>
  <si>
    <t>UnknownX17</t>
  </si>
  <si>
    <t>UnknownX28</t>
  </si>
  <si>
    <t>CALC Sheet Names</t>
  </si>
  <si>
    <t>From RTMED</t>
  </si>
  <si>
    <t>CALC</t>
  </si>
  <si>
    <t>CSA</t>
  </si>
  <si>
    <t>M_V</t>
  </si>
  <si>
    <t>L_SD</t>
  </si>
  <si>
    <t>L_BD</t>
  </si>
  <si>
    <t>L_BP</t>
  </si>
  <si>
    <t>L_SP</t>
  </si>
  <si>
    <t>L_</t>
  </si>
  <si>
    <t>Begin</t>
  </si>
  <si>
    <t>B_</t>
  </si>
  <si>
    <t>M-</t>
  </si>
  <si>
    <t>Value</t>
  </si>
  <si>
    <t>V_</t>
  </si>
  <si>
    <t>C_</t>
  </si>
  <si>
    <t>Cost</t>
  </si>
  <si>
    <t>N_</t>
  </si>
  <si>
    <t>T_</t>
  </si>
  <si>
    <t>GL_</t>
  </si>
  <si>
    <t>Gain/Loss</t>
  </si>
  <si>
    <t>A_</t>
  </si>
  <si>
    <t>Acting</t>
  </si>
  <si>
    <t>D_</t>
  </si>
  <si>
    <t>E_</t>
  </si>
  <si>
    <t>F_</t>
  </si>
  <si>
    <t>G_</t>
  </si>
  <si>
    <t>I_</t>
  </si>
  <si>
    <t>J_</t>
  </si>
  <si>
    <t>K_</t>
  </si>
  <si>
    <t>O_</t>
  </si>
  <si>
    <t>P_</t>
  </si>
  <si>
    <t>Q_</t>
  </si>
  <si>
    <t>R_</t>
  </si>
  <si>
    <t>S_</t>
  </si>
  <si>
    <t>U_</t>
  </si>
  <si>
    <t>W_</t>
  </si>
  <si>
    <t>X_</t>
  </si>
  <si>
    <t>Y_</t>
  </si>
  <si>
    <t>Z_</t>
  </si>
  <si>
    <t>EDD</t>
  </si>
  <si>
    <t>Year</t>
  </si>
  <si>
    <t xml:space="preserve">Zero </t>
  </si>
  <si>
    <t>Transaction</t>
  </si>
  <si>
    <t>Sum</t>
  </si>
  <si>
    <t>Revenue</t>
  </si>
  <si>
    <t>Bank</t>
  </si>
  <si>
    <t>Current</t>
  </si>
  <si>
    <t>Effective</t>
  </si>
  <si>
    <t>Gain</t>
  </si>
  <si>
    <t>Purchase</t>
  </si>
  <si>
    <t>Sale/Sold</t>
  </si>
  <si>
    <t>Deal</t>
  </si>
  <si>
    <t>Worst</t>
  </si>
  <si>
    <t>Best</t>
  </si>
  <si>
    <t>Trap</t>
  </si>
  <si>
    <t>Ch_</t>
  </si>
  <si>
    <t>RT_</t>
  </si>
  <si>
    <t>Real-time</t>
  </si>
  <si>
    <t>H_</t>
  </si>
  <si>
    <t>Free</t>
  </si>
  <si>
    <t>Vocabulary</t>
  </si>
  <si>
    <t>C/V</t>
  </si>
  <si>
    <t>Line</t>
  </si>
  <si>
    <t>TL_</t>
  </si>
  <si>
    <t>Time line</t>
  </si>
  <si>
    <t>Looser</t>
  </si>
  <si>
    <t>Gainer</t>
  </si>
  <si>
    <t>RV_</t>
  </si>
  <si>
    <t>Residual value</t>
  </si>
  <si>
    <t>Spent</t>
  </si>
  <si>
    <t>eXchange</t>
  </si>
  <si>
    <t>EffectiveCost</t>
  </si>
  <si>
    <t>RealCost</t>
  </si>
  <si>
    <t>C_E</t>
  </si>
  <si>
    <t>C_T</t>
  </si>
  <si>
    <t>R_fT</t>
  </si>
  <si>
    <t>C_C</t>
  </si>
  <si>
    <t>L_TD</t>
  </si>
  <si>
    <t>L_I1</t>
  </si>
  <si>
    <t>L_I2</t>
  </si>
  <si>
    <t>Max_PP</t>
  </si>
  <si>
    <t>Max_PD</t>
  </si>
  <si>
    <t>Min_SD</t>
  </si>
  <si>
    <t>Min_S#</t>
  </si>
  <si>
    <t>Min_SP</t>
  </si>
  <si>
    <t>Max_SD</t>
  </si>
  <si>
    <t>Max_S#</t>
  </si>
  <si>
    <t>Max_SP</t>
  </si>
  <si>
    <t>Min_BP</t>
  </si>
  <si>
    <t>Min_B#</t>
  </si>
  <si>
    <t>Max_BP</t>
  </si>
  <si>
    <t>Max_B#</t>
  </si>
  <si>
    <t>Average</t>
  </si>
  <si>
    <t>Min_PD</t>
  </si>
  <si>
    <t>Min_PP</t>
  </si>
  <si>
    <t>L-ExT</t>
  </si>
  <si>
    <t>L_T#</t>
  </si>
  <si>
    <t>L_TP</t>
  </si>
  <si>
    <t>Last Trade</t>
  </si>
  <si>
    <t>Indexes</t>
  </si>
  <si>
    <t>Last Purchases</t>
  </si>
  <si>
    <t>L_S#</t>
  </si>
  <si>
    <t>L_P#</t>
  </si>
  <si>
    <t>SO#</t>
  </si>
  <si>
    <t>Original (Begin)</t>
  </si>
  <si>
    <t>TimeEX</t>
  </si>
  <si>
    <t>#</t>
  </si>
  <si>
    <t>Number of shares</t>
  </si>
  <si>
    <t>New</t>
  </si>
  <si>
    <t>L_SDate</t>
  </si>
  <si>
    <t>L_S1D</t>
  </si>
  <si>
    <t>Previous purchase</t>
  </si>
  <si>
    <t>Timer%</t>
  </si>
  <si>
    <t>Second worst Purchase Price</t>
  </si>
  <si>
    <t>BS2D</t>
  </si>
  <si>
    <t>WB2D</t>
  </si>
  <si>
    <t>WB2P</t>
  </si>
  <si>
    <t>BS2P</t>
  </si>
  <si>
    <t>Purchases Best Price</t>
  </si>
  <si>
    <t>Purchases Worst Price</t>
  </si>
  <si>
    <t>Sales Worst Price</t>
  </si>
  <si>
    <t>Sales Best Price</t>
  </si>
  <si>
    <t>Ch_Day</t>
  </si>
  <si>
    <t>T_Spent</t>
  </si>
  <si>
    <t>Result of trades</t>
  </si>
  <si>
    <t>Cost effective</t>
  </si>
  <si>
    <t>For purchases and sales</t>
  </si>
  <si>
    <t>For the current and previous day</t>
  </si>
  <si>
    <t>L-P, L_P1 ,L_S, L_S1 D/#/P</t>
  </si>
  <si>
    <t>D/#/P</t>
  </si>
  <si>
    <t>Total</t>
  </si>
  <si>
    <t>Agio_Sort</t>
  </si>
  <si>
    <t>POET</t>
  </si>
  <si>
    <t>POET1</t>
  </si>
  <si>
    <t>POET2</t>
  </si>
  <si>
    <t>Second Best Sale Price</t>
  </si>
  <si>
    <t>M_Val0</t>
  </si>
  <si>
    <t>M_Val1</t>
  </si>
  <si>
    <t>M_Val2</t>
  </si>
  <si>
    <t>M_Val3</t>
  </si>
  <si>
    <t>M_Val4</t>
  </si>
  <si>
    <t>M_Val5</t>
  </si>
  <si>
    <t>M_Val6</t>
  </si>
  <si>
    <t>M_Val7</t>
  </si>
  <si>
    <t>M_Val8</t>
  </si>
  <si>
    <t>M_Val9</t>
  </si>
  <si>
    <t>M_Val10</t>
  </si>
  <si>
    <t>M_Val11</t>
  </si>
  <si>
    <t>M_Val12</t>
  </si>
  <si>
    <t>M_Val13</t>
  </si>
  <si>
    <t>M_Val14</t>
  </si>
  <si>
    <t>M_Val15</t>
  </si>
  <si>
    <t>M_Val16</t>
  </si>
  <si>
    <t>M_Val17</t>
  </si>
  <si>
    <t>M_Val18</t>
  </si>
  <si>
    <t>M_Val19</t>
  </si>
  <si>
    <t>M_Val20</t>
  </si>
  <si>
    <t>Resale</t>
  </si>
  <si>
    <t>Cur</t>
  </si>
  <si>
    <t xml:space="preserve">Previous sale </t>
  </si>
  <si>
    <t>Last sale</t>
  </si>
  <si>
    <t>ISIN / IBAN</t>
  </si>
  <si>
    <t>Quantity</t>
  </si>
  <si>
    <t>Risk CCY</t>
  </si>
  <si>
    <t>Maturity</t>
  </si>
  <si>
    <t>YTM</t>
  </si>
  <si>
    <t>Cost price</t>
  </si>
  <si>
    <t>Exchange rate</t>
  </si>
  <si>
    <t>Market price</t>
  </si>
  <si>
    <t>Market value</t>
  </si>
  <si>
    <t>Accrued interest</t>
  </si>
  <si>
    <t>Total change %</t>
  </si>
  <si>
    <t>Total change</t>
  </si>
  <si>
    <t>Market value in EUR</t>
  </si>
  <si>
    <t>% of net assets</t>
  </si>
  <si>
    <t>USD</t>
  </si>
  <si>
    <t/>
  </si>
  <si>
    <t>CHF</t>
  </si>
  <si>
    <t>EUR</t>
  </si>
  <si>
    <t>74011.002001/CHF/ORD</t>
  </si>
  <si>
    <t>CH65 0875 7000 0124 8813 9</t>
  </si>
  <si>
    <t>CAD</t>
  </si>
  <si>
    <t>74011.002003/GBP/ORD</t>
  </si>
  <si>
    <t>CH11 0875 7000 0124 8814 1</t>
  </si>
  <si>
    <t>GBP</t>
  </si>
  <si>
    <t>74011.002004/USD/ORD</t>
  </si>
  <si>
    <t>CH81 0875 7000 0124 8814 2</t>
  </si>
  <si>
    <t>74011.002005/AUD/ORD</t>
  </si>
  <si>
    <t>CH54 0875 7000 0124 8814 3</t>
  </si>
  <si>
    <t>AUD</t>
  </si>
  <si>
    <t>74011.002006/EUR/ORD</t>
  </si>
  <si>
    <t>CH27 0875 7000 0124 8814 4</t>
  </si>
  <si>
    <t>74011.002007/JPY/ORD</t>
  </si>
  <si>
    <t>CH34 0875 7000 0130 4926 0</t>
  </si>
  <si>
    <t>JPY</t>
  </si>
  <si>
    <t>3D Systems Corp Registered</t>
  </si>
  <si>
    <t>US88554D2053</t>
  </si>
  <si>
    <t>Adeia Inc Registered</t>
  </si>
  <si>
    <t>US00676P1075</t>
  </si>
  <si>
    <t>Afentra PLC Registered</t>
  </si>
  <si>
    <t>GB00B4X3Q493</t>
  </si>
  <si>
    <t>Amazon.com Inc Registered</t>
  </si>
  <si>
    <t>US0231351067</t>
  </si>
  <si>
    <t>Apple Inc Registered</t>
  </si>
  <si>
    <t>US0378331005</t>
  </si>
  <si>
    <t>ASML Holding NV Bearer</t>
  </si>
  <si>
    <t>NL0010273215</t>
  </si>
  <si>
    <t>AstraZeneca PLC ADR</t>
  </si>
  <si>
    <t>US0463531089</t>
  </si>
  <si>
    <t>Ballard Power Systems Inc Registered</t>
  </si>
  <si>
    <t>CA0585861085</t>
  </si>
  <si>
    <t>Biomerica Inc Registered</t>
  </si>
  <si>
    <t>Broadcom Inc Registered</t>
  </si>
  <si>
    <t>US11135F1012</t>
  </si>
  <si>
    <t>Cisco Systems Inc Registered</t>
  </si>
  <si>
    <t>US17275R1023</t>
  </si>
  <si>
    <t>Citigroup Inc Registered</t>
  </si>
  <si>
    <t>US1729674242</t>
  </si>
  <si>
    <t>CVS Health Corp Registered</t>
  </si>
  <si>
    <t>US1266501006</t>
  </si>
  <si>
    <t>Dassault Systemes SE Bearer</t>
  </si>
  <si>
    <t>FR0014003TT8</t>
  </si>
  <si>
    <t>DaVita Inc Registered</t>
  </si>
  <si>
    <t>US23918K1088</t>
  </si>
  <si>
    <t>Don't Nod Entertainment SA Bearer</t>
  </si>
  <si>
    <t>FR0013331212</t>
  </si>
  <si>
    <t>DXC Technology Company Registered</t>
  </si>
  <si>
    <t>US23355L1061</t>
  </si>
  <si>
    <t>E.ON SE Registered</t>
  </si>
  <si>
    <t>DE000ENAG999</t>
  </si>
  <si>
    <t>Echo Automotive Inc Registered</t>
  </si>
  <si>
    <t>US2787501046</t>
  </si>
  <si>
    <t>Energy Conversion Devices Inc</t>
  </si>
  <si>
    <t>US2926591098</t>
  </si>
  <si>
    <t>ENI S.p.A. Registered</t>
  </si>
  <si>
    <t>IT0003132476</t>
  </si>
  <si>
    <t>ESSA Pharma Inc Registered</t>
  </si>
  <si>
    <t>CA29668H7085</t>
  </si>
  <si>
    <t>Evofem Biosciences Inc Registered</t>
  </si>
  <si>
    <t>US30048L3024</t>
  </si>
  <si>
    <t>Exxon Mobil Corp Registered</t>
  </si>
  <si>
    <t>US30231G1022</t>
  </si>
  <si>
    <t>FiscalNote Holdings Inc Registered</t>
  </si>
  <si>
    <t>General Motors Co Registered</t>
  </si>
  <si>
    <t>US37045V1008</t>
  </si>
  <si>
    <t>Hewlett Packard Enterprise Co Registered</t>
  </si>
  <si>
    <t>US42824C1099</t>
  </si>
  <si>
    <t>HP Inc Registered</t>
  </si>
  <si>
    <t>US40434L1052</t>
  </si>
  <si>
    <t>International Consolidated Airlines Group SA Registered</t>
  </si>
  <si>
    <t>ES0177542018</t>
  </si>
  <si>
    <t>Kroger Co Registered</t>
  </si>
  <si>
    <t>US5010441013</t>
  </si>
  <si>
    <t>Lumen Technologies Inc Registered</t>
  </si>
  <si>
    <t>US5502411037</t>
  </si>
  <si>
    <t>Luminar Technologies Inc Registered</t>
  </si>
  <si>
    <t>US5504243032</t>
  </si>
  <si>
    <t>Microsoft Corp Registered</t>
  </si>
  <si>
    <t>US5949181045</t>
  </si>
  <si>
    <t>Mitsubishi Heavy Industries Ltd Registered</t>
  </si>
  <si>
    <t>JP3900000005</t>
  </si>
  <si>
    <t>Moderna Inc Registered</t>
  </si>
  <si>
    <t>US60770K1079</t>
  </si>
  <si>
    <t>Netflix Inc Registered</t>
  </si>
  <si>
    <t>US64110L1061</t>
  </si>
  <si>
    <t>Newmont Corporation Registered</t>
  </si>
  <si>
    <t>US6516391066</t>
  </si>
  <si>
    <t>NextEra Energy Inc Registered</t>
  </si>
  <si>
    <t>US65339F1012</t>
  </si>
  <si>
    <t>Novavax Inc Registered</t>
  </si>
  <si>
    <t>US6700024010</t>
  </si>
  <si>
    <t>Pan American Silver Corp Registered</t>
  </si>
  <si>
    <t>CA6979001089</t>
  </si>
  <si>
    <t>PDL Biopharma Inc Registered</t>
  </si>
  <si>
    <t>US69329Y1047</t>
  </si>
  <si>
    <t>POET Technologies Inc Registered</t>
  </si>
  <si>
    <t>CA73044W3021</t>
  </si>
  <si>
    <t>Power REIT Registered</t>
  </si>
  <si>
    <t>US73933H1014</t>
  </si>
  <si>
    <t>Profound Medical Corp Registered</t>
  </si>
  <si>
    <t>CA74319B5027</t>
  </si>
  <si>
    <t>Rigel Pharmaceuticals Inc Registered</t>
  </si>
  <si>
    <t>US7665597024</t>
  </si>
  <si>
    <t>RVL Pharmaceuticals PLC Registered</t>
  </si>
  <si>
    <t>IE00BF2HDL56</t>
  </si>
  <si>
    <t>RWE AG Bearer</t>
  </si>
  <si>
    <t>DE0007037129</t>
  </si>
  <si>
    <t>SAP SE Bearer</t>
  </si>
  <si>
    <t>DE0007164600</t>
  </si>
  <si>
    <t>Shin-Etsu Chemical Co Ltd ADR</t>
  </si>
  <si>
    <t>US8245511055</t>
  </si>
  <si>
    <t>SoftBank Group Corp. Registered</t>
  </si>
  <si>
    <t>Stratasys Ltd Registered</t>
  </si>
  <si>
    <t>IL0011267213</t>
  </si>
  <si>
    <t>ILS</t>
  </si>
  <si>
    <t>Taiwan Semiconductor Manufacturing Co Ltd ADR</t>
  </si>
  <si>
    <t>US8740391003</t>
  </si>
  <si>
    <t>Tapinator Inc Registered</t>
  </si>
  <si>
    <t>US8760372016</t>
  </si>
  <si>
    <t>Tesla Inc Registered</t>
  </si>
  <si>
    <t>US88160R1014</t>
  </si>
  <si>
    <t>THC Therapeutics Inc Registered</t>
  </si>
  <si>
    <t>US87248Q1013</t>
  </si>
  <si>
    <t>The Walt Disney Company Registered</t>
  </si>
  <si>
    <t>US2546871060</t>
  </si>
  <si>
    <t>Uniper SE Registered</t>
  </si>
  <si>
    <t>DE000UNSE026</t>
  </si>
  <si>
    <t>Uniti Group Inc Registered</t>
  </si>
  <si>
    <t>Viatris Inc Registered</t>
  </si>
  <si>
    <t>US92556V1061</t>
  </si>
  <si>
    <t>Volvo AB ADR</t>
  </si>
  <si>
    <t>US9288541082</t>
  </si>
  <si>
    <t>SEK</t>
  </si>
  <si>
    <t>Vontobel Holding AG Registered</t>
  </si>
  <si>
    <t>CH0012335540</t>
  </si>
  <si>
    <t>Xperi Inc Registered</t>
  </si>
  <si>
    <t>US98423J1016</t>
  </si>
  <si>
    <t>74587.001001/CHF/ORD</t>
  </si>
  <si>
    <t>CH83 0875 7000 0124 3572 6</t>
  </si>
  <si>
    <t>74587.001002/EUR/ORD</t>
  </si>
  <si>
    <t>CH56 0875 7000 0124 3572 7</t>
  </si>
  <si>
    <t>74587.001003/USD/ORD</t>
  </si>
  <si>
    <t>CH29 0875 7000 0124 3572 8</t>
  </si>
  <si>
    <t>Orange SA</t>
  </si>
  <si>
    <t>Societe Generale SA Bearer</t>
  </si>
  <si>
    <t>Refill</t>
  </si>
  <si>
    <t>Repulse</t>
  </si>
  <si>
    <t>Gravity0</t>
  </si>
  <si>
    <t>Gravity1</t>
  </si>
  <si>
    <t>Gravity2</t>
  </si>
  <si>
    <t>Gravity3</t>
  </si>
  <si>
    <t>Gravity4</t>
  </si>
  <si>
    <t>Gravity5</t>
  </si>
  <si>
    <t>Gravity6</t>
  </si>
  <si>
    <t>Gravity7</t>
  </si>
  <si>
    <t>Gravity8</t>
  </si>
  <si>
    <t>Gravity9</t>
  </si>
  <si>
    <t>Gravity10</t>
  </si>
  <si>
    <t>Gravity11</t>
  </si>
  <si>
    <t>Gravity12</t>
  </si>
  <si>
    <t>Gravity13</t>
  </si>
  <si>
    <t>Gravity14</t>
  </si>
  <si>
    <t>Gravity15</t>
  </si>
  <si>
    <t>Gravity16</t>
  </si>
  <si>
    <t>Gravity17</t>
  </si>
  <si>
    <t>Gravity18</t>
  </si>
  <si>
    <t>Gravity19</t>
  </si>
  <si>
    <t>Gravity20</t>
  </si>
  <si>
    <t>PriceR_Eq</t>
  </si>
  <si>
    <t>PriceR_Avg</t>
  </si>
  <si>
    <t>PriceR_%</t>
  </si>
  <si>
    <t>Resale(ME)</t>
  </si>
  <si>
    <t>CH-R-0</t>
  </si>
  <si>
    <t>CH-R-1</t>
  </si>
  <si>
    <t>CH-R-2</t>
  </si>
  <si>
    <t>CH-R-3</t>
  </si>
  <si>
    <t>CH-R-4</t>
  </si>
  <si>
    <t>CH-R-5</t>
  </si>
  <si>
    <t>CH-R-6</t>
  </si>
  <si>
    <t>CH-R-7</t>
  </si>
  <si>
    <t>CH-R-8</t>
  </si>
  <si>
    <t>CH-R-9</t>
  </si>
  <si>
    <t>CH-R-10</t>
  </si>
  <si>
    <t>CH-R-11</t>
  </si>
  <si>
    <t>CH-R-12</t>
  </si>
  <si>
    <t>CH-R-13</t>
  </si>
  <si>
    <t>CH-R-14</t>
  </si>
  <si>
    <t>CH-R-15</t>
  </si>
  <si>
    <t>CH-R-16</t>
  </si>
  <si>
    <t>CH-R-17</t>
  </si>
  <si>
    <t>CH-R-18</t>
  </si>
  <si>
    <t>CH-R-19</t>
  </si>
  <si>
    <t>CH-R-20</t>
  </si>
  <si>
    <t>Price_R_0</t>
  </si>
  <si>
    <t>Price_R_1</t>
  </si>
  <si>
    <t>Price_R_2</t>
  </si>
  <si>
    <t>Price_R_3</t>
  </si>
  <si>
    <t>Price_R_4</t>
  </si>
  <si>
    <t>Price_R_5</t>
  </si>
  <si>
    <t>Price_R_6</t>
  </si>
  <si>
    <t>Price_R_7</t>
  </si>
  <si>
    <t>Price_R_8</t>
  </si>
  <si>
    <t>Price_R_9</t>
  </si>
  <si>
    <t>Price_R_10</t>
  </si>
  <si>
    <t>Price_R_11</t>
  </si>
  <si>
    <t>Price_R_12</t>
  </si>
  <si>
    <t>Price_R_13</t>
  </si>
  <si>
    <t>Price_R_14</t>
  </si>
  <si>
    <t>Price_R_15</t>
  </si>
  <si>
    <t>Price_R_16</t>
  </si>
  <si>
    <t>Price_R_17</t>
  </si>
  <si>
    <t>Price_R_18</t>
  </si>
  <si>
    <t>Price_R_19</t>
  </si>
  <si>
    <t>Price_R_20</t>
  </si>
  <si>
    <t>RSI0</t>
  </si>
  <si>
    <t>RSI1</t>
  </si>
  <si>
    <t>RSI2</t>
  </si>
  <si>
    <t>RSI3</t>
  </si>
  <si>
    <t>RSI4</t>
  </si>
  <si>
    <t>RSI5</t>
  </si>
  <si>
    <t>RSI6</t>
  </si>
  <si>
    <t>RSI7</t>
  </si>
  <si>
    <t>RSI8</t>
  </si>
  <si>
    <t>RSI9</t>
  </si>
  <si>
    <t>RSI10</t>
  </si>
  <si>
    <t>RSI11</t>
  </si>
  <si>
    <t>RSI12</t>
  </si>
  <si>
    <t>RSI13</t>
  </si>
  <si>
    <t>RSI14</t>
  </si>
  <si>
    <t>RSI15</t>
  </si>
  <si>
    <t>RSI16</t>
  </si>
  <si>
    <t>RSI17</t>
  </si>
  <si>
    <t>RSI18</t>
  </si>
  <si>
    <t>RSI19</t>
  </si>
  <si>
    <t>RSIConv0</t>
  </si>
  <si>
    <t>RSIConv1</t>
  </si>
  <si>
    <t>RSIConv2</t>
  </si>
  <si>
    <t>RSIConv3</t>
  </si>
  <si>
    <t>RSIConv4</t>
  </si>
  <si>
    <t>RSIConv5</t>
  </si>
  <si>
    <t>RSIConv6</t>
  </si>
  <si>
    <t>RSIConv7</t>
  </si>
  <si>
    <t>RSIConv8</t>
  </si>
  <si>
    <t>RSIConv9</t>
  </si>
  <si>
    <t>RSIConv10</t>
  </si>
  <si>
    <t>RSIConv11</t>
  </si>
  <si>
    <t>RSIConv12</t>
  </si>
  <si>
    <t>RSIConv13</t>
  </si>
  <si>
    <t>RSIConv14</t>
  </si>
  <si>
    <t>RSIConv15</t>
  </si>
  <si>
    <t>RSIConv16</t>
  </si>
  <si>
    <t>RSIConv17</t>
  </si>
  <si>
    <t>RSIConv18</t>
  </si>
  <si>
    <t>RSIConv19</t>
  </si>
  <si>
    <t>RSIConv20</t>
  </si>
  <si>
    <t>RSI20</t>
  </si>
  <si>
    <t>Dates</t>
  </si>
  <si>
    <t>SkipDates</t>
  </si>
  <si>
    <t>AVG</t>
  </si>
  <si>
    <t>GL_Sorted</t>
  </si>
  <si>
    <t xml:space="preserve">AAPL: Apple Test                   </t>
  </si>
  <si>
    <t xml:space="preserve">ADEA: 0                            </t>
  </si>
  <si>
    <t xml:space="preserve">ALDNE: 0                           </t>
  </si>
  <si>
    <t xml:space="preserve">ASML: Re-Purchase                  </t>
  </si>
  <si>
    <t xml:space="preserve">BLDP: 0                            </t>
  </si>
  <si>
    <t>CSCO: Bought early august 1000 at 4</t>
  </si>
  <si>
    <t xml:space="preserve">EOAN: 0                            </t>
  </si>
  <si>
    <t>EPIX: SELL more to close the positi</t>
  </si>
  <si>
    <t xml:space="preserve">GM: 0                              </t>
  </si>
  <si>
    <t xml:space="preserve">HPE: 9/19/2024: Expected rise 115, </t>
  </si>
  <si>
    <t xml:space="preserve">HPQ: 0                             </t>
  </si>
  <si>
    <t>IAG: Expected rise (bought +99Kx167</t>
  </si>
  <si>
    <t xml:space="preserve">LNSR: 0                            </t>
  </si>
  <si>
    <t>LUMN: Soaring, 6.39 today (14/8/24:</t>
  </si>
  <si>
    <t>MRNA: Hold, wait M_Price &gt; Eff-Pric</t>
  </si>
  <si>
    <t>MSFT: Buy 3,000 to equal original n</t>
  </si>
  <si>
    <t xml:space="preserve">NEM: 0                             </t>
  </si>
  <si>
    <t xml:space="preserve">PROF: Buy few to keep the position </t>
  </si>
  <si>
    <t xml:space="preserve">RWE: Wait re-purchase for gain GT  </t>
  </si>
  <si>
    <t xml:space="preserve">TSM: Buy back at &lt;170              </t>
  </si>
  <si>
    <t xml:space="preserve">UN0: 0                             </t>
  </si>
  <si>
    <t xml:space="preserve">UNIT: 0                            </t>
  </si>
  <si>
    <t xml:space="preserve">AVGO: Split 1:10 July 15           </t>
  </si>
  <si>
    <t xml:space="preserve">WBA: 0                             </t>
  </si>
  <si>
    <t xml:space="preserve">MVEALDNE: 0                        </t>
  </si>
  <si>
    <t xml:space="preserve">MVEDSY: Watch Effective Price      </t>
  </si>
  <si>
    <t xml:space="preserve">MVEEOAN: 0                         </t>
  </si>
  <si>
    <t>MVEENI: Wait SALE at &gt;Av.Price -15.</t>
  </si>
  <si>
    <t xml:space="preserve">MVEEPIX: 0                         </t>
  </si>
  <si>
    <t>MVERWE: Sale of 4,000 @30.82  8-7-C</t>
  </si>
  <si>
    <t xml:space="preserve">MVESAP: Buy &lt; -189.44              </t>
  </si>
  <si>
    <t xml:space="preserve">MVEUN0: 0                          </t>
  </si>
  <si>
    <t xml:space="preserve">SAFAAPL: Wait re-sale at &gt;Av.Price </t>
  </si>
  <si>
    <t>SAFASML: Re-Purchase (888, going do</t>
  </si>
  <si>
    <t>SAFGM: 1250 Sold at 47.905 rise exp</t>
  </si>
  <si>
    <t>SAFIAG: Wait re-purchase at &gt;Av.Pri</t>
  </si>
  <si>
    <t xml:space="preserve">SAFMRNA: 0                         </t>
  </si>
  <si>
    <t>ENI: Sell 2,000 from .002,wait 15.2</t>
  </si>
  <si>
    <t>EZJ: Buy more ater plumet; 18-Jun-2</t>
  </si>
  <si>
    <t>GLE: Wait for Re-sale: RTVA 115, A_</t>
  </si>
  <si>
    <t xml:space="preserve">GS: 0                              </t>
  </si>
  <si>
    <t xml:space="preserve">LAZR: 0                            </t>
  </si>
  <si>
    <t xml:space="preserve">MA: Rise expected, SELL 300        </t>
  </si>
  <si>
    <t xml:space="preserve">NVAX: 7000 in .02                  </t>
  </si>
  <si>
    <t xml:space="preserve">NVS: 0                             </t>
  </si>
  <si>
    <t xml:space="preserve">OXY: Going up, buy 1,000?          </t>
  </si>
  <si>
    <t>RRC: Wait further fall ti buy back/</t>
  </si>
  <si>
    <t>X: LOOKS GOING UP 1200 BOUGHT AT 33</t>
  </si>
  <si>
    <t xml:space="preserve">JBEOAN: 0                          </t>
  </si>
  <si>
    <t>GBp</t>
  </si>
  <si>
    <t>L_Sn</t>
  </si>
  <si>
    <t>L_S1n</t>
  </si>
  <si>
    <t>Min_Sn</t>
  </si>
  <si>
    <t>Max_Sn</t>
  </si>
  <si>
    <t>Min_Pn</t>
  </si>
  <si>
    <t>Max_Pn</t>
  </si>
  <si>
    <t>BS2n</t>
  </si>
  <si>
    <t>WB2n</t>
  </si>
  <si>
    <t>BuyBound</t>
  </si>
  <si>
    <t>ReverseS1</t>
  </si>
  <si>
    <t>ReverseB</t>
  </si>
  <si>
    <t>ReverseB1</t>
  </si>
  <si>
    <t>Refill2</t>
  </si>
  <si>
    <t>Refill1</t>
  </si>
  <si>
    <t>OLD Order</t>
  </si>
  <si>
    <t>GAINERS GL</t>
  </si>
  <si>
    <t>LOOSERS GL</t>
  </si>
  <si>
    <t>PriceBeg</t>
  </si>
  <si>
    <t>Cash0</t>
  </si>
  <si>
    <t>Cash1</t>
  </si>
  <si>
    <t>Cash2</t>
  </si>
  <si>
    <t>Cash3</t>
  </si>
  <si>
    <t>Cash4</t>
  </si>
  <si>
    <t>Cash5</t>
  </si>
  <si>
    <t>Cash6</t>
  </si>
  <si>
    <t>Cash7</t>
  </si>
  <si>
    <t>Cash8</t>
  </si>
  <si>
    <t>Cash9</t>
  </si>
  <si>
    <t>Cash10</t>
  </si>
  <si>
    <t>Cash11</t>
  </si>
  <si>
    <t>Cash12</t>
  </si>
  <si>
    <t>Cash13</t>
  </si>
  <si>
    <t>Cash14</t>
  </si>
  <si>
    <t>Cash15</t>
  </si>
  <si>
    <t>Cash16</t>
  </si>
  <si>
    <t>Cash17</t>
  </si>
  <si>
    <t>Cash18</t>
  </si>
  <si>
    <t>Cash19</t>
  </si>
  <si>
    <t>Cash20</t>
  </si>
  <si>
    <t>RevSale0</t>
  </si>
  <si>
    <t>RevSale1</t>
  </si>
  <si>
    <t>RevSale2</t>
  </si>
  <si>
    <t>RevSale3</t>
  </si>
  <si>
    <t>RevSale4</t>
  </si>
  <si>
    <t>RevSale5</t>
  </si>
  <si>
    <t>RevSale6</t>
  </si>
  <si>
    <t>RevSale7</t>
  </si>
  <si>
    <t>RevSale8</t>
  </si>
  <si>
    <t>RevSale9</t>
  </si>
  <si>
    <t>RevSale10</t>
  </si>
  <si>
    <t>RevSale11</t>
  </si>
  <si>
    <t>RevSale12</t>
  </si>
  <si>
    <t>RevSale13</t>
  </si>
  <si>
    <t>RevSale14</t>
  </si>
  <si>
    <t>RevSale15</t>
  </si>
  <si>
    <t>RevSale16</t>
  </si>
  <si>
    <t>RevSale17</t>
  </si>
  <si>
    <t>RevSale18</t>
  </si>
  <si>
    <t>RevSale19</t>
  </si>
  <si>
    <t>RevSale20</t>
  </si>
  <si>
    <t>RevBuy0</t>
  </si>
  <si>
    <t>RevBuy1</t>
  </si>
  <si>
    <t>RevBuy2</t>
  </si>
  <si>
    <t>RevBuy3</t>
  </si>
  <si>
    <t>RevBuy4</t>
  </si>
  <si>
    <t>RevBuy5</t>
  </si>
  <si>
    <t>RevBuy6</t>
  </si>
  <si>
    <t>RevBuy7</t>
  </si>
  <si>
    <t>RevBuy8</t>
  </si>
  <si>
    <t>RevBuy9</t>
  </si>
  <si>
    <t>RevBuy10</t>
  </si>
  <si>
    <t>RevBuy11</t>
  </si>
  <si>
    <t>RevBuy12</t>
  </si>
  <si>
    <t>RevBuy13</t>
  </si>
  <si>
    <t>RevBuy14</t>
  </si>
  <si>
    <t>RevBuy15</t>
  </si>
  <si>
    <t>RevBuy16</t>
  </si>
  <si>
    <t>RevBuy17</t>
  </si>
  <si>
    <t>RevBuy18</t>
  </si>
  <si>
    <t>RevBuy19</t>
  </si>
  <si>
    <t>RevBuy20</t>
  </si>
  <si>
    <t>M&gt;Y</t>
  </si>
  <si>
    <t>M&gt;E</t>
  </si>
  <si>
    <t>Extran</t>
  </si>
  <si>
    <t>ExtraV</t>
  </si>
  <si>
    <t>ExtraV0</t>
  </si>
  <si>
    <t>ExtraV1</t>
  </si>
  <si>
    <t>ExtraV2</t>
  </si>
  <si>
    <t>ExtraV3</t>
  </si>
  <si>
    <t>ExtraV4</t>
  </si>
  <si>
    <t>ExtraV5</t>
  </si>
  <si>
    <t>ExtraV6</t>
  </si>
  <si>
    <t>ExtraV7</t>
  </si>
  <si>
    <t>ExtraV8</t>
  </si>
  <si>
    <t>ExtraV9</t>
  </si>
  <si>
    <t>ExtraV10</t>
  </si>
  <si>
    <t>ExtraV11</t>
  </si>
  <si>
    <t>ExtraV12</t>
  </si>
  <si>
    <t>ExtraV13</t>
  </si>
  <si>
    <t>ExtraV14</t>
  </si>
  <si>
    <t>ExtraV15</t>
  </si>
  <si>
    <t>ExtraV16</t>
  </si>
  <si>
    <t>ExtraV17</t>
  </si>
  <si>
    <t>ExtraV18</t>
  </si>
  <si>
    <t>ExtraV19</t>
  </si>
  <si>
    <t>ExtraV20</t>
  </si>
  <si>
    <t>Resale2</t>
  </si>
  <si>
    <t>Rebuy2</t>
  </si>
  <si>
    <t>-</t>
  </si>
  <si>
    <t>SABT</t>
  </si>
  <si>
    <t>LOCK</t>
  </si>
  <si>
    <t>OldTicker</t>
  </si>
  <si>
    <t>OriPrice</t>
  </si>
  <si>
    <t>OriStock</t>
  </si>
  <si>
    <t>LOCK2</t>
  </si>
  <si>
    <t>LOCK1</t>
  </si>
  <si>
    <t>Last: SALE</t>
  </si>
  <si>
    <t>A=abs(E)</t>
  </si>
  <si>
    <t>S=LastSale P</t>
  </si>
  <si>
    <t>RESULT A</t>
  </si>
  <si>
    <t>Bad</t>
  </si>
  <si>
    <t>Good</t>
  </si>
  <si>
    <t>RESULT S</t>
  </si>
  <si>
    <t>ABS</t>
  </si>
  <si>
    <t>APS</t>
  </si>
  <si>
    <t>ASP</t>
  </si>
  <si>
    <t>SPA</t>
  </si>
  <si>
    <t>PSA</t>
  </si>
  <si>
    <t>PAS</t>
  </si>
  <si>
    <t>Tolerable</t>
  </si>
  <si>
    <t>MIN</t>
  </si>
  <si>
    <t>MAX</t>
  </si>
  <si>
    <t>S</t>
  </si>
  <si>
    <t>A</t>
  </si>
  <si>
    <t>P</t>
  </si>
  <si>
    <t>TOTAL</t>
  </si>
  <si>
    <t>newA&lt;P, P&gt;S</t>
  </si>
  <si>
    <t>newA&lt;P, P&lt;S</t>
  </si>
  <si>
    <t>newA&lt;A, P&lt;S</t>
  </si>
  <si>
    <t>newA&gt;A P&lt;S</t>
  </si>
  <si>
    <t>newA&gt;A, P&gt;S</t>
  </si>
  <si>
    <t>S-P</t>
  </si>
  <si>
    <t>P=Purchase</t>
  </si>
  <si>
    <t>ASB</t>
  </si>
  <si>
    <t>If PURCHASE</t>
  </si>
  <si>
    <t>If SALE</t>
  </si>
  <si>
    <t>BAS</t>
  </si>
  <si>
    <t>BSA</t>
  </si>
  <si>
    <t>SAB</t>
  </si>
  <si>
    <t>SBA</t>
  </si>
  <si>
    <t>newA&lt;A, S&gt;B</t>
  </si>
  <si>
    <t>RESULT vs B</t>
  </si>
  <si>
    <t>RESULT vs S</t>
  </si>
  <si>
    <t>newA&lt;A, S&lt;B</t>
  </si>
  <si>
    <t>newA&gt;A, S&gt;B</t>
  </si>
  <si>
    <t>newA&gt;A, S&lt;B</t>
  </si>
  <si>
    <t>Last=Purchase</t>
  </si>
  <si>
    <t>S=Sale Price (M)</t>
  </si>
  <si>
    <t>B=Bought at Price</t>
  </si>
  <si>
    <t>newA=(A-kS)/(1-k)</t>
  </si>
  <si>
    <t>k</t>
  </si>
  <si>
    <t>N</t>
  </si>
  <si>
    <t>newV=N((1-k)A+kS)</t>
  </si>
  <si>
    <t>Buy Price</t>
  </si>
  <si>
    <t>Sale Price</t>
  </si>
  <si>
    <t>NewA=(NA+nM)/(N+n)</t>
  </si>
  <si>
    <t>M&lt;A</t>
  </si>
  <si>
    <t>M&gt;A</t>
  </si>
  <si>
    <t>F=fkNM</t>
  </si>
  <si>
    <t>NAfter</t>
  </si>
  <si>
    <t>Nbegin</t>
  </si>
  <si>
    <t>Change% Sorted Yesterday</t>
  </si>
  <si>
    <t>YM&lt;absE</t>
  </si>
  <si>
    <t>BuyCost</t>
  </si>
  <si>
    <t>On Reverse</t>
  </si>
  <si>
    <t>Number of shares originally owned</t>
  </si>
  <si>
    <t>Current stock (after all transactions)</t>
  </si>
  <si>
    <t>Effective price on position
Free: if all spendings are already recuperated
GREEN fill &lt;min(M-Price, Y)
GREEN font double M&gt;Y
GREEN font abs(E)&lt;M
RED abs(E)&gt;max(M-Price, Y)</t>
  </si>
  <si>
    <t>How many shares to buy to make E&lt;Y</t>
  </si>
  <si>
    <t xml:space="preserve">Saldo of the day=
M_Value x Change%
</t>
  </si>
  <si>
    <t>BUY to REFILL position, if:
E&gt;0: stock cost is  already recuperated, or 
abs(E) &lt; last sale L_SP
On effective price E =&gt; last sale transaction reverse is not recommended
B_more: On M&gt;L_SP, independently of E value</t>
  </si>
  <si>
    <t>Free trade if E&gt;0
Don’t resell on low M_Price:
M GT and(E, lastBuy)</t>
  </si>
  <si>
    <t>sign(M-Y)*(M-Y)**2/(Y*M)
With calibration factor 10</t>
  </si>
  <si>
    <t>Shares actually sold from original position (so, current position is smaller than the one n the beginning)</t>
  </si>
  <si>
    <t>Hypothetical No-Trade-Case</t>
  </si>
  <si>
    <t>No-Trade-Case: 
Hypothetical Gain/Loss</t>
  </si>
  <si>
    <t xml:space="preserve">Current market value
</t>
  </si>
  <si>
    <t xml:space="preserve">Trade Result - 
new position cost- 
cost begin 
</t>
  </si>
  <si>
    <t>Total spent: the amount used to buy shares, sales revenue not taken into account</t>
  </si>
  <si>
    <t>Effective spent of position = 
Cost of shares bought - 
Revenue from shares sold
NB: Current market value isn’t taken into account</t>
  </si>
  <si>
    <t>New spendings (for trades)</t>
  </si>
  <si>
    <t>Revenue from trades</t>
  </si>
  <si>
    <t>Trade Result (Trade revenue - New spendings)</t>
  </si>
  <si>
    <t>Total number of shares bought</t>
  </si>
  <si>
    <t>Number of shares additionally bought (during trading) after the establishment of the original position</t>
  </si>
  <si>
    <t>Number of shares sold after the establishment of the original position</t>
  </si>
  <si>
    <t>Effective Total) Gain/Loss on position</t>
  </si>
  <si>
    <t xml:space="preserve">Analysis of BUY Reverse: LS&gt;M&gt;E case:
M=NE/((n*(k+2),
Where 
k.M=Last sale price, k&gt;1,
	as last sale reverse buy is 	analyzed here, M&gt;L_SP)
N - number of shares,
E - effective price,
n - last sale number of shares.
Basic case N=n (reverse stock)
</t>
  </si>
  <si>
    <t>Position status:
Pile: if no trade gives better revenue
Trade: if trading history (including market value) 
is showing result better than no trading case</t>
  </si>
  <si>
    <t>Stock Exchange last trade time</t>
  </si>
  <si>
    <t>Vertical index NewReg</t>
  </si>
  <si>
    <t>Horizontal index NewReg</t>
  </si>
  <si>
    <t>Last Trade Date
(Independently buy or sell</t>
  </si>
  <si>
    <t>Last trade number of shares</t>
  </si>
  <si>
    <t>How many shares 
to SELL to make 
T_Bound (=1500) 
gain of compared with the 
last Effective Price</t>
  </si>
  <si>
    <t>Last Purchase date</t>
  </si>
  <si>
    <t>How many shares 
to BUY to make 
T_Bound (=1500) 
gain of compared with the 
last SALE</t>
  </si>
  <si>
    <t>How many shares 
to SELL to make 
T_Bound (=1500) 
gain of compared with the 
last PURCHASE</t>
  </si>
  <si>
    <t>Dear Reza,</t>
  </si>
  <si>
    <t>Dear Laurent,</t>
  </si>
  <si>
    <t>Dear Guillaume,</t>
  </si>
  <si>
    <t>SAF</t>
  </si>
  <si>
    <t>JB</t>
  </si>
  <si>
    <t>EntryArchive</t>
  </si>
  <si>
    <t>EntryList</t>
  </si>
  <si>
    <t>TranParam</t>
  </si>
  <si>
    <t>Notes:</t>
  </si>
  <si>
    <t>Named array names are filled in blue</t>
  </si>
  <si>
    <t>Essentials</t>
  </si>
  <si>
    <t>Portfolio Data</t>
  </si>
  <si>
    <t>Chart Data Scaled</t>
  </si>
  <si>
    <t>Change Scaled</t>
  </si>
  <si>
    <t>Agiotage Scaled</t>
  </si>
  <si>
    <t>Min</t>
  </si>
  <si>
    <t>Max</t>
  </si>
  <si>
    <t>Averages</t>
  </si>
  <si>
    <t>Vertical Last Bounds</t>
  </si>
  <si>
    <t>Vertical Worst Bounds</t>
  </si>
  <si>
    <t>Vertical Best Bounds</t>
  </si>
  <si>
    <t>Last Sale</t>
  </si>
  <si>
    <t>Last Buy</t>
  </si>
  <si>
    <t>Worst Sale</t>
  </si>
  <si>
    <t>Worst Buy</t>
  </si>
  <si>
    <t xml:space="preserve">Best Sale </t>
  </si>
  <si>
    <t>Best Buy</t>
  </si>
  <si>
    <t>Bounds Chart 3</t>
  </si>
  <si>
    <t>Bounds Chart 1</t>
  </si>
  <si>
    <t>Bounds Chart 2</t>
  </si>
  <si>
    <t>L_Bn</t>
  </si>
  <si>
    <t>L_B1p</t>
  </si>
  <si>
    <t>L_Sp</t>
  </si>
  <si>
    <t>L_S1p</t>
  </si>
  <si>
    <t>ifSaleAfterBuy</t>
  </si>
  <si>
    <t>L_Bp</t>
  </si>
  <si>
    <t>L_Bdate</t>
  </si>
  <si>
    <t>L_B1D</t>
  </si>
  <si>
    <t>L_B1n</t>
  </si>
  <si>
    <t>ntoSell</t>
  </si>
  <si>
    <t>ntoBuy</t>
  </si>
  <si>
    <t>aet</t>
  </si>
  <si>
    <t>Market value in USD</t>
  </si>
  <si>
    <t>—</t>
  </si>
  <si>
    <t>vReverse</t>
  </si>
  <si>
    <t>S=M</t>
  </si>
  <si>
    <t>P=M</t>
  </si>
  <si>
    <t>Last T was BUY</t>
  </si>
  <si>
    <t>Last T was SALE</t>
  </si>
  <si>
    <t>If PURCHASE Reverse</t>
  </si>
  <si>
    <t>vs. Last</t>
  </si>
  <si>
    <t>N Stock</t>
  </si>
  <si>
    <t>RESULT vs A</t>
  </si>
  <si>
    <t>Worst Sale$</t>
  </si>
  <si>
    <t>If_SALE_Reverse</t>
  </si>
  <si>
    <t>vsA</t>
  </si>
  <si>
    <t>WS_medH</t>
  </si>
  <si>
    <t>WS_MedL</t>
  </si>
  <si>
    <t>WS_Min</t>
  </si>
  <si>
    <t>WS_Max</t>
  </si>
  <si>
    <t>vsReverseCash</t>
  </si>
  <si>
    <t>Best Sale$</t>
  </si>
  <si>
    <t>BS_Max</t>
  </si>
  <si>
    <t>BS__medH</t>
  </si>
  <si>
    <t>BS_MedL</t>
  </si>
  <si>
    <t>BS_Min</t>
  </si>
  <si>
    <t>RESULT vs LastS</t>
  </si>
  <si>
    <t>vsA2</t>
  </si>
  <si>
    <t>Nstock</t>
  </si>
  <si>
    <t>vsA3</t>
  </si>
  <si>
    <t xml:space="preserve">Chart 1 Bounds </t>
  </si>
  <si>
    <t>Chart 2 Bounds</t>
  </si>
  <si>
    <t>Chart 3 Bounds</t>
  </si>
  <si>
    <t>!00% scaled</t>
  </si>
  <si>
    <t>Rounded</t>
  </si>
  <si>
    <t>100% Scaled</t>
  </si>
  <si>
    <t>Range</t>
  </si>
  <si>
    <t>ResalePotential of the last buy &amp; cash gain</t>
  </si>
  <si>
    <t>Orientation Parameters Below</t>
  </si>
  <si>
    <t>CalcComments</t>
  </si>
  <si>
    <t>ComContent</t>
  </si>
  <si>
    <t>How many shares to buy to make abs(E)&lt;Y</t>
  </si>
  <si>
    <t>How many shares 
to BUY to make 
T_Bound (=1500/2000) 
gain of compared with the 
last SALE</t>
  </si>
  <si>
    <t>If M &gt; last Buy
how many shares 
to SELL to make 
T_Bound (=1500/2000); 
gain of compared with the 
last PURCHASE</t>
  </si>
  <si>
    <t>Number of shares to get the transaction bound ($1500) based on the difference of M and E</t>
  </si>
  <si>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-n</t>
    </r>
    <r>
      <rPr>
        <vertAlign val="subscript"/>
        <sz val="16"/>
        <color theme="1"/>
        <rFont val="Aptos Narrow (Body)"/>
      </rPr>
      <t>i</t>
    </r>
  </si>
  <si>
    <r>
      <t>LB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</si>
  <si>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WB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</si>
  <si>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BB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</si>
  <si>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t>i = 0</t>
  </si>
  <si>
    <t>i &gt; 0</t>
  </si>
  <si>
    <r>
      <t>0&lt;n</t>
    </r>
    <r>
      <rPr>
        <vertAlign val="subscript"/>
        <sz val="16"/>
        <color theme="1"/>
        <rFont val="Aptos Narrow (Body)"/>
      </rPr>
      <t>i</t>
    </r>
    <r>
      <rPr>
        <sz val="16"/>
        <color theme="1"/>
        <rFont val="Aptos Narrow"/>
        <family val="2"/>
        <scheme val="minor"/>
      </rPr>
      <t>&lt;=N</t>
    </r>
    <r>
      <rPr>
        <vertAlign val="subscript"/>
        <sz val="16"/>
        <color theme="1"/>
        <rFont val="Aptos Narrow (Body)"/>
      </rPr>
      <t>i-1</t>
    </r>
  </si>
  <si>
    <t>SALE S</t>
  </si>
  <si>
    <r>
      <t>P</t>
    </r>
    <r>
      <rPr>
        <vertAlign val="subscript"/>
        <sz val="16"/>
        <color theme="1"/>
        <rFont val="Aptos Narrow (Body)"/>
      </rPr>
      <t>i</t>
    </r>
    <r>
      <rPr>
        <sz val="16"/>
        <color theme="1"/>
        <rFont val="Aptos Narrow"/>
        <family val="2"/>
        <scheme val="minor"/>
      </rPr>
      <t xml:space="preserve"> (C, N</t>
    </r>
    <r>
      <rPr>
        <vertAlign val="subscript"/>
        <sz val="16"/>
        <color theme="1"/>
        <rFont val="Aptos Narrow (Body)"/>
      </rPr>
      <t>i</t>
    </r>
    <r>
      <rPr>
        <sz val="16"/>
        <color theme="1"/>
        <rFont val="Aptos Narrow"/>
        <family val="2"/>
        <scheme val="minor"/>
      </rPr>
      <t>, A</t>
    </r>
    <r>
      <rPr>
        <vertAlign val="subscript"/>
        <sz val="16"/>
        <color theme="1"/>
        <rFont val="Aptos Narrow (Body)"/>
      </rPr>
      <t>i</t>
    </r>
    <r>
      <rPr>
        <sz val="16"/>
        <color theme="1"/>
        <rFont val="Aptos Narrow"/>
        <family val="2"/>
        <scheme val="minor"/>
      </rPr>
      <t xml:space="preserve">, </t>
    </r>
    <r>
      <rPr>
        <vertAlign val="subscript"/>
        <sz val="16"/>
        <color theme="1"/>
        <rFont val="Aptos Narrow (Body)"/>
      </rPr>
      <t xml:space="preserve"> ...</t>
    </r>
    <r>
      <rPr>
        <sz val="16"/>
        <color theme="1"/>
        <rFont val="Aptos Narrow"/>
        <family val="2"/>
        <scheme val="minor"/>
      </rPr>
      <t>)</t>
    </r>
  </si>
  <si>
    <r>
      <rPr>
        <sz val="16"/>
        <color theme="1"/>
        <rFont val="Aptos Narrow"/>
        <scheme val="minor"/>
      </rPr>
      <t>P</t>
    </r>
    <r>
      <rPr>
        <vertAlign val="subscript"/>
        <sz val="16"/>
        <color theme="1"/>
        <rFont val="Aptos Narrow (Body)"/>
      </rPr>
      <t>i+1</t>
    </r>
    <r>
      <rPr>
        <sz val="16"/>
        <color theme="1"/>
        <rFont val="Aptos Narrow"/>
        <family val="2"/>
        <scheme val="minor"/>
      </rPr>
      <t>=S</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</si>
  <si>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WS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</si>
  <si>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i &gt; =0</t>
  </si>
  <si>
    <r>
      <t>a&lt;WS</t>
    </r>
    <r>
      <rPr>
        <vertAlign val="subscript"/>
        <sz val="16"/>
        <color theme="1"/>
        <rFont val="Aptos Narrow (Body)"/>
      </rPr>
      <t>i</t>
    </r>
  </si>
  <si>
    <r>
      <t>a&gt;=WS</t>
    </r>
    <r>
      <rPr>
        <vertAlign val="subscript"/>
        <sz val="16"/>
        <color theme="1"/>
        <rFont val="Aptos Narrow (Body)"/>
      </rPr>
      <t>i</t>
    </r>
  </si>
  <si>
    <r>
      <t>a&gt;BS</t>
    </r>
    <r>
      <rPr>
        <vertAlign val="subscript"/>
        <sz val="16"/>
        <color theme="1"/>
        <rFont val="Aptos Narrow (Body)"/>
      </rPr>
      <t>i</t>
    </r>
  </si>
  <si>
    <r>
      <t>WS</t>
    </r>
    <r>
      <rPr>
        <vertAlign val="subscript"/>
        <sz val="16"/>
        <color theme="1"/>
        <rFont val="Aptos Narrow (Body)"/>
      </rPr>
      <t>i+1</t>
    </r>
  </si>
  <si>
    <r>
      <t>BS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</si>
  <si>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a&lt;=BS</t>
    </r>
    <r>
      <rPr>
        <vertAlign val="subscript"/>
        <sz val="16"/>
        <color theme="1"/>
        <rFont val="Aptos Narrow (Body)"/>
      </rPr>
      <t>i</t>
    </r>
  </si>
  <si>
    <r>
      <t>BS</t>
    </r>
    <r>
      <rPr>
        <vertAlign val="subscript"/>
        <sz val="16"/>
        <color theme="1"/>
        <rFont val="Aptos Narrow (Body)"/>
      </rPr>
      <t>i+1</t>
    </r>
  </si>
  <si>
    <r>
      <t>LS</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</si>
  <si>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BUYs B</t>
  </si>
  <si>
    <r>
      <t>LB</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</si>
  <si>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</si>
  <si>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</si>
  <si>
    <r>
      <t>BB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</si>
  <si>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BB</t>
    </r>
    <r>
      <rPr>
        <vertAlign val="subscript"/>
        <sz val="16"/>
        <color theme="1"/>
        <rFont val="Aptos Narrow (Body)"/>
      </rPr>
      <t>i+1</t>
    </r>
  </si>
  <si>
    <r>
      <t>a&lt;=BB</t>
    </r>
    <r>
      <rPr>
        <vertAlign val="subscript"/>
        <sz val="16"/>
        <color theme="1"/>
        <rFont val="Aptos Narrow (Body)"/>
      </rPr>
      <t>i</t>
    </r>
  </si>
  <si>
    <r>
      <t>a&gt;=BB</t>
    </r>
    <r>
      <rPr>
        <vertAlign val="subscript"/>
        <sz val="16"/>
        <color theme="1"/>
        <rFont val="Aptos Narrow (Body)"/>
      </rPr>
      <t>i</t>
    </r>
  </si>
  <si>
    <r>
      <t>a&gt;WB</t>
    </r>
    <r>
      <rPr>
        <vertAlign val="subscript"/>
        <sz val="16"/>
        <color theme="1"/>
        <rFont val="Aptos Narrow (Body)"/>
      </rPr>
      <t>i</t>
    </r>
  </si>
  <si>
    <r>
      <t>a&lt;BB</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</si>
  <si>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</si>
  <si>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</si>
  <si>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A</t>
    </r>
    <r>
      <rPr>
        <vertAlign val="subscript"/>
        <sz val="16"/>
        <color theme="1"/>
        <rFont val="Aptos Narrow (Body)"/>
      </rPr>
      <t>i+1</t>
    </r>
    <r>
      <rPr>
        <sz val="16"/>
        <color theme="1"/>
        <rFont val="Aptos Narrow"/>
        <family val="2"/>
        <scheme val="minor"/>
      </rPr>
      <t>=a</t>
    </r>
    <r>
      <rPr>
        <vertAlign val="subscript"/>
        <sz val="16"/>
        <color theme="1"/>
        <rFont val="Aptos Narrow (Body)"/>
      </rPr>
      <t>i</t>
    </r>
  </si>
  <si>
    <r>
      <rPr>
        <sz val="16"/>
        <color theme="1"/>
        <rFont val="Aptos Narrow"/>
        <scheme val="minor"/>
      </rPr>
      <t>P</t>
    </r>
    <r>
      <rPr>
        <vertAlign val="subscript"/>
        <sz val="16"/>
        <color theme="1"/>
        <rFont val="Aptos Narrow (Body)"/>
      </rPr>
      <t>i+1</t>
    </r>
    <r>
      <rPr>
        <sz val="16"/>
        <color theme="1"/>
        <rFont val="Aptos Narrow"/>
        <family val="2"/>
        <scheme val="minor"/>
      </rPr>
      <t>=B</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</si>
  <si>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</si>
  <si>
    <r>
      <t>A</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family val="2"/>
        <scheme val="minor"/>
      </rPr>
      <t>)/N</t>
    </r>
    <r>
      <rPr>
        <vertAlign val="subscript"/>
        <sz val="16"/>
        <color theme="1"/>
        <rFont val="Aptos Narrow (Body)"/>
      </rPr>
      <t>i+1</t>
    </r>
  </si>
  <si>
    <r>
      <t>0&lt;n</t>
    </r>
    <r>
      <rPr>
        <vertAlign val="subscript"/>
        <sz val="16"/>
        <color theme="1"/>
        <rFont val="Aptos Narrow (Body)"/>
      </rPr>
      <t>i</t>
    </r>
    <r>
      <rPr>
        <sz val="16"/>
        <color theme="1"/>
        <rFont val="Aptos Narrow"/>
        <family val="2"/>
        <scheme val="minor"/>
      </rPr>
      <t>&lt;=C/a</t>
    </r>
    <r>
      <rPr>
        <vertAlign val="subscript"/>
        <sz val="16"/>
        <color theme="1"/>
        <rFont val="Aptos Narrow (Body)"/>
      </rPr>
      <t>i</t>
    </r>
  </si>
  <si>
    <r>
      <t>E</t>
    </r>
    <r>
      <rPr>
        <vertAlign val="subscript"/>
        <sz val="16"/>
        <color theme="1"/>
        <rFont val="Aptos Narrow (Body)"/>
      </rPr>
      <t>i+1</t>
    </r>
    <r>
      <rPr>
        <sz val="16"/>
        <color theme="1"/>
        <rFont val="Aptos Narrow"/>
        <family val="2"/>
        <scheme val="minor"/>
      </rPr>
      <t>=(C</t>
    </r>
    <r>
      <rPr>
        <vertAlign val="subscript"/>
        <sz val="16"/>
        <color theme="1"/>
        <rFont val="Aptos Narrow (Body)"/>
      </rPr>
      <t>0</t>
    </r>
    <r>
      <rPr>
        <sz val="16"/>
        <color theme="1"/>
        <rFont val="Aptos Narrow"/>
        <family val="2"/>
        <scheme val="minor"/>
      </rPr>
      <t>-C</t>
    </r>
    <r>
      <rPr>
        <vertAlign val="subscript"/>
        <sz val="16"/>
        <color theme="1"/>
        <rFont val="Aptos Narrow (Body)"/>
      </rPr>
      <t>i+1</t>
    </r>
    <r>
      <rPr>
        <sz val="16"/>
        <color theme="1"/>
        <rFont val="Aptos Narrow"/>
        <family val="2"/>
        <scheme val="minor"/>
      </rPr>
      <t>)/N</t>
    </r>
    <r>
      <rPr>
        <vertAlign val="subscript"/>
        <sz val="16"/>
        <color theme="1"/>
        <rFont val="Aptos Narrow (Body)"/>
      </rPr>
      <t>i+1</t>
    </r>
  </si>
  <si>
    <r>
      <t>P</t>
    </r>
    <r>
      <rPr>
        <vertAlign val="subscript"/>
        <sz val="16"/>
        <color theme="1"/>
        <rFont val="Aptos Narrow (Body)"/>
      </rPr>
      <t>0</t>
    </r>
    <r>
      <rPr>
        <sz val="16"/>
        <color theme="1"/>
        <rFont val="Aptos Narrow"/>
        <family val="2"/>
        <scheme val="minor"/>
      </rPr>
      <t xml:space="preserve"> (C</t>
    </r>
    <r>
      <rPr>
        <vertAlign val="subscript"/>
        <sz val="16"/>
        <color theme="1"/>
        <rFont val="Aptos Narrow (Body)"/>
      </rPr>
      <t>0</t>
    </r>
    <r>
      <rPr>
        <sz val="16"/>
        <color theme="1"/>
        <rFont val="Aptos Narrow"/>
        <family val="2"/>
        <scheme val="minor"/>
      </rPr>
      <t>, N, A, LB, WB, BB, LS ,WS, BS)</t>
    </r>
  </si>
  <si>
    <r>
      <t>N</t>
    </r>
    <r>
      <rPr>
        <vertAlign val="subscript"/>
        <sz val="16"/>
        <color theme="1"/>
        <rFont val="Aptos Narrow (Body)"/>
      </rPr>
      <t>0</t>
    </r>
    <r>
      <rPr>
        <sz val="16"/>
        <color theme="1"/>
        <rFont val="Aptos Narrow"/>
        <family val="2"/>
        <scheme val="minor"/>
      </rPr>
      <t>=0</t>
    </r>
  </si>
  <si>
    <r>
      <t>A</t>
    </r>
    <r>
      <rPr>
        <vertAlign val="subscript"/>
        <sz val="16"/>
        <color theme="1"/>
        <rFont val="Aptos Narrow (Body)"/>
      </rPr>
      <t>0</t>
    </r>
    <r>
      <rPr>
        <sz val="16"/>
        <color theme="1"/>
        <rFont val="Aptos Narrow"/>
        <family val="2"/>
        <scheme val="minor"/>
      </rPr>
      <t>=0</t>
    </r>
  </si>
  <si>
    <t>etc.</t>
  </si>
  <si>
    <t>Last Sold</t>
  </si>
  <si>
    <t>Last Bought</t>
  </si>
  <si>
    <t>Position currency</t>
  </si>
  <si>
    <t>Effective price on position: Free: if all spendings are already recuperated
GREEN fill &lt;min(M-Price, Y)
GREEN font double M&gt;Y
GREEN font abs(E)&lt;M
RED abs(E)&gt;max(M-Price, Y)</t>
  </si>
  <si>
    <t>US09061H4065</t>
  </si>
  <si>
    <t>Sell_Value</t>
  </si>
  <si>
    <t>Latest date</t>
  </si>
  <si>
    <t>BANK</t>
  </si>
  <si>
    <t>Non-zero values</t>
  </si>
  <si>
    <t>note</t>
  </si>
  <si>
    <t>eoan</t>
  </si>
  <si>
    <t>Remaining</t>
  </si>
  <si>
    <t>Profit/Loss</t>
  </si>
  <si>
    <t>Income</t>
  </si>
  <si>
    <t>M-VALUE Now</t>
  </si>
  <si>
    <t>Lot#1</t>
  </si>
  <si>
    <t>Strategy</t>
  </si>
  <si>
    <t>Total Profit</t>
  </si>
  <si>
    <t>Total COGS</t>
  </si>
  <si>
    <t>Avg Margin</t>
  </si>
  <si>
    <t>Qty Sold</t>
  </si>
  <si>
    <t>FIFO</t>
  </si>
  <si>
    <t>IDPSort</t>
  </si>
  <si>
    <t>IDASort</t>
  </si>
  <si>
    <t>IDMSort</t>
  </si>
  <si>
    <t>IDNSort</t>
  </si>
  <si>
    <t>Xvals</t>
  </si>
  <si>
    <t>DregP</t>
  </si>
  <si>
    <t>DregN</t>
  </si>
  <si>
    <t>Sale#7</t>
  </si>
  <si>
    <t>Lot#2</t>
  </si>
  <si>
    <t>Lot#12</t>
  </si>
  <si>
    <t>Lot#17</t>
  </si>
  <si>
    <t>Sale#10</t>
  </si>
  <si>
    <t>Sale#11</t>
  </si>
  <si>
    <t>Sale#13</t>
  </si>
  <si>
    <t>Sale#16</t>
  </si>
  <si>
    <t>ezj</t>
  </si>
  <si>
    <t>Lot#4</t>
  </si>
  <si>
    <t>Lot#5</t>
  </si>
  <si>
    <t>Lot#9</t>
  </si>
  <si>
    <t>Lot#14</t>
  </si>
  <si>
    <t>Lot#15</t>
  </si>
  <si>
    <t>Lot#20</t>
  </si>
  <si>
    <t>Lot#21</t>
  </si>
  <si>
    <t>Sale#3</t>
  </si>
  <si>
    <t>Sale#6</t>
  </si>
  <si>
    <t>Sale#8</t>
  </si>
  <si>
    <t>Sale#18</t>
  </si>
  <si>
    <t>Sale#19</t>
  </si>
  <si>
    <t>Sale#22</t>
  </si>
  <si>
    <t>Sale#23</t>
  </si>
  <si>
    <t>TOTALS:</t>
  </si>
  <si>
    <t>G/L per Share</t>
  </si>
  <si>
    <t>M_Value</t>
  </si>
  <si>
    <t>Cost Now</t>
  </si>
  <si>
    <t>Buy ON</t>
  </si>
  <si>
    <t>GREEN</t>
  </si>
  <si>
    <t>RED</t>
  </si>
  <si>
    <t>Sell ON</t>
  </si>
  <si>
    <t>5/20//25</t>
  </si>
  <si>
    <t>aapl</t>
  </si>
  <si>
    <t>At Market</t>
  </si>
  <si>
    <t>Cash Gain</t>
  </si>
  <si>
    <t>Market Price</t>
  </si>
  <si>
    <t>Income / Gain</t>
  </si>
  <si>
    <t>Distance M</t>
  </si>
  <si>
    <t>All Purchases</t>
  </si>
  <si>
    <t>Stock&amp;Value</t>
  </si>
  <si>
    <t>Div./Share</t>
  </si>
  <si>
    <t>Effective Cost/Share</t>
  </si>
  <si>
    <t>for_A=Y</t>
  </si>
  <si>
    <t>Ex-Dividend Date</t>
  </si>
  <si>
    <t>Re-Sale</t>
  </si>
  <si>
    <t>Re-Purchase</t>
  </si>
  <si>
    <t>Cost LT A</t>
  </si>
  <si>
    <t>Value LT M</t>
  </si>
  <si>
    <t>Value GT M</t>
  </si>
  <si>
    <t>Remaining/A</t>
  </si>
  <si>
    <t>Below M_Price</t>
  </si>
  <si>
    <t>Stock Now/Begin</t>
  </si>
  <si>
    <t>VONTO</t>
  </si>
  <si>
    <t>J. SAFRA</t>
  </si>
  <si>
    <t>Market Value</t>
  </si>
  <si>
    <t>Make Free</t>
  </si>
  <si>
    <t>Breakeven M</t>
  </si>
  <si>
    <t>Y1T</t>
  </si>
  <si>
    <t>No TradeCost &amp; Value</t>
  </si>
  <si>
    <t>Limited</t>
  </si>
  <si>
    <t>G/L Now</t>
  </si>
  <si>
    <t>EfCost</t>
  </si>
  <si>
    <t>FR0000133308</t>
  </si>
  <si>
    <t>FR0000130809</t>
  </si>
  <si>
    <t>Purchases</t>
  </si>
  <si>
    <t>(Sell Above)</t>
  </si>
  <si>
    <t>Sell Above Min</t>
  </si>
  <si>
    <t>LastBuy_RevRem_n</t>
  </si>
  <si>
    <t>Rev_Sale</t>
  </si>
  <si>
    <t>TakeGain_A</t>
  </si>
  <si>
    <t>Rev_Buy</t>
  </si>
  <si>
    <t>LastSale_RevBuy$</t>
  </si>
  <si>
    <t>Status</t>
  </si>
  <si>
    <t>if_ReBuy_nSold</t>
  </si>
  <si>
    <t>ReBuy % &amp; n_Shares to BUY  for Gain of …</t>
  </si>
  <si>
    <t>Buy_Advice</t>
  </si>
  <si>
    <t>Tick_M_A</t>
  </si>
  <si>
    <t>NoT_GL</t>
  </si>
  <si>
    <t>Ori_Sold</t>
  </si>
  <si>
    <t>NoT_C</t>
  </si>
  <si>
    <t>New Ticker List</t>
  </si>
  <si>
    <t>Real $</t>
  </si>
  <si>
    <t>Virtual $</t>
  </si>
  <si>
    <t>Saldo</t>
  </si>
  <si>
    <t>5 Days</t>
  </si>
  <si>
    <t>Price_Rank</t>
  </si>
  <si>
    <t>Change_Rank</t>
  </si>
  <si>
    <t>%</t>
  </si>
  <si>
    <t>New Cash</t>
  </si>
  <si>
    <t>AddBuys</t>
  </si>
  <si>
    <t>AddCash</t>
  </si>
  <si>
    <t>AddValue</t>
  </si>
  <si>
    <t>S_Income</t>
  </si>
  <si>
    <t>ValueBegin</t>
  </si>
  <si>
    <t>Tot_Paid</t>
  </si>
  <si>
    <t>Eff. Cost</t>
  </si>
  <si>
    <t>Add. Trade Value</t>
  </si>
  <si>
    <t>Commissions</t>
  </si>
  <si>
    <t>Added Cash</t>
  </si>
  <si>
    <t>All Stock</t>
  </si>
  <si>
    <t>Added Value</t>
  </si>
  <si>
    <t>Added Buys</t>
  </si>
  <si>
    <t>Sale Income</t>
  </si>
  <si>
    <t>Total Paid</t>
  </si>
  <si>
    <t>Cash Won</t>
  </si>
  <si>
    <t>RSI Conventional RSI</t>
  </si>
  <si>
    <t>Cost LT M$</t>
  </si>
  <si>
    <t>Cost GT M$</t>
  </si>
  <si>
    <t>Remaining (M-A)/A</t>
  </si>
  <si>
    <t>Reverse Purchase</t>
  </si>
  <si>
    <t>REVERSE Buy for virt. gain of 3,000</t>
  </si>
  <si>
    <t>Pile @ 10,800, GL  377,425</t>
  </si>
  <si>
    <t>Trade @ 5,810, GL  36,209</t>
  </si>
  <si>
    <t>Trade @ 800,000, GL  76,377</t>
  </si>
  <si>
    <t>-204.09x1000=    +5,090 USD</t>
  </si>
  <si>
    <t>Sell @ 2.4%</t>
  </si>
  <si>
    <t>982/9,700=205,493</t>
  </si>
  <si>
    <t>-173.55x200=   7,127$</t>
  </si>
  <si>
    <t>Pile @ 9,700, GL  558,981</t>
  </si>
  <si>
    <t>0x0=   0$</t>
  </si>
  <si>
    <t>Pile @ 2,530,000, GL - 346,521</t>
  </si>
  <si>
    <t>Pile @ 4,700, GL - 293,342</t>
  </si>
  <si>
    <t>Trade @ 1,000, GL  110,234</t>
  </si>
  <si>
    <t>Pile @ 26,000, GL - 12,007</t>
  </si>
  <si>
    <t>Pile @ 12,500, GL - 118,135</t>
  </si>
  <si>
    <t>-62.75x500=    +7,810 USD</t>
  </si>
  <si>
    <t>Resell @ 19.9%</t>
  </si>
  <si>
    <t>320/600=25,086</t>
  </si>
  <si>
    <t>-73.18x1000=   3,114$</t>
  </si>
  <si>
    <t>Trade @ 600, GL  36,436</t>
  </si>
  <si>
    <t>-58.93x1990=    +13,649 USD</t>
  </si>
  <si>
    <t>Resell @ 10.4%</t>
  </si>
  <si>
    <t>729/2,000=47,963</t>
  </si>
  <si>
    <t>-59.12x2000=   13,338$</t>
  </si>
  <si>
    <t>Pile @ 2,000, GL  121,766</t>
  </si>
  <si>
    <t>Trade @ 250, GL - 46,330</t>
  </si>
  <si>
    <t>Pile @ 100,000, GL - 425,995</t>
  </si>
  <si>
    <t>-109.28x800=    +6,256 USD</t>
  </si>
  <si>
    <t>Resell @ 6.7%</t>
  </si>
  <si>
    <t>639/1,400=74,872</t>
  </si>
  <si>
    <t>-110.22x600=   4,128$</t>
  </si>
  <si>
    <t>Trade @ 1,400, GL  22,496</t>
  </si>
  <si>
    <t>Trade @ 4,000, GL  12,672</t>
  </si>
  <si>
    <t>Pile @ 10, GL  47,170</t>
  </si>
  <si>
    <t>Trade @ 2,000, GL - 41,144</t>
  </si>
  <si>
    <t>Pile @ 15,000, GL  1,153,690</t>
  </si>
  <si>
    <t>Trade @ 30,000, GL  45,208</t>
  </si>
  <si>
    <t>Trade @ 10, GL  14,186</t>
  </si>
  <si>
    <t>Trade @ 17,500, GL  82,274</t>
  </si>
  <si>
    <t>Trade @ 5,000, GL  30,025</t>
  </si>
  <si>
    <t>-249.01x20000=    +12,818 GBp</t>
  </si>
  <si>
    <t>Sell @ 20.5%</t>
  </si>
  <si>
    <t>7,802/348,290=24,427</t>
  </si>
  <si>
    <t>-284.47x20000=   5,724$</t>
  </si>
  <si>
    <t>Trade @ 348,290, GL  890,473</t>
  </si>
  <si>
    <t>-68.39x2000=    +6,141 USD</t>
  </si>
  <si>
    <t>Sell @ 4.3%</t>
  </si>
  <si>
    <t>1,628/3,000=116,382</t>
  </si>
  <si>
    <t>-60.37x2000=   22,181$</t>
  </si>
  <si>
    <t>Pile @ 3,000, GL  120,125</t>
  </si>
  <si>
    <t>Pile @ , GL - 16,029</t>
  </si>
  <si>
    <t>Trade @ 2,000, GL  10,299</t>
  </si>
  <si>
    <t>Pile @ 12,000, GL - 505,641</t>
  </si>
  <si>
    <t>-378.43x150=    +15,000 USD</t>
  </si>
  <si>
    <t>Sell @ 20.9%</t>
  </si>
  <si>
    <t>50/10,500=23,922</t>
  </si>
  <si>
    <t>-378.76x150=   14,951$</t>
  </si>
  <si>
    <t>Trade @ 10,500, GL  3,754,037</t>
  </si>
  <si>
    <t>-66.36x1000=    +5,810 USD</t>
  </si>
  <si>
    <t>Resell @ 8.1%</t>
  </si>
  <si>
    <t>861/1,200=62,108</t>
  </si>
  <si>
    <t>-68.03x1000=   4,140$</t>
  </si>
  <si>
    <t>Trade @ 1,200, GL  28,120</t>
  </si>
  <si>
    <t>-49.98x1000=    +8,560 USD</t>
  </si>
  <si>
    <t>Sell @ 14.6%</t>
  </si>
  <si>
    <t>584/20,000=34,194</t>
  </si>
  <si>
    <t>-50.63x2000=   15,820$</t>
  </si>
  <si>
    <t>Trade @ 20,000, GL  740,662</t>
  </si>
  <si>
    <t>-957.53x200=    +54,037 USD</t>
  </si>
  <si>
    <t>Sell @ 22.0%</t>
  </si>
  <si>
    <t>19/200=22,720</t>
  </si>
  <si>
    <t>-705.46x200=   104,451$</t>
  </si>
  <si>
    <t>Pile @ 200, GL  1,550,388</t>
  </si>
  <si>
    <t>Pile @ 220,000, GL - 70,051</t>
  </si>
  <si>
    <t>Trade @ 7,000, GL  34,617</t>
  </si>
  <si>
    <t>Trade @ 2,000, GL  3,087</t>
  </si>
  <si>
    <t>Trade @ 50,000, GL - 98,408</t>
  </si>
  <si>
    <t>Trade @ 10,000, GL - 3,111</t>
  </si>
  <si>
    <t>Pile @ 8,000, GL - 50,903</t>
  </si>
  <si>
    <t>Pile @ 50, GL  35,893</t>
  </si>
  <si>
    <t>Pile @ 1,001, GL  77,843</t>
  </si>
  <si>
    <t>Trade @ 20,000, GL  69,547</t>
  </si>
  <si>
    <t>Trade @ 16,000, GL - 690,764</t>
  </si>
  <si>
    <t>Trade @ 10, GL  86,586</t>
  </si>
  <si>
    <t>-152.32x1000=    +56,650 USD</t>
  </si>
  <si>
    <t>Resell @ 27.1%</t>
  </si>
  <si>
    <t>88/5,000=18,444</t>
  </si>
  <si>
    <t>-157.45x1350=   69,552$</t>
  </si>
  <si>
    <t>Trade @ 5,000, GL  507,541</t>
  </si>
  <si>
    <t>Pile @ 2,650, GL - 173,990</t>
  </si>
  <si>
    <t>Pile @ 12,000, GL - 59,159</t>
  </si>
  <si>
    <t>-203.42x240=    +10,465 USD</t>
  </si>
  <si>
    <t>Resell @ 17.7%</t>
  </si>
  <si>
    <t>115/350=28,326</t>
  </si>
  <si>
    <t>-207.77x500=   13,741$</t>
  </si>
  <si>
    <t>Trade @ 350, GL  33,288</t>
  </si>
  <si>
    <t>Trade @ 1,500, GL  94,036</t>
  </si>
  <si>
    <t>Trade @ 10, GL  141,899</t>
  </si>
  <si>
    <t>Trade @ 10,000, GL - 100,993</t>
  </si>
  <si>
    <t>Trade @ 3,000, GL - 23,567</t>
  </si>
  <si>
    <t>Trade @ 200, GL  9,820</t>
  </si>
  <si>
    <t>Pile @ 5,000, GL - 50,641</t>
  </si>
  <si>
    <t>Pile @ 485,000, GL - 119,709</t>
  </si>
  <si>
    <t>Trade @ 10,000, GL  362</t>
  </si>
  <si>
    <t>Pile @ 10,500, GL - 29,977</t>
  </si>
  <si>
    <t>Pile @ 10, GL  18,116</t>
  </si>
  <si>
    <t>-12.96x8000=    +10,768 EUR</t>
  </si>
  <si>
    <t>Resell @ 9.4%</t>
  </si>
  <si>
    <t>3,715/48,000=53,143</t>
  </si>
  <si>
    <t>-12.59x2000=   3,432$</t>
  </si>
  <si>
    <t>Trade @ 48,000, GL  11,819</t>
  </si>
  <si>
    <t>Pile @ 12,000, GL - 10,430</t>
  </si>
  <si>
    <t>Pile @ 10, GL  93,115</t>
  </si>
  <si>
    <t>Trade @ 20,000, GL  76,023</t>
  </si>
  <si>
    <t>Trade @ 1, GL  37,550</t>
  </si>
  <si>
    <t>Pile @ 1, GL  66,144</t>
  </si>
  <si>
    <t>Trade @ 512, GL  4,619</t>
  </si>
  <si>
    <t>Trade @ 800, GL  83,061</t>
  </si>
  <si>
    <t>Trade @ 2,000, GL  135,899</t>
  </si>
  <si>
    <t>Trade @ 234, GL  116,756</t>
  </si>
  <si>
    <t>Pile @ 121,000, GL - 255,279</t>
  </si>
  <si>
    <t>-108.61x700=    +5,943 USD</t>
  </si>
  <si>
    <t>Sell @ 7.3%</t>
  </si>
  <si>
    <t>589/1,800=68,963</t>
  </si>
  <si>
    <t>-92.95x500=   12,075$</t>
  </si>
  <si>
    <t>Trade @ 1,800, GL  37,853</t>
  </si>
  <si>
    <t>Trade @ , GL  62,342</t>
  </si>
  <si>
    <t>Pile @ , GL  177,515</t>
  </si>
  <si>
    <t>Pile @ 5,000, GL - 170,266</t>
  </si>
  <si>
    <t>Pile @ 120,000, GL - 353,927</t>
  </si>
  <si>
    <t>Trade @ 8,000, GL  6,545</t>
  </si>
  <si>
    <t>Trade @ , GL  33,201</t>
  </si>
  <si>
    <t>-9.23x10000=    +12,550 USD</t>
  </si>
  <si>
    <t>Resell @ 12.0%</t>
  </si>
  <si>
    <t>3,984/10,000=41,793</t>
  </si>
  <si>
    <t>-9.61x8000=   7,040$</t>
  </si>
  <si>
    <t>Trade @ 10,000, GL - 19,100</t>
  </si>
  <si>
    <t>Pile @ , GL  43,473</t>
  </si>
  <si>
    <t>Trade @ 1,000, GL - 13,640</t>
  </si>
  <si>
    <t>Pile @ , GL  45,918</t>
  </si>
  <si>
    <t>Pile @ 15,518, GL - 293,326</t>
  </si>
  <si>
    <t>Trade @ 1,200, GL - 20,384</t>
  </si>
  <si>
    <t>Pile @ 200, GL  41,285</t>
  </si>
  <si>
    <t>Trade @ 11,000, GL - 108,784</t>
  </si>
  <si>
    <t>Trade @ , GL  13,563</t>
  </si>
  <si>
    <t>Trade @ , GL  5,965</t>
  </si>
  <si>
    <t>Pile @ 4,000, GL - 51,939</t>
  </si>
  <si>
    <t>Trade @ 1,600, GL - 9,713</t>
  </si>
  <si>
    <t>Pile @ 10,000, GL - 12,531</t>
  </si>
  <si>
    <t>Pile @ , GL  9,803</t>
  </si>
  <si>
    <t>Pile @ , GL - 161,483</t>
  </si>
  <si>
    <t>Pile @ 2,000, GL  192,682</t>
  </si>
  <si>
    <t>Pile @ 10, GL  60,208</t>
  </si>
  <si>
    <t>Pile @ 17,000, GL  255,617</t>
  </si>
  <si>
    <t>-5.34x77100=    +321,122 USD</t>
  </si>
  <si>
    <t>Resell @ 43.8%</t>
  </si>
  <si>
    <t>1,200/77,100=11,411</t>
  </si>
  <si>
    <t>Trade @ 77,100, GL  321,122</t>
  </si>
  <si>
    <t>Sell_Advice</t>
  </si>
  <si>
    <t>SORT</t>
  </si>
  <si>
    <t>Rev_B@Y</t>
  </si>
  <si>
    <t>HOLD</t>
  </si>
  <si>
    <t>?</t>
  </si>
  <si>
    <t>Pile?</t>
  </si>
  <si>
    <t>Clickable Ticker List</t>
  </si>
  <si>
    <t>Column7</t>
  </si>
  <si>
    <t>Column8</t>
  </si>
  <si>
    <t>GL_Total</t>
  </si>
  <si>
    <t>M&gt;max(A,Y)</t>
  </si>
  <si>
    <t>void</t>
  </si>
  <si>
    <t>Vertical M &amp; A</t>
  </si>
  <si>
    <t>Verrtical M&amp;A</t>
  </si>
  <si>
    <t>TradeType</t>
  </si>
  <si>
    <t>STOCK</t>
  </si>
  <si>
    <t>Reverse Sale</t>
  </si>
  <si>
    <t>Saldo Change</t>
  </si>
  <si>
    <t>Sum Change</t>
  </si>
  <si>
    <t>GL Sorted</t>
  </si>
  <si>
    <t>Price Rank</t>
  </si>
  <si>
    <t>Last(Y-M)</t>
  </si>
  <si>
    <t>Sum Change %</t>
  </si>
  <si>
    <t>TickerChoice</t>
  </si>
  <si>
    <t>Sorted</t>
  </si>
  <si>
    <t>BuyMore</t>
  </si>
  <si>
    <t>End of Downloaded Data</t>
  </si>
  <si>
    <t>Loosers</t>
  </si>
  <si>
    <t>Summary0</t>
  </si>
  <si>
    <t>Summary1</t>
  </si>
  <si>
    <t>Summary2</t>
  </si>
  <si>
    <t>Summary3</t>
  </si>
  <si>
    <t>Summary4</t>
  </si>
  <si>
    <t>Summary5</t>
  </si>
  <si>
    <t>Summary6</t>
  </si>
  <si>
    <t>Summary7</t>
  </si>
  <si>
    <t>Summary8</t>
  </si>
  <si>
    <t>Summary9</t>
  </si>
  <si>
    <t>Summary10</t>
  </si>
  <si>
    <t>Summary11</t>
  </si>
  <si>
    <t>Summary12</t>
  </si>
  <si>
    <t>Summary13</t>
  </si>
  <si>
    <t>Summary14</t>
  </si>
  <si>
    <t>Summary15</t>
  </si>
  <si>
    <t>Summary16</t>
  </si>
  <si>
    <t>Summary17</t>
  </si>
  <si>
    <t>Summary18</t>
  </si>
  <si>
    <t>Summary19</t>
  </si>
  <si>
    <t>Summary20</t>
  </si>
  <si>
    <t>GL%</t>
  </si>
  <si>
    <t>M-Value-Begin</t>
  </si>
  <si>
    <t>M-Begin</t>
  </si>
  <si>
    <t>Cost_Begin</t>
  </si>
  <si>
    <t>Added Stock Value</t>
  </si>
  <si>
    <t>MinB/M</t>
  </si>
  <si>
    <t>ClickTick</t>
  </si>
  <si>
    <t>Stock @M</t>
  </si>
  <si>
    <t>Cost EUR</t>
  </si>
  <si>
    <t>SellMore@A</t>
  </si>
  <si>
    <t>BuyMore@A</t>
  </si>
  <si>
    <t>Change% Yesterday</t>
  </si>
  <si>
    <t>Rev(MinStock)</t>
  </si>
  <si>
    <t>GLMore@A</t>
  </si>
  <si>
    <t>Traps</t>
  </si>
  <si>
    <t>Code</t>
  </si>
  <si>
    <t>SellMore(/A)</t>
  </si>
  <si>
    <t>BREAKEVEN</t>
  </si>
  <si>
    <t>nxGL/s(M-A)</t>
  </si>
  <si>
    <t>Rev_GL</t>
  </si>
  <si>
    <t>Eff. Cost Now</t>
  </si>
  <si>
    <t>Trade Gain</t>
  </si>
  <si>
    <t>Begin/Status</t>
  </si>
  <si>
    <t>No Stock</t>
  </si>
  <si>
    <t>Rev_GL0</t>
  </si>
  <si>
    <t>Rev_GL1</t>
  </si>
  <si>
    <t>Rev_GL2</t>
  </si>
  <si>
    <t>Rev_GL3</t>
  </si>
  <si>
    <t>Rev_GL4</t>
  </si>
  <si>
    <t>Rev_GL5</t>
  </si>
  <si>
    <t>Rev_GL6</t>
  </si>
  <si>
    <t>Rev_GL7</t>
  </si>
  <si>
    <t>Rev_GL8</t>
  </si>
  <si>
    <t>Rev_GL9</t>
  </si>
  <si>
    <t>Rev_GL10</t>
  </si>
  <si>
    <t>Rev_GL11</t>
  </si>
  <si>
    <t>Rev_GL12</t>
  </si>
  <si>
    <t>Rev_GL13</t>
  </si>
  <si>
    <t>Rev_GL14</t>
  </si>
  <si>
    <t>Rev_GL15</t>
  </si>
  <si>
    <t>Rev_GL16</t>
  </si>
  <si>
    <t>Rev_GL17</t>
  </si>
  <si>
    <t>Rev_GL18</t>
  </si>
  <si>
    <t>Rev_GL19</t>
  </si>
  <si>
    <t>Rev_GL20</t>
  </si>
  <si>
    <t>From Yesterday</t>
  </si>
  <si>
    <t>Free2_0</t>
  </si>
  <si>
    <t>Free2_1</t>
  </si>
  <si>
    <t>Free2_2</t>
  </si>
  <si>
    <t>Free2_3</t>
  </si>
  <si>
    <t>Free2_4</t>
  </si>
  <si>
    <t>Free2_5</t>
  </si>
  <si>
    <t>Free2_6</t>
  </si>
  <si>
    <t>Free2_7</t>
  </si>
  <si>
    <t>Free2_8</t>
  </si>
  <si>
    <t>Free2_9</t>
  </si>
  <si>
    <t>Free2_10</t>
  </si>
  <si>
    <t>Free2_11</t>
  </si>
  <si>
    <t>Free2_12</t>
  </si>
  <si>
    <t>Free2_13</t>
  </si>
  <si>
    <t>Free2_14</t>
  </si>
  <si>
    <t>Free2_15</t>
  </si>
  <si>
    <t>Free2_16</t>
  </si>
  <si>
    <t>Free2_17</t>
  </si>
  <si>
    <t>Free2_18</t>
  </si>
  <si>
    <t>Free2_19</t>
  </si>
  <si>
    <t>Free2_20</t>
  </si>
  <si>
    <t xml:space="preserve">Reverse Sale Last Shares Bought n*(M+L_Bp) </t>
  </si>
  <si>
    <t>Reverse Buy Last Shares Sold n*(L_Sp-M)</t>
  </si>
  <si>
    <t>Commission</t>
  </si>
  <si>
    <t>Enter Ticker</t>
  </si>
  <si>
    <t>SumCh</t>
  </si>
  <si>
    <t>Target1Y</t>
  </si>
  <si>
    <t>ReBUY</t>
  </si>
  <si>
    <t>Xagio</t>
  </si>
  <si>
    <t>SumCh%</t>
  </si>
  <si>
    <t>SaldChnge</t>
  </si>
  <si>
    <t>PE</t>
  </si>
  <si>
    <t>P_Rating</t>
  </si>
  <si>
    <t>Change %</t>
  </si>
  <si>
    <t>Low52</t>
  </si>
  <si>
    <t>Change Rank</t>
  </si>
  <si>
    <t>High52</t>
  </si>
  <si>
    <t>RSI_Conv</t>
  </si>
  <si>
    <t>Volume_Average</t>
  </si>
  <si>
    <t>RevSale</t>
  </si>
  <si>
    <t>ReBuy</t>
  </si>
  <si>
    <t>Extra_Value</t>
  </si>
  <si>
    <t>Alln*M-A:GL$</t>
  </si>
  <si>
    <t>Listt of Tables</t>
  </si>
  <si>
    <t>GL@Currency</t>
  </si>
  <si>
    <t>EfCost@Cur</t>
  </si>
  <si>
    <t>GL/EfCost[%]</t>
  </si>
  <si>
    <t>CostReduct</t>
  </si>
  <si>
    <t>Gainers</t>
  </si>
  <si>
    <t>EfCost&gt;0</t>
  </si>
  <si>
    <t>EfCost&lt;=GL</t>
  </si>
  <si>
    <t>M_Value Gainers</t>
  </si>
  <si>
    <t>M_Value Loosers</t>
  </si>
  <si>
    <t>@Currency</t>
  </si>
  <si>
    <t>-ASML, -ALDNE</t>
  </si>
  <si>
    <t>$ Change Last Days % Sum of Changes</t>
  </si>
  <si>
    <t>Sales</t>
  </si>
  <si>
    <t>Gain/Loss  vs. A</t>
  </si>
  <si>
    <t>easyJet PLC Registered</t>
  </si>
  <si>
    <t>GB00B7KR2P84</t>
  </si>
  <si>
    <t>vs.A%</t>
  </si>
  <si>
    <t>vs.A_GL</t>
  </si>
  <si>
    <t>Y_Change</t>
  </si>
  <si>
    <t>Y Trend</t>
  </si>
  <si>
    <t>US9129321009</t>
  </si>
  <si>
    <t>Delta 20-19</t>
  </si>
  <si>
    <t>Delta 19</t>
  </si>
  <si>
    <t>Delta 0</t>
  </si>
  <si>
    <t>Delta 1</t>
  </si>
  <si>
    <t>Delta 2</t>
  </si>
  <si>
    <t>Delta 3</t>
  </si>
  <si>
    <t>Delta 4</t>
  </si>
  <si>
    <t>Delta 5</t>
  </si>
  <si>
    <t>Delta 6</t>
  </si>
  <si>
    <t>Delta 7</t>
  </si>
  <si>
    <t>Delta 8</t>
  </si>
  <si>
    <t>Delta 9</t>
  </si>
  <si>
    <t>Delta 10</t>
  </si>
  <si>
    <t>Delta 11</t>
  </si>
  <si>
    <t>Delta 12</t>
  </si>
  <si>
    <t>Delta 13</t>
  </si>
  <si>
    <t>Delta 14</t>
  </si>
  <si>
    <t>Delta 15</t>
  </si>
  <si>
    <t>Delta 16</t>
  </si>
  <si>
    <t>Delta 17</t>
  </si>
  <si>
    <t>Delta 18</t>
  </si>
  <si>
    <t>Date20</t>
  </si>
  <si>
    <t>Date19</t>
  </si>
  <si>
    <t>Date18</t>
  </si>
  <si>
    <t>Date17</t>
  </si>
  <si>
    <t>Date16</t>
  </si>
  <si>
    <t>Date15</t>
  </si>
  <si>
    <t>Date14</t>
  </si>
  <si>
    <t>Date13</t>
  </si>
  <si>
    <t>Date12</t>
  </si>
  <si>
    <t>Date11</t>
  </si>
  <si>
    <t>Date10</t>
  </si>
  <si>
    <t>Date9</t>
  </si>
  <si>
    <t>Date8</t>
  </si>
  <si>
    <t>Date7</t>
  </si>
  <si>
    <t>Date6</t>
  </si>
  <si>
    <t>Date5</t>
  </si>
  <si>
    <t>Date4</t>
  </si>
  <si>
    <t>Date3</t>
  </si>
  <si>
    <t>CurrentGL_n(@A)</t>
  </si>
  <si>
    <t>AddValue/AddCash</t>
  </si>
  <si>
    <t>Loss</t>
  </si>
  <si>
    <t>M-Value</t>
  </si>
  <si>
    <t>Ch%_Yest</t>
  </si>
  <si>
    <t>Y_Ch%</t>
  </si>
  <si>
    <t>SncOpenYest%</t>
  </si>
  <si>
    <t>GL/New Cash %</t>
  </si>
  <si>
    <t>Initial Cost</t>
  </si>
  <si>
    <t>GL/Eff.Cost</t>
  </si>
  <si>
    <t>Value Efficiency</t>
  </si>
  <si>
    <t>AddedCash</t>
  </si>
  <si>
    <t>Eff. CostGL</t>
  </si>
  <si>
    <t>Eff.Cost Free</t>
  </si>
  <si>
    <t>Loosers Eff. Cost</t>
  </si>
  <si>
    <t>Gainers Eff. Cost</t>
  </si>
  <si>
    <t>Total Eff. Cost</t>
  </si>
  <si>
    <t>Cash Investment</t>
  </si>
  <si>
    <t>V_Gain/Loss</t>
  </si>
  <si>
    <t>Gain of Free</t>
  </si>
  <si>
    <t>NewValue/New Cash</t>
  </si>
  <si>
    <t>Sales Income - New Buys</t>
  </si>
  <si>
    <t>New Cash Investment</t>
  </si>
  <si>
    <t>Z</t>
  </si>
  <si>
    <t>D</t>
  </si>
  <si>
    <t>U</t>
  </si>
  <si>
    <t>Group 25</t>
  </si>
  <si>
    <t>Length</t>
  </si>
  <si>
    <t>Transition matrix</t>
  </si>
  <si>
    <t>M Price</t>
  </si>
  <si>
    <t>DD</t>
  </si>
  <si>
    <t>DU</t>
  </si>
  <si>
    <t>UD</t>
  </si>
  <si>
    <t>UU</t>
  </si>
  <si>
    <t>&lt;&lt;</t>
  </si>
  <si>
    <t>&lt;&gt;</t>
  </si>
  <si>
    <t>&gt;&lt;</t>
  </si>
  <si>
    <t>&gt;&gt;</t>
  </si>
  <si>
    <t>D(Z)U</t>
  </si>
  <si>
    <t>Right pair becomes new left pair!</t>
  </si>
  <si>
    <t>DDU</t>
  </si>
  <si>
    <t>DUD</t>
  </si>
  <si>
    <t>DUU</t>
  </si>
  <si>
    <t>UDD</t>
  </si>
  <si>
    <t>UDU</t>
  </si>
  <si>
    <t>UUD</t>
  </si>
  <si>
    <t>UUU</t>
  </si>
  <si>
    <t xml:space="preserve"> </t>
  </si>
  <si>
    <t>Dataset Size-140</t>
  </si>
  <si>
    <t>Last Ttriplet</t>
  </si>
  <si>
    <t>another formula</t>
  </si>
  <si>
    <t>Stationary P(U)</t>
  </si>
  <si>
    <t>P(Up) [%]</t>
  </si>
  <si>
    <t>20 items set</t>
  </si>
  <si>
    <t>P(Down)[%]</t>
  </si>
  <si>
    <t>Number of Downs</t>
  </si>
  <si>
    <t>Dataset Size=20</t>
  </si>
  <si>
    <t>Dataset Size=20 (Recent)</t>
  </si>
  <si>
    <t>Up20</t>
  </si>
  <si>
    <t>Up150</t>
  </si>
  <si>
    <t>Daily Trades</t>
  </si>
  <si>
    <t>Summary</t>
  </si>
  <si>
    <t>Net Cash</t>
  </si>
  <si>
    <t>Sales Income</t>
  </si>
  <si>
    <t>Free Cash</t>
  </si>
  <si>
    <t>Re-Invested</t>
  </si>
  <si>
    <t>Value Begin</t>
  </si>
  <si>
    <t>Total G/L</t>
  </si>
  <si>
    <t>Net Cost</t>
  </si>
  <si>
    <t>All Buys</t>
  </si>
  <si>
    <t>Excl. Begin</t>
  </si>
  <si>
    <t>Value/Cost</t>
  </si>
  <si>
    <t>V_Trade Net</t>
  </si>
  <si>
    <t>Trade Total</t>
  </si>
  <si>
    <t>GL/Cost</t>
  </si>
  <si>
    <t>GL_Value</t>
  </si>
  <si>
    <t>Number of Ups</t>
  </si>
  <si>
    <t>Day</t>
  </si>
  <si>
    <t>of Dailies</t>
  </si>
  <si>
    <t>Year 2025</t>
  </si>
  <si>
    <t>M vs. Last Buy G/L (%-$), M&gt;Y Sell?</t>
  </si>
  <si>
    <t>SellMore</t>
  </si>
  <si>
    <t>NoStock</t>
  </si>
  <si>
    <t>AVGChan0</t>
  </si>
  <si>
    <t>AVGChan1</t>
  </si>
  <si>
    <t>AVGChan2</t>
  </si>
  <si>
    <t>AVGChan3</t>
  </si>
  <si>
    <t>AVGChan4</t>
  </si>
  <si>
    <t>AVGChan5</t>
  </si>
  <si>
    <t>AVGChan6</t>
  </si>
  <si>
    <t>AVGChan7</t>
  </si>
  <si>
    <t>AVGChan8</t>
  </si>
  <si>
    <t>AVGChan9</t>
  </si>
  <si>
    <t>AVGChan10</t>
  </si>
  <si>
    <t>AVGChan11</t>
  </si>
  <si>
    <t>AVGChan12</t>
  </si>
  <si>
    <t>AVGChan13</t>
  </si>
  <si>
    <t>AVGChan14</t>
  </si>
  <si>
    <t>AVGChan15</t>
  </si>
  <si>
    <t>AVGChan16</t>
  </si>
  <si>
    <t>AVGChan17</t>
  </si>
  <si>
    <t>AVGChan18</t>
  </si>
  <si>
    <t>AVGChan19</t>
  </si>
  <si>
    <t>AVGChan20</t>
  </si>
  <si>
    <t>AvgChange</t>
  </si>
  <si>
    <t>US3376553026</t>
  </si>
  <si>
    <t>WALGREENS BOOTS CVR</t>
  </si>
  <si>
    <t>US931CVR0133</t>
  </si>
  <si>
    <t>BNP Paribas</t>
  </si>
  <si>
    <t>Stationary P(D)</t>
  </si>
  <si>
    <t>Stationary probabilities</t>
  </si>
  <si>
    <t>St.Prob.</t>
  </si>
  <si>
    <t>Short History</t>
  </si>
  <si>
    <t>Long History</t>
  </si>
  <si>
    <t>Last 2 Days</t>
  </si>
  <si>
    <t xml:space="preserve">Reverses </t>
  </si>
  <si>
    <t>Re-Purchase vs A</t>
  </si>
  <si>
    <t>Stationary Probability</t>
  </si>
  <si>
    <t>DifUps</t>
  </si>
  <si>
    <t>MarkUp0</t>
  </si>
  <si>
    <t>MarkUp1</t>
  </si>
  <si>
    <t>MarkUp2</t>
  </si>
  <si>
    <t>MarkUp3</t>
  </si>
  <si>
    <t>MarkUp4</t>
  </si>
  <si>
    <t>MarkUp5</t>
  </si>
  <si>
    <t>MarkUp6</t>
  </si>
  <si>
    <t>MarkUp7</t>
  </si>
  <si>
    <t>MarkUp8</t>
  </si>
  <si>
    <t>MarkUp9</t>
  </si>
  <si>
    <t>MarkUp10</t>
  </si>
  <si>
    <t>MarkUp11</t>
  </si>
  <si>
    <t>MarkUp12</t>
  </si>
  <si>
    <t>MarkUp13</t>
  </si>
  <si>
    <t>MarkUp14</t>
  </si>
  <si>
    <t>MarkUp15</t>
  </si>
  <si>
    <t>MarkUp16</t>
  </si>
  <si>
    <t>MarkUp17</t>
  </si>
  <si>
    <t>MarkUp18</t>
  </si>
  <si>
    <t>MarkUp19</t>
  </si>
  <si>
    <t>MarkUp20</t>
  </si>
  <si>
    <t>Sum**2_0</t>
  </si>
  <si>
    <t>Sum**2_1</t>
  </si>
  <si>
    <t>Sum**2_2</t>
  </si>
  <si>
    <t>Sum**2_3</t>
  </si>
  <si>
    <t>Sum**2_4</t>
  </si>
  <si>
    <t>Sum**2_5</t>
  </si>
  <si>
    <t>Sum**2_6</t>
  </si>
  <si>
    <t>Sum**2_7</t>
  </si>
  <si>
    <t>Sum**2_8</t>
  </si>
  <si>
    <t>Sum**2_9</t>
  </si>
  <si>
    <t>Sum**2_10</t>
  </si>
  <si>
    <t>Sum**2_11</t>
  </si>
  <si>
    <t>Sum**2_12</t>
  </si>
  <si>
    <t>Sum**2_13</t>
  </si>
  <si>
    <t>Sum**2_14</t>
  </si>
  <si>
    <t>Sum**2_15</t>
  </si>
  <si>
    <t>Sum**2_16</t>
  </si>
  <si>
    <t>Sum**2_17</t>
  </si>
  <si>
    <t>Sum**2_18</t>
  </si>
  <si>
    <t>Sum**2_19</t>
  </si>
  <si>
    <t>Sum**2_20</t>
  </si>
  <si>
    <t>150 days history</t>
  </si>
  <si>
    <t>20 days history</t>
  </si>
  <si>
    <t>DPWC20</t>
  </si>
  <si>
    <t>DPWC150</t>
  </si>
  <si>
    <t>Type</t>
  </si>
  <si>
    <t>Buy_Back</t>
  </si>
  <si>
    <t>Sale_Back_$</t>
  </si>
  <si>
    <t>Subject:</t>
  </si>
  <si>
    <t>Imp20</t>
  </si>
  <si>
    <t>Imp150</t>
  </si>
  <si>
    <t>Total:</t>
  </si>
  <si>
    <t>Add</t>
  </si>
  <si>
    <t>Saldo vs Open</t>
  </si>
  <si>
    <t>Week Trade History</t>
  </si>
  <si>
    <t>vs.LS%</t>
  </si>
  <si>
    <t>vs.LS$</t>
  </si>
  <si>
    <t>vs.LBt%</t>
  </si>
  <si>
    <t>vs.LB$</t>
  </si>
  <si>
    <t>Rev%</t>
  </si>
  <si>
    <t>Saldo5Change</t>
  </si>
  <si>
    <t>Ann%RevLB</t>
  </si>
  <si>
    <t>SinceClose</t>
  </si>
  <si>
    <t>PreDay</t>
  </si>
  <si>
    <t xml:space="preserve">Reverse </t>
  </si>
  <si>
    <t>Order</t>
  </si>
  <si>
    <t>Value Of</t>
  </si>
  <si>
    <t>Right Blazing Star</t>
  </si>
  <si>
    <t>Naft0</t>
  </si>
  <si>
    <t>Naft1</t>
  </si>
  <si>
    <t>Naft2</t>
  </si>
  <si>
    <t>Naft3</t>
  </si>
  <si>
    <t>Naft4</t>
  </si>
  <si>
    <t>Naft5</t>
  </si>
  <si>
    <t>Naft6</t>
  </si>
  <si>
    <t>Naft7</t>
  </si>
  <si>
    <t>Naft8</t>
  </si>
  <si>
    <t>Naft9</t>
  </si>
  <si>
    <t>Naft10</t>
  </si>
  <si>
    <t>Naft11</t>
  </si>
  <si>
    <t>Naft12</t>
  </si>
  <si>
    <t>Naft13</t>
  </si>
  <si>
    <t>Naft14</t>
  </si>
  <si>
    <t>Naft15</t>
  </si>
  <si>
    <t>Naft16</t>
  </si>
  <si>
    <t>Naft17</t>
  </si>
  <si>
    <t>Naft18</t>
  </si>
  <si>
    <t>Naft19</t>
  </si>
  <si>
    <t>Naft20</t>
  </si>
  <si>
    <t>Median</t>
  </si>
  <si>
    <t>MAD</t>
  </si>
  <si>
    <t>D: Tanh</t>
  </si>
  <si>
    <t>DPWC</t>
  </si>
  <si>
    <t>E4</t>
  </si>
  <si>
    <t>E3</t>
  </si>
  <si>
    <t>E2</t>
  </si>
  <si>
    <t>E5</t>
  </si>
  <si>
    <t>E6</t>
  </si>
  <si>
    <t>Confidence</t>
  </si>
  <si>
    <t>Change (Reality)</t>
  </si>
  <si>
    <t>Prediction</t>
  </si>
  <si>
    <t>Last VBA Shift</t>
  </si>
  <si>
    <t>Up-Down M%</t>
  </si>
  <si>
    <t>Nafter</t>
  </si>
  <si>
    <t>Summary Table</t>
  </si>
  <si>
    <t>Stock Vslue</t>
  </si>
  <si>
    <t>CONSOLID</t>
  </si>
  <si>
    <t>ID</t>
  </si>
  <si>
    <t>REG</t>
  </si>
  <si>
    <t>Remain</t>
  </si>
  <si>
    <t>Reg</t>
  </si>
  <si>
    <t>Consolid</t>
  </si>
  <si>
    <t>Annualized</t>
  </si>
  <si>
    <t>Used in Sorting</t>
  </si>
  <si>
    <t>Free1</t>
  </si>
  <si>
    <t>Free2</t>
  </si>
  <si>
    <t>WorkDayToday</t>
  </si>
  <si>
    <t>LastWorkday</t>
  </si>
  <si>
    <t>Buy:@M&gt;@Y?</t>
  </si>
  <si>
    <t>A =min</t>
  </si>
  <si>
    <t>AMZ</t>
  </si>
  <si>
    <t>BMZ</t>
  </si>
  <si>
    <t>ZONE width</t>
  </si>
  <si>
    <t>AZ</t>
  </si>
  <si>
    <t>BZ</t>
  </si>
  <si>
    <t>NZ</t>
  </si>
  <si>
    <t>NMZ</t>
  </si>
  <si>
    <t>Fiduciary Call USD, 3.550%, 29.04.2024, TC BNP Paribas, Luxembourg (67008135)</t>
  </si>
  <si>
    <t>Day GL(V+C)</t>
  </si>
  <si>
    <t>NMA</t>
  </si>
  <si>
    <t>Expectation</t>
  </si>
  <si>
    <t>MarkUP</t>
  </si>
  <si>
    <t>Change flattening, Agio 91, Up43: time to sell?</t>
  </si>
  <si>
    <t xml:space="preserve"> 5 Days</t>
  </si>
  <si>
    <t>trade vs Market</t>
  </si>
  <si>
    <t>Daily Difference</t>
  </si>
  <si>
    <t>BUYS-SALES</t>
  </si>
  <si>
    <t>When a cell value is changed (edited) a harmless error message is generated: the work can just continue</t>
  </si>
  <si>
    <t>In worksheet ID</t>
  </si>
  <si>
    <t>Total Effective Cost</t>
  </si>
  <si>
    <t>Differences</t>
  </si>
  <si>
    <t>PrePreClose</t>
  </si>
  <si>
    <t>RevenueM&gt;A</t>
  </si>
  <si>
    <t>DSY: Watch Effective Price in Calc; Agio 193, MUP62</t>
  </si>
  <si>
    <t>25/9: Hold (Agio53, on MUP67): limit 115.92</t>
  </si>
  <si>
    <t>Ch_Today</t>
  </si>
  <si>
    <t>CH_TODAY</t>
  </si>
  <si>
    <t>FORECAST</t>
  </si>
  <si>
    <t>MUP</t>
  </si>
  <si>
    <t>StDate</t>
  </si>
  <si>
    <t>Low Agio: trend down?</t>
  </si>
  <si>
    <t>Formulas disigned to CopyPaste below: don't cut, move or overwrite!</t>
  </si>
  <si>
    <t>Sell vs A</t>
  </si>
  <si>
    <t>Buy vs A</t>
  </si>
  <si>
    <t>Result:(A-M)/M</t>
  </si>
  <si>
    <t>Result:(M-A)/A</t>
  </si>
  <si>
    <t>Sell/Buy more vs. nT*A</t>
  </si>
  <si>
    <t>Ann.</t>
  </si>
  <si>
    <t>Reverse Buy</t>
  </si>
  <si>
    <t>Reverse Sell</t>
  </si>
  <si>
    <t>vs. A</t>
  </si>
  <si>
    <t>-1%/65%@28.49:(508=14472); RSI shows inflexion point +2k bought</t>
  </si>
  <si>
    <t>1%/62%@75.63:(1098=83036); 1,000 bought (Low A, high Ch)</t>
  </si>
  <si>
    <t>0=0</t>
  </si>
  <si>
    <t>1053=79838</t>
  </si>
  <si>
    <t>501=14343</t>
  </si>
  <si>
    <t>449=52634</t>
  </si>
  <si>
    <t>0/116@73.76:(0=0)</t>
  </si>
  <si>
    <t>-1/100@28.06:(0=0)</t>
  </si>
  <si>
    <t>1%/82%@75.82:(1053=79838)</t>
  </si>
  <si>
    <t>-1%/92%@28.63:(501=14343)</t>
  </si>
  <si>
    <t>Change Today</t>
  </si>
  <si>
    <t>Change Yesterday</t>
  </si>
  <si>
    <t>Agio%</t>
  </si>
  <si>
    <t>JBASML</t>
  </si>
  <si>
    <t>JBASML2</t>
  </si>
  <si>
    <t>JBASML1</t>
  </si>
  <si>
    <t>M vs. Last Sale or AG/L (%-$), M&gt;Y Buy?</t>
  </si>
  <si>
    <t>Glnow_/M_Value_K$</t>
  </si>
  <si>
    <t>Ag:Ch</t>
  </si>
  <si>
    <t>Eff.Cost</t>
  </si>
  <si>
    <t>MARKup</t>
  </si>
  <si>
    <t>97=24941.61</t>
  </si>
  <si>
    <t>22=19307.2</t>
  </si>
  <si>
    <t>32=28083.2</t>
  </si>
  <si>
    <t>0%/74%@257.13:(97=24941.61)Up: 60%</t>
  </si>
  <si>
    <t>4%/115%@877.60:(22=19307.2)</t>
  </si>
  <si>
    <t>0%/65%@77.44:(0=0)</t>
  </si>
  <si>
    <t>4%/67%@11.58:(0=0)</t>
  </si>
  <si>
    <t>4%/115%@877.60:(32=28083.2)</t>
  </si>
  <si>
    <t>Right pair becomes new left pair of the next day!</t>
  </si>
  <si>
    <t>20 days</t>
  </si>
  <si>
    <t>See 1YT</t>
  </si>
  <si>
    <t>To climb because of the new product, high volatility, keeps 3/10</t>
  </si>
  <si>
    <t>Price &amp; Agio Up</t>
  </si>
  <si>
    <t>High 1YT</t>
  </si>
  <si>
    <t>Keep climbing</t>
  </si>
  <si>
    <t>Stable Climbing, very low Agio</t>
  </si>
  <si>
    <t>305=66,951</t>
  </si>
  <si>
    <t>948=27,890</t>
  </si>
  <si>
    <t>7462=23,281</t>
  </si>
  <si>
    <t>255=55,975</t>
  </si>
  <si>
    <t>977=10,216</t>
  </si>
  <si>
    <t>31=27,283</t>
  </si>
  <si>
    <t>2192=35,335</t>
  </si>
  <si>
    <t>(-1.3%):98%)@219.51:(305=66,951)&gt;UpMark 0%</t>
  </si>
  <si>
    <t>(0.4%:69%)@67.92:(12750.3)&gt;UpMark 57%</t>
  </si>
  <si>
    <t>(0.7%:0%)@39.22:(0=0)&gt;UpMark 83%</t>
  </si>
  <si>
    <t>(1.1%:1%)@29.42:(948=27,890)&gt;UpMark 0%</t>
  </si>
  <si>
    <t>(2.1%:126%)@6.86:(0=0)&gt;UpMark 0%</t>
  </si>
  <si>
    <t>(4.3%:143%)@3.12:(7462=23,281)&gt;UpMark 0%</t>
  </si>
  <si>
    <t>(-1.3%:98%)@219.51:(255=55,975)&gt;UpMark 50%</t>
  </si>
  <si>
    <t>(4.3%:143%)@3.12:(0=0)&gt;UpMark 61%</t>
  </si>
  <si>
    <t>(-1.6%):89%)@13.32:(0=0)&gt;UpMark 0%</t>
  </si>
  <si>
    <t>(0.9%:100%)@10.46:(977=10,216)&gt;UpMark 0%</t>
  </si>
  <si>
    <t>(0.3%:78%)@880.10:(31=27,283)&gt;UpMark 93%</t>
  </si>
  <si>
    <t>(1.0%:0%)@16.12:(2192=35,335)&gt;UpMark 77%</t>
  </si>
  <si>
    <t>SaldOp</t>
  </si>
  <si>
    <t>Trade Traps (vs. LT or A)</t>
  </si>
  <si>
    <t>Reverses</t>
  </si>
  <si>
    <t>Positions</t>
  </si>
  <si>
    <t>Sale Back</t>
  </si>
  <si>
    <t>Buy Back</t>
  </si>
  <si>
    <t>Jpy</t>
  </si>
  <si>
    <t>Mitsubishi</t>
  </si>
  <si>
    <t>Softbanlk</t>
  </si>
  <si>
    <t>An_M/LB</t>
  </si>
  <si>
    <t>Column4</t>
  </si>
  <si>
    <t>Column6</t>
  </si>
  <si>
    <t xml:space="preserve">Report Nov-6, uptrend               </t>
  </si>
  <si>
    <t>At loss; buymore at low price (A=24.54)</t>
  </si>
  <si>
    <t>Red color meaning below: formula, not value</t>
  </si>
  <si>
    <t>Very high Entry 290 (GL -167K$)</t>
  </si>
  <si>
    <t>ddd</t>
  </si>
  <si>
    <t>safdis</t>
  </si>
  <si>
    <t>Up37%: wait further fall to buy (530x112.98 bought)</t>
  </si>
  <si>
    <t>nflx</t>
  </si>
  <si>
    <t>52High</t>
  </si>
  <si>
    <t>safddd</t>
  </si>
  <si>
    <t>844=58,223</t>
  </si>
  <si>
    <t>27=10,522@M: 389.7</t>
  </si>
  <si>
    <t>3861=39,151@M: 10.14</t>
  </si>
  <si>
    <t>0=0@M: 112.57</t>
  </si>
  <si>
    <t>1858=22,157@M: 11.925</t>
  </si>
  <si>
    <t>0=0@M: 26.265</t>
  </si>
  <si>
    <t>0=0@M: 79.04</t>
  </si>
  <si>
    <t>(0.1%:89%)@68.99:(844=58,223)&gt;UpMark 50%</t>
  </si>
  <si>
    <t>(0.5%:149%)@389.70:(27=10,522@M: 389.7)&gt;UpMark 82%</t>
  </si>
  <si>
    <t>(0.1%:61%)@10.14:(3861=39,151@M: 10.14)&gt;UpMark 47%</t>
  </si>
  <si>
    <t>(-0.2%:62%)@112.57:(0=0@M: 112.57)&gt;UpMark 0%</t>
  </si>
  <si>
    <t>(-6.1%:243%)@11.93:(1858=22,157@M: 11.925)&gt;UpMark 53%</t>
  </si>
  <si>
    <t>(-0.6%:81%)@26.27:(0=0@M: 26.265)&gt;UpMark 0%</t>
  </si>
  <si>
    <t>(1.6%:89%)@79.04:(0=0@M: 79.04)&gt;UpMark 64%</t>
  </si>
  <si>
    <t>10KX397 (L=405, -391)</t>
  </si>
  <si>
    <t>C=(23% -2.3%, 1.1%) A=1,400%=&gt;158%</t>
  </si>
  <si>
    <t>Low A, H M^</t>
  </si>
  <si>
    <t>C^A^</t>
  </si>
  <si>
    <t>C^A^(C^A^)2-Oct-25</t>
  </si>
  <si>
    <t>96=24,744@M: 257.745</t>
  </si>
  <si>
    <t>(0.5%:78%)@257.75:(96=24,744@M: 257.745)&gt;UpMark 57%</t>
  </si>
  <si>
    <t>AT LIMIT: =MEANS SALE , - BUY ; ^% =MarkUp, !=Down, C^A^=HOLD</t>
  </si>
  <si>
    <t>62%M^</t>
  </si>
  <si>
    <t>%M^</t>
  </si>
  <si>
    <t>TSR = reverse sale; %M^=MarkUp</t>
  </si>
  <si>
    <t>GL+;C^A^^;58%M^</t>
  </si>
  <si>
    <t>C^A^; HOLD, A=2.28; 57%M^</t>
  </si>
  <si>
    <t>M&gt;A;53%M^</t>
  </si>
  <si>
    <t>TICKER</t>
  </si>
  <si>
    <t>NAME</t>
  </si>
  <si>
    <t>In .002</t>
  </si>
  <si>
    <t>2000 in .002</t>
  </si>
  <si>
    <t>in SAFRA</t>
  </si>
  <si>
    <t>0=0@M: 46.4</t>
  </si>
  <si>
    <t>3269=11,801@M: 3.61</t>
  </si>
  <si>
    <t>4149=27,964@M: 6.74</t>
  </si>
  <si>
    <t>1449=13,360@M: 9.22</t>
  </si>
  <si>
    <t>0=0@M: 16.78</t>
  </si>
  <si>
    <t>3921=52,502@M: 13.39</t>
  </si>
  <si>
    <t>0=0@M: 2.3</t>
  </si>
  <si>
    <t>(0.2%:141%)@46.40:(0=0@M: 46.4)&gt;UpMark 29%</t>
  </si>
  <si>
    <t>(-0.6%:100%)@3.61:(3269=11,801@M: 3.61)&gt;UpMark 0%</t>
  </si>
  <si>
    <t>(4.3%:135%)@6.74:(4149=27,964@M: 6.74)&gt;UpMark 62%</t>
  </si>
  <si>
    <t>(17.0%:1307%)@9.22:(1449=13,360@M: 9.22)&gt;UpMark 58%</t>
  </si>
  <si>
    <t>(-1.8%:2%)@16.78:(0=0@M: 16.78)&gt;UpMark 64%</t>
  </si>
  <si>
    <t>(1.3%:135%)@13.39:(3921=52,502@M: 13.39)&gt;UpMark 76%</t>
  </si>
  <si>
    <t>(-3.0%:229%)@2.30:(0=0@M: 2.3)&gt;UpMark 57%</t>
  </si>
  <si>
    <t>Since Yesterday and Open:  Values &amp;  Ch% +Today</t>
  </si>
  <si>
    <t>SEQ3</t>
  </si>
  <si>
    <t>Z=Factor</t>
  </si>
  <si>
    <t>Saldo_5Day0</t>
  </si>
  <si>
    <t>Saldo_5Day1</t>
  </si>
  <si>
    <t>Saldo_5Day2</t>
  </si>
  <si>
    <t>Saldo_5Day3</t>
  </si>
  <si>
    <t>Saldo_5Day4</t>
  </si>
  <si>
    <t>Saldo_5Day5</t>
  </si>
  <si>
    <t>Saldo_5Day6</t>
  </si>
  <si>
    <t>Saldo_5Day7</t>
  </si>
  <si>
    <t>Saldo_5Day8</t>
  </si>
  <si>
    <t>Saldo_5Day9</t>
  </si>
  <si>
    <t>Saldo_5Day10</t>
  </si>
  <si>
    <t>Saldo_5Day11</t>
  </si>
  <si>
    <t>Saldo_5Day12</t>
  </si>
  <si>
    <t>Saldo_5Day13</t>
  </si>
  <si>
    <t>Saldo_5Day14</t>
  </si>
  <si>
    <t>Saldo_5Day15</t>
  </si>
  <si>
    <t>Saldo_5Day16</t>
  </si>
  <si>
    <t>Saldo_5Day17</t>
  </si>
  <si>
    <t>Saldo_5Day18</t>
  </si>
  <si>
    <t>Saldo_5Day19</t>
  </si>
  <si>
    <t>Saldo_5Day20</t>
  </si>
  <si>
    <t>Last Saldo</t>
  </si>
  <si>
    <t>(0.5%:78%)@257.75:(96=24,744@M: 257.745)&gt;UpMark 57%: CONTINUE V</t>
  </si>
  <si>
    <t>LastMark</t>
  </si>
  <si>
    <t>0=0@M: 232.7</t>
  </si>
  <si>
    <t>(0.6%:119%)@232.70:(0=0@M: 232.7)&gt;UpMark 56%</t>
  </si>
  <si>
    <t>Saldo 5 Days</t>
  </si>
  <si>
    <t>NOW</t>
  </si>
  <si>
    <t>Procedure:</t>
  </si>
  <si>
    <t>Check DataShift bottom to see where larkets in EUR, USD, GBp and CHF are going</t>
  </si>
  <si>
    <t>Completed BuyBack program, ^V;</t>
  </si>
  <si>
    <t>COUNTS</t>
  </si>
  <si>
    <t>GL_R/M_NA</t>
  </si>
  <si>
    <t>GL_nM</t>
  </si>
  <si>
    <t>Sell/Buy_nL</t>
  </si>
  <si>
    <t>Trader: check individually (filter) per currency: CHF, GBp and EUR</t>
  </si>
  <si>
    <t>FROM 61.30 to 60.60 to 60.10 VV</t>
  </si>
  <si>
    <t>1-Commission</t>
  </si>
  <si>
    <t>poet</t>
  </si>
  <si>
    <t>0=0@M: 59.8</t>
  </si>
  <si>
    <t>0=0@M: 56.52</t>
  </si>
  <si>
    <t>(-0.7%:58%)@59.80:(0=0@M: 59.8)&gt;UpMark 0%</t>
  </si>
  <si>
    <t>(1.7%:108%)@56.52:(0=0@M: 56.52)&gt;UpMark 78%</t>
  </si>
  <si>
    <t>MULT. FACTOR</t>
  </si>
  <si>
    <t>M Higher</t>
  </si>
  <si>
    <t>M Lower</t>
  </si>
  <si>
    <t>Description 17/10</t>
  </si>
  <si>
    <t>TonM</t>
  </si>
  <si>
    <t>index</t>
  </si>
  <si>
    <t>MIN/MAX</t>
  </si>
  <si>
    <t>Cost+Gain</t>
  </si>
  <si>
    <t>GL of free stock</t>
  </si>
  <si>
    <t>Browser: check the day/5 days/month movement</t>
  </si>
  <si>
    <t>Watch Markov's probability Upward</t>
  </si>
  <si>
    <t>0=0@M: 34.685</t>
  </si>
  <si>
    <t>(0.7%:99%)@34.69:(0=0@M: 34.685)&gt;UpMark 0%</t>
  </si>
  <si>
    <t>Cash Gan</t>
  </si>
  <si>
    <t>Rev:Sell/Buy)</t>
  </si>
  <si>
    <t>C^A^U33%?</t>
  </si>
  <si>
    <t>132=11,730@M: 88.86</t>
  </si>
  <si>
    <t>21=18,642@M: 887.7</t>
  </si>
  <si>
    <t>(2.1%:111%)@88.86:(132=11,730@M: 88.86)&gt;UpMark 33%</t>
  </si>
  <si>
    <t>(2.0%:93%)@887.70:(21=18,642@M: 887.7)&gt;UpMark 0%</t>
  </si>
  <si>
    <t>Static</t>
  </si>
  <si>
    <t>M_LIVE</t>
  </si>
  <si>
    <t>Earning report 10/29, ^^^42%</t>
  </si>
  <si>
    <t>Earning report 10/29, ^^^38%</t>
  </si>
  <si>
    <t>4000(begin 250): HOLD; V^33%</t>
  </si>
  <si>
    <t>Earning report 10/29, ^^=</t>
  </si>
  <si>
    <t>^^43%</t>
  </si>
  <si>
    <t>TabFIFO updated: 2025-10-24 21:31:29</t>
  </si>
  <si>
    <t>0=0@M: 25.69</t>
  </si>
  <si>
    <t>0=0@M: 129.19</t>
  </si>
  <si>
    <t>451=86,597@M: 192.01</t>
  </si>
  <si>
    <t>12823=49,946@M: 3.895</t>
  </si>
  <si>
    <t>100=21,038@M: 210.38</t>
  </si>
  <si>
    <t>(-2.0%:227%)@25.69:(0=0@M: 25.69)&gt;UpMark 33%</t>
  </si>
  <si>
    <t>(0.9%:98%)@129.19:(0=0@M: 129.19)&gt;UpMark 50%</t>
  </si>
  <si>
    <t>(1.6%:75%)@192.01:(451=86,597@M: 192.01)&gt;UpMark 38%</t>
  </si>
  <si>
    <t>(0.1%:126%)@3.90:(12823=49,946@M: 3.895)&gt;UpMark 42%</t>
  </si>
  <si>
    <t>(1.7%:179%)@210.38:(100=21,038@M: 210.38)&gt;UpMark 43%</t>
  </si>
  <si>
    <t>Description 24 Oct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</si>
</sst>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2">
    <numFmt numFmtId="41" formatCode="_(* #,##0_);_(* \(#,##0\);_(* &quot;-&quot;_);_(@_)"/>
    <numFmt numFmtId="44" formatCode="_(&quot;$&quot;* #,##0.00_);_(&quot;$&quot;* \(#,##0.00\);_(&quot;$&quot;* &quot;-&quot;??_);_(@_)"/>
    <numFmt numFmtId="43" formatCode="_(* #,##0.00_);_(* \(#,##0.00\);_(* &quot;-&quot;??_);_(@_)"/>
    <numFmt numFmtId="164" formatCode="0.00_);[Red]\(0.00\)"/>
    <numFmt numFmtId="165" formatCode="h:mm;@"/>
    <numFmt numFmtId="166" formatCode="[$-409]mmmm\ d\,\ yyyy;@"/>
    <numFmt numFmtId="167" formatCode="_(* #,##0_);_(* \(#,##0\);_(* &quot;-&quot;??_);_(@_)"/>
    <numFmt numFmtId="168" formatCode="&quot;$&quot;#,##0.00;[Red]&quot;$&quot;#,##0.00"/>
    <numFmt numFmtId="169" formatCode="0_);[Red]\(0\)"/>
    <numFmt numFmtId="170" formatCode="[$-409]d\-mmm;@"/>
    <numFmt numFmtId="171" formatCode="#,##0;[Red]#,##0"/>
    <numFmt numFmtId="172" formatCode="0.0%"/>
    <numFmt numFmtId="173" formatCode="#.00;[Red]\-#.00;;@"/>
    <numFmt numFmtId="174" formatCode="_(* #,##0.0_);_(* \(#,##0.0\);_(* &quot;-&quot;??_);_(@_)"/>
    <numFmt numFmtId="175" formatCode="_(* #,##0.00000_);_(* \(#,##0.00000\);_(* &quot;-&quot;??_);_(@_)"/>
    <numFmt numFmtId="176" formatCode="_([$$-409]* #,##0.00_);_([$$-409]* \(#,##0.00\);_([$$-409]* &quot;-&quot;??_);_(@_)"/>
    <numFmt numFmtId="177" formatCode="0.0%;[Red]\-0.0%"/>
    <numFmt numFmtId="178" formatCode="m/d/yy\ h:mm;@"/>
    <numFmt numFmtId="179" formatCode="0%;[Red]\-0%"/>
    <numFmt numFmtId="180" formatCode="#,##0.00%"/>
    <numFmt numFmtId="181" formatCode="0.0_);[Red]\(0.0\)"/>
    <numFmt numFmtId="182" formatCode="0.000"/>
    <numFmt numFmtId="183" formatCode="0;[Red]0"/>
    <numFmt numFmtId="184" formatCode="[$-409]d\-mmm\-yy;@"/>
    <numFmt numFmtId="185" formatCode="#,##0.0000"/>
    <numFmt numFmtId="186" formatCode="#,##0.000"/>
    <numFmt numFmtId="187" formatCode="yyyy\-mm\-dd;@"/>
    <numFmt numFmtId="188" formatCode="_(&quot;$&quot;* #,##0_);_(&quot;$&quot;* \(#,##0\);_(&quot;$&quot;* &quot;-&quot;??_);_(@_)"/>
    <numFmt numFmtId="189" formatCode="0.00%;[Red]\-0.00%"/>
    <numFmt numFmtId="190" formatCode="0.0000%;[Red]\-0.0000%"/>
    <numFmt numFmtId="191" formatCode="_([$€-2]\ * #,##0_);_([$€-2]\ * \(#,##0\);_([$€-2]\ * &quot;-&quot;??_);_(@_)"/>
    <numFmt numFmtId="192" formatCode="m/d/yy;@"/>
  </numFmts>
  <fonts count="166">
    <font>
      <sz val="16"/>
      <color theme="1"/>
      <name val="Aptos Narrow"/>
      <family val="2"/>
      <scheme val="minor"/>
    </font>
    <font>
      <sz val="16"/>
      <color theme="1"/>
      <name val="Aptos Narrow"/>
      <family val="2"/>
      <scheme val="minor"/>
    </font>
    <font>
      <sz val="16"/>
      <color rgb="FF9C0006"/>
      <name val="Aptos Narrow"/>
      <family val="2"/>
      <scheme val="minor"/>
    </font>
    <font>
      <sz val="16"/>
      <color rgb="FF9C5700"/>
      <name val="Aptos Narrow"/>
      <family val="2"/>
      <scheme val="minor"/>
    </font>
    <font>
      <b/>
      <sz val="16"/>
      <color rgb="FFFA7D00"/>
      <name val="Aptos Narrow"/>
      <family val="2"/>
      <scheme val="minor"/>
    </font>
    <font>
      <sz val="16"/>
      <color rgb="FFFF0000"/>
      <name val="Aptos Narrow"/>
      <family val="2"/>
      <scheme val="minor"/>
    </font>
    <font>
      <sz val="16"/>
      <color rgb="FF000000"/>
      <name val="Calibri"/>
      <family val="2"/>
    </font>
    <font>
      <b/>
      <sz val="16"/>
      <color rgb="FF000000"/>
      <name val="Calibri"/>
      <family val="2"/>
    </font>
    <font>
      <sz val="16"/>
      <color theme="1"/>
      <name val="Calibri"/>
      <family val="2"/>
    </font>
    <font>
      <sz val="16"/>
      <color rgb="FFC00000"/>
      <name val="Calibri"/>
      <family val="2"/>
    </font>
    <font>
      <sz val="48"/>
      <color rgb="FF000000"/>
      <name val="Calibri"/>
      <family val="2"/>
    </font>
    <font>
      <sz val="24"/>
      <color rgb="FFFF0000"/>
      <name val="Calibri"/>
      <family val="2"/>
    </font>
    <font>
      <sz val="24"/>
      <color rgb="FFC00000"/>
      <name val="Calibri"/>
      <family val="2"/>
    </font>
    <font>
      <sz val="16"/>
      <color rgb="FF00B050"/>
      <name val="Calibri"/>
      <family val="2"/>
    </font>
    <font>
      <sz val="16"/>
      <color rgb="FFAEAAAA"/>
      <name val="Calibri"/>
      <family val="2"/>
    </font>
    <font>
      <sz val="16"/>
      <color rgb="FFFF0000"/>
      <name val="Calibri"/>
      <family val="2"/>
    </font>
    <font>
      <sz val="16"/>
      <color rgb="FF006100"/>
      <name val="Aptos Narrow"/>
      <family val="2"/>
      <scheme val="minor"/>
    </font>
    <font>
      <b/>
      <sz val="16"/>
      <color rgb="FFFFFFFF"/>
      <name val="Calibri"/>
      <family val="2"/>
    </font>
    <font>
      <b/>
      <sz val="12"/>
      <color rgb="FFFF0000"/>
      <name val="Courier New"/>
      <family val="1"/>
    </font>
    <font>
      <sz val="12"/>
      <color rgb="FFC00000"/>
      <name val="Consolas"/>
      <family val="2"/>
    </font>
    <font>
      <sz val="12"/>
      <color theme="5" tint="-0.249977111117893"/>
      <name val="Consolas"/>
      <family val="2"/>
    </font>
    <font>
      <sz val="12"/>
      <color theme="5" tint="0.39997558519241921"/>
      <name val="Consolas"/>
      <family val="2"/>
    </font>
    <font>
      <sz val="12"/>
      <color theme="5" tint="0.59999389629810485"/>
      <name val="Consolas"/>
      <family val="2"/>
    </font>
    <font>
      <sz val="12"/>
      <color theme="6" tint="-0.249977111117893"/>
      <name val="Consolas"/>
      <family val="2"/>
    </font>
    <font>
      <sz val="12"/>
      <color theme="7" tint="0.39997558519241921"/>
      <name val="Consolas"/>
      <family val="2"/>
    </font>
    <font>
      <sz val="12"/>
      <color theme="7" tint="0.59999389629810485"/>
      <name val="Consolas"/>
      <family val="2"/>
    </font>
    <font>
      <sz val="12"/>
      <color theme="1"/>
      <name val="Consolas"/>
      <family val="2"/>
    </font>
    <font>
      <sz val="12"/>
      <color theme="1"/>
      <name val="Aptos Narrow"/>
      <family val="2"/>
      <scheme val="minor"/>
    </font>
    <font>
      <b/>
      <sz val="16"/>
      <color theme="1"/>
      <name val="Aptos Narrow"/>
      <family val="2"/>
      <scheme val="minor"/>
    </font>
    <font>
      <sz val="16"/>
      <color rgb="FF3F3F76"/>
      <name val="Aptos Narrow"/>
      <family val="2"/>
      <scheme val="minor"/>
    </font>
    <font>
      <b/>
      <sz val="16"/>
      <color theme="1"/>
      <name val="Aptos Narrow"/>
      <family val="2"/>
      <scheme val="minor"/>
    </font>
    <font>
      <sz val="16"/>
      <color theme="0"/>
      <name val="Aptos Narrow"/>
      <family val="2"/>
      <scheme val="minor"/>
    </font>
    <font>
      <b/>
      <sz val="16"/>
      <color rgb="FFFF0000"/>
      <name val="Aptos Narrow"/>
      <family val="2"/>
      <scheme val="minor"/>
    </font>
    <font>
      <b/>
      <sz val="24"/>
      <color theme="4" tint="-0.249977111117893"/>
      <name val="Aptos Narrow"/>
      <family val="2"/>
      <scheme val="minor"/>
    </font>
    <font>
      <b/>
      <sz val="24"/>
      <color theme="4" tint="0.39997558519241921"/>
      <name val="Aptos Narrow"/>
      <family val="2"/>
      <scheme val="minor"/>
    </font>
    <font>
      <b/>
      <sz val="24"/>
      <color theme="1"/>
      <name val="Aptos Narrow"/>
      <family val="2"/>
      <scheme val="minor"/>
    </font>
    <font>
      <b/>
      <sz val="48"/>
      <color theme="1"/>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sz val="20"/>
      <color rgb="FFFFFFFF"/>
      <name val="Calibri (Body)"/>
    </font>
    <font>
      <b/>
      <sz val="20"/>
      <color rgb="FF000000"/>
      <name val="Calibri (Body)"/>
    </font>
    <font>
      <sz val="20"/>
      <color theme="1"/>
      <name val="Calibri (Body)"/>
    </font>
    <font>
      <sz val="20"/>
      <color rgb="FF000000"/>
      <name val="Aptos Narrow"/>
      <family val="2"/>
      <scheme val="minor"/>
    </font>
    <font>
      <sz val="16"/>
      <name val="Aptos Narrow"/>
      <family val="2"/>
      <scheme val="minor"/>
    </font>
    <font>
      <sz val="16"/>
      <color rgb="FFC00000"/>
      <name val="Aptos Narrow"/>
      <family val="2"/>
      <scheme val="minor"/>
    </font>
    <font>
      <sz val="16"/>
      <color theme="0" tint="-0.14999847407452621"/>
      <name val="Aptos Narrow"/>
      <family val="2"/>
      <scheme val="minor"/>
    </font>
    <font>
      <sz val="8"/>
      <name val="Aptos Narrow"/>
      <family val="2"/>
      <scheme val="minor"/>
    </font>
    <font>
      <b/>
      <sz val="16"/>
      <color theme="3" tint="0.249977111117893"/>
      <name val="Aptos Narrow"/>
      <family val="2"/>
      <scheme val="minor"/>
    </font>
    <font>
      <sz val="16"/>
      <color theme="3" tint="0.249977111117893"/>
      <name val="Aptos Narrow"/>
      <family val="2"/>
      <scheme val="minor"/>
    </font>
    <font>
      <b/>
      <sz val="16"/>
      <color theme="5"/>
      <name val="Aptos Narrow"/>
      <family val="2"/>
      <scheme val="minor"/>
    </font>
    <font>
      <sz val="16"/>
      <color theme="5"/>
      <name val="Aptos Narrow"/>
      <family val="2"/>
      <scheme val="minor"/>
    </font>
    <font>
      <b/>
      <sz val="16"/>
      <color rgb="FFFFC000"/>
      <name val="Aptos Narrow"/>
      <family val="2"/>
      <scheme val="minor"/>
    </font>
    <font>
      <sz val="12"/>
      <color rgb="FF006100"/>
      <name val="Aptos Narrow"/>
      <family val="2"/>
      <scheme val="minor"/>
    </font>
    <font>
      <b/>
      <sz val="16"/>
      <color theme="5"/>
      <name val="Aptos Narrow"/>
      <scheme val="minor"/>
    </font>
    <font>
      <sz val="16"/>
      <color theme="4" tint="0.59999389629810485"/>
      <name val="Aptos Narrow"/>
      <family val="2"/>
      <scheme val="minor"/>
    </font>
    <font>
      <sz val="16"/>
      <color rgb="FF00B050"/>
      <name val="Aptos Narrow"/>
      <family val="2"/>
      <scheme val="minor"/>
    </font>
    <font>
      <sz val="13"/>
      <color rgb="FF000000"/>
      <name val="Helvetica Neue"/>
      <family val="2"/>
    </font>
    <font>
      <b/>
      <sz val="16"/>
      <color theme="1"/>
      <name val="Aptos Narrow"/>
      <scheme val="minor"/>
    </font>
    <font>
      <sz val="16"/>
      <color rgb="FF002060"/>
      <name val="Aptos Narrow"/>
      <family val="2"/>
      <scheme val="minor"/>
    </font>
    <font>
      <sz val="16"/>
      <color rgb="FF000000"/>
      <name val="Aptos Narrow"/>
      <family val="2"/>
    </font>
    <font>
      <sz val="10"/>
      <color theme="1"/>
      <name val="Aptos Narrow"/>
      <family val="2"/>
      <scheme val="minor"/>
    </font>
    <font>
      <b/>
      <sz val="16"/>
      <color theme="0"/>
      <name val="Aptos Narrow"/>
      <family val="2"/>
      <scheme val="minor"/>
    </font>
    <font>
      <sz val="11"/>
      <name val="Calibri"/>
      <family val="2"/>
    </font>
    <font>
      <b/>
      <sz val="16"/>
      <name val="Aptos Narrow"/>
      <family val="2"/>
      <scheme val="minor"/>
    </font>
    <font>
      <sz val="16"/>
      <color rgb="FF0070C0"/>
      <name val="Aptos Narrow"/>
      <family val="2"/>
      <scheme val="minor"/>
    </font>
    <font>
      <u val="double"/>
      <sz val="16"/>
      <color rgb="FF00B050"/>
      <name val="Aptos Narrow"/>
      <family val="2"/>
      <scheme val="minor"/>
    </font>
    <font>
      <sz val="36"/>
      <color theme="1"/>
      <name val="Aptos Narrow"/>
      <family val="2"/>
      <scheme val="minor"/>
    </font>
    <font>
      <u val="double"/>
      <sz val="16"/>
      <color rgb="FFC00000"/>
      <name val="Aptos Narrow"/>
      <family val="2"/>
      <scheme val="minor"/>
    </font>
    <font>
      <sz val="12"/>
      <color rgb="FF92D050"/>
      <name val="Aptos Narrow"/>
      <family val="2"/>
      <scheme val="minor"/>
    </font>
    <font>
      <sz val="16"/>
      <color theme="8" tint="0.59999389629810485"/>
      <name val="Aptos Narrow"/>
      <family val="2"/>
      <scheme val="minor"/>
    </font>
    <font>
      <b/>
      <sz val="16"/>
      <color rgb="FF00B050"/>
      <name val="Aptos Narrow"/>
      <family val="2"/>
      <scheme val="minor"/>
    </font>
    <font>
      <b/>
      <sz val="12"/>
      <color rgb="FF00B050"/>
      <name val="Aptos Narrow"/>
      <scheme val="minor"/>
    </font>
    <font>
      <sz val="12"/>
      <color rgb="FF00B050"/>
      <name val="Aptos Narrow"/>
      <family val="2"/>
      <scheme val="minor"/>
    </font>
    <font>
      <b/>
      <sz val="12"/>
      <color rgb="FFC00000"/>
      <name val="Aptos Narrow"/>
      <scheme val="minor"/>
    </font>
    <font>
      <sz val="12"/>
      <color theme="0"/>
      <name val="Aptos Narrow"/>
      <family val="2"/>
      <scheme val="minor"/>
    </font>
    <font>
      <sz val="13"/>
      <color theme="1"/>
      <name val="Helvetica Neue"/>
      <family val="2"/>
    </font>
    <font>
      <sz val="12"/>
      <color theme="1"/>
      <name val="Calibri"/>
      <family val="2"/>
    </font>
    <font>
      <sz val="12"/>
      <color rgb="FFC00000"/>
      <name val="Calibri"/>
      <family val="2"/>
    </font>
    <font>
      <sz val="12"/>
      <color theme="0" tint="-0.14999847407452621"/>
      <name val="Calibri"/>
      <family val="2"/>
    </font>
    <font>
      <sz val="12"/>
      <color theme="4" tint="0.39997558519241921"/>
      <name val="Calibri"/>
      <family val="2"/>
    </font>
    <font>
      <sz val="16"/>
      <color rgb="FF00B0F0"/>
      <name val="Calibri"/>
      <family val="2"/>
    </font>
    <font>
      <sz val="16"/>
      <color theme="1" tint="0.499984740745262"/>
      <name val="Calibri"/>
      <family val="2"/>
    </font>
    <font>
      <b/>
      <sz val="12"/>
      <color theme="1" tint="0.499984740745262"/>
      <name val="Aptos Narrow"/>
      <scheme val="minor"/>
    </font>
    <font>
      <sz val="12"/>
      <color theme="1" tint="0.499984740745262"/>
      <name val="Aptos Narrow"/>
      <scheme val="minor"/>
    </font>
    <font>
      <b/>
      <sz val="16"/>
      <color theme="0"/>
      <name val="Aptos Narrow"/>
      <scheme val="minor"/>
    </font>
    <font>
      <sz val="16"/>
      <color theme="1"/>
      <name val="Aptos Narrow"/>
      <scheme val="minor"/>
    </font>
    <font>
      <b/>
      <sz val="20"/>
      <color theme="0"/>
      <name val="Aptos Narrow"/>
      <scheme val="minor"/>
    </font>
    <font>
      <vertAlign val="subscript"/>
      <sz val="16"/>
      <color theme="1"/>
      <name val="Aptos Narrow (Body)"/>
    </font>
    <font>
      <vertAlign val="subscript"/>
      <sz val="16"/>
      <color theme="1"/>
      <name val="Aptos Narrow"/>
      <scheme val="minor"/>
    </font>
    <font>
      <b/>
      <sz val="16"/>
      <color rgb="FFFF0000"/>
      <name val="Calibri"/>
      <family val="2"/>
    </font>
    <font>
      <sz val="20"/>
      <color theme="1"/>
      <name val="Aptos Narrow"/>
      <family val="2"/>
      <scheme val="minor"/>
    </font>
    <font>
      <sz val="12"/>
      <color theme="2" tint="-0.499984740745262"/>
      <name val="Calibri"/>
      <family val="2"/>
    </font>
    <font>
      <sz val="16"/>
      <color theme="4" tint="0.79998168889431442"/>
      <name val="Aptos Narrow"/>
      <family val="2"/>
      <scheme val="minor"/>
    </font>
    <font>
      <b/>
      <sz val="16"/>
      <color rgb="FF00B050"/>
      <name val="Aptos Narrow"/>
      <scheme val="minor"/>
    </font>
    <font>
      <b/>
      <sz val="16"/>
      <color rgb="FFFF0000"/>
      <name val="Aptos Narrow"/>
      <scheme val="minor"/>
    </font>
    <font>
      <b/>
      <sz val="16"/>
      <color rgb="FF00B0F0"/>
      <name val="Aptos Narrow"/>
      <scheme val="minor"/>
    </font>
    <font>
      <b/>
      <sz val="16"/>
      <color rgb="FFC00000"/>
      <name val="Aptos Narrow"/>
      <scheme val="minor"/>
    </font>
    <font>
      <b/>
      <sz val="14"/>
      <color theme="1"/>
      <name val="Aptos Narrow"/>
      <scheme val="minor"/>
    </font>
    <font>
      <b/>
      <sz val="14"/>
      <color rgb="FF00B050"/>
      <name val="Aptos Narrow"/>
      <scheme val="minor"/>
    </font>
    <font>
      <sz val="12"/>
      <color rgb="FF00B050"/>
      <name val="Aptos Narrow"/>
      <scheme val="minor"/>
    </font>
    <font>
      <b/>
      <sz val="14"/>
      <color rgb="FF00B0F0"/>
      <name val="Aptos Narrow"/>
      <scheme val="minor"/>
    </font>
    <font>
      <sz val="14"/>
      <color rgb="FFC00000"/>
      <name val="Aptos Narrow"/>
      <family val="2"/>
      <scheme val="minor"/>
    </font>
    <font>
      <sz val="14"/>
      <color rgb="FFFF0000"/>
      <name val="Aptos Narrow"/>
      <family val="2"/>
      <scheme val="minor"/>
    </font>
    <font>
      <sz val="16"/>
      <color theme="5" tint="-0.249977111117893"/>
      <name val="Aptos Narrow"/>
      <family val="2"/>
      <scheme val="minor"/>
    </font>
    <font>
      <sz val="10"/>
      <color rgb="FFC00000"/>
      <name val="Aptos Narrow"/>
      <family val="2"/>
      <scheme val="minor"/>
    </font>
    <font>
      <b/>
      <sz val="20"/>
      <color rgb="FFC00000"/>
      <name val="Aptos Narrow"/>
      <scheme val="minor"/>
    </font>
    <font>
      <b/>
      <sz val="20"/>
      <color rgb="FF00B050"/>
      <name val="Aptos Narrow"/>
      <scheme val="minor"/>
    </font>
    <font>
      <sz val="24"/>
      <color rgb="FF00B050"/>
      <name val="Aptos Narrow"/>
      <family val="2"/>
      <scheme val="minor"/>
    </font>
    <font>
      <sz val="14"/>
      <color theme="1"/>
      <name val="Aptos Narrow"/>
      <family val="2"/>
      <scheme val="minor"/>
    </font>
    <font>
      <sz val="12"/>
      <color rgb="FFC00000"/>
      <name val="Aptos Narrow"/>
      <family val="2"/>
      <scheme val="minor"/>
    </font>
    <font>
      <b/>
      <sz val="12"/>
      <color theme="1"/>
      <name val="Aptos Narrow"/>
      <scheme val="minor"/>
    </font>
    <font>
      <sz val="10"/>
      <color theme="0"/>
      <name val="Aptos Narrow"/>
      <family val="2"/>
      <scheme val="minor"/>
    </font>
    <font>
      <sz val="10"/>
      <color theme="7" tint="-0.249977111117893"/>
      <name val="Aptos Narrow"/>
      <family val="2"/>
      <scheme val="minor"/>
    </font>
    <font>
      <b/>
      <sz val="16"/>
      <color rgb="FFFFC000"/>
      <name val="Aptos Narrow"/>
      <scheme val="minor"/>
    </font>
    <font>
      <sz val="16"/>
      <color theme="0"/>
      <name val="Aptos Narrow"/>
      <scheme val="minor"/>
    </font>
    <font>
      <b/>
      <sz val="10"/>
      <color theme="0"/>
      <name val="Aptos Narrow"/>
      <scheme val="minor"/>
    </font>
    <font>
      <b/>
      <sz val="20"/>
      <color rgb="FFFF0000"/>
      <name val="Aptos Narrow"/>
      <scheme val="minor"/>
    </font>
    <font>
      <sz val="20"/>
      <color rgb="FFFFC000"/>
      <name val="Aptos Narrow"/>
      <family val="2"/>
      <scheme val="minor"/>
    </font>
    <font>
      <b/>
      <sz val="12"/>
      <color theme="4" tint="-0.249977111117893"/>
      <name val="Aptos Narrow"/>
      <scheme val="minor"/>
    </font>
    <font>
      <b/>
      <sz val="24"/>
      <color rgb="FF00B050"/>
      <name val="Aptos Narrow"/>
      <family val="2"/>
      <scheme val="minor"/>
    </font>
    <font>
      <b/>
      <sz val="36"/>
      <color theme="4" tint="-0.249977111117893"/>
      <name val="Aptos Narrow"/>
      <scheme val="minor"/>
    </font>
    <font>
      <b/>
      <sz val="36"/>
      <color theme="0"/>
      <name val="Aptos Narrow"/>
      <scheme val="minor"/>
    </font>
    <font>
      <b/>
      <sz val="20"/>
      <color theme="1"/>
      <name val="Aptos Narrow"/>
      <scheme val="minor"/>
    </font>
    <font>
      <b/>
      <sz val="16"/>
      <color theme="4"/>
      <name val="Aptos Narrow"/>
      <scheme val="minor"/>
    </font>
    <font>
      <sz val="20"/>
      <color theme="0"/>
      <name val="Aptos Narrow"/>
      <family val="2"/>
      <scheme val="minor"/>
    </font>
    <font>
      <b/>
      <sz val="12"/>
      <color theme="0"/>
      <name val="Aptos Narrow"/>
      <family val="2"/>
      <scheme val="minor"/>
    </font>
    <font>
      <b/>
      <sz val="24"/>
      <color rgb="FFFF0000"/>
      <name val="Aptos Narrow"/>
      <scheme val="minor"/>
    </font>
    <font>
      <b/>
      <sz val="10"/>
      <color theme="0"/>
      <name val="Aptos Narrow"/>
      <family val="2"/>
      <scheme val="minor"/>
    </font>
    <font>
      <b/>
      <sz val="16"/>
      <color rgb="FFFFFF00"/>
      <name val="Aptos Narrow"/>
      <scheme val="minor"/>
    </font>
    <font>
      <b/>
      <sz val="24"/>
      <color theme="0" tint="-0.249977111117893"/>
      <name val="Aptos Narrow"/>
      <scheme val="minor"/>
    </font>
    <font>
      <b/>
      <sz val="20"/>
      <color theme="9" tint="0.39997558519241921"/>
      <name val="Aptos Narrow"/>
      <scheme val="minor"/>
    </font>
    <font>
      <b/>
      <sz val="14"/>
      <color rgb="FFC00000"/>
      <name val="Aptos Narrow"/>
      <scheme val="minor"/>
    </font>
    <font>
      <sz val="20"/>
      <color rgb="FFFF0000"/>
      <name val="Aptos Narrow"/>
      <family val="2"/>
      <scheme val="minor"/>
    </font>
    <font>
      <b/>
      <sz val="16"/>
      <color theme="5" tint="-0.249977111117893"/>
      <name val="Aptos Narrow"/>
      <scheme val="minor"/>
    </font>
    <font>
      <b/>
      <sz val="16"/>
      <color rgb="FFC00000"/>
      <name val="Aptos Narrow"/>
      <family val="2"/>
      <scheme val="minor"/>
    </font>
    <font>
      <sz val="16"/>
      <color theme="1"/>
      <name val="Aptos Narrow"/>
      <family val="2"/>
    </font>
    <font>
      <b/>
      <sz val="16"/>
      <color rgb="FF000000"/>
      <name val="Aptos Narrow"/>
      <family val="2"/>
    </font>
    <font>
      <b/>
      <sz val="24"/>
      <color rgb="FF000000"/>
      <name val="Aptos Narrow"/>
    </font>
    <font>
      <b/>
      <sz val="16"/>
      <color rgb="FF000000"/>
      <name val="Aptos Narrow"/>
    </font>
    <font>
      <sz val="16"/>
      <color rgb="FF92D050"/>
      <name val="Aptos Narrow"/>
      <family val="2"/>
    </font>
    <font>
      <sz val="16"/>
      <color rgb="FF00B050"/>
      <name val="Aptos Narrow"/>
      <family val="2"/>
    </font>
    <font>
      <sz val="16"/>
      <color theme="1" tint="0.499984740745262"/>
      <name val="Aptos Narrow"/>
      <family val="2"/>
      <scheme val="minor"/>
    </font>
    <font>
      <b/>
      <sz val="16"/>
      <color theme="1"/>
      <name val="Aptos Narrow"/>
    </font>
    <font>
      <b/>
      <sz val="14"/>
      <color theme="5" tint="-0.249977111117893"/>
      <name val="Aptos Narrow"/>
      <scheme val="minor"/>
    </font>
    <font>
      <b/>
      <sz val="20"/>
      <color theme="1"/>
      <name val="Aptos Narrow"/>
    </font>
    <font>
      <b/>
      <sz val="16"/>
      <color rgb="FFFF0000"/>
      <name val="Aptos Narrow"/>
    </font>
    <font>
      <sz val="12"/>
      <color rgb="FFFF0000"/>
      <name val="Calibri"/>
      <family val="2"/>
    </font>
    <font>
      <b/>
      <sz val="16"/>
      <color theme="4" tint="0.39997558519241921"/>
      <name val="Aptos Narrow"/>
      <scheme val="minor"/>
    </font>
    <font>
      <sz val="14"/>
      <color theme="8" tint="0.39997558519241921"/>
      <name val="Aptos Narrow"/>
      <family val="2"/>
      <scheme val="minor"/>
    </font>
    <font>
      <sz val="16"/>
      <color rgb="FFFF0000"/>
      <name val="Aptos Narrow"/>
      <family val="2"/>
    </font>
    <font>
      <b/>
      <sz val="20"/>
      <color theme="0"/>
      <name val="Aptos Narrow"/>
    </font>
    <font>
      <sz val="16"/>
      <color theme="0"/>
      <name val="Aptos Narrow"/>
    </font>
    <font>
      <b/>
      <sz val="16"/>
      <color theme="0"/>
      <name val="Aptos Narrow"/>
    </font>
    <font>
      <sz val="16"/>
      <color rgb="FFC00000"/>
      <name val="Aptos Narrow"/>
      <scheme val="minor"/>
    </font>
    <font>
      <b/>
      <sz val="36"/>
      <color rgb="FFFF0000"/>
      <name val="Aptos Narrow (Body)"/>
    </font>
    <font>
      <sz val="16"/>
      <color rgb="FF00B050"/>
      <name val="Aptos Narrow"/>
      <scheme val="minor"/>
    </font>
    <font>
      <b/>
      <sz val="16"/>
      <color theme="7" tint="-0.249977111117893"/>
      <name val="Aptos Narrow"/>
      <scheme val="minor"/>
    </font>
    <font>
      <b/>
      <sz val="20"/>
      <color theme="7" tint="-0.249977111117893"/>
      <name val="Aptos Narrow"/>
      <scheme val="minor"/>
    </font>
    <font>
      <b/>
      <sz val="36"/>
      <color theme="1"/>
      <name val="Aptos Narrow"/>
      <family val="2"/>
      <scheme val="minor"/>
    </font>
    <font>
      <sz val="16"/>
      <color theme="0"/>
      <name val="Calibri"/>
      <family val="2"/>
    </font>
    <font>
      <b/>
      <sz val="12"/>
      <color theme="1"/>
      <name val="Aptos Narrow"/>
      <family val="2"/>
      <scheme val="minor"/>
    </font>
    <font>
      <sz val="16"/>
      <color theme="6" tint="0.39997558519241921"/>
      <name val="Aptos Narrow"/>
      <family val="2"/>
      <scheme val="minor"/>
    </font>
    <font>
      <b/>
      <sz val="12"/>
      <color theme="6" tint="0.39997558519241921"/>
      <name val="Aptos Narrow"/>
      <scheme val="minor"/>
    </font>
    <font>
      <b/>
      <sz val="16"/>
      <color theme="6" tint="0.39997558519241921"/>
      <name val="Aptos Narrow"/>
      <scheme val="minor"/>
    </font>
    <font>
      <b/>
      <sz val="16"/>
      <name val="Aptos Narrow"/>
      <scheme val="minor"/>
    </font>
  </fonts>
  <fills count="85">
    <fill>
      <patternFill patternType="none"/>
    </fill>
    <fill>
      <patternFill patternType="gray125"/>
    </fill>
    <fill>
      <patternFill patternType="solid">
        <fgColor rgb="FFFFC7CE"/>
      </patternFill>
    </fill>
    <fill>
      <patternFill patternType="solid">
        <fgColor rgb="FFFFEB9C"/>
      </patternFill>
    </fill>
    <fill>
      <patternFill patternType="solid">
        <fgColor rgb="FFF2F2F2"/>
      </patternFill>
    </fill>
    <fill>
      <patternFill patternType="solid">
        <fgColor rgb="FFFFC000"/>
        <bgColor rgb="FF000000"/>
      </patternFill>
    </fill>
    <fill>
      <patternFill patternType="solid">
        <fgColor rgb="FFFFFF00"/>
        <bgColor indexed="64"/>
      </patternFill>
    </fill>
    <fill>
      <patternFill patternType="solid">
        <fgColor theme="4" tint="0.39997558519241921"/>
        <bgColor indexed="64"/>
      </patternFill>
    </fill>
    <fill>
      <patternFill patternType="solid">
        <fgColor rgb="FF9BC2E6"/>
        <bgColor rgb="FF000000"/>
      </patternFill>
    </fill>
    <fill>
      <patternFill patternType="solid">
        <fgColor rgb="FFA9D08E"/>
        <bgColor rgb="FF000000"/>
      </patternFill>
    </fill>
    <fill>
      <patternFill patternType="solid">
        <fgColor rgb="FFBDD7EE"/>
        <bgColor rgb="FF000000"/>
      </patternFill>
    </fill>
    <fill>
      <patternFill patternType="solid">
        <fgColor rgb="FFFF0000"/>
        <bgColor rgb="FF000000"/>
      </patternFill>
    </fill>
    <fill>
      <patternFill patternType="solid">
        <fgColor rgb="FFFFF2CC"/>
        <bgColor rgb="FF000000"/>
      </patternFill>
    </fill>
    <fill>
      <patternFill patternType="solid">
        <fgColor rgb="FFFFFF00"/>
        <bgColor rgb="FF000000"/>
      </patternFill>
    </fill>
    <fill>
      <patternFill patternType="solid">
        <fgColor rgb="FFE2EFDA"/>
        <bgColor rgb="FF000000"/>
      </patternFill>
    </fill>
    <fill>
      <patternFill patternType="solid">
        <fgColor rgb="FF2F75B5"/>
        <bgColor rgb="FF000000"/>
      </patternFill>
    </fill>
    <fill>
      <patternFill patternType="solid">
        <fgColor rgb="FFC6EFCE"/>
      </patternFill>
    </fill>
    <fill>
      <patternFill patternType="solid">
        <fgColor theme="1"/>
        <bgColor indexed="64"/>
      </patternFill>
    </fill>
    <fill>
      <patternFill patternType="solid">
        <fgColor theme="4" tint="0.79998168889431442"/>
        <bgColor theme="4" tint="0.79998168889431442"/>
      </patternFill>
    </fill>
    <fill>
      <patternFill patternType="solid">
        <fgColor theme="8" tint="0.59999389629810485"/>
        <bgColor indexed="64"/>
      </patternFill>
    </fill>
    <fill>
      <patternFill patternType="solid">
        <fgColor theme="7" tint="0.79998168889431442"/>
        <bgColor indexed="64"/>
      </patternFill>
    </fill>
    <fill>
      <patternFill patternType="solid">
        <fgColor rgb="FF4472C4"/>
        <bgColor rgb="FF4472C4"/>
      </patternFill>
    </fill>
    <fill>
      <patternFill patternType="solid">
        <fgColor rgb="FFD9E1F2"/>
        <bgColor rgb="FFD9E1F2"/>
      </patternFill>
    </fill>
    <fill>
      <patternFill patternType="solid">
        <fgColor theme="4" tint="0.79998168889431442"/>
        <bgColor indexed="64"/>
      </patternFill>
    </fill>
    <fill>
      <patternFill patternType="solid">
        <fgColor rgb="FFFFCC99"/>
      </patternFill>
    </fill>
    <fill>
      <patternFill patternType="solid">
        <fgColor theme="4"/>
      </patternFill>
    </fill>
    <fill>
      <patternFill patternType="solid">
        <fgColor rgb="FFFFC00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bgColor theme="4"/>
      </patternFill>
    </fill>
    <fill>
      <patternFill patternType="solid">
        <fgColor rgb="FF4472C4"/>
        <bgColor rgb="FFFFFFFF"/>
      </patternFill>
    </fill>
    <fill>
      <patternFill patternType="solid">
        <fgColor rgb="FFBDD7EE"/>
        <bgColor indexed="64"/>
      </patternFill>
    </fill>
    <fill>
      <patternFill patternType="solid">
        <fgColor rgb="FF92D050"/>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0" tint="-0.14999847407452621"/>
        <bgColor theme="4" tint="0.79998168889431442"/>
      </patternFill>
    </fill>
    <fill>
      <patternFill patternType="solid">
        <fgColor theme="9" tint="0.79998168889431442"/>
        <bgColor indexed="64"/>
      </patternFill>
    </fill>
    <fill>
      <patternFill patternType="solid">
        <fgColor theme="7" tint="0.39997558519241921"/>
        <bgColor theme="4" tint="0.79998168889431442"/>
      </patternFill>
    </fill>
    <fill>
      <patternFill patternType="solid">
        <fgColor rgb="FF00B050"/>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C0E6F5"/>
        <bgColor rgb="FFC0E6F5"/>
      </patternFill>
    </fill>
    <fill>
      <patternFill patternType="solid">
        <fgColor rgb="FFFFFF00"/>
        <bgColor rgb="FFD9E1F2"/>
      </patternFill>
    </fill>
    <fill>
      <patternFill patternType="solid">
        <fgColor rgb="FFB5E6A2"/>
        <bgColor rgb="FF000000"/>
      </patternFill>
    </fill>
    <fill>
      <patternFill patternType="solid">
        <fgColor theme="8" tint="0.79998168889431442"/>
        <bgColor indexed="64"/>
      </patternFill>
    </fill>
    <fill>
      <patternFill patternType="solid">
        <fgColor rgb="FFFF0000"/>
        <bgColor indexed="64"/>
      </patternFill>
    </fill>
    <fill>
      <patternFill patternType="solid">
        <fgColor rgb="FF00B0F0"/>
        <bgColor indexed="64"/>
      </patternFill>
    </fill>
    <fill>
      <patternFill patternType="solid">
        <fgColor theme="3" tint="0.749992370372631"/>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3" tint="0.89999084444715716"/>
        <bgColor indexed="64"/>
      </patternFill>
    </fill>
    <fill>
      <patternFill patternType="solid">
        <fgColor theme="2" tint="-0.499984740745262"/>
        <bgColor indexed="64"/>
      </patternFill>
    </fill>
    <fill>
      <patternFill patternType="solid">
        <fgColor theme="3" tint="0.499984740745262"/>
        <bgColor indexed="64"/>
      </patternFill>
    </fill>
    <fill>
      <patternFill patternType="solid">
        <fgColor theme="3" tint="0.749992370372631"/>
        <bgColor rgb="FF000000"/>
      </patternFill>
    </fill>
    <fill>
      <patternFill patternType="solid">
        <fgColor theme="5" tint="0.79998168889431442"/>
        <bgColor rgb="FF000000"/>
      </patternFill>
    </fill>
    <fill>
      <patternFill patternType="solid">
        <fgColor theme="9" tint="0.79998168889431442"/>
        <bgColor theme="4" tint="0.79998168889431442"/>
      </patternFill>
    </fill>
    <fill>
      <patternFill patternType="solid">
        <fgColor theme="5" tint="0.79998168889431442"/>
        <bgColor theme="4" tint="0.79998168889431442"/>
      </patternFill>
    </fill>
    <fill>
      <patternFill patternType="solid">
        <fgColor theme="4" tint="0.59999389629810485"/>
        <bgColor indexed="64"/>
      </patternFill>
    </fill>
    <fill>
      <patternFill patternType="solid">
        <fgColor theme="4" tint="0.59999389629810485"/>
        <bgColor theme="4" tint="0.79998168889431442"/>
      </patternFill>
    </fill>
    <fill>
      <patternFill patternType="solid">
        <fgColor theme="5"/>
        <bgColor indexed="64"/>
      </patternFill>
    </fill>
    <fill>
      <patternFill patternType="solid">
        <fgColor rgb="FFE97132"/>
        <bgColor rgb="FF000000"/>
      </patternFill>
    </fill>
    <fill>
      <patternFill patternType="solid">
        <fgColor rgb="FF00B050"/>
        <bgColor rgb="FF000000"/>
      </patternFill>
    </fill>
    <fill>
      <patternFill patternType="solid">
        <fgColor theme="7" tint="-0.249977111117893"/>
        <bgColor indexed="64"/>
      </patternFill>
    </fill>
    <fill>
      <patternFill patternType="solid">
        <fgColor theme="3" tint="0.249977111117893"/>
        <bgColor indexed="64"/>
      </patternFill>
    </fill>
    <fill>
      <patternFill patternType="solid">
        <fgColor rgb="FFFF0000"/>
        <bgColor theme="4"/>
      </patternFill>
    </fill>
    <fill>
      <patternFill patternType="solid">
        <fgColor theme="1" tint="0.499984740745262"/>
        <bgColor indexed="64"/>
      </patternFill>
    </fill>
    <fill>
      <patternFill patternType="solid">
        <fgColor theme="2" tint="-0.249977111117893"/>
        <bgColor indexed="64"/>
      </patternFill>
    </fill>
    <fill>
      <patternFill patternType="solid">
        <fgColor theme="6" tint="0.39997558519241921"/>
        <bgColor indexed="64"/>
      </patternFill>
    </fill>
    <fill>
      <patternFill patternType="solid">
        <fgColor theme="9" tint="0.59999389629810485"/>
        <bgColor theme="4" tint="0.79998168889431442"/>
      </patternFill>
    </fill>
    <fill>
      <patternFill patternType="solid">
        <fgColor rgb="FFD0D0D0"/>
        <bgColor rgb="FF000000"/>
      </patternFill>
    </fill>
    <fill>
      <patternFill patternType="solid">
        <fgColor rgb="FF83CCEB"/>
        <bgColor rgb="FF000000"/>
      </patternFill>
    </fill>
    <fill>
      <patternFill patternType="solid">
        <fgColor theme="4"/>
        <bgColor indexed="64"/>
      </patternFill>
    </fill>
    <fill>
      <patternFill patternType="solid">
        <fgColor rgb="FFC00000"/>
        <bgColor indexed="64"/>
      </patternFill>
    </fill>
    <fill>
      <patternFill patternType="solid">
        <fgColor theme="0" tint="-0.14999847407452621"/>
        <bgColor theme="0" tint="-0.14999847407452621"/>
      </patternFill>
    </fill>
    <fill>
      <patternFill patternType="solid">
        <fgColor theme="3" tint="0.749992370372631"/>
        <bgColor theme="4" tint="0.79998168889431442"/>
      </patternFill>
    </fill>
    <fill>
      <patternFill patternType="solid">
        <fgColor theme="8" tint="0.79998168889431442"/>
        <bgColor rgb="FF000000"/>
      </patternFill>
    </fill>
    <fill>
      <patternFill patternType="solid">
        <fgColor rgb="FFE5DA9C"/>
        <bgColor theme="4" tint="0.79998168889431442"/>
      </patternFill>
    </fill>
    <fill>
      <patternFill patternType="solid">
        <fgColor rgb="FFD9D9D9"/>
        <bgColor rgb="FF000000"/>
      </patternFill>
    </fill>
    <fill>
      <patternFill patternType="solid">
        <fgColor rgb="FFD9D9D9"/>
        <bgColor rgb="FFC0E6F5"/>
      </patternFill>
    </fill>
    <fill>
      <patternFill patternType="solid">
        <fgColor theme="7" tint="0.59999389629810485"/>
        <bgColor indexed="64"/>
      </patternFill>
    </fill>
    <fill>
      <patternFill patternType="solid">
        <fgColor rgb="FF00B050"/>
        <bgColor theme="4" tint="0.79998168889431442"/>
      </patternFill>
    </fill>
    <fill>
      <patternFill patternType="solid">
        <fgColor theme="9" tint="0.59999389629810485"/>
        <bgColor theme="0" tint="-0.14999847407452621"/>
      </patternFill>
    </fill>
    <fill>
      <patternFill patternType="solid">
        <fgColor rgb="FFD9D9D9"/>
        <bgColor rgb="FFD9D9D9"/>
      </patternFill>
    </fill>
    <fill>
      <patternFill patternType="solid">
        <fgColor rgb="FFC6EFCE"/>
        <bgColor rgb="FFD9D9D9"/>
      </patternFill>
    </fill>
    <fill>
      <patternFill patternType="solid">
        <fgColor rgb="FF0070C0"/>
        <bgColor indexed="64"/>
      </patternFill>
    </fill>
  </fills>
  <borders count="106">
    <border>
      <left/>
      <right/>
      <top/>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right/>
      <top/>
      <bottom style="double">
        <color indexed="64"/>
      </bottom>
      <diagonal/>
    </border>
    <border>
      <left/>
      <right/>
      <top style="thin">
        <color rgb="FF8EA9DB"/>
      </top>
      <bottom style="thin">
        <color rgb="FF8EA9DB"/>
      </bottom>
      <diagonal/>
    </border>
    <border>
      <left/>
      <right style="thin">
        <color rgb="FF8EA9DB"/>
      </right>
      <top style="thin">
        <color rgb="FF8EA9DB"/>
      </top>
      <bottom style="thin">
        <color rgb="FF8EA9DB"/>
      </bottom>
      <diagonal/>
    </border>
    <border>
      <left/>
      <right/>
      <top style="thin">
        <color rgb="FF8EA9DB"/>
      </top>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top style="thin">
        <color theme="4" tint="0.39997558519241921"/>
      </top>
      <bottom style="thin">
        <color theme="4" tint="0.39997558519241921"/>
      </bottom>
      <diagonal/>
    </border>
    <border>
      <left style="medium">
        <color indexed="64"/>
      </left>
      <right style="thin">
        <color rgb="FF7F7F7F"/>
      </right>
      <top style="medium">
        <color indexed="64"/>
      </top>
      <bottom/>
      <diagonal/>
    </border>
    <border>
      <left/>
      <right/>
      <top style="thin">
        <color rgb="FF44B3E1"/>
      </top>
      <bottom style="thin">
        <color rgb="FF44B3E1"/>
      </bottom>
      <diagonal/>
    </border>
    <border>
      <left/>
      <right/>
      <top style="medium">
        <color indexed="64"/>
      </top>
      <bottom style="thin">
        <color rgb="FF44B3E1"/>
      </bottom>
      <diagonal/>
    </border>
    <border>
      <left/>
      <right/>
      <top style="thin">
        <color rgb="FF44B3E1"/>
      </top>
      <bottom style="medium">
        <color indexed="64"/>
      </bottom>
      <diagonal/>
    </border>
    <border>
      <left style="thin">
        <color rgb="FF7F7F7F"/>
      </left>
      <right style="thin">
        <color rgb="FF7F7F7F"/>
      </right>
      <top/>
      <bottom style="thin">
        <color rgb="FF7F7F7F"/>
      </bottom>
      <diagonal/>
    </border>
    <border>
      <left style="thin">
        <color rgb="FF7F7F7F"/>
      </left>
      <right style="thin">
        <color rgb="FF7F7F7F"/>
      </right>
      <top/>
      <bottom/>
      <diagonal/>
    </border>
    <border>
      <left/>
      <right style="thin">
        <color rgb="FF7F7F7F"/>
      </right>
      <top/>
      <bottom style="thin">
        <color rgb="FF7F7F7F"/>
      </bottom>
      <diagonal/>
    </border>
    <border>
      <left style="medium">
        <color indexed="64"/>
      </left>
      <right style="thin">
        <color rgb="FF7F7F7F"/>
      </right>
      <top style="medium">
        <color indexed="64"/>
      </top>
      <bottom style="medium">
        <color indexed="64"/>
      </bottom>
      <diagonal/>
    </border>
    <border>
      <left style="medium">
        <color indexed="64"/>
      </left>
      <right style="medium">
        <color indexed="64"/>
      </right>
      <top style="thin">
        <color theme="4" tint="0.39997558519241921"/>
      </top>
      <bottom/>
      <diagonal/>
    </border>
    <border>
      <left style="medium">
        <color indexed="64"/>
      </left>
      <right style="medium">
        <color indexed="64"/>
      </right>
      <top style="thin">
        <color theme="4" tint="0.39997558519241921"/>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top style="thin">
        <color rgb="FF44B3E1"/>
      </top>
      <bottom style="thin">
        <color rgb="FF44B3E1"/>
      </bottom>
      <diagonal/>
    </border>
    <border>
      <left style="medium">
        <color indexed="64"/>
      </left>
      <right/>
      <top style="thin">
        <color rgb="FF44B3E1"/>
      </top>
      <bottom/>
      <diagonal/>
    </border>
    <border>
      <left style="thin">
        <color rgb="FF7F7F7F"/>
      </left>
      <right style="thin">
        <color rgb="FF7F7F7F"/>
      </right>
      <top style="medium">
        <color indexed="64"/>
      </top>
      <bottom style="thin">
        <color rgb="FF7F7F7F"/>
      </bottom>
      <diagonal/>
    </border>
    <border>
      <left style="medium">
        <color indexed="64"/>
      </left>
      <right/>
      <top style="medium">
        <color indexed="64"/>
      </top>
      <bottom style="thin">
        <color theme="4" tint="0.39997558519241921"/>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style="thin">
        <color rgb="FF8EA9DB"/>
      </right>
      <top/>
      <bottom style="medium">
        <color indexed="64"/>
      </bottom>
      <diagonal/>
    </border>
    <border>
      <left style="medium">
        <color indexed="64"/>
      </left>
      <right style="medium">
        <color indexed="64"/>
      </right>
      <top style="medium">
        <color indexed="64"/>
      </top>
      <bottom style="double">
        <color indexed="64"/>
      </bottom>
      <diagonal/>
    </border>
    <border>
      <left style="medium">
        <color indexed="64"/>
      </left>
      <right/>
      <top style="thin">
        <color theme="4" tint="0.39997558519241921"/>
      </top>
      <bottom style="medium">
        <color indexed="64"/>
      </bottom>
      <diagonal/>
    </border>
    <border>
      <left/>
      <right style="thin">
        <color theme="4" tint="0.39997558519241921"/>
      </right>
      <top style="thin">
        <color theme="4" tint="0.39997558519241921"/>
      </top>
      <bottom style="thin">
        <color theme="4" tint="0.39997558519241921"/>
      </bottom>
      <diagonal/>
    </border>
    <border>
      <left/>
      <right/>
      <top/>
      <bottom style="double">
        <color rgb="FFFF0000"/>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style="medium">
        <color rgb="FFFF0000"/>
      </bottom>
      <diagonal/>
    </border>
    <border>
      <left style="medium">
        <color rgb="FFFF0000"/>
      </left>
      <right/>
      <top/>
      <bottom/>
      <diagonal/>
    </border>
    <border>
      <left style="medium">
        <color rgb="FFFF0000"/>
      </left>
      <right/>
      <top/>
      <bottom style="medium">
        <color indexed="64"/>
      </bottom>
      <diagonal/>
    </border>
    <border>
      <left/>
      <right style="medium">
        <color rgb="FFFF0000"/>
      </right>
      <top/>
      <bottom/>
      <diagonal/>
    </border>
    <border>
      <left style="medium">
        <color rgb="FF00B050"/>
      </left>
      <right style="medium">
        <color rgb="FF00B050"/>
      </right>
      <top style="medium">
        <color rgb="FF00B050"/>
      </top>
      <bottom/>
      <diagonal/>
    </border>
    <border>
      <left style="medium">
        <color rgb="FFFF0000"/>
      </left>
      <right style="medium">
        <color rgb="FFFF0000"/>
      </right>
      <top style="medium">
        <color rgb="FFFF0000"/>
      </top>
      <bottom style="medium">
        <color rgb="FFFF0000"/>
      </bottom>
      <diagonal/>
    </border>
    <border>
      <left style="medium">
        <color rgb="FFFF0000"/>
      </left>
      <right/>
      <top style="medium">
        <color rgb="FFFF0000"/>
      </top>
      <bottom style="medium">
        <color rgb="FFFF0000"/>
      </bottom>
      <diagonal/>
    </border>
    <border>
      <left style="medium">
        <color rgb="FFFF0000"/>
      </left>
      <right style="medium">
        <color rgb="FFFF0000"/>
      </right>
      <top style="medium">
        <color rgb="FFFF0000"/>
      </top>
      <bottom style="thin">
        <color theme="4" tint="0.39997558519241921"/>
      </bottom>
      <diagonal/>
    </border>
    <border>
      <left style="medium">
        <color rgb="FF00B050"/>
      </left>
      <right/>
      <top/>
      <bottom style="medium">
        <color rgb="FF00B050"/>
      </bottom>
      <diagonal/>
    </border>
    <border>
      <left/>
      <right/>
      <top/>
      <bottom style="medium">
        <color rgb="FFFF0000"/>
      </bottom>
      <diagonal/>
    </border>
    <border>
      <left style="medium">
        <color rgb="FF00B050"/>
      </left>
      <right style="medium">
        <color rgb="FFFF0000"/>
      </right>
      <top style="medium">
        <color rgb="FF00B050"/>
      </top>
      <bottom style="double">
        <color rgb="FFFF0000"/>
      </bottom>
      <diagonal/>
    </border>
    <border>
      <left style="medium">
        <color indexed="64"/>
      </left>
      <right/>
      <top/>
      <bottom style="thin">
        <color theme="4" tint="0.39997558519241921"/>
      </bottom>
      <diagonal/>
    </border>
    <border>
      <left/>
      <right/>
      <top style="medium">
        <color rgb="FFFF0000"/>
      </top>
      <bottom style="medium">
        <color rgb="FFFF0000"/>
      </bottom>
      <diagonal/>
    </border>
    <border>
      <left style="thin">
        <color rgb="FF7F7F7F"/>
      </left>
      <right style="thin">
        <color rgb="FF7F7F7F"/>
      </right>
      <top style="medium">
        <color indexed="64"/>
      </top>
      <bottom style="medium">
        <color indexed="64"/>
      </bottom>
      <diagonal/>
    </border>
    <border>
      <left style="thin">
        <color rgb="FF7F7F7F"/>
      </left>
      <right style="medium">
        <color indexed="64"/>
      </right>
      <top style="medium">
        <color indexed="64"/>
      </top>
      <bottom style="medium">
        <color indexed="64"/>
      </bottom>
      <diagonal/>
    </border>
    <border>
      <left/>
      <right style="medium">
        <color indexed="64"/>
      </right>
      <top style="medium">
        <color indexed="64"/>
      </top>
      <bottom style="thin">
        <color theme="4" tint="0.39997558519241921"/>
      </bottom>
      <diagonal/>
    </border>
    <border>
      <left style="medium">
        <color indexed="64"/>
      </left>
      <right style="medium">
        <color indexed="64"/>
      </right>
      <top style="medium">
        <color indexed="64"/>
      </top>
      <bottom style="thin">
        <color theme="4" tint="0.39997558519241921"/>
      </bottom>
      <diagonal/>
    </border>
    <border>
      <left/>
      <right/>
      <top style="medium">
        <color indexed="64"/>
      </top>
      <bottom style="thin">
        <color theme="4" tint="0.39997558519241921"/>
      </bottom>
      <diagonal/>
    </border>
    <border>
      <left style="medium">
        <color indexed="64"/>
      </left>
      <right style="medium">
        <color indexed="64"/>
      </right>
      <top style="double">
        <color theme="4"/>
      </top>
      <bottom style="medium">
        <color indexed="64"/>
      </bottom>
      <diagonal/>
    </border>
    <border>
      <left style="medium">
        <color rgb="FFFF0000"/>
      </left>
      <right style="medium">
        <color rgb="FFFF0000"/>
      </right>
      <top style="medium">
        <color rgb="FFFF0000"/>
      </top>
      <bottom style="medium">
        <color indexed="64"/>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right style="medium">
        <color rgb="FFFF0000"/>
      </right>
      <top style="medium">
        <color rgb="FFFF0000"/>
      </top>
      <bottom style="medium">
        <color rgb="FFFF0000"/>
      </bottom>
      <diagonal/>
    </border>
    <border>
      <left style="medium">
        <color rgb="FF00B050"/>
      </left>
      <right/>
      <top style="medium">
        <color rgb="FF00B050"/>
      </top>
      <bottom style="medium">
        <color rgb="FF00B050"/>
      </bottom>
      <diagonal/>
    </border>
    <border>
      <left/>
      <right style="medium">
        <color rgb="FF00B050"/>
      </right>
      <top style="medium">
        <color rgb="FF00B050"/>
      </top>
      <bottom style="medium">
        <color rgb="FF00B050"/>
      </bottom>
      <diagonal/>
    </border>
    <border>
      <left style="medium">
        <color theme="1"/>
      </left>
      <right/>
      <top style="medium">
        <color indexed="64"/>
      </top>
      <bottom style="thin">
        <color theme="4" tint="0.39997558519241921"/>
      </bottom>
      <diagonal/>
    </border>
    <border>
      <left style="medium">
        <color indexed="64"/>
      </left>
      <right/>
      <top/>
      <bottom style="medium">
        <color rgb="FFFF0000"/>
      </bottom>
      <diagonal/>
    </border>
    <border>
      <left/>
      <right/>
      <top style="medium">
        <color rgb="FF00B050"/>
      </top>
      <bottom style="medium">
        <color rgb="FF00B050"/>
      </bottom>
      <diagonal/>
    </border>
    <border>
      <left style="medium">
        <color rgb="FFFF0000"/>
      </left>
      <right style="medium">
        <color rgb="FFFF0000"/>
      </right>
      <top/>
      <bottom style="medium">
        <color indexed="64"/>
      </bottom>
      <diagonal/>
    </border>
    <border>
      <left style="medium">
        <color indexed="64"/>
      </left>
      <right/>
      <top/>
      <bottom style="double">
        <color indexed="64"/>
      </bottom>
      <diagonal/>
    </border>
    <border>
      <left style="medium">
        <color indexed="64"/>
      </left>
      <right style="thin">
        <color theme="4" tint="0.39997558519241921"/>
      </right>
      <top style="medium">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bottom style="thin">
        <color theme="4" tint="0.39997558519241921"/>
      </bottom>
      <diagonal/>
    </border>
    <border>
      <left style="thin">
        <color rgb="FF7F7F7F"/>
      </left>
      <right/>
      <top/>
      <bottom style="thin">
        <color rgb="FF7F7F7F"/>
      </bottom>
      <diagonal/>
    </border>
    <border>
      <left/>
      <right style="thin">
        <color theme="4" tint="0.39997558519241921"/>
      </right>
      <top style="thin">
        <color theme="4" tint="0.39997558519241921"/>
      </top>
      <bottom/>
      <diagonal/>
    </border>
    <border>
      <left style="medium">
        <color indexed="64"/>
      </left>
      <right style="medium">
        <color indexed="64"/>
      </right>
      <top style="thin">
        <color indexed="64"/>
      </top>
      <bottom style="double">
        <color indexed="64"/>
      </bottom>
      <diagonal/>
    </border>
    <border>
      <left/>
      <right/>
      <top style="medium">
        <color rgb="FFFF0000"/>
      </top>
      <bottom style="medium">
        <color indexed="64"/>
      </bottom>
      <diagonal/>
    </border>
    <border>
      <left style="medium">
        <color rgb="FFFF0000"/>
      </left>
      <right style="medium">
        <color rgb="FFFF0000"/>
      </right>
      <top/>
      <bottom style="double">
        <color rgb="FF00B050"/>
      </bottom>
      <diagonal/>
    </border>
    <border>
      <left/>
      <right/>
      <top style="thin">
        <color rgb="FF44B3E1"/>
      </top>
      <bottom/>
      <diagonal/>
    </border>
    <border>
      <left/>
      <right/>
      <top/>
      <bottom style="thin">
        <color indexed="64"/>
      </bottom>
      <diagonal/>
    </border>
    <border>
      <left/>
      <right style="thin">
        <color theme="4" tint="0.39997558519241921"/>
      </right>
      <top/>
      <bottom style="thin">
        <color theme="4" tint="0.39997558519241921"/>
      </bottom>
      <diagonal/>
    </border>
    <border>
      <left style="thin">
        <color rgb="FFFF0000"/>
      </left>
      <right/>
      <top/>
      <bottom/>
      <diagonal/>
    </border>
    <border>
      <left/>
      <right style="thin">
        <color rgb="FFFF0000"/>
      </right>
      <top/>
      <bottom style="medium">
        <color indexed="64"/>
      </bottom>
      <diagonal/>
    </border>
    <border>
      <left/>
      <right style="thin">
        <color rgb="FFFF0000"/>
      </right>
      <top style="medium">
        <color indexed="64"/>
      </top>
      <bottom/>
      <diagonal/>
    </border>
    <border>
      <left style="thin">
        <color rgb="FFFF0000"/>
      </left>
      <right style="thin">
        <color rgb="FFFF0000"/>
      </right>
      <top style="thin">
        <color theme="4" tint="0.39997558519241921"/>
      </top>
      <bottom/>
      <diagonal/>
    </border>
    <border>
      <left style="thin">
        <color rgb="FFFF0000"/>
      </left>
      <right style="thin">
        <color rgb="FFFF0000"/>
      </right>
      <top/>
      <bottom/>
      <diagonal/>
    </border>
    <border>
      <left style="thin">
        <color rgb="FFFF0000"/>
      </left>
      <right style="thin">
        <color rgb="FFFF0000"/>
      </right>
      <top style="medium">
        <color indexed="64"/>
      </top>
      <bottom/>
      <diagonal/>
    </border>
    <border>
      <left style="thin">
        <color rgb="FFFF0000"/>
      </left>
      <right style="thin">
        <color rgb="FFFF0000"/>
      </right>
      <top/>
      <bottom style="thin">
        <color rgb="FFFF0000"/>
      </bottom>
      <diagonal/>
    </border>
    <border>
      <left style="thin">
        <color rgb="FFFF0000"/>
      </left>
      <right/>
      <top/>
      <bottom style="medium">
        <color indexed="64"/>
      </bottom>
      <diagonal/>
    </border>
    <border>
      <left style="thin">
        <color rgb="FFFF0000"/>
      </left>
      <right/>
      <top style="thin">
        <color theme="4" tint="0.39997558519241921"/>
      </top>
      <bottom style="thin">
        <color theme="4" tint="0.39997558519241921"/>
      </bottom>
      <diagonal/>
    </border>
    <border>
      <left style="thin">
        <color rgb="FFFF0000"/>
      </left>
      <right style="thin">
        <color rgb="FFFF0000"/>
      </right>
      <top style="thin">
        <color rgb="FFFF0000"/>
      </top>
      <bottom style="thin">
        <color theme="4" tint="0.39997558519241921"/>
      </bottom>
      <diagonal/>
    </border>
    <border>
      <left style="thin">
        <color rgb="FFFF0000"/>
      </left>
      <right style="thin">
        <color rgb="FFFF0000"/>
      </right>
      <top style="thin">
        <color theme="4" tint="0.39997558519241921"/>
      </top>
      <bottom style="medium">
        <color indexed="64"/>
      </bottom>
      <diagonal/>
    </border>
    <border>
      <left style="thin">
        <color rgb="FFFF0000"/>
      </left>
      <right style="thin">
        <color rgb="FFFF0000"/>
      </right>
      <top style="thin">
        <color theme="4" tint="0.39997558519241921"/>
      </top>
      <bottom style="thin">
        <color theme="4" tint="0.39997558519241921"/>
      </bottom>
      <diagonal/>
    </border>
    <border>
      <left style="thin">
        <color rgb="FFFF0000"/>
      </left>
      <right/>
      <top style="thin">
        <color rgb="FFFF0000"/>
      </top>
      <bottom style="thin">
        <color theme="4" tint="0.39997558519241921"/>
      </bottom>
      <diagonal/>
    </border>
    <border>
      <left style="thin">
        <color rgb="FFFF0000"/>
      </left>
      <right style="thin">
        <color rgb="FFFF0000"/>
      </right>
      <top style="medium">
        <color indexed="64"/>
      </top>
      <bottom style="thin">
        <color rgb="FFFF0000"/>
      </bottom>
      <diagonal/>
    </border>
  </borders>
  <cellStyleXfs count="10">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2" borderId="0" applyNumberFormat="0" applyBorder="0" applyAlignment="0" applyProtection="0"/>
    <xf numFmtId="0" fontId="3" fillId="3" borderId="0" applyNumberFormat="0" applyBorder="0" applyAlignment="0" applyProtection="0"/>
    <xf numFmtId="0" fontId="4" fillId="4" borderId="1" applyNumberFormat="0" applyAlignment="0" applyProtection="0"/>
    <xf numFmtId="0" fontId="16" fillId="16" borderId="0" applyNumberFormat="0" applyBorder="0" applyAlignment="0" applyProtection="0"/>
    <xf numFmtId="0" fontId="29" fillId="24" borderId="1" applyNumberFormat="0" applyAlignment="0" applyProtection="0"/>
    <xf numFmtId="0" fontId="31" fillId="25" borderId="0" applyNumberFormat="0" applyBorder="0" applyAlignment="0" applyProtection="0"/>
    <xf numFmtId="44" fontId="1" fillId="0" borderId="0" applyFont="0" applyFill="0" applyBorder="0" applyAlignment="0" applyProtection="0"/>
  </cellStyleXfs>
  <cellXfs count="1423">
    <xf numFmtId="0" fontId="0" fillId="0" borderId="0" xfId="0"/>
    <xf numFmtId="0" fontId="0" fillId="0" borderId="0" xfId="0" applyAlignment="1">
      <alignment horizontal="center"/>
    </xf>
    <xf numFmtId="165" fontId="0" fillId="6" borderId="2" xfId="0" applyNumberFormat="1" applyFill="1" applyBorder="1" applyAlignment="1">
      <alignment horizontal="center" vertical="center"/>
    </xf>
    <xf numFmtId="0" fontId="0" fillId="0" borderId="0" xfId="0" quotePrefix="1" applyAlignment="1">
      <alignment horizontal="center"/>
    </xf>
    <xf numFmtId="22" fontId="0" fillId="0" borderId="0" xfId="0" applyNumberFormat="1"/>
    <xf numFmtId="43" fontId="0" fillId="0" borderId="0" xfId="1" applyFont="1"/>
    <xf numFmtId="166" fontId="0" fillId="0" borderId="0" xfId="0" applyNumberFormat="1"/>
    <xf numFmtId="0" fontId="0" fillId="0" borderId="3" xfId="0" applyBorder="1" applyAlignment="1">
      <alignment horizontal="center"/>
    </xf>
    <xf numFmtId="18" fontId="0" fillId="0" borderId="0" xfId="0" quotePrefix="1" applyNumberFormat="1"/>
    <xf numFmtId="22" fontId="0" fillId="0" borderId="4" xfId="0" applyNumberFormat="1" applyBorder="1" applyAlignment="1">
      <alignment horizontal="center"/>
    </xf>
    <xf numFmtId="22" fontId="0" fillId="0" borderId="0" xfId="0" applyNumberFormat="1" applyAlignment="1">
      <alignment horizontal="center"/>
    </xf>
    <xf numFmtId="0" fontId="0" fillId="0" borderId="0" xfId="0" applyAlignment="1">
      <alignment horizontal="right"/>
    </xf>
    <xf numFmtId="0" fontId="0" fillId="0" borderId="5" xfId="0" applyBorder="1"/>
    <xf numFmtId="0" fontId="0" fillId="0" borderId="6" xfId="0" applyBorder="1"/>
    <xf numFmtId="22" fontId="0" fillId="0" borderId="6" xfId="0" applyNumberFormat="1" applyBorder="1" applyAlignment="1">
      <alignment horizontal="center"/>
    </xf>
    <xf numFmtId="0" fontId="0" fillId="0" borderId="6" xfId="0" applyBorder="1" applyAlignment="1">
      <alignment horizontal="center"/>
    </xf>
    <xf numFmtId="0" fontId="0" fillId="0" borderId="7" xfId="0" applyBorder="1"/>
    <xf numFmtId="165" fontId="3" fillId="0" borderId="0" xfId="4" quotePrefix="1" applyNumberFormat="1" applyFill="1" applyAlignment="1">
      <alignment horizontal="center"/>
    </xf>
    <xf numFmtId="9" fontId="4" fillId="4" borderId="1" xfId="5" quotePrefix="1" applyNumberFormat="1" applyAlignment="1">
      <alignment horizontal="center"/>
    </xf>
    <xf numFmtId="0" fontId="0" fillId="0" borderId="8" xfId="0" applyBorder="1"/>
    <xf numFmtId="0" fontId="0" fillId="0" borderId="9" xfId="0" applyBorder="1"/>
    <xf numFmtId="18" fontId="0" fillId="0" borderId="9" xfId="0" applyNumberFormat="1" applyBorder="1" applyAlignment="1">
      <alignment horizontal="center"/>
    </xf>
    <xf numFmtId="0" fontId="0" fillId="0" borderId="9" xfId="0" applyBorder="1" applyAlignment="1">
      <alignment horizontal="center"/>
    </xf>
    <xf numFmtId="0" fontId="0" fillId="0" borderId="4" xfId="0" applyBorder="1" applyAlignment="1">
      <alignment horizontal="center"/>
    </xf>
    <xf numFmtId="18" fontId="0" fillId="0" borderId="0" xfId="0" quotePrefix="1" applyNumberFormat="1" applyAlignment="1">
      <alignment horizontal="center"/>
    </xf>
    <xf numFmtId="165" fontId="0" fillId="0" borderId="10" xfId="0" applyNumberFormat="1" applyBorder="1" applyAlignment="1">
      <alignment horizontal="center" vertical="center"/>
    </xf>
    <xf numFmtId="165" fontId="0" fillId="0" borderId="3" xfId="0" applyNumberFormat="1" applyBorder="1" applyAlignment="1">
      <alignment horizontal="center" vertical="center"/>
    </xf>
    <xf numFmtId="0" fontId="0" fillId="0" borderId="8" xfId="0" applyBorder="1" applyAlignment="1">
      <alignment horizontal="right"/>
    </xf>
    <xf numFmtId="0" fontId="0" fillId="0" borderId="11" xfId="0" applyBorder="1" applyAlignment="1">
      <alignment horizontal="center" vertical="center"/>
    </xf>
    <xf numFmtId="0" fontId="0" fillId="7" borderId="12" xfId="0" applyFill="1" applyBorder="1" applyAlignment="1">
      <alignment horizontal="center"/>
    </xf>
    <xf numFmtId="18" fontId="0" fillId="0" borderId="4" xfId="0" applyNumberFormat="1" applyBorder="1" applyAlignment="1">
      <alignment horizontal="center"/>
    </xf>
    <xf numFmtId="22" fontId="0" fillId="0" borderId="6" xfId="0" applyNumberFormat="1" applyBorder="1"/>
    <xf numFmtId="165" fontId="0" fillId="0" borderId="0" xfId="0" quotePrefix="1" applyNumberFormat="1" applyAlignment="1">
      <alignment horizontal="center"/>
    </xf>
    <xf numFmtId="9" fontId="0" fillId="0" borderId="0" xfId="2" applyFont="1" applyAlignment="1">
      <alignment horizontal="center"/>
    </xf>
    <xf numFmtId="0" fontId="8" fillId="0" borderId="0" xfId="0" applyFont="1"/>
    <xf numFmtId="0" fontId="9" fillId="0" borderId="0" xfId="0" applyFont="1" applyAlignment="1">
      <alignment horizontal="center" vertical="center"/>
    </xf>
    <xf numFmtId="0" fontId="11" fillId="0" borderId="3" xfId="0" applyFont="1" applyBorder="1" applyAlignment="1">
      <alignment horizontal="center" vertical="center"/>
    </xf>
    <xf numFmtId="0" fontId="12" fillId="0" borderId="0" xfId="0" applyFont="1" applyAlignment="1">
      <alignment horizontal="center" vertical="center"/>
    </xf>
    <xf numFmtId="0" fontId="10" fillId="0" borderId="0" xfId="0" quotePrefix="1" applyFont="1" applyAlignment="1">
      <alignment vertical="center"/>
    </xf>
    <xf numFmtId="0" fontId="11" fillId="0" borderId="13" xfId="0" applyFont="1" applyBorder="1" applyAlignment="1">
      <alignment horizontal="center" vertical="center"/>
    </xf>
    <xf numFmtId="0" fontId="8" fillId="0" borderId="0" xfId="0" applyFont="1" applyAlignment="1">
      <alignment horizontal="center"/>
    </xf>
    <xf numFmtId="0" fontId="13" fillId="0" borderId="13" xfId="0" applyFont="1" applyBorder="1"/>
    <xf numFmtId="0" fontId="10" fillId="0" borderId="0" xfId="0" applyFont="1" applyAlignment="1">
      <alignment vertical="center"/>
    </xf>
    <xf numFmtId="0" fontId="8" fillId="8" borderId="8" xfId="0" applyFont="1" applyFill="1" applyBorder="1" applyAlignment="1">
      <alignment horizontal="center"/>
    </xf>
    <xf numFmtId="3" fontId="9" fillId="0" borderId="13" xfId="0" applyNumberFormat="1" applyFont="1" applyBorder="1"/>
    <xf numFmtId="3" fontId="9" fillId="0" borderId="0" xfId="0" applyNumberFormat="1" applyFont="1"/>
    <xf numFmtId="3" fontId="9" fillId="0" borderId="7" xfId="0" applyNumberFormat="1" applyFont="1" applyBorder="1"/>
    <xf numFmtId="3" fontId="14" fillId="0" borderId="13" xfId="0" applyNumberFormat="1" applyFont="1" applyBorder="1"/>
    <xf numFmtId="3" fontId="9" fillId="0" borderId="4" xfId="0" applyNumberFormat="1" applyFont="1" applyBorder="1"/>
    <xf numFmtId="0" fontId="8" fillId="9" borderId="0" xfId="0" applyFont="1" applyFill="1" applyAlignment="1">
      <alignment horizontal="center"/>
    </xf>
    <xf numFmtId="14" fontId="8" fillId="9" borderId="0" xfId="0" applyNumberFormat="1" applyFont="1" applyFill="1"/>
    <xf numFmtId="0" fontId="8" fillId="9" borderId="0" xfId="0" applyFont="1" applyFill="1"/>
    <xf numFmtId="0" fontId="9" fillId="9" borderId="2" xfId="0" applyFont="1" applyFill="1" applyBorder="1"/>
    <xf numFmtId="0" fontId="9" fillId="9" borderId="13" xfId="0" applyFont="1" applyFill="1" applyBorder="1" applyAlignment="1">
      <alignment horizontal="left"/>
    </xf>
    <xf numFmtId="0" fontId="9" fillId="9" borderId="0" xfId="0" applyFont="1" applyFill="1" applyAlignment="1">
      <alignment horizontal="left"/>
    </xf>
    <xf numFmtId="0" fontId="9" fillId="11" borderId="16" xfId="0" applyFont="1" applyFill="1" applyBorder="1" applyAlignment="1">
      <alignment horizontal="center"/>
    </xf>
    <xf numFmtId="0" fontId="7" fillId="10" borderId="16" xfId="0" applyFont="1" applyFill="1" applyBorder="1"/>
    <xf numFmtId="0" fontId="9" fillId="13" borderId="15" xfId="0" applyFont="1" applyFill="1" applyBorder="1" applyAlignment="1">
      <alignment horizontal="center"/>
    </xf>
    <xf numFmtId="3" fontId="9" fillId="13" borderId="14" xfId="0" applyNumberFormat="1" applyFont="1" applyFill="1" applyBorder="1" applyAlignment="1">
      <alignment horizontal="center"/>
    </xf>
    <xf numFmtId="0" fontId="8" fillId="10" borderId="8" xfId="0" applyFont="1" applyFill="1" applyBorder="1"/>
    <xf numFmtId="0" fontId="8" fillId="15" borderId="0" xfId="0" applyFont="1" applyFill="1" applyAlignment="1">
      <alignment horizontal="center"/>
    </xf>
    <xf numFmtId="0" fontId="8" fillId="15" borderId="0" xfId="0" applyFont="1" applyFill="1"/>
    <xf numFmtId="14" fontId="0" fillId="0" borderId="0" xfId="0" applyNumberFormat="1"/>
    <xf numFmtId="0" fontId="6" fillId="0" borderId="0" xfId="0" applyFont="1"/>
    <xf numFmtId="170" fontId="6" fillId="5" borderId="2" xfId="0" applyNumberFormat="1" applyFont="1" applyFill="1" applyBorder="1" applyAlignment="1">
      <alignment horizontal="center"/>
    </xf>
    <xf numFmtId="0" fontId="17" fillId="21" borderId="18" xfId="0" applyFont="1" applyFill="1" applyBorder="1"/>
    <xf numFmtId="0" fontId="6" fillId="22" borderId="19" xfId="0" applyFont="1" applyFill="1" applyBorder="1"/>
    <xf numFmtId="14" fontId="6" fillId="5" borderId="20" xfId="1" applyNumberFormat="1" applyFont="1" applyFill="1" applyBorder="1" applyAlignment="1">
      <alignment horizontal="center"/>
    </xf>
    <xf numFmtId="0" fontId="18" fillId="0" borderId="5" xfId="0" applyFont="1" applyBorder="1"/>
    <xf numFmtId="0" fontId="0" fillId="0" borderId="10" xfId="0" applyBorder="1"/>
    <xf numFmtId="0" fontId="19" fillId="0" borderId="7" xfId="0" applyFont="1" applyBorder="1"/>
    <xf numFmtId="0" fontId="0" fillId="0" borderId="16" xfId="0" applyBorder="1"/>
    <xf numFmtId="0" fontId="20" fillId="0" borderId="7" xfId="0" applyFont="1" applyBorder="1"/>
    <xf numFmtId="0" fontId="21" fillId="0" borderId="7" xfId="0" applyFont="1" applyBorder="1"/>
    <xf numFmtId="0" fontId="22" fillId="0" borderId="7" xfId="0" applyFont="1" applyBorder="1"/>
    <xf numFmtId="0" fontId="23" fillId="0" borderId="7" xfId="0" applyFont="1" applyBorder="1"/>
    <xf numFmtId="0" fontId="24" fillId="0" borderId="7" xfId="0" applyFont="1" applyBorder="1"/>
    <xf numFmtId="0" fontId="25" fillId="0" borderId="7" xfId="0" applyFont="1" applyBorder="1"/>
    <xf numFmtId="0" fontId="26" fillId="0" borderId="7" xfId="0" applyFont="1" applyBorder="1"/>
    <xf numFmtId="0" fontId="26" fillId="0" borderId="8" xfId="0" applyFont="1" applyBorder="1"/>
    <xf numFmtId="0" fontId="0" fillId="0" borderId="11" xfId="0" applyBorder="1"/>
    <xf numFmtId="167" fontId="0" fillId="0" borderId="0" xfId="0" applyNumberFormat="1"/>
    <xf numFmtId="3" fontId="0" fillId="0" borderId="0" xfId="0" applyNumberFormat="1"/>
    <xf numFmtId="40" fontId="0" fillId="0" borderId="0" xfId="0" applyNumberFormat="1"/>
    <xf numFmtId="0" fontId="0" fillId="19" borderId="0" xfId="0" applyFill="1"/>
    <xf numFmtId="171" fontId="0" fillId="0" borderId="0" xfId="0" applyNumberFormat="1"/>
    <xf numFmtId="2" fontId="0" fillId="0" borderId="0" xfId="0" applyNumberFormat="1"/>
    <xf numFmtId="167" fontId="0" fillId="0" borderId="0" xfId="1" applyNumberFormat="1" applyFont="1"/>
    <xf numFmtId="164" fontId="0" fillId="0" borderId="0" xfId="0" applyNumberFormat="1"/>
    <xf numFmtId="0" fontId="16" fillId="16" borderId="0" xfId="6"/>
    <xf numFmtId="9" fontId="0" fillId="0" borderId="0" xfId="2" applyFont="1"/>
    <xf numFmtId="10" fontId="0" fillId="0" borderId="0" xfId="2" applyNumberFormat="1" applyFont="1"/>
    <xf numFmtId="0" fontId="0" fillId="26" borderId="0" xfId="0" applyFill="1"/>
    <xf numFmtId="38" fontId="0" fillId="0" borderId="0" xfId="0" applyNumberFormat="1"/>
    <xf numFmtId="1" fontId="0" fillId="0" borderId="0" xfId="0" applyNumberFormat="1"/>
    <xf numFmtId="1" fontId="0" fillId="0" borderId="0" xfId="2" applyNumberFormat="1" applyFont="1"/>
    <xf numFmtId="0" fontId="30" fillId="28" borderId="0" xfId="0" applyFont="1" applyFill="1" applyAlignment="1">
      <alignment horizontal="right" wrapText="1"/>
    </xf>
    <xf numFmtId="22" fontId="33" fillId="0" borderId="0" xfId="0" applyNumberFormat="1" applyFont="1" applyAlignment="1">
      <alignment horizontal="center" vertical="center"/>
    </xf>
    <xf numFmtId="22" fontId="34" fillId="0" borderId="0" xfId="0" applyNumberFormat="1" applyFont="1" applyAlignment="1">
      <alignment horizontal="center" vertical="center"/>
    </xf>
    <xf numFmtId="22" fontId="35" fillId="0" borderId="0" xfId="0" applyNumberFormat="1" applyFont="1" applyAlignment="1">
      <alignment horizontal="left" vertical="center"/>
    </xf>
    <xf numFmtId="22" fontId="35" fillId="0" borderId="0" xfId="0" applyNumberFormat="1" applyFont="1" applyAlignment="1">
      <alignment horizontal="center" vertical="center"/>
    </xf>
    <xf numFmtId="49" fontId="32" fillId="0" borderId="0" xfId="0" applyNumberFormat="1" applyFont="1" applyAlignment="1">
      <alignment horizontal="center" vertical="center" wrapText="1"/>
    </xf>
    <xf numFmtId="49" fontId="30" fillId="0" borderId="0" xfId="0" applyNumberFormat="1" applyFont="1" applyAlignment="1">
      <alignment wrapText="1"/>
    </xf>
    <xf numFmtId="0" fontId="30" fillId="0" borderId="0" xfId="0" applyFont="1"/>
    <xf numFmtId="174" fontId="36" fillId="0" borderId="0" xfId="1" applyNumberFormat="1" applyFont="1" applyAlignment="1">
      <alignment horizontal="left" vertical="center"/>
    </xf>
    <xf numFmtId="38" fontId="30" fillId="0" borderId="0" xfId="0" applyNumberFormat="1" applyFont="1" applyAlignment="1">
      <alignment horizontal="left"/>
    </xf>
    <xf numFmtId="167" fontId="36" fillId="0" borderId="0" xfId="1" applyNumberFormat="1" applyFont="1" applyAlignment="1">
      <alignment horizontal="left" vertical="center"/>
    </xf>
    <xf numFmtId="0" fontId="30" fillId="0" borderId="0" xfId="0" applyFont="1" applyAlignment="1">
      <alignment horizontal="left"/>
    </xf>
    <xf numFmtId="1" fontId="30" fillId="0" borderId="0" xfId="0" applyNumberFormat="1" applyFont="1" applyAlignment="1">
      <alignment horizontal="left"/>
    </xf>
    <xf numFmtId="1" fontId="35" fillId="0" borderId="0" xfId="0" applyNumberFormat="1" applyFont="1" applyAlignment="1">
      <alignment horizontal="left" vertical="center"/>
    </xf>
    <xf numFmtId="0" fontId="30" fillId="0" borderId="0" xfId="0" applyFont="1" applyAlignment="1">
      <alignment horizontal="center"/>
    </xf>
    <xf numFmtId="0" fontId="37" fillId="30" borderId="0" xfId="8" applyFont="1" applyFill="1" applyBorder="1" applyAlignment="1">
      <alignment horizontal="center"/>
    </xf>
    <xf numFmtId="0" fontId="42" fillId="19" borderId="0" xfId="0" applyFont="1" applyFill="1"/>
    <xf numFmtId="0" fontId="43" fillId="31" borderId="0" xfId="0" applyFont="1" applyFill="1"/>
    <xf numFmtId="0" fontId="2" fillId="2" borderId="0" xfId="3"/>
    <xf numFmtId="43" fontId="0" fillId="0" borderId="0" xfId="1" applyFont="1" applyAlignment="1">
      <alignment horizontal="center"/>
    </xf>
    <xf numFmtId="0" fontId="3" fillId="3" borderId="0" xfId="4"/>
    <xf numFmtId="14" fontId="16" fillId="16" borderId="0" xfId="6" applyNumberFormat="1" applyAlignment="1">
      <alignment horizontal="center"/>
    </xf>
    <xf numFmtId="170" fontId="0" fillId="0" borderId="0" xfId="0" applyNumberFormat="1" applyAlignment="1">
      <alignment horizontal="center"/>
    </xf>
    <xf numFmtId="38" fontId="0" fillId="18" borderId="23" xfId="1" applyNumberFormat="1" applyFont="1" applyFill="1" applyBorder="1" applyAlignment="1">
      <alignment horizontal="center"/>
    </xf>
    <xf numFmtId="40" fontId="8" fillId="22" borderId="0" xfId="0" applyNumberFormat="1" applyFont="1" applyFill="1"/>
    <xf numFmtId="38" fontId="8" fillId="22" borderId="0" xfId="0" applyNumberFormat="1" applyFont="1" applyFill="1"/>
    <xf numFmtId="41" fontId="0" fillId="0" borderId="22" xfId="1" applyNumberFormat="1" applyFont="1" applyBorder="1"/>
    <xf numFmtId="173" fontId="0" fillId="0" borderId="22" xfId="0" applyNumberFormat="1" applyBorder="1"/>
    <xf numFmtId="170" fontId="0" fillId="27" borderId="22" xfId="0" applyNumberFormat="1" applyFill="1" applyBorder="1"/>
    <xf numFmtId="43" fontId="0" fillId="0" borderId="22" xfId="1" applyFont="1" applyBorder="1"/>
    <xf numFmtId="0" fontId="28" fillId="0" borderId="0" xfId="0" applyFont="1" applyAlignment="1">
      <alignment horizontal="center"/>
    </xf>
    <xf numFmtId="0" fontId="46" fillId="0" borderId="0" xfId="0" applyFont="1"/>
    <xf numFmtId="165" fontId="0" fillId="0" borderId="0" xfId="0" applyNumberFormat="1" applyAlignment="1">
      <alignment horizontal="center"/>
    </xf>
    <xf numFmtId="0" fontId="0" fillId="34" borderId="3" xfId="0" applyFill="1" applyBorder="1"/>
    <xf numFmtId="0" fontId="0" fillId="34" borderId="13" xfId="0" applyFill="1" applyBorder="1"/>
    <xf numFmtId="0" fontId="0" fillId="34" borderId="4" xfId="0" applyFill="1" applyBorder="1"/>
    <xf numFmtId="0" fontId="0" fillId="6" borderId="0" xfId="0" applyFill="1"/>
    <xf numFmtId="0" fontId="48" fillId="29" borderId="21" xfId="0" applyFont="1" applyFill="1" applyBorder="1"/>
    <xf numFmtId="0" fontId="48" fillId="29" borderId="22" xfId="0" applyFont="1" applyFill="1" applyBorder="1"/>
    <xf numFmtId="0" fontId="49" fillId="0" borderId="0" xfId="0" applyFont="1"/>
    <xf numFmtId="0" fontId="51" fillId="0" borderId="0" xfId="0" applyFont="1"/>
    <xf numFmtId="170" fontId="0" fillId="35" borderId="22" xfId="1" applyNumberFormat="1" applyFont="1" applyFill="1" applyBorder="1"/>
    <xf numFmtId="170" fontId="0" fillId="27" borderId="22" xfId="1" applyNumberFormat="1" applyFont="1" applyFill="1" applyBorder="1"/>
    <xf numFmtId="0" fontId="0" fillId="36" borderId="0" xfId="0" applyFill="1"/>
    <xf numFmtId="0" fontId="5" fillId="0" borderId="0" xfId="0" applyFont="1"/>
    <xf numFmtId="0" fontId="28" fillId="0" borderId="0" xfId="0" applyFont="1" applyAlignment="1">
      <alignment horizontal="right"/>
    </xf>
    <xf numFmtId="0" fontId="45" fillId="0" borderId="0" xfId="0" applyFont="1"/>
    <xf numFmtId="49" fontId="0" fillId="0" borderId="0" xfId="0" applyNumberFormat="1"/>
    <xf numFmtId="49" fontId="16" fillId="16" borderId="0" xfId="6" applyNumberFormat="1"/>
    <xf numFmtId="49" fontId="5" fillId="0" borderId="0" xfId="0" applyNumberFormat="1" applyFont="1"/>
    <xf numFmtId="49" fontId="0" fillId="6" borderId="0" xfId="0" applyNumberFormat="1" applyFill="1"/>
    <xf numFmtId="49" fontId="45" fillId="0" borderId="0" xfId="0" applyNumberFormat="1" applyFont="1"/>
    <xf numFmtId="49" fontId="5" fillId="2" borderId="0" xfId="3" applyNumberFormat="1" applyFont="1"/>
    <xf numFmtId="49" fontId="4" fillId="4" borderId="1" xfId="5" applyNumberFormat="1"/>
    <xf numFmtId="49" fontId="4" fillId="4" borderId="0" xfId="5" applyNumberFormat="1" applyBorder="1"/>
    <xf numFmtId="49" fontId="52" fillId="4" borderId="0" xfId="5" applyNumberFormat="1" applyFont="1" applyBorder="1"/>
    <xf numFmtId="164" fontId="50" fillId="18" borderId="23" xfId="0" applyNumberFormat="1" applyFont="1" applyFill="1" applyBorder="1"/>
    <xf numFmtId="0" fontId="0" fillId="27" borderId="0" xfId="0" applyFill="1"/>
    <xf numFmtId="3" fontId="0" fillId="27" borderId="22" xfId="0" applyNumberFormat="1" applyFill="1" applyBorder="1"/>
    <xf numFmtId="49" fontId="44" fillId="6" borderId="0" xfId="0" applyNumberFormat="1" applyFont="1" applyFill="1"/>
    <xf numFmtId="0" fontId="5" fillId="0" borderId="22" xfId="0" applyFont="1" applyBorder="1" applyAlignment="1">
      <alignment horizontal="center"/>
    </xf>
    <xf numFmtId="0" fontId="5" fillId="18" borderId="22" xfId="0" applyFont="1" applyFill="1" applyBorder="1" applyAlignment="1">
      <alignment horizontal="center"/>
    </xf>
    <xf numFmtId="0" fontId="54" fillId="29" borderId="0" xfId="0" applyFont="1" applyFill="1" applyAlignment="1">
      <alignment horizontal="center"/>
    </xf>
    <xf numFmtId="38" fontId="55" fillId="0" borderId="0" xfId="0" applyNumberFormat="1" applyFont="1" applyAlignment="1">
      <alignment horizontal="center"/>
    </xf>
    <xf numFmtId="38" fontId="0" fillId="0" borderId="0" xfId="0" applyNumberFormat="1" applyAlignment="1">
      <alignment horizontal="right"/>
    </xf>
    <xf numFmtId="38" fontId="0" fillId="0" borderId="0" xfId="1" applyNumberFormat="1" applyFont="1" applyAlignment="1">
      <alignment horizontal="right"/>
    </xf>
    <xf numFmtId="38" fontId="55" fillId="33" borderId="0" xfId="0" applyNumberFormat="1" applyFont="1" applyFill="1" applyAlignment="1">
      <alignment horizontal="center"/>
    </xf>
    <xf numFmtId="38" fontId="16" fillId="16" borderId="0" xfId="6" applyNumberFormat="1"/>
    <xf numFmtId="164" fontId="0" fillId="0" borderId="22" xfId="1" applyNumberFormat="1" applyFont="1" applyBorder="1"/>
    <xf numFmtId="169" fontId="5" fillId="0" borderId="22" xfId="0" applyNumberFormat="1" applyFont="1" applyBorder="1" applyAlignment="1">
      <alignment horizontal="center"/>
    </xf>
    <xf numFmtId="0" fontId="0" fillId="39" borderId="0" xfId="0" applyFill="1"/>
    <xf numFmtId="170" fontId="0" fillId="0" borderId="0" xfId="1" applyNumberFormat="1" applyFont="1" applyAlignment="1">
      <alignment horizontal="right"/>
    </xf>
    <xf numFmtId="170" fontId="0" fillId="0" borderId="0" xfId="0" applyNumberFormat="1"/>
    <xf numFmtId="170" fontId="0" fillId="27" borderId="0" xfId="0" applyNumberFormat="1" applyFill="1"/>
    <xf numFmtId="178" fontId="39" fillId="0" borderId="24" xfId="7" applyNumberFormat="1" applyFont="1" applyFill="1" applyBorder="1" applyAlignment="1">
      <alignment horizontal="center"/>
    </xf>
    <xf numFmtId="178" fontId="0" fillId="0" borderId="0" xfId="0" applyNumberFormat="1"/>
    <xf numFmtId="3" fontId="46" fillId="0" borderId="22" xfId="0" applyNumberFormat="1" applyFont="1" applyBorder="1"/>
    <xf numFmtId="40" fontId="0" fillId="0" borderId="0" xfId="1" applyNumberFormat="1" applyFont="1" applyAlignment="1">
      <alignment horizontal="right"/>
    </xf>
    <xf numFmtId="0" fontId="57" fillId="0" borderId="0" xfId="0" applyFont="1"/>
    <xf numFmtId="0" fontId="3" fillId="26" borderId="0" xfId="4" applyFill="1"/>
    <xf numFmtId="38" fontId="58" fillId="0" borderId="0" xfId="1" applyNumberFormat="1" applyFont="1" applyAlignment="1">
      <alignment horizontal="center"/>
    </xf>
    <xf numFmtId="167" fontId="0" fillId="0" borderId="0" xfId="1" applyNumberFormat="1" applyFont="1" applyAlignment="1">
      <alignment horizontal="right"/>
    </xf>
    <xf numFmtId="3" fontId="0" fillId="0" borderId="0" xfId="1" applyNumberFormat="1" applyFont="1" applyAlignment="1">
      <alignment horizontal="right"/>
    </xf>
    <xf numFmtId="38" fontId="55" fillId="36" borderId="0" xfId="0" applyNumberFormat="1" applyFont="1" applyFill="1" applyAlignment="1">
      <alignment horizontal="center"/>
    </xf>
    <xf numFmtId="38" fontId="0" fillId="32" borderId="0" xfId="0" applyNumberFormat="1" applyFill="1" applyAlignment="1">
      <alignment horizontal="center"/>
    </xf>
    <xf numFmtId="167" fontId="38" fillId="41" borderId="25" xfId="1" applyNumberFormat="1" applyFont="1" applyFill="1" applyBorder="1" applyAlignment="1">
      <alignment horizontal="right"/>
    </xf>
    <xf numFmtId="38" fontId="3" fillId="3" borderId="0" xfId="4" applyNumberFormat="1" applyAlignment="1">
      <alignment horizontal="center"/>
    </xf>
    <xf numFmtId="0" fontId="0" fillId="27" borderId="5" xfId="0" applyFill="1" applyBorder="1"/>
    <xf numFmtId="0" fontId="0" fillId="27" borderId="6" xfId="0" applyFill="1" applyBorder="1"/>
    <xf numFmtId="0" fontId="0" fillId="27" borderId="10" xfId="0" applyFill="1" applyBorder="1"/>
    <xf numFmtId="38" fontId="55" fillId="26" borderId="7" xfId="0" applyNumberFormat="1" applyFont="1" applyFill="1" applyBorder="1" applyAlignment="1">
      <alignment horizontal="center"/>
    </xf>
    <xf numFmtId="38" fontId="55" fillId="26" borderId="0" xfId="0" applyNumberFormat="1" applyFont="1" applyFill="1" applyAlignment="1">
      <alignment horizontal="center"/>
    </xf>
    <xf numFmtId="40" fontId="55" fillId="0" borderId="16" xfId="0" applyNumberFormat="1" applyFont="1" applyBorder="1" applyAlignment="1">
      <alignment horizontal="center"/>
    </xf>
    <xf numFmtId="167" fontId="0" fillId="0" borderId="7" xfId="1" applyNumberFormat="1" applyFont="1" applyBorder="1" applyAlignment="1">
      <alignment horizontal="right"/>
    </xf>
    <xf numFmtId="167" fontId="0" fillId="0" borderId="0" xfId="1" applyNumberFormat="1" applyFont="1" applyBorder="1" applyAlignment="1">
      <alignment horizontal="right"/>
    </xf>
    <xf numFmtId="170" fontId="0" fillId="0" borderId="0" xfId="1" applyNumberFormat="1" applyFont="1" applyBorder="1" applyAlignment="1">
      <alignment horizontal="right"/>
    </xf>
    <xf numFmtId="40" fontId="0" fillId="0" borderId="16" xfId="1" applyNumberFormat="1" applyFont="1" applyBorder="1" applyAlignment="1">
      <alignment horizontal="right"/>
    </xf>
    <xf numFmtId="167" fontId="0" fillId="0" borderId="8" xfId="1" applyNumberFormat="1" applyFont="1" applyBorder="1" applyAlignment="1">
      <alignment horizontal="right"/>
    </xf>
    <xf numFmtId="167" fontId="0" fillId="0" borderId="9" xfId="1" applyNumberFormat="1" applyFont="1" applyBorder="1" applyAlignment="1">
      <alignment horizontal="right"/>
    </xf>
    <xf numFmtId="170" fontId="0" fillId="0" borderId="9" xfId="1" applyNumberFormat="1" applyFont="1" applyBorder="1" applyAlignment="1">
      <alignment horizontal="right"/>
    </xf>
    <xf numFmtId="40" fontId="0" fillId="0" borderId="11" xfId="1" applyNumberFormat="1" applyFont="1" applyBorder="1" applyAlignment="1">
      <alignment horizontal="right"/>
    </xf>
    <xf numFmtId="0" fontId="0" fillId="33" borderId="0" xfId="0" applyFill="1"/>
    <xf numFmtId="0" fontId="5" fillId="33" borderId="0" xfId="0" applyFont="1" applyFill="1"/>
    <xf numFmtId="0" fontId="56" fillId="36" borderId="0" xfId="0" applyFont="1" applyFill="1"/>
    <xf numFmtId="38" fontId="59" fillId="40" borderId="0" xfId="0" applyNumberFormat="1" applyFont="1" applyFill="1" applyAlignment="1">
      <alignment horizontal="center"/>
    </xf>
    <xf numFmtId="38" fontId="45" fillId="40" borderId="0" xfId="0" applyNumberFormat="1" applyFont="1" applyFill="1" applyAlignment="1">
      <alignment horizontal="center"/>
    </xf>
    <xf numFmtId="38" fontId="56" fillId="36" borderId="0" xfId="0" applyNumberFormat="1" applyFont="1" applyFill="1" applyAlignment="1">
      <alignment horizontal="center"/>
    </xf>
    <xf numFmtId="3" fontId="56" fillId="36" borderId="0" xfId="0" applyNumberFormat="1" applyFont="1" applyFill="1" applyAlignment="1">
      <alignment horizontal="center"/>
    </xf>
    <xf numFmtId="38" fontId="59" fillId="26" borderId="0" xfId="0" applyNumberFormat="1" applyFont="1" applyFill="1" applyAlignment="1">
      <alignment horizontal="center"/>
    </xf>
    <xf numFmtId="164" fontId="50" fillId="37" borderId="23" xfId="0" applyNumberFormat="1" applyFont="1" applyFill="1" applyBorder="1"/>
    <xf numFmtId="38" fontId="4" fillId="4" borderId="1" xfId="5" applyNumberFormat="1" applyAlignment="1">
      <alignment horizontal="center"/>
    </xf>
    <xf numFmtId="170" fontId="0" fillId="0" borderId="5" xfId="1" applyNumberFormat="1" applyFont="1" applyBorder="1" applyAlignment="1">
      <alignment horizontal="right"/>
    </xf>
    <xf numFmtId="167" fontId="38" fillId="41" borderId="26" xfId="1" applyNumberFormat="1" applyFont="1" applyFill="1" applyBorder="1" applyAlignment="1">
      <alignment horizontal="right"/>
    </xf>
    <xf numFmtId="40" fontId="0" fillId="0" borderId="10" xfId="1" applyNumberFormat="1" applyFont="1" applyBorder="1" applyAlignment="1">
      <alignment horizontal="right"/>
    </xf>
    <xf numFmtId="170" fontId="0" fillId="0" borderId="7" xfId="1" applyNumberFormat="1" applyFont="1" applyBorder="1" applyAlignment="1">
      <alignment horizontal="right"/>
    </xf>
    <xf numFmtId="170" fontId="0" fillId="0" borderId="8" xfId="1" applyNumberFormat="1" applyFont="1" applyBorder="1" applyAlignment="1">
      <alignment horizontal="right"/>
    </xf>
    <xf numFmtId="167" fontId="38" fillId="41" borderId="27" xfId="1" applyNumberFormat="1" applyFont="1" applyFill="1" applyBorder="1" applyAlignment="1">
      <alignment horizontal="right"/>
    </xf>
    <xf numFmtId="38" fontId="0" fillId="0" borderId="0" xfId="1" applyNumberFormat="1" applyFont="1" applyFill="1" applyAlignment="1">
      <alignment horizontal="right"/>
    </xf>
    <xf numFmtId="38" fontId="4" fillId="0" borderId="1" xfId="5" applyNumberFormat="1" applyFill="1" applyAlignment="1">
      <alignment horizontal="center"/>
    </xf>
    <xf numFmtId="0" fontId="44" fillId="6" borderId="0" xfId="0" applyFont="1" applyFill="1" applyAlignment="1">
      <alignment horizontal="center"/>
    </xf>
    <xf numFmtId="0" fontId="16" fillId="16" borderId="3" xfId="6" applyBorder="1"/>
    <xf numFmtId="0" fontId="16" fillId="16" borderId="4" xfId="6" applyBorder="1" applyAlignment="1">
      <alignment horizontal="center"/>
    </xf>
    <xf numFmtId="0" fontId="8" fillId="22" borderId="0" xfId="0" applyFont="1" applyFill="1"/>
    <xf numFmtId="0" fontId="8" fillId="22" borderId="0" xfId="0" applyFont="1" applyFill="1" applyAlignment="1">
      <alignment horizontal="right"/>
    </xf>
    <xf numFmtId="0" fontId="0" fillId="0" borderId="7" xfId="0" applyBorder="1" applyAlignment="1">
      <alignment horizontal="right"/>
    </xf>
    <xf numFmtId="40" fontId="38" fillId="41" borderId="0" xfId="0" applyNumberFormat="1" applyFont="1" applyFill="1" applyAlignment="1">
      <alignment horizontal="right"/>
    </xf>
    <xf numFmtId="0" fontId="0" fillId="0" borderId="16" xfId="0" applyBorder="1" applyAlignment="1">
      <alignment horizontal="right"/>
    </xf>
    <xf numFmtId="9" fontId="0" fillId="0" borderId="0" xfId="0" applyNumberFormat="1"/>
    <xf numFmtId="0" fontId="5" fillId="0" borderId="0" xfId="0" applyFont="1" applyAlignment="1">
      <alignment horizontal="center"/>
    </xf>
    <xf numFmtId="40" fontId="61" fillId="0" borderId="0" xfId="0" applyNumberFormat="1" applyFont="1"/>
    <xf numFmtId="0" fontId="61" fillId="0" borderId="0" xfId="0" applyFont="1"/>
    <xf numFmtId="0" fontId="27" fillId="0" borderId="7" xfId="0" applyFont="1" applyBorder="1"/>
    <xf numFmtId="0" fontId="27" fillId="0" borderId="16" xfId="0" applyFont="1" applyBorder="1"/>
    <xf numFmtId="179" fontId="0" fillId="0" borderId="0" xfId="1" applyNumberFormat="1" applyFont="1" applyAlignment="1">
      <alignment horizontal="center"/>
    </xf>
    <xf numFmtId="38" fontId="4" fillId="33" borderId="28" xfId="5" applyNumberFormat="1" applyFill="1" applyBorder="1" applyAlignment="1">
      <alignment horizontal="center"/>
    </xf>
    <xf numFmtId="38" fontId="4" fillId="28" borderId="28" xfId="5" applyNumberFormat="1" applyFill="1" applyBorder="1" applyAlignment="1">
      <alignment horizontal="center"/>
    </xf>
    <xf numFmtId="0" fontId="0" fillId="33" borderId="14" xfId="0" applyFill="1" applyBorder="1"/>
    <xf numFmtId="0" fontId="0" fillId="33" borderId="12" xfId="0" applyFill="1" applyBorder="1"/>
    <xf numFmtId="0" fontId="0" fillId="36" borderId="14" xfId="0" applyFill="1" applyBorder="1"/>
    <xf numFmtId="0" fontId="0" fillId="36" borderId="12" xfId="0" applyFill="1" applyBorder="1"/>
    <xf numFmtId="3" fontId="0" fillId="36" borderId="12" xfId="0" applyNumberFormat="1" applyFill="1" applyBorder="1"/>
    <xf numFmtId="0" fontId="62" fillId="29" borderId="21" xfId="0" applyFont="1" applyFill="1" applyBorder="1" applyAlignment="1">
      <alignment horizontal="center"/>
    </xf>
    <xf numFmtId="167" fontId="62" fillId="29" borderId="22" xfId="0" applyNumberFormat="1" applyFont="1" applyFill="1" applyBorder="1"/>
    <xf numFmtId="0" fontId="62" fillId="29" borderId="22" xfId="0" applyFont="1" applyFill="1" applyBorder="1" applyAlignment="1">
      <alignment horizontal="center"/>
    </xf>
    <xf numFmtId="178" fontId="62" fillId="29" borderId="22" xfId="0" applyNumberFormat="1" applyFont="1" applyFill="1" applyBorder="1"/>
    <xf numFmtId="164" fontId="0" fillId="18" borderId="21" xfId="0" applyNumberFormat="1" applyFill="1" applyBorder="1"/>
    <xf numFmtId="167" fontId="0" fillId="18" borderId="22" xfId="0" applyNumberFormat="1" applyFill="1" applyBorder="1"/>
    <xf numFmtId="0" fontId="0" fillId="18" borderId="22" xfId="0" applyFill="1" applyBorder="1" applyAlignment="1">
      <alignment horizontal="center"/>
    </xf>
    <xf numFmtId="178" fontId="0" fillId="18" borderId="22" xfId="0" applyNumberFormat="1" applyFill="1" applyBorder="1"/>
    <xf numFmtId="0" fontId="0" fillId="18" borderId="22" xfId="0" applyFill="1" applyBorder="1"/>
    <xf numFmtId="0" fontId="0" fillId="18" borderId="22" xfId="1" applyNumberFormat="1" applyFont="1" applyFill="1" applyBorder="1" applyAlignment="1">
      <alignment horizontal="center"/>
    </xf>
    <xf numFmtId="164" fontId="0" fillId="18" borderId="22" xfId="0" applyNumberFormat="1" applyFill="1" applyBorder="1"/>
    <xf numFmtId="177" fontId="0" fillId="18" borderId="22" xfId="2" applyNumberFormat="1" applyFont="1" applyFill="1" applyBorder="1"/>
    <xf numFmtId="167" fontId="0" fillId="18" borderId="22" xfId="1" applyNumberFormat="1" applyFont="1" applyFill="1" applyBorder="1"/>
    <xf numFmtId="167" fontId="0" fillId="0" borderId="22" xfId="0" applyNumberFormat="1" applyBorder="1"/>
    <xf numFmtId="0" fontId="0" fillId="0" borderId="22" xfId="0" applyBorder="1" applyAlignment="1">
      <alignment horizontal="center"/>
    </xf>
    <xf numFmtId="178" fontId="0" fillId="0" borderId="22" xfId="0" applyNumberFormat="1" applyBorder="1"/>
    <xf numFmtId="0" fontId="0" fillId="0" borderId="22" xfId="0" applyBorder="1"/>
    <xf numFmtId="0" fontId="0" fillId="0" borderId="22" xfId="1" applyNumberFormat="1" applyFont="1" applyBorder="1" applyAlignment="1">
      <alignment horizontal="center"/>
    </xf>
    <xf numFmtId="164" fontId="0" fillId="0" borderId="22" xfId="0" applyNumberFormat="1" applyBorder="1"/>
    <xf numFmtId="177" fontId="0" fillId="0" borderId="22" xfId="2" applyNumberFormat="1" applyFont="1" applyBorder="1"/>
    <xf numFmtId="167" fontId="0" fillId="0" borderId="22" xfId="1" applyNumberFormat="1" applyFont="1" applyBorder="1"/>
    <xf numFmtId="176" fontId="0" fillId="0" borderId="22" xfId="0" applyNumberFormat="1" applyBorder="1"/>
    <xf numFmtId="3" fontId="0" fillId="0" borderId="22" xfId="0" applyNumberFormat="1" applyBorder="1"/>
    <xf numFmtId="164" fontId="62" fillId="29" borderId="21" xfId="0" applyNumberFormat="1" applyFont="1" applyFill="1" applyBorder="1"/>
    <xf numFmtId="164" fontId="62" fillId="29" borderId="22" xfId="0" applyNumberFormat="1" applyFont="1" applyFill="1" applyBorder="1"/>
    <xf numFmtId="177" fontId="0" fillId="18" borderId="22" xfId="1" applyNumberFormat="1" applyFont="1" applyFill="1" applyBorder="1" applyAlignment="1">
      <alignment horizontal="center"/>
    </xf>
    <xf numFmtId="38" fontId="0" fillId="18" borderId="22" xfId="1" applyNumberFormat="1" applyFont="1" applyFill="1" applyBorder="1" applyAlignment="1">
      <alignment horizontal="center"/>
    </xf>
    <xf numFmtId="167" fontId="0" fillId="18" borderId="22" xfId="1" applyNumberFormat="1" applyFont="1" applyFill="1" applyBorder="1" applyAlignment="1">
      <alignment horizontal="center"/>
    </xf>
    <xf numFmtId="177" fontId="0" fillId="0" borderId="22" xfId="1" applyNumberFormat="1" applyFont="1" applyBorder="1" applyAlignment="1">
      <alignment horizontal="center"/>
    </xf>
    <xf numFmtId="38" fontId="0" fillId="0" borderId="22" xfId="1" applyNumberFormat="1" applyFont="1" applyBorder="1" applyAlignment="1">
      <alignment horizontal="center"/>
    </xf>
    <xf numFmtId="167" fontId="0" fillId="0" borderId="22" xfId="1" applyNumberFormat="1" applyFont="1" applyBorder="1" applyAlignment="1">
      <alignment horizontal="center"/>
    </xf>
    <xf numFmtId="0" fontId="62" fillId="29" borderId="0" xfId="0" applyFont="1" applyFill="1" applyAlignment="1">
      <alignment horizontal="center"/>
    </xf>
    <xf numFmtId="0" fontId="62" fillId="0" borderId="22" xfId="0" applyFont="1" applyBorder="1" applyAlignment="1">
      <alignment horizontal="center"/>
    </xf>
    <xf numFmtId="0" fontId="3" fillId="0" borderId="22" xfId="4" applyFill="1" applyBorder="1"/>
    <xf numFmtId="176" fontId="0" fillId="0" borderId="23" xfId="0" applyNumberFormat="1" applyBorder="1"/>
    <xf numFmtId="0" fontId="0" fillId="0" borderId="23" xfId="0" applyBorder="1"/>
    <xf numFmtId="0" fontId="3" fillId="0" borderId="23" xfId="4" applyFill="1" applyBorder="1"/>
    <xf numFmtId="176" fontId="0" fillId="0" borderId="0" xfId="0" applyNumberFormat="1"/>
    <xf numFmtId="14" fontId="16" fillId="0" borderId="0" xfId="6" applyNumberFormat="1" applyFill="1" applyAlignment="1">
      <alignment horizontal="center"/>
    </xf>
    <xf numFmtId="164" fontId="62" fillId="0" borderId="22" xfId="0" applyNumberFormat="1" applyFont="1" applyBorder="1"/>
    <xf numFmtId="0" fontId="0" fillId="0" borderId="22" xfId="1" applyNumberFormat="1" applyFont="1" applyFill="1" applyBorder="1" applyAlignment="1">
      <alignment horizontal="center"/>
    </xf>
    <xf numFmtId="0" fontId="0" fillId="0" borderId="23" xfId="1" applyNumberFormat="1" applyFont="1" applyFill="1" applyBorder="1" applyAlignment="1">
      <alignment horizontal="center"/>
    </xf>
    <xf numFmtId="0" fontId="0" fillId="0" borderId="22" xfId="2" applyNumberFormat="1" applyFont="1" applyFill="1" applyBorder="1" applyAlignment="1">
      <alignment horizontal="center"/>
    </xf>
    <xf numFmtId="0" fontId="0" fillId="0" borderId="23" xfId="2" applyNumberFormat="1" applyFont="1" applyFill="1" applyBorder="1" applyAlignment="1">
      <alignment horizontal="center"/>
    </xf>
    <xf numFmtId="164" fontId="62" fillId="29" borderId="0" xfId="0" applyNumberFormat="1" applyFont="1" applyFill="1"/>
    <xf numFmtId="0" fontId="62" fillId="29" borderId="0" xfId="0" applyFont="1" applyFill="1"/>
    <xf numFmtId="164" fontId="62" fillId="29" borderId="0" xfId="0" applyNumberFormat="1" applyFont="1" applyFill="1" applyAlignment="1">
      <alignment horizontal="center"/>
    </xf>
    <xf numFmtId="0" fontId="62" fillId="0" borderId="22" xfId="0" applyFont="1" applyBorder="1"/>
    <xf numFmtId="0" fontId="0" fillId="0" borderId="22" xfId="2" applyNumberFormat="1" applyFont="1" applyFill="1" applyBorder="1"/>
    <xf numFmtId="0" fontId="0" fillId="0" borderId="23" xfId="2" applyNumberFormat="1" applyFont="1" applyFill="1" applyBorder="1"/>
    <xf numFmtId="3" fontId="0" fillId="0" borderId="23" xfId="0" applyNumberFormat="1" applyBorder="1"/>
    <xf numFmtId="0" fontId="0" fillId="0" borderId="22" xfId="1" applyNumberFormat="1" applyFont="1" applyFill="1" applyBorder="1"/>
    <xf numFmtId="170" fontId="16" fillId="16" borderId="0" xfId="6" applyNumberFormat="1"/>
    <xf numFmtId="0" fontId="63" fillId="0" borderId="0" xfId="0" applyFont="1" applyAlignment="1">
      <alignment vertical="center"/>
    </xf>
    <xf numFmtId="4" fontId="63" fillId="0" borderId="0" xfId="0" applyNumberFormat="1" applyFont="1"/>
    <xf numFmtId="0" fontId="63" fillId="0" borderId="0" xfId="0" applyFont="1"/>
    <xf numFmtId="180" fontId="63" fillId="0" borderId="0" xfId="0" applyNumberFormat="1" applyFont="1"/>
    <xf numFmtId="3" fontId="63" fillId="0" borderId="0" xfId="0" applyNumberFormat="1" applyFont="1"/>
    <xf numFmtId="0" fontId="27" fillId="0" borderId="0" xfId="0" applyFont="1" applyAlignment="1">
      <alignment horizontal="center"/>
    </xf>
    <xf numFmtId="0" fontId="16" fillId="16" borderId="0" xfId="6" applyAlignment="1">
      <alignment horizontal="center"/>
    </xf>
    <xf numFmtId="179" fontId="27" fillId="0" borderId="0" xfId="1" applyNumberFormat="1" applyFont="1" applyAlignment="1">
      <alignment horizontal="center"/>
    </xf>
    <xf numFmtId="0" fontId="65" fillId="0" borderId="0" xfId="0" applyFont="1" applyAlignment="1">
      <alignment horizontal="center"/>
    </xf>
    <xf numFmtId="40" fontId="0" fillId="0" borderId="0" xfId="1" applyNumberFormat="1" applyFont="1" applyAlignment="1">
      <alignment horizontal="center"/>
    </xf>
    <xf numFmtId="3" fontId="0" fillId="0" borderId="25" xfId="1" applyNumberFormat="1" applyFont="1" applyBorder="1" applyAlignment="1">
      <alignment horizontal="right"/>
    </xf>
    <xf numFmtId="3" fontId="38" fillId="41" borderId="0" xfId="1" applyNumberFormat="1" applyFont="1" applyFill="1" applyBorder="1" applyAlignment="1">
      <alignment horizontal="right"/>
    </xf>
    <xf numFmtId="38" fontId="64" fillId="0" borderId="1" xfId="5" applyNumberFormat="1" applyFont="1" applyFill="1" applyAlignment="1">
      <alignment horizontal="center"/>
    </xf>
    <xf numFmtId="170" fontId="16" fillId="16" borderId="22" xfId="6" applyNumberFormat="1" applyBorder="1"/>
    <xf numFmtId="0" fontId="53" fillId="16" borderId="0" xfId="6" applyFont="1" applyAlignment="1">
      <alignment horizontal="center"/>
    </xf>
    <xf numFmtId="3" fontId="27" fillId="0" borderId="0" xfId="0" applyNumberFormat="1" applyFont="1"/>
    <xf numFmtId="181" fontId="56" fillId="36" borderId="0" xfId="0" applyNumberFormat="1" applyFont="1" applyFill="1" applyAlignment="1">
      <alignment horizontal="center"/>
    </xf>
    <xf numFmtId="181" fontId="0" fillId="0" borderId="0" xfId="0" applyNumberFormat="1"/>
    <xf numFmtId="9" fontId="0" fillId="0" borderId="22" xfId="2" applyFont="1" applyFill="1" applyBorder="1" applyAlignment="1">
      <alignment horizontal="center"/>
    </xf>
    <xf numFmtId="9" fontId="0" fillId="0" borderId="22" xfId="2" applyFont="1" applyFill="1" applyBorder="1"/>
    <xf numFmtId="177" fontId="0" fillId="0" borderId="0" xfId="2" applyNumberFormat="1" applyFont="1"/>
    <xf numFmtId="3" fontId="4" fillId="4" borderId="1" xfId="5" applyNumberFormat="1" applyAlignment="1">
      <alignment horizontal="center"/>
    </xf>
    <xf numFmtId="172" fontId="0" fillId="0" borderId="0" xfId="2" applyNumberFormat="1" applyFont="1"/>
    <xf numFmtId="3" fontId="27" fillId="0" borderId="7" xfId="0" applyNumberFormat="1" applyFont="1" applyBorder="1"/>
    <xf numFmtId="3" fontId="27" fillId="0" borderId="0" xfId="0" applyNumberFormat="1" applyFont="1" applyAlignment="1">
      <alignment horizontal="center"/>
    </xf>
    <xf numFmtId="179" fontId="27" fillId="0" borderId="0" xfId="0" applyNumberFormat="1" applyFont="1" applyAlignment="1">
      <alignment horizontal="center"/>
    </xf>
    <xf numFmtId="9" fontId="0" fillId="0" borderId="0" xfId="0" applyNumberFormat="1" applyAlignment="1">
      <alignment horizontal="center"/>
    </xf>
    <xf numFmtId="168" fontId="0" fillId="0" borderId="0" xfId="0" applyNumberFormat="1"/>
    <xf numFmtId="164" fontId="0" fillId="0" borderId="0" xfId="1" applyNumberFormat="1" applyFont="1"/>
    <xf numFmtId="0" fontId="58" fillId="39" borderId="0" xfId="0" applyFont="1" applyFill="1" applyAlignment="1">
      <alignment horizontal="center"/>
    </xf>
    <xf numFmtId="38" fontId="0" fillId="0" borderId="22" xfId="1" applyNumberFormat="1" applyFont="1" applyFill="1" applyBorder="1" applyAlignment="1">
      <alignment horizontal="center"/>
    </xf>
    <xf numFmtId="0" fontId="67" fillId="6" borderId="2" xfId="0" applyFont="1" applyFill="1" applyBorder="1"/>
    <xf numFmtId="167" fontId="61" fillId="0" borderId="0" xfId="1" applyNumberFormat="1" applyFont="1" applyAlignment="1">
      <alignment horizontal="center"/>
    </xf>
    <xf numFmtId="167" fontId="0" fillId="0" borderId="0" xfId="1" applyNumberFormat="1" applyFont="1" applyAlignment="1">
      <alignment horizontal="left" vertical="center"/>
    </xf>
    <xf numFmtId="38" fontId="27" fillId="0" borderId="0" xfId="1" applyNumberFormat="1" applyFont="1" applyAlignment="1">
      <alignment horizontal="center"/>
    </xf>
    <xf numFmtId="9" fontId="27" fillId="0" borderId="0" xfId="2" applyFont="1" applyAlignment="1">
      <alignment horizontal="center"/>
    </xf>
    <xf numFmtId="167" fontId="27" fillId="0" borderId="0" xfId="1" applyNumberFormat="1" applyFont="1" applyAlignment="1">
      <alignment horizontal="left" vertical="center"/>
    </xf>
    <xf numFmtId="0" fontId="69" fillId="36" borderId="7" xfId="0" applyFont="1" applyFill="1" applyBorder="1" applyAlignment="1">
      <alignment horizontal="center"/>
    </xf>
    <xf numFmtId="0" fontId="70" fillId="33" borderId="10" xfId="0" applyFont="1" applyFill="1" applyBorder="1" applyAlignment="1">
      <alignment horizontal="center"/>
    </xf>
    <xf numFmtId="0" fontId="27" fillId="0" borderId="0" xfId="0" applyFont="1"/>
    <xf numFmtId="40" fontId="27" fillId="0" borderId="0" xfId="0" applyNumberFormat="1" applyFont="1"/>
    <xf numFmtId="167" fontId="27" fillId="0" borderId="0" xfId="0" applyNumberFormat="1" applyFont="1"/>
    <xf numFmtId="9" fontId="27" fillId="0" borderId="0" xfId="0" applyNumberFormat="1" applyFont="1"/>
    <xf numFmtId="38" fontId="0" fillId="0" borderId="23" xfId="1" applyNumberFormat="1" applyFont="1" applyBorder="1" applyAlignment="1">
      <alignment horizontal="right"/>
    </xf>
    <xf numFmtId="0" fontId="58" fillId="39" borderId="0" xfId="0" quotePrefix="1" applyFont="1" applyFill="1" applyAlignment="1">
      <alignment horizontal="center"/>
    </xf>
    <xf numFmtId="38" fontId="0" fillId="0" borderId="5" xfId="1" applyNumberFormat="1" applyFont="1" applyBorder="1" applyAlignment="1">
      <alignment horizontal="right"/>
    </xf>
    <xf numFmtId="38" fontId="0" fillId="0" borderId="7" xfId="1" applyNumberFormat="1" applyFont="1" applyBorder="1" applyAlignment="1">
      <alignment horizontal="right"/>
    </xf>
    <xf numFmtId="38" fontId="0" fillId="0" borderId="0" xfId="1" applyNumberFormat="1" applyFont="1" applyBorder="1" applyAlignment="1">
      <alignment horizontal="right"/>
    </xf>
    <xf numFmtId="38" fontId="0" fillId="0" borderId="16" xfId="1" applyNumberFormat="1" applyFont="1" applyBorder="1" applyAlignment="1">
      <alignment horizontal="right"/>
    </xf>
    <xf numFmtId="38" fontId="0" fillId="0" borderId="8" xfId="1" applyNumberFormat="1" applyFont="1" applyBorder="1" applyAlignment="1">
      <alignment horizontal="right"/>
    </xf>
    <xf numFmtId="38" fontId="0" fillId="0" borderId="9" xfId="1" applyNumberFormat="1" applyFont="1" applyBorder="1" applyAlignment="1">
      <alignment horizontal="right"/>
    </xf>
    <xf numFmtId="38" fontId="0" fillId="0" borderId="11" xfId="1" applyNumberFormat="1" applyFont="1" applyBorder="1" applyAlignment="1">
      <alignment horizontal="right"/>
    </xf>
    <xf numFmtId="40" fontId="38" fillId="41" borderId="0" xfId="1" applyNumberFormat="1" applyFont="1" applyFill="1" applyBorder="1" applyAlignment="1">
      <alignment horizontal="right"/>
    </xf>
    <xf numFmtId="40" fontId="38" fillId="41" borderId="16" xfId="1" applyNumberFormat="1" applyFont="1" applyFill="1" applyBorder="1" applyAlignment="1">
      <alignment horizontal="right"/>
    </xf>
    <xf numFmtId="38" fontId="0" fillId="0" borderId="1" xfId="5" applyNumberFormat="1" applyFont="1" applyFill="1" applyAlignment="1">
      <alignment horizontal="center"/>
    </xf>
    <xf numFmtId="40" fontId="38" fillId="41" borderId="25" xfId="1" applyNumberFormat="1" applyFont="1" applyFill="1" applyBorder="1" applyAlignment="1">
      <alignment horizontal="right"/>
    </xf>
    <xf numFmtId="4" fontId="0" fillId="18" borderId="22" xfId="0" applyNumberFormat="1" applyFill="1" applyBorder="1"/>
    <xf numFmtId="43" fontId="0" fillId="18" borderId="22" xfId="1" applyFont="1" applyFill="1" applyBorder="1" applyAlignment="1">
      <alignment horizontal="center"/>
    </xf>
    <xf numFmtId="176" fontId="0" fillId="18" borderId="22" xfId="0" applyNumberFormat="1" applyFill="1" applyBorder="1"/>
    <xf numFmtId="43" fontId="0" fillId="18" borderId="22" xfId="1" applyFont="1" applyFill="1" applyBorder="1"/>
    <xf numFmtId="3" fontId="0" fillId="18" borderId="22" xfId="1" applyNumberFormat="1" applyFont="1" applyFill="1" applyBorder="1"/>
    <xf numFmtId="0" fontId="71" fillId="4" borderId="29" xfId="5" applyFont="1" applyBorder="1" applyAlignment="1">
      <alignment horizontal="center"/>
    </xf>
    <xf numFmtId="38" fontId="27" fillId="20" borderId="10" xfId="0" applyNumberFormat="1" applyFont="1" applyFill="1" applyBorder="1" applyAlignment="1">
      <alignment horizontal="center"/>
    </xf>
    <xf numFmtId="38" fontId="27" fillId="20" borderId="16" xfId="0" applyNumberFormat="1" applyFont="1" applyFill="1" applyBorder="1" applyAlignment="1">
      <alignment horizontal="center"/>
    </xf>
    <xf numFmtId="38" fontId="27" fillId="20" borderId="11" xfId="0" applyNumberFormat="1" applyFont="1" applyFill="1" applyBorder="1" applyAlignment="1">
      <alignment horizontal="center"/>
    </xf>
    <xf numFmtId="0" fontId="58" fillId="0" borderId="0" xfId="0" applyFont="1" applyAlignment="1">
      <alignment horizontal="center"/>
    </xf>
    <xf numFmtId="0" fontId="0" fillId="20" borderId="0" xfId="0" applyFill="1" applyAlignment="1">
      <alignment horizontal="center"/>
    </xf>
    <xf numFmtId="0" fontId="0" fillId="44" borderId="0" xfId="0" applyFill="1" applyAlignment="1">
      <alignment horizontal="center"/>
    </xf>
    <xf numFmtId="0" fontId="0" fillId="20" borderId="0" xfId="0" applyFill="1" applyAlignment="1">
      <alignment horizontal="right"/>
    </xf>
    <xf numFmtId="0" fontId="0" fillId="20" borderId="0" xfId="0" applyFill="1" applyAlignment="1">
      <alignment horizontal="left"/>
    </xf>
    <xf numFmtId="0" fontId="0" fillId="44" borderId="0" xfId="0" applyFill="1"/>
    <xf numFmtId="0" fontId="0" fillId="44" borderId="0" xfId="0" applyFill="1" applyAlignment="1">
      <alignment horizontal="right"/>
    </xf>
    <xf numFmtId="0" fontId="0" fillId="38" borderId="0" xfId="0" applyFill="1" applyAlignment="1">
      <alignment horizontal="center"/>
    </xf>
    <xf numFmtId="0" fontId="0" fillId="6" borderId="0" xfId="0" applyFill="1" applyAlignment="1">
      <alignment horizontal="center"/>
    </xf>
    <xf numFmtId="0" fontId="0" fillId="34" borderId="0" xfId="0" applyFill="1"/>
    <xf numFmtId="0" fontId="0" fillId="44" borderId="0" xfId="0" applyFill="1" applyAlignment="1">
      <alignment horizontal="left"/>
    </xf>
    <xf numFmtId="38" fontId="4" fillId="36" borderId="28" xfId="5" applyNumberFormat="1" applyFill="1" applyBorder="1" applyAlignment="1">
      <alignment horizontal="center"/>
    </xf>
    <xf numFmtId="38" fontId="64" fillId="40" borderId="28" xfId="5" applyNumberFormat="1" applyFont="1" applyFill="1" applyBorder="1" applyAlignment="1">
      <alignment horizontal="center"/>
    </xf>
    <xf numFmtId="38" fontId="4" fillId="40" borderId="28" xfId="5" applyNumberFormat="1" applyFill="1" applyBorder="1" applyAlignment="1">
      <alignment horizontal="center"/>
    </xf>
    <xf numFmtId="0" fontId="38" fillId="0" borderId="0" xfId="0" applyFont="1" applyAlignment="1">
      <alignment horizontal="right"/>
    </xf>
    <xf numFmtId="38" fontId="31" fillId="38" borderId="0" xfId="0" applyNumberFormat="1" applyFont="1" applyFill="1" applyAlignment="1">
      <alignment horizontal="right"/>
    </xf>
    <xf numFmtId="0" fontId="31" fillId="0" borderId="0" xfId="0" applyFont="1" applyAlignment="1">
      <alignment horizontal="right"/>
    </xf>
    <xf numFmtId="0" fontId="31" fillId="0" borderId="16" xfId="0" applyFont="1" applyBorder="1" applyAlignment="1">
      <alignment horizontal="right"/>
    </xf>
    <xf numFmtId="38" fontId="31" fillId="38" borderId="1" xfId="0" applyNumberFormat="1" applyFont="1" applyFill="1" applyBorder="1" applyAlignment="1">
      <alignment horizontal="center"/>
    </xf>
    <xf numFmtId="0" fontId="31" fillId="0" borderId="7" xfId="0" applyFont="1" applyBorder="1" applyAlignment="1">
      <alignment horizontal="right"/>
    </xf>
    <xf numFmtId="38" fontId="4" fillId="28" borderId="30" xfId="5" applyNumberFormat="1" applyFill="1" applyBorder="1" applyAlignment="1">
      <alignment horizontal="center"/>
    </xf>
    <xf numFmtId="38" fontId="4" fillId="44" borderId="31" xfId="5" applyNumberFormat="1" applyFill="1" applyBorder="1" applyAlignment="1">
      <alignment horizontal="center"/>
    </xf>
    <xf numFmtId="0" fontId="44" fillId="44" borderId="12" xfId="0" applyFont="1" applyFill="1" applyBorder="1" applyAlignment="1">
      <alignment horizontal="center"/>
    </xf>
    <xf numFmtId="0" fontId="44" fillId="44" borderId="15" xfId="0" applyFont="1" applyFill="1" applyBorder="1" applyAlignment="1">
      <alignment horizontal="center"/>
    </xf>
    <xf numFmtId="9" fontId="0" fillId="0" borderId="22" xfId="2" applyFont="1" applyFill="1" applyBorder="1" applyAlignment="1"/>
    <xf numFmtId="3" fontId="0" fillId="18" borderId="22" xfId="1" applyNumberFormat="1" applyFont="1" applyFill="1" applyBorder="1" applyAlignment="1">
      <alignment horizontal="right"/>
    </xf>
    <xf numFmtId="0" fontId="0" fillId="18" borderId="22" xfId="1" applyNumberFormat="1" applyFont="1" applyFill="1" applyBorder="1" applyAlignment="1">
      <alignment horizontal="right"/>
    </xf>
    <xf numFmtId="0" fontId="44" fillId="44" borderId="2" xfId="0" applyFont="1" applyFill="1" applyBorder="1" applyAlignment="1">
      <alignment horizontal="center"/>
    </xf>
    <xf numFmtId="40" fontId="8" fillId="42" borderId="7" xfId="0" applyNumberFormat="1" applyFont="1" applyFill="1" applyBorder="1"/>
    <xf numFmtId="40" fontId="0" fillId="0" borderId="0" xfId="1" applyNumberFormat="1" applyFont="1" applyBorder="1" applyAlignment="1">
      <alignment horizontal="right"/>
    </xf>
    <xf numFmtId="40" fontId="8" fillId="22" borderId="16" xfId="0" applyNumberFormat="1" applyFont="1" applyFill="1" applyBorder="1"/>
    <xf numFmtId="178" fontId="0" fillId="18" borderId="3" xfId="0" applyNumberFormat="1" applyFill="1" applyBorder="1"/>
    <xf numFmtId="178" fontId="0" fillId="0" borderId="32" xfId="0" applyNumberFormat="1" applyBorder="1"/>
    <xf numFmtId="178" fontId="0" fillId="18" borderId="32" xfId="0" applyNumberFormat="1" applyFill="1" applyBorder="1"/>
    <xf numFmtId="14" fontId="40" fillId="0" borderId="9" xfId="8" applyNumberFormat="1" applyFont="1" applyFill="1" applyBorder="1" applyAlignment="1">
      <alignment horizontal="center"/>
    </xf>
    <xf numFmtId="14" fontId="40" fillId="0" borderId="0" xfId="8" applyNumberFormat="1" applyFont="1" applyFill="1" applyBorder="1" applyAlignment="1">
      <alignment horizontal="center"/>
    </xf>
    <xf numFmtId="14" fontId="41" fillId="0" borderId="0" xfId="8" applyNumberFormat="1" applyFont="1" applyFill="1" applyBorder="1" applyAlignment="1">
      <alignment horizontal="center"/>
    </xf>
    <xf numFmtId="0" fontId="41" fillId="0" borderId="0" xfId="0" applyFont="1" applyAlignment="1">
      <alignment horizontal="center"/>
    </xf>
    <xf numFmtId="0" fontId="42" fillId="0" borderId="0" xfId="0" applyFont="1"/>
    <xf numFmtId="0" fontId="43" fillId="0" borderId="0" xfId="0" applyFont="1"/>
    <xf numFmtId="178" fontId="0" fillId="17" borderId="0" xfId="0" applyNumberFormat="1" applyFill="1"/>
    <xf numFmtId="179" fontId="27" fillId="45" borderId="0" xfId="1" applyNumberFormat="1" applyFont="1" applyFill="1" applyAlignment="1">
      <alignment horizontal="center"/>
    </xf>
    <xf numFmtId="38" fontId="55" fillId="45" borderId="0" xfId="0" applyNumberFormat="1" applyFont="1" applyFill="1" applyAlignment="1">
      <alignment horizontal="center"/>
    </xf>
    <xf numFmtId="3" fontId="4" fillId="4" borderId="34" xfId="5" applyNumberFormat="1" applyBorder="1" applyAlignment="1">
      <alignment horizontal="center"/>
    </xf>
    <xf numFmtId="3" fontId="4" fillId="4" borderId="35" xfId="5" applyNumberFormat="1" applyBorder="1" applyAlignment="1">
      <alignment horizontal="center"/>
    </xf>
    <xf numFmtId="3" fontId="38" fillId="41" borderId="36" xfId="1" applyNumberFormat="1" applyFont="1" applyFill="1" applyBorder="1" applyAlignment="1">
      <alignment horizontal="right"/>
    </xf>
    <xf numFmtId="3" fontId="38" fillId="41" borderId="37" xfId="1" applyNumberFormat="1" applyFont="1" applyFill="1" applyBorder="1" applyAlignment="1">
      <alignment horizontal="right"/>
    </xf>
    <xf numFmtId="3" fontId="4" fillId="33" borderId="38" xfId="5" applyNumberFormat="1" applyFill="1" applyBorder="1" applyAlignment="1">
      <alignment horizontal="center"/>
    </xf>
    <xf numFmtId="3" fontId="4" fillId="4" borderId="38" xfId="5" applyNumberFormat="1" applyBorder="1" applyAlignment="1">
      <alignment horizontal="center"/>
    </xf>
    <xf numFmtId="3" fontId="4" fillId="39" borderId="35" xfId="5" applyNumberFormat="1" applyFill="1" applyBorder="1" applyAlignment="1">
      <alignment horizontal="center"/>
    </xf>
    <xf numFmtId="3" fontId="0" fillId="0" borderId="7" xfId="1" applyNumberFormat="1" applyFont="1" applyBorder="1" applyAlignment="1">
      <alignment horizontal="right"/>
    </xf>
    <xf numFmtId="3" fontId="0" fillId="0" borderId="0" xfId="1" applyNumberFormat="1" applyFont="1" applyBorder="1" applyAlignment="1">
      <alignment horizontal="right"/>
    </xf>
    <xf numFmtId="3" fontId="0" fillId="0" borderId="16" xfId="1" applyNumberFormat="1" applyFont="1" applyBorder="1" applyAlignment="1">
      <alignment horizontal="right"/>
    </xf>
    <xf numFmtId="179" fontId="75" fillId="0" borderId="0" xfId="1" applyNumberFormat="1" applyFont="1" applyAlignment="1">
      <alignment horizontal="center"/>
    </xf>
    <xf numFmtId="3" fontId="0" fillId="0" borderId="0" xfId="0" applyNumberFormat="1" applyAlignment="1">
      <alignment horizontal="right"/>
    </xf>
    <xf numFmtId="0" fontId="0" fillId="0" borderId="0" xfId="0" applyAlignment="1">
      <alignment wrapText="1"/>
    </xf>
    <xf numFmtId="0" fontId="0" fillId="0" borderId="0" xfId="0" applyAlignment="1">
      <alignment horizontal="center" vertical="center"/>
    </xf>
    <xf numFmtId="0" fontId="76" fillId="0" borderId="0" xfId="0" applyFont="1" applyAlignment="1">
      <alignment horizontal="center" vertical="center"/>
    </xf>
    <xf numFmtId="0" fontId="77" fillId="14" borderId="0" xfId="0" quotePrefix="1" applyFont="1" applyFill="1"/>
    <xf numFmtId="0" fontId="77" fillId="14" borderId="7" xfId="0" applyFont="1" applyFill="1" applyBorder="1"/>
    <xf numFmtId="0" fontId="77" fillId="14" borderId="16" xfId="0" quotePrefix="1" applyFont="1" applyFill="1" applyBorder="1"/>
    <xf numFmtId="0" fontId="77" fillId="14" borderId="7" xfId="0" quotePrefix="1" applyFont="1" applyFill="1" applyBorder="1"/>
    <xf numFmtId="0" fontId="8" fillId="40" borderId="0" xfId="0" applyFont="1" applyFill="1"/>
    <xf numFmtId="0" fontId="77" fillId="13" borderId="7" xfId="0" applyFont="1" applyFill="1" applyBorder="1"/>
    <xf numFmtId="0" fontId="77" fillId="13" borderId="0" xfId="0" quotePrefix="1" applyFont="1" applyFill="1"/>
    <xf numFmtId="0" fontId="77" fillId="13" borderId="16" xfId="0" quotePrefix="1" applyFont="1" applyFill="1" applyBorder="1"/>
    <xf numFmtId="0" fontId="77" fillId="13" borderId="8" xfId="0" applyFont="1" applyFill="1" applyBorder="1"/>
    <xf numFmtId="0" fontId="77" fillId="13" borderId="9" xfId="0" quotePrefix="1" applyFont="1" applyFill="1" applyBorder="1"/>
    <xf numFmtId="0" fontId="77" fillId="13" borderId="11" xfId="0" quotePrefix="1" applyFont="1" applyFill="1" applyBorder="1"/>
    <xf numFmtId="0" fontId="8" fillId="6" borderId="4" xfId="0" applyFont="1" applyFill="1" applyBorder="1"/>
    <xf numFmtId="164" fontId="8" fillId="0" borderId="0" xfId="0" applyNumberFormat="1" applyFont="1" applyAlignment="1">
      <alignment horizontal="center"/>
    </xf>
    <xf numFmtId="164" fontId="15" fillId="0" borderId="0" xfId="0" applyNumberFormat="1" applyFont="1" applyAlignment="1">
      <alignment horizontal="center"/>
    </xf>
    <xf numFmtId="0" fontId="9" fillId="10" borderId="3" xfId="0" applyFont="1" applyFill="1" applyBorder="1"/>
    <xf numFmtId="14" fontId="8" fillId="0" borderId="5" xfId="0" applyNumberFormat="1" applyFont="1" applyBorder="1"/>
    <xf numFmtId="14" fontId="8" fillId="0" borderId="7" xfId="0" applyNumberFormat="1" applyFont="1" applyBorder="1"/>
    <xf numFmtId="14" fontId="8" fillId="0" borderId="8" xfId="0" applyNumberFormat="1" applyFont="1" applyBorder="1"/>
    <xf numFmtId="3" fontId="9" fillId="13" borderId="8" xfId="0" applyNumberFormat="1" applyFont="1" applyFill="1" applyBorder="1" applyAlignment="1">
      <alignment horizontal="center"/>
    </xf>
    <xf numFmtId="49" fontId="8" fillId="33" borderId="0" xfId="0" applyNumberFormat="1" applyFont="1" applyFill="1"/>
    <xf numFmtId="0" fontId="79" fillId="8" borderId="14" xfId="0" applyFont="1" applyFill="1" applyBorder="1" applyAlignment="1">
      <alignment horizontal="center"/>
    </xf>
    <xf numFmtId="0" fontId="79" fillId="8" borderId="15" xfId="0" applyFont="1" applyFill="1" applyBorder="1" applyAlignment="1">
      <alignment horizontal="center"/>
    </xf>
    <xf numFmtId="0" fontId="79" fillId="8" borderId="2" xfId="0" quotePrefix="1" applyFont="1" applyFill="1" applyBorder="1" applyAlignment="1">
      <alignment horizontal="center"/>
    </xf>
    <xf numFmtId="0" fontId="79" fillId="8" borderId="0" xfId="0" applyFont="1" applyFill="1" applyAlignment="1">
      <alignment horizontal="center"/>
    </xf>
    <xf numFmtId="0" fontId="79" fillId="8" borderId="4" xfId="0" applyFont="1" applyFill="1" applyBorder="1" applyAlignment="1">
      <alignment horizontal="center"/>
    </xf>
    <xf numFmtId="0" fontId="81" fillId="10" borderId="3" xfId="0" applyFont="1" applyFill="1" applyBorder="1" applyAlignment="1">
      <alignment horizontal="center"/>
    </xf>
    <xf numFmtId="40" fontId="9" fillId="13" borderId="14" xfId="0" applyNumberFormat="1" applyFont="1" applyFill="1" applyBorder="1" applyAlignment="1">
      <alignment horizontal="center"/>
    </xf>
    <xf numFmtId="2" fontId="9" fillId="13" borderId="14" xfId="0" applyNumberFormat="1" applyFont="1" applyFill="1" applyBorder="1" applyAlignment="1">
      <alignment horizontal="center"/>
    </xf>
    <xf numFmtId="2" fontId="9" fillId="13" borderId="8" xfId="0" applyNumberFormat="1" applyFont="1" applyFill="1" applyBorder="1" applyAlignment="1">
      <alignment horizontal="center"/>
    </xf>
    <xf numFmtId="0" fontId="80" fillId="0" borderId="0" xfId="0" applyFont="1" applyAlignment="1">
      <alignment horizontal="left"/>
    </xf>
    <xf numFmtId="0" fontId="82" fillId="13" borderId="3" xfId="0" applyFont="1" applyFill="1" applyBorder="1" applyAlignment="1">
      <alignment horizontal="center"/>
    </xf>
    <xf numFmtId="0" fontId="82" fillId="13" borderId="2" xfId="0" applyFont="1" applyFill="1" applyBorder="1" applyAlignment="1">
      <alignment horizontal="center"/>
    </xf>
    <xf numFmtId="0" fontId="82" fillId="13" borderId="13" xfId="0" applyFont="1" applyFill="1" applyBorder="1" applyAlignment="1">
      <alignment horizontal="center"/>
    </xf>
    <xf numFmtId="0" fontId="78" fillId="0" borderId="0" xfId="0" applyFont="1" applyAlignment="1">
      <alignment horizontal="left"/>
    </xf>
    <xf numFmtId="0" fontId="0" fillId="7" borderId="0" xfId="0" applyFill="1"/>
    <xf numFmtId="0" fontId="0" fillId="0" borderId="0" xfId="0" applyProtection="1">
      <protection locked="0"/>
    </xf>
    <xf numFmtId="0" fontId="0" fillId="6" borderId="17" xfId="0" applyFill="1" applyBorder="1" applyProtection="1">
      <protection locked="0"/>
    </xf>
    <xf numFmtId="0" fontId="28" fillId="6" borderId="17" xfId="0" applyFont="1" applyFill="1" applyBorder="1" applyAlignment="1" applyProtection="1">
      <alignment horizontal="center"/>
      <protection locked="0"/>
    </xf>
    <xf numFmtId="0" fontId="0" fillId="7" borderId="0" xfId="0" applyFill="1" applyAlignment="1" applyProtection="1">
      <alignment horizontal="center"/>
      <protection locked="0"/>
    </xf>
    <xf numFmtId="14" fontId="0" fillId="6" borderId="0" xfId="0" applyNumberFormat="1" applyFill="1" applyProtection="1">
      <protection locked="0"/>
    </xf>
    <xf numFmtId="0" fontId="0" fillId="6" borderId="7" xfId="0" applyFill="1" applyBorder="1" applyProtection="1">
      <protection locked="0"/>
    </xf>
    <xf numFmtId="3" fontId="0" fillId="6" borderId="0" xfId="0" applyNumberFormat="1" applyFill="1" applyProtection="1">
      <protection locked="0"/>
    </xf>
    <xf numFmtId="40" fontId="0" fillId="6" borderId="0" xfId="0" applyNumberFormat="1" applyFill="1" applyProtection="1">
      <protection locked="0"/>
    </xf>
    <xf numFmtId="0" fontId="28" fillId="6" borderId="16" xfId="0" applyFont="1" applyFill="1" applyBorder="1" applyAlignment="1" applyProtection="1">
      <alignment horizontal="center"/>
      <protection locked="0"/>
    </xf>
    <xf numFmtId="0" fontId="0" fillId="0" borderId="0" xfId="0" applyAlignment="1" applyProtection="1">
      <alignment horizontal="center"/>
      <protection locked="0"/>
    </xf>
    <xf numFmtId="170" fontId="0" fillId="0" borderId="0" xfId="0" applyNumberFormat="1" applyProtection="1">
      <protection locked="0"/>
    </xf>
    <xf numFmtId="0" fontId="28" fillId="6" borderId="11" xfId="0" applyFont="1" applyFill="1" applyBorder="1" applyAlignment="1" applyProtection="1">
      <alignment horizontal="center"/>
      <protection locked="0"/>
    </xf>
    <xf numFmtId="0" fontId="28" fillId="0" borderId="0" xfId="0" applyFont="1" applyAlignment="1" applyProtection="1">
      <alignment horizontal="center"/>
      <protection locked="0"/>
    </xf>
    <xf numFmtId="0" fontId="0" fillId="7" borderId="14" xfId="0" applyFill="1" applyBorder="1" applyProtection="1">
      <protection locked="0"/>
    </xf>
    <xf numFmtId="0" fontId="0" fillId="7" borderId="12" xfId="0" applyFill="1" applyBorder="1" applyProtection="1">
      <protection locked="0"/>
    </xf>
    <xf numFmtId="0" fontId="0" fillId="7" borderId="15" xfId="0" applyFill="1" applyBorder="1" applyProtection="1">
      <protection locked="0"/>
    </xf>
    <xf numFmtId="0" fontId="0" fillId="7" borderId="0" xfId="0" applyFill="1" applyProtection="1">
      <protection locked="0"/>
    </xf>
    <xf numFmtId="0" fontId="0" fillId="6" borderId="0" xfId="0" applyFill="1" applyProtection="1">
      <protection locked="0"/>
    </xf>
    <xf numFmtId="14" fontId="0" fillId="0" borderId="0" xfId="0" applyNumberFormat="1" applyProtection="1">
      <protection locked="0"/>
    </xf>
    <xf numFmtId="40" fontId="0" fillId="0" borderId="0" xfId="0" applyNumberFormat="1" applyProtection="1">
      <protection locked="0"/>
    </xf>
    <xf numFmtId="3" fontId="0" fillId="0" borderId="0" xfId="0" applyNumberFormat="1" applyProtection="1">
      <protection locked="0"/>
    </xf>
    <xf numFmtId="14" fontId="60" fillId="43" borderId="0" xfId="0" applyNumberFormat="1" applyFont="1" applyFill="1" applyProtection="1">
      <protection locked="0"/>
    </xf>
    <xf numFmtId="0" fontId="60" fillId="13" borderId="7" xfId="0" applyFont="1" applyFill="1" applyBorder="1" applyProtection="1">
      <protection locked="0"/>
    </xf>
    <xf numFmtId="3" fontId="60" fillId="13" borderId="0" xfId="0" applyNumberFormat="1" applyFont="1" applyFill="1" applyProtection="1">
      <protection locked="0"/>
    </xf>
    <xf numFmtId="40" fontId="60" fillId="13" borderId="0" xfId="0" applyNumberFormat="1" applyFont="1" applyFill="1" applyProtection="1">
      <protection locked="0"/>
    </xf>
    <xf numFmtId="3" fontId="0" fillId="36" borderId="0" xfId="0" applyNumberFormat="1" applyFill="1" applyProtection="1">
      <protection locked="0"/>
    </xf>
    <xf numFmtId="0" fontId="0" fillId="0" borderId="5" xfId="0" applyBorder="1" applyAlignment="1">
      <alignment horizontal="center"/>
    </xf>
    <xf numFmtId="14" fontId="0" fillId="0" borderId="7" xfId="0" applyNumberFormat="1" applyBorder="1"/>
    <xf numFmtId="167" fontId="0" fillId="0" borderId="0" xfId="1" applyNumberFormat="1" applyFont="1" applyBorder="1" applyProtection="1"/>
    <xf numFmtId="43" fontId="0" fillId="0" borderId="16" xfId="1" applyFont="1" applyBorder="1" applyProtection="1"/>
    <xf numFmtId="0" fontId="0" fillId="0" borderId="7" xfId="0" applyBorder="1" applyAlignment="1">
      <alignment horizontal="center"/>
    </xf>
    <xf numFmtId="0" fontId="0" fillId="0" borderId="8" xfId="0" applyBorder="1" applyAlignment="1">
      <alignment horizontal="center"/>
    </xf>
    <xf numFmtId="14" fontId="0" fillId="0" borderId="8" xfId="0" applyNumberFormat="1" applyBorder="1"/>
    <xf numFmtId="167" fontId="0" fillId="0" borderId="9" xfId="1" applyNumberFormat="1" applyFont="1" applyBorder="1" applyProtection="1"/>
    <xf numFmtId="43" fontId="0" fillId="0" borderId="11" xfId="1" applyFont="1" applyBorder="1" applyProtection="1"/>
    <xf numFmtId="0" fontId="0" fillId="47" borderId="0" xfId="0" applyFill="1"/>
    <xf numFmtId="9" fontId="0" fillId="27" borderId="0" xfId="0" applyNumberFormat="1" applyFill="1"/>
    <xf numFmtId="182" fontId="0" fillId="27" borderId="0" xfId="0" applyNumberFormat="1" applyFill="1"/>
    <xf numFmtId="2" fontId="0" fillId="27" borderId="0" xfId="0" applyNumberFormat="1" applyFill="1"/>
    <xf numFmtId="14" fontId="0" fillId="47" borderId="0" xfId="0" applyNumberFormat="1" applyFill="1"/>
    <xf numFmtId="0" fontId="0" fillId="48" borderId="0" xfId="0" applyFill="1"/>
    <xf numFmtId="0" fontId="58" fillId="48" borderId="0" xfId="0" applyFont="1" applyFill="1" applyAlignment="1">
      <alignment horizontal="center"/>
    </xf>
    <xf numFmtId="1" fontId="0" fillId="48" borderId="0" xfId="0" applyNumberFormat="1" applyFill="1"/>
    <xf numFmtId="4" fontId="0" fillId="48" borderId="0" xfId="0" applyNumberFormat="1" applyFill="1"/>
    <xf numFmtId="4" fontId="0" fillId="0" borderId="0" xfId="0" applyNumberFormat="1"/>
    <xf numFmtId="0" fontId="0" fillId="49" borderId="0" xfId="0" applyFill="1"/>
    <xf numFmtId="2" fontId="0" fillId="49" borderId="0" xfId="0" applyNumberFormat="1" applyFill="1"/>
    <xf numFmtId="38" fontId="73" fillId="36" borderId="0" xfId="0" applyNumberFormat="1" applyFont="1" applyFill="1" applyAlignment="1">
      <alignment horizontal="center"/>
    </xf>
    <xf numFmtId="40" fontId="27" fillId="0" borderId="0" xfId="1" applyNumberFormat="1" applyFont="1" applyAlignment="1">
      <alignment horizontal="center"/>
    </xf>
    <xf numFmtId="40" fontId="0" fillId="0" borderId="16" xfId="0" quotePrefix="1" applyNumberFormat="1" applyBorder="1"/>
    <xf numFmtId="1" fontId="0" fillId="27" borderId="0" xfId="0" applyNumberFormat="1" applyFill="1"/>
    <xf numFmtId="3" fontId="84" fillId="0" borderId="0" xfId="0" applyNumberFormat="1" applyFont="1"/>
    <xf numFmtId="2" fontId="56" fillId="26" borderId="14" xfId="0" applyNumberFormat="1" applyFont="1" applyFill="1" applyBorder="1" applyAlignment="1">
      <alignment horizontal="center" vertical="center" wrapText="1"/>
    </xf>
    <xf numFmtId="0" fontId="0" fillId="0" borderId="22" xfId="1" applyNumberFormat="1" applyFont="1" applyBorder="1"/>
    <xf numFmtId="0" fontId="66" fillId="50" borderId="0" xfId="0" applyFont="1" applyFill="1" applyAlignment="1">
      <alignment horizontal="center"/>
    </xf>
    <xf numFmtId="0" fontId="68" fillId="50" borderId="0" xfId="0" applyFont="1" applyFill="1" applyAlignment="1">
      <alignment horizontal="center"/>
    </xf>
    <xf numFmtId="0" fontId="58" fillId="0" borderId="8" xfId="0" applyFont="1" applyBorder="1" applyAlignment="1">
      <alignment horizontal="center"/>
    </xf>
    <xf numFmtId="0" fontId="58" fillId="0" borderId="14" xfId="0" applyFont="1" applyBorder="1" applyAlignment="1">
      <alignment horizontal="center"/>
    </xf>
    <xf numFmtId="0" fontId="58" fillId="0" borderId="12" xfId="0" applyFont="1" applyBorder="1" applyAlignment="1">
      <alignment horizontal="center"/>
    </xf>
    <xf numFmtId="0" fontId="58" fillId="0" borderId="15" xfId="0" applyFont="1" applyBorder="1" applyAlignment="1">
      <alignment horizontal="center"/>
    </xf>
    <xf numFmtId="0" fontId="0" fillId="51" borderId="0" xfId="0" applyFill="1"/>
    <xf numFmtId="0" fontId="0" fillId="51" borderId="0" xfId="0" applyFill="1" applyAlignment="1">
      <alignment horizontal="center"/>
    </xf>
    <xf numFmtId="0" fontId="0" fillId="51" borderId="0" xfId="0" applyFill="1" applyAlignment="1">
      <alignment horizontal="right"/>
    </xf>
    <xf numFmtId="9" fontId="0" fillId="51" borderId="0" xfId="2" applyFont="1" applyFill="1" applyAlignment="1">
      <alignment vertical="center"/>
    </xf>
    <xf numFmtId="169" fontId="0" fillId="51" borderId="0" xfId="0" applyNumberFormat="1" applyFill="1" applyAlignment="1">
      <alignment horizontal="center"/>
    </xf>
    <xf numFmtId="0" fontId="58" fillId="0" borderId="9" xfId="0" applyFont="1" applyBorder="1" applyAlignment="1">
      <alignment horizontal="center"/>
    </xf>
    <xf numFmtId="0" fontId="0" fillId="0" borderId="10" xfId="0" applyBorder="1" applyAlignment="1">
      <alignment horizontal="center"/>
    </xf>
    <xf numFmtId="0" fontId="58" fillId="0" borderId="7" xfId="0" applyFont="1" applyBorder="1" applyAlignment="1">
      <alignment horizontal="center"/>
    </xf>
    <xf numFmtId="0" fontId="0" fillId="0" borderId="16" xfId="0" applyBorder="1" applyAlignment="1">
      <alignment horizontal="center"/>
    </xf>
    <xf numFmtId="179" fontId="27" fillId="44" borderId="0" xfId="2" applyNumberFormat="1" applyFont="1" applyFill="1" applyAlignment="1">
      <alignment vertical="center"/>
    </xf>
    <xf numFmtId="179" fontId="27" fillId="20" borderId="0" xfId="0" applyNumberFormat="1" applyFont="1" applyFill="1" applyAlignment="1">
      <alignment horizontal="center"/>
    </xf>
    <xf numFmtId="179" fontId="27" fillId="39" borderId="0" xfId="2" applyNumberFormat="1" applyFont="1" applyFill="1" applyAlignment="1">
      <alignment horizontal="center"/>
    </xf>
    <xf numFmtId="2" fontId="0" fillId="0" borderId="8" xfId="0" applyNumberFormat="1" applyBorder="1" applyAlignment="1">
      <alignment horizontal="center"/>
    </xf>
    <xf numFmtId="183" fontId="27" fillId="20" borderId="5" xfId="2" applyNumberFormat="1" applyFont="1" applyFill="1" applyBorder="1" applyAlignment="1">
      <alignment horizontal="center"/>
    </xf>
    <xf numFmtId="179" fontId="27" fillId="20" borderId="10" xfId="2" applyNumberFormat="1" applyFont="1" applyFill="1" applyBorder="1" applyAlignment="1">
      <alignment horizontal="center"/>
    </xf>
    <xf numFmtId="183" fontId="27" fillId="20" borderId="7" xfId="0" applyNumberFormat="1" applyFont="1" applyFill="1" applyBorder="1" applyAlignment="1">
      <alignment horizontal="center"/>
    </xf>
    <xf numFmtId="183" fontId="27" fillId="20" borderId="8" xfId="0" applyNumberFormat="1" applyFont="1" applyFill="1" applyBorder="1" applyAlignment="1">
      <alignment horizontal="center"/>
    </xf>
    <xf numFmtId="179" fontId="27" fillId="20" borderId="16" xfId="2" applyNumberFormat="1" applyFont="1" applyFill="1" applyBorder="1" applyAlignment="1">
      <alignment horizontal="center"/>
    </xf>
    <xf numFmtId="179" fontId="27" fillId="20" borderId="11" xfId="2" applyNumberFormat="1" applyFont="1" applyFill="1" applyBorder="1" applyAlignment="1">
      <alignment horizontal="center"/>
    </xf>
    <xf numFmtId="1" fontId="0" fillId="0" borderId="8" xfId="0" applyNumberFormat="1" applyBorder="1" applyAlignment="1">
      <alignment horizontal="center"/>
    </xf>
    <xf numFmtId="177" fontId="27" fillId="20" borderId="0" xfId="0" applyNumberFormat="1" applyFont="1" applyFill="1" applyAlignment="1">
      <alignment horizontal="center"/>
    </xf>
    <xf numFmtId="2" fontId="0" fillId="33" borderId="0" xfId="0" applyNumberFormat="1" applyFill="1"/>
    <xf numFmtId="49" fontId="71" fillId="36" borderId="23" xfId="0" applyNumberFormat="1" applyFont="1" applyFill="1" applyBorder="1" applyAlignment="1">
      <alignment horizontal="center" vertical="center" wrapText="1"/>
    </xf>
    <xf numFmtId="49" fontId="32" fillId="33" borderId="39" xfId="0" applyNumberFormat="1" applyFont="1" applyFill="1" applyBorder="1" applyAlignment="1">
      <alignment horizontal="center" vertical="center" wrapText="1"/>
    </xf>
    <xf numFmtId="9" fontId="0" fillId="48" borderId="0" xfId="0" applyNumberFormat="1" applyFill="1"/>
    <xf numFmtId="0" fontId="27" fillId="0" borderId="0" xfId="0" applyFont="1" applyAlignment="1">
      <alignment horizontal="center" vertical="center"/>
    </xf>
    <xf numFmtId="0" fontId="0" fillId="46" borderId="0" xfId="0" applyFill="1" applyAlignment="1" applyProtection="1">
      <alignment horizontal="center"/>
      <protection locked="0"/>
    </xf>
    <xf numFmtId="0" fontId="31" fillId="17" borderId="0" xfId="0" applyFont="1" applyFill="1" applyAlignment="1">
      <alignment horizontal="center"/>
    </xf>
    <xf numFmtId="38" fontId="86" fillId="0" borderId="0" xfId="1" applyNumberFormat="1" applyFont="1" applyFill="1" applyAlignment="1">
      <alignment horizontal="right"/>
    </xf>
    <xf numFmtId="38" fontId="77" fillId="22" borderId="3" xfId="0" applyNumberFormat="1" applyFont="1" applyFill="1" applyBorder="1" applyAlignment="1">
      <alignment horizontal="center"/>
    </xf>
    <xf numFmtId="38" fontId="77" fillId="22" borderId="13" xfId="0" applyNumberFormat="1" applyFont="1" applyFill="1" applyBorder="1" applyAlignment="1">
      <alignment horizontal="center"/>
    </xf>
    <xf numFmtId="0" fontId="87" fillId="17" borderId="0" xfId="0" applyFont="1" applyFill="1" applyAlignment="1">
      <alignment horizontal="center"/>
    </xf>
    <xf numFmtId="0" fontId="0" fillId="52" borderId="0" xfId="0" applyFill="1" applyAlignment="1">
      <alignment horizontal="center"/>
    </xf>
    <xf numFmtId="0" fontId="0" fillId="52" borderId="0" xfId="0" applyFill="1"/>
    <xf numFmtId="0" fontId="0" fillId="0" borderId="14" xfId="0" applyBorder="1"/>
    <xf numFmtId="0" fontId="0" fillId="0" borderId="15" xfId="0" applyBorder="1"/>
    <xf numFmtId="0" fontId="0" fillId="0" borderId="40" xfId="0" applyBorder="1"/>
    <xf numFmtId="0" fontId="0" fillId="0" borderId="41" xfId="0" applyBorder="1"/>
    <xf numFmtId="0" fontId="0" fillId="0" borderId="42" xfId="0" applyBorder="1"/>
    <xf numFmtId="0" fontId="27" fillId="0" borderId="6" xfId="0" applyFont="1" applyBorder="1" applyAlignment="1">
      <alignment horizontal="center"/>
    </xf>
    <xf numFmtId="184" fontId="90" fillId="53" borderId="8" xfId="0" applyNumberFormat="1" applyFont="1" applyFill="1" applyBorder="1" applyAlignment="1">
      <alignment horizontal="center" vertical="center"/>
    </xf>
    <xf numFmtId="167" fontId="90" fillId="53" borderId="43" xfId="1" applyNumberFormat="1" applyFont="1" applyFill="1" applyBorder="1" applyAlignment="1">
      <alignment horizontal="center" vertical="center"/>
    </xf>
    <xf numFmtId="0" fontId="32" fillId="36" borderId="9" xfId="0" applyFont="1" applyFill="1" applyBorder="1" applyAlignment="1">
      <alignment horizontal="center" vertical="center"/>
    </xf>
    <xf numFmtId="167" fontId="90" fillId="54" borderId="11" xfId="1" applyNumberFormat="1" applyFont="1" applyFill="1" applyBorder="1" applyAlignment="1">
      <alignment horizontal="center" vertical="center"/>
    </xf>
    <xf numFmtId="0" fontId="67" fillId="6" borderId="44" xfId="0" applyFont="1" applyFill="1" applyBorder="1"/>
    <xf numFmtId="49" fontId="91" fillId="36" borderId="41" xfId="0" applyNumberFormat="1" applyFont="1" applyFill="1" applyBorder="1" applyAlignment="1">
      <alignment horizontal="center" vertical="center" wrapText="1"/>
    </xf>
    <xf numFmtId="49" fontId="91" fillId="33" borderId="42" xfId="0" applyNumberFormat="1" applyFont="1" applyFill="1" applyBorder="1" applyAlignment="1">
      <alignment horizontal="center" vertical="center" wrapText="1"/>
    </xf>
    <xf numFmtId="41" fontId="0" fillId="32" borderId="22" xfId="1" applyNumberFormat="1" applyFont="1" applyFill="1" applyBorder="1"/>
    <xf numFmtId="41" fontId="0" fillId="32" borderId="5" xfId="1" applyNumberFormat="1" applyFont="1" applyFill="1" applyBorder="1"/>
    <xf numFmtId="41" fontId="0" fillId="32" borderId="45" xfId="1" applyNumberFormat="1" applyFont="1" applyFill="1" applyBorder="1"/>
    <xf numFmtId="41" fontId="0" fillId="32" borderId="0" xfId="1" applyNumberFormat="1" applyFont="1" applyFill="1" applyBorder="1"/>
    <xf numFmtId="0" fontId="92" fillId="0" borderId="14" xfId="0" applyFont="1" applyBorder="1" applyAlignment="1">
      <alignment horizontal="center" vertical="center"/>
    </xf>
    <xf numFmtId="0" fontId="92" fillId="0" borderId="12" xfId="0" applyFont="1" applyBorder="1" applyAlignment="1">
      <alignment horizontal="center" vertical="center"/>
    </xf>
    <xf numFmtId="0" fontId="92" fillId="0" borderId="15" xfId="0" applyFont="1" applyBorder="1" applyAlignment="1">
      <alignment horizontal="center" vertical="center"/>
    </xf>
    <xf numFmtId="0" fontId="56" fillId="0" borderId="0" xfId="0" applyFont="1" applyAlignment="1">
      <alignment horizontal="center"/>
    </xf>
    <xf numFmtId="172" fontId="0" fillId="0" borderId="0" xfId="0" applyNumberFormat="1" applyAlignment="1">
      <alignment horizontal="left"/>
    </xf>
    <xf numFmtId="38" fontId="0" fillId="27" borderId="0" xfId="0" applyNumberFormat="1" applyFill="1"/>
    <xf numFmtId="177" fontId="0" fillId="0" borderId="0" xfId="2" applyNumberFormat="1" applyFont="1" applyAlignment="1">
      <alignment horizontal="left"/>
    </xf>
    <xf numFmtId="3" fontId="0" fillId="27" borderId="0" xfId="0" applyNumberFormat="1" applyFill="1"/>
    <xf numFmtId="185" fontId="63" fillId="0" borderId="0" xfId="0" applyNumberFormat="1" applyFont="1"/>
    <xf numFmtId="186" fontId="63" fillId="0" borderId="0" xfId="0" applyNumberFormat="1" applyFont="1"/>
    <xf numFmtId="0" fontId="27" fillId="39" borderId="0" xfId="0" applyFont="1" applyFill="1" applyAlignment="1">
      <alignment horizontal="center"/>
    </xf>
    <xf numFmtId="170" fontId="0" fillId="39" borderId="0" xfId="0" applyNumberFormat="1" applyFill="1"/>
    <xf numFmtId="0" fontId="0" fillId="0" borderId="17" xfId="0" applyBorder="1" applyAlignment="1">
      <alignment horizontal="center"/>
    </xf>
    <xf numFmtId="38" fontId="0" fillId="0" borderId="46" xfId="0" applyNumberFormat="1" applyBorder="1"/>
    <xf numFmtId="0" fontId="95" fillId="0" borderId="0" xfId="0" applyFont="1" applyAlignment="1">
      <alignment horizontal="center"/>
    </xf>
    <xf numFmtId="3" fontId="58" fillId="0" borderId="22" xfId="1" applyNumberFormat="1" applyFont="1" applyBorder="1" applyAlignment="1">
      <alignment horizontal="center"/>
    </xf>
    <xf numFmtId="164" fontId="58" fillId="0" borderId="22" xfId="1" applyNumberFormat="1" applyFont="1" applyBorder="1" applyAlignment="1">
      <alignment horizontal="center"/>
    </xf>
    <xf numFmtId="3" fontId="0" fillId="0" borderId="22" xfId="1" applyNumberFormat="1" applyFont="1" applyBorder="1" applyAlignment="1">
      <alignment horizontal="center"/>
    </xf>
    <xf numFmtId="164" fontId="28" fillId="0" borderId="22" xfId="0" applyNumberFormat="1" applyFont="1" applyBorder="1" applyAlignment="1">
      <alignment horizontal="center"/>
    </xf>
    <xf numFmtId="3" fontId="86" fillId="0" borderId="22" xfId="1" applyNumberFormat="1" applyFont="1" applyBorder="1" applyAlignment="1">
      <alignment horizontal="center"/>
    </xf>
    <xf numFmtId="3" fontId="0" fillId="55" borderId="32" xfId="1" applyNumberFormat="1" applyFont="1" applyFill="1" applyBorder="1" applyAlignment="1">
      <alignment horizontal="center"/>
    </xf>
    <xf numFmtId="0" fontId="58" fillId="0" borderId="5" xfId="0" applyFont="1" applyBorder="1" applyAlignment="1">
      <alignment horizontal="center"/>
    </xf>
    <xf numFmtId="164" fontId="0" fillId="0" borderId="0" xfId="1" applyNumberFormat="1" applyFont="1" applyBorder="1"/>
    <xf numFmtId="3" fontId="86" fillId="0" borderId="22" xfId="0" applyNumberFormat="1" applyFont="1" applyBorder="1" applyAlignment="1">
      <alignment horizontal="center"/>
    </xf>
    <xf numFmtId="3" fontId="0" fillId="0" borderId="22" xfId="1" applyNumberFormat="1" applyFont="1" applyBorder="1"/>
    <xf numFmtId="0" fontId="56" fillId="39" borderId="0" xfId="0" applyFont="1" applyFill="1" applyAlignment="1">
      <alignment horizontal="right"/>
    </xf>
    <xf numFmtId="0" fontId="56" fillId="39" borderId="0" xfId="0" applyFont="1" applyFill="1" applyAlignment="1">
      <alignment horizontal="left"/>
    </xf>
    <xf numFmtId="0" fontId="5" fillId="40" borderId="0" xfId="0" applyFont="1" applyFill="1"/>
    <xf numFmtId="0" fontId="5" fillId="40" borderId="0" xfId="0" applyFont="1" applyFill="1" applyAlignment="1">
      <alignment horizontal="right"/>
    </xf>
    <xf numFmtId="0" fontId="58" fillId="0" borderId="6" xfId="0" applyFont="1" applyBorder="1" applyAlignment="1">
      <alignment horizontal="center"/>
    </xf>
    <xf numFmtId="0" fontId="58" fillId="0" borderId="10" xfId="0" applyFont="1" applyBorder="1" applyAlignment="1">
      <alignment horizontal="center"/>
    </xf>
    <xf numFmtId="38" fontId="4" fillId="44" borderId="12" xfId="5" applyNumberFormat="1" applyFill="1" applyBorder="1" applyAlignment="1">
      <alignment horizontal="center"/>
    </xf>
    <xf numFmtId="0" fontId="0" fillId="6" borderId="0" xfId="0" applyFill="1" applyAlignment="1" applyProtection="1">
      <alignment horizontal="right"/>
      <protection locked="0"/>
    </xf>
    <xf numFmtId="170" fontId="0" fillId="27" borderId="0" xfId="0" applyNumberFormat="1" applyFill="1" applyAlignment="1">
      <alignment horizontal="right" vertical="center"/>
    </xf>
    <xf numFmtId="3" fontId="0" fillId="55" borderId="16" xfId="1" applyNumberFormat="1" applyFont="1" applyFill="1" applyBorder="1" applyAlignment="1">
      <alignment horizontal="center"/>
    </xf>
    <xf numFmtId="38" fontId="0" fillId="0" borderId="13" xfId="0" applyNumberFormat="1" applyBorder="1" applyAlignment="1">
      <alignment horizontal="center"/>
    </xf>
    <xf numFmtId="0" fontId="0" fillId="0" borderId="47" xfId="0" applyBorder="1"/>
    <xf numFmtId="38" fontId="0" fillId="0" borderId="7" xfId="0" applyNumberFormat="1" applyBorder="1" applyAlignment="1">
      <alignment horizontal="center"/>
    </xf>
    <xf numFmtId="0" fontId="99" fillId="0" borderId="48" xfId="0" applyFont="1" applyBorder="1" applyAlignment="1">
      <alignment horizontal="center"/>
    </xf>
    <xf numFmtId="0" fontId="100" fillId="0" borderId="51" xfId="0" applyFont="1" applyBorder="1" applyAlignment="1">
      <alignment horizontal="center" vertical="center"/>
    </xf>
    <xf numFmtId="0" fontId="94" fillId="0" borderId="0" xfId="0" applyFont="1" applyAlignment="1">
      <alignment horizontal="center"/>
    </xf>
    <xf numFmtId="3" fontId="94" fillId="0" borderId="55" xfId="0" applyNumberFormat="1" applyFont="1" applyBorder="1" applyAlignment="1">
      <alignment horizontal="center"/>
    </xf>
    <xf numFmtId="3" fontId="0" fillId="56" borderId="48" xfId="1" applyNumberFormat="1" applyFont="1" applyFill="1" applyBorder="1" applyAlignment="1">
      <alignment horizontal="center"/>
    </xf>
    <xf numFmtId="0" fontId="58" fillId="0" borderId="56" xfId="0" applyFont="1" applyBorder="1"/>
    <xf numFmtId="3" fontId="58" fillId="0" borderId="57" xfId="0" applyNumberFormat="1" applyFont="1" applyBorder="1" applyAlignment="1">
      <alignment horizontal="center"/>
    </xf>
    <xf numFmtId="3" fontId="58" fillId="0" borderId="56" xfId="0" applyNumberFormat="1" applyFont="1" applyBorder="1" applyAlignment="1">
      <alignment horizontal="center"/>
    </xf>
    <xf numFmtId="3" fontId="0" fillId="55" borderId="48" xfId="1" applyNumberFormat="1" applyFont="1" applyFill="1" applyBorder="1" applyAlignment="1">
      <alignment horizontal="center"/>
    </xf>
    <xf numFmtId="3" fontId="0" fillId="55" borderId="58" xfId="1" applyNumberFormat="1" applyFont="1" applyFill="1" applyBorder="1" applyAlignment="1">
      <alignment horizontal="center"/>
    </xf>
    <xf numFmtId="3" fontId="58" fillId="0" borderId="0" xfId="0" applyNumberFormat="1" applyFont="1" applyAlignment="1">
      <alignment horizontal="center"/>
    </xf>
    <xf numFmtId="3" fontId="0" fillId="36" borderId="8" xfId="1" applyNumberFormat="1" applyFont="1" applyFill="1" applyBorder="1" applyAlignment="1">
      <alignment horizontal="center"/>
    </xf>
    <xf numFmtId="0" fontId="58" fillId="0" borderId="3" xfId="0" applyFont="1" applyBorder="1" applyAlignment="1">
      <alignment horizontal="center"/>
    </xf>
    <xf numFmtId="3" fontId="96" fillId="0" borderId="0" xfId="0" applyNumberFormat="1" applyFont="1" applyAlignment="1">
      <alignment horizontal="center"/>
    </xf>
    <xf numFmtId="3" fontId="96" fillId="0" borderId="9" xfId="0" applyNumberFormat="1" applyFont="1" applyBorder="1" applyAlignment="1">
      <alignment horizontal="center"/>
    </xf>
    <xf numFmtId="0" fontId="58" fillId="0" borderId="16" xfId="0" applyFont="1" applyBorder="1" applyAlignment="1">
      <alignment horizontal="center"/>
    </xf>
    <xf numFmtId="38" fontId="94" fillId="0" borderId="4" xfId="0" applyNumberFormat="1" applyFont="1" applyBorder="1" applyAlignment="1">
      <alignment horizontal="center"/>
    </xf>
    <xf numFmtId="38" fontId="94" fillId="0" borderId="8" xfId="0" applyNumberFormat="1" applyFont="1" applyBorder="1" applyAlignment="1">
      <alignment horizontal="center"/>
    </xf>
    <xf numFmtId="0" fontId="58" fillId="0" borderId="13" xfId="0" applyFont="1" applyBorder="1" applyAlignment="1">
      <alignment horizontal="center"/>
    </xf>
    <xf numFmtId="38" fontId="58" fillId="0" borderId="4" xfId="0" applyNumberFormat="1" applyFont="1" applyBorder="1" applyAlignment="1">
      <alignment horizontal="center"/>
    </xf>
    <xf numFmtId="0" fontId="56" fillId="50" borderId="0" xfId="0" applyFont="1" applyFill="1"/>
    <xf numFmtId="0" fontId="97" fillId="0" borderId="5" xfId="0" applyFont="1" applyBorder="1" applyAlignment="1">
      <alignment horizontal="center"/>
    </xf>
    <xf numFmtId="0" fontId="98" fillId="0" borderId="6" xfId="0" applyFont="1" applyBorder="1" applyAlignment="1">
      <alignment horizontal="center"/>
    </xf>
    <xf numFmtId="40" fontId="58" fillId="0" borderId="9" xfId="1" applyNumberFormat="1" applyFont="1" applyBorder="1" applyAlignment="1">
      <alignment horizontal="center"/>
    </xf>
    <xf numFmtId="3" fontId="0" fillId="56" borderId="16" xfId="1" applyNumberFormat="1" applyFont="1" applyFill="1" applyBorder="1" applyAlignment="1">
      <alignment horizontal="center"/>
    </xf>
    <xf numFmtId="3" fontId="0" fillId="56" borderId="62" xfId="1" applyNumberFormat="1" applyFont="1" applyFill="1" applyBorder="1" applyAlignment="1">
      <alignment horizontal="center"/>
    </xf>
    <xf numFmtId="0" fontId="58" fillId="0" borderId="57" xfId="0" applyFont="1" applyBorder="1" applyAlignment="1">
      <alignment horizontal="center"/>
    </xf>
    <xf numFmtId="0" fontId="98" fillId="0" borderId="63" xfId="0" applyFont="1" applyBorder="1"/>
    <xf numFmtId="3" fontId="58" fillId="0" borderId="63" xfId="0" applyNumberFormat="1" applyFont="1" applyBorder="1" applyAlignment="1">
      <alignment horizontal="center"/>
    </xf>
    <xf numFmtId="0" fontId="58" fillId="47" borderId="0" xfId="0" applyFont="1" applyFill="1" applyAlignment="1">
      <alignment horizontal="center"/>
    </xf>
    <xf numFmtId="3" fontId="58" fillId="47" borderId="0" xfId="0" applyNumberFormat="1" applyFont="1" applyFill="1" applyAlignment="1">
      <alignment horizontal="center"/>
    </xf>
    <xf numFmtId="0" fontId="0" fillId="47" borderId="0" xfId="0" applyFill="1" applyAlignment="1">
      <alignment horizontal="center" vertical="center"/>
    </xf>
    <xf numFmtId="38" fontId="0" fillId="0" borderId="8" xfId="0" applyNumberFormat="1" applyBorder="1" applyAlignment="1">
      <alignment horizontal="center"/>
    </xf>
    <xf numFmtId="38" fontId="0" fillId="0" borderId="11" xfId="0" applyNumberFormat="1" applyBorder="1" applyAlignment="1">
      <alignment horizontal="center"/>
    </xf>
    <xf numFmtId="0" fontId="56" fillId="0" borderId="4" xfId="0" applyFont="1" applyBorder="1" applyAlignment="1">
      <alignment horizontal="center"/>
    </xf>
    <xf numFmtId="0" fontId="5" fillId="0" borderId="4" xfId="0" applyFont="1" applyBorder="1" applyAlignment="1">
      <alignment horizontal="center"/>
    </xf>
    <xf numFmtId="3" fontId="101" fillId="0" borderId="0" xfId="0" applyNumberFormat="1" applyFont="1" applyAlignment="1">
      <alignment horizontal="center"/>
    </xf>
    <xf numFmtId="0" fontId="0" fillId="57" borderId="0" xfId="0" applyFill="1"/>
    <xf numFmtId="0" fontId="27" fillId="33" borderId="0" xfId="0" applyFont="1" applyFill="1" applyAlignment="1">
      <alignment horizontal="center"/>
    </xf>
    <xf numFmtId="2" fontId="107" fillId="0" borderId="48" xfId="0" applyNumberFormat="1" applyFont="1" applyBorder="1" applyAlignment="1">
      <alignment horizontal="center"/>
    </xf>
    <xf numFmtId="40" fontId="5" fillId="0" borderId="0" xfId="0" applyNumberFormat="1" applyFont="1" applyAlignment="1">
      <alignment horizontal="center"/>
    </xf>
    <xf numFmtId="4" fontId="58" fillId="0" borderId="0" xfId="0" applyNumberFormat="1" applyFont="1" applyAlignment="1">
      <alignment horizontal="center"/>
    </xf>
    <xf numFmtId="0" fontId="58" fillId="0" borderId="48" xfId="0" applyFont="1" applyBorder="1" applyAlignment="1">
      <alignment horizontal="center"/>
    </xf>
    <xf numFmtId="40" fontId="86" fillId="0" borderId="51" xfId="1" applyNumberFormat="1" applyFont="1" applyBorder="1" applyAlignment="1">
      <alignment horizontal="center"/>
    </xf>
    <xf numFmtId="172" fontId="0" fillId="0" borderId="0" xfId="2" applyNumberFormat="1" applyFont="1" applyFill="1" applyAlignment="1">
      <alignment horizontal="center"/>
    </xf>
    <xf numFmtId="0" fontId="103" fillId="33" borderId="5" xfId="0" applyFont="1" applyFill="1" applyBorder="1" applyAlignment="1">
      <alignment horizontal="center"/>
    </xf>
    <xf numFmtId="179" fontId="1" fillId="52" borderId="0" xfId="1" applyNumberFormat="1" applyFont="1" applyFill="1" applyAlignment="1">
      <alignment horizontal="center"/>
    </xf>
    <xf numFmtId="167" fontId="0" fillId="36" borderId="0" xfId="1" applyNumberFormat="1" applyFont="1" applyFill="1" applyBorder="1" applyAlignment="1">
      <alignment horizontal="center"/>
    </xf>
    <xf numFmtId="170" fontId="0" fillId="57" borderId="22" xfId="1" applyNumberFormat="1" applyFont="1" applyFill="1" applyBorder="1"/>
    <xf numFmtId="170" fontId="0" fillId="58" borderId="22" xfId="1" applyNumberFormat="1" applyFont="1" applyFill="1" applyBorder="1"/>
    <xf numFmtId="170" fontId="0" fillId="57" borderId="22" xfId="0" applyNumberFormat="1" applyFill="1" applyBorder="1"/>
    <xf numFmtId="170" fontId="0" fillId="57" borderId="0" xfId="0" applyNumberFormat="1" applyFill="1"/>
    <xf numFmtId="3" fontId="58" fillId="0" borderId="3" xfId="0" applyNumberFormat="1" applyFont="1" applyBorder="1" applyAlignment="1">
      <alignment horizontal="center"/>
    </xf>
    <xf numFmtId="164" fontId="0" fillId="0" borderId="0" xfId="0" applyNumberFormat="1" applyProtection="1">
      <protection locked="0"/>
    </xf>
    <xf numFmtId="164" fontId="0" fillId="6" borderId="0" xfId="0" applyNumberFormat="1" applyFill="1" applyProtection="1">
      <protection locked="0"/>
    </xf>
    <xf numFmtId="167" fontId="31" fillId="57" borderId="0" xfId="1" applyNumberFormat="1" applyFont="1" applyFill="1" applyAlignment="1">
      <alignment horizontal="center"/>
    </xf>
    <xf numFmtId="38" fontId="31" fillId="57" borderId="0" xfId="0" applyNumberFormat="1" applyFont="1" applyFill="1" applyAlignment="1">
      <alignment horizontal="center"/>
    </xf>
    <xf numFmtId="0" fontId="0" fillId="59" borderId="0" xfId="0" applyFill="1"/>
    <xf numFmtId="0" fontId="0" fillId="38" borderId="0" xfId="0" applyFill="1"/>
    <xf numFmtId="172" fontId="0" fillId="27" borderId="0" xfId="2" applyNumberFormat="1" applyFont="1" applyFill="1"/>
    <xf numFmtId="38" fontId="4" fillId="4" borderId="31" xfId="5" applyNumberFormat="1" applyBorder="1" applyAlignment="1">
      <alignment horizontal="center"/>
    </xf>
    <xf numFmtId="38" fontId="4" fillId="4" borderId="64" xfId="5" applyNumberFormat="1" applyBorder="1" applyAlignment="1">
      <alignment horizontal="center"/>
    </xf>
    <xf numFmtId="38" fontId="4" fillId="4" borderId="65" xfId="5" applyNumberFormat="1" applyBorder="1" applyAlignment="1">
      <alignment horizontal="center"/>
    </xf>
    <xf numFmtId="0" fontId="109" fillId="0" borderId="0" xfId="0" applyFont="1"/>
    <xf numFmtId="38" fontId="109" fillId="0" borderId="0" xfId="0" applyNumberFormat="1" applyFont="1"/>
    <xf numFmtId="10" fontId="0" fillId="0" borderId="0" xfId="0" applyNumberFormat="1"/>
    <xf numFmtId="3" fontId="58" fillId="0" borderId="0" xfId="0" applyNumberFormat="1" applyFont="1"/>
    <xf numFmtId="2" fontId="5" fillId="26" borderId="14" xfId="0" applyNumberFormat="1" applyFont="1" applyFill="1" applyBorder="1" applyAlignment="1">
      <alignment horizontal="center" vertical="center" wrapText="1"/>
    </xf>
    <xf numFmtId="0" fontId="0" fillId="38" borderId="0" xfId="0" applyFill="1" applyAlignment="1">
      <alignment horizontal="left"/>
    </xf>
    <xf numFmtId="3" fontId="108" fillId="6" borderId="14" xfId="0" applyNumberFormat="1" applyFont="1" applyFill="1" applyBorder="1" applyAlignment="1">
      <alignment horizontal="center" vertical="center" wrapText="1"/>
    </xf>
    <xf numFmtId="187" fontId="0" fillId="0" borderId="0" xfId="0" applyNumberFormat="1"/>
    <xf numFmtId="167" fontId="110" fillId="33" borderId="9" xfId="1" applyNumberFormat="1" applyFont="1" applyFill="1" applyBorder="1" applyAlignment="1">
      <alignment horizontal="center"/>
    </xf>
    <xf numFmtId="179" fontId="110" fillId="33" borderId="8" xfId="1" applyNumberFormat="1" applyFont="1" applyFill="1" applyBorder="1" applyAlignment="1">
      <alignment horizontal="center"/>
    </xf>
    <xf numFmtId="9" fontId="111" fillId="0" borderId="0" xfId="0" applyNumberFormat="1" applyFont="1"/>
    <xf numFmtId="0" fontId="111" fillId="0" borderId="0" xfId="0" applyFont="1"/>
    <xf numFmtId="0" fontId="58" fillId="0" borderId="0" xfId="0" applyFont="1"/>
    <xf numFmtId="0" fontId="58" fillId="0" borderId="5" xfId="0" applyFont="1" applyBorder="1"/>
    <xf numFmtId="179" fontId="1" fillId="52" borderId="0" xfId="1" applyNumberFormat="1" applyFont="1" applyFill="1" applyAlignment="1">
      <alignment horizontal="center" vertical="center"/>
    </xf>
    <xf numFmtId="172" fontId="31" fillId="38" borderId="0" xfId="2" applyNumberFormat="1" applyFont="1" applyFill="1" applyAlignment="1">
      <alignment horizontal="center" vertical="center"/>
    </xf>
    <xf numFmtId="0" fontId="27" fillId="52" borderId="0" xfId="0" applyFont="1" applyFill="1" applyAlignment="1">
      <alignment horizontal="center" vertical="center"/>
    </xf>
    <xf numFmtId="0" fontId="72" fillId="0" borderId="0" xfId="0" applyFont="1" applyAlignment="1">
      <alignment horizontal="center"/>
    </xf>
    <xf numFmtId="0" fontId="27" fillId="0" borderId="16" xfId="0" applyFont="1" applyBorder="1" applyAlignment="1">
      <alignment horizontal="center"/>
    </xf>
    <xf numFmtId="0" fontId="61" fillId="0" borderId="0" xfId="0" applyFont="1" applyAlignment="1">
      <alignment horizontal="center"/>
    </xf>
    <xf numFmtId="0" fontId="27" fillId="0" borderId="0" xfId="0" applyFont="1" applyAlignment="1">
      <alignment horizontal="left" vertical="center"/>
    </xf>
    <xf numFmtId="0" fontId="31" fillId="38" borderId="0" xfId="0" applyFont="1" applyFill="1" applyAlignment="1">
      <alignment horizontal="center" vertical="center"/>
    </xf>
    <xf numFmtId="0" fontId="27" fillId="20" borderId="16" xfId="0" applyFont="1" applyFill="1" applyBorder="1" applyAlignment="1">
      <alignment horizontal="center"/>
    </xf>
    <xf numFmtId="0" fontId="0" fillId="36" borderId="0" xfId="0" applyFill="1" applyAlignment="1">
      <alignment horizontal="center"/>
    </xf>
    <xf numFmtId="170" fontId="113" fillId="33" borderId="3" xfId="0" applyNumberFormat="1" applyFont="1" applyFill="1" applyBorder="1"/>
    <xf numFmtId="38" fontId="114" fillId="0" borderId="4" xfId="0" applyNumberFormat="1" applyFont="1" applyBorder="1" applyAlignment="1">
      <alignment horizontal="center"/>
    </xf>
    <xf numFmtId="10" fontId="0" fillId="0" borderId="0" xfId="2" applyNumberFormat="1" applyFont="1" applyAlignment="1">
      <alignment horizontal="center"/>
    </xf>
    <xf numFmtId="179" fontId="0" fillId="52" borderId="0" xfId="1" applyNumberFormat="1" applyFont="1" applyFill="1" applyAlignment="1">
      <alignment horizontal="center"/>
    </xf>
    <xf numFmtId="38" fontId="27" fillId="20" borderId="16" xfId="2" applyNumberFormat="1" applyFont="1" applyFill="1" applyBorder="1" applyAlignment="1">
      <alignment horizontal="center"/>
    </xf>
    <xf numFmtId="179" fontId="111" fillId="0" borderId="0" xfId="0" applyNumberFormat="1" applyFont="1" applyAlignment="1">
      <alignment horizontal="center"/>
    </xf>
    <xf numFmtId="40" fontId="111" fillId="0" borderId="0" xfId="1" applyNumberFormat="1" applyFont="1" applyAlignment="1">
      <alignment horizontal="center" vertical="center"/>
    </xf>
    <xf numFmtId="0" fontId="111" fillId="0" borderId="0" xfId="0" applyFont="1" applyAlignment="1">
      <alignment horizontal="center" vertical="center"/>
    </xf>
    <xf numFmtId="38" fontId="0" fillId="0" borderId="16" xfId="1" applyNumberFormat="1" applyFont="1" applyFill="1" applyBorder="1" applyAlignment="1">
      <alignment horizontal="center"/>
    </xf>
    <xf numFmtId="38" fontId="0" fillId="0" borderId="0" xfId="1" applyNumberFormat="1" applyFont="1" applyFill="1" applyBorder="1" applyAlignment="1">
      <alignment horizontal="center"/>
    </xf>
    <xf numFmtId="38" fontId="0" fillId="0" borderId="0" xfId="0" applyNumberFormat="1" applyAlignment="1">
      <alignment horizontal="center"/>
    </xf>
    <xf numFmtId="3" fontId="0" fillId="0" borderId="0" xfId="0" applyNumberFormat="1" applyAlignment="1">
      <alignment horizontal="center"/>
    </xf>
    <xf numFmtId="172" fontId="27" fillId="33" borderId="13" xfId="2" applyNumberFormat="1" applyFont="1" applyFill="1" applyBorder="1" applyAlignment="1">
      <alignment horizontal="center"/>
    </xf>
    <xf numFmtId="3" fontId="72" fillId="0" borderId="0" xfId="0" applyNumberFormat="1" applyFont="1" applyAlignment="1">
      <alignment horizontal="center"/>
    </xf>
    <xf numFmtId="38" fontId="1" fillId="52" borderId="0" xfId="1" applyNumberFormat="1" applyFont="1" applyFill="1" applyAlignment="1">
      <alignment horizontal="center"/>
    </xf>
    <xf numFmtId="40" fontId="58" fillId="39" borderId="0" xfId="1" applyNumberFormat="1" applyFont="1" applyFill="1" applyAlignment="1">
      <alignment horizontal="center" vertical="center"/>
    </xf>
    <xf numFmtId="49" fontId="0" fillId="6" borderId="0" xfId="0" applyNumberFormat="1" applyFill="1" applyAlignment="1">
      <alignment horizontal="left"/>
    </xf>
    <xf numFmtId="172" fontId="115" fillId="57" borderId="13" xfId="2" applyNumberFormat="1" applyFont="1" applyFill="1" applyBorder="1" applyAlignment="1">
      <alignment horizontal="center"/>
    </xf>
    <xf numFmtId="172" fontId="115" fillId="57" borderId="4" xfId="0" applyNumberFormat="1" applyFont="1" applyFill="1" applyBorder="1" applyAlignment="1">
      <alignment horizontal="center"/>
    </xf>
    <xf numFmtId="172" fontId="62" fillId="57" borderId="67" xfId="2" applyNumberFormat="1" applyFont="1" applyFill="1" applyBorder="1" applyAlignment="1">
      <alignment horizontal="center" vertical="center"/>
    </xf>
    <xf numFmtId="172" fontId="115" fillId="57" borderId="2" xfId="2" applyNumberFormat="1" applyFont="1" applyFill="1" applyBorder="1" applyAlignment="1">
      <alignment horizontal="center"/>
    </xf>
    <xf numFmtId="0" fontId="117" fillId="0" borderId="3" xfId="0" applyFont="1" applyBorder="1" applyAlignment="1">
      <alignment horizontal="center" vertical="center" wrapText="1"/>
    </xf>
    <xf numFmtId="38" fontId="94" fillId="0" borderId="4" xfId="0" applyNumberFormat="1" applyFont="1" applyBorder="1" applyAlignment="1">
      <alignment horizontal="center" vertical="center"/>
    </xf>
    <xf numFmtId="0" fontId="38" fillId="60" borderId="0" xfId="0" applyFont="1" applyFill="1"/>
    <xf numFmtId="0" fontId="38" fillId="61" borderId="0" xfId="0" applyFont="1" applyFill="1"/>
    <xf numFmtId="1" fontId="95" fillId="0" borderId="0" xfId="0" applyNumberFormat="1" applyFont="1" applyAlignment="1">
      <alignment horizontal="center"/>
    </xf>
    <xf numFmtId="0" fontId="0" fillId="0" borderId="0" xfId="0" quotePrefix="1"/>
    <xf numFmtId="38" fontId="0" fillId="0" borderId="16" xfId="0" applyNumberFormat="1" applyBorder="1" applyAlignment="1">
      <alignment horizontal="center"/>
    </xf>
    <xf numFmtId="0" fontId="119" fillId="28" borderId="0" xfId="0" applyFont="1" applyFill="1" applyAlignment="1">
      <alignment horizontal="center" vertical="center"/>
    </xf>
    <xf numFmtId="0" fontId="56" fillId="0" borderId="0" xfId="0" applyFont="1"/>
    <xf numFmtId="164" fontId="0" fillId="0" borderId="9" xfId="0" applyNumberFormat="1" applyBorder="1" applyAlignment="1">
      <alignment horizontal="center"/>
    </xf>
    <xf numFmtId="3" fontId="0" fillId="33" borderId="16" xfId="1" applyNumberFormat="1" applyFont="1" applyFill="1" applyBorder="1" applyAlignment="1">
      <alignment horizontal="center"/>
    </xf>
    <xf numFmtId="49" fontId="85" fillId="7" borderId="5" xfId="0" applyNumberFormat="1" applyFont="1" applyFill="1" applyBorder="1" applyAlignment="1">
      <alignment horizontal="center" vertical="center" wrapText="1"/>
    </xf>
    <xf numFmtId="49" fontId="85" fillId="17" borderId="6" xfId="0" applyNumberFormat="1" applyFont="1" applyFill="1" applyBorder="1" applyAlignment="1">
      <alignment horizontal="center" vertical="center" wrapText="1"/>
    </xf>
    <xf numFmtId="40" fontId="58" fillId="7" borderId="7" xfId="0" applyNumberFormat="1" applyFont="1" applyFill="1" applyBorder="1"/>
    <xf numFmtId="0" fontId="31" fillId="17" borderId="0" xfId="0" applyFont="1" applyFill="1" applyAlignment="1">
      <alignment horizontal="center" vertical="center"/>
    </xf>
    <xf numFmtId="49" fontId="95" fillId="6" borderId="6" xfId="0" applyNumberFormat="1" applyFont="1" applyFill="1" applyBorder="1" applyAlignment="1">
      <alignment horizontal="center" vertical="center" wrapText="1"/>
    </xf>
    <xf numFmtId="179" fontId="86" fillId="39" borderId="0" xfId="1" applyNumberFormat="1" applyFont="1" applyFill="1" applyAlignment="1">
      <alignment horizontal="center" vertical="center"/>
    </xf>
    <xf numFmtId="49" fontId="121" fillId="0" borderId="0" xfId="0" applyNumberFormat="1" applyFont="1" applyAlignment="1">
      <alignment horizontal="center" vertical="center" wrapText="1"/>
    </xf>
    <xf numFmtId="0" fontId="0" fillId="59" borderId="0" xfId="0" applyFill="1" applyAlignment="1">
      <alignment horizontal="center"/>
    </xf>
    <xf numFmtId="167" fontId="28" fillId="62" borderId="71" xfId="1" applyNumberFormat="1" applyFont="1" applyFill="1" applyBorder="1" applyAlignment="1">
      <alignment horizontal="center"/>
    </xf>
    <xf numFmtId="179" fontId="27" fillId="0" borderId="7" xfId="0" applyNumberFormat="1" applyFont="1" applyBorder="1" applyAlignment="1">
      <alignment horizontal="center"/>
    </xf>
    <xf numFmtId="0" fontId="0" fillId="26" borderId="0" xfId="0" applyFill="1" applyAlignment="1">
      <alignment horizontal="center"/>
    </xf>
    <xf numFmtId="178" fontId="0" fillId="26" borderId="0" xfId="0" applyNumberFormat="1" applyFill="1"/>
    <xf numFmtId="2" fontId="0" fillId="26" borderId="0" xfId="0" applyNumberFormat="1" applyFill="1"/>
    <xf numFmtId="164" fontId="0" fillId="26" borderId="0" xfId="0" applyNumberFormat="1" applyFill="1"/>
    <xf numFmtId="10" fontId="0" fillId="26" borderId="0" xfId="2" applyNumberFormat="1" applyFont="1" applyFill="1"/>
    <xf numFmtId="38" fontId="0" fillId="0" borderId="0" xfId="1" applyNumberFormat="1" applyFont="1"/>
    <xf numFmtId="0" fontId="124" fillId="57" borderId="0" xfId="0" applyFont="1" applyFill="1" applyAlignment="1">
      <alignment horizontal="center"/>
    </xf>
    <xf numFmtId="0" fontId="124" fillId="57" borderId="0" xfId="0" quotePrefix="1" applyFont="1" applyFill="1" applyAlignment="1">
      <alignment horizontal="center"/>
    </xf>
    <xf numFmtId="0" fontId="95" fillId="33" borderId="0" xfId="0" applyFont="1" applyFill="1" applyAlignment="1">
      <alignment horizontal="center"/>
    </xf>
    <xf numFmtId="0" fontId="95" fillId="33" borderId="0" xfId="0" quotePrefix="1" applyFont="1" applyFill="1" applyAlignment="1">
      <alignment horizontal="center"/>
    </xf>
    <xf numFmtId="38" fontId="0" fillId="33" borderId="0" xfId="0" applyNumberFormat="1" applyFill="1"/>
    <xf numFmtId="38" fontId="58" fillId="0" borderId="0" xfId="0" applyNumberFormat="1" applyFont="1"/>
    <xf numFmtId="0" fontId="0" fillId="0" borderId="0" xfId="0" applyAlignment="1">
      <alignment horizontal="left" indent="1"/>
    </xf>
    <xf numFmtId="167" fontId="97" fillId="33" borderId="9" xfId="1" applyNumberFormat="1" applyFont="1" applyFill="1" applyBorder="1" applyAlignment="1">
      <alignment horizontal="center"/>
    </xf>
    <xf numFmtId="40" fontId="58" fillId="0" borderId="0" xfId="1" applyNumberFormat="1" applyFont="1" applyAlignment="1">
      <alignment horizontal="center" vertical="center"/>
    </xf>
    <xf numFmtId="38" fontId="58" fillId="0" borderId="16" xfId="1" applyNumberFormat="1" applyFont="1" applyFill="1" applyBorder="1" applyAlignment="1">
      <alignment horizontal="right"/>
    </xf>
    <xf numFmtId="38" fontId="58" fillId="0" borderId="16" xfId="0" applyNumberFormat="1" applyFont="1" applyBorder="1" applyAlignment="1">
      <alignment horizontal="right"/>
    </xf>
    <xf numFmtId="177" fontId="5" fillId="36" borderId="0" xfId="2" applyNumberFormat="1" applyFont="1" applyFill="1" applyAlignment="1">
      <alignment horizontal="center"/>
    </xf>
    <xf numFmtId="177" fontId="0" fillId="0" borderId="0" xfId="2" applyNumberFormat="1" applyFont="1" applyAlignment="1">
      <alignment horizontal="right"/>
    </xf>
    <xf numFmtId="177" fontId="0" fillId="0" borderId="0" xfId="0" applyNumberFormat="1" applyAlignment="1">
      <alignment horizontal="right"/>
    </xf>
    <xf numFmtId="167" fontId="1" fillId="0" borderId="0" xfId="1" applyNumberFormat="1" applyFont="1" applyAlignment="1">
      <alignment horizontal="left" vertical="center"/>
    </xf>
    <xf numFmtId="40" fontId="28" fillId="62" borderId="70" xfId="1" applyNumberFormat="1" applyFont="1" applyFill="1" applyBorder="1" applyAlignment="1">
      <alignment horizontal="center"/>
    </xf>
    <xf numFmtId="40" fontId="58" fillId="36" borderId="71" xfId="1" applyNumberFormat="1" applyFont="1" applyFill="1" applyBorder="1" applyAlignment="1">
      <alignment horizontal="right"/>
    </xf>
    <xf numFmtId="40" fontId="58" fillId="36" borderId="72" xfId="1" applyNumberFormat="1" applyFont="1" applyFill="1" applyBorder="1" applyAlignment="1">
      <alignment horizontal="right"/>
    </xf>
    <xf numFmtId="40" fontId="58" fillId="62" borderId="16" xfId="0" applyNumberFormat="1" applyFont="1" applyFill="1" applyBorder="1" applyAlignment="1">
      <alignment horizontal="right"/>
    </xf>
    <xf numFmtId="40" fontId="116" fillId="45" borderId="0" xfId="0" applyNumberFormat="1" applyFont="1" applyFill="1" applyAlignment="1">
      <alignment horizontal="center"/>
    </xf>
    <xf numFmtId="0" fontId="116" fillId="45" borderId="0" xfId="0" applyFont="1" applyFill="1" applyAlignment="1">
      <alignment horizontal="center" vertical="center"/>
    </xf>
    <xf numFmtId="9" fontId="27" fillId="0" borderId="0" xfId="0" applyNumberFormat="1" applyFont="1" applyAlignment="1">
      <alignment horizontal="center"/>
    </xf>
    <xf numFmtId="40" fontId="0" fillId="0" borderId="0" xfId="0" applyNumberFormat="1" applyAlignment="1">
      <alignment horizontal="center"/>
    </xf>
    <xf numFmtId="38" fontId="94" fillId="0" borderId="69" xfId="0" applyNumberFormat="1" applyFont="1" applyBorder="1" applyAlignment="1">
      <alignment horizontal="center" vertical="center"/>
    </xf>
    <xf numFmtId="9" fontId="111" fillId="0" borderId="0" xfId="0" applyNumberFormat="1" applyFont="1" applyAlignment="1">
      <alignment horizontal="center"/>
    </xf>
    <xf numFmtId="40" fontId="58" fillId="0" borderId="0" xfId="0" applyNumberFormat="1" applyFont="1" applyAlignment="1">
      <alignment horizontal="center"/>
    </xf>
    <xf numFmtId="0" fontId="31" fillId="57" borderId="0" xfId="0" applyFont="1" applyFill="1" applyAlignment="1">
      <alignment horizontal="center" vertical="center"/>
    </xf>
    <xf numFmtId="38" fontId="94" fillId="0" borderId="13" xfId="0" applyNumberFormat="1" applyFont="1" applyBorder="1" applyAlignment="1">
      <alignment horizontal="center"/>
    </xf>
    <xf numFmtId="38" fontId="62" fillId="0" borderId="2" xfId="0" applyNumberFormat="1" applyFont="1" applyBorder="1" applyAlignment="1">
      <alignment horizontal="center"/>
    </xf>
    <xf numFmtId="40" fontId="58" fillId="7" borderId="0" xfId="0" applyNumberFormat="1" applyFont="1" applyFill="1"/>
    <xf numFmtId="0" fontId="31" fillId="63" borderId="0" xfId="0" applyFont="1" applyFill="1" applyAlignment="1">
      <alignment horizontal="center" vertical="center"/>
    </xf>
    <xf numFmtId="3" fontId="4" fillId="4" borderId="0" xfId="5" applyNumberFormat="1" applyBorder="1" applyAlignment="1">
      <alignment horizontal="center"/>
    </xf>
    <xf numFmtId="0" fontId="0" fillId="63" borderId="0" xfId="0" applyFill="1" applyAlignment="1">
      <alignment horizontal="center" vertical="center"/>
    </xf>
    <xf numFmtId="0" fontId="74" fillId="0" borderId="0" xfId="0" applyFont="1" applyAlignment="1">
      <alignment horizontal="center"/>
    </xf>
    <xf numFmtId="0" fontId="83" fillId="0" borderId="0" xfId="0" applyFont="1" applyAlignment="1">
      <alignment horizontal="center"/>
    </xf>
    <xf numFmtId="179" fontId="31" fillId="52" borderId="0" xfId="1" applyNumberFormat="1" applyFont="1" applyFill="1" applyAlignment="1">
      <alignment horizontal="center"/>
    </xf>
    <xf numFmtId="0" fontId="108" fillId="27" borderId="0" xfId="0" applyFont="1" applyFill="1" applyAlignment="1">
      <alignment vertical="center" wrapText="1"/>
    </xf>
    <xf numFmtId="38" fontId="58" fillId="20" borderId="16" xfId="0" applyNumberFormat="1" applyFont="1" applyFill="1" applyBorder="1" applyAlignment="1">
      <alignment horizontal="center" vertical="center"/>
    </xf>
    <xf numFmtId="9" fontId="58" fillId="20" borderId="16" xfId="2" applyFont="1" applyFill="1" applyBorder="1" applyAlignment="1">
      <alignment horizontal="center" vertical="center"/>
    </xf>
    <xf numFmtId="0" fontId="58" fillId="0" borderId="0" xfId="0" applyFont="1" applyAlignment="1">
      <alignment horizontal="center" vertical="center"/>
    </xf>
    <xf numFmtId="179" fontId="28" fillId="52" borderId="0" xfId="1" applyNumberFormat="1" applyFont="1" applyFill="1" applyAlignment="1">
      <alignment horizontal="center" vertical="center"/>
    </xf>
    <xf numFmtId="38" fontId="28" fillId="62" borderId="70" xfId="1" applyNumberFormat="1" applyFont="1" applyFill="1" applyBorder="1" applyAlignment="1">
      <alignment horizontal="center"/>
    </xf>
    <xf numFmtId="38" fontId="58" fillId="36" borderId="71" xfId="1" applyNumberFormat="1" applyFont="1" applyFill="1" applyBorder="1" applyAlignment="1">
      <alignment horizontal="right"/>
    </xf>
    <xf numFmtId="38" fontId="58" fillId="62" borderId="16" xfId="0" applyNumberFormat="1" applyFont="1" applyFill="1" applyBorder="1" applyAlignment="1">
      <alignment horizontal="right"/>
    </xf>
    <xf numFmtId="177" fontId="58" fillId="36" borderId="71" xfId="2" applyNumberFormat="1" applyFont="1" applyFill="1" applyBorder="1" applyAlignment="1">
      <alignment horizontal="right"/>
    </xf>
    <xf numFmtId="177" fontId="58" fillId="36" borderId="72" xfId="2" applyNumberFormat="1" applyFont="1" applyFill="1" applyBorder="1" applyAlignment="1">
      <alignment horizontal="right"/>
    </xf>
    <xf numFmtId="177" fontId="0" fillId="0" borderId="7" xfId="2" applyNumberFormat="1" applyFont="1" applyFill="1" applyBorder="1" applyAlignment="1">
      <alignment horizontal="center"/>
    </xf>
    <xf numFmtId="177" fontId="58" fillId="36" borderId="71" xfId="2" applyNumberFormat="1" applyFont="1" applyFill="1" applyBorder="1" applyAlignment="1">
      <alignment horizontal="center"/>
    </xf>
    <xf numFmtId="0" fontId="126" fillId="0" borderId="0" xfId="0" applyFont="1" applyAlignment="1">
      <alignment horizontal="center" vertical="center"/>
    </xf>
    <xf numFmtId="0" fontId="112" fillId="62" borderId="9" xfId="0" applyFont="1" applyFill="1" applyBorder="1" applyAlignment="1">
      <alignment horizontal="center" vertical="center"/>
    </xf>
    <xf numFmtId="3" fontId="31" fillId="62" borderId="0" xfId="0" applyNumberFormat="1" applyFont="1" applyFill="1" applyAlignment="1">
      <alignment horizontal="center" vertical="center"/>
    </xf>
    <xf numFmtId="43" fontId="58" fillId="0" borderId="78" xfId="0" applyNumberFormat="1" applyFont="1" applyBorder="1" applyAlignment="1">
      <alignment horizontal="center" vertical="center"/>
    </xf>
    <xf numFmtId="167" fontId="58" fillId="0" borderId="0" xfId="0" applyNumberFormat="1" applyFont="1" applyAlignment="1">
      <alignment horizontal="center" vertical="center"/>
    </xf>
    <xf numFmtId="0" fontId="62" fillId="64" borderId="0" xfId="0" applyFont="1" applyFill="1"/>
    <xf numFmtId="0" fontId="128" fillId="45" borderId="0" xfId="0" applyFont="1" applyFill="1" applyAlignment="1">
      <alignment horizontal="center"/>
    </xf>
    <xf numFmtId="177" fontId="86" fillId="39" borderId="0" xfId="1" applyNumberFormat="1" applyFont="1" applyFill="1" applyAlignment="1">
      <alignment horizontal="center"/>
    </xf>
    <xf numFmtId="177" fontId="27" fillId="0" borderId="0" xfId="0" applyNumberFormat="1" applyFont="1" applyAlignment="1">
      <alignment horizontal="center"/>
    </xf>
    <xf numFmtId="49" fontId="129" fillId="45" borderId="5" xfId="0" applyNumberFormat="1" applyFont="1" applyFill="1" applyBorder="1" applyAlignment="1">
      <alignment horizontal="center" vertical="top" textRotation="255" wrapText="1"/>
    </xf>
    <xf numFmtId="0" fontId="0" fillId="6" borderId="2" xfId="0" applyFill="1" applyBorder="1"/>
    <xf numFmtId="0" fontId="0" fillId="26" borderId="2" xfId="0" applyFill="1" applyBorder="1"/>
    <xf numFmtId="0" fontId="46" fillId="18" borderId="22" xfId="0" applyFont="1" applyFill="1" applyBorder="1" applyAlignment="1">
      <alignment horizontal="center"/>
    </xf>
    <xf numFmtId="41" fontId="0" fillId="27" borderId="22" xfId="1" applyNumberFormat="1" applyFont="1" applyFill="1" applyBorder="1"/>
    <xf numFmtId="164" fontId="0" fillId="27" borderId="22" xfId="1" applyNumberFormat="1" applyFont="1" applyFill="1" applyBorder="1"/>
    <xf numFmtId="173" fontId="0" fillId="0" borderId="22" xfId="1" applyNumberFormat="1" applyFont="1" applyBorder="1"/>
    <xf numFmtId="173" fontId="0" fillId="27" borderId="22" xfId="1" applyNumberFormat="1" applyFont="1" applyFill="1" applyBorder="1"/>
    <xf numFmtId="9" fontId="118" fillId="23" borderId="0" xfId="2" applyFont="1" applyFill="1" applyAlignment="1">
      <alignment horizontal="center" vertical="center"/>
    </xf>
    <xf numFmtId="9" fontId="0" fillId="23" borderId="0" xfId="2" applyFont="1" applyFill="1" applyAlignment="1">
      <alignment horizontal="center" vertical="center"/>
    </xf>
    <xf numFmtId="49" fontId="122" fillId="65" borderId="6" xfId="0" applyNumberFormat="1" applyFont="1" applyFill="1" applyBorder="1" applyAlignment="1">
      <alignment horizontal="center" vertical="center" wrapText="1"/>
    </xf>
    <xf numFmtId="0" fontId="130" fillId="0" borderId="0" xfId="0" applyFont="1" applyAlignment="1">
      <alignment horizontal="center" vertical="center"/>
    </xf>
    <xf numFmtId="188" fontId="101" fillId="0" borderId="0" xfId="9" applyNumberFormat="1" applyFont="1" applyAlignment="1">
      <alignment horizontal="center"/>
    </xf>
    <xf numFmtId="9" fontId="75" fillId="23" borderId="0" xfId="0" applyNumberFormat="1" applyFont="1" applyFill="1" applyAlignment="1">
      <alignment horizontal="center" vertical="center"/>
    </xf>
    <xf numFmtId="0" fontId="58" fillId="66" borderId="0" xfId="0" quotePrefix="1" applyFont="1" applyFill="1" applyAlignment="1">
      <alignment horizontal="center"/>
    </xf>
    <xf numFmtId="0" fontId="58" fillId="66" borderId="0" xfId="0" applyFont="1" applyFill="1" applyAlignment="1">
      <alignment horizontal="center"/>
    </xf>
    <xf numFmtId="0" fontId="0" fillId="66" borderId="0" xfId="0" applyFill="1"/>
    <xf numFmtId="167" fontId="0" fillId="66" borderId="0" xfId="1" applyNumberFormat="1" applyFont="1" applyFill="1"/>
    <xf numFmtId="3" fontId="0" fillId="66" borderId="0" xfId="0" applyNumberFormat="1" applyFill="1"/>
    <xf numFmtId="167" fontId="38" fillId="66" borderId="0" xfId="0" applyNumberFormat="1" applyFont="1" applyFill="1"/>
    <xf numFmtId="38" fontId="0" fillId="66" borderId="0" xfId="0" applyNumberFormat="1" applyFill="1"/>
    <xf numFmtId="9" fontId="0" fillId="66" borderId="0" xfId="2" applyFont="1" applyFill="1"/>
    <xf numFmtId="167" fontId="0" fillId="34" borderId="0" xfId="1" applyNumberFormat="1" applyFont="1" applyFill="1"/>
    <xf numFmtId="0" fontId="0" fillId="34" borderId="0" xfId="0" quotePrefix="1" applyFill="1"/>
    <xf numFmtId="167" fontId="0" fillId="34" borderId="0" xfId="0" applyNumberFormat="1" applyFill="1"/>
    <xf numFmtId="167" fontId="58" fillId="0" borderId="0" xfId="0" applyNumberFormat="1" applyFont="1"/>
    <xf numFmtId="0" fontId="31" fillId="57" borderId="0" xfId="0" applyFont="1" applyFill="1" applyAlignment="1">
      <alignment horizontal="center" vertical="center" wrapText="1"/>
    </xf>
    <xf numFmtId="49" fontId="91" fillId="52" borderId="0" xfId="0" applyNumberFormat="1" applyFont="1" applyFill="1" applyAlignment="1">
      <alignment vertical="center" wrapText="1"/>
    </xf>
    <xf numFmtId="40" fontId="0" fillId="65" borderId="0" xfId="0" applyNumberFormat="1" applyFill="1" applyAlignment="1">
      <alignment horizontal="center" vertical="center"/>
    </xf>
    <xf numFmtId="40" fontId="31" fillId="65" borderId="0" xfId="0" applyNumberFormat="1" applyFont="1" applyFill="1" applyAlignment="1">
      <alignment horizontal="center" vertical="center"/>
    </xf>
    <xf numFmtId="164" fontId="31" fillId="65" borderId="0" xfId="0" applyNumberFormat="1" applyFont="1" applyFill="1" applyAlignment="1">
      <alignment horizontal="center" vertical="center"/>
    </xf>
    <xf numFmtId="164" fontId="112" fillId="65" borderId="9" xfId="0" applyNumberFormat="1" applyFont="1" applyFill="1" applyBorder="1" applyAlignment="1">
      <alignment horizontal="center" vertical="center"/>
    </xf>
    <xf numFmtId="38" fontId="28" fillId="63" borderId="79" xfId="1" applyNumberFormat="1" applyFont="1" applyFill="1" applyBorder="1" applyAlignment="1">
      <alignment horizontal="center"/>
    </xf>
    <xf numFmtId="167" fontId="28" fillId="62" borderId="53" xfId="1" applyNumberFormat="1" applyFont="1" applyFill="1" applyBorder="1" applyAlignment="1">
      <alignment horizontal="left"/>
    </xf>
    <xf numFmtId="9" fontId="58" fillId="0" borderId="74" xfId="2" applyFont="1" applyBorder="1" applyAlignment="1">
      <alignment horizontal="center" vertical="center"/>
    </xf>
    <xf numFmtId="9" fontId="58" fillId="0" borderId="75" xfId="2" applyFont="1" applyBorder="1"/>
    <xf numFmtId="38" fontId="0" fillId="6" borderId="0" xfId="1" applyNumberFormat="1" applyFont="1" applyFill="1" applyProtection="1">
      <protection locked="0"/>
    </xf>
    <xf numFmtId="14" fontId="28" fillId="0" borderId="0" xfId="0" applyNumberFormat="1" applyFont="1" applyAlignment="1" applyProtection="1">
      <alignment horizontal="center"/>
      <protection locked="0"/>
    </xf>
    <xf numFmtId="38" fontId="0" fillId="0" borderId="0" xfId="0" applyNumberFormat="1" applyAlignment="1" applyProtection="1">
      <alignment horizontal="center"/>
      <protection locked="0"/>
    </xf>
    <xf numFmtId="10" fontId="5" fillId="0" borderId="0" xfId="2" applyNumberFormat="1" applyFont="1" applyAlignment="1" applyProtection="1">
      <alignment horizontal="center"/>
      <protection locked="0"/>
    </xf>
    <xf numFmtId="0" fontId="5" fillId="0" borderId="0" xfId="0" applyFont="1" applyAlignment="1" applyProtection="1">
      <alignment horizontal="center"/>
      <protection locked="0"/>
    </xf>
    <xf numFmtId="14" fontId="0" fillId="0" borderId="0" xfId="0" applyNumberFormat="1" applyAlignment="1" applyProtection="1">
      <alignment horizontal="center"/>
      <protection locked="0"/>
    </xf>
    <xf numFmtId="0" fontId="38" fillId="0" borderId="0" xfId="0" applyFont="1"/>
    <xf numFmtId="0" fontId="0" fillId="34" borderId="3" xfId="0" applyFill="1" applyBorder="1" applyAlignment="1">
      <alignment horizontal="center"/>
    </xf>
    <xf numFmtId="38" fontId="0" fillId="34" borderId="46" xfId="0" applyNumberFormat="1" applyFill="1" applyBorder="1"/>
    <xf numFmtId="3" fontId="0" fillId="34" borderId="16" xfId="0" applyNumberFormat="1" applyFill="1" applyBorder="1"/>
    <xf numFmtId="177" fontId="56" fillId="34" borderId="0" xfId="1" applyNumberFormat="1" applyFont="1" applyFill="1"/>
    <xf numFmtId="177" fontId="0" fillId="34" borderId="0" xfId="1" applyNumberFormat="1" applyFont="1" applyFill="1"/>
    <xf numFmtId="9" fontId="85" fillId="62" borderId="16" xfId="0" applyNumberFormat="1" applyFont="1" applyFill="1" applyBorder="1" applyAlignment="1">
      <alignment horizontal="center" vertical="center"/>
    </xf>
    <xf numFmtId="9" fontId="85" fillId="62" borderId="16" xfId="0" applyNumberFormat="1" applyFont="1" applyFill="1" applyBorder="1" applyAlignment="1">
      <alignment horizontal="center"/>
    </xf>
    <xf numFmtId="3" fontId="28" fillId="0" borderId="22" xfId="1" applyNumberFormat="1" applyFont="1" applyBorder="1" applyAlignment="1">
      <alignment horizontal="center"/>
    </xf>
    <xf numFmtId="3" fontId="1" fillId="0" borderId="22" xfId="0" applyNumberFormat="1" applyFont="1" applyBorder="1"/>
    <xf numFmtId="3" fontId="0" fillId="0" borderId="22" xfId="0" applyNumberFormat="1" applyBorder="1" applyAlignment="1">
      <alignment horizontal="center"/>
    </xf>
    <xf numFmtId="0" fontId="132" fillId="0" borderId="61" xfId="0" applyFont="1" applyBorder="1" applyAlignment="1">
      <alignment horizontal="center" vertical="center"/>
    </xf>
    <xf numFmtId="38" fontId="58" fillId="36" borderId="71" xfId="2" applyNumberFormat="1" applyFont="1" applyFill="1" applyBorder="1" applyAlignment="1">
      <alignment horizontal="right"/>
    </xf>
    <xf numFmtId="49" fontId="125" fillId="67" borderId="6" xfId="0" applyNumberFormat="1" applyFont="1" applyFill="1" applyBorder="1" applyAlignment="1">
      <alignment horizontal="center" vertical="center" wrapText="1"/>
    </xf>
    <xf numFmtId="49" fontId="75" fillId="67" borderId="0" xfId="0" applyNumberFormat="1" applyFont="1" applyFill="1" applyAlignment="1">
      <alignment horizontal="center" vertical="center" wrapText="1"/>
    </xf>
    <xf numFmtId="40" fontId="0" fillId="34" borderId="0" xfId="0" applyNumberFormat="1" applyFill="1"/>
    <xf numFmtId="3" fontId="0" fillId="34" borderId="0" xfId="0" applyNumberFormat="1" applyFill="1"/>
    <xf numFmtId="0" fontId="0" fillId="34" borderId="16" xfId="0" applyFill="1" applyBorder="1"/>
    <xf numFmtId="0" fontId="0" fillId="0" borderId="80" xfId="0" applyBorder="1"/>
    <xf numFmtId="0" fontId="0" fillId="0" borderId="17" xfId="0" applyBorder="1"/>
    <xf numFmtId="43" fontId="0" fillId="44" borderId="0" xfId="1" applyFont="1" applyFill="1"/>
    <xf numFmtId="49" fontId="133" fillId="44" borderId="14" xfId="0" applyNumberFormat="1" applyFont="1" applyFill="1" applyBorder="1" applyAlignment="1">
      <alignment horizontal="center" vertical="center" wrapText="1"/>
    </xf>
    <xf numFmtId="177" fontId="1" fillId="34" borderId="0" xfId="1" applyNumberFormat="1" applyFont="1" applyFill="1" applyAlignment="1">
      <alignment vertical="center"/>
    </xf>
    <xf numFmtId="0" fontId="56" fillId="50" borderId="49" xfId="0" applyFont="1" applyFill="1" applyBorder="1"/>
    <xf numFmtId="0" fontId="104" fillId="50" borderId="50" xfId="0" applyFont="1" applyFill="1" applyBorder="1"/>
    <xf numFmtId="0" fontId="94" fillId="50" borderId="48" xfId="0" applyFont="1" applyFill="1" applyBorder="1" applyAlignment="1">
      <alignment horizontal="center"/>
    </xf>
    <xf numFmtId="0" fontId="134" fillId="50" borderId="49" xfId="0" applyFont="1" applyFill="1" applyBorder="1" applyAlignment="1">
      <alignment horizontal="center"/>
    </xf>
    <xf numFmtId="0" fontId="94" fillId="50" borderId="52" xfId="0" applyFont="1" applyFill="1" applyBorder="1" applyAlignment="1">
      <alignment horizontal="center"/>
    </xf>
    <xf numFmtId="0" fontId="134" fillId="50" borderId="0" xfId="0" applyFont="1" applyFill="1" applyAlignment="1">
      <alignment horizontal="center"/>
    </xf>
    <xf numFmtId="0" fontId="104" fillId="50" borderId="54" xfId="0" applyFont="1" applyFill="1" applyBorder="1"/>
    <xf numFmtId="10" fontId="97" fillId="0" borderId="59" xfId="2" applyNumberFormat="1" applyFont="1" applyBorder="1" applyAlignment="1">
      <alignment horizontal="center" vertical="center"/>
    </xf>
    <xf numFmtId="0" fontId="31" fillId="57" borderId="0" xfId="0" applyFont="1" applyFill="1" applyAlignment="1">
      <alignment horizontal="right" vertical="center"/>
    </xf>
    <xf numFmtId="0" fontId="112" fillId="57" borderId="11" xfId="0" applyFont="1" applyFill="1" applyBorder="1" applyAlignment="1">
      <alignment horizontal="center" vertical="center"/>
    </xf>
    <xf numFmtId="40" fontId="56" fillId="0" borderId="46" xfId="0" applyNumberFormat="1" applyFont="1" applyBorder="1"/>
    <xf numFmtId="40" fontId="5" fillId="0" borderId="46" xfId="0" applyNumberFormat="1" applyFont="1" applyBorder="1"/>
    <xf numFmtId="40" fontId="5" fillId="0" borderId="0" xfId="0" applyNumberFormat="1" applyFont="1"/>
    <xf numFmtId="0" fontId="58" fillId="39" borderId="0" xfId="0" applyFont="1" applyFill="1" applyAlignment="1">
      <alignment horizontal="left"/>
    </xf>
    <xf numFmtId="172" fontId="0" fillId="33" borderId="0" xfId="0" applyNumberFormat="1" applyFill="1"/>
    <xf numFmtId="172" fontId="58" fillId="0" borderId="0" xfId="0" applyNumberFormat="1" applyFont="1"/>
    <xf numFmtId="14" fontId="0" fillId="67" borderId="0" xfId="0" applyNumberFormat="1" applyFill="1" applyAlignment="1">
      <alignment horizontal="center"/>
    </xf>
    <xf numFmtId="172" fontId="28" fillId="0" borderId="0" xfId="2" applyNumberFormat="1" applyFont="1"/>
    <xf numFmtId="172" fontId="28" fillId="0" borderId="0" xfId="0" applyNumberFormat="1" applyFont="1" applyAlignment="1">
      <alignment horizontal="center"/>
    </xf>
    <xf numFmtId="172" fontId="28" fillId="0" borderId="0" xfId="0" applyNumberFormat="1" applyFont="1"/>
    <xf numFmtId="172" fontId="28" fillId="0" borderId="0" xfId="1" applyNumberFormat="1" applyFont="1"/>
    <xf numFmtId="172" fontId="28" fillId="0" borderId="0" xfId="1" applyNumberFormat="1" applyFont="1" applyAlignment="1">
      <alignment horizontal="center"/>
    </xf>
    <xf numFmtId="40" fontId="58" fillId="0" borderId="0" xfId="0" applyNumberFormat="1" applyFont="1" applyAlignment="1">
      <alignment horizontal="center" vertical="center"/>
    </xf>
    <xf numFmtId="167" fontId="86" fillId="0" borderId="0" xfId="1" applyNumberFormat="1" applyFont="1" applyAlignment="1">
      <alignment horizontal="left" vertical="center"/>
    </xf>
    <xf numFmtId="0" fontId="86" fillId="0" borderId="0" xfId="0" applyFont="1" applyAlignment="1">
      <alignment horizontal="left" vertical="center"/>
    </xf>
    <xf numFmtId="172" fontId="58" fillId="33" borderId="0" xfId="0" applyNumberFormat="1" applyFont="1" applyFill="1"/>
    <xf numFmtId="172" fontId="28" fillId="33" borderId="0" xfId="2" applyNumberFormat="1" applyFont="1" applyFill="1"/>
    <xf numFmtId="172" fontId="28" fillId="33" borderId="0" xfId="0" applyNumberFormat="1" applyFont="1" applyFill="1" applyAlignment="1">
      <alignment horizontal="center"/>
    </xf>
    <xf numFmtId="172" fontId="28" fillId="33" borderId="0" xfId="0" applyNumberFormat="1" applyFont="1" applyFill="1"/>
    <xf numFmtId="172" fontId="28" fillId="33" borderId="0" xfId="1" applyNumberFormat="1" applyFont="1" applyFill="1"/>
    <xf numFmtId="172" fontId="28" fillId="33" borderId="0" xfId="1" applyNumberFormat="1" applyFont="1" applyFill="1" applyAlignment="1">
      <alignment horizontal="center"/>
    </xf>
    <xf numFmtId="38" fontId="0" fillId="33" borderId="81" xfId="0" applyNumberFormat="1" applyFill="1" applyBorder="1"/>
    <xf numFmtId="9" fontId="58" fillId="0" borderId="0" xfId="2" applyFont="1"/>
    <xf numFmtId="177" fontId="56" fillId="34" borderId="0" xfId="0" applyNumberFormat="1" applyFont="1" applyFill="1"/>
    <xf numFmtId="38" fontId="56" fillId="0" borderId="46" xfId="0" applyNumberFormat="1" applyFont="1" applyBorder="1"/>
    <xf numFmtId="0" fontId="135" fillId="4" borderId="1" xfId="5" applyNumberFormat="1" applyFont="1" applyAlignment="1">
      <alignment horizontal="center"/>
    </xf>
    <xf numFmtId="38" fontId="28" fillId="0" borderId="82" xfId="0" applyNumberFormat="1" applyFont="1" applyBorder="1"/>
    <xf numFmtId="38" fontId="28" fillId="0" borderId="23" xfId="0" applyNumberFormat="1" applyFont="1" applyBorder="1"/>
    <xf numFmtId="38" fontId="28" fillId="0" borderId="46" xfId="0" applyNumberFormat="1" applyFont="1" applyBorder="1"/>
    <xf numFmtId="38" fontId="86" fillId="0" borderId="0" xfId="0" applyNumberFormat="1" applyFont="1"/>
    <xf numFmtId="38" fontId="124" fillId="57" borderId="0" xfId="0" applyNumberFormat="1" applyFont="1" applyFill="1" applyAlignment="1">
      <alignment horizontal="center"/>
    </xf>
    <xf numFmtId="38" fontId="0" fillId="68" borderId="81" xfId="1" applyNumberFormat="1" applyFont="1" applyFill="1" applyBorder="1"/>
    <xf numFmtId="0" fontId="0" fillId="39" borderId="15" xfId="0" applyFill="1" applyBorder="1" applyAlignment="1">
      <alignment horizontal="center"/>
    </xf>
    <xf numFmtId="0" fontId="6" fillId="0" borderId="0" xfId="0" applyFont="1" applyAlignment="1">
      <alignment horizontal="center"/>
    </xf>
    <xf numFmtId="0" fontId="136" fillId="0" borderId="0" xfId="0" applyFont="1"/>
    <xf numFmtId="0" fontId="136" fillId="0" borderId="14" xfId="0" applyFont="1" applyBorder="1" applyAlignment="1">
      <alignment horizontal="center"/>
    </xf>
    <xf numFmtId="0" fontId="136" fillId="0" borderId="12" xfId="0" applyFont="1" applyBorder="1" applyAlignment="1">
      <alignment horizontal="center"/>
    </xf>
    <xf numFmtId="0" fontId="136" fillId="0" borderId="15" xfId="0" applyFont="1" applyBorder="1" applyAlignment="1">
      <alignment horizontal="center"/>
    </xf>
    <xf numFmtId="0" fontId="136" fillId="0" borderId="0" xfId="0" applyFont="1" applyAlignment="1">
      <alignment horizontal="center"/>
    </xf>
    <xf numFmtId="14" fontId="136" fillId="0" borderId="0" xfId="0" applyNumberFormat="1" applyFont="1"/>
    <xf numFmtId="0" fontId="136" fillId="0" borderId="14" xfId="0" applyFont="1" applyBorder="1"/>
    <xf numFmtId="0" fontId="136" fillId="0" borderId="15" xfId="0" applyFont="1" applyBorder="1"/>
    <xf numFmtId="9" fontId="136" fillId="0" borderId="0" xfId="2" applyFont="1" applyFill="1" applyBorder="1" applyAlignment="1">
      <alignment horizontal="center"/>
    </xf>
    <xf numFmtId="0" fontId="60" fillId="0" borderId="0" xfId="0" applyFont="1" applyAlignment="1">
      <alignment horizontal="center"/>
    </xf>
    <xf numFmtId="0" fontId="60" fillId="69" borderId="0" xfId="0" applyFont="1" applyFill="1" applyAlignment="1">
      <alignment horizontal="center"/>
    </xf>
    <xf numFmtId="0" fontId="136" fillId="69" borderId="0" xfId="0" applyFont="1" applyFill="1"/>
    <xf numFmtId="10" fontId="60" fillId="0" borderId="0" xfId="0" applyNumberFormat="1" applyFont="1" applyAlignment="1">
      <alignment horizontal="center"/>
    </xf>
    <xf numFmtId="10" fontId="136" fillId="0" borderId="0" xfId="2" applyNumberFormat="1" applyFont="1" applyFill="1" applyBorder="1"/>
    <xf numFmtId="0" fontId="137" fillId="0" borderId="5" xfId="0" applyFont="1" applyBorder="1" applyAlignment="1">
      <alignment horizontal="center"/>
    </xf>
    <xf numFmtId="0" fontId="137" fillId="0" borderId="6" xfId="0" applyFont="1" applyBorder="1" applyAlignment="1">
      <alignment horizontal="center"/>
    </xf>
    <xf numFmtId="0" fontId="137" fillId="0" borderId="10" xfId="0" applyFont="1" applyBorder="1" applyAlignment="1">
      <alignment horizontal="center"/>
    </xf>
    <xf numFmtId="0" fontId="137" fillId="0" borderId="0" xfId="0" applyFont="1" applyAlignment="1">
      <alignment horizontal="center"/>
    </xf>
    <xf numFmtId="0" fontId="136" fillId="69" borderId="0" xfId="0" applyFont="1" applyFill="1" applyAlignment="1">
      <alignment horizontal="center"/>
    </xf>
    <xf numFmtId="0" fontId="137" fillId="69" borderId="8" xfId="0" applyFont="1" applyFill="1" applyBorder="1" applyAlignment="1">
      <alignment horizontal="center"/>
    </xf>
    <xf numFmtId="0" fontId="137" fillId="69" borderId="9" xfId="0" applyFont="1" applyFill="1" applyBorder="1" applyAlignment="1">
      <alignment horizontal="center"/>
    </xf>
    <xf numFmtId="0" fontId="137" fillId="69" borderId="11" xfId="0" applyFont="1" applyFill="1" applyBorder="1" applyAlignment="1">
      <alignment horizontal="center"/>
    </xf>
    <xf numFmtId="0" fontId="136" fillId="70" borderId="0" xfId="0" applyFont="1" applyFill="1"/>
    <xf numFmtId="0" fontId="139" fillId="0" borderId="3" xfId="0" applyFont="1" applyBorder="1" applyAlignment="1">
      <alignment horizontal="center"/>
    </xf>
    <xf numFmtId="0" fontId="136" fillId="0" borderId="5" xfId="0" applyFont="1" applyBorder="1" applyAlignment="1">
      <alignment horizontal="center"/>
    </xf>
    <xf numFmtId="0" fontId="136" fillId="0" borderId="6" xfId="0" applyFont="1" applyBorder="1" applyAlignment="1">
      <alignment horizontal="center"/>
    </xf>
    <xf numFmtId="0" fontId="136" fillId="0" borderId="10" xfId="0" applyFont="1" applyBorder="1" applyAlignment="1">
      <alignment horizontal="center"/>
    </xf>
    <xf numFmtId="189" fontId="136" fillId="0" borderId="8" xfId="2" applyNumberFormat="1" applyFont="1" applyFill="1" applyBorder="1" applyAlignment="1">
      <alignment horizontal="center"/>
    </xf>
    <xf numFmtId="189" fontId="136" fillId="0" borderId="9" xfId="2" applyNumberFormat="1" applyFont="1" applyFill="1" applyBorder="1" applyAlignment="1">
      <alignment horizontal="center"/>
    </xf>
    <xf numFmtId="189" fontId="136" fillId="0" borderId="11" xfId="2" applyNumberFormat="1" applyFont="1" applyFill="1" applyBorder="1" applyAlignment="1">
      <alignment horizontal="center"/>
    </xf>
    <xf numFmtId="9" fontId="140" fillId="0" borderId="0" xfId="2" applyFont="1" applyFill="1" applyBorder="1"/>
    <xf numFmtId="0" fontId="137" fillId="0" borderId="3" xfId="0" applyFont="1" applyBorder="1" applyAlignment="1">
      <alignment horizontal="center"/>
    </xf>
    <xf numFmtId="0" fontId="141" fillId="0" borderId="5" xfId="0" applyFont="1" applyBorder="1" applyAlignment="1">
      <alignment horizontal="center"/>
    </xf>
    <xf numFmtId="9" fontId="141" fillId="0" borderId="10" xfId="2" applyFont="1" applyFill="1" applyBorder="1"/>
    <xf numFmtId="172" fontId="136" fillId="0" borderId="0" xfId="2" applyNumberFormat="1" applyFont="1" applyFill="1" applyBorder="1" applyAlignment="1">
      <alignment horizontal="center"/>
    </xf>
    <xf numFmtId="0" fontId="137" fillId="0" borderId="4" xfId="0" applyFont="1" applyBorder="1" applyAlignment="1">
      <alignment horizontal="center"/>
    </xf>
    <xf numFmtId="0" fontId="136" fillId="0" borderId="8" xfId="0" applyFont="1" applyBorder="1"/>
    <xf numFmtId="9" fontId="141" fillId="0" borderId="11" xfId="2" applyFont="1" applyFill="1" applyBorder="1"/>
    <xf numFmtId="0" fontId="136" fillId="69" borderId="14" xfId="0" applyFont="1" applyFill="1" applyBorder="1"/>
    <xf numFmtId="0" fontId="136" fillId="69" borderId="12" xfId="0" applyFont="1" applyFill="1" applyBorder="1"/>
    <xf numFmtId="172" fontId="136" fillId="69" borderId="15" xfId="0" applyNumberFormat="1" applyFont="1" applyFill="1" applyBorder="1" applyAlignment="1">
      <alignment horizontal="center"/>
    </xf>
    <xf numFmtId="9" fontId="60" fillId="0" borderId="0" xfId="0" applyNumberFormat="1" applyFont="1" applyAlignment="1">
      <alignment horizontal="center"/>
    </xf>
    <xf numFmtId="0" fontId="60" fillId="0" borderId="0" xfId="0" applyFont="1"/>
    <xf numFmtId="9" fontId="140" fillId="0" borderId="0" xfId="0" applyNumberFormat="1" applyFont="1"/>
    <xf numFmtId="0" fontId="141" fillId="0" borderId="6" xfId="0" applyFont="1" applyBorder="1" applyAlignment="1">
      <alignment horizontal="center"/>
    </xf>
    <xf numFmtId="9" fontId="141" fillId="0" borderId="10" xfId="2" applyFont="1" applyFill="1" applyBorder="1" applyAlignment="1">
      <alignment horizontal="center"/>
    </xf>
    <xf numFmtId="0" fontId="60" fillId="0" borderId="9" xfId="0" applyFont="1" applyBorder="1"/>
    <xf numFmtId="0" fontId="60" fillId="0" borderId="9" xfId="0" applyFont="1" applyBorder="1" applyAlignment="1">
      <alignment horizontal="center"/>
    </xf>
    <xf numFmtId="9" fontId="141" fillId="0" borderId="11" xfId="2" applyFont="1" applyFill="1" applyBorder="1" applyAlignment="1">
      <alignment horizontal="center"/>
    </xf>
    <xf numFmtId="0" fontId="60" fillId="69" borderId="8" xfId="0" applyFont="1" applyFill="1" applyBorder="1"/>
    <xf numFmtId="0" fontId="60" fillId="69" borderId="9" xfId="0" applyFont="1" applyFill="1" applyBorder="1" applyAlignment="1">
      <alignment horizontal="center"/>
    </xf>
    <xf numFmtId="9" fontId="136" fillId="0" borderId="0" xfId="0" applyNumberFormat="1" applyFont="1"/>
    <xf numFmtId="9" fontId="60" fillId="0" borderId="0" xfId="2" applyFont="1" applyFill="1" applyBorder="1" applyAlignment="1">
      <alignment horizontal="center"/>
    </xf>
    <xf numFmtId="0" fontId="60" fillId="69" borderId="12" xfId="0" applyFont="1" applyFill="1" applyBorder="1" applyAlignment="1">
      <alignment horizontal="center"/>
    </xf>
    <xf numFmtId="0" fontId="136" fillId="0" borderId="5" xfId="0" applyFont="1" applyBorder="1"/>
    <xf numFmtId="0" fontId="60" fillId="0" borderId="6" xfId="0" applyFont="1" applyBorder="1"/>
    <xf numFmtId="0" fontId="136" fillId="0" borderId="6" xfId="0" applyFont="1" applyBorder="1"/>
    <xf numFmtId="0" fontId="60" fillId="0" borderId="10" xfId="0" applyFont="1" applyBorder="1" applyAlignment="1">
      <alignment horizontal="center"/>
    </xf>
    <xf numFmtId="9" fontId="136" fillId="0" borderId="8" xfId="2" applyFont="1" applyFill="1" applyBorder="1" applyAlignment="1">
      <alignment horizontal="center"/>
    </xf>
    <xf numFmtId="9" fontId="136" fillId="0" borderId="9" xfId="2" applyFont="1" applyFill="1" applyBorder="1" applyAlignment="1">
      <alignment horizontal="center"/>
    </xf>
    <xf numFmtId="9" fontId="60" fillId="0" borderId="11" xfId="0" applyNumberFormat="1" applyFont="1" applyBorder="1" applyAlignment="1">
      <alignment horizontal="center"/>
    </xf>
    <xf numFmtId="0" fontId="136" fillId="5" borderId="2" xfId="0" applyFont="1" applyFill="1" applyBorder="1" applyAlignment="1">
      <alignment horizontal="center"/>
    </xf>
    <xf numFmtId="9" fontId="140" fillId="0" borderId="0" xfId="2" applyFont="1" applyFill="1" applyBorder="1" applyAlignment="1">
      <alignment horizontal="center"/>
    </xf>
    <xf numFmtId="177" fontId="142" fillId="52" borderId="0" xfId="0" applyNumberFormat="1" applyFont="1" applyFill="1" applyAlignment="1">
      <alignment horizontal="right"/>
    </xf>
    <xf numFmtId="177" fontId="31" fillId="52" borderId="0" xfId="0" applyNumberFormat="1" applyFont="1" applyFill="1" applyAlignment="1">
      <alignment horizontal="right"/>
    </xf>
    <xf numFmtId="177" fontId="31" fillId="0" borderId="0" xfId="2" applyNumberFormat="1" applyFont="1" applyFill="1" applyAlignment="1">
      <alignment horizontal="center"/>
    </xf>
    <xf numFmtId="9" fontId="60" fillId="0" borderId="0" xfId="2" applyFont="1"/>
    <xf numFmtId="9" fontId="60" fillId="0" borderId="9" xfId="2" applyFont="1" applyBorder="1"/>
    <xf numFmtId="177" fontId="1" fillId="0" borderId="0" xfId="2" applyNumberFormat="1" applyFont="1" applyFill="1" applyAlignment="1">
      <alignment horizontal="right"/>
    </xf>
    <xf numFmtId="0" fontId="31" fillId="17" borderId="0" xfId="0" applyFont="1" applyFill="1" applyAlignment="1" applyProtection="1">
      <alignment horizontal="left"/>
      <protection locked="0"/>
    </xf>
    <xf numFmtId="14" fontId="0" fillId="6" borderId="17" xfId="0" applyNumberFormat="1" applyFill="1" applyBorder="1" applyProtection="1">
      <protection locked="0"/>
    </xf>
    <xf numFmtId="40" fontId="0" fillId="6" borderId="17" xfId="0" applyNumberFormat="1" applyFill="1" applyBorder="1" applyProtection="1">
      <protection locked="0"/>
    </xf>
    <xf numFmtId="0" fontId="58" fillId="0" borderId="17" xfId="0" applyFont="1" applyBorder="1" applyAlignment="1">
      <alignment horizontal="center"/>
    </xf>
    <xf numFmtId="170" fontId="0" fillId="36" borderId="0" xfId="0" applyNumberFormat="1" applyFill="1"/>
    <xf numFmtId="0" fontId="0" fillId="0" borderId="13" xfId="0" applyBorder="1" applyAlignment="1" applyProtection="1">
      <alignment horizontal="center"/>
      <protection locked="0"/>
    </xf>
    <xf numFmtId="0" fontId="0" fillId="0" borderId="4" xfId="0" applyBorder="1" applyAlignment="1" applyProtection="1">
      <alignment horizontal="center"/>
      <protection locked="0"/>
    </xf>
    <xf numFmtId="0" fontId="0" fillId="71" borderId="0" xfId="0" applyFill="1"/>
    <xf numFmtId="172" fontId="0" fillId="52" borderId="0" xfId="2" applyNumberFormat="1" applyFont="1" applyFill="1" applyAlignment="1">
      <alignment horizontal="center"/>
    </xf>
    <xf numFmtId="172" fontId="27" fillId="20" borderId="16" xfId="2" applyNumberFormat="1" applyFont="1" applyFill="1" applyBorder="1" applyAlignment="1">
      <alignment horizontal="center"/>
    </xf>
    <xf numFmtId="172" fontId="0" fillId="0" borderId="0" xfId="0" applyNumberFormat="1"/>
    <xf numFmtId="0" fontId="72" fillId="50" borderId="0" xfId="0" applyFont="1" applyFill="1"/>
    <xf numFmtId="0" fontId="134" fillId="50" borderId="54" xfId="0" applyFont="1" applyFill="1" applyBorder="1"/>
    <xf numFmtId="0" fontId="144" fillId="50" borderId="0" xfId="0" applyFont="1" applyFill="1"/>
    <xf numFmtId="0" fontId="94" fillId="50" borderId="52" xfId="0" applyFont="1" applyFill="1" applyBorder="1"/>
    <xf numFmtId="0" fontId="94" fillId="50" borderId="0" xfId="0" applyFont="1" applyFill="1"/>
    <xf numFmtId="0" fontId="134" fillId="50" borderId="0" xfId="0" applyFont="1" applyFill="1"/>
    <xf numFmtId="0" fontId="94" fillId="50" borderId="51" xfId="0" applyFont="1" applyFill="1" applyBorder="1"/>
    <xf numFmtId="0" fontId="94" fillId="50" borderId="60" xfId="0" applyFont="1" applyFill="1" applyBorder="1"/>
    <xf numFmtId="0" fontId="134" fillId="50" borderId="60" xfId="0" applyFont="1" applyFill="1" applyBorder="1"/>
    <xf numFmtId="0" fontId="144" fillId="50" borderId="60" xfId="0" applyFont="1" applyFill="1" applyBorder="1"/>
    <xf numFmtId="0" fontId="143" fillId="0" borderId="15" xfId="0" applyFont="1" applyBorder="1" applyAlignment="1">
      <alignment horizontal="center"/>
    </xf>
    <xf numFmtId="40" fontId="86" fillId="71" borderId="51" xfId="1" applyNumberFormat="1" applyFont="1" applyFill="1" applyBorder="1" applyAlignment="1">
      <alignment horizontal="center"/>
    </xf>
    <xf numFmtId="9" fontId="136" fillId="71" borderId="0" xfId="2" applyFont="1" applyFill="1" applyBorder="1" applyAlignment="1">
      <alignment horizontal="center"/>
    </xf>
    <xf numFmtId="0" fontId="60" fillId="71" borderId="0" xfId="0" applyFont="1" applyFill="1" applyAlignment="1">
      <alignment horizontal="center"/>
    </xf>
    <xf numFmtId="9" fontId="60" fillId="71" borderId="0" xfId="2" applyFont="1" applyFill="1" applyBorder="1"/>
    <xf numFmtId="9" fontId="60" fillId="71" borderId="0" xfId="0" applyNumberFormat="1" applyFont="1" applyFill="1" applyAlignment="1">
      <alignment horizontal="center"/>
    </xf>
    <xf numFmtId="0" fontId="102" fillId="71" borderId="0" xfId="0" applyFont="1" applyFill="1" applyAlignment="1">
      <alignment horizontal="center"/>
    </xf>
    <xf numFmtId="0" fontId="139" fillId="34" borderId="3" xfId="0" applyFont="1" applyFill="1" applyBorder="1" applyAlignment="1">
      <alignment horizontal="center"/>
    </xf>
    <xf numFmtId="0" fontId="136" fillId="34" borderId="5" xfId="0" applyFont="1" applyFill="1" applyBorder="1" applyAlignment="1">
      <alignment horizontal="center"/>
    </xf>
    <xf numFmtId="0" fontId="139" fillId="5" borderId="16" xfId="0" applyFont="1" applyFill="1" applyBorder="1" applyAlignment="1">
      <alignment horizontal="center" vertical="center"/>
    </xf>
    <xf numFmtId="0" fontId="137" fillId="69" borderId="14" xfId="0" applyFont="1" applyFill="1" applyBorder="1" applyAlignment="1">
      <alignment horizontal="center"/>
    </xf>
    <xf numFmtId="0" fontId="137" fillId="69" borderId="12" xfId="0" applyFont="1" applyFill="1" applyBorder="1" applyAlignment="1">
      <alignment horizontal="center"/>
    </xf>
    <xf numFmtId="0" fontId="137" fillId="69" borderId="15" xfId="0" applyFont="1" applyFill="1" applyBorder="1" applyAlignment="1">
      <alignment horizontal="center"/>
    </xf>
    <xf numFmtId="0" fontId="137" fillId="0" borderId="12" xfId="0" applyFont="1" applyBorder="1" applyAlignment="1">
      <alignment horizontal="left"/>
    </xf>
    <xf numFmtId="0" fontId="56" fillId="6" borderId="17" xfId="0" applyFont="1" applyFill="1" applyBorder="1" applyAlignment="1" applyProtection="1">
      <alignment horizontal="center"/>
      <protection locked="0"/>
    </xf>
    <xf numFmtId="3" fontId="0" fillId="6" borderId="17" xfId="0" applyNumberFormat="1" applyFill="1" applyBorder="1" applyProtection="1">
      <protection locked="0"/>
    </xf>
    <xf numFmtId="38" fontId="58" fillId="62" borderId="16" xfId="0" applyNumberFormat="1" applyFont="1" applyFill="1" applyBorder="1" applyAlignment="1">
      <alignment horizontal="center"/>
    </xf>
    <xf numFmtId="0" fontId="145" fillId="70" borderId="0" xfId="0" applyFont="1" applyFill="1"/>
    <xf numFmtId="9" fontId="140" fillId="0" borderId="3" xfId="2" applyFont="1" applyFill="1" applyBorder="1" applyAlignment="1">
      <alignment horizontal="center"/>
    </xf>
    <xf numFmtId="9" fontId="140" fillId="0" borderId="4" xfId="2" applyFont="1" applyFill="1" applyBorder="1" applyAlignment="1">
      <alignment horizontal="center"/>
    </xf>
    <xf numFmtId="0" fontId="146" fillId="0" borderId="0" xfId="0" applyFont="1"/>
    <xf numFmtId="0" fontId="145" fillId="70" borderId="5" xfId="0" applyFont="1" applyFill="1" applyBorder="1"/>
    <xf numFmtId="0" fontId="136" fillId="70" borderId="10" xfId="0" applyFont="1" applyFill="1" applyBorder="1"/>
    <xf numFmtId="0" fontId="60" fillId="23" borderId="8" xfId="0" applyFont="1" applyFill="1" applyBorder="1" applyAlignment="1">
      <alignment horizontal="center"/>
    </xf>
    <xf numFmtId="0" fontId="143" fillId="23" borderId="11" xfId="0" applyFont="1" applyFill="1" applyBorder="1" applyAlignment="1">
      <alignment horizontal="center"/>
    </xf>
    <xf numFmtId="172" fontId="136" fillId="0" borderId="8" xfId="2" applyNumberFormat="1" applyFont="1" applyFill="1" applyBorder="1" applyAlignment="1">
      <alignment horizontal="center"/>
    </xf>
    <xf numFmtId="172" fontId="0" fillId="0" borderId="22" xfId="2" applyNumberFormat="1" applyFont="1" applyFill="1" applyBorder="1" applyAlignment="1">
      <alignment horizontal="center"/>
    </xf>
    <xf numFmtId="38" fontId="85" fillId="62" borderId="16" xfId="0" applyNumberFormat="1" applyFont="1" applyFill="1" applyBorder="1" applyAlignment="1">
      <alignment horizontal="right"/>
    </xf>
    <xf numFmtId="38" fontId="62" fillId="39" borderId="11" xfId="1" applyNumberFormat="1" applyFont="1" applyFill="1" applyBorder="1" applyAlignment="1">
      <alignment horizontal="left"/>
    </xf>
    <xf numFmtId="38" fontId="0" fillId="38" borderId="0" xfId="1" applyNumberFormat="1" applyFont="1" applyFill="1" applyAlignment="1">
      <alignment horizontal="left"/>
    </xf>
    <xf numFmtId="22" fontId="95" fillId="0" borderId="0" xfId="0" applyNumberFormat="1" applyFont="1" applyAlignment="1">
      <alignment horizontal="center"/>
    </xf>
    <xf numFmtId="14" fontId="8" fillId="0" borderId="0" xfId="0" applyNumberFormat="1" applyFont="1"/>
    <xf numFmtId="0" fontId="82" fillId="12" borderId="0" xfId="0" applyFont="1" applyFill="1" applyAlignment="1">
      <alignment horizontal="center"/>
    </xf>
    <xf numFmtId="0" fontId="82" fillId="13" borderId="0" xfId="0" applyFont="1" applyFill="1" applyAlignment="1">
      <alignment horizontal="center"/>
    </xf>
    <xf numFmtId="0" fontId="82" fillId="12" borderId="9" xfId="0" applyFont="1" applyFill="1" applyBorder="1" applyAlignment="1">
      <alignment horizontal="center"/>
    </xf>
    <xf numFmtId="0" fontId="9" fillId="13" borderId="0" xfId="0" applyFont="1" applyFill="1" applyAlignment="1">
      <alignment horizontal="center"/>
    </xf>
    <xf numFmtId="3" fontId="9" fillId="13" borderId="0" xfId="0" applyNumberFormat="1" applyFont="1" applyFill="1" applyAlignment="1">
      <alignment horizontal="center"/>
    </xf>
    <xf numFmtId="2" fontId="9" fillId="13" borderId="0" xfId="0" applyNumberFormat="1" applyFont="1" applyFill="1" applyAlignment="1">
      <alignment horizontal="center"/>
    </xf>
    <xf numFmtId="0" fontId="82" fillId="13" borderId="10" xfId="0" applyFont="1" applyFill="1" applyBorder="1" applyAlignment="1">
      <alignment horizontal="center"/>
    </xf>
    <xf numFmtId="0" fontId="82" fillId="13" borderId="15" xfId="0" applyFont="1" applyFill="1" applyBorder="1" applyAlignment="1">
      <alignment horizontal="center"/>
    </xf>
    <xf numFmtId="0" fontId="82" fillId="13" borderId="16" xfId="0" applyFont="1" applyFill="1" applyBorder="1" applyAlignment="1">
      <alignment horizontal="center"/>
    </xf>
    <xf numFmtId="0" fontId="147" fillId="0" borderId="0" xfId="0" applyFont="1" applyAlignment="1">
      <alignment horizontal="left"/>
    </xf>
    <xf numFmtId="2" fontId="131" fillId="63" borderId="0" xfId="0" applyNumberFormat="1" applyFont="1" applyFill="1" applyAlignment="1">
      <alignment horizontal="center" vertical="center" wrapText="1"/>
    </xf>
    <xf numFmtId="38" fontId="58" fillId="0" borderId="0" xfId="0" applyNumberFormat="1" applyFont="1" applyAlignment="1">
      <alignment horizontal="center"/>
    </xf>
    <xf numFmtId="38" fontId="0" fillId="0" borderId="4" xfId="0" applyNumberFormat="1" applyBorder="1" applyAlignment="1">
      <alignment horizontal="center"/>
    </xf>
    <xf numFmtId="14" fontId="0" fillId="0" borderId="14" xfId="0" applyNumberFormat="1" applyBorder="1" applyAlignment="1">
      <alignment horizontal="center"/>
    </xf>
    <xf numFmtId="14" fontId="0" fillId="0" borderId="15" xfId="0" applyNumberFormat="1" applyBorder="1" applyAlignment="1">
      <alignment horizontal="center"/>
    </xf>
    <xf numFmtId="38" fontId="0" fillId="0" borderId="3" xfId="0" applyNumberFormat="1" applyBorder="1" applyAlignment="1">
      <alignment horizontal="center"/>
    </xf>
    <xf numFmtId="0" fontId="148" fillId="0" borderId="0" xfId="0" applyFont="1"/>
    <xf numFmtId="38" fontId="28" fillId="63" borderId="79" xfId="1" applyNumberFormat="1" applyFont="1" applyFill="1" applyBorder="1" applyAlignment="1">
      <alignment horizontal="left"/>
    </xf>
    <xf numFmtId="9" fontId="58" fillId="36" borderId="0" xfId="2" applyFont="1" applyFill="1" applyBorder="1" applyAlignment="1">
      <alignment horizontal="right"/>
    </xf>
    <xf numFmtId="9" fontId="148" fillId="36" borderId="0" xfId="2" applyFont="1" applyFill="1" applyBorder="1" applyAlignment="1">
      <alignment horizontal="right"/>
    </xf>
    <xf numFmtId="38" fontId="94" fillId="50" borderId="4" xfId="0" applyNumberFormat="1" applyFont="1" applyFill="1" applyBorder="1" applyAlignment="1">
      <alignment horizontal="center"/>
    </xf>
    <xf numFmtId="0" fontId="100" fillId="0" borderId="60" xfId="0" applyFont="1" applyBorder="1" applyAlignment="1">
      <alignment horizontal="center" vertical="center"/>
    </xf>
    <xf numFmtId="167" fontId="1" fillId="0" borderId="0" xfId="2" applyNumberFormat="1" applyFont="1" applyAlignment="1">
      <alignment horizontal="center"/>
    </xf>
    <xf numFmtId="0" fontId="0" fillId="40" borderId="12" xfId="0" applyFill="1" applyBorder="1"/>
    <xf numFmtId="0" fontId="0" fillId="40" borderId="15" xfId="0" applyFill="1" applyBorder="1"/>
    <xf numFmtId="0" fontId="0" fillId="39" borderId="12" xfId="0" applyFill="1" applyBorder="1"/>
    <xf numFmtId="38" fontId="58" fillId="0" borderId="7" xfId="0" applyNumberFormat="1" applyFont="1" applyBorder="1" applyAlignment="1">
      <alignment horizontal="center"/>
    </xf>
    <xf numFmtId="3" fontId="0" fillId="36" borderId="83" xfId="1" applyNumberFormat="1" applyFont="1" applyFill="1" applyBorder="1" applyAlignment="1">
      <alignment horizontal="center"/>
    </xf>
    <xf numFmtId="0" fontId="98" fillId="0" borderId="0" xfId="0" applyFont="1" applyAlignment="1">
      <alignment horizontal="center"/>
    </xf>
    <xf numFmtId="3" fontId="0" fillId="36" borderId="16" xfId="1" applyNumberFormat="1" applyFont="1" applyFill="1" applyBorder="1" applyAlignment="1">
      <alignment horizontal="center"/>
    </xf>
    <xf numFmtId="3" fontId="101" fillId="0" borderId="16" xfId="0" applyNumberFormat="1" applyFont="1" applyBorder="1" applyAlignment="1">
      <alignment horizontal="center"/>
    </xf>
    <xf numFmtId="164" fontId="71" fillId="18" borderId="3" xfId="1" applyNumberFormat="1" applyFont="1" applyFill="1" applyBorder="1" applyAlignment="1">
      <alignment horizontal="center"/>
    </xf>
    <xf numFmtId="40" fontId="58" fillId="0" borderId="13" xfId="1" applyNumberFormat="1" applyFont="1" applyBorder="1" applyAlignment="1">
      <alignment horizontal="center"/>
    </xf>
    <xf numFmtId="40" fontId="58" fillId="0" borderId="4" xfId="1" applyNumberFormat="1" applyFont="1" applyBorder="1" applyAlignment="1">
      <alignment horizontal="center"/>
    </xf>
    <xf numFmtId="164" fontId="71" fillId="18" borderId="13" xfId="1" applyNumberFormat="1" applyFont="1" applyFill="1" applyBorder="1" applyAlignment="1">
      <alignment horizontal="center"/>
    </xf>
    <xf numFmtId="0" fontId="149" fillId="0" borderId="49" xfId="0" applyFont="1" applyBorder="1" applyAlignment="1">
      <alignment horizontal="center" vertical="center"/>
    </xf>
    <xf numFmtId="184" fontId="149" fillId="0" borderId="60" xfId="0" applyNumberFormat="1" applyFont="1" applyBorder="1" applyAlignment="1">
      <alignment horizontal="center" vertical="center"/>
    </xf>
    <xf numFmtId="0" fontId="150" fillId="0" borderId="0" xfId="0" applyFont="1"/>
    <xf numFmtId="0" fontId="0" fillId="0" borderId="0" xfId="0" applyAlignment="1">
      <alignment horizontal="left"/>
    </xf>
    <xf numFmtId="0" fontId="151" fillId="70" borderId="5" xfId="0" applyFont="1" applyFill="1" applyBorder="1"/>
    <xf numFmtId="0" fontId="152" fillId="70" borderId="10" xfId="0" applyFont="1" applyFill="1" applyBorder="1"/>
    <xf numFmtId="0" fontId="152" fillId="23" borderId="8" xfId="0" applyFont="1" applyFill="1" applyBorder="1" applyAlignment="1">
      <alignment horizontal="center"/>
    </xf>
    <xf numFmtId="0" fontId="153" fillId="23" borderId="11" xfId="0" applyFont="1" applyFill="1" applyBorder="1" applyAlignment="1">
      <alignment horizontal="center"/>
    </xf>
    <xf numFmtId="0" fontId="143" fillId="70" borderId="0" xfId="0" applyFont="1" applyFill="1"/>
    <xf numFmtId="0" fontId="139" fillId="0" borderId="0" xfId="0" applyFont="1"/>
    <xf numFmtId="0" fontId="153" fillId="70" borderId="0" xfId="0" applyFont="1" applyFill="1"/>
    <xf numFmtId="0" fontId="153" fillId="0" borderId="0" xfId="0" applyFont="1"/>
    <xf numFmtId="0" fontId="141" fillId="0" borderId="3" xfId="0" applyFont="1" applyBorder="1" applyAlignment="1">
      <alignment horizontal="center"/>
    </xf>
    <xf numFmtId="0" fontId="141" fillId="0" borderId="4" xfId="0" applyFont="1" applyBorder="1" applyAlignment="1">
      <alignment horizontal="center"/>
    </xf>
    <xf numFmtId="0" fontId="60" fillId="0" borderId="8" xfId="0" applyFont="1" applyBorder="1" applyAlignment="1">
      <alignment horizontal="center"/>
    </xf>
    <xf numFmtId="0" fontId="136" fillId="69" borderId="10" xfId="0" applyFont="1" applyFill="1" applyBorder="1" applyAlignment="1">
      <alignment horizontal="center"/>
    </xf>
    <xf numFmtId="0" fontId="136" fillId="69" borderId="5" xfId="0" applyFont="1" applyFill="1" applyBorder="1" applyAlignment="1">
      <alignment horizontal="center"/>
    </xf>
    <xf numFmtId="38" fontId="4" fillId="33" borderId="84" xfId="5" applyNumberFormat="1" applyFill="1" applyBorder="1" applyAlignment="1">
      <alignment horizontal="center"/>
    </xf>
    <xf numFmtId="40" fontId="0" fillId="0" borderId="6" xfId="1" applyNumberFormat="1" applyFont="1" applyBorder="1" applyAlignment="1">
      <alignment horizontal="right"/>
    </xf>
    <xf numFmtId="40" fontId="0" fillId="0" borderId="9" xfId="1" applyNumberFormat="1" applyFont="1" applyBorder="1" applyAlignment="1">
      <alignment horizontal="right"/>
    </xf>
    <xf numFmtId="38" fontId="5" fillId="36" borderId="7" xfId="0" applyNumberFormat="1" applyFont="1" applyFill="1" applyBorder="1" applyAlignment="1">
      <alignment horizontal="center"/>
    </xf>
    <xf numFmtId="38" fontId="5" fillId="36" borderId="0" xfId="0" applyNumberFormat="1" applyFont="1" applyFill="1" applyAlignment="1">
      <alignment horizontal="center"/>
    </xf>
    <xf numFmtId="38" fontId="44" fillId="36" borderId="16" xfId="0" applyNumberFormat="1" applyFont="1" applyFill="1" applyBorder="1" applyAlignment="1">
      <alignment horizontal="center"/>
    </xf>
    <xf numFmtId="179" fontId="0" fillId="0" borderId="16" xfId="1" applyNumberFormat="1" applyFont="1" applyBorder="1" applyAlignment="1">
      <alignment horizontal="right"/>
    </xf>
    <xf numFmtId="38" fontId="0" fillId="0" borderId="8" xfId="0" applyNumberFormat="1" applyBorder="1" applyAlignment="1">
      <alignment horizontal="right"/>
    </xf>
    <xf numFmtId="38" fontId="0" fillId="0" borderId="9" xfId="0" applyNumberFormat="1" applyBorder="1" applyAlignment="1">
      <alignment horizontal="right"/>
    </xf>
    <xf numFmtId="179" fontId="0" fillId="0" borderId="11" xfId="0" applyNumberFormat="1" applyBorder="1" applyAlignment="1">
      <alignment horizontal="right"/>
    </xf>
    <xf numFmtId="3" fontId="0" fillId="18" borderId="22" xfId="2" applyNumberFormat="1" applyFont="1" applyFill="1" applyBorder="1"/>
    <xf numFmtId="177" fontId="0" fillId="0" borderId="0" xfId="0" applyNumberFormat="1"/>
    <xf numFmtId="189" fontId="0" fillId="0" borderId="0" xfId="0" applyNumberFormat="1"/>
    <xf numFmtId="190" fontId="0" fillId="0" borderId="0" xfId="0" applyNumberFormat="1"/>
    <xf numFmtId="177" fontId="0" fillId="18" borderId="82" xfId="2" applyNumberFormat="1" applyFont="1" applyFill="1" applyBorder="1"/>
    <xf numFmtId="0" fontId="27" fillId="0" borderId="0" xfId="0" applyFont="1" applyAlignment="1" applyProtection="1">
      <alignment horizontal="center"/>
      <protection locked="0"/>
    </xf>
    <xf numFmtId="40" fontId="28" fillId="45" borderId="70" xfId="1" applyNumberFormat="1" applyFont="1" applyFill="1" applyBorder="1" applyAlignment="1">
      <alignment horizontal="center"/>
    </xf>
    <xf numFmtId="9" fontId="0" fillId="72" borderId="0" xfId="2" applyFont="1" applyFill="1" applyAlignment="1">
      <alignment horizontal="left"/>
    </xf>
    <xf numFmtId="9" fontId="0" fillId="72" borderId="0" xfId="2" applyFont="1" applyFill="1" applyAlignment="1">
      <alignment horizontal="center"/>
    </xf>
    <xf numFmtId="3" fontId="0" fillId="73" borderId="22" xfId="1" applyNumberFormat="1" applyFont="1" applyFill="1" applyBorder="1"/>
    <xf numFmtId="164" fontId="0" fillId="73" borderId="22" xfId="1" applyNumberFormat="1" applyFont="1" applyFill="1" applyBorder="1"/>
    <xf numFmtId="164" fontId="28" fillId="18" borderId="23" xfId="1" applyNumberFormat="1" applyFont="1" applyFill="1" applyBorder="1" applyAlignment="1">
      <alignment horizontal="center"/>
    </xf>
    <xf numFmtId="3" fontId="28" fillId="18" borderId="23" xfId="1" applyNumberFormat="1" applyFont="1" applyFill="1" applyBorder="1" applyAlignment="1">
      <alignment horizontal="center"/>
    </xf>
    <xf numFmtId="164" fontId="28" fillId="0" borderId="23" xfId="1" applyNumberFormat="1" applyFont="1" applyBorder="1" applyAlignment="1">
      <alignment horizontal="center"/>
    </xf>
    <xf numFmtId="3" fontId="28" fillId="0" borderId="23" xfId="1" applyNumberFormat="1" applyFont="1" applyBorder="1" applyAlignment="1">
      <alignment horizontal="center"/>
    </xf>
    <xf numFmtId="41" fontId="0" fillId="73" borderId="22" xfId="1" applyNumberFormat="1" applyFont="1" applyFill="1" applyBorder="1"/>
    <xf numFmtId="164" fontId="28" fillId="74" borderId="23" xfId="1" applyNumberFormat="1" applyFont="1" applyFill="1" applyBorder="1" applyAlignment="1">
      <alignment horizontal="center"/>
    </xf>
    <xf numFmtId="3" fontId="28" fillId="74" borderId="23" xfId="1" applyNumberFormat="1" applyFont="1" applyFill="1" applyBorder="1" applyAlignment="1">
      <alignment horizontal="center"/>
    </xf>
    <xf numFmtId="22" fontId="38" fillId="6" borderId="18" xfId="0" applyNumberFormat="1" applyFont="1" applyFill="1" applyBorder="1"/>
    <xf numFmtId="0" fontId="62" fillId="29" borderId="85" xfId="0" applyFont="1" applyFill="1" applyBorder="1" applyAlignment="1">
      <alignment horizontal="center"/>
    </xf>
    <xf numFmtId="14" fontId="0" fillId="18" borderId="82" xfId="0" applyNumberFormat="1" applyFill="1" applyBorder="1"/>
    <xf numFmtId="14" fontId="0" fillId="18" borderId="23" xfId="0" applyNumberFormat="1" applyFill="1" applyBorder="1"/>
    <xf numFmtId="170" fontId="43" fillId="18" borderId="46" xfId="0" applyNumberFormat="1" applyFont="1" applyFill="1" applyBorder="1"/>
    <xf numFmtId="49" fontId="155" fillId="44" borderId="14" xfId="0" applyNumberFormat="1" applyFont="1" applyFill="1" applyBorder="1" applyAlignment="1">
      <alignment horizontal="center" vertical="center" wrapText="1"/>
    </xf>
    <xf numFmtId="10" fontId="58" fillId="6" borderId="15" xfId="0" applyNumberFormat="1" applyFont="1" applyFill="1" applyBorder="1" applyAlignment="1">
      <alignment horizontal="center"/>
    </xf>
    <xf numFmtId="38" fontId="1" fillId="0" borderId="0" xfId="2" applyNumberFormat="1" applyFont="1" applyFill="1" applyAlignment="1">
      <alignment horizontal="right"/>
    </xf>
    <xf numFmtId="0" fontId="87" fillId="62" borderId="3" xfId="0" applyFont="1" applyFill="1" applyBorder="1" applyAlignment="1">
      <alignment horizontal="center"/>
    </xf>
    <xf numFmtId="0" fontId="156" fillId="50" borderId="0" xfId="0" applyFont="1" applyFill="1"/>
    <xf numFmtId="0" fontId="124" fillId="57" borderId="10" xfId="0" applyFont="1" applyFill="1" applyBorder="1" applyAlignment="1">
      <alignment horizontal="center"/>
    </xf>
    <xf numFmtId="0" fontId="124" fillId="57" borderId="16" xfId="0" applyFont="1" applyFill="1" applyBorder="1" applyAlignment="1">
      <alignment horizontal="center"/>
    </xf>
    <xf numFmtId="0" fontId="124" fillId="57" borderId="11" xfId="0" applyFont="1" applyFill="1" applyBorder="1" applyAlignment="1">
      <alignment horizontal="center"/>
    </xf>
    <xf numFmtId="40" fontId="0" fillId="33" borderId="3" xfId="1" applyNumberFormat="1" applyFont="1" applyFill="1" applyBorder="1"/>
    <xf numFmtId="40" fontId="0" fillId="32" borderId="13" xfId="1" applyNumberFormat="1" applyFont="1" applyFill="1" applyBorder="1"/>
    <xf numFmtId="164" fontId="0" fillId="0" borderId="33" xfId="1" applyNumberFormat="1" applyFont="1" applyBorder="1"/>
    <xf numFmtId="3" fontId="0" fillId="0" borderId="3" xfId="1" applyNumberFormat="1" applyFont="1" applyBorder="1"/>
    <xf numFmtId="3" fontId="0" fillId="0" borderId="13" xfId="0" applyNumberFormat="1" applyBorder="1"/>
    <xf numFmtId="3" fontId="0" fillId="0" borderId="4" xfId="0" applyNumberFormat="1" applyBorder="1"/>
    <xf numFmtId="0" fontId="0" fillId="57" borderId="0" xfId="0" applyFill="1" applyAlignment="1" applyProtection="1">
      <alignment horizontal="center"/>
      <protection locked="0"/>
    </xf>
    <xf numFmtId="0" fontId="0" fillId="0" borderId="5" xfId="0" applyBorder="1" applyAlignment="1" applyProtection="1">
      <alignment horizontal="center"/>
      <protection locked="0"/>
    </xf>
    <xf numFmtId="0" fontId="0" fillId="0" borderId="3" xfId="0" applyBorder="1" applyProtection="1">
      <protection locked="0"/>
    </xf>
    <xf numFmtId="38" fontId="0" fillId="0" borderId="13" xfId="0" applyNumberFormat="1" applyBorder="1" applyProtection="1">
      <protection locked="0"/>
    </xf>
    <xf numFmtId="0" fontId="56" fillId="0" borderId="5" xfId="0" applyFont="1" applyBorder="1" applyAlignment="1" applyProtection="1">
      <alignment horizontal="center"/>
      <protection locked="0"/>
    </xf>
    <xf numFmtId="0" fontId="0" fillId="0" borderId="10" xfId="0" applyBorder="1" applyAlignment="1" applyProtection="1">
      <alignment horizontal="center"/>
      <protection locked="0"/>
    </xf>
    <xf numFmtId="38" fontId="56" fillId="0" borderId="8" xfId="0" applyNumberFormat="1" applyFont="1" applyBorder="1" applyAlignment="1" applyProtection="1">
      <alignment horizontal="center"/>
      <protection locked="0"/>
    </xf>
    <xf numFmtId="38" fontId="0" fillId="0" borderId="11" xfId="0" applyNumberFormat="1" applyBorder="1" applyAlignment="1" applyProtection="1">
      <alignment horizontal="center"/>
      <protection locked="0"/>
    </xf>
    <xf numFmtId="0" fontId="0" fillId="6" borderId="7" xfId="0" applyFill="1" applyBorder="1" applyAlignment="1" applyProtection="1">
      <alignment horizontal="center"/>
      <protection locked="0"/>
    </xf>
    <xf numFmtId="38" fontId="0" fillId="6" borderId="0" xfId="1" applyNumberFormat="1" applyFont="1" applyFill="1" applyBorder="1" applyProtection="1"/>
    <xf numFmtId="38" fontId="0" fillId="6" borderId="0" xfId="1" applyNumberFormat="1" applyFont="1" applyFill="1" applyProtection="1"/>
    <xf numFmtId="38" fontId="0" fillId="6" borderId="0" xfId="0" applyNumberFormat="1" applyFill="1"/>
    <xf numFmtId="164" fontId="6" fillId="22" borderId="18" xfId="0" applyNumberFormat="1" applyFont="1" applyFill="1" applyBorder="1"/>
    <xf numFmtId="0" fontId="17" fillId="21" borderId="19" xfId="0" applyFont="1" applyFill="1" applyBorder="1" applyAlignment="1">
      <alignment horizontal="center"/>
    </xf>
    <xf numFmtId="184" fontId="6" fillId="13" borderId="4" xfId="1" applyNumberFormat="1" applyFont="1" applyFill="1" applyBorder="1" applyAlignment="1">
      <alignment horizontal="center"/>
    </xf>
    <xf numFmtId="184" fontId="6" fillId="5" borderId="18" xfId="1" applyNumberFormat="1" applyFont="1" applyFill="1" applyBorder="1" applyAlignment="1">
      <alignment horizontal="center"/>
    </xf>
    <xf numFmtId="177" fontId="0" fillId="73" borderId="0" xfId="2" applyNumberFormat="1" applyFont="1" applyFill="1"/>
    <xf numFmtId="38" fontId="0" fillId="73" borderId="0" xfId="0" applyNumberFormat="1" applyFill="1"/>
    <xf numFmtId="9" fontId="0" fillId="73" borderId="0" xfId="2" applyFont="1" applyFill="1"/>
    <xf numFmtId="0" fontId="0" fillId="73" borderId="0" xfId="0" applyFill="1"/>
    <xf numFmtId="40" fontId="0" fillId="73" borderId="0" xfId="0" applyNumberFormat="1" applyFill="1"/>
    <xf numFmtId="38" fontId="58" fillId="50" borderId="13" xfId="0" applyNumberFormat="1" applyFont="1" applyFill="1" applyBorder="1"/>
    <xf numFmtId="38" fontId="58" fillId="50" borderId="4" xfId="0" applyNumberFormat="1" applyFont="1" applyFill="1" applyBorder="1"/>
    <xf numFmtId="38" fontId="58" fillId="0" borderId="2" xfId="0" applyNumberFormat="1" applyFont="1" applyBorder="1"/>
    <xf numFmtId="0" fontId="148" fillId="0" borderId="86" xfId="0" applyFont="1" applyBorder="1" applyAlignment="1">
      <alignment horizontal="center"/>
    </xf>
    <xf numFmtId="38" fontId="58" fillId="0" borderId="3" xfId="0" applyNumberFormat="1" applyFont="1" applyBorder="1"/>
    <xf numFmtId="38" fontId="58" fillId="50" borderId="3" xfId="0" applyNumberFormat="1" applyFont="1" applyFill="1" applyBorder="1"/>
    <xf numFmtId="0" fontId="157" fillId="0" borderId="3" xfId="0" applyFont="1" applyBorder="1" applyAlignment="1">
      <alignment horizontal="center"/>
    </xf>
    <xf numFmtId="0" fontId="95" fillId="6" borderId="0" xfId="0" applyFont="1" applyFill="1" applyAlignment="1">
      <alignment horizontal="center"/>
    </xf>
    <xf numFmtId="0" fontId="0" fillId="50" borderId="0" xfId="0" applyFill="1"/>
    <xf numFmtId="38" fontId="28" fillId="0" borderId="0" xfId="2" applyNumberFormat="1" applyFont="1"/>
    <xf numFmtId="38" fontId="28" fillId="0" borderId="0" xfId="0" applyNumberFormat="1" applyFont="1" applyAlignment="1">
      <alignment horizontal="center"/>
    </xf>
    <xf numFmtId="38" fontId="28" fillId="0" borderId="0" xfId="0" applyNumberFormat="1" applyFont="1"/>
    <xf numFmtId="38" fontId="28" fillId="0" borderId="0" xfId="1" applyNumberFormat="1" applyFont="1"/>
    <xf numFmtId="38" fontId="28" fillId="0" borderId="0" xfId="1" applyNumberFormat="1" applyFont="1" applyAlignment="1">
      <alignment horizontal="center"/>
    </xf>
    <xf numFmtId="38" fontId="0" fillId="34" borderId="3" xfId="0" applyNumberFormat="1" applyFill="1" applyBorder="1"/>
    <xf numFmtId="38" fontId="0" fillId="34" borderId="13" xfId="0" applyNumberFormat="1" applyFill="1" applyBorder="1"/>
    <xf numFmtId="38" fontId="0" fillId="34" borderId="4" xfId="0" applyNumberFormat="1" applyFill="1" applyBorder="1"/>
    <xf numFmtId="172" fontId="136" fillId="69" borderId="12" xfId="0" applyNumberFormat="1" applyFont="1" applyFill="1" applyBorder="1" applyAlignment="1">
      <alignment horizontal="center"/>
    </xf>
    <xf numFmtId="0" fontId="106" fillId="6" borderId="87" xfId="0" applyFont="1" applyFill="1" applyBorder="1" applyAlignment="1">
      <alignment horizontal="center"/>
    </xf>
    <xf numFmtId="0" fontId="105" fillId="49" borderId="0" xfId="0" applyFont="1" applyFill="1" applyAlignment="1">
      <alignment horizontal="center"/>
    </xf>
    <xf numFmtId="0" fontId="105" fillId="49" borderId="9" xfId="0" applyFont="1" applyFill="1" applyBorder="1" applyAlignment="1">
      <alignment horizontal="center"/>
    </xf>
    <xf numFmtId="9" fontId="0" fillId="0" borderId="0" xfId="0" applyNumberFormat="1" applyAlignment="1">
      <alignment horizontal="right"/>
    </xf>
    <xf numFmtId="0" fontId="91" fillId="7" borderId="0" xfId="0" applyFont="1" applyFill="1" applyAlignment="1">
      <alignment horizontal="center" vertical="center"/>
    </xf>
    <xf numFmtId="40" fontId="123" fillId="7" borderId="0" xfId="0" applyNumberFormat="1" applyFont="1" applyFill="1"/>
    <xf numFmtId="0" fontId="123" fillId="7" borderId="8" xfId="0" applyFont="1" applyFill="1" applyBorder="1" applyAlignment="1">
      <alignment horizontal="center"/>
    </xf>
    <xf numFmtId="38" fontId="0" fillId="76" borderId="2" xfId="1" applyNumberFormat="1" applyFont="1" applyFill="1" applyBorder="1" applyAlignment="1">
      <alignment horizontal="right"/>
    </xf>
    <xf numFmtId="38" fontId="0" fillId="76" borderId="14" xfId="1" applyNumberFormat="1" applyFont="1" applyFill="1" applyBorder="1" applyAlignment="1">
      <alignment horizontal="left"/>
    </xf>
    <xf numFmtId="0" fontId="154" fillId="23" borderId="15" xfId="0" applyFont="1" applyFill="1" applyBorder="1"/>
    <xf numFmtId="14" fontId="0" fillId="73" borderId="0" xfId="0" applyNumberFormat="1" applyFill="1"/>
    <xf numFmtId="177" fontId="0" fillId="73" borderId="8" xfId="2" applyNumberFormat="1" applyFont="1" applyFill="1" applyBorder="1"/>
    <xf numFmtId="38" fontId="0" fillId="73" borderId="9" xfId="0" applyNumberFormat="1" applyFill="1" applyBorder="1"/>
    <xf numFmtId="9" fontId="0" fillId="73" borderId="9" xfId="2" applyFont="1" applyFill="1" applyBorder="1"/>
    <xf numFmtId="179" fontId="1" fillId="0" borderId="0" xfId="2" applyNumberFormat="1" applyFont="1" applyFill="1" applyAlignment="1">
      <alignment horizontal="right"/>
    </xf>
    <xf numFmtId="0" fontId="133" fillId="0" borderId="0" xfId="0" applyFont="1"/>
    <xf numFmtId="177" fontId="0" fillId="73" borderId="0" xfId="2" applyNumberFormat="1" applyFont="1" applyFill="1" applyBorder="1"/>
    <xf numFmtId="9" fontId="0" fillId="73" borderId="0" xfId="2" applyFont="1" applyFill="1" applyBorder="1"/>
    <xf numFmtId="0" fontId="6" fillId="22" borderId="18" xfId="0" applyFont="1" applyFill="1" applyBorder="1"/>
    <xf numFmtId="177" fontId="0" fillId="0" borderId="0" xfId="2" applyNumberFormat="1" applyFont="1" applyBorder="1"/>
    <xf numFmtId="9" fontId="0" fillId="0" borderId="0" xfId="2" applyFont="1" applyBorder="1"/>
    <xf numFmtId="0" fontId="5" fillId="0" borderId="14" xfId="0" applyFont="1" applyBorder="1"/>
    <xf numFmtId="0" fontId="0" fillId="0" borderId="12" xfId="0" applyBorder="1"/>
    <xf numFmtId="174" fontId="159" fillId="0" borderId="0" xfId="1" applyNumberFormat="1" applyFont="1" applyAlignment="1">
      <alignment horizontal="left" vertical="center"/>
    </xf>
    <xf numFmtId="0" fontId="159" fillId="0" borderId="0" xfId="0" applyFont="1" applyAlignment="1">
      <alignment horizontal="left"/>
    </xf>
    <xf numFmtId="174" fontId="35" fillId="0" borderId="0" xfId="1" applyNumberFormat="1" applyFont="1" applyAlignment="1">
      <alignment horizontal="left" vertical="center"/>
    </xf>
    <xf numFmtId="0" fontId="56" fillId="50" borderId="13" xfId="0" applyFont="1" applyFill="1" applyBorder="1" applyAlignment="1">
      <alignment horizontal="center"/>
    </xf>
    <xf numFmtId="38" fontId="94" fillId="50" borderId="13" xfId="0" applyNumberFormat="1" applyFont="1" applyFill="1" applyBorder="1" applyAlignment="1">
      <alignment horizontal="center"/>
    </xf>
    <xf numFmtId="0" fontId="6" fillId="22" borderId="18" xfId="0" quotePrefix="1" applyFont="1" applyFill="1" applyBorder="1"/>
    <xf numFmtId="0" fontId="0" fillId="73" borderId="0" xfId="0" quotePrefix="1" applyFill="1"/>
    <xf numFmtId="167" fontId="0" fillId="0" borderId="0" xfId="1" applyNumberFormat="1" applyFont="1" applyProtection="1">
      <protection locked="0"/>
    </xf>
    <xf numFmtId="16" fontId="0" fillId="0" borderId="0" xfId="0" applyNumberFormat="1"/>
    <xf numFmtId="40" fontId="8" fillId="22" borderId="0" xfId="1" applyNumberFormat="1" applyFont="1" applyFill="1" applyBorder="1" applyAlignment="1">
      <alignment horizontal="right"/>
    </xf>
    <xf numFmtId="3" fontId="31" fillId="17" borderId="0" xfId="0" applyNumberFormat="1" applyFont="1" applyFill="1" applyAlignment="1">
      <alignment horizontal="center"/>
    </xf>
    <xf numFmtId="40" fontId="160" fillId="22" borderId="16" xfId="0" applyNumberFormat="1" applyFont="1" applyFill="1" applyBorder="1" applyAlignment="1">
      <alignment horizontal="center"/>
    </xf>
    <xf numFmtId="177" fontId="8" fillId="22" borderId="0" xfId="2" applyNumberFormat="1" applyFont="1" applyFill="1" applyAlignment="1">
      <alignment horizontal="right"/>
    </xf>
    <xf numFmtId="179" fontId="0" fillId="0" borderId="0" xfId="2" applyNumberFormat="1" applyFont="1" applyFill="1" applyAlignment="1">
      <alignment horizontal="right"/>
    </xf>
    <xf numFmtId="177" fontId="0" fillId="0" borderId="0" xfId="2" applyNumberFormat="1" applyFont="1" applyFill="1" applyAlignment="1">
      <alignment horizontal="right"/>
    </xf>
    <xf numFmtId="38" fontId="0" fillId="0" borderId="0" xfId="2" applyNumberFormat="1" applyFont="1" applyFill="1" applyAlignment="1">
      <alignment horizontal="right"/>
    </xf>
    <xf numFmtId="38" fontId="77" fillId="22" borderId="16" xfId="0" applyNumberFormat="1" applyFont="1" applyFill="1" applyBorder="1" applyAlignment="1">
      <alignment horizontal="center"/>
    </xf>
    <xf numFmtId="38" fontId="0" fillId="0" borderId="7" xfId="1" applyNumberFormat="1" applyFont="1" applyFill="1" applyBorder="1" applyAlignment="1">
      <alignment horizontal="right"/>
    </xf>
    <xf numFmtId="38" fontId="38" fillId="41" borderId="25" xfId="1" applyNumberFormat="1" applyFont="1" applyFill="1" applyBorder="1" applyAlignment="1">
      <alignment horizontal="right"/>
    </xf>
    <xf numFmtId="175" fontId="38" fillId="22" borderId="18" xfId="1" applyNumberFormat="1" applyFont="1" applyFill="1" applyBorder="1" applyAlignment="1">
      <alignment horizontal="center"/>
    </xf>
    <xf numFmtId="164" fontId="62" fillId="29" borderId="22" xfId="0" applyNumberFormat="1" applyFont="1" applyFill="1" applyBorder="1" applyAlignment="1">
      <alignment horizontal="center"/>
    </xf>
    <xf numFmtId="3" fontId="0" fillId="18" borderId="22" xfId="0" applyNumberFormat="1" applyFill="1" applyBorder="1" applyAlignment="1">
      <alignment horizontal="center"/>
    </xf>
    <xf numFmtId="38" fontId="109" fillId="0" borderId="0" xfId="0" applyNumberFormat="1" applyFont="1" applyAlignment="1">
      <alignment horizontal="center"/>
    </xf>
    <xf numFmtId="0" fontId="0" fillId="50" borderId="0" xfId="0" applyFill="1" applyAlignment="1">
      <alignment horizontal="center"/>
    </xf>
    <xf numFmtId="38" fontId="0" fillId="33" borderId="81" xfId="0" applyNumberFormat="1" applyFill="1" applyBorder="1" applyAlignment="1">
      <alignment horizontal="center"/>
    </xf>
    <xf numFmtId="38" fontId="0" fillId="33" borderId="0" xfId="0" applyNumberFormat="1" applyFill="1" applyAlignment="1">
      <alignment horizontal="center"/>
    </xf>
    <xf numFmtId="2" fontId="0" fillId="18" borderId="22" xfId="0" applyNumberFormat="1" applyFill="1" applyBorder="1"/>
    <xf numFmtId="10" fontId="0" fillId="18" borderId="22" xfId="2" applyNumberFormat="1" applyFont="1" applyFill="1" applyBorder="1"/>
    <xf numFmtId="3" fontId="0" fillId="18" borderId="22" xfId="0" applyNumberFormat="1" applyFill="1" applyBorder="1"/>
    <xf numFmtId="9" fontId="0" fillId="18" borderId="22" xfId="2" applyFont="1" applyFill="1" applyBorder="1"/>
    <xf numFmtId="164" fontId="0" fillId="18" borderId="22" xfId="2" applyNumberFormat="1" applyFont="1" applyFill="1" applyBorder="1"/>
    <xf numFmtId="164" fontId="0" fillId="18" borderId="22" xfId="0" applyNumberFormat="1" applyFill="1" applyBorder="1" applyAlignment="1">
      <alignment horizontal="center"/>
    </xf>
    <xf numFmtId="164" fontId="0" fillId="18" borderId="22" xfId="1" applyNumberFormat="1" applyFont="1" applyFill="1" applyBorder="1"/>
    <xf numFmtId="164" fontId="0" fillId="18" borderId="22" xfId="1" applyNumberFormat="1" applyFont="1" applyFill="1" applyBorder="1" applyAlignment="1">
      <alignment horizontal="center"/>
    </xf>
    <xf numFmtId="177" fontId="0" fillId="18" borderId="22" xfId="2" applyNumberFormat="1" applyFont="1" applyFill="1" applyBorder="1" applyAlignment="1">
      <alignment horizontal="center"/>
    </xf>
    <xf numFmtId="3" fontId="0" fillId="18" borderId="22" xfId="1" applyNumberFormat="1" applyFont="1" applyFill="1" applyBorder="1" applyAlignment="1">
      <alignment horizontal="center"/>
    </xf>
    <xf numFmtId="3" fontId="0" fillId="18" borderId="22" xfId="2" applyNumberFormat="1" applyFont="1" applyFill="1" applyBorder="1" applyAlignment="1">
      <alignment horizontal="center"/>
    </xf>
    <xf numFmtId="0" fontId="27" fillId="0" borderId="11" xfId="0" applyFont="1" applyBorder="1"/>
    <xf numFmtId="40" fontId="27" fillId="0" borderId="16" xfId="1" applyNumberFormat="1" applyFont="1" applyBorder="1" applyAlignment="1">
      <alignment horizontal="center"/>
    </xf>
    <xf numFmtId="0" fontId="119" fillId="28" borderId="0" xfId="1" applyNumberFormat="1" applyFont="1" applyFill="1" applyAlignment="1">
      <alignment horizontal="center" vertical="center"/>
    </xf>
    <xf numFmtId="40" fontId="161" fillId="0" borderId="0" xfId="1" applyNumberFormat="1" applyFont="1" applyAlignment="1">
      <alignment horizontal="center" vertical="center"/>
    </xf>
    <xf numFmtId="177" fontId="27" fillId="0" borderId="7" xfId="2" applyNumberFormat="1" applyFont="1" applyFill="1" applyBorder="1" applyAlignment="1">
      <alignment horizontal="center"/>
    </xf>
    <xf numFmtId="9" fontId="75" fillId="23" borderId="16" xfId="2" applyFont="1" applyFill="1" applyBorder="1" applyAlignment="1">
      <alignment horizontal="center" vertical="center"/>
    </xf>
    <xf numFmtId="38" fontId="94" fillId="0" borderId="16" xfId="0" applyNumberFormat="1" applyFont="1" applyBorder="1" applyAlignment="1">
      <alignment horizontal="center"/>
    </xf>
    <xf numFmtId="40" fontId="128" fillId="45" borderId="7" xfId="1" applyNumberFormat="1" applyFont="1" applyFill="1" applyBorder="1" applyAlignment="1">
      <alignment horizontal="center" vertical="center"/>
    </xf>
    <xf numFmtId="177" fontId="56" fillId="34" borderId="0" xfId="1" applyNumberFormat="1" applyFont="1" applyFill="1" applyAlignment="1">
      <alignment horizontal="center" vertical="center"/>
    </xf>
    <xf numFmtId="0" fontId="31" fillId="57" borderId="54" xfId="0" applyFont="1" applyFill="1" applyBorder="1" applyAlignment="1">
      <alignment horizontal="right" vertical="center"/>
    </xf>
    <xf numFmtId="40" fontId="62" fillId="36" borderId="71" xfId="1" applyNumberFormat="1" applyFont="1" applyFill="1" applyBorder="1" applyAlignment="1">
      <alignment horizontal="right"/>
    </xf>
    <xf numFmtId="177" fontId="58" fillId="36" borderId="88" xfId="2" applyNumberFormat="1" applyFont="1" applyFill="1" applyBorder="1" applyAlignment="1">
      <alignment horizontal="center"/>
    </xf>
    <xf numFmtId="167" fontId="27" fillId="0" borderId="52" xfId="1" applyNumberFormat="1" applyFont="1" applyFill="1" applyBorder="1" applyAlignment="1">
      <alignment horizontal="left" vertical="center"/>
    </xf>
    <xf numFmtId="38" fontId="28" fillId="0" borderId="16" xfId="1" applyNumberFormat="1" applyFont="1" applyFill="1" applyBorder="1" applyAlignment="1">
      <alignment horizontal="right"/>
    </xf>
    <xf numFmtId="172" fontId="27" fillId="0" borderId="0" xfId="2" applyNumberFormat="1" applyFont="1" applyFill="1" applyAlignment="1">
      <alignment horizontal="center"/>
    </xf>
    <xf numFmtId="9" fontId="58" fillId="20" borderId="0" xfId="0" applyNumberFormat="1" applyFont="1" applyFill="1" applyAlignment="1">
      <alignment horizontal="center" vertical="center"/>
    </xf>
    <xf numFmtId="0" fontId="31" fillId="63" borderId="9" xfId="0" applyFont="1" applyFill="1" applyBorder="1" applyAlignment="1">
      <alignment horizontal="center" vertical="center"/>
    </xf>
    <xf numFmtId="164" fontId="136" fillId="0" borderId="0" xfId="0" applyNumberFormat="1" applyFont="1"/>
    <xf numFmtId="40" fontId="136" fillId="0" borderId="89" xfId="1" applyNumberFormat="1" applyFont="1" applyFill="1" applyBorder="1"/>
    <xf numFmtId="164" fontId="136" fillId="0" borderId="89" xfId="1" applyNumberFormat="1" applyFont="1" applyFill="1" applyBorder="1"/>
    <xf numFmtId="164" fontId="136" fillId="0" borderId="0" xfId="1" applyNumberFormat="1" applyFont="1" applyFill="1" applyBorder="1"/>
    <xf numFmtId="40" fontId="136" fillId="0" borderId="0" xfId="0" applyNumberFormat="1" applyFont="1"/>
    <xf numFmtId="38" fontId="136" fillId="77" borderId="89" xfId="1" applyNumberFormat="1" applyFont="1" applyFill="1" applyBorder="1"/>
    <xf numFmtId="40" fontId="136" fillId="77" borderId="89" xfId="1" applyNumberFormat="1" applyFont="1" applyFill="1" applyBorder="1"/>
    <xf numFmtId="41" fontId="136" fillId="0" borderId="89" xfId="1" applyNumberFormat="1" applyFont="1" applyFill="1" applyBorder="1"/>
    <xf numFmtId="3" fontId="136" fillId="0" borderId="89" xfId="1" applyNumberFormat="1" applyFont="1" applyFill="1" applyBorder="1"/>
    <xf numFmtId="38" fontId="136" fillId="78" borderId="89" xfId="1" applyNumberFormat="1" applyFont="1" applyFill="1" applyBorder="1"/>
    <xf numFmtId="173" fontId="136" fillId="0" borderId="89" xfId="0" applyNumberFormat="1" applyFont="1" applyBorder="1"/>
    <xf numFmtId="3" fontId="136" fillId="77" borderId="89" xfId="1" applyNumberFormat="1" applyFont="1" applyFill="1" applyBorder="1"/>
    <xf numFmtId="43" fontId="136" fillId="0" borderId="89" xfId="1" applyFont="1" applyFill="1" applyBorder="1"/>
    <xf numFmtId="38" fontId="136" fillId="77" borderId="0" xfId="1" applyNumberFormat="1" applyFont="1" applyFill="1" applyBorder="1"/>
    <xf numFmtId="43" fontId="136" fillId="77" borderId="89" xfId="1" applyFont="1" applyFill="1" applyBorder="1"/>
    <xf numFmtId="38" fontId="136" fillId="77" borderId="89" xfId="0" applyNumberFormat="1" applyFont="1" applyFill="1" applyBorder="1"/>
    <xf numFmtId="38" fontId="136" fillId="77" borderId="0" xfId="0" applyNumberFormat="1" applyFont="1" applyFill="1"/>
    <xf numFmtId="0" fontId="136" fillId="77" borderId="0" xfId="0" applyFont="1" applyFill="1"/>
    <xf numFmtId="164" fontId="0" fillId="79" borderId="0" xfId="0" applyNumberFormat="1" applyFill="1"/>
    <xf numFmtId="40" fontId="0" fillId="22" borderId="0" xfId="0" applyNumberFormat="1" applyFill="1"/>
    <xf numFmtId="9" fontId="0" fillId="0" borderId="22" xfId="2" applyFont="1" applyBorder="1"/>
    <xf numFmtId="41" fontId="136" fillId="77" borderId="0" xfId="0" applyNumberFormat="1" applyFont="1" applyFill="1"/>
    <xf numFmtId="164" fontId="60" fillId="0" borderId="0" xfId="0" applyNumberFormat="1" applyFont="1"/>
    <xf numFmtId="3" fontId="136" fillId="77" borderId="0" xfId="0" applyNumberFormat="1" applyFont="1" applyFill="1"/>
    <xf numFmtId="43" fontId="136" fillId="77" borderId="0" xfId="0" applyNumberFormat="1" applyFont="1" applyFill="1"/>
    <xf numFmtId="43" fontId="27" fillId="33" borderId="16" xfId="1" applyFont="1" applyFill="1" applyBorder="1" applyAlignment="1">
      <alignment horizontal="center"/>
    </xf>
    <xf numFmtId="191" fontId="101" fillId="0" borderId="0" xfId="9" applyNumberFormat="1" applyFont="1" applyAlignment="1">
      <alignment horizontal="center"/>
    </xf>
    <xf numFmtId="14" fontId="38" fillId="13" borderId="0" xfId="0" applyNumberFormat="1" applyFont="1" applyFill="1" applyProtection="1">
      <protection locked="0"/>
    </xf>
    <xf numFmtId="184" fontId="136" fillId="5" borderId="2" xfId="0" applyNumberFormat="1" applyFont="1" applyFill="1" applyBorder="1" applyAlignment="1">
      <alignment horizontal="center"/>
    </xf>
    <xf numFmtId="178" fontId="0" fillId="38" borderId="0" xfId="0" applyNumberFormat="1" applyFill="1"/>
    <xf numFmtId="9" fontId="0" fillId="18" borderId="22" xfId="2" applyFont="1" applyFill="1" applyBorder="1" applyAlignment="1">
      <alignment horizontal="center"/>
    </xf>
    <xf numFmtId="0" fontId="94" fillId="0" borderId="49" xfId="0" applyFont="1" applyBorder="1" applyAlignment="1">
      <alignment horizontal="center"/>
    </xf>
    <xf numFmtId="0" fontId="154" fillId="0" borderId="52" xfId="0" applyFont="1" applyBorder="1" applyAlignment="1">
      <alignment horizontal="center"/>
    </xf>
    <xf numFmtId="170" fontId="0" fillId="38" borderId="22" xfId="1" applyNumberFormat="1" applyFont="1" applyFill="1" applyBorder="1"/>
    <xf numFmtId="170" fontId="0" fillId="80" borderId="22" xfId="1" applyNumberFormat="1" applyFont="1" applyFill="1" applyBorder="1"/>
    <xf numFmtId="0" fontId="0" fillId="0" borderId="12" xfId="0" applyBorder="1" applyAlignment="1">
      <alignment horizontal="center"/>
    </xf>
    <xf numFmtId="9" fontId="0" fillId="73" borderId="0" xfId="0" applyNumberFormat="1" applyFill="1" applyAlignment="1">
      <alignment horizontal="center"/>
    </xf>
    <xf numFmtId="9" fontId="0" fillId="73" borderId="9" xfId="0" applyNumberFormat="1" applyFill="1" applyBorder="1" applyAlignment="1">
      <alignment horizontal="center"/>
    </xf>
    <xf numFmtId="49" fontId="122" fillId="7" borderId="60" xfId="0" applyNumberFormat="1" applyFont="1" applyFill="1" applyBorder="1" applyAlignment="1">
      <alignment horizontal="center" vertical="center" wrapText="1"/>
    </xf>
    <xf numFmtId="0" fontId="136" fillId="0" borderId="2" xfId="0" applyFont="1" applyBorder="1" applyAlignment="1">
      <alignment horizontal="center"/>
    </xf>
    <xf numFmtId="0" fontId="0" fillId="81" borderId="0" xfId="0" applyFill="1"/>
    <xf numFmtId="38" fontId="0" fillId="76" borderId="14" xfId="1" applyNumberFormat="1" applyFont="1" applyFill="1" applyBorder="1" applyAlignment="1">
      <alignment horizontal="center"/>
    </xf>
    <xf numFmtId="40" fontId="58" fillId="36" borderId="71" xfId="1" applyNumberFormat="1" applyFont="1" applyFill="1" applyBorder="1" applyAlignment="1">
      <alignment horizontal="center"/>
    </xf>
    <xf numFmtId="40" fontId="58" fillId="62" borderId="16" xfId="0" applyNumberFormat="1" applyFont="1" applyFill="1" applyBorder="1" applyAlignment="1">
      <alignment horizontal="center"/>
    </xf>
    <xf numFmtId="9" fontId="148" fillId="36" borderId="0" xfId="2" applyFont="1" applyFill="1" applyBorder="1" applyAlignment="1">
      <alignment horizontal="center"/>
    </xf>
    <xf numFmtId="40" fontId="58" fillId="0" borderId="71" xfId="1" applyNumberFormat="1" applyFont="1" applyFill="1" applyBorder="1" applyAlignment="1">
      <alignment horizontal="right"/>
    </xf>
    <xf numFmtId="38" fontId="58" fillId="0" borderId="71" xfId="1" applyNumberFormat="1" applyFont="1" applyFill="1" applyBorder="1" applyAlignment="1">
      <alignment horizontal="right"/>
    </xf>
    <xf numFmtId="0" fontId="162" fillId="0" borderId="0" xfId="0" applyFont="1"/>
    <xf numFmtId="9" fontId="163" fillId="0" borderId="5" xfId="0" applyNumberFormat="1" applyFont="1" applyBorder="1"/>
    <xf numFmtId="0" fontId="163" fillId="0" borderId="10" xfId="0" applyFont="1" applyBorder="1" applyAlignment="1">
      <alignment horizontal="center" vertical="center"/>
    </xf>
    <xf numFmtId="0" fontId="164" fillId="0" borderId="7" xfId="0" applyFont="1" applyBorder="1"/>
    <xf numFmtId="0" fontId="164" fillId="0" borderId="16" xfId="0" applyFont="1" applyBorder="1" applyAlignment="1">
      <alignment horizontal="center" vertical="center"/>
    </xf>
    <xf numFmtId="0" fontId="164" fillId="0" borderId="8" xfId="0" applyFont="1" applyBorder="1"/>
    <xf numFmtId="0" fontId="164" fillId="0" borderId="11" xfId="0" applyFont="1" applyBorder="1" applyAlignment="1">
      <alignment horizontal="center" vertical="center"/>
    </xf>
    <xf numFmtId="177" fontId="28" fillId="36" borderId="71" xfId="2" applyNumberFormat="1" applyFont="1" applyFill="1" applyBorder="1" applyAlignment="1">
      <alignment horizontal="center" vertical="center"/>
    </xf>
    <xf numFmtId="177" fontId="58" fillId="36" borderId="71" xfId="2" applyNumberFormat="1" applyFont="1" applyFill="1" applyBorder="1" applyAlignment="1">
      <alignment horizontal="center" vertical="center"/>
    </xf>
    <xf numFmtId="172" fontId="0" fillId="0" borderId="0" xfId="2" applyNumberFormat="1" applyFont="1" applyAlignment="1">
      <alignment horizontal="center" vertical="center"/>
    </xf>
    <xf numFmtId="172" fontId="58" fillId="36" borderId="71" xfId="1" applyNumberFormat="1" applyFont="1" applyFill="1" applyBorder="1" applyAlignment="1">
      <alignment horizontal="center" vertical="center"/>
    </xf>
    <xf numFmtId="188" fontId="58" fillId="0" borderId="4" xfId="0" applyNumberFormat="1" applyFont="1" applyBorder="1"/>
    <xf numFmtId="188" fontId="165" fillId="0" borderId="3" xfId="9" applyNumberFormat="1" applyFont="1" applyBorder="1"/>
    <xf numFmtId="40" fontId="58" fillId="36" borderId="72" xfId="1" applyNumberFormat="1" applyFont="1" applyFill="1" applyBorder="1" applyAlignment="1">
      <alignment horizontal="center"/>
    </xf>
    <xf numFmtId="9" fontId="148" fillId="36" borderId="0" xfId="2" applyFont="1" applyFill="1" applyBorder="1" applyAlignment="1">
      <alignment horizontal="center" vertical="center"/>
    </xf>
    <xf numFmtId="40" fontId="28" fillId="47" borderId="70" xfId="1" applyNumberFormat="1" applyFont="1" applyFill="1" applyBorder="1" applyAlignment="1">
      <alignment horizontal="center"/>
    </xf>
    <xf numFmtId="9" fontId="0" fillId="73" borderId="0" xfId="0" applyNumberFormat="1" applyFill="1"/>
    <xf numFmtId="40" fontId="58" fillId="36" borderId="71" xfId="1" applyNumberFormat="1" applyFont="1" applyFill="1" applyBorder="1" applyAlignment="1">
      <alignment horizontal="center" vertical="center"/>
    </xf>
    <xf numFmtId="40" fontId="28" fillId="28" borderId="70" xfId="1" applyNumberFormat="1" applyFont="1" applyFill="1" applyBorder="1" applyAlignment="1">
      <alignment horizontal="center"/>
    </xf>
    <xf numFmtId="0" fontId="6" fillId="0" borderId="0" xfId="0" quotePrefix="1" applyFont="1"/>
    <xf numFmtId="0" fontId="6" fillId="22" borderId="19" xfId="0" quotePrefix="1" applyFont="1" applyFill="1" applyBorder="1"/>
    <xf numFmtId="177" fontId="38" fillId="82" borderId="0" xfId="0" applyNumberFormat="1" applyFont="1" applyFill="1"/>
    <xf numFmtId="9" fontId="38" fillId="82" borderId="0" xfId="0" applyNumberFormat="1" applyFont="1" applyFill="1" applyAlignment="1">
      <alignment horizontal="center"/>
    </xf>
    <xf numFmtId="38" fontId="38" fillId="82" borderId="0" xfId="0" applyNumberFormat="1" applyFont="1" applyFill="1"/>
    <xf numFmtId="9" fontId="16" fillId="83" borderId="0" xfId="0" applyNumberFormat="1" applyFont="1" applyFill="1"/>
    <xf numFmtId="14" fontId="38" fillId="82" borderId="0" xfId="0" applyNumberFormat="1" applyFont="1" applyFill="1"/>
    <xf numFmtId="0" fontId="63" fillId="39" borderId="0" xfId="0" applyFont="1" applyFill="1" applyAlignment="1">
      <alignment vertical="center"/>
    </xf>
    <xf numFmtId="22" fontId="161" fillId="46" borderId="0" xfId="0" applyNumberFormat="1" applyFont="1" applyFill="1" applyAlignment="1" applyProtection="1">
      <alignment horizontal="center"/>
      <protection locked="0"/>
    </xf>
    <xf numFmtId="20" fontId="0" fillId="6" borderId="0" xfId="1" applyNumberFormat="1" applyFont="1" applyFill="1"/>
    <xf numFmtId="10" fontId="136" fillId="6" borderId="2" xfId="0" applyNumberFormat="1" applyFont="1" applyFill="1" applyBorder="1" applyAlignment="1">
      <alignment horizontal="center"/>
    </xf>
    <xf numFmtId="9" fontId="136" fillId="0" borderId="0" xfId="2" applyFont="1"/>
    <xf numFmtId="9" fontId="136" fillId="0" borderId="14" xfId="2" applyFont="1" applyBorder="1" applyAlignment="1">
      <alignment horizontal="center"/>
    </xf>
    <xf numFmtId="9" fontId="136" fillId="0" borderId="15" xfId="2" applyFont="1" applyBorder="1"/>
    <xf numFmtId="9" fontId="136" fillId="0" borderId="14" xfId="0" applyNumberFormat="1" applyFont="1" applyBorder="1" applyAlignment="1">
      <alignment horizontal="center" vertical="center"/>
    </xf>
    <xf numFmtId="9" fontId="136" fillId="0" borderId="15" xfId="0" applyNumberFormat="1" applyFont="1" applyBorder="1" applyAlignment="1">
      <alignment horizontal="center" vertical="center"/>
    </xf>
    <xf numFmtId="0" fontId="136" fillId="0" borderId="8" xfId="0" applyFont="1" applyBorder="1" applyAlignment="1">
      <alignment horizontal="center"/>
    </xf>
    <xf numFmtId="0" fontId="136" fillId="34" borderId="14" xfId="0" applyFont="1" applyFill="1" applyBorder="1" applyAlignment="1">
      <alignment horizontal="center"/>
    </xf>
    <xf numFmtId="0" fontId="136" fillId="34" borderId="15" xfId="0" applyFont="1" applyFill="1" applyBorder="1" applyAlignment="1">
      <alignment horizontal="center"/>
    </xf>
    <xf numFmtId="9" fontId="136" fillId="0" borderId="41" xfId="2" applyFont="1" applyBorder="1"/>
    <xf numFmtId="0" fontId="136" fillId="0" borderId="41" xfId="0" applyFont="1" applyBorder="1" applyAlignment="1">
      <alignment horizontal="center"/>
    </xf>
    <xf numFmtId="9" fontId="136" fillId="0" borderId="0" xfId="2" quotePrefix="1" applyFont="1" applyAlignment="1">
      <alignment wrapText="1"/>
    </xf>
    <xf numFmtId="0" fontId="143" fillId="0" borderId="0" xfId="0" applyFont="1" applyAlignment="1">
      <alignment horizontal="center"/>
    </xf>
    <xf numFmtId="38" fontId="0" fillId="6" borderId="90" xfId="1" applyNumberFormat="1" applyFont="1" applyFill="1" applyBorder="1" applyProtection="1"/>
    <xf numFmtId="38" fontId="0" fillId="6" borderId="90" xfId="0" applyNumberFormat="1" applyFill="1" applyBorder="1"/>
    <xf numFmtId="38" fontId="58" fillId="0" borderId="17" xfId="0" applyNumberFormat="1" applyFont="1" applyBorder="1" applyAlignment="1">
      <alignment horizontal="center"/>
    </xf>
    <xf numFmtId="0" fontId="27" fillId="34" borderId="13" xfId="0" applyFont="1" applyFill="1" applyBorder="1" applyAlignment="1">
      <alignment horizontal="center"/>
    </xf>
    <xf numFmtId="38" fontId="0" fillId="34" borderId="91" xfId="0" applyNumberFormat="1" applyFill="1" applyBorder="1"/>
    <xf numFmtId="38" fontId="0" fillId="34" borderId="0" xfId="0" applyNumberFormat="1" applyFill="1"/>
    <xf numFmtId="38" fontId="93" fillId="34" borderId="0" xfId="0" applyNumberFormat="1" applyFont="1" applyFill="1"/>
    <xf numFmtId="4" fontId="0" fillId="34" borderId="0" xfId="0" applyNumberFormat="1" applyFill="1"/>
    <xf numFmtId="38" fontId="0" fillId="0" borderId="85" xfId="0" applyNumberFormat="1" applyBorder="1"/>
    <xf numFmtId="38" fontId="5" fillId="0" borderId="85" xfId="0" applyNumberFormat="1" applyFont="1" applyBorder="1"/>
    <xf numFmtId="38" fontId="28" fillId="62" borderId="70" xfId="1" applyNumberFormat="1" applyFont="1" applyFill="1" applyBorder="1" applyAlignment="1">
      <alignment horizontal="left"/>
    </xf>
    <xf numFmtId="189" fontId="16" fillId="16" borderId="0" xfId="6" applyNumberFormat="1" applyBorder="1"/>
    <xf numFmtId="9" fontId="136" fillId="0" borderId="6" xfId="2" applyFont="1" applyBorder="1"/>
    <xf numFmtId="0" fontId="136" fillId="0" borderId="7" xfId="0" applyFont="1" applyBorder="1"/>
    <xf numFmtId="0" fontId="136" fillId="0" borderId="16" xfId="0" applyFont="1" applyBorder="1"/>
    <xf numFmtId="0" fontId="136" fillId="0" borderId="9" xfId="0" applyFont="1" applyBorder="1"/>
    <xf numFmtId="0" fontId="136" fillId="0" borderId="11" xfId="0" applyFont="1" applyBorder="1"/>
    <xf numFmtId="0" fontId="143" fillId="0" borderId="40" xfId="0" applyFont="1" applyBorder="1" applyAlignment="1">
      <alignment horizontal="center"/>
    </xf>
    <xf numFmtId="0" fontId="143" fillId="0" borderId="6" xfId="0" applyFont="1" applyBorder="1" applyAlignment="1">
      <alignment horizontal="center"/>
    </xf>
    <xf numFmtId="0" fontId="143" fillId="0" borderId="10" xfId="0" applyFont="1" applyBorder="1" applyAlignment="1">
      <alignment horizontal="center"/>
    </xf>
    <xf numFmtId="0" fontId="143" fillId="0" borderId="7" xfId="0" applyFont="1" applyBorder="1" applyAlignment="1">
      <alignment horizontal="center"/>
    </xf>
    <xf numFmtId="0" fontId="143" fillId="0" borderId="8" xfId="0" applyFont="1" applyBorder="1" applyAlignment="1">
      <alignment horizontal="center"/>
    </xf>
    <xf numFmtId="9" fontId="143" fillId="0" borderId="40" xfId="2" applyFont="1" applyBorder="1" applyAlignment="1">
      <alignment horizontal="center"/>
    </xf>
    <xf numFmtId="0" fontId="143" fillId="0" borderId="41" xfId="0" applyFont="1" applyBorder="1" applyAlignment="1">
      <alignment horizontal="center"/>
    </xf>
    <xf numFmtId="0" fontId="143" fillId="0" borderId="42" xfId="0" applyFont="1" applyBorder="1" applyAlignment="1">
      <alignment horizontal="center"/>
    </xf>
    <xf numFmtId="9" fontId="143" fillId="0" borderId="5" xfId="2" applyFont="1" applyBorder="1" applyAlignment="1">
      <alignment horizontal="center"/>
    </xf>
    <xf numFmtId="9" fontId="136" fillId="0" borderId="5" xfId="2" applyFont="1" applyBorder="1"/>
    <xf numFmtId="9" fontId="136" fillId="0" borderId="10" xfId="2" applyFont="1" applyBorder="1"/>
    <xf numFmtId="9" fontId="136" fillId="0" borderId="7" xfId="2" applyFont="1" applyBorder="1"/>
    <xf numFmtId="9" fontId="136" fillId="0" borderId="0" xfId="2" applyFont="1" applyBorder="1"/>
    <xf numFmtId="9" fontId="136" fillId="0" borderId="16" xfId="2" applyFont="1" applyBorder="1"/>
    <xf numFmtId="9" fontId="136" fillId="0" borderId="8" xfId="2" applyFont="1" applyBorder="1"/>
    <xf numFmtId="9" fontId="136" fillId="0" borderId="9" xfId="2" applyFont="1" applyBorder="1"/>
    <xf numFmtId="9" fontId="136" fillId="0" borderId="11" xfId="2" applyFont="1" applyBorder="1"/>
    <xf numFmtId="0" fontId="143" fillId="0" borderId="3" xfId="0" applyFont="1" applyBorder="1" applyAlignment="1">
      <alignment horizontal="center"/>
    </xf>
    <xf numFmtId="0" fontId="143" fillId="0" borderId="13" xfId="0" applyFont="1" applyBorder="1" applyAlignment="1">
      <alignment horizontal="center"/>
    </xf>
    <xf numFmtId="0" fontId="143" fillId="0" borderId="4" xfId="0" applyFont="1" applyBorder="1" applyAlignment="1">
      <alignment horizontal="center"/>
    </xf>
    <xf numFmtId="0" fontId="136" fillId="0" borderId="2" xfId="0" applyFont="1" applyBorder="1"/>
    <xf numFmtId="0" fontId="143" fillId="0" borderId="5" xfId="0" applyFont="1" applyBorder="1" applyAlignment="1">
      <alignment horizontal="center"/>
    </xf>
    <xf numFmtId="1" fontId="136" fillId="0" borderId="0" xfId="2" applyNumberFormat="1" applyFont="1" applyBorder="1"/>
    <xf numFmtId="1" fontId="136" fillId="0" borderId="16" xfId="2" applyNumberFormat="1" applyFont="1" applyBorder="1"/>
    <xf numFmtId="1" fontId="136" fillId="0" borderId="9" xfId="2" applyNumberFormat="1" applyFont="1" applyBorder="1"/>
    <xf numFmtId="1" fontId="136" fillId="0" borderId="11" xfId="2" applyNumberFormat="1" applyFont="1" applyBorder="1"/>
    <xf numFmtId="0" fontId="146" fillId="0" borderId="0" xfId="0" applyFont="1" applyAlignment="1">
      <alignment horizontal="center"/>
    </xf>
    <xf numFmtId="172" fontId="0" fillId="0" borderId="0" xfId="2" applyNumberFormat="1" applyFont="1" applyAlignment="1">
      <alignment horizontal="center"/>
    </xf>
    <xf numFmtId="0" fontId="0" fillId="0" borderId="92" xfId="0" applyBorder="1" applyAlignment="1">
      <alignment horizontal="center"/>
    </xf>
    <xf numFmtId="0" fontId="0" fillId="0" borderId="93" xfId="0" applyBorder="1"/>
    <xf numFmtId="0" fontId="0" fillId="0" borderId="94" xfId="0" applyBorder="1"/>
    <xf numFmtId="0" fontId="0" fillId="0" borderId="95" xfId="0" applyBorder="1"/>
    <xf numFmtId="0" fontId="0" fillId="0" borderId="96" xfId="0" applyBorder="1"/>
    <xf numFmtId="0" fontId="58" fillId="0" borderId="97" xfId="0" applyFont="1" applyBorder="1" applyAlignment="1">
      <alignment horizontal="center"/>
    </xf>
    <xf numFmtId="10" fontId="0" fillId="57" borderId="98" xfId="0" applyNumberFormat="1" applyFill="1" applyBorder="1" applyAlignment="1">
      <alignment horizontal="center"/>
    </xf>
    <xf numFmtId="0" fontId="0" fillId="0" borderId="99" xfId="0" applyBorder="1"/>
    <xf numFmtId="40" fontId="28" fillId="36" borderId="100" xfId="1" applyNumberFormat="1" applyFont="1" applyFill="1" applyBorder="1" applyAlignment="1">
      <alignment horizontal="right"/>
    </xf>
    <xf numFmtId="40" fontId="28" fillId="36" borderId="101" xfId="1" applyNumberFormat="1" applyFont="1" applyFill="1" applyBorder="1" applyAlignment="1">
      <alignment horizontal="right"/>
    </xf>
    <xf numFmtId="0" fontId="0" fillId="0" borderId="102" xfId="0" applyBorder="1"/>
    <xf numFmtId="40" fontId="28" fillId="36" borderId="103" xfId="1" applyNumberFormat="1" applyFont="1" applyFill="1" applyBorder="1" applyAlignment="1">
      <alignment horizontal="left"/>
    </xf>
    <xf numFmtId="40" fontId="28" fillId="36" borderId="104" xfId="1" applyNumberFormat="1" applyFont="1" applyFill="1" applyBorder="1" applyAlignment="1">
      <alignment horizontal="right"/>
    </xf>
    <xf numFmtId="10" fontId="5" fillId="0" borderId="105" xfId="0" applyNumberFormat="1" applyFont="1" applyBorder="1" applyAlignment="1">
      <alignment horizontal="center"/>
    </xf>
    <xf numFmtId="9" fontId="58" fillId="0" borderId="0" xfId="2" applyFont="1" applyAlignment="1">
      <alignment horizontal="center"/>
    </xf>
    <xf numFmtId="167" fontId="0" fillId="38" borderId="0" xfId="1" applyNumberFormat="1" applyFont="1" applyFill="1" applyAlignment="1">
      <alignment horizontal="center"/>
    </xf>
    <xf numFmtId="9" fontId="0" fillId="0" borderId="0" xfId="1" applyNumberFormat="1" applyFont="1"/>
    <xf numFmtId="9" fontId="42" fillId="19" borderId="0" xfId="2" applyFont="1" applyFill="1"/>
    <xf numFmtId="3" fontId="27" fillId="84" borderId="13" xfId="2" applyNumberFormat="1" applyFont="1" applyFill="1" applyBorder="1" applyAlignment="1">
      <alignment horizontal="center"/>
    </xf>
    <xf numFmtId="1" fontId="27" fillId="33" borderId="13" xfId="2" applyNumberFormat="1" applyFont="1" applyFill="1" applyBorder="1" applyAlignment="1">
      <alignment horizontal="center"/>
    </xf>
    <xf numFmtId="179" fontId="0" fillId="84" borderId="0" xfId="1" applyNumberFormat="1" applyFont="1" applyFill="1" applyAlignment="1">
      <alignment horizontal="center"/>
    </xf>
    <xf numFmtId="192" fontId="0" fillId="0" borderId="0" xfId="0" applyNumberFormat="1"/>
    <xf numFmtId="38" fontId="28" fillId="18" borderId="82" xfId="0" applyNumberFormat="1" applyFont="1" applyFill="1" applyBorder="1"/>
    <xf numFmtId="9" fontId="58" fillId="36" borderId="0" xfId="2" applyFont="1" applyFill="1" applyBorder="1" applyAlignment="1">
      <alignment horizontal="center" vertical="center"/>
    </xf>
    <xf numFmtId="9" fontId="58" fillId="36" borderId="0" xfId="2" applyFont="1" applyFill="1" applyBorder="1" applyAlignment="1">
      <alignment horizontal="center"/>
    </xf>
    <xf numFmtId="43" fontId="0" fillId="0" borderId="0" xfId="0" applyNumberFormat="1" applyProtection="1">
      <protection locked="0"/>
    </xf>
    <xf numFmtId="9" fontId="62" fillId="63" borderId="79" xfId="2" applyFont="1" applyFill="1" applyBorder="1" applyAlignment="1">
      <alignment horizontal="center" vertical="center"/>
    </xf>
    <xf numFmtId="9" fontId="148" fillId="62" borderId="16" xfId="0" applyNumberFormat="1" applyFont="1" applyFill="1" applyBorder="1" applyAlignment="1">
      <alignment horizontal="center" vertical="center"/>
    </xf>
    <xf numFmtId="9" fontId="32" fillId="50" borderId="79" xfId="2" applyFont="1" applyFill="1" applyBorder="1" applyAlignment="1">
      <alignment horizontal="center" vertical="center"/>
    </xf>
    <xf numFmtId="0" fontId="17" fillId="21" borderId="18" xfId="0" applyFont="1" applyFill="1" applyBorder="1" applyAlignment="1">
      <alignment horizontal="center"/>
    </xf>
    <xf numFmtId="0" fontId="5" fillId="6" borderId="0" xfId="0" applyFont="1" applyFill="1" applyAlignment="1">
      <alignment horizontal="center"/>
    </xf>
    <xf numFmtId="170" fontId="0" fillId="36" borderId="22" xfId="1" applyNumberFormat="1" applyFont="1" applyFill="1" applyBorder="1"/>
    <xf numFmtId="0" fontId="138" fillId="75" borderId="3" xfId="0" applyFont="1" applyFill="1" applyBorder="1" applyAlignment="1">
      <alignment horizontal="center" vertical="center"/>
    </xf>
    <xf numFmtId="0" fontId="138" fillId="75" borderId="4" xfId="0" applyFont="1" applyFill="1" applyBorder="1" applyAlignment="1">
      <alignment horizontal="center" vertical="center"/>
    </xf>
    <xf numFmtId="0" fontId="138" fillId="5" borderId="3" xfId="0" applyFont="1" applyFill="1" applyBorder="1" applyAlignment="1">
      <alignment horizontal="center" vertical="center"/>
    </xf>
    <xf numFmtId="0" fontId="138" fillId="5" borderId="4" xfId="0" applyFont="1" applyFill="1" applyBorder="1" applyAlignment="1">
      <alignment horizontal="center" vertical="center"/>
    </xf>
    <xf numFmtId="0" fontId="95" fillId="0" borderId="0" xfId="0" applyFont="1" applyAlignment="1">
      <alignment horizontal="center"/>
    </xf>
    <xf numFmtId="49" fontId="120" fillId="33" borderId="76" xfId="2" applyNumberFormat="1" applyFont="1" applyFill="1" applyBorder="1" applyAlignment="1">
      <alignment horizontal="center" vertical="center" wrapText="1"/>
    </xf>
    <xf numFmtId="49" fontId="120" fillId="33" borderId="68" xfId="2" applyNumberFormat="1" applyFont="1" applyFill="1" applyBorder="1" applyAlignment="1">
      <alignment horizontal="center" vertical="center" wrapText="1"/>
    </xf>
    <xf numFmtId="49" fontId="120" fillId="33" borderId="66" xfId="2" applyNumberFormat="1" applyFont="1" applyFill="1" applyBorder="1" applyAlignment="1">
      <alignment horizontal="center" vertical="center" wrapText="1"/>
    </xf>
    <xf numFmtId="49" fontId="123" fillId="33" borderId="57" xfId="0" applyNumberFormat="1" applyFont="1" applyFill="1" applyBorder="1" applyAlignment="1">
      <alignment horizontal="center" vertical="center" wrapText="1"/>
    </xf>
    <xf numFmtId="49" fontId="123" fillId="33" borderId="63" xfId="0" applyNumberFormat="1" applyFont="1" applyFill="1" applyBorder="1" applyAlignment="1">
      <alignment horizontal="center" vertical="center" wrapText="1"/>
    </xf>
    <xf numFmtId="49" fontId="123" fillId="33" borderId="73" xfId="0" applyNumberFormat="1" applyFont="1" applyFill="1" applyBorder="1" applyAlignment="1">
      <alignment horizontal="center" vertical="center" wrapText="1"/>
    </xf>
    <xf numFmtId="49" fontId="127" fillId="32" borderId="7" xfId="0" applyNumberFormat="1" applyFont="1" applyFill="1" applyBorder="1" applyAlignment="1">
      <alignment horizontal="center" vertical="center" wrapText="1"/>
    </xf>
    <xf numFmtId="49" fontId="127" fillId="32" borderId="0" xfId="0" applyNumberFormat="1" applyFont="1" applyFill="1" applyAlignment="1">
      <alignment horizontal="center" vertical="center" wrapText="1"/>
    </xf>
    <xf numFmtId="2" fontId="131" fillId="63" borderId="0" xfId="0" applyNumberFormat="1" applyFont="1" applyFill="1" applyAlignment="1">
      <alignment horizontal="center" vertical="center" wrapText="1"/>
    </xf>
    <xf numFmtId="0" fontId="117" fillId="33" borderId="0" xfId="0" applyFont="1" applyFill="1" applyAlignment="1">
      <alignment horizontal="center" vertical="center" wrapText="1"/>
    </xf>
    <xf numFmtId="2" fontId="106" fillId="33" borderId="14" xfId="0" applyNumberFormat="1" applyFont="1" applyFill="1" applyBorder="1" applyAlignment="1">
      <alignment horizontal="center" vertical="center" wrapText="1"/>
    </xf>
    <xf numFmtId="2" fontId="106" fillId="33" borderId="15" xfId="0" applyNumberFormat="1" applyFont="1" applyFill="1" applyBorder="1" applyAlignment="1">
      <alignment horizontal="center" vertical="center" wrapText="1"/>
    </xf>
    <xf numFmtId="49" fontId="122" fillId="7" borderId="77" xfId="0" applyNumberFormat="1" applyFont="1" applyFill="1" applyBorder="1" applyAlignment="1">
      <alignment horizontal="center" vertical="center" wrapText="1"/>
    </xf>
    <xf numFmtId="49" fontId="122" fillId="7" borderId="60" xfId="0" applyNumberFormat="1" applyFont="1" applyFill="1" applyBorder="1" applyAlignment="1">
      <alignment horizontal="center" vertical="center" wrapText="1"/>
    </xf>
    <xf numFmtId="0" fontId="158" fillId="67" borderId="14" xfId="0" applyFont="1" applyFill="1" applyBorder="1" applyAlignment="1">
      <alignment horizontal="center"/>
    </xf>
    <xf numFmtId="0" fontId="158" fillId="67" borderId="12" xfId="0" applyFont="1" applyFill="1" applyBorder="1" applyAlignment="1">
      <alignment horizontal="center"/>
    </xf>
    <xf numFmtId="0" fontId="158" fillId="67" borderId="15" xfId="0" applyFont="1" applyFill="1" applyBorder="1" applyAlignment="1">
      <alignment horizontal="center"/>
    </xf>
  </cellXfs>
  <cellStyles count="10">
    <cellStyle name="Accent1" xfId="8" builtinId="29"/>
    <cellStyle name="Bad" xfId="3" builtinId="27"/>
    <cellStyle name="Calculation" xfId="5" builtinId="22"/>
    <cellStyle name="Comma" xfId="1" builtinId="3"/>
    <cellStyle name="Currency" xfId="9" builtinId="4"/>
    <cellStyle name="Good" xfId="6" builtinId="26"/>
    <cellStyle name="Input" xfId="7" builtinId="20"/>
    <cellStyle name="Neutral" xfId="4" builtinId="28"/>
    <cellStyle name="Normal" xfId="0" builtinId="0"/>
    <cellStyle name="Percent" xfId="2" builtinId="5"/>
  </cellStyles>
  <dxfs count="2404">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 formatCode="#,##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border outline="0">
        <bottom style="thin">
          <color rgb="FF44B3E1"/>
        </bottom>
      </border>
    </dxf>
    <dxf>
      <numFmt numFmtId="164" formatCode="0.00_);[Red]\(0.00\)"/>
      <fill>
        <patternFill patternType="solid">
          <fgColor indexed="64"/>
          <bgColor theme="7" tint="0.59999389629810485"/>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border diagonalUp="0" diagonalDown="0">
        <left/>
        <right/>
        <top style="thin">
          <color theme="4" tint="0.39997558519241921"/>
        </top>
        <bottom/>
        <vertical/>
        <horizontal/>
      </border>
    </dxf>
    <dxf>
      <font>
        <b val="0"/>
        <i val="0"/>
        <strike val="0"/>
        <condense val="0"/>
        <extend val="0"/>
        <outline val="0"/>
        <shadow val="0"/>
        <u val="none"/>
        <vertAlign val="baseline"/>
        <sz val="16"/>
        <color theme="0" tint="-0.14999847407452621"/>
        <name val="Aptos Narrow"/>
        <family val="2"/>
        <scheme val="minor"/>
      </font>
      <numFmt numFmtId="3" formatCode="#,##0"/>
      <border diagonalUp="0" diagonalDown="0" outline="0">
        <left/>
        <right/>
        <top style="thin">
          <color theme="4" tint="0.39997558519241921"/>
        </top>
        <bottom/>
      </border>
    </dxf>
    <dxf>
      <font>
        <b val="0"/>
        <i val="0"/>
        <strike val="0"/>
        <condense val="0"/>
        <extend val="0"/>
        <outline val="0"/>
        <shadow val="0"/>
        <u val="none"/>
        <vertAlign val="baseline"/>
        <sz val="16"/>
        <color theme="0" tint="-0.14999847407452621"/>
        <name val="Aptos Narrow"/>
        <family val="2"/>
        <scheme val="minor"/>
      </font>
      <border diagonalUp="0" diagonalDown="0">
        <left/>
        <right/>
        <top style="thin">
          <color theme="4" tint="0.39997558519241921"/>
        </top>
        <bottom/>
        <vertical/>
        <horizontal/>
      </border>
    </dxf>
    <dxf>
      <numFmt numFmtId="3" formatCode="#,##0"/>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5"/>
        <name val="Aptos Narrow"/>
        <family val="2"/>
        <scheme val="minor"/>
      </font>
      <fill>
        <patternFill patternType="solid">
          <fgColor indexed="64"/>
          <bgColor theme="0" tint="-0.14999847407452621"/>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numFmt numFmtId="172" formatCode="0.0%"/>
    </dxf>
    <dxf>
      <numFmt numFmtId="6" formatCode="#,##0_);[Red]\(#,##0\)"/>
      <fill>
        <patternFill patternType="solid">
          <fgColor indexed="64"/>
          <bgColor theme="5" tint="0.79998168889431442"/>
        </patternFill>
      </fill>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family val="2"/>
        <scheme val="minor"/>
      </font>
      <numFmt numFmtId="172" formatCode="0.0%"/>
      <alignment horizontal="center" vertical="bottom" textRotation="0" wrapText="0" indent="0" justifyLastLine="0" shrinkToFit="0" readingOrder="0"/>
    </dxf>
    <dxf>
      <numFmt numFmtId="172" formatCode="0.0%"/>
    </dxf>
    <dxf>
      <font>
        <b/>
        <i val="0"/>
        <strike val="0"/>
        <condense val="0"/>
        <extend val="0"/>
        <outline val="0"/>
        <shadow val="0"/>
        <u val="none"/>
        <vertAlign val="baseline"/>
        <sz val="16"/>
        <color theme="1"/>
        <name val="Aptos Narrow"/>
        <family val="2"/>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family val="2"/>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font>
      <numFmt numFmtId="172" formatCode="0.0%"/>
    </dxf>
    <dxf>
      <numFmt numFmtId="172" formatCode="0.0%"/>
    </dxf>
    <dxf>
      <font>
        <b/>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font>
      <numFmt numFmtId="172" formatCode="0.0%"/>
      <alignment horizontal="center" vertical="bottom" textRotation="0" wrapText="0" indent="0" justifyLastLine="0" shrinkToFit="0" readingOrder="0"/>
    </dxf>
    <dxf>
      <numFmt numFmtId="172" formatCode="0.0%"/>
    </dxf>
    <dxf>
      <font>
        <b/>
        <i val="0"/>
        <strike val="0"/>
        <condense val="0"/>
        <extend val="0"/>
        <outline val="0"/>
        <shadow val="0"/>
        <u val="none"/>
        <vertAlign val="baseline"/>
        <sz val="16"/>
        <color theme="1"/>
        <name val="Aptos Narrow"/>
        <family val="2"/>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14" formatCode="0.0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righ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ill>
        <patternFill>
          <bgColor theme="4" tint="0.39994506668294322"/>
        </patternFill>
      </fill>
      <border>
        <left style="thin">
          <color rgb="FF9C0006"/>
        </left>
        <right style="thin">
          <color rgb="FF9C0006"/>
        </right>
        <top style="thin">
          <color rgb="FF9C0006"/>
        </top>
        <bottom style="thin">
          <color rgb="FF9C0006"/>
        </bottom>
      </border>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numFmt numFmtId="0" formatCode="General"/>
    </dxf>
    <dxf>
      <numFmt numFmtId="19" formatCode="m/d/yy"/>
    </dxf>
    <dxf>
      <numFmt numFmtId="8" formatCode="#,##0.00_);[Red]\(#,##0.00\)"/>
    </dxf>
    <dxf>
      <numFmt numFmtId="13" formatCode="0%"/>
    </dxf>
    <dxf>
      <numFmt numFmtId="6" formatCode="#,##0_);[Red]\(#,##0\)"/>
    </dxf>
    <dxf>
      <numFmt numFmtId="13" formatCode="0%"/>
    </dxf>
    <dxf>
      <numFmt numFmtId="19" formatCode="m/d/yy"/>
    </dxf>
    <dxf>
      <numFmt numFmtId="8" formatCode="#,##0.00_);[Red]\(#,##0.00\)"/>
    </dxf>
    <dxf>
      <numFmt numFmtId="6" formatCode="#,##0_);[Red]\(#,##0\)"/>
    </dxf>
    <dxf>
      <numFmt numFmtId="13" formatCode="0%"/>
      <alignment horizontal="center" vertical="bottom" textRotation="0" wrapText="0" indent="0" justifyLastLine="0" shrinkToFit="0" readingOrder="0"/>
    </dxf>
    <dxf>
      <numFmt numFmtId="177" formatCode="0.0%;[Red]\-0.0%"/>
    </dxf>
    <dxf>
      <font>
        <b val="0"/>
        <i val="0"/>
        <strike val="0"/>
        <condense val="0"/>
        <extend val="0"/>
        <outline val="0"/>
        <shadow val="0"/>
        <u val="none"/>
        <vertAlign val="baseline"/>
        <sz val="16"/>
        <color rgb="FF000000"/>
        <name val="Calibri"/>
        <family val="2"/>
        <scheme val="none"/>
      </font>
      <fill>
        <patternFill patternType="solid">
          <fgColor rgb="FFD9E1F2"/>
          <bgColor rgb="FFD9E1F2"/>
        </patternFill>
      </fill>
      <border diagonalUp="0" diagonalDown="0" outline="0">
        <left/>
        <right/>
        <top style="thin">
          <color rgb="FF8EA9DB"/>
        </top>
        <bottom style="thin">
          <color rgb="FF8EA9DB"/>
        </bottom>
      </border>
    </dxf>
    <dxf>
      <font>
        <b val="0"/>
        <i val="0"/>
        <strike val="0"/>
        <condense val="0"/>
        <extend val="0"/>
        <outline val="0"/>
        <shadow val="0"/>
        <u val="none"/>
        <vertAlign val="baseline"/>
        <sz val="16"/>
        <color rgb="FF000000"/>
        <name val="Calibri"/>
        <family val="2"/>
        <scheme val="none"/>
      </font>
      <numFmt numFmtId="184" formatCode="[$-409]d\-mmm\-yy;@"/>
      <fill>
        <patternFill patternType="solid">
          <fgColor rgb="FF000000"/>
          <bgColor rgb="FFFFFF00"/>
        </patternFill>
      </fill>
      <alignment horizontal="center" vertical="bottom" textRotation="0" wrapText="0" indent="0" justifyLastLine="0" shrinkToFit="0" readingOrder="0"/>
      <border diagonalUp="0" diagonalDown="0">
        <left style="medium">
          <color indexed="64"/>
        </left>
        <right style="medium">
          <color indexed="64"/>
        </right>
        <top/>
        <bottom style="medium">
          <color indexed="64"/>
        </bottom>
        <vertical/>
        <horizontal/>
      </border>
    </dxf>
    <dxf>
      <font>
        <b val="0"/>
        <i val="0"/>
        <strike val="0"/>
        <condense val="0"/>
        <extend val="0"/>
        <outline val="0"/>
        <shadow val="0"/>
        <u val="none"/>
        <vertAlign val="baseline"/>
        <sz val="16"/>
        <color rgb="FF000000"/>
        <name val="Calibri"/>
        <family val="2"/>
        <scheme val="none"/>
      </font>
      <numFmt numFmtId="164" formatCode="0.00_);[Red]\(0.00\)"/>
      <fill>
        <patternFill patternType="solid">
          <fgColor rgb="FFD9E1F2"/>
          <bgColor rgb="FFD9E1F2"/>
        </patternFill>
      </fill>
      <border diagonalUp="0" diagonalDown="0">
        <left/>
        <right/>
        <top style="thin">
          <color rgb="FF8EA9DB"/>
        </top>
        <bottom style="thin">
          <color rgb="FF8EA9DB"/>
        </bottom>
        <vertical/>
        <horizontal/>
      </border>
    </dxf>
    <dxf>
      <border outline="0">
        <left style="thin">
          <color rgb="FF8EA9DB"/>
        </left>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numFmt numFmtId="168" formatCode="&quot;$&quot;#,##0.00;[Red]&quot;$&quot;#,##0.00"/>
    </dxf>
    <dxf>
      <numFmt numFmtId="167" formatCode="_(* #,##0_);_(* \(#,##0\);_(* &quot;-&quot;??_);_(@_)"/>
    </dxf>
    <dxf>
      <numFmt numFmtId="164" formatCode="0.00_);[Red]\(0.00\)"/>
    </dxf>
    <dxf>
      <alignment horizontal="center" vertical="bottom" textRotation="0" wrapText="0" indent="0" justifyLastLine="0" shrinkToFit="0" readingOrder="0"/>
    </dxf>
    <dxf>
      <alignment horizontal="right" vertical="bottom" textRotation="0" wrapText="0" indent="0" justifyLastLine="0" shrinkToFit="0" readingOrder="0"/>
    </dxf>
    <dxf>
      <numFmt numFmtId="172" formatCode="0.0%"/>
    </dxf>
    <dxf>
      <numFmt numFmtId="13" formatCode="0%"/>
      <alignment horizontal="right" vertical="bottom" textRotation="0" wrapText="0" indent="0" justifyLastLine="0" shrinkToFit="0" readingOrder="0"/>
    </dxf>
    <dxf>
      <numFmt numFmtId="172" formatCode="0.0%"/>
    </dxf>
    <dxf>
      <numFmt numFmtId="13" formatCode="0%"/>
      <alignment horizontal="right" vertical="bottom" textRotation="0" wrapText="0" indent="0" justifyLastLine="0" shrinkToFit="0" readingOrder="0"/>
    </dxf>
    <dxf>
      <numFmt numFmtId="13" formatCode="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font>
        <color rgb="FF000000"/>
      </font>
      <numFmt numFmtId="6" formatCode="#,##0_);[Red]\(#,##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border diagonalUp="0" diagonalDown="0">
        <left/>
        <right style="medium">
          <color indexed="64"/>
        </right>
        <top/>
        <bottom/>
        <vertical/>
        <horizontal/>
      </border>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right/>
        <top/>
        <bottom style="medium">
          <color indexed="64"/>
        </bottom>
        <vertical/>
        <horizontal/>
      </border>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font>
      <numFmt numFmtId="6" formatCode="#,##0_);[Red]\(#,##0\)"/>
      <alignment horizontal="center"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right style="medium">
          <color indexed="64"/>
        </right>
        <top/>
        <bottom/>
        <vertical/>
        <horizontal/>
      </border>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numFmt numFmtId="167" formatCode="_(* #,##0_);_(* \(#,##0\);_(* &quot;-&quot;??_);_(@_)"/>
    </dxf>
    <dxf>
      <numFmt numFmtId="13" formatCode="0%"/>
    </dxf>
    <dxf>
      <numFmt numFmtId="13" formatCode="0%"/>
    </dxf>
    <dxf>
      <numFmt numFmtId="3" formatCode="#,##0"/>
    </dxf>
    <dxf>
      <numFmt numFmtId="181" formatCode="0.0_);[Red]\(0.0\)"/>
    </dxf>
    <dxf>
      <numFmt numFmtId="181" formatCode="0.0_);[Red]\(0.0\)"/>
    </dxf>
    <dxf>
      <numFmt numFmtId="3" formatCode="#,##0"/>
    </dxf>
    <dxf>
      <numFmt numFmtId="3" formatCode="#,##0"/>
    </dxf>
    <dxf>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numFmt numFmtId="179" formatCode="0%;[Red]\-0%"/>
      <alignment horizontal="right" vertical="bottom"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6"/>
        <color theme="1"/>
        <name val="Aptos Narrow"/>
        <family val="2"/>
        <scheme val="minor"/>
      </font>
      <numFmt numFmtId="179" formatCode="0%;[Red]\-0%"/>
      <alignment horizontal="right" vertical="bottom" textRotation="0" wrapText="0" indent="0" justifyLastLine="0" shrinkToFit="0" readingOrder="0"/>
      <border diagonalUp="0" diagonalDown="0">
        <left/>
        <right style="medium">
          <color indexed="64"/>
        </right>
        <vertical/>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border diagonalUp="0" diagonalDown="0" outline="0">
        <left style="medium">
          <color indexed="64"/>
        </left>
        <right/>
        <top/>
        <bottom style="medium">
          <color indexed="64"/>
        </bottom>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style="medium">
          <color indexed="64"/>
        </left>
        <right/>
        <top/>
        <bottom/>
      </border>
    </dxf>
    <dxf>
      <numFmt numFmtId="170" formatCode="[$-409]d\-mmm;@"/>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right" vertical="bottom" textRotation="0" wrapText="0" indent="0" justifyLastLine="0" shrinkToFit="0" readingOrder="0"/>
      <border outline="0">
        <left style="medium">
          <color indexed="64"/>
        </left>
      </border>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2"/>
        <color theme="1"/>
        <name val="Calibri"/>
        <family val="2"/>
        <scheme val="none"/>
      </font>
      <numFmt numFmtId="6" formatCode="#,##0_);[Red]\(#,##0\)"/>
      <fill>
        <patternFill patternType="solid">
          <fgColor rgb="FFD9E1F2"/>
          <bgColor rgb="FFD9E1F2"/>
        </patternFill>
      </fill>
      <alignment horizontal="center" vertical="bottom" textRotation="0" wrapText="0" indent="0" justifyLastLine="0" shrinkToFit="0" readingOrder="0"/>
      <border diagonalUp="0" diagonalDown="0" outline="0">
        <left/>
        <right style="medium">
          <color indexed="64"/>
        </right>
        <top/>
        <bottom/>
      </border>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fill>
        <patternFill patternType="none">
          <fgColor indexed="64"/>
          <bgColor auto="1"/>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177" formatCode="0.0%;[Red]\-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FFFF00"/>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color theme="0"/>
        <name val="Calibri"/>
        <family val="2"/>
        <scheme val="none"/>
      </font>
      <numFmt numFmtId="8" formatCode="#,##0.00_);[Red]\(#,##0.00\)"/>
      <fill>
        <patternFill patternType="solid">
          <fgColor rgb="FFD9E1F2"/>
          <bgColor rgb="FFD9E1F2"/>
        </patternFill>
      </fill>
      <alignment horizontal="center" vertical="bottom" textRotation="0" wrapText="0" indent="0" justifyLastLine="0" shrinkToFit="0" readingOrder="0"/>
      <border diagonalUp="0" diagonalDown="0">
        <left/>
        <right style="medium">
          <color indexed="64"/>
        </right>
        <top/>
        <bottom/>
        <vertical/>
        <horizontal/>
      </border>
    </dxf>
    <dxf>
      <font>
        <strike val="0"/>
        <outline val="0"/>
        <shadow val="0"/>
        <u val="none"/>
        <vertAlign val="baseline"/>
        <sz val="16"/>
        <color theme="0"/>
        <name val="Aptos Narrow"/>
        <family val="2"/>
        <scheme val="minor"/>
      </font>
      <numFmt numFmtId="3" formatCode="#,##0"/>
      <fill>
        <patternFill patternType="solid">
          <fgColor indexed="64"/>
          <bgColor theme="1"/>
        </patternFill>
      </fill>
      <alignment horizontal="center" vertical="bottom" textRotation="0" wrapText="0" indent="0" justifyLastLine="0" shrinkToFit="0" readingOrder="0"/>
    </dxf>
    <dxf>
      <numFmt numFmtId="3" formatCode="#,##0"/>
    </dxf>
    <dxf>
      <numFmt numFmtId="3" formatCode="#,##0"/>
    </dxf>
    <dxf>
      <numFmt numFmtId="3" formatCode="#,##0"/>
    </dxf>
    <dxf>
      <numFmt numFmtId="171" formatCode="#,##0;[Red]#,##0"/>
    </dxf>
    <dxf>
      <font>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numFmt numFmtId="3" formatCode="#,##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alignment horizontal="center" vertical="bottom" textRotation="0" wrapText="0" indent="0" justifyLastLine="0" shrinkToFit="0" readingOrder="0"/>
    </dxf>
    <dxf>
      <font>
        <color rgb="FF9C0006"/>
      </font>
      <fill>
        <patternFill>
          <bgColor rgb="FFFFC7CE"/>
        </patternFill>
      </fill>
    </dxf>
    <dxf>
      <font>
        <color rgb="FF9C0006"/>
      </font>
      <fill>
        <patternFill>
          <bgColor rgb="FFFFC7CE"/>
        </patternFill>
      </fill>
    </dxf>
    <dxf>
      <font>
        <u val="none"/>
        <color rgb="FF00B050"/>
      </font>
    </dxf>
    <dxf>
      <font>
        <u val="double"/>
        <color rgb="FF00B050"/>
      </font>
    </dxf>
    <dxf>
      <font>
        <color rgb="FF006100"/>
      </font>
      <fill>
        <patternFill>
          <bgColor rgb="FFC6EFCE"/>
        </patternFill>
      </fill>
    </dxf>
    <dxf>
      <font>
        <color rgb="FF9C0006"/>
      </font>
      <fill>
        <patternFill>
          <bgColor rgb="FFFFC7CE"/>
        </patternFill>
      </fill>
    </dxf>
    <dxf>
      <font>
        <u val="double"/>
        <color rgb="FF00B050"/>
      </font>
    </dxf>
    <dxf>
      <font>
        <color rgb="FF006100"/>
      </font>
      <fill>
        <patternFill>
          <bgColor rgb="FFC6EFCE"/>
        </patternFill>
      </fill>
    </dxf>
    <dxf>
      <font>
        <color rgb="FF9C0006"/>
      </font>
      <fill>
        <patternFill>
          <bgColor rgb="FFFFC7CE"/>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FF0000"/>
      </font>
    </dxf>
    <dxf>
      <fill>
        <patternFill>
          <bgColor theme="1"/>
        </patternFill>
      </fill>
    </dxf>
    <dxf>
      <font>
        <color theme="4" tint="0.39994506668294322"/>
      </font>
      <fill>
        <patternFill patternType="gray0625">
          <bgColor theme="0" tint="-0.14993743705557422"/>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color rgb="FF9C5700"/>
      </font>
      <fill>
        <patternFill>
          <bgColor rgb="FFFFEB9C"/>
        </patternFill>
      </fill>
    </dxf>
    <dxf>
      <font>
        <color rgb="FF00B050"/>
      </font>
    </dxf>
    <dxf>
      <font>
        <u val="double"/>
        <color rgb="FF00B050"/>
      </font>
    </dxf>
    <dxf>
      <font>
        <color rgb="FF006100"/>
      </font>
      <fill>
        <patternFill>
          <bgColor rgb="FFC6EFCE"/>
        </patternFill>
      </fill>
    </dxf>
    <dxf>
      <fill>
        <patternFill>
          <bgColor rgb="FF00B0F0"/>
        </patternFill>
      </fill>
    </dxf>
    <dxf>
      <font>
        <u val="double"/>
        <color theme="0"/>
      </font>
      <fill>
        <patternFill>
          <bgColor rgb="FF00B05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numFmt numFmtId="3" formatCode="#,##0"/>
    </dxf>
    <dxf>
      <font>
        <b val="0"/>
        <i val="0"/>
        <strike val="0"/>
        <condense val="0"/>
        <extend val="0"/>
        <outline val="0"/>
        <shadow val="0"/>
        <u val="none"/>
        <vertAlign val="baseline"/>
        <sz val="12"/>
        <color theme="1"/>
        <name val="Aptos Narrow"/>
        <family val="2"/>
        <scheme val="minor"/>
      </font>
      <numFmt numFmtId="1" formatCode="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ill>
        <patternFill patternType="solid">
          <fgColor indexed="64"/>
          <bgColor theme="5" tint="0.79998168889431442"/>
        </patternFill>
      </fill>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numFmt numFmtId="172" formatCode="0.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Aptos Narrow"/>
        <scheme val="minor"/>
      </font>
      <numFmt numFmtId="13" formatCode="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right"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none">
          <fgColor indexed="64"/>
          <bgColor auto="1"/>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00B05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alignment horizontal="center" vertical="bottom" textRotation="0" wrapText="0" indent="0" justifyLastLine="0" shrinkToFit="0" readingOrder="0"/>
    </dxf>
    <dxf>
      <font>
        <b/>
        <color rgb="FF00B050"/>
      </font>
      <numFmt numFmtId="35" formatCode="_(* #,##0.00_);_(* \(#,##0.00\);_(* &quot;-&quot;??_);_(@_)"/>
      <fill>
        <patternFill patternType="solid">
          <fgColor indexed="64"/>
          <bgColor theme="8"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fill>
        <patternFill patternType="solid">
          <fgColor indexed="64"/>
          <bgColor theme="3" tint="0.249977111117893"/>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theme="1"/>
        </patternFill>
      </fill>
      <alignment horizontal="center" vertical="center" textRotation="0" wrapText="0" indent="0" justifyLastLine="0" shrinkToFit="0" readingOrder="0"/>
    </dxf>
    <dxf>
      <font>
        <b/>
        <i val="0"/>
        <strike val="0"/>
        <condense val="0"/>
        <extend val="0"/>
        <outline val="0"/>
        <shadow val="0"/>
        <u val="none"/>
        <vertAlign val="baseline"/>
        <sz val="20"/>
        <color theme="1"/>
        <name val="Aptos Narrow"/>
        <scheme val="minor"/>
      </font>
      <fill>
        <patternFill patternType="solid">
          <fgColor indexed="64"/>
          <bgColor theme="4" tint="0.39997558519241921"/>
        </patternFill>
      </fill>
      <alignment horizontal="center" vertical="bottom" textRotation="0" wrapText="0" indent="0" justifyLastLine="0" shrinkToFit="0" readingOrder="0"/>
      <border diagonalUp="0" diagonalDown="0" outline="0">
        <left style="medium">
          <color indexed="64"/>
        </left>
        <right/>
        <top/>
        <bottom style="medium">
          <color indexed="64"/>
        </bottom>
      </border>
    </dxf>
    <dxf>
      <font>
        <b/>
      </font>
      <numFmt numFmtId="8" formatCode="#,##0.00_);[Red]\(#,##0.00\)"/>
      <fill>
        <patternFill patternType="none">
          <fgColor indexed="64"/>
          <bgColor theme="4" tint="0.39997558519241921"/>
        </patternFill>
      </fill>
      <alignment horizontal="center" vertical="bottom" textRotation="0" wrapText="0" indent="0" justifyLastLine="0" shrinkToFit="0" readingOrder="0"/>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left style="medium">
          <color indexed="64"/>
        </left>
        <right/>
        <top/>
        <bottom/>
      </border>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ill>
        <patternFill>
          <bgColor theme="9" tint="0.39994506668294322"/>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patternType="lightUp"/>
      </fill>
    </dxf>
    <dxf>
      <font>
        <color rgb="FF9C0006"/>
      </font>
      <fill>
        <patternFill>
          <bgColor rgb="FFFFC7CE"/>
        </patternFill>
      </fill>
    </dxf>
    <dxf>
      <font>
        <color theme="4" tint="0.39994506668294322"/>
      </font>
    </dxf>
    <dxf>
      <font>
        <color rgb="FF006100"/>
      </font>
      <fill>
        <patternFill>
          <bgColor rgb="FFC6EFCE"/>
        </patternFill>
      </fill>
    </dxf>
    <dxf>
      <font>
        <color theme="0"/>
      </font>
      <fill>
        <patternFill>
          <bgColor rgb="FFC00000"/>
        </patternFill>
      </fill>
    </dxf>
    <dxf>
      <fill>
        <patternFill>
          <bgColor theme="7"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2" tint="-0.24994659260841701"/>
      </font>
    </dxf>
    <dxf>
      <font>
        <color rgb="FF9C0006"/>
      </font>
      <fill>
        <patternFill>
          <bgColor rgb="FFFFC7CE"/>
        </patternFill>
      </fill>
    </dxf>
    <dxf>
      <font>
        <u val="double"/>
        <color rgb="FF9C0006"/>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theme="7" tint="-0.24994659260841701"/>
      </font>
      <fill>
        <patternFill>
          <bgColor theme="6" tint="0.5999633777886288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numFmt numFmtId="3" formatCode="#,##0"/>
      <border diagonalUp="0" diagonalDown="0" outline="0">
        <left/>
        <right/>
        <top style="thin">
          <color theme="4" tint="0.39997558519241921"/>
        </top>
        <bottom/>
      </border>
    </dxf>
    <dxf>
      <font>
        <b val="0"/>
      </font>
      <numFmt numFmtId="3" formatCode="#,##0"/>
      <border diagonalUp="0" diagonalDown="0">
        <left/>
        <right/>
        <top style="thin">
          <color theme="4" tint="0.39997558519241921"/>
        </top>
        <bottom/>
        <vertical/>
        <horizontal/>
      </border>
    </dxf>
    <dxf>
      <numFmt numFmtId="3" formatCode="#,##0"/>
      <border diagonalUp="0" diagonalDown="0" outline="0">
        <left/>
        <right/>
        <top style="thin">
          <color theme="4" tint="0.39997558519241921"/>
        </top>
        <bottom/>
      </border>
    </dxf>
    <dxf>
      <font>
        <b val="0"/>
      </font>
      <numFmt numFmtId="3" formatCode="#,##0"/>
      <border diagonalUp="0" diagonalDown="0">
        <left/>
        <right/>
        <top style="thin">
          <color theme="4" tint="0.39997558519241921"/>
        </top>
        <bottom/>
        <vertical/>
        <horizontal/>
      </border>
    </dxf>
    <dxf>
      <numFmt numFmtId="3" formatCode="#,##0"/>
      <border diagonalUp="0" diagonalDown="0" outline="0">
        <left/>
        <right/>
        <top style="thin">
          <color theme="4" tint="0.39997558519241921"/>
        </top>
        <bottom/>
      </border>
    </dxf>
    <dxf>
      <font>
        <b val="0"/>
      </font>
      <numFmt numFmtId="3" formatCode="#,##0"/>
      <border diagonalUp="0" diagonalDown="0">
        <left/>
        <right/>
        <top style="thin">
          <color theme="4" tint="0.39997558519241921"/>
        </top>
        <bottom/>
        <vertical/>
        <horizontal/>
      </border>
    </dxf>
    <dxf>
      <numFmt numFmtId="3" formatCode="#,##0"/>
      <border diagonalUp="0" diagonalDown="0" outline="0">
        <left/>
        <right/>
        <top style="thin">
          <color theme="4" tint="0.39997558519241921"/>
        </top>
        <bottom/>
      </border>
    </dxf>
    <dxf>
      <numFmt numFmtId="3" formatCode="#,##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scheme val="minor"/>
      </font>
      <numFmt numFmtId="3" formatCode="#,##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font>
        <b/>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outline="0">
        <left/>
        <right/>
        <top style="thin">
          <color theme="4" tint="0.39997558519241921"/>
        </top>
        <bottom/>
      </border>
    </dxf>
    <dxf>
      <font>
        <b val="0"/>
      </font>
      <numFmt numFmtId="3" formatCode="#,##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scheme val="minor"/>
      </font>
      <alignment horizontal="center" vertical="bottom" textRotation="0" wrapText="0" indent="0" justifyLastLine="0" shrinkToFit="0" readingOrder="0"/>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u val="double"/>
        <color rgb="FF00B050"/>
      </font>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numFmt numFmtId="13" formatCode="0%"/>
    </dxf>
    <dxf>
      <numFmt numFmtId="0" formatCode="General"/>
    </dxf>
    <dxf>
      <numFmt numFmtId="0" formatCode="General"/>
    </dxf>
    <dxf>
      <fill>
        <patternFill patternType="solid">
          <fgColor indexed="64"/>
          <bgColor theme="8"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7" formatCode="0.0%;[Red]\-0.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8" tint="0.79998168889431442"/>
        </patternFill>
      </fill>
      <alignment horizontal="general"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7515C59A-E313-FE43-8B81-0ABBB9FBE0FB}">
      <tableStyleElement type="wholeTable" dxfId="2403"/>
      <tableStyleElement type="headerRow" dxfId="2402"/>
      <tableStyleElement type="totalRow" dxfId="2401"/>
      <tableStyleElement type="firstColumn" dxfId="2400"/>
      <tableStyleElement type="lastColumn" dxfId="2399"/>
      <tableStyleElement type="firstRowStripe" dxfId="2398"/>
      <tableStyleElement type="firstColumnStripe" dxfId="2397"/>
    </tableStyle>
  </tableStyles>
  <colors>
    <mruColors>
      <color rgb="FFE5DA9C"/>
      <color rgb="FFF9DB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21" Type="http://schemas.openxmlformats.org/officeDocument/2006/relationships/worksheet" Target="worksheets/sheet21.xml"/><Relationship Id="rId34" Type="http://schemas.microsoft.com/office/2017/06/relationships/rdRichValueTypes" Target="richData/rdRichValueTyp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17/06/relationships/rdSupportingPropertyBag" Target="richData/rdsupportingpropertybag.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microsoft.com/office/2017/06/relationships/rdSupportingPropertyBagStructure" Target="richData/rdsupportingpropertybagstructure.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microsoft.com/office/2017/06/relationships/rdRichValue" Target="richData/rdrichvalue.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ichStyles" Target="richData/rich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microsoft.com/office/2017/06/relationships/rdArray" Target="richData/rdarray.xml"/><Relationship Id="rId35" Type="http://schemas.microsoft.com/office/2017/10/relationships/person" Target="persons/person.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FIFO Strategy – NFLX</a:t>
            </a:r>
          </a:p>
        </c:rich>
      </c:tx>
      <c:overlay val="0"/>
    </c:title>
    <c:autoTitleDeleted val="0"/>
    <c:plotArea>
      <c:layout/>
      <c:barChart>
        <c:barDir val="col"/>
        <c:grouping val="clustered"/>
        <c:varyColors val="0"/>
        <c:ser>
          <c:idx val="0"/>
          <c:order val="0"/>
          <c:tx>
            <c:strRef>
              <c:f>ID!$U$19</c:f>
              <c:strCache>
                <c:ptCount val="1"/>
                <c:pt idx="0">
                  <c:v>IDNSort</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ID!$T$20:$T$32</c:f>
              <c:numCache>
                <c:formatCode>#,##0.00</c:formatCode>
                <c:ptCount val="13"/>
                <c:pt idx="0">
                  <c:v>393.15</c:v>
                </c:pt>
                <c:pt idx="1">
                  <c:v>601.39</c:v>
                </c:pt>
                <c:pt idx="2">
                  <c:v>601.75</c:v>
                </c:pt>
                <c:pt idx="3">
                  <c:v>642.58018000000004</c:v>
                </c:pt>
                <c:pt idx="4">
                  <c:v>705.46</c:v>
                </c:pt>
                <c:pt idx="5">
                  <c:v>957.53</c:v>
                </c:pt>
                <c:pt idx="6">
                  <c:v>1094.69</c:v>
                </c:pt>
                <c:pt idx="7">
                  <c:v>1103.56</c:v>
                </c:pt>
                <c:pt idx="8">
                  <c:v>1117.45</c:v>
                </c:pt>
                <c:pt idx="9">
                  <c:v>1135.346</c:v>
                </c:pt>
                <c:pt idx="10">
                  <c:v>1161.69</c:v>
                </c:pt>
                <c:pt idx="11">
                  <c:v>1179.6600000000001</c:v>
                </c:pt>
                <c:pt idx="12">
                  <c:v>1208.99</c:v>
                </c:pt>
              </c:numCache>
            </c:numRef>
          </c:cat>
          <c:val>
            <c:numRef>
              <c:f>ID!$U$20:$U$32</c:f>
              <c:numCache>
                <c:formatCode>#,##0</c:formatCode>
                <c:ptCount val="13"/>
                <c:pt idx="0">
                  <c:v>0</c:v>
                </c:pt>
                <c:pt idx="1">
                  <c:v>0</c:v>
                </c:pt>
                <c:pt idx="2">
                  <c:v>0</c:v>
                </c:pt>
                <c:pt idx="3">
                  <c:v>0</c:v>
                </c:pt>
                <c:pt idx="4">
                  <c:v>0</c:v>
                </c:pt>
                <c:pt idx="5">
                  <c:v>0</c:v>
                </c:pt>
                <c:pt idx="6">
                  <c:v>0</c:v>
                </c:pt>
                <c:pt idx="7">
                  <c:v>500</c:v>
                </c:pt>
                <c:pt idx="8">
                  <c:v>1300</c:v>
                </c:pt>
                <c:pt idx="9">
                  <c:v>0</c:v>
                </c:pt>
                <c:pt idx="10">
                  <c:v>200</c:v>
                </c:pt>
                <c:pt idx="11">
                  <c:v>100</c:v>
                </c:pt>
                <c:pt idx="12">
                  <c:v>400</c:v>
                </c:pt>
              </c:numCache>
            </c:numRef>
          </c:val>
          <c:extLst>
            <c:ext xmlns:c16="http://schemas.microsoft.com/office/drawing/2014/chart" uri="{C3380CC4-5D6E-409C-BE32-E72D297353CC}">
              <c16:uniqueId val="{00000001-BFE2-F545-B0EF-B4B6FFA4DB0B}"/>
            </c:ext>
          </c:extLst>
        </c:ser>
        <c:ser>
          <c:idx val="1"/>
          <c:order val="1"/>
          <c:tx>
            <c:strRef>
              <c:f>ID!$D$18</c:f>
              <c:strCache>
                <c:ptCount val="1"/>
                <c:pt idx="0">
                  <c:v>A</c:v>
                </c:pt>
              </c:strCache>
            </c:strRef>
          </c:tx>
          <c:spPr>
            <a:gradFill>
              <a:gsLst>
                <a:gs pos="0">
                  <a:srgbClr val="FF0000"/>
                </a:gs>
                <a:gs pos="100000">
                  <a:schemeClr val="accent6">
                    <a:lumMod val="0"/>
                    <a:lumOff val="100000"/>
                  </a:schemeClr>
                </a:gs>
                <a:gs pos="100000">
                  <a:schemeClr val="accent6">
                    <a:lumMod val="100000"/>
                  </a:schemeClr>
                </a:gs>
              </a:gsLst>
              <a:path path="circle">
                <a:fillToRect l="50000" t="-80000" r="50000" b="180000"/>
              </a:path>
            </a:gradFill>
            <a:ln>
              <a:solidFill>
                <a:srgbClr val="FF0000"/>
              </a:solidFill>
            </a:ln>
          </c:spPr>
          <c:invertIfNegative val="0"/>
          <c:dLbls>
            <c:dLbl>
              <c:idx val="2"/>
              <c:delete val="1"/>
              <c:extLst>
                <c:ext xmlns:c15="http://schemas.microsoft.com/office/drawing/2012/chart" uri="{CE6537A1-D6FC-4f65-9D91-7224C49458BB}"/>
                <c:ext xmlns:c16="http://schemas.microsoft.com/office/drawing/2014/chart" uri="{C3380CC4-5D6E-409C-BE32-E72D297353CC}">
                  <c16:uniqueId val="{00000004-70D1-9846-9B49-DF5E8A9D5FD6}"/>
                </c:ext>
              </c:extLst>
            </c:dLbl>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ID!$T$20:$T$37</c:f>
              <c:numCache>
                <c:formatCode>#,##0.00</c:formatCode>
                <c:ptCount val="18"/>
                <c:pt idx="0">
                  <c:v>393.15</c:v>
                </c:pt>
                <c:pt idx="1">
                  <c:v>601.39</c:v>
                </c:pt>
                <c:pt idx="2">
                  <c:v>601.75</c:v>
                </c:pt>
                <c:pt idx="3">
                  <c:v>642.58018000000004</c:v>
                </c:pt>
                <c:pt idx="4">
                  <c:v>705.46</c:v>
                </c:pt>
                <c:pt idx="5">
                  <c:v>957.53</c:v>
                </c:pt>
                <c:pt idx="6">
                  <c:v>1094.69</c:v>
                </c:pt>
                <c:pt idx="7">
                  <c:v>1103.56</c:v>
                </c:pt>
                <c:pt idx="8">
                  <c:v>1117.45</c:v>
                </c:pt>
                <c:pt idx="9">
                  <c:v>1135.346</c:v>
                </c:pt>
                <c:pt idx="10">
                  <c:v>1161.69</c:v>
                </c:pt>
                <c:pt idx="11">
                  <c:v>1179.6600000000001</c:v>
                </c:pt>
                <c:pt idx="12">
                  <c:v>1208.99</c:v>
                </c:pt>
                <c:pt idx="13">
                  <c:v>0</c:v>
                </c:pt>
                <c:pt idx="14">
                  <c:v>0</c:v>
                </c:pt>
                <c:pt idx="15">
                  <c:v>0</c:v>
                </c:pt>
                <c:pt idx="16">
                  <c:v>0</c:v>
                </c:pt>
                <c:pt idx="17">
                  <c:v>0</c:v>
                </c:pt>
              </c:numCache>
            </c:numRef>
          </c:cat>
          <c:val>
            <c:numRef>
              <c:f>ID!$V$20:$V$32</c:f>
              <c:numCache>
                <c:formatCode>#,##0</c:formatCode>
                <c:ptCount val="13"/>
                <c:pt idx="0">
                  <c:v>0</c:v>
                </c:pt>
                <c:pt idx="1">
                  <c:v>0</c:v>
                </c:pt>
                <c:pt idx="2">
                  <c:v>0</c:v>
                </c:pt>
                <c:pt idx="3">
                  <c:v>0</c:v>
                </c:pt>
                <c:pt idx="4">
                  <c:v>0</c:v>
                </c:pt>
                <c:pt idx="5">
                  <c:v>0</c:v>
                </c:pt>
                <c:pt idx="6">
                  <c:v>0</c:v>
                </c:pt>
                <c:pt idx="7">
                  <c:v>0</c:v>
                </c:pt>
                <c:pt idx="8">
                  <c:v>0</c:v>
                </c:pt>
                <c:pt idx="9">
                  <c:v>1300</c:v>
                </c:pt>
                <c:pt idx="10">
                  <c:v>0</c:v>
                </c:pt>
                <c:pt idx="11">
                  <c:v>0</c:v>
                </c:pt>
                <c:pt idx="12">
                  <c:v>0</c:v>
                </c:pt>
              </c:numCache>
            </c:numRef>
          </c:val>
          <c:extLst>
            <c:ext xmlns:c16="http://schemas.microsoft.com/office/drawing/2014/chart" uri="{C3380CC4-5D6E-409C-BE32-E72D297353CC}">
              <c16:uniqueId val="{00000002-BFE2-F545-B0EF-B4B6FFA4DB0B}"/>
            </c:ext>
          </c:extLst>
        </c:ser>
        <c:ser>
          <c:idx val="2"/>
          <c:order val="2"/>
          <c:tx>
            <c:strRef>
              <c:f>ID!$S$19</c:f>
              <c:strCache>
                <c:ptCount val="1"/>
                <c:pt idx="0">
                  <c:v>M</c:v>
                </c:pt>
              </c:strCache>
            </c:strRef>
          </c:tx>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a:solidFill>
                <a:srgbClr val="00B050"/>
              </a:solidFill>
            </a:ln>
          </c:spPr>
          <c:invertIfNegative val="0"/>
          <c:cat>
            <c:numRef>
              <c:f>ID!$T$20:$T$37</c:f>
              <c:numCache>
                <c:formatCode>#,##0.00</c:formatCode>
                <c:ptCount val="18"/>
                <c:pt idx="0">
                  <c:v>393.15</c:v>
                </c:pt>
                <c:pt idx="1">
                  <c:v>601.39</c:v>
                </c:pt>
                <c:pt idx="2">
                  <c:v>601.75</c:v>
                </c:pt>
                <c:pt idx="3">
                  <c:v>642.58018000000004</c:v>
                </c:pt>
                <c:pt idx="4">
                  <c:v>705.46</c:v>
                </c:pt>
                <c:pt idx="5">
                  <c:v>957.53</c:v>
                </c:pt>
                <c:pt idx="6">
                  <c:v>1094.69</c:v>
                </c:pt>
                <c:pt idx="7">
                  <c:v>1103.56</c:v>
                </c:pt>
                <c:pt idx="8">
                  <c:v>1117.45</c:v>
                </c:pt>
                <c:pt idx="9">
                  <c:v>1135.346</c:v>
                </c:pt>
                <c:pt idx="10">
                  <c:v>1161.69</c:v>
                </c:pt>
                <c:pt idx="11">
                  <c:v>1179.6600000000001</c:v>
                </c:pt>
                <c:pt idx="12">
                  <c:v>1208.99</c:v>
                </c:pt>
                <c:pt idx="13">
                  <c:v>0</c:v>
                </c:pt>
                <c:pt idx="14">
                  <c:v>0</c:v>
                </c:pt>
                <c:pt idx="15">
                  <c:v>0</c:v>
                </c:pt>
                <c:pt idx="16">
                  <c:v>0</c:v>
                </c:pt>
                <c:pt idx="17">
                  <c:v>0</c:v>
                </c:pt>
              </c:numCache>
            </c:numRef>
          </c:cat>
          <c:val>
            <c:numRef>
              <c:f>ID!$W$20:$W$32</c:f>
              <c:numCache>
                <c:formatCode>#,##0</c:formatCode>
                <c:ptCount val="13"/>
                <c:pt idx="0">
                  <c:v>0</c:v>
                </c:pt>
                <c:pt idx="1">
                  <c:v>0</c:v>
                </c:pt>
                <c:pt idx="2">
                  <c:v>0</c:v>
                </c:pt>
                <c:pt idx="3">
                  <c:v>0</c:v>
                </c:pt>
                <c:pt idx="4">
                  <c:v>0</c:v>
                </c:pt>
                <c:pt idx="5">
                  <c:v>0</c:v>
                </c:pt>
                <c:pt idx="6">
                  <c:v>1300</c:v>
                </c:pt>
                <c:pt idx="7">
                  <c:v>0</c:v>
                </c:pt>
                <c:pt idx="8">
                  <c:v>0</c:v>
                </c:pt>
                <c:pt idx="9">
                  <c:v>0</c:v>
                </c:pt>
                <c:pt idx="10">
                  <c:v>0</c:v>
                </c:pt>
                <c:pt idx="11">
                  <c:v>0</c:v>
                </c:pt>
                <c:pt idx="12">
                  <c:v>0</c:v>
                </c:pt>
              </c:numCache>
            </c:numRef>
          </c:val>
          <c:extLst>
            <c:ext xmlns:c16="http://schemas.microsoft.com/office/drawing/2014/chart" uri="{C3380CC4-5D6E-409C-BE32-E72D297353CC}">
              <c16:uniqueId val="{00000003-BFE2-F545-B0EF-B4B6FFA4DB0B}"/>
            </c:ext>
          </c:extLst>
        </c:ser>
        <c:dLbls>
          <c:showLegendKey val="0"/>
          <c:showVal val="0"/>
          <c:showCatName val="0"/>
          <c:showSerName val="0"/>
          <c:showPercent val="0"/>
          <c:showBubbleSize val="0"/>
        </c:dLbls>
        <c:gapWidth val="150"/>
        <c:axId val="50010001"/>
        <c:axId val="50010002"/>
      </c:barChart>
      <c:catAx>
        <c:axId val="50010001"/>
        <c:scaling>
          <c:orientation val="minMax"/>
        </c:scaling>
        <c:delete val="0"/>
        <c:axPos val="b"/>
        <c:title>
          <c:tx>
            <c:rich>
              <a:bodyPr/>
              <a:lstStyle/>
              <a:p>
                <a:pPr>
                  <a:defRPr/>
                </a:pPr>
                <a:r>
                  <a:rPr lang="en-US"/>
                  <a:t>X</a:t>
                </a:r>
              </a:p>
            </c:rich>
          </c:tx>
          <c:overlay val="0"/>
        </c:title>
        <c:numFmt formatCode="#,##0.00" sourceLinked="1"/>
        <c:majorTickMark val="out"/>
        <c:minorTickMark val="none"/>
        <c:tickLblPos val="nextTo"/>
        <c:txPr>
          <a:bodyPr/>
          <a:lstStyle/>
          <a:p>
            <a:pPr>
              <a:defRPr sz="2000"/>
            </a:pPr>
            <a:endParaRPr lang="en-US"/>
          </a:p>
        </c:txPr>
        <c:crossAx val="50010002"/>
        <c:crosses val="autoZero"/>
        <c:auto val="1"/>
        <c:lblAlgn val="ctr"/>
        <c:lblOffset val="100"/>
        <c:noMultiLvlLbl val="0"/>
      </c:catAx>
      <c:valAx>
        <c:axId val="50010002"/>
        <c:scaling>
          <c:orientation val="minMax"/>
        </c:scaling>
        <c:delete val="0"/>
        <c:axPos val="l"/>
        <c:majorGridlines/>
        <c:title>
          <c:tx>
            <c:rich>
              <a:bodyPr/>
              <a:lstStyle/>
              <a:p>
                <a:pPr>
                  <a:defRPr/>
                </a:pPr>
                <a:r>
                  <a:rPr lang="en-US"/>
                  <a:t>Values</a:t>
                </a:r>
              </a:p>
            </c:rich>
          </c:tx>
          <c:overlay val="0"/>
        </c:title>
        <c:numFmt formatCode="#,##0" sourceLinked="1"/>
        <c:majorTickMark val="out"/>
        <c:minorTickMark val="none"/>
        <c:tickLblPos val="nextTo"/>
        <c:crossAx val="50010001"/>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ID!$O$18</c:f>
          <c:strCache>
            <c:ptCount val="1"/>
            <c:pt idx="0">
              <c:v>NFLX: Last 5 Day Fl_Avg.Ch,Agio)</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1369393960499146E-2"/>
          <c:y val="0.10597142857142858"/>
          <c:w val="0.83054844606103762"/>
          <c:h val="0.74677615298087741"/>
        </c:manualLayout>
      </c:layout>
      <c:lineChart>
        <c:grouping val="standard"/>
        <c:varyColors val="0"/>
        <c:ser>
          <c:idx val="2"/>
          <c:order val="1"/>
          <c:tx>
            <c:v>Agio</c:v>
          </c:tx>
          <c:spPr>
            <a:ln w="28575" cap="rnd">
              <a:gradFill>
                <a:gsLst>
                  <a:gs pos="0">
                    <a:schemeClr val="accent1">
                      <a:lumMod val="20000"/>
                      <a:lumOff val="80000"/>
                    </a:schemeClr>
                  </a:gs>
                  <a:gs pos="37000">
                    <a:schemeClr val="accent1">
                      <a:lumMod val="45000"/>
                      <a:lumOff val="55000"/>
                    </a:schemeClr>
                  </a:gs>
                  <a:gs pos="60000">
                    <a:schemeClr val="accent1">
                      <a:lumMod val="45000"/>
                      <a:lumOff val="55000"/>
                      <a:alpha val="48000"/>
                    </a:schemeClr>
                  </a:gs>
                  <a:gs pos="84000">
                    <a:schemeClr val="accent1">
                      <a:lumMod val="30000"/>
                      <a:lumOff val="70000"/>
                    </a:schemeClr>
                  </a:gs>
                </a:gsLst>
                <a:lin ang="5400000" scaled="1"/>
              </a:gradFill>
              <a:round/>
            </a:ln>
            <a:effectLst/>
          </c:spPr>
          <c:marker>
            <c:symbol val="none"/>
          </c:marker>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A33-6B49-AED5-156C5699A9D6}"/>
                </c:ext>
              </c:extLst>
            </c:dLbl>
            <c:dLbl>
              <c:idx val="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A33-6B49-AED5-156C5699A9D6}"/>
                </c:ext>
              </c:extLst>
            </c:dLbl>
            <c:dLbl>
              <c:idx val="4"/>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A33-6B49-AED5-156C5699A9D6}"/>
                </c:ext>
              </c:extLst>
            </c:dLbl>
            <c:dLbl>
              <c:idx val="5"/>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A33-6B49-AED5-156C5699A9D6}"/>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ID!$O$13:$T$13</c:f>
              <c:numCache>
                <c:formatCode>m/d/yy;@</c:formatCode>
                <c:ptCount val="6"/>
                <c:pt idx="0">
                  <c:v>45950</c:v>
                </c:pt>
                <c:pt idx="1">
                  <c:v>45951</c:v>
                </c:pt>
                <c:pt idx="2">
                  <c:v>45952</c:v>
                </c:pt>
                <c:pt idx="3">
                  <c:v>45953</c:v>
                </c:pt>
                <c:pt idx="4">
                  <c:v>45954</c:v>
                </c:pt>
                <c:pt idx="5">
                  <c:v>45956</c:v>
                </c:pt>
              </c:numCache>
            </c:numRef>
          </c:cat>
          <c:val>
            <c:numRef>
              <c:f>ID!$O$16:$T$16</c:f>
              <c:numCache>
                <c:formatCode>0%</c:formatCode>
                <c:ptCount val="6"/>
                <c:pt idx="0">
                  <c:v>1.3575846715291022</c:v>
                </c:pt>
                <c:pt idx="1">
                  <c:v>1.1985824101588962</c:v>
                </c:pt>
                <c:pt idx="2">
                  <c:v>1.1985872034550706</c:v>
                </c:pt>
                <c:pt idx="3">
                  <c:v>1.1193396111995468</c:v>
                </c:pt>
                <c:pt idx="4">
                  <c:v>1.626865193587236</c:v>
                </c:pt>
                <c:pt idx="5">
                  <c:v>1.5614994580883679</c:v>
                </c:pt>
              </c:numCache>
            </c:numRef>
          </c:val>
          <c:smooth val="0"/>
          <c:extLst>
            <c:ext xmlns:c16="http://schemas.microsoft.com/office/drawing/2014/chart" uri="{C3380CC4-5D6E-409C-BE32-E72D297353CC}">
              <c16:uniqueId val="{00000000-AA33-6B49-AED5-156C5699A9D6}"/>
            </c:ext>
          </c:extLst>
        </c:ser>
        <c:dLbls>
          <c:showLegendKey val="0"/>
          <c:showVal val="0"/>
          <c:showCatName val="0"/>
          <c:showSerName val="0"/>
          <c:showPercent val="0"/>
          <c:showBubbleSize val="0"/>
        </c:dLbls>
        <c:marker val="1"/>
        <c:smooth val="0"/>
        <c:axId val="801624688"/>
        <c:axId val="801626416"/>
      </c:lineChart>
      <c:lineChart>
        <c:grouping val="standard"/>
        <c:varyColors val="0"/>
        <c:ser>
          <c:idx val="0"/>
          <c:order val="0"/>
          <c:tx>
            <c:v>MovAvgCh%</c:v>
          </c:tx>
          <c:spPr>
            <a:ln w="28575" cap="rnd">
              <a:solidFill>
                <a:schemeClr val="accent1"/>
              </a:solidFill>
              <a:round/>
            </a:ln>
            <a:effectLst/>
          </c:spPr>
          <c:marker>
            <c:symbol val="none"/>
          </c:marker>
          <c:dLbls>
            <c:dLbl>
              <c:idx val="5"/>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573-C94C-90C2-E6DB79C90E0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ID!$O$13:$T$13</c:f>
              <c:numCache>
                <c:formatCode>m/d/yy;@</c:formatCode>
                <c:ptCount val="6"/>
                <c:pt idx="0">
                  <c:v>45950</c:v>
                </c:pt>
                <c:pt idx="1">
                  <c:v>45951</c:v>
                </c:pt>
                <c:pt idx="2">
                  <c:v>45952</c:v>
                </c:pt>
                <c:pt idx="3">
                  <c:v>45953</c:v>
                </c:pt>
                <c:pt idx="4">
                  <c:v>45954</c:v>
                </c:pt>
                <c:pt idx="5">
                  <c:v>45956</c:v>
                </c:pt>
              </c:numCache>
            </c:numRef>
          </c:cat>
          <c:val>
            <c:numRef>
              <c:f>ID!$O$14:$T$14</c:f>
              <c:numCache>
                <c:formatCode>0.00%</c:formatCode>
                <c:ptCount val="6"/>
                <c:pt idx="0">
                  <c:v>3.0077749999999999E-3</c:v>
                </c:pt>
                <c:pt idx="1">
                  <c:v>-6.5494452380952372E-3</c:v>
                </c:pt>
                <c:pt idx="2">
                  <c:v>-1.4577947619047618E-2</c:v>
                </c:pt>
                <c:pt idx="3">
                  <c:v>-1.4960727380952381E-2</c:v>
                </c:pt>
                <c:pt idx="4">
                  <c:v>-1.5202370238095234E-2</c:v>
                </c:pt>
                <c:pt idx="5">
                  <c:v>-1.4453596428571426E-2</c:v>
                </c:pt>
              </c:numCache>
            </c:numRef>
          </c:val>
          <c:smooth val="1"/>
          <c:extLst>
            <c:ext xmlns:c16="http://schemas.microsoft.com/office/drawing/2014/chart" uri="{C3380CC4-5D6E-409C-BE32-E72D297353CC}">
              <c16:uniqueId val="{00000000-DF5A-3B4B-B613-E80FB26B246E}"/>
            </c:ext>
          </c:extLst>
        </c:ser>
        <c:ser>
          <c:idx val="1"/>
          <c:order val="2"/>
          <c:tx>
            <c:v>ZeroChange</c:v>
          </c:tx>
          <c:spPr>
            <a:ln w="28575" cap="rnd">
              <a:solidFill>
                <a:schemeClr val="accent2"/>
              </a:solidFill>
              <a:round/>
            </a:ln>
            <a:effectLst/>
          </c:spPr>
          <c:marker>
            <c:symbol val="none"/>
          </c:marker>
          <c:val>
            <c:numRef>
              <c:f>ID!$O$15:$T$15</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B02D-D349-A8B9-4C3D7D33161B}"/>
            </c:ext>
          </c:extLst>
        </c:ser>
        <c:ser>
          <c:idx val="3"/>
          <c:order val="3"/>
          <c:tx>
            <c:v>Ch%</c:v>
          </c:tx>
          <c:spPr>
            <a:ln w="28575" cap="rnd">
              <a:solidFill>
                <a:schemeClr val="accent4"/>
              </a:solidFill>
              <a:round/>
            </a:ln>
            <a:effectLst/>
          </c:spPr>
          <c:marker>
            <c:symbol val="none"/>
          </c:marker>
          <c:dLbls>
            <c:dLbl>
              <c:idx val="5"/>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573-C94C-90C2-E6DB79C90E09}"/>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ID!$O$12:$T$12</c:f>
              <c:numCache>
                <c:formatCode>0.00%</c:formatCode>
                <c:ptCount val="6"/>
                <c:pt idx="0">
                  <c:v>-9.0472999999999998E-2</c:v>
                </c:pt>
                <c:pt idx="1">
                  <c:v>7.8779999999999996E-3</c:v>
                </c:pt>
                <c:pt idx="2">
                  <c:v>7.8779999999999996E-3</c:v>
                </c:pt>
                <c:pt idx="3">
                  <c:v>2.1262E-2</c:v>
                </c:pt>
                <c:pt idx="4">
                  <c:v>-6.2759999999999996E-2</c:v>
                </c:pt>
                <c:pt idx="5">
                  <c:v>-1.6972000000000001E-2</c:v>
                </c:pt>
              </c:numCache>
            </c:numRef>
          </c:val>
          <c:smooth val="0"/>
          <c:extLst>
            <c:ext xmlns:c16="http://schemas.microsoft.com/office/drawing/2014/chart" uri="{C3380CC4-5D6E-409C-BE32-E72D297353CC}">
              <c16:uniqueId val="{00000000-9573-C94C-90C2-E6DB79C90E09}"/>
            </c:ext>
          </c:extLst>
        </c:ser>
        <c:dLbls>
          <c:showLegendKey val="0"/>
          <c:showVal val="0"/>
          <c:showCatName val="0"/>
          <c:showSerName val="0"/>
          <c:showPercent val="0"/>
          <c:showBubbleSize val="0"/>
        </c:dLbls>
        <c:marker val="1"/>
        <c:smooth val="0"/>
        <c:axId val="1065023552"/>
        <c:axId val="1065020592"/>
      </c:lineChart>
      <c:dateAx>
        <c:axId val="801624688"/>
        <c:scaling>
          <c:orientation val="minMax"/>
        </c:scaling>
        <c:delete val="0"/>
        <c:axPos val="b"/>
        <c:numFmt formatCode="dd/mm"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01626416"/>
        <c:crosses val="autoZero"/>
        <c:auto val="0"/>
        <c:lblOffset val="100"/>
        <c:baseTimeUnit val="days"/>
      </c:dateAx>
      <c:valAx>
        <c:axId val="801626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624688"/>
        <c:crosses val="autoZero"/>
        <c:crossBetween val="between"/>
      </c:valAx>
      <c:valAx>
        <c:axId val="1065020592"/>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5023552"/>
        <c:crosses val="max"/>
        <c:crossBetween val="between"/>
      </c:valAx>
      <c:dateAx>
        <c:axId val="1065023552"/>
        <c:scaling>
          <c:orientation val="minMax"/>
        </c:scaling>
        <c:delete val="1"/>
        <c:axPos val="b"/>
        <c:numFmt formatCode="m/d/yy;@" sourceLinked="1"/>
        <c:majorTickMark val="out"/>
        <c:minorTickMark val="none"/>
        <c:tickLblPos val="nextTo"/>
        <c:crossAx val="1065020592"/>
        <c:crossesAt val="0"/>
        <c:auto val="1"/>
        <c:lblOffset val="100"/>
        <c:baseTimeUnit val="day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DataShift!$A$1</c:f>
          <c:strCache>
            <c:ptCount val="1"/>
            <c:pt idx="0">
              <c:v>NFLX</c:v>
            </c:pt>
          </c:strCache>
        </c:strRef>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565048118985127"/>
          <c:y val="5.5618181818181817E-2"/>
          <c:w val="0.81442125984251967"/>
          <c:h val="0.72675962777380099"/>
        </c:manualLayout>
      </c:layout>
      <c:lineChart>
        <c:grouping val="standard"/>
        <c:varyColors val="0"/>
        <c:ser>
          <c:idx val="2"/>
          <c:order val="2"/>
          <c:tx>
            <c:strRef>
              <c:f>DataShift!$F$204</c:f>
              <c:strCache>
                <c:ptCount val="1"/>
                <c:pt idx="0">
                  <c:v>Price0</c:v>
                </c:pt>
              </c:strCache>
            </c:strRef>
          </c:tx>
          <c:spPr>
            <a:ln w="63500" cap="rnd">
              <a:solidFill>
                <a:schemeClr val="accent1">
                  <a:lumMod val="40000"/>
                  <a:lumOff val="60000"/>
                </a:schemeClr>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DataShift!$F$203:$Z$203</c:f>
              <c:numCache>
                <c:formatCode>m/d/yy</c:formatCode>
                <c:ptCount val="6"/>
                <c:pt idx="0">
                  <c:v>45929</c:v>
                </c:pt>
                <c:pt idx="1">
                  <c:v>45930</c:v>
                </c:pt>
                <c:pt idx="2">
                  <c:v>45952</c:v>
                </c:pt>
                <c:pt idx="3">
                  <c:v>45953</c:v>
                </c:pt>
                <c:pt idx="4">
                  <c:v>45954</c:v>
                </c:pt>
                <c:pt idx="5">
                  <c:v>45956</c:v>
                </c:pt>
              </c:numCache>
            </c:numRef>
          </c:cat>
          <c:val>
            <c:numRef>
              <c:f>DataShift!$F$202:$Z$202</c:f>
              <c:numCache>
                <c:formatCode>#,##0_);[Red]\(#,##0\)</c:formatCode>
                <c:ptCount val="6"/>
                <c:pt idx="0">
                  <c:v>84.993099999999998</c:v>
                </c:pt>
                <c:pt idx="1">
                  <c:v>84.29</c:v>
                </c:pt>
                <c:pt idx="2">
                  <c:v>87</c:v>
                </c:pt>
                <c:pt idx="3">
                  <c:v>88.86</c:v>
                </c:pt>
                <c:pt idx="4">
                  <c:v>83.33</c:v>
                </c:pt>
                <c:pt idx="5">
                  <c:v>1094.69</c:v>
                </c:pt>
              </c:numCache>
            </c:numRef>
          </c:val>
          <c:smooth val="0"/>
          <c:extLst>
            <c:ext xmlns:c16="http://schemas.microsoft.com/office/drawing/2014/chart" uri="{C3380CC4-5D6E-409C-BE32-E72D297353CC}">
              <c16:uniqueId val="{00000002-1097-EB4C-B003-13D01E2E1A2D}"/>
            </c:ext>
          </c:extLst>
        </c:ser>
        <c:dLbls>
          <c:showLegendKey val="0"/>
          <c:showVal val="0"/>
          <c:showCatName val="0"/>
          <c:showSerName val="0"/>
          <c:showPercent val="0"/>
          <c:showBubbleSize val="0"/>
        </c:dLbls>
        <c:marker val="1"/>
        <c:smooth val="0"/>
        <c:axId val="269994848"/>
        <c:axId val="269996576"/>
      </c:lineChart>
      <c:lineChart>
        <c:grouping val="standard"/>
        <c:varyColors val="0"/>
        <c:ser>
          <c:idx val="0"/>
          <c:order val="0"/>
          <c:tx>
            <c:strRef>
              <c:f>DataShift!$AB$1199</c:f>
              <c:strCache>
                <c:ptCount val="1"/>
                <c:pt idx="0">
                  <c:v>RevSale0</c:v>
                </c:pt>
              </c:strCache>
            </c:strRef>
          </c:tx>
          <c:spPr>
            <a:ln w="28575" cap="rnd">
              <a:solidFill>
                <a:schemeClr val="accent1"/>
              </a:solidFill>
              <a:round/>
            </a:ln>
            <a:effectLst/>
          </c:spPr>
          <c:marker>
            <c:symbol val="none"/>
          </c:marker>
          <c:cat>
            <c:numRef>
              <c:f>DataShift!$F$203:$Z$203</c:f>
              <c:numCache>
                <c:formatCode>m/d/yy</c:formatCode>
                <c:ptCount val="6"/>
                <c:pt idx="0">
                  <c:v>45929</c:v>
                </c:pt>
                <c:pt idx="1">
                  <c:v>45930</c:v>
                </c:pt>
                <c:pt idx="2">
                  <c:v>45952</c:v>
                </c:pt>
                <c:pt idx="3">
                  <c:v>45953</c:v>
                </c:pt>
                <c:pt idx="4">
                  <c:v>45954</c:v>
                </c:pt>
                <c:pt idx="5">
                  <c:v>45956</c:v>
                </c:pt>
              </c:numCache>
            </c:numRef>
          </c:cat>
          <c:val>
            <c:numRef>
              <c:f>DataShift!$AB$1197:$AV$1197</c:f>
              <c:numCache>
                <c:formatCode>#,##0_);[Red]\(#,##0\)</c:formatCode>
                <c:ptCount val="7"/>
                <c:pt idx="0">
                  <c:v>-1780.0000000000182</c:v>
                </c:pt>
                <c:pt idx="1">
                  <c:v>28320.000000000007</c:v>
                </c:pt>
                <c:pt idx="2">
                  <c:v>1180.0000000000068</c:v>
                </c:pt>
                <c:pt idx="3">
                  <c:v>1180.0000000000068</c:v>
                </c:pt>
                <c:pt idx="4">
                  <c:v>4900.0000000000055</c:v>
                </c:pt>
                <c:pt idx="5">
                  <c:v>-343.34000000001197</c:v>
                </c:pt>
                <c:pt idx="6">
                  <c:v>-1095.0000000000273</c:v>
                </c:pt>
              </c:numCache>
            </c:numRef>
          </c:val>
          <c:smooth val="0"/>
          <c:extLst>
            <c:ext xmlns:c16="http://schemas.microsoft.com/office/drawing/2014/chart" uri="{C3380CC4-5D6E-409C-BE32-E72D297353CC}">
              <c16:uniqueId val="{00000000-1097-EB4C-B003-13D01E2E1A2D}"/>
            </c:ext>
          </c:extLst>
        </c:ser>
        <c:ser>
          <c:idx val="1"/>
          <c:order val="1"/>
          <c:tx>
            <c:strRef>
              <c:f>DataShift!$AB$1298</c:f>
              <c:strCache>
                <c:ptCount val="1"/>
                <c:pt idx="0">
                  <c:v>RevBuy0</c:v>
                </c:pt>
              </c:strCache>
            </c:strRef>
          </c:tx>
          <c:spPr>
            <a:ln w="28575" cap="rnd">
              <a:solidFill>
                <a:schemeClr val="accent2"/>
              </a:solidFill>
              <a:round/>
            </a:ln>
            <a:effectLst/>
          </c:spPr>
          <c:marker>
            <c:symbol val="none"/>
          </c:marker>
          <c:cat>
            <c:numRef>
              <c:f>DataShift!$F$203:$Z$203</c:f>
              <c:numCache>
                <c:formatCode>m/d/yy</c:formatCode>
                <c:ptCount val="6"/>
                <c:pt idx="0">
                  <c:v>45929</c:v>
                </c:pt>
                <c:pt idx="1">
                  <c:v>45930</c:v>
                </c:pt>
                <c:pt idx="2">
                  <c:v>45952</c:v>
                </c:pt>
                <c:pt idx="3">
                  <c:v>45953</c:v>
                </c:pt>
                <c:pt idx="4">
                  <c:v>45954</c:v>
                </c:pt>
                <c:pt idx="5">
                  <c:v>45956</c:v>
                </c:pt>
              </c:numCache>
            </c:numRef>
          </c:cat>
          <c:val>
            <c:numRef>
              <c:f>DataShift!$AB$1296:$AV$1296</c:f>
              <c:numCache>
                <c:formatCode>#,##0_);[Red]\(#,##0\)</c:formatCode>
                <c:ptCount val="7"/>
                <c:pt idx="0">
                  <c:v>3196.0000000000036</c:v>
                </c:pt>
                <c:pt idx="1">
                  <c:v>205.99999999999739</c:v>
                </c:pt>
                <c:pt idx="2">
                  <c:v>7219.9999999999991</c:v>
                </c:pt>
                <c:pt idx="3">
                  <c:v>7219.9999999999991</c:v>
                </c:pt>
                <c:pt idx="4">
                  <c:v>5359.9999999999991</c:v>
                </c:pt>
                <c:pt idx="5">
                  <c:v>10890</c:v>
                </c:pt>
                <c:pt idx="6">
                  <c:v>13886.999999999989</c:v>
                </c:pt>
              </c:numCache>
            </c:numRef>
          </c:val>
          <c:smooth val="0"/>
          <c:extLst>
            <c:ext xmlns:c16="http://schemas.microsoft.com/office/drawing/2014/chart" uri="{C3380CC4-5D6E-409C-BE32-E72D297353CC}">
              <c16:uniqueId val="{00000001-1097-EB4C-B003-13D01E2E1A2D}"/>
            </c:ext>
          </c:extLst>
        </c:ser>
        <c:dLbls>
          <c:showLegendKey val="0"/>
          <c:showVal val="0"/>
          <c:showCatName val="0"/>
          <c:showSerName val="0"/>
          <c:showPercent val="0"/>
          <c:showBubbleSize val="0"/>
        </c:dLbls>
        <c:marker val="1"/>
        <c:smooth val="0"/>
        <c:axId val="1425203376"/>
        <c:axId val="1425200352"/>
      </c:lineChart>
      <c:dateAx>
        <c:axId val="269994848"/>
        <c:scaling>
          <c:orientation val="minMax"/>
        </c:scaling>
        <c:delete val="0"/>
        <c:axPos val="b"/>
        <c:numFmt formatCode="m/d/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6576"/>
        <c:crosses val="autoZero"/>
        <c:auto val="1"/>
        <c:lblOffset val="100"/>
        <c:baseTimeUnit val="days"/>
      </c:dateAx>
      <c:valAx>
        <c:axId val="26999657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4848"/>
        <c:crosses val="autoZero"/>
        <c:crossBetween val="between"/>
      </c:valAx>
      <c:valAx>
        <c:axId val="1425200352"/>
        <c:scaling>
          <c:orientation val="minMax"/>
        </c:scaling>
        <c:delete val="0"/>
        <c:axPos val="r"/>
        <c:numFmt formatCode="#,##0_);[Red]\(#,##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5203376"/>
        <c:crosses val="max"/>
        <c:crossBetween val="between"/>
      </c:valAx>
      <c:dateAx>
        <c:axId val="1425203376"/>
        <c:scaling>
          <c:orientation val="minMax"/>
        </c:scaling>
        <c:delete val="1"/>
        <c:axPos val="b"/>
        <c:numFmt formatCode="m/d/yy" sourceLinked="1"/>
        <c:majorTickMark val="out"/>
        <c:minorTickMark val="none"/>
        <c:tickLblPos val="nextTo"/>
        <c:crossAx val="1425200352"/>
        <c:crosses val="autoZero"/>
        <c:auto val="1"/>
        <c:lblOffset val="100"/>
        <c:baseTimeUnit val="days"/>
        <c:majorUnit val="1"/>
        <c:minorUnit val="1"/>
      </c:date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ChaRSI!$M$1</c:f>
          <c:strCache>
            <c:ptCount val="1"/>
            <c:pt idx="0">
              <c:v>NFLX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CA84-9746-BA6F-24BD3E933D0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90.54</c:v>
                </c:pt>
                <c:pt idx="1">
                  <c:v>93.64</c:v>
                </c:pt>
                <c:pt idx="2">
                  <c:v>98.25</c:v>
                </c:pt>
                <c:pt idx="3">
                  <c:v>90.77</c:v>
                </c:pt>
                <c:pt idx="4">
                  <c:v>94.894999999999996</c:v>
                </c:pt>
                <c:pt idx="5">
                  <c:v>86.305000000000007</c:v>
                </c:pt>
                <c:pt idx="6">
                  <c:v>87</c:v>
                </c:pt>
                <c:pt idx="7">
                  <c:v>87</c:v>
                </c:pt>
                <c:pt idx="8">
                  <c:v>88.86</c:v>
                </c:pt>
                <c:pt idx="9">
                  <c:v>83.33</c:v>
                </c:pt>
                <c:pt idx="10">
                  <c:v>1094.69</c:v>
                </c:pt>
              </c:numCache>
            </c:numRef>
          </c:xVal>
          <c:yVal>
            <c:numRef>
              <c:f>ChaRSI!$P$35:$Z$35</c:f>
              <c:numCache>
                <c:formatCode>0</c:formatCode>
                <c:ptCount val="11"/>
                <c:pt idx="0">
                  <c:v>53</c:v>
                </c:pt>
                <c:pt idx="1">
                  <c:v>52</c:v>
                </c:pt>
                <c:pt idx="2">
                  <c:v>52</c:v>
                </c:pt>
                <c:pt idx="3">
                  <c:v>51</c:v>
                </c:pt>
                <c:pt idx="4">
                  <c:v>55</c:v>
                </c:pt>
                <c:pt idx="5">
                  <c:v>56</c:v>
                </c:pt>
                <c:pt idx="6">
                  <c:v>39</c:v>
                </c:pt>
                <c:pt idx="7">
                  <c:v>30</c:v>
                </c:pt>
                <c:pt idx="8">
                  <c:v>29</c:v>
                </c:pt>
                <c:pt idx="9">
                  <c:v>28</c:v>
                </c:pt>
                <c:pt idx="10">
                  <c:v>28</c:v>
                </c:pt>
              </c:numCache>
            </c:numRef>
          </c:yVal>
          <c:smooth val="1"/>
          <c:extLst>
            <c:ext xmlns:c16="http://schemas.microsoft.com/office/drawing/2014/chart" uri="{C3380CC4-5D6E-409C-BE32-E72D297353CC}">
              <c16:uniqueId val="{0000000B-CA84-9746-BA6F-24BD3E933D04}"/>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51.007316666666668</c:v>
                </c:pt>
                <c:pt idx="10">
                  <c:v>1233.56</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18-CA84-9746-BA6F-24BD3E933D04}"/>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B-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1233.56</c:v>
                </c:pt>
                <c:pt idx="10">
                  <c:v>1233.56</c:v>
                </c:pt>
              </c:numCache>
            </c:numRef>
          </c:xVal>
          <c:yVal>
            <c:numRef>
              <c:f>ChaRSI!$P$43:$Z$43</c:f>
              <c:numCache>
                <c:formatCode>General</c:formatCode>
                <c:ptCount val="11"/>
                <c:pt idx="0" formatCode="0">
                  <c:v>61.600000000000009</c:v>
                </c:pt>
                <c:pt idx="10" formatCode="0">
                  <c:v>55.440000000000012</c:v>
                </c:pt>
              </c:numCache>
            </c:numRef>
          </c:yVal>
          <c:smooth val="1"/>
          <c:extLst>
            <c:ext xmlns:c16="http://schemas.microsoft.com/office/drawing/2014/chart" uri="{C3380CC4-5D6E-409C-BE32-E72D297353CC}">
              <c16:uniqueId val="{0000001C-CA84-9746-BA6F-24BD3E933D04}"/>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F-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1096.8800000000001</c:v>
                </c:pt>
                <c:pt idx="10">
                  <c:v>1096.8800000000001</c:v>
                </c:pt>
              </c:numCache>
            </c:numRef>
          </c:xVal>
          <c:yVal>
            <c:numRef>
              <c:f>ChaRSI!$P$42:$Z$42</c:f>
              <c:numCache>
                <c:formatCode>General</c:formatCode>
                <c:ptCount val="11"/>
                <c:pt idx="0" formatCode="0">
                  <c:v>67.2</c:v>
                </c:pt>
                <c:pt idx="10" formatCode="0">
                  <c:v>60.480000000000004</c:v>
                </c:pt>
              </c:numCache>
            </c:numRef>
          </c:yVal>
          <c:smooth val="1"/>
          <c:extLst>
            <c:ext xmlns:c16="http://schemas.microsoft.com/office/drawing/2014/chart" uri="{C3380CC4-5D6E-409C-BE32-E72D297353CC}">
              <c16:uniqueId val="{00000020-CA84-9746-BA6F-24BD3E933D04}"/>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01-173C-E746-8D96-88CB8007256D}"/>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21-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1094.69</c:v>
                </c:pt>
                <c:pt idx="10">
                  <c:v>1094.69</c:v>
                </c:pt>
              </c:numCache>
            </c:numRef>
          </c:xVal>
          <c:yVal>
            <c:numRef>
              <c:f>ChaRSI!$P$40:$Z$40</c:f>
              <c:numCache>
                <c:formatCode>General</c:formatCode>
                <c:ptCount val="11"/>
                <c:pt idx="0" formatCode="0">
                  <c:v>78.399999999999991</c:v>
                </c:pt>
                <c:pt idx="10" formatCode="0">
                  <c:v>0</c:v>
                </c:pt>
              </c:numCache>
            </c:numRef>
          </c:yVal>
          <c:smooth val="1"/>
          <c:extLst>
            <c:ext xmlns:c16="http://schemas.microsoft.com/office/drawing/2014/chart" uri="{C3380CC4-5D6E-409C-BE32-E72D297353CC}">
              <c16:uniqueId val="{00000022-CA84-9746-BA6F-24BD3E933D04}"/>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DD85-A94A-BE43-21AB1D651CD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6="http://schemas.microsoft.com/office/drawing/2014/chart" uri="{C3380CC4-5D6E-409C-BE32-E72D297353CC}">
                  <c16:uniqueId val="{00000005-4FBE-F34E-9116-24B086423DF1}"/>
                </c:ext>
              </c:extLst>
            </c:dLbl>
            <c:dLbl>
              <c:idx val="10"/>
              <c:delete val="1"/>
              <c:extLst>
                <c:ext xmlns:c15="http://schemas.microsoft.com/office/drawing/2012/chart" uri="{CE6537A1-D6FC-4f65-9D91-7224C49458BB}"/>
                <c:ext xmlns:c16="http://schemas.microsoft.com/office/drawing/2014/chart" uri="{C3380CC4-5D6E-409C-BE32-E72D297353CC}">
                  <c16:uniqueId val="{00000002-DD85-A94A-BE43-21AB1D651CD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ChaRSI!$P$51:$Z$51</c:f>
              <c:numCache>
                <c:formatCode>General</c:formatCode>
                <c:ptCount val="11"/>
                <c:pt idx="0" formatCode="#,##0.00">
                  <c:v>51.007316666666668</c:v>
                </c:pt>
                <c:pt idx="10" formatCode="0.00">
                  <c:v>51.007316666666668</c:v>
                </c:pt>
              </c:numCache>
            </c:numRef>
          </c:xVal>
          <c:yVal>
            <c:numRef>
              <c:f>ChaRSI!$P$41:$Z$41</c:f>
              <c:numCache>
                <c:formatCode>General</c:formatCode>
                <c:ptCount val="11"/>
                <c:pt idx="0" formatCode="0">
                  <c:v>72.8</c:v>
                </c:pt>
                <c:pt idx="10" formatCode="0">
                  <c:v>65.52</c:v>
                </c:pt>
              </c:numCache>
            </c:numRef>
          </c:yVal>
          <c:smooth val="1"/>
          <c:extLst>
            <c:ext xmlns:c16="http://schemas.microsoft.com/office/drawing/2014/chart" uri="{C3380CC4-5D6E-409C-BE32-E72D297353CC}">
              <c16:uniqueId val="{00000004-4FBE-F34E-9116-24B086423DF1}"/>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37BC4C28-3F83-1F42-9B5E-823C0BC8726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CA84-9746-BA6F-24BD3E933D04}"/>
                </c:ext>
              </c:extLst>
            </c:dLbl>
            <c:dLbl>
              <c:idx val="1"/>
              <c:tx>
                <c:rich>
                  <a:bodyPr/>
                  <a:lstStyle/>
                  <a:p>
                    <a:fld id="{0AE7E7C4-9CBA-9943-8988-A1479477C2A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CA84-9746-BA6F-24BD3E933D04}"/>
                </c:ext>
              </c:extLst>
            </c:dLbl>
            <c:dLbl>
              <c:idx val="2"/>
              <c:tx>
                <c:rich>
                  <a:bodyPr/>
                  <a:lstStyle/>
                  <a:p>
                    <a:fld id="{208E8672-2489-D149-A3F3-D93E04DC28C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CA84-9746-BA6F-24BD3E933D04}"/>
                </c:ext>
              </c:extLst>
            </c:dLbl>
            <c:dLbl>
              <c:idx val="3"/>
              <c:tx>
                <c:rich>
                  <a:bodyPr/>
                  <a:lstStyle/>
                  <a:p>
                    <a:fld id="{31A94759-674E-7D4B-A6A6-20C7653A953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CA84-9746-BA6F-24BD3E933D04}"/>
                </c:ext>
              </c:extLst>
            </c:dLbl>
            <c:dLbl>
              <c:idx val="4"/>
              <c:tx>
                <c:rich>
                  <a:bodyPr/>
                  <a:lstStyle/>
                  <a:p>
                    <a:fld id="{A85DE12C-0DC9-CD45-B6C8-AB6036B889C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CA84-9746-BA6F-24BD3E933D04}"/>
                </c:ext>
              </c:extLst>
            </c:dLbl>
            <c:dLbl>
              <c:idx val="5"/>
              <c:tx>
                <c:rich>
                  <a:bodyPr/>
                  <a:lstStyle/>
                  <a:p>
                    <a:fld id="{4650B7CE-F274-9740-ABB4-1BC366A4B03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CA84-9746-BA6F-24BD3E933D04}"/>
                </c:ext>
              </c:extLst>
            </c:dLbl>
            <c:dLbl>
              <c:idx val="6"/>
              <c:tx>
                <c:rich>
                  <a:bodyPr/>
                  <a:lstStyle/>
                  <a:p>
                    <a:fld id="{56917B90-77C6-0242-89B1-6A356E1B14C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CA84-9746-BA6F-24BD3E933D04}"/>
                </c:ext>
              </c:extLst>
            </c:dLbl>
            <c:dLbl>
              <c:idx val="7"/>
              <c:tx>
                <c:rich>
                  <a:bodyPr/>
                  <a:lstStyle/>
                  <a:p>
                    <a:fld id="{DD9C3A37-A202-0745-87A3-5BE4D7D2764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CA84-9746-BA6F-24BD3E933D04}"/>
                </c:ext>
              </c:extLst>
            </c:dLbl>
            <c:dLbl>
              <c:idx val="8"/>
              <c:tx>
                <c:rich>
                  <a:bodyPr/>
                  <a:lstStyle/>
                  <a:p>
                    <a:fld id="{05650DF5-7F9E-A94B-8415-11409214F9A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CA84-9746-BA6F-24BD3E933D04}"/>
                </c:ext>
              </c:extLst>
            </c:dLbl>
            <c:dLbl>
              <c:idx val="9"/>
              <c:tx>
                <c:rich>
                  <a:bodyPr/>
                  <a:lstStyle/>
                  <a:p>
                    <a:fld id="{9D77A843-36F4-2A4C-A61F-01C11648FA7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CA84-9746-BA6F-24BD3E933D04}"/>
                </c:ext>
              </c:extLst>
            </c:dLbl>
            <c:dLbl>
              <c:idx val="10"/>
              <c:tx>
                <c:rich>
                  <a:bodyPr/>
                  <a:lstStyle/>
                  <a:p>
                    <a:fld id="{7C5CF8E2-0D8C-AC43-BCFB-8E3C3FF7C10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90.54</c:v>
                </c:pt>
                <c:pt idx="1">
                  <c:v>93.64</c:v>
                </c:pt>
                <c:pt idx="2">
                  <c:v>98.25</c:v>
                </c:pt>
                <c:pt idx="3">
                  <c:v>90.77</c:v>
                </c:pt>
                <c:pt idx="4">
                  <c:v>94.894999999999996</c:v>
                </c:pt>
                <c:pt idx="5">
                  <c:v>86.305000000000007</c:v>
                </c:pt>
                <c:pt idx="6">
                  <c:v>87</c:v>
                </c:pt>
                <c:pt idx="7">
                  <c:v>87</c:v>
                </c:pt>
                <c:pt idx="8">
                  <c:v>88.86</c:v>
                </c:pt>
                <c:pt idx="9">
                  <c:v>83.33</c:v>
                </c:pt>
                <c:pt idx="10">
                  <c:v>1094.69</c:v>
                </c:pt>
              </c:numCache>
            </c:numRef>
          </c:xVal>
          <c:yVal>
            <c:numRef>
              <c:f>ChaRSI!$P$36:$Z$36</c:f>
              <c:numCache>
                <c:formatCode>0%</c:formatCode>
                <c:ptCount val="11"/>
                <c:pt idx="0">
                  <c:v>0.73614304363528482</c:v>
                </c:pt>
                <c:pt idx="1">
                  <c:v>0.58182048030769118</c:v>
                </c:pt>
                <c:pt idx="2">
                  <c:v>1.0799935463894499</c:v>
                </c:pt>
                <c:pt idx="3">
                  <c:v>1.6389004097376347</c:v>
                </c:pt>
                <c:pt idx="4">
                  <c:v>0.94729675777519262</c:v>
                </c:pt>
                <c:pt idx="5">
                  <c:v>1.3575846715291022</c:v>
                </c:pt>
                <c:pt idx="6">
                  <c:v>1.1985824101588962</c:v>
                </c:pt>
                <c:pt idx="7">
                  <c:v>1.1985872034550706</c:v>
                </c:pt>
                <c:pt idx="8">
                  <c:v>1.1193396111995468</c:v>
                </c:pt>
                <c:pt idx="9">
                  <c:v>1.626865193587236</c:v>
                </c:pt>
                <c:pt idx="10">
                  <c:v>1.5614994580883679</c:v>
                </c:pt>
              </c:numCache>
            </c:numRef>
          </c:yVal>
          <c:smooth val="1"/>
          <c:extLst>
            <c:ext xmlns:c15="http://schemas.microsoft.com/office/drawing/2012/chart" uri="{02D57815-91ED-43cb-92C2-25804820EDAC}">
              <c15:datalabelsRange>
                <c15:f>ChaCha!$P$33:$Z$33</c15:f>
                <c15:dlblRangeCache>
                  <c:ptCount val="11"/>
                  <c:pt idx="0">
                    <c:v>13-Oct</c:v>
                  </c:pt>
                  <c:pt idx="10">
                    <c:v>26-Oct</c:v>
                  </c:pt>
                </c15:dlblRangeCache>
              </c15:datalabelsRange>
            </c:ext>
            <c:ext xmlns:c16="http://schemas.microsoft.com/office/drawing/2014/chart" uri="{C3380CC4-5D6E-409C-BE32-E72D297353CC}">
              <c16:uniqueId val="{00000017-CA84-9746-BA6F-24BD3E933D04}"/>
            </c:ext>
          </c:extLst>
        </c:ser>
        <c:dLbls>
          <c:showLegendKey val="0"/>
          <c:showVal val="0"/>
          <c:showCatName val="0"/>
          <c:showSerName val="0"/>
          <c:showPercent val="0"/>
          <c:showBubbleSize val="0"/>
        </c:dLbls>
        <c:axId val="1239591360"/>
        <c:axId val="1239532512"/>
      </c:scatterChart>
      <c:valAx>
        <c:axId val="137044640"/>
        <c:scaling>
          <c:orientation val="minMax"/>
          <c:max val="1253.7635"/>
          <c:min val="1088.7624000000001"/>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23953251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239591360"/>
        <c:crosses val="max"/>
        <c:crossBetween val="midCat"/>
      </c:valAx>
      <c:valAx>
        <c:axId val="1239591360"/>
        <c:scaling>
          <c:orientation val="minMax"/>
        </c:scaling>
        <c:delete val="1"/>
        <c:axPos val="b"/>
        <c:numFmt formatCode="General" sourceLinked="1"/>
        <c:majorTickMark val="out"/>
        <c:minorTickMark val="none"/>
        <c:tickLblPos val="nextTo"/>
        <c:crossAx val="1239532512"/>
        <c:crosses val="autoZero"/>
        <c:crossBetween val="midCat"/>
      </c:valAx>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ChaRSI!$F$1</c:f>
          <c:strCache>
            <c:ptCount val="1"/>
            <c:pt idx="0">
              <c:v>NFLX (All Trades Info)</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ChaRSI!$F$56:$Z$56</c:f>
              <c:numCache>
                <c:formatCode>General</c:formatCode>
                <c:ptCount val="21"/>
                <c:pt idx="0">
                  <c:v>84.993099999999998</c:v>
                </c:pt>
                <c:pt idx="1">
                  <c:v>84.29</c:v>
                </c:pt>
                <c:pt idx="2">
                  <c:v>85.94</c:v>
                </c:pt>
                <c:pt idx="3">
                  <c:v>86.424999999999997</c:v>
                </c:pt>
                <c:pt idx="4">
                  <c:v>86.855000000000004</c:v>
                </c:pt>
                <c:pt idx="5">
                  <c:v>86.96</c:v>
                </c:pt>
                <c:pt idx="6">
                  <c:v>88.41</c:v>
                </c:pt>
                <c:pt idx="7">
                  <c:v>85.23</c:v>
                </c:pt>
                <c:pt idx="8">
                  <c:v>85.21</c:v>
                </c:pt>
                <c:pt idx="9">
                  <c:v>89.4</c:v>
                </c:pt>
                <c:pt idx="10">
                  <c:v>90.54</c:v>
                </c:pt>
                <c:pt idx="11">
                  <c:v>93.64</c:v>
                </c:pt>
                <c:pt idx="12">
                  <c:v>98.25</c:v>
                </c:pt>
                <c:pt idx="13">
                  <c:v>90.77</c:v>
                </c:pt>
                <c:pt idx="14">
                  <c:v>94.894999999999996</c:v>
                </c:pt>
                <c:pt idx="15">
                  <c:v>86.305000000000007</c:v>
                </c:pt>
                <c:pt idx="16">
                  <c:v>87</c:v>
                </c:pt>
                <c:pt idx="17">
                  <c:v>87</c:v>
                </c:pt>
                <c:pt idx="18">
                  <c:v>88.86</c:v>
                </c:pt>
                <c:pt idx="19">
                  <c:v>83.33</c:v>
                </c:pt>
                <c:pt idx="20">
                  <c:v>1094.69</c:v>
                </c:pt>
              </c:numCache>
            </c:numRef>
          </c:xVal>
          <c:yVal>
            <c:numRef>
              <c:f>ChaRSI!$F$35:$Z$35</c:f>
              <c:numCache>
                <c:formatCode>0</c:formatCode>
                <c:ptCount val="21"/>
                <c:pt idx="0">
                  <c:v>49</c:v>
                </c:pt>
                <c:pt idx="1">
                  <c:v>48</c:v>
                </c:pt>
                <c:pt idx="2">
                  <c:v>41</c:v>
                </c:pt>
                <c:pt idx="3">
                  <c:v>33</c:v>
                </c:pt>
                <c:pt idx="4">
                  <c:v>31</c:v>
                </c:pt>
                <c:pt idx="5">
                  <c:v>34</c:v>
                </c:pt>
                <c:pt idx="6">
                  <c:v>41</c:v>
                </c:pt>
                <c:pt idx="7">
                  <c:v>52</c:v>
                </c:pt>
                <c:pt idx="8">
                  <c:v>58</c:v>
                </c:pt>
                <c:pt idx="9">
                  <c:v>57</c:v>
                </c:pt>
                <c:pt idx="10">
                  <c:v>53</c:v>
                </c:pt>
                <c:pt idx="11">
                  <c:v>52</c:v>
                </c:pt>
                <c:pt idx="12">
                  <c:v>52</c:v>
                </c:pt>
                <c:pt idx="13">
                  <c:v>51</c:v>
                </c:pt>
                <c:pt idx="14">
                  <c:v>55</c:v>
                </c:pt>
                <c:pt idx="15">
                  <c:v>56</c:v>
                </c:pt>
                <c:pt idx="16">
                  <c:v>39</c:v>
                </c:pt>
                <c:pt idx="17">
                  <c:v>30</c:v>
                </c:pt>
                <c:pt idx="18">
                  <c:v>29</c:v>
                </c:pt>
                <c:pt idx="19">
                  <c:v>28</c:v>
                </c:pt>
                <c:pt idx="20">
                  <c:v>28</c:v>
                </c:pt>
              </c:numCache>
            </c:numRef>
          </c:yVal>
          <c:smooth val="1"/>
          <c:extLst>
            <c:ext xmlns:c16="http://schemas.microsoft.com/office/drawing/2014/chart" uri="{C3380CC4-5D6E-409C-BE32-E72D297353CC}">
              <c16:uniqueId val="{00000000-0914-6F46-BE5A-D9C75ECD64FC}"/>
            </c:ext>
          </c:extLst>
        </c:ser>
        <c:ser>
          <c:idx val="2"/>
          <c:order val="2"/>
          <c:tx>
            <c:strRef>
              <c:f>ChaRSI!$A$44</c:f>
              <c:strCache>
                <c:ptCount val="1"/>
                <c:pt idx="0">
                  <c:v>Last Sale</c:v>
                </c:pt>
              </c:strCache>
            </c:strRef>
          </c:tx>
          <c:spPr>
            <a:ln w="127000" cap="rnd">
              <a:solidFill>
                <a:srgbClr val="FFC000">
                  <a:alpha val="56000"/>
                </a:srgbClr>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3-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ChaRSI!$F$44:$Z$44</c:f>
              <c:numCache>
                <c:formatCode>General</c:formatCode>
                <c:ptCount val="21"/>
                <c:pt idx="0" formatCode="#,##0.00">
                  <c:v>1233.56</c:v>
                </c:pt>
                <c:pt idx="10">
                  <c:v>1233.56</c:v>
                </c:pt>
                <c:pt idx="20">
                  <c:v>1233.56</c:v>
                </c:pt>
              </c:numCache>
            </c:numRef>
          </c:xVal>
          <c:yVal>
            <c:numRef>
              <c:f>ChaRSI!$F$41:$Z$41</c:f>
              <c:numCache>
                <c:formatCode>General</c:formatCode>
                <c:ptCount val="21"/>
                <c:pt idx="0" formatCode="0">
                  <c:v>72.8</c:v>
                </c:pt>
                <c:pt idx="10" formatCode="0">
                  <c:v>72.8</c:v>
                </c:pt>
                <c:pt idx="20" formatCode="0">
                  <c:v>65.52</c:v>
                </c:pt>
              </c:numCache>
            </c:numRef>
          </c:yVal>
          <c:smooth val="1"/>
          <c:extLst>
            <c:ext xmlns:c16="http://schemas.microsoft.com/office/drawing/2014/chart" uri="{C3380CC4-5D6E-409C-BE32-E72D297353CC}">
              <c16:uniqueId val="{00000005-0914-6F46-BE5A-D9C75ECD64FC}"/>
            </c:ext>
          </c:extLst>
        </c:ser>
        <c:ser>
          <c:idx val="3"/>
          <c:order val="3"/>
          <c:tx>
            <c:strRef>
              <c:f>ChaRSI!$A$45</c:f>
              <c:strCache>
                <c:ptCount val="1"/>
                <c:pt idx="0">
                  <c:v>Last Buy</c:v>
                </c:pt>
              </c:strCache>
            </c:strRef>
          </c:tx>
          <c:spPr>
            <a:ln w="127000" cap="rnd">
              <a:solidFill>
                <a:srgbClr val="FFC000">
                  <a:alpha val="48000"/>
                </a:srgbClr>
              </a:solidFill>
              <a:round/>
            </a:ln>
            <a:effectLst/>
          </c:spPr>
          <c:marker>
            <c:symbol val="circle"/>
            <c:size val="5"/>
            <c:spPr>
              <a:solidFill>
                <a:schemeClr val="accent4"/>
              </a:solidFill>
              <a:ln w="9525">
                <a:solidFill>
                  <a:schemeClr val="accent4"/>
                </a:solidFill>
              </a:ln>
              <a:effectLst/>
            </c:spPr>
          </c:marker>
          <c:dPt>
            <c:idx val="20"/>
            <c:marker>
              <c:symbol val="circle"/>
              <c:size val="5"/>
              <c:spPr>
                <a:solidFill>
                  <a:schemeClr val="accent4"/>
                </a:solidFill>
                <a:ln w="9525">
                  <a:solidFill>
                    <a:schemeClr val="accent4"/>
                  </a:solidFill>
                </a:ln>
                <a:effectLst/>
              </c:spPr>
            </c:marker>
            <c:bubble3D val="0"/>
            <c:spPr>
              <a:ln w="127000" cap="rnd">
                <a:solidFill>
                  <a:srgbClr val="FFC000">
                    <a:alpha val="48000"/>
                  </a:srgbClr>
                </a:solidFill>
                <a:round/>
              </a:ln>
              <a:effectLst/>
            </c:spPr>
            <c:extLst>
              <c:ext xmlns:c16="http://schemas.microsoft.com/office/drawing/2014/chart" uri="{C3380CC4-5D6E-409C-BE32-E72D297353CC}">
                <c16:uniqueId val="{00000007-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6-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7-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ChaRSI!$F$45:$Z$45</c:f>
              <c:numCache>
                <c:formatCode>General</c:formatCode>
                <c:ptCount val="21"/>
                <c:pt idx="0" formatCode="#,##0.00">
                  <c:v>1096.8800000000001</c:v>
                </c:pt>
                <c:pt idx="10">
                  <c:v>1096.8800000000001</c:v>
                </c:pt>
                <c:pt idx="20">
                  <c:v>1096.8800000000001</c:v>
                </c:pt>
              </c:numCache>
            </c:numRef>
          </c:xVal>
          <c:yVal>
            <c:numRef>
              <c:f>ChaRSI!$F$41:$Z$41</c:f>
              <c:numCache>
                <c:formatCode>General</c:formatCode>
                <c:ptCount val="21"/>
                <c:pt idx="0" formatCode="0">
                  <c:v>72.8</c:v>
                </c:pt>
                <c:pt idx="10" formatCode="0">
                  <c:v>72.8</c:v>
                </c:pt>
                <c:pt idx="20" formatCode="0">
                  <c:v>65.52</c:v>
                </c:pt>
              </c:numCache>
            </c:numRef>
          </c:yVal>
          <c:smooth val="1"/>
          <c:extLst>
            <c:ext xmlns:c16="http://schemas.microsoft.com/office/drawing/2014/chart" uri="{C3380CC4-5D6E-409C-BE32-E72D297353CC}">
              <c16:uniqueId val="{00000008-0914-6F46-BE5A-D9C75ECD64FC}"/>
            </c:ext>
          </c:extLst>
        </c:ser>
        <c:ser>
          <c:idx val="4"/>
          <c:order val="4"/>
          <c:tx>
            <c:strRef>
              <c:f>ChaRSI!$A$46</c:f>
              <c:strCache>
                <c:ptCount val="1"/>
                <c:pt idx="0">
                  <c:v>Worst Sale</c:v>
                </c:pt>
              </c:strCache>
            </c:strRef>
          </c:tx>
          <c:spPr>
            <a:ln w="63500" cap="rnd">
              <a:solidFill>
                <a:schemeClr val="accent5"/>
              </a:solidFill>
              <a:round/>
            </a:ln>
            <a:effectLst/>
          </c:spPr>
          <c:marker>
            <c:symbol val="circle"/>
            <c:size val="5"/>
            <c:spPr>
              <a:solidFill>
                <a:schemeClr val="accent5"/>
              </a:solidFill>
              <a:ln w="9525">
                <a:solidFill>
                  <a:schemeClr val="accent5"/>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0"/>
              <c:showSerName val="0"/>
              <c:showPercent val="0"/>
              <c:showBubbleSize val="0"/>
              <c:extLst>
                <c:ext xmlns:c16="http://schemas.microsoft.com/office/drawing/2014/chart" uri="{C3380CC4-5D6E-409C-BE32-E72D297353CC}">
                  <c16:uniqueId val="{00000004-D10B-574B-84E4-A18547B43FF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0914-6F46-BE5A-D9C75ECD64F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ChaRSI!$F$46:$Z$46</c:f>
              <c:numCache>
                <c:formatCode>General</c:formatCode>
                <c:ptCount val="21"/>
                <c:pt idx="0" formatCode="#,##0.00">
                  <c:v>608.69060000000002</c:v>
                </c:pt>
                <c:pt idx="10">
                  <c:v>608.69060000000002</c:v>
                </c:pt>
                <c:pt idx="20">
                  <c:v>608.69060000000002</c:v>
                </c:pt>
              </c:numCache>
            </c:numRef>
          </c:xVal>
          <c:yVal>
            <c:numRef>
              <c:f>ChaRSI!$F$40:$Z$40</c:f>
              <c:numCache>
                <c:formatCode>General</c:formatCode>
                <c:ptCount val="21"/>
                <c:pt idx="0" formatCode="0">
                  <c:v>78.399999999999991</c:v>
                </c:pt>
                <c:pt idx="10" formatCode="0">
                  <c:v>78.399999999999991</c:v>
                </c:pt>
                <c:pt idx="20" formatCode="0">
                  <c:v>0</c:v>
                </c:pt>
              </c:numCache>
            </c:numRef>
          </c:yVal>
          <c:smooth val="1"/>
          <c:extLst>
            <c:ext xmlns:c16="http://schemas.microsoft.com/office/drawing/2014/chart" uri="{C3380CC4-5D6E-409C-BE32-E72D297353CC}">
              <c16:uniqueId val="{0000000A-0914-6F46-BE5A-D9C75ECD64FC}"/>
            </c:ext>
          </c:extLst>
        </c:ser>
        <c:ser>
          <c:idx val="5"/>
          <c:order val="5"/>
          <c:tx>
            <c:strRef>
              <c:f>ChaRSI!$A$47</c:f>
              <c:strCache>
                <c:ptCount val="1"/>
                <c:pt idx="0">
                  <c:v>Worst Buy</c:v>
                </c:pt>
              </c:strCache>
            </c:strRef>
          </c:tx>
          <c:spPr>
            <a:ln w="19050" cap="rnd">
              <a:solidFill>
                <a:srgbClr val="C00000">
                  <a:alpha val="49896"/>
                </a:srgbClr>
              </a:solidFill>
              <a:round/>
            </a:ln>
            <a:effectLst/>
          </c:spPr>
          <c:marker>
            <c:symbol val="circle"/>
            <c:size val="5"/>
            <c:spPr>
              <a:solidFill>
                <a:schemeClr val="accent6"/>
              </a:solidFill>
              <a:ln w="9525">
                <a:solidFill>
                  <a:schemeClr val="accent6"/>
                </a:solidFill>
              </a:ln>
              <a:effectLst/>
            </c:spPr>
          </c:marker>
          <c:dPt>
            <c:idx val="20"/>
            <c:marker>
              <c:symbol val="circle"/>
              <c:size val="5"/>
              <c:spPr>
                <a:solidFill>
                  <a:schemeClr val="accent6"/>
                </a:solidFill>
                <a:ln w="9525">
                  <a:solidFill>
                    <a:schemeClr val="accent6"/>
                  </a:solidFill>
                </a:ln>
                <a:effectLst/>
              </c:spPr>
            </c:marker>
            <c:bubble3D val="0"/>
            <c:spPr>
              <a:ln w="63500" cap="rnd">
                <a:solidFill>
                  <a:srgbClr val="C00000">
                    <a:alpha val="50000"/>
                  </a:srgbClr>
                </a:solidFill>
                <a:round/>
              </a:ln>
              <a:effectLst/>
            </c:spPr>
            <c:extLst>
              <c:ext xmlns:c16="http://schemas.microsoft.com/office/drawing/2014/chart" uri="{C3380CC4-5D6E-409C-BE32-E72D297353CC}">
                <c16:uniqueId val="{0000000C-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B-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C-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C0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ChaRSI!$F$47:$Z$47</c:f>
              <c:numCache>
                <c:formatCode>General</c:formatCode>
                <c:ptCount val="21"/>
                <c:pt idx="0" formatCode="#,##0.00">
                  <c:v>1208.99</c:v>
                </c:pt>
                <c:pt idx="10">
                  <c:v>1208.99</c:v>
                </c:pt>
                <c:pt idx="20">
                  <c:v>1208.99</c:v>
                </c:pt>
              </c:numCache>
            </c:numRef>
          </c:xVal>
          <c:yVal>
            <c:numRef>
              <c:f>ChaRSI!$F$42:$Z$42</c:f>
              <c:numCache>
                <c:formatCode>General</c:formatCode>
                <c:ptCount val="21"/>
                <c:pt idx="0" formatCode="0">
                  <c:v>67.2</c:v>
                </c:pt>
                <c:pt idx="10" formatCode="0">
                  <c:v>67.2</c:v>
                </c:pt>
                <c:pt idx="20" formatCode="0">
                  <c:v>60.480000000000004</c:v>
                </c:pt>
              </c:numCache>
            </c:numRef>
          </c:yVal>
          <c:smooth val="1"/>
          <c:extLst>
            <c:ext xmlns:c16="http://schemas.microsoft.com/office/drawing/2014/chart" uri="{C3380CC4-5D6E-409C-BE32-E72D297353CC}">
              <c16:uniqueId val="{0000000D-0914-6F46-BE5A-D9C75ECD64FC}"/>
            </c:ext>
          </c:extLst>
        </c:ser>
        <c:ser>
          <c:idx val="6"/>
          <c:order val="6"/>
          <c:tx>
            <c:strRef>
              <c:f>ChaRSI!$A$48</c:f>
              <c:strCache>
                <c:ptCount val="1"/>
                <c:pt idx="0">
                  <c:v>Best Sale </c:v>
                </c:pt>
              </c:strCache>
            </c:strRef>
          </c:tx>
          <c:spPr>
            <a:ln w="63500" cap="rnd">
              <a:solidFill>
                <a:srgbClr val="00B050">
                  <a:alpha val="54612"/>
                </a:srgbClr>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F-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0-0914-6F46-BE5A-D9C75ECD64FC}"/>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eparator>, </c:separator>
            <c:showLeaderLines val="0"/>
            <c:extLst>
              <c:ext xmlns:c15="http://schemas.microsoft.com/office/drawing/2012/chart" uri="{CE6537A1-D6FC-4f65-9D91-7224C49458BB}">
                <c15:showLeaderLines val="0"/>
              </c:ext>
            </c:extLst>
          </c:dLbls>
          <c:xVal>
            <c:numRef>
              <c:f>ChaRSI!$F$48:$Z$48</c:f>
              <c:numCache>
                <c:formatCode>General</c:formatCode>
                <c:ptCount val="21"/>
                <c:pt idx="0" formatCode="#,##0.00">
                  <c:v>1235.33</c:v>
                </c:pt>
                <c:pt idx="10">
                  <c:v>1235.33</c:v>
                </c:pt>
                <c:pt idx="20">
                  <c:v>1235.33</c:v>
                </c:pt>
              </c:numCache>
            </c:numRef>
          </c:xVal>
          <c:yVal>
            <c:numRef>
              <c:f>ChaRSI!$F$43:$Z$43</c:f>
              <c:numCache>
                <c:formatCode>General</c:formatCode>
                <c:ptCount val="21"/>
                <c:pt idx="0" formatCode="0">
                  <c:v>61.600000000000009</c:v>
                </c:pt>
                <c:pt idx="10" formatCode="0">
                  <c:v>61.600000000000009</c:v>
                </c:pt>
                <c:pt idx="20" formatCode="0">
                  <c:v>55.440000000000012</c:v>
                </c:pt>
              </c:numCache>
            </c:numRef>
          </c:yVal>
          <c:smooth val="1"/>
          <c:extLst>
            <c:ext xmlns:c16="http://schemas.microsoft.com/office/drawing/2014/chart" uri="{C3380CC4-5D6E-409C-BE32-E72D297353CC}">
              <c16:uniqueId val="{00000011-0914-6F46-BE5A-D9C75ECD64FC}"/>
            </c:ext>
          </c:extLst>
        </c:ser>
        <c:ser>
          <c:idx val="7"/>
          <c:order val="7"/>
          <c:tx>
            <c:strRef>
              <c:f>ChaRSI!$A$49</c:f>
              <c:strCache>
                <c:ptCount val="1"/>
                <c:pt idx="0">
                  <c:v>Best Buy</c:v>
                </c:pt>
              </c:strCache>
            </c:strRef>
          </c:tx>
          <c:spPr>
            <a:ln w="6350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5-D10B-574B-84E4-A18547B43FF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ChaRSI!$F$49:$Z$49</c:f>
              <c:numCache>
                <c:formatCode>General</c:formatCode>
                <c:ptCount val="21"/>
                <c:pt idx="0" formatCode="#,##0.00">
                  <c:v>393.15</c:v>
                </c:pt>
                <c:pt idx="10">
                  <c:v>393.15</c:v>
                </c:pt>
                <c:pt idx="20">
                  <c:v>393.15</c:v>
                </c:pt>
              </c:numCache>
            </c:numRef>
          </c:xVal>
          <c:yVal>
            <c:numRef>
              <c:f>ChaRSI!$F$42:$Z$42</c:f>
              <c:numCache>
                <c:formatCode>General</c:formatCode>
                <c:ptCount val="21"/>
                <c:pt idx="0" formatCode="0">
                  <c:v>67.2</c:v>
                </c:pt>
                <c:pt idx="10" formatCode="0">
                  <c:v>67.2</c:v>
                </c:pt>
                <c:pt idx="20" formatCode="0">
                  <c:v>60.480000000000004</c:v>
                </c:pt>
              </c:numCache>
            </c:numRef>
          </c:yVal>
          <c:smooth val="1"/>
          <c:extLst>
            <c:ext xmlns:c16="http://schemas.microsoft.com/office/drawing/2014/chart" uri="{C3380CC4-5D6E-409C-BE32-E72D297353CC}">
              <c16:uniqueId val="{00000013-0914-6F46-BE5A-D9C75ECD64FC}"/>
            </c:ext>
          </c:extLst>
        </c:ser>
        <c:ser>
          <c:idx val="8"/>
          <c:order val="8"/>
          <c:tx>
            <c:strRef>
              <c:f>ChaRSI!$A$50</c:f>
              <c:strCache>
                <c:ptCount val="1"/>
                <c:pt idx="0">
                  <c:v>Market</c:v>
                </c:pt>
              </c:strCache>
            </c:strRef>
          </c:tx>
          <c:spPr>
            <a:ln w="127000" cap="rnd">
              <a:solidFill>
                <a:schemeClr val="accent1">
                  <a:lumMod val="60000"/>
                  <a:lumOff val="40000"/>
                </a:schemeClr>
              </a:solidFill>
              <a:round/>
            </a:ln>
            <a:effectLst/>
          </c:spPr>
          <c:marker>
            <c:symbol val="circle"/>
            <c:size val="5"/>
            <c:spPr>
              <a:solidFill>
                <a:schemeClr val="accent3">
                  <a:lumMod val="60000"/>
                </a:schemeClr>
              </a:solidFill>
              <a:ln w="9525">
                <a:solidFill>
                  <a:schemeClr val="accent3">
                    <a:lumMod val="60000"/>
                  </a:schemeClr>
                </a:solidFill>
              </a:ln>
              <a:effectLst>
                <a:glow rad="127000">
                  <a:srgbClr val="00B0F0">
                    <a:alpha val="79000"/>
                  </a:srgbClr>
                </a:glo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1">
                          <a:lumMod val="60000"/>
                          <a:lumOff val="40000"/>
                        </a:schemeClr>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6-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465-5C42-9303-FE7722E5886E}"/>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ChaRSI!$F$50:$Z$50</c:f>
              <c:numCache>
                <c:formatCode>General</c:formatCode>
                <c:ptCount val="21"/>
                <c:pt idx="0" formatCode="#,##0.00">
                  <c:v>1094.69</c:v>
                </c:pt>
                <c:pt idx="10">
                  <c:v>1094.69</c:v>
                </c:pt>
                <c:pt idx="20">
                  <c:v>1094.69</c:v>
                </c:pt>
              </c:numCache>
            </c:numRef>
          </c:xVal>
          <c:yVal>
            <c:numRef>
              <c:f>ChaRSI!$F$40:$Z$40</c:f>
              <c:numCache>
                <c:formatCode>General</c:formatCode>
                <c:ptCount val="21"/>
                <c:pt idx="0" formatCode="0">
                  <c:v>78.399999999999991</c:v>
                </c:pt>
                <c:pt idx="10" formatCode="0">
                  <c:v>78.399999999999991</c:v>
                </c:pt>
                <c:pt idx="20" formatCode="0">
                  <c:v>0</c:v>
                </c:pt>
              </c:numCache>
            </c:numRef>
          </c:yVal>
          <c:smooth val="1"/>
          <c:extLst>
            <c:ext xmlns:c16="http://schemas.microsoft.com/office/drawing/2014/chart" uri="{C3380CC4-5D6E-409C-BE32-E72D297353CC}">
              <c16:uniqueId val="{00000017-0914-6F46-BE5A-D9C75ECD64FC}"/>
            </c:ext>
          </c:extLst>
        </c:ser>
        <c:ser>
          <c:idx val="9"/>
          <c:order val="9"/>
          <c:tx>
            <c:strRef>
              <c:f>ChaRSI!$A$51</c:f>
              <c:strCache>
                <c:ptCount val="1"/>
                <c:pt idx="0">
                  <c:v>Effective Cost/Share</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a:glow rad="127000">
                  <a:srgbClr val="00B0F0">
                    <a:alpha val="79000"/>
                  </a:srgbClr>
                </a:glow>
              </a:effectLst>
            </c:spPr>
          </c:marker>
          <c:xVal>
            <c:numRef>
              <c:f>ChaRSI!$P$51:$Z$51</c:f>
              <c:numCache>
                <c:formatCode>General</c:formatCode>
                <c:ptCount val="11"/>
                <c:pt idx="0" formatCode="#,##0.00">
                  <c:v>51.007316666666668</c:v>
                </c:pt>
                <c:pt idx="10" formatCode="0.00">
                  <c:v>51.007316666666668</c:v>
                </c:pt>
              </c:numCache>
            </c:numRef>
          </c:xVal>
          <c:yVal>
            <c:numRef>
              <c:f>ChaRSI!$P$41:$Z$41</c:f>
              <c:numCache>
                <c:formatCode>General</c:formatCode>
                <c:ptCount val="11"/>
                <c:pt idx="0" formatCode="0">
                  <c:v>72.8</c:v>
                </c:pt>
                <c:pt idx="10" formatCode="0">
                  <c:v>65.52</c:v>
                </c:pt>
              </c:numCache>
            </c:numRef>
          </c:yVal>
          <c:smooth val="1"/>
          <c:extLst>
            <c:ext xmlns:c16="http://schemas.microsoft.com/office/drawing/2014/chart" uri="{C3380CC4-5D6E-409C-BE32-E72D297353CC}">
              <c16:uniqueId val="{00000002-D10B-574B-84E4-A18547B43FFE}"/>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ChaRSI!$F$56:$Z$56</c:f>
              <c:numCache>
                <c:formatCode>General</c:formatCode>
                <c:ptCount val="21"/>
                <c:pt idx="0">
                  <c:v>84.993099999999998</c:v>
                </c:pt>
                <c:pt idx="1">
                  <c:v>84.29</c:v>
                </c:pt>
                <c:pt idx="2">
                  <c:v>85.94</c:v>
                </c:pt>
                <c:pt idx="3">
                  <c:v>86.424999999999997</c:v>
                </c:pt>
                <c:pt idx="4">
                  <c:v>86.855000000000004</c:v>
                </c:pt>
                <c:pt idx="5">
                  <c:v>86.96</c:v>
                </c:pt>
                <c:pt idx="6">
                  <c:v>88.41</c:v>
                </c:pt>
                <c:pt idx="7">
                  <c:v>85.23</c:v>
                </c:pt>
                <c:pt idx="8">
                  <c:v>85.21</c:v>
                </c:pt>
                <c:pt idx="9">
                  <c:v>89.4</c:v>
                </c:pt>
                <c:pt idx="10">
                  <c:v>90.54</c:v>
                </c:pt>
                <c:pt idx="11">
                  <c:v>93.64</c:v>
                </c:pt>
                <c:pt idx="12">
                  <c:v>98.25</c:v>
                </c:pt>
                <c:pt idx="13">
                  <c:v>90.77</c:v>
                </c:pt>
                <c:pt idx="14">
                  <c:v>94.894999999999996</c:v>
                </c:pt>
                <c:pt idx="15">
                  <c:v>86.305000000000007</c:v>
                </c:pt>
                <c:pt idx="16">
                  <c:v>87</c:v>
                </c:pt>
                <c:pt idx="17">
                  <c:v>87</c:v>
                </c:pt>
                <c:pt idx="18">
                  <c:v>88.86</c:v>
                </c:pt>
                <c:pt idx="19">
                  <c:v>83.33</c:v>
                </c:pt>
                <c:pt idx="20">
                  <c:v>1094.69</c:v>
                </c:pt>
              </c:numCache>
            </c:numRef>
          </c:xVal>
          <c:yVal>
            <c:numRef>
              <c:f>ChaRSI!$F$36:$Z$36</c:f>
              <c:numCache>
                <c:formatCode>0%</c:formatCode>
                <c:ptCount val="21"/>
                <c:pt idx="0">
                  <c:v>0.67557803367489599</c:v>
                </c:pt>
                <c:pt idx="1">
                  <c:v>1.1183310007836755</c:v>
                </c:pt>
                <c:pt idx="2">
                  <c:v>0.94815969694291125</c:v>
                </c:pt>
                <c:pt idx="3">
                  <c:v>1.0146735398758842</c:v>
                </c:pt>
                <c:pt idx="4">
                  <c:v>0.64566621491984777</c:v>
                </c:pt>
                <c:pt idx="5">
                  <c:v>0.74442744603141142</c:v>
                </c:pt>
                <c:pt idx="6">
                  <c:v>0.85436339304225273</c:v>
                </c:pt>
                <c:pt idx="7">
                  <c:v>0.89063494650373998</c:v>
                </c:pt>
                <c:pt idx="8">
                  <c:v>1.5541500376295659E-3</c:v>
                </c:pt>
                <c:pt idx="9">
                  <c:v>0.79505362312829442</c:v>
                </c:pt>
                <c:pt idx="10">
                  <c:v>0.73614304363528482</c:v>
                </c:pt>
                <c:pt idx="11">
                  <c:v>0.58182048030769118</c:v>
                </c:pt>
                <c:pt idx="12">
                  <c:v>1.0799935463894499</c:v>
                </c:pt>
                <c:pt idx="13">
                  <c:v>1.6389004097376347</c:v>
                </c:pt>
                <c:pt idx="14">
                  <c:v>0.94729675777519262</c:v>
                </c:pt>
                <c:pt idx="15">
                  <c:v>1.3575846715291022</c:v>
                </c:pt>
                <c:pt idx="16">
                  <c:v>1.1985824101588962</c:v>
                </c:pt>
                <c:pt idx="17">
                  <c:v>1.1985872034550706</c:v>
                </c:pt>
                <c:pt idx="18">
                  <c:v>1.1193396111995468</c:v>
                </c:pt>
                <c:pt idx="19">
                  <c:v>1.626865193587236</c:v>
                </c:pt>
                <c:pt idx="20">
                  <c:v>1.5614994580883679</c:v>
                </c:pt>
              </c:numCache>
            </c:numRef>
          </c:yVal>
          <c:smooth val="1"/>
          <c:extLst>
            <c:ext xmlns:c16="http://schemas.microsoft.com/office/drawing/2014/chart" uri="{C3380CC4-5D6E-409C-BE32-E72D297353CC}">
              <c16:uniqueId val="{00000001-0914-6F46-BE5A-D9C75ECD64FC}"/>
            </c:ext>
          </c:extLst>
        </c:ser>
        <c:dLbls>
          <c:showLegendKey val="0"/>
          <c:showVal val="0"/>
          <c:showCatName val="0"/>
          <c:showSerName val="0"/>
          <c:showPercent val="0"/>
          <c:showBubbleSize val="0"/>
        </c:dLbls>
        <c:axId val="1992820480"/>
        <c:axId val="1326271232"/>
      </c:scatterChart>
      <c:valAx>
        <c:axId val="379904832"/>
        <c:scaling>
          <c:orientation val="minMax"/>
          <c:max val="1253.7635"/>
          <c:min val="389.21849999999995"/>
        </c:scaling>
        <c:delete val="0"/>
        <c:axPos val="b"/>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132627123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992820480"/>
        <c:crosses val="max"/>
        <c:crossBetween val="midCat"/>
      </c:valAx>
      <c:valAx>
        <c:axId val="1992820480"/>
        <c:scaling>
          <c:orientation val="minMax"/>
        </c:scaling>
        <c:delete val="1"/>
        <c:axPos val="b"/>
        <c:numFmt formatCode="General" sourceLinked="1"/>
        <c:majorTickMark val="out"/>
        <c:minorTickMark val="none"/>
        <c:tickLblPos val="nextTo"/>
        <c:crossAx val="13262712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ChaRSI!$Z$1</c:f>
          <c:strCache>
            <c:ptCount val="1"/>
            <c:pt idx="0">
              <c:v>NFLX (2 Week Movement RSI:Agio)</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51.007316666666668</c:v>
                </c:pt>
                <c:pt idx="10">
                  <c:v>1233.56</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0E-6005-284E-A529-F250CBFCD948}"/>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F-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1233.56</c:v>
                </c:pt>
                <c:pt idx="10">
                  <c:v>1233.56</c:v>
                </c:pt>
              </c:numCache>
            </c:numRef>
          </c:xVal>
          <c:yVal>
            <c:numRef>
              <c:f>ChaRSI!$P$43:$Z$43</c:f>
              <c:numCache>
                <c:formatCode>General</c:formatCode>
                <c:ptCount val="11"/>
                <c:pt idx="0" formatCode="0">
                  <c:v>61.600000000000009</c:v>
                </c:pt>
                <c:pt idx="10" formatCode="0">
                  <c:v>55.440000000000012</c:v>
                </c:pt>
              </c:numCache>
            </c:numRef>
          </c:yVal>
          <c:smooth val="1"/>
          <c:extLst>
            <c:ext xmlns:c16="http://schemas.microsoft.com/office/drawing/2014/chart" uri="{C3380CC4-5D6E-409C-BE32-E72D297353CC}">
              <c16:uniqueId val="{00000010-6005-284E-A529-F250CBFCD948}"/>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1-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1096.8800000000001</c:v>
                </c:pt>
                <c:pt idx="10">
                  <c:v>1096.8800000000001</c:v>
                </c:pt>
              </c:numCache>
            </c:numRef>
          </c:xVal>
          <c:yVal>
            <c:numRef>
              <c:f>ChaRSI!$P$42:$Z$42</c:f>
              <c:numCache>
                <c:formatCode>General</c:formatCode>
                <c:ptCount val="11"/>
                <c:pt idx="0" formatCode="0">
                  <c:v>67.2</c:v>
                </c:pt>
                <c:pt idx="10" formatCode="0">
                  <c:v>60.480000000000004</c:v>
                </c:pt>
              </c:numCache>
            </c:numRef>
          </c:yVal>
          <c:smooth val="1"/>
          <c:extLst>
            <c:ext xmlns:c16="http://schemas.microsoft.com/office/drawing/2014/chart" uri="{C3380CC4-5D6E-409C-BE32-E72D297353CC}">
              <c16:uniqueId val="{00000012-6005-284E-A529-F250CBFCD948}"/>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14-6005-284E-A529-F250CBFCD948}"/>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5-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1094.69</c:v>
                </c:pt>
                <c:pt idx="10">
                  <c:v>1094.69</c:v>
                </c:pt>
              </c:numCache>
            </c:numRef>
          </c:xVal>
          <c:yVal>
            <c:numRef>
              <c:f>ChaRSI!$P$40:$Z$40</c:f>
              <c:numCache>
                <c:formatCode>General</c:formatCode>
                <c:ptCount val="11"/>
                <c:pt idx="0" formatCode="0">
                  <c:v>78.399999999999991</c:v>
                </c:pt>
                <c:pt idx="10" formatCode="0">
                  <c:v>0</c:v>
                </c:pt>
              </c:numCache>
            </c:numRef>
          </c:yVal>
          <c:smooth val="1"/>
          <c:extLst>
            <c:ext xmlns:c16="http://schemas.microsoft.com/office/drawing/2014/chart" uri="{C3380CC4-5D6E-409C-BE32-E72D297353CC}">
              <c16:uniqueId val="{00000016-6005-284E-A529-F250CBFCD948}"/>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BF1B-2548-A357-D187E2C7901F}"/>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7-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ChaRSI!$P$51:$Z$51</c:f>
              <c:numCache>
                <c:formatCode>General</c:formatCode>
                <c:ptCount val="11"/>
                <c:pt idx="0" formatCode="#,##0.00">
                  <c:v>51.007316666666668</c:v>
                </c:pt>
                <c:pt idx="10" formatCode="0.00">
                  <c:v>51.007316666666668</c:v>
                </c:pt>
              </c:numCache>
            </c:numRef>
          </c:xVal>
          <c:yVal>
            <c:numRef>
              <c:f>ChaRSI!$P$41:$Z$41</c:f>
              <c:numCache>
                <c:formatCode>General</c:formatCode>
                <c:ptCount val="11"/>
                <c:pt idx="0" formatCode="0">
                  <c:v>72.8</c:v>
                </c:pt>
                <c:pt idx="10" formatCode="0">
                  <c:v>65.52</c:v>
                </c:pt>
              </c:numCache>
            </c:numRef>
          </c:yVal>
          <c:smooth val="1"/>
          <c:extLst>
            <c:ext xmlns:c16="http://schemas.microsoft.com/office/drawing/2014/chart" uri="{C3380CC4-5D6E-409C-BE32-E72D297353CC}">
              <c16:uniqueId val="{00000018-6005-284E-A529-F250CBFCD948}"/>
            </c:ext>
          </c:extLst>
        </c:ser>
        <c:dLbls>
          <c:showLegendKey val="0"/>
          <c:showVal val="0"/>
          <c:showCatName val="0"/>
          <c:showSerName val="0"/>
          <c:showPercent val="0"/>
          <c:showBubbleSize val="0"/>
        </c:dLbls>
        <c:axId val="137044640"/>
        <c:axId val="137046352"/>
      </c:scatterChar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005-284E-A529-F250CBFCD94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90.54</c:v>
                </c:pt>
                <c:pt idx="1">
                  <c:v>93.64</c:v>
                </c:pt>
                <c:pt idx="2">
                  <c:v>98.25</c:v>
                </c:pt>
                <c:pt idx="3">
                  <c:v>90.77</c:v>
                </c:pt>
                <c:pt idx="4">
                  <c:v>94.894999999999996</c:v>
                </c:pt>
                <c:pt idx="5">
                  <c:v>86.305000000000007</c:v>
                </c:pt>
                <c:pt idx="6">
                  <c:v>87</c:v>
                </c:pt>
                <c:pt idx="7">
                  <c:v>87</c:v>
                </c:pt>
                <c:pt idx="8">
                  <c:v>88.86</c:v>
                </c:pt>
                <c:pt idx="9">
                  <c:v>83.33</c:v>
                </c:pt>
                <c:pt idx="10">
                  <c:v>1094.69</c:v>
                </c:pt>
              </c:numCache>
            </c:numRef>
          </c:xVal>
          <c:yVal>
            <c:numRef>
              <c:f>ChaRSI!$P$35:$Z$35</c:f>
              <c:numCache>
                <c:formatCode>0</c:formatCode>
                <c:ptCount val="11"/>
                <c:pt idx="0">
                  <c:v>53</c:v>
                </c:pt>
                <c:pt idx="1">
                  <c:v>52</c:v>
                </c:pt>
                <c:pt idx="2">
                  <c:v>52</c:v>
                </c:pt>
                <c:pt idx="3">
                  <c:v>51</c:v>
                </c:pt>
                <c:pt idx="4">
                  <c:v>55</c:v>
                </c:pt>
                <c:pt idx="5">
                  <c:v>56</c:v>
                </c:pt>
                <c:pt idx="6">
                  <c:v>39</c:v>
                </c:pt>
                <c:pt idx="7">
                  <c:v>30</c:v>
                </c:pt>
                <c:pt idx="8">
                  <c:v>29</c:v>
                </c:pt>
                <c:pt idx="9">
                  <c:v>28</c:v>
                </c:pt>
                <c:pt idx="10">
                  <c:v>28</c:v>
                </c:pt>
              </c:numCache>
            </c:numRef>
          </c:yVal>
          <c:smooth val="1"/>
          <c:extLst>
            <c:ext xmlns:c16="http://schemas.microsoft.com/office/drawing/2014/chart" uri="{C3380CC4-5D6E-409C-BE32-E72D297353CC}">
              <c16:uniqueId val="{00000001-6005-284E-A529-F250CBFCD948}"/>
            </c:ext>
          </c:extLst>
        </c:ser>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76096B56-70CB-2149-874F-80BA0C6B3F1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005-284E-A529-F250CBFCD948}"/>
                </c:ext>
              </c:extLst>
            </c:dLbl>
            <c:dLbl>
              <c:idx val="1"/>
              <c:tx>
                <c:rich>
                  <a:bodyPr/>
                  <a:lstStyle/>
                  <a:p>
                    <a:fld id="{AE8E1ACA-E0F6-D842-B23A-2904533766E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005-284E-A529-F250CBFCD948}"/>
                </c:ext>
              </c:extLst>
            </c:dLbl>
            <c:dLbl>
              <c:idx val="2"/>
              <c:tx>
                <c:rich>
                  <a:bodyPr/>
                  <a:lstStyle/>
                  <a:p>
                    <a:fld id="{C2AD1BD2-7525-264A-85EA-60B0D8A406F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005-284E-A529-F250CBFCD948}"/>
                </c:ext>
              </c:extLst>
            </c:dLbl>
            <c:dLbl>
              <c:idx val="3"/>
              <c:tx>
                <c:rich>
                  <a:bodyPr/>
                  <a:lstStyle/>
                  <a:p>
                    <a:fld id="{2EF6E6A7-6F94-0A4B-AFC1-AF83910A975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005-284E-A529-F250CBFCD948}"/>
                </c:ext>
              </c:extLst>
            </c:dLbl>
            <c:dLbl>
              <c:idx val="4"/>
              <c:tx>
                <c:rich>
                  <a:bodyPr/>
                  <a:lstStyle/>
                  <a:p>
                    <a:fld id="{E410AFDB-4FA6-A54D-8E33-4354DB36814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005-284E-A529-F250CBFCD948}"/>
                </c:ext>
              </c:extLst>
            </c:dLbl>
            <c:dLbl>
              <c:idx val="5"/>
              <c:tx>
                <c:rich>
                  <a:bodyPr/>
                  <a:lstStyle/>
                  <a:p>
                    <a:fld id="{3B1E773E-95BB-0C4A-95D1-AA3E9CA6321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005-284E-A529-F250CBFCD948}"/>
                </c:ext>
              </c:extLst>
            </c:dLbl>
            <c:dLbl>
              <c:idx val="6"/>
              <c:tx>
                <c:rich>
                  <a:bodyPr/>
                  <a:lstStyle/>
                  <a:p>
                    <a:fld id="{CE85442D-BE36-894E-8252-A85C0BF97A0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005-284E-A529-F250CBFCD948}"/>
                </c:ext>
              </c:extLst>
            </c:dLbl>
            <c:dLbl>
              <c:idx val="7"/>
              <c:tx>
                <c:rich>
                  <a:bodyPr/>
                  <a:lstStyle/>
                  <a:p>
                    <a:fld id="{A9C0CAEF-E647-8340-AC05-23085D0A44C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005-284E-A529-F250CBFCD948}"/>
                </c:ext>
              </c:extLst>
            </c:dLbl>
            <c:dLbl>
              <c:idx val="8"/>
              <c:tx>
                <c:rich>
                  <a:bodyPr/>
                  <a:lstStyle/>
                  <a:p>
                    <a:fld id="{5211C494-08D4-3443-A823-59AB62DE9F2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005-284E-A529-F250CBFCD948}"/>
                </c:ext>
              </c:extLst>
            </c:dLbl>
            <c:dLbl>
              <c:idx val="9"/>
              <c:tx>
                <c:rich>
                  <a:bodyPr/>
                  <a:lstStyle/>
                  <a:p>
                    <a:fld id="{B08CDFE4-08FD-7E44-8240-EFD237723C1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6005-284E-A529-F250CBFCD948}"/>
                </c:ext>
              </c:extLst>
            </c:dLbl>
            <c:dLbl>
              <c:idx val="10"/>
              <c:tx>
                <c:rich>
                  <a:bodyPr/>
                  <a:lstStyle/>
                  <a:p>
                    <a:fld id="{ADE64C00-4841-AA4B-B3CC-356EC7C0794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6005-284E-A529-F250CBFCD948}"/>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90.54</c:v>
                </c:pt>
                <c:pt idx="1">
                  <c:v>93.64</c:v>
                </c:pt>
                <c:pt idx="2">
                  <c:v>98.25</c:v>
                </c:pt>
                <c:pt idx="3">
                  <c:v>90.77</c:v>
                </c:pt>
                <c:pt idx="4">
                  <c:v>94.894999999999996</c:v>
                </c:pt>
                <c:pt idx="5">
                  <c:v>86.305000000000007</c:v>
                </c:pt>
                <c:pt idx="6">
                  <c:v>87</c:v>
                </c:pt>
                <c:pt idx="7">
                  <c:v>87</c:v>
                </c:pt>
                <c:pt idx="8">
                  <c:v>88.86</c:v>
                </c:pt>
                <c:pt idx="9">
                  <c:v>83.33</c:v>
                </c:pt>
                <c:pt idx="10">
                  <c:v>1094.69</c:v>
                </c:pt>
              </c:numCache>
            </c:numRef>
          </c:xVal>
          <c:yVal>
            <c:numRef>
              <c:f>ChaRSI!$P$36:$Z$36</c:f>
              <c:numCache>
                <c:formatCode>0%</c:formatCode>
                <c:ptCount val="11"/>
                <c:pt idx="0">
                  <c:v>0.73614304363528482</c:v>
                </c:pt>
                <c:pt idx="1">
                  <c:v>0.58182048030769118</c:v>
                </c:pt>
                <c:pt idx="2">
                  <c:v>1.0799935463894499</c:v>
                </c:pt>
                <c:pt idx="3">
                  <c:v>1.6389004097376347</c:v>
                </c:pt>
                <c:pt idx="4">
                  <c:v>0.94729675777519262</c:v>
                </c:pt>
                <c:pt idx="5">
                  <c:v>1.3575846715291022</c:v>
                </c:pt>
                <c:pt idx="6">
                  <c:v>1.1985824101588962</c:v>
                </c:pt>
                <c:pt idx="7">
                  <c:v>1.1985872034550706</c:v>
                </c:pt>
                <c:pt idx="8">
                  <c:v>1.1193396111995468</c:v>
                </c:pt>
                <c:pt idx="9">
                  <c:v>1.626865193587236</c:v>
                </c:pt>
                <c:pt idx="10">
                  <c:v>1.5614994580883679</c:v>
                </c:pt>
              </c:numCache>
            </c:numRef>
          </c:yVal>
          <c:smooth val="1"/>
          <c:extLst>
            <c:ext xmlns:c15="http://schemas.microsoft.com/office/drawing/2012/chart" uri="{02D57815-91ED-43cb-92C2-25804820EDAC}">
              <c15:datalabelsRange>
                <c15:f>ChaCha!$P$33:$Z$33</c15:f>
                <c15:dlblRangeCache>
                  <c:ptCount val="11"/>
                  <c:pt idx="0">
                    <c:v>13-Oct</c:v>
                  </c:pt>
                  <c:pt idx="10">
                    <c:v>26-Oct</c:v>
                  </c:pt>
                </c15:dlblRangeCache>
              </c15:datalabelsRange>
            </c:ext>
            <c:ext xmlns:c16="http://schemas.microsoft.com/office/drawing/2014/chart" uri="{C3380CC4-5D6E-409C-BE32-E72D297353CC}">
              <c16:uniqueId val="{0000000D-6005-284E-A529-F250CBFCD948}"/>
            </c:ext>
          </c:extLst>
        </c:ser>
        <c:dLbls>
          <c:showLegendKey val="0"/>
          <c:showVal val="0"/>
          <c:showCatName val="0"/>
          <c:showSerName val="0"/>
          <c:showPercent val="0"/>
          <c:showBubbleSize val="0"/>
        </c:dLbls>
        <c:axId val="1833280512"/>
        <c:axId val="1833487392"/>
      </c:scatterChart>
      <c:valAx>
        <c:axId val="137044640"/>
        <c:scaling>
          <c:orientation val="minMax"/>
          <c:max val="1253.7635"/>
          <c:min val="1088.7624000000001"/>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tailEnd type="triangle"/>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833487392"/>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3280512"/>
        <c:crosses val="max"/>
        <c:crossBetween val="midCat"/>
      </c:valAx>
      <c:valAx>
        <c:axId val="1833280512"/>
        <c:scaling>
          <c:orientation val="minMax"/>
        </c:scaling>
        <c:delete val="1"/>
        <c:axPos val="b"/>
        <c:numFmt formatCode="General" sourceLinked="1"/>
        <c:majorTickMark val="out"/>
        <c:minorTickMark val="none"/>
        <c:tickLblPos val="nextTo"/>
        <c:crossAx val="1833487392"/>
        <c:crosses val="autoZero"/>
        <c:crossBetween val="midCat"/>
      </c:valAx>
      <c:spPr>
        <a:noFill/>
        <a:ln>
          <a:no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ChaCha!$M$1</c:f>
          <c:strCache>
            <c:ptCount val="1"/>
            <c:pt idx="0">
              <c:v>NFLX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accent1">
                          <a:lumMod val="60000"/>
                          <a:lumOff val="40000"/>
                        </a:schemeClr>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9-FED2-B340-B428-78F55FAD759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ChaCha!$P$56:$Z$56</c:f>
              <c:numCache>
                <c:formatCode>General</c:formatCode>
                <c:ptCount val="11"/>
                <c:pt idx="0">
                  <c:v>90.54</c:v>
                </c:pt>
                <c:pt idx="1">
                  <c:v>93.64</c:v>
                </c:pt>
                <c:pt idx="2">
                  <c:v>98.25</c:v>
                </c:pt>
                <c:pt idx="3">
                  <c:v>90.77</c:v>
                </c:pt>
                <c:pt idx="4">
                  <c:v>94.894999999999996</c:v>
                </c:pt>
                <c:pt idx="5">
                  <c:v>86.305000000000007</c:v>
                </c:pt>
                <c:pt idx="6">
                  <c:v>87</c:v>
                </c:pt>
                <c:pt idx="7">
                  <c:v>87</c:v>
                </c:pt>
                <c:pt idx="8">
                  <c:v>88.86</c:v>
                </c:pt>
                <c:pt idx="9">
                  <c:v>83.33</c:v>
                </c:pt>
                <c:pt idx="10">
                  <c:v>1094.69</c:v>
                </c:pt>
              </c:numCache>
            </c:numRef>
          </c:xVal>
          <c:yVal>
            <c:numRef>
              <c:f>ChaCha!$P$35:$Z$35</c:f>
              <c:numCache>
                <c:formatCode>0</c:formatCode>
                <c:ptCount val="11"/>
                <c:pt idx="0">
                  <c:v>458.75087438792843</c:v>
                </c:pt>
                <c:pt idx="1">
                  <c:v>1231.7417807534725</c:v>
                </c:pt>
                <c:pt idx="2">
                  <c:v>1795.2872988907766</c:v>
                </c:pt>
                <c:pt idx="3">
                  <c:v>-2745.5980813430597</c:v>
                </c:pt>
                <c:pt idx="4">
                  <c:v>1634.8755870890377</c:v>
                </c:pt>
                <c:pt idx="5">
                  <c:v>-3254.749675227341</c:v>
                </c:pt>
                <c:pt idx="6">
                  <c:v>283.40961327071051</c:v>
                </c:pt>
                <c:pt idx="7">
                  <c:v>283.40961327071051</c:v>
                </c:pt>
                <c:pt idx="8">
                  <c:v>764.89657239932046</c:v>
                </c:pt>
                <c:pt idx="9">
                  <c:v>-2257.7795543119814</c:v>
                </c:pt>
                <c:pt idx="10">
                  <c:v>-610.56460477665632</c:v>
                </c:pt>
              </c:numCache>
            </c:numRef>
          </c:yVal>
          <c:smooth val="1"/>
          <c:extLst>
            <c:ext xmlns:c16="http://schemas.microsoft.com/office/drawing/2014/chart" uri="{C3380CC4-5D6E-409C-BE32-E72D297353CC}">
              <c16:uniqueId val="{00000015-FED2-B340-B428-78F55FAD759C}"/>
            </c:ext>
          </c:extLst>
        </c:ser>
        <c:ser>
          <c:idx val="3"/>
          <c:order val="3"/>
          <c:tx>
            <c:strRef>
              <c:f>ChaCha!$A$44</c:f>
              <c:strCache>
                <c:ptCount val="1"/>
                <c:pt idx="0">
                  <c:v>Last Sale</c:v>
                </c:pt>
              </c:strCache>
            </c:strRef>
          </c:tx>
          <c:spPr>
            <a:ln w="63500" cap="rnd">
              <a:solidFill>
                <a:schemeClr val="accent4"/>
              </a:solidFill>
              <a:round/>
            </a:ln>
            <a:effectLst/>
          </c:spPr>
          <c:marker>
            <c:symbol val="circle"/>
            <c:size val="5"/>
            <c:spPr>
              <a:solidFill>
                <a:schemeClr val="accent4"/>
              </a:solidFill>
              <a:ln w="9525">
                <a:solidFill>
                  <a:schemeClr val="accent4"/>
                </a:solidFill>
              </a:ln>
              <a:effectLst/>
            </c:spPr>
          </c:marker>
          <c:dPt>
            <c:idx val="10"/>
            <c:marker>
              <c:symbol val="circle"/>
              <c:size val="5"/>
              <c:spPr>
                <a:solidFill>
                  <a:schemeClr val="accent4"/>
                </a:solidFill>
                <a:ln w="9525">
                  <a:solidFill>
                    <a:schemeClr val="accent4"/>
                  </a:solidFill>
                </a:ln>
                <a:effectLst/>
              </c:spPr>
            </c:marker>
            <c:bubble3D val="0"/>
            <c:spPr>
              <a:ln w="63500" cap="rnd">
                <a:solidFill>
                  <a:srgbClr val="FFC000"/>
                </a:solidFill>
                <a:round/>
              </a:ln>
              <a:effectLst/>
            </c:spPr>
            <c:extLst>
              <c:ext xmlns:c16="http://schemas.microsoft.com/office/drawing/2014/chart" uri="{C3380CC4-5D6E-409C-BE32-E72D297353CC}">
                <c16:uniqueId val="{00000001-3E21-4140-B2B2-6D721E73A9C9}"/>
              </c:ext>
            </c:extLst>
          </c:dPt>
          <c:dLbls>
            <c:dLbl>
              <c:idx val="0"/>
              <c:delete val="1"/>
              <c:extLst>
                <c:ext xmlns:c15="http://schemas.microsoft.com/office/drawing/2012/chart" uri="{CE6537A1-D6FC-4f65-9D91-7224C49458BB}"/>
                <c:ext xmlns:c16="http://schemas.microsoft.com/office/drawing/2014/chart" uri="{C3380CC4-5D6E-409C-BE32-E72D297353CC}">
                  <c16:uniqueId val="{00000002-3E21-4140-B2B2-6D721E73A9C9}"/>
                </c:ext>
              </c:extLst>
            </c:dLbl>
            <c:dLbl>
              <c:idx val="10"/>
              <c:dLblPos val="b"/>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E21-4140-B2B2-6D721E73A9C9}"/>
                </c:ext>
              </c:extLst>
            </c:dLbl>
            <c:spPr>
              <a:noFill/>
              <a:ln>
                <a:noFill/>
              </a:ln>
              <a:effectLst>
                <a:innerShdw blurRad="63500" dist="50800" dir="8100000">
                  <a:prstClr val="black">
                    <a:alpha val="50000"/>
                  </a:prstClr>
                </a:innerShdw>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ct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ChaCha!$P$44:$Z$44</c:f>
              <c:numCache>
                <c:formatCode>General</c:formatCode>
                <c:ptCount val="11"/>
                <c:pt idx="0">
                  <c:v>1233.56</c:v>
                </c:pt>
                <c:pt idx="10">
                  <c:v>1233.56</c:v>
                </c:pt>
              </c:numCache>
            </c:numRef>
          </c:xVal>
          <c:yVal>
            <c:numRef>
              <c:f>ChaCha!$P$41:$Z$41</c:f>
              <c:numCache>
                <c:formatCode>General</c:formatCode>
                <c:ptCount val="11"/>
                <c:pt idx="0" formatCode="0">
                  <c:v>8418.1073248725897</c:v>
                </c:pt>
                <c:pt idx="10" formatCode="0">
                  <c:v>-4231.174577795543</c:v>
                </c:pt>
              </c:numCache>
            </c:numRef>
          </c:yVal>
          <c:smooth val="1"/>
          <c:extLst>
            <c:ext xmlns:c16="http://schemas.microsoft.com/office/drawing/2014/chart" uri="{C3380CC4-5D6E-409C-BE32-E72D297353CC}">
              <c16:uniqueId val="{00000000-34D2-BA41-937D-F983D2717CE6}"/>
            </c:ext>
          </c:extLst>
        </c:ser>
        <c:ser>
          <c:idx val="4"/>
          <c:order val="4"/>
          <c:tx>
            <c:strRef>
              <c:f>ChaCha!$A$45</c:f>
              <c:strCache>
                <c:ptCount val="1"/>
                <c:pt idx="0">
                  <c:v>Last Buy</c:v>
                </c:pt>
              </c:strCache>
            </c:strRef>
          </c:tx>
          <c:spPr>
            <a:ln w="63500" cap="rnd">
              <a:solidFill>
                <a:srgbClr val="FFC000"/>
              </a:solidFill>
              <a:round/>
            </a:ln>
            <a:effectLst>
              <a:outerShdw blurRad="50800" dist="50800" dir="5400000" sx="52000" sy="52000" algn="ctr" rotWithShape="0">
                <a:srgbClr val="000000">
                  <a:alpha val="43137"/>
                </a:srgbClr>
              </a:outerShdw>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Pt>
            <c:idx val="10"/>
            <c:marker>
              <c:symbol val="circle"/>
              <c:size val="5"/>
              <c:spPr>
                <a:solidFill>
                  <a:schemeClr val="accent5"/>
                </a:solidFill>
                <a:ln w="9525">
                  <a:solidFill>
                    <a:schemeClr val="accent5"/>
                  </a:solidFill>
                </a:ln>
                <a:effectLst>
                  <a:innerShdw blurRad="127000" dist="188997">
                    <a:prstClr val="black"/>
                  </a:innerShdw>
                </a:effectLst>
              </c:spPr>
            </c:marker>
            <c:bubble3D val="0"/>
            <c:spPr>
              <a:ln w="63500" cap="rnd">
                <a:solidFill>
                  <a:srgbClr val="FFC000"/>
                </a:solidFill>
                <a:round/>
              </a:ln>
              <a:effectLst>
                <a:innerShdw blurRad="127000" dist="188997">
                  <a:prstClr val="black"/>
                </a:innerShdw>
              </a:effectLst>
            </c:spPr>
            <c:extLst>
              <c:ext xmlns:c16="http://schemas.microsoft.com/office/drawing/2014/chart" uri="{C3380CC4-5D6E-409C-BE32-E72D297353CC}">
                <c16:uniqueId val="{00000004-3E21-4140-B2B2-6D721E73A9C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r"/>
              <c:showLegendKey val="0"/>
              <c:showVal val="0"/>
              <c:showCatName val="1"/>
              <c:showSerName val="1"/>
              <c:showPercent val="0"/>
              <c:showBubbleSize val="0"/>
              <c:extLst>
                <c:ext xmlns:c16="http://schemas.microsoft.com/office/drawing/2014/chart" uri="{C3380CC4-5D6E-409C-BE32-E72D297353CC}">
                  <c16:uniqueId val="{00000003-3E21-4140-B2B2-6D721E73A9C9}"/>
                </c:ext>
              </c:extLst>
            </c:dLbl>
            <c:dLbl>
              <c:idx val="10"/>
              <c:delete val="1"/>
              <c:extLst>
                <c:ext xmlns:c15="http://schemas.microsoft.com/office/drawing/2012/chart" uri="{CE6537A1-D6FC-4f65-9D91-7224C49458BB}"/>
                <c:ext xmlns:c16="http://schemas.microsoft.com/office/drawing/2014/chart" uri="{C3380CC4-5D6E-409C-BE32-E72D297353CC}">
                  <c16:uniqueId val="{00000004-3E21-4140-B2B2-6D721E73A9C9}"/>
                </c:ext>
              </c:extLst>
            </c:dLbl>
            <c:spPr>
              <a:noFill/>
              <a:ln>
                <a:noFill/>
              </a:ln>
              <a:effectLst>
                <a:glow rad="228600">
                  <a:schemeClr val="accent2">
                    <a:satMod val="175000"/>
                  </a:schemeClr>
                </a:glow>
                <a:innerShdw blurRad="63500" dist="50800" dir="5400000">
                  <a:srgbClr val="FF0000">
                    <a:alpha val="50000"/>
                  </a:srgbClr>
                </a:inn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ChaCha!$P$45:$Z$45</c:f>
              <c:numCache>
                <c:formatCode>General</c:formatCode>
                <c:ptCount val="11"/>
                <c:pt idx="0">
                  <c:v>1096.8800000000001</c:v>
                </c:pt>
                <c:pt idx="10">
                  <c:v>1096.8800000000001</c:v>
                </c:pt>
              </c:numCache>
            </c:numRef>
          </c:xVal>
          <c:yVal>
            <c:numRef>
              <c:f>ChaCha!$P$41:$Z$41</c:f>
              <c:numCache>
                <c:formatCode>General</c:formatCode>
                <c:ptCount val="11"/>
                <c:pt idx="0" formatCode="0">
                  <c:v>8418.1073248725897</c:v>
                </c:pt>
                <c:pt idx="10" formatCode="0">
                  <c:v>-4231.174577795543</c:v>
                </c:pt>
              </c:numCache>
            </c:numRef>
          </c:yVal>
          <c:smooth val="1"/>
          <c:extLst>
            <c:ext xmlns:c16="http://schemas.microsoft.com/office/drawing/2014/chart" uri="{C3380CC4-5D6E-409C-BE32-E72D297353CC}">
              <c16:uniqueId val="{00000000-3E21-4140-B2B2-6D721E73A9C9}"/>
            </c:ext>
          </c:extLst>
        </c:ser>
        <c:ser>
          <c:idx val="5"/>
          <c:order val="5"/>
          <c:tx>
            <c:strRef>
              <c:f>ChaCha!$A$50</c:f>
              <c:strCache>
                <c:ptCount val="1"/>
                <c:pt idx="0">
                  <c:v>Market</c:v>
                </c:pt>
              </c:strCache>
            </c:strRef>
          </c:tx>
          <c:spPr>
            <a:ln w="254000" cap="rnd">
              <a:solidFill>
                <a:schemeClr val="accent1">
                  <a:lumMod val="60000"/>
                  <a:lumOff val="40000"/>
                  <a:alpha val="20000"/>
                </a:schemeClr>
              </a:solidFill>
              <a:round/>
            </a:ln>
            <a:effectLst/>
          </c:spPr>
          <c:marker>
            <c:symbol val="circle"/>
            <c:size val="5"/>
            <c:spPr>
              <a:solidFill>
                <a:schemeClr val="accent6"/>
              </a:solidFill>
              <a:ln w="9525">
                <a:solidFill>
                  <a:schemeClr val="accent6"/>
                </a:solidFill>
              </a:ln>
              <a:effectLst>
                <a:glow rad="228600">
                  <a:srgbClr val="00B0F0">
                    <a:alpha val="40000"/>
                  </a:srgbClr>
                </a:glow>
                <a:innerShdw blurRad="63500" dist="132434">
                  <a:srgbClr val="FF0000">
                    <a:alpha val="50000"/>
                  </a:srgbClr>
                </a:innerShdw>
              </a:effectLst>
            </c:spPr>
          </c:marker>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82E-2E4E-B124-86400DC7994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ChaCha!$P$50:$Z$50</c:f>
              <c:numCache>
                <c:formatCode>General</c:formatCode>
                <c:ptCount val="11"/>
                <c:pt idx="0">
                  <c:v>1094.69</c:v>
                </c:pt>
                <c:pt idx="10">
                  <c:v>1094.69</c:v>
                </c:pt>
              </c:numCache>
            </c:numRef>
          </c:xVal>
          <c:yVal>
            <c:numRef>
              <c:f>ChaCha!$P$43:$Z$43</c:f>
              <c:numCache>
                <c:formatCode>General</c:formatCode>
                <c:ptCount val="11"/>
                <c:pt idx="0" formatCode="0">
                  <c:v>7123.0138902768076</c:v>
                </c:pt>
                <c:pt idx="10" formatCode="0">
                  <c:v>-3580.2246427500754</c:v>
                </c:pt>
              </c:numCache>
            </c:numRef>
          </c:yVal>
          <c:smooth val="1"/>
          <c:extLst>
            <c:ext xmlns:c16="http://schemas.microsoft.com/office/drawing/2014/chart" uri="{C3380CC4-5D6E-409C-BE32-E72D297353CC}">
              <c16:uniqueId val="{00000004-282E-2E4E-B124-86400DC79940}"/>
            </c:ext>
          </c:extLst>
        </c:ser>
        <c:ser>
          <c:idx val="6"/>
          <c:order val="6"/>
          <c:tx>
            <c:strRef>
              <c:f>ChaCha!$A$51</c:f>
              <c:strCache>
                <c:ptCount val="1"/>
                <c:pt idx="0">
                  <c:v>Effective Cost/Share</c:v>
                </c:pt>
              </c:strCache>
            </c:strRef>
          </c:tx>
          <c:spPr>
            <a:ln w="63500" cap="rnd">
              <a:solidFill>
                <a:srgbClr val="FF000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1B5-8C4A-85D9-02E883F328AF}"/>
                </c:ext>
              </c:extLst>
            </c:dLbl>
            <c:dLbl>
              <c:idx val="10"/>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C1B5-8C4A-85D9-02E883F328AF}"/>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ChaCha!$P$51:$Z$51</c:f>
              <c:numCache>
                <c:formatCode>General</c:formatCode>
                <c:ptCount val="11"/>
                <c:pt idx="0" formatCode="0.00">
                  <c:v>51.007316666666668</c:v>
                </c:pt>
                <c:pt idx="10" formatCode="0.00">
                  <c:v>51.007316666666668</c:v>
                </c:pt>
              </c:numCache>
            </c:numRef>
          </c:xVal>
          <c:yVal>
            <c:numRef>
              <c:f>ChaCha!$P$41:$Z$41</c:f>
              <c:numCache>
                <c:formatCode>General</c:formatCode>
                <c:ptCount val="11"/>
                <c:pt idx="0" formatCode="0">
                  <c:v>8418.1073248725897</c:v>
                </c:pt>
                <c:pt idx="10" formatCode="0">
                  <c:v>-4231.174577795543</c:v>
                </c:pt>
              </c:numCache>
            </c:numRef>
          </c:yVal>
          <c:smooth val="1"/>
          <c:extLst>
            <c:ext xmlns:c16="http://schemas.microsoft.com/office/drawing/2014/chart" uri="{C3380CC4-5D6E-409C-BE32-E72D297353CC}">
              <c16:uniqueId val="{00000004-C1B5-8C4A-85D9-02E883F328AF}"/>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08E70CB1-871D-8949-92AB-40DE372BA575}"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FED2-B340-B428-78F55FAD759C}"/>
                </c:ext>
              </c:extLst>
            </c:dLbl>
            <c:dLbl>
              <c:idx val="1"/>
              <c:tx>
                <c:rich>
                  <a:bodyPr/>
                  <a:lstStyle/>
                  <a:p>
                    <a:fld id="{2E704E47-26DB-5449-8EE1-5A557B9B608B}"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FED2-B340-B428-78F55FAD759C}"/>
                </c:ext>
              </c:extLst>
            </c:dLbl>
            <c:dLbl>
              <c:idx val="2"/>
              <c:tx>
                <c:rich>
                  <a:bodyPr/>
                  <a:lstStyle/>
                  <a:p>
                    <a:fld id="{7AD660ED-55D1-EB4F-84A9-4B520BA1849C}"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FED2-B340-B428-78F55FAD759C}"/>
                </c:ext>
              </c:extLst>
            </c:dLbl>
            <c:dLbl>
              <c:idx val="3"/>
              <c:tx>
                <c:rich>
                  <a:bodyPr/>
                  <a:lstStyle/>
                  <a:p>
                    <a:fld id="{B01B0DD5-A321-3349-A0AB-C1E878E02AE9}"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FED2-B340-B428-78F55FAD759C}"/>
                </c:ext>
              </c:extLst>
            </c:dLbl>
            <c:dLbl>
              <c:idx val="4"/>
              <c:tx>
                <c:rich>
                  <a:bodyPr/>
                  <a:lstStyle/>
                  <a:p>
                    <a:fld id="{E9A56252-C052-AB48-84A4-5D0FAA48F342}"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FED2-B340-B428-78F55FAD759C}"/>
                </c:ext>
              </c:extLst>
            </c:dLbl>
            <c:dLbl>
              <c:idx val="5"/>
              <c:tx>
                <c:rich>
                  <a:bodyPr/>
                  <a:lstStyle/>
                  <a:p>
                    <a:fld id="{E20E2AEB-9D43-CA44-B884-0CA587A2CAB7}"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FED2-B340-B428-78F55FAD759C}"/>
                </c:ext>
              </c:extLst>
            </c:dLbl>
            <c:dLbl>
              <c:idx val="6"/>
              <c:tx>
                <c:rich>
                  <a:bodyPr/>
                  <a:lstStyle/>
                  <a:p>
                    <a:fld id="{53E27009-5621-3947-A1E5-B48FDFA1E3E0}"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FED2-B340-B428-78F55FAD759C}"/>
                </c:ext>
              </c:extLst>
            </c:dLbl>
            <c:dLbl>
              <c:idx val="7"/>
              <c:tx>
                <c:rich>
                  <a:bodyPr/>
                  <a:lstStyle/>
                  <a:p>
                    <a:fld id="{5F9D92B1-FF28-2642-A3E1-574C5402ACE7}"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FED2-B340-B428-78F55FAD759C}"/>
                </c:ext>
              </c:extLst>
            </c:dLbl>
            <c:dLbl>
              <c:idx val="8"/>
              <c:tx>
                <c:rich>
                  <a:bodyPr/>
                  <a:lstStyle/>
                  <a:p>
                    <a:fld id="{693603DC-5C83-7D44-82C2-57BA2310F6A4}"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FED2-B340-B428-78F55FAD759C}"/>
                </c:ext>
              </c:extLst>
            </c:dLbl>
            <c:dLbl>
              <c:idx val="9"/>
              <c:tx>
                <c:rich>
                  <a:bodyPr/>
                  <a:lstStyle/>
                  <a:p>
                    <a:fld id="{8CBABB33-BB42-9044-99F0-7DCEA6FA2421}"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FED2-B340-B428-78F55FAD759C}"/>
                </c:ext>
              </c:extLst>
            </c:dLbl>
            <c:dLbl>
              <c:idx val="10"/>
              <c:tx>
                <c:rich>
                  <a:bodyPr/>
                  <a:lstStyle/>
                  <a:p>
                    <a:fld id="{FA7A5ADD-FC39-0947-AEBF-BEB3D64AEEF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0-FED2-B340-B428-78F55FAD759C}"/>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ChaCha!$P$56:$Z$56</c:f>
              <c:numCache>
                <c:formatCode>General</c:formatCode>
                <c:ptCount val="11"/>
                <c:pt idx="0">
                  <c:v>90.54</c:v>
                </c:pt>
                <c:pt idx="1">
                  <c:v>93.64</c:v>
                </c:pt>
                <c:pt idx="2">
                  <c:v>98.25</c:v>
                </c:pt>
                <c:pt idx="3">
                  <c:v>90.77</c:v>
                </c:pt>
                <c:pt idx="4">
                  <c:v>94.894999999999996</c:v>
                </c:pt>
                <c:pt idx="5">
                  <c:v>86.305000000000007</c:v>
                </c:pt>
                <c:pt idx="6">
                  <c:v>87</c:v>
                </c:pt>
                <c:pt idx="7">
                  <c:v>87</c:v>
                </c:pt>
                <c:pt idx="8">
                  <c:v>88.86</c:v>
                </c:pt>
                <c:pt idx="9">
                  <c:v>83.33</c:v>
                </c:pt>
                <c:pt idx="10">
                  <c:v>1094.69</c:v>
                </c:pt>
              </c:numCache>
            </c:numRef>
          </c:xVal>
          <c:yVal>
            <c:numRef>
              <c:f>ChaCha!$P$36:$Z$36</c:f>
              <c:numCache>
                <c:formatCode>0</c:formatCode>
                <c:ptCount val="11"/>
                <c:pt idx="0">
                  <c:v>264.82611742650397</c:v>
                </c:pt>
                <c:pt idx="1">
                  <c:v>209.30885671107109</c:v>
                </c:pt>
                <c:pt idx="2">
                  <c:v>388.52570870410909</c:v>
                </c:pt>
                <c:pt idx="3">
                  <c:v>589.59143350209706</c:v>
                </c:pt>
                <c:pt idx="4">
                  <c:v>340.78828100236768</c:v>
                </c:pt>
                <c:pt idx="5">
                  <c:v>488.38860972367024</c:v>
                </c:pt>
                <c:pt idx="6">
                  <c:v>431.18783617188234</c:v>
                </c:pt>
                <c:pt idx="7">
                  <c:v>431.18956055143946</c:v>
                </c:pt>
                <c:pt idx="8">
                  <c:v>402.68038376320266</c:v>
                </c:pt>
                <c:pt idx="9">
                  <c:v>585.26178644089634</c:v>
                </c:pt>
                <c:pt idx="10">
                  <c:v>561.74658230419948</c:v>
                </c:pt>
              </c:numCache>
            </c:numRef>
          </c:yVal>
          <c:smooth val="1"/>
          <c:extLst>
            <c:ext xmlns:c15="http://schemas.microsoft.com/office/drawing/2012/chart" uri="{02D57815-91ED-43cb-92C2-25804820EDAC}">
              <c15:datalabelsRange>
                <c15:f>ChaCha!$P$33:$Z$33</c15:f>
                <c15:dlblRangeCache>
                  <c:ptCount val="11"/>
                  <c:pt idx="0">
                    <c:v>13-Oct</c:v>
                  </c:pt>
                  <c:pt idx="10">
                    <c:v>26-Oct</c:v>
                  </c:pt>
                </c15:dlblRangeCache>
              </c15:datalabelsRange>
            </c:ext>
            <c:ext xmlns:c16="http://schemas.microsoft.com/office/drawing/2014/chart" uri="{C3380CC4-5D6E-409C-BE32-E72D297353CC}">
              <c16:uniqueId val="{0000002B-FED2-B340-B428-78F55FAD759C}"/>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ChaCha!$P$56:$Z$56</c:f>
              <c:numCache>
                <c:formatCode>General</c:formatCode>
                <c:ptCount val="11"/>
                <c:pt idx="0">
                  <c:v>90.54</c:v>
                </c:pt>
                <c:pt idx="1">
                  <c:v>93.64</c:v>
                </c:pt>
                <c:pt idx="2">
                  <c:v>98.25</c:v>
                </c:pt>
                <c:pt idx="3">
                  <c:v>90.77</c:v>
                </c:pt>
                <c:pt idx="4">
                  <c:v>94.894999999999996</c:v>
                </c:pt>
                <c:pt idx="5">
                  <c:v>86.305000000000007</c:v>
                </c:pt>
                <c:pt idx="6">
                  <c:v>87</c:v>
                </c:pt>
                <c:pt idx="7">
                  <c:v>87</c:v>
                </c:pt>
                <c:pt idx="8">
                  <c:v>88.86</c:v>
                </c:pt>
                <c:pt idx="9">
                  <c:v>83.33</c:v>
                </c:pt>
                <c:pt idx="10">
                  <c:v>1094.69</c:v>
                </c:pt>
              </c:numCache>
            </c:numRef>
          </c:xVal>
          <c:yVal>
            <c:numRef>
              <c:f>ChaCha!$P$60:$Z$60</c:f>
              <c:numCache>
                <c:formatCode>0%</c:formatCode>
                <c:ptCount val="11"/>
                <c:pt idx="0">
                  <c:v>359.74817627660639</c:v>
                </c:pt>
                <c:pt idx="1">
                  <c:v>359.74817627660639</c:v>
                </c:pt>
                <c:pt idx="2">
                  <c:v>359.74817627660639</c:v>
                </c:pt>
                <c:pt idx="3">
                  <c:v>359.74817627660639</c:v>
                </c:pt>
                <c:pt idx="4">
                  <c:v>359.74817627660639</c:v>
                </c:pt>
                <c:pt idx="5">
                  <c:v>359.74817627660639</c:v>
                </c:pt>
                <c:pt idx="6">
                  <c:v>359.74817627660639</c:v>
                </c:pt>
                <c:pt idx="7">
                  <c:v>359.74817627660639</c:v>
                </c:pt>
                <c:pt idx="8">
                  <c:v>359.74817627660639</c:v>
                </c:pt>
                <c:pt idx="9">
                  <c:v>359.74817627660639</c:v>
                </c:pt>
                <c:pt idx="10">
                  <c:v>359.74817627660639</c:v>
                </c:pt>
              </c:numCache>
            </c:numRef>
          </c:yVal>
          <c:smooth val="1"/>
          <c:extLst>
            <c:ext xmlns:c16="http://schemas.microsoft.com/office/drawing/2014/chart" uri="{C3380CC4-5D6E-409C-BE32-E72D297353CC}">
              <c16:uniqueId val="{0000002C-FED2-B340-B428-78F55FAD759C}"/>
            </c:ext>
          </c:extLst>
        </c:ser>
        <c:dLbls>
          <c:showLegendKey val="0"/>
          <c:showVal val="0"/>
          <c:showCatName val="0"/>
          <c:showSerName val="0"/>
          <c:showPercent val="0"/>
          <c:showBubbleSize val="0"/>
        </c:dLbls>
        <c:axId val="1158931135"/>
        <c:axId val="1173990672"/>
      </c:scatterChart>
      <c:valAx>
        <c:axId val="137044640"/>
        <c:scaling>
          <c:orientation val="minMax"/>
          <c:max val="1253.7635"/>
          <c:min val="1088.7624000000001"/>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17399067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158931135"/>
        <c:crosses val="max"/>
        <c:crossBetween val="midCat"/>
      </c:valAx>
      <c:valAx>
        <c:axId val="1158931135"/>
        <c:scaling>
          <c:orientation val="minMax"/>
        </c:scaling>
        <c:delete val="1"/>
        <c:axPos val="b"/>
        <c:numFmt formatCode="General" sourceLinked="1"/>
        <c:majorTickMark val="out"/>
        <c:minorTickMark val="none"/>
        <c:tickLblPos val="nextTo"/>
        <c:crossAx val="1173990672"/>
        <c:crosses val="autoZero"/>
        <c:crossBetween val="midCat"/>
      </c:valAx>
      <c:spPr>
        <a:noFill/>
        <a:ln>
          <a:solidFill>
            <a:schemeClr val="accent1">
              <a:lumMod val="60000"/>
              <a:lumOff val="40000"/>
            </a:schemeClr>
          </a:soli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ChaCha!$E$1</c:f>
          <c:strCache>
            <c:ptCount val="1"/>
            <c:pt idx="0">
              <c:v>NFLX History</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84.993099999999998</c:v>
                </c:pt>
                <c:pt idx="1">
                  <c:v>84.29</c:v>
                </c:pt>
                <c:pt idx="2">
                  <c:v>85.94</c:v>
                </c:pt>
                <c:pt idx="3">
                  <c:v>86.424999999999997</c:v>
                </c:pt>
                <c:pt idx="4">
                  <c:v>86.855000000000004</c:v>
                </c:pt>
                <c:pt idx="5">
                  <c:v>86.96</c:v>
                </c:pt>
                <c:pt idx="6">
                  <c:v>88.41</c:v>
                </c:pt>
                <c:pt idx="7">
                  <c:v>85.23</c:v>
                </c:pt>
                <c:pt idx="8">
                  <c:v>85.21</c:v>
                </c:pt>
                <c:pt idx="9">
                  <c:v>89.4</c:v>
                </c:pt>
                <c:pt idx="10">
                  <c:v>90.54</c:v>
                </c:pt>
                <c:pt idx="11">
                  <c:v>93.64</c:v>
                </c:pt>
                <c:pt idx="12">
                  <c:v>98.25</c:v>
                </c:pt>
                <c:pt idx="13">
                  <c:v>90.77</c:v>
                </c:pt>
                <c:pt idx="14">
                  <c:v>94.894999999999996</c:v>
                </c:pt>
                <c:pt idx="15">
                  <c:v>86.305000000000007</c:v>
                </c:pt>
                <c:pt idx="16">
                  <c:v>87</c:v>
                </c:pt>
                <c:pt idx="17">
                  <c:v>87</c:v>
                </c:pt>
                <c:pt idx="18">
                  <c:v>88.86</c:v>
                </c:pt>
                <c:pt idx="19">
                  <c:v>83.33</c:v>
                </c:pt>
                <c:pt idx="20">
                  <c:v>1094.69</c:v>
                </c:pt>
              </c:numCache>
            </c:numRef>
          </c:xVal>
          <c:yVal>
            <c:numRef>
              <c:f>ChaCha!$F$35:$Z$35</c:f>
              <c:numCache>
                <c:formatCode>0</c:formatCode>
                <c:ptCount val="21"/>
                <c:pt idx="0">
                  <c:v>-108.3921255121415</c:v>
                </c:pt>
                <c:pt idx="1">
                  <c:v>-106.37753572499251</c:v>
                </c:pt>
                <c:pt idx="2">
                  <c:v>695.50114919556313</c:v>
                </c:pt>
                <c:pt idx="3">
                  <c:v>198.7968422104527</c:v>
                </c:pt>
                <c:pt idx="4">
                  <c:v>176.88817827520737</c:v>
                </c:pt>
                <c:pt idx="5">
                  <c:v>-629.99100629559302</c:v>
                </c:pt>
                <c:pt idx="6">
                  <c:v>604.05316278604982</c:v>
                </c:pt>
                <c:pt idx="7">
                  <c:v>-1290.0569601279103</c:v>
                </c:pt>
                <c:pt idx="8">
                  <c:v>-1298.1872689117617</c:v>
                </c:pt>
                <c:pt idx="9">
                  <c:v>1800</c:v>
                </c:pt>
                <c:pt idx="10">
                  <c:v>458.75087438792843</c:v>
                </c:pt>
                <c:pt idx="11">
                  <c:v>1231.7417807534725</c:v>
                </c:pt>
                <c:pt idx="12">
                  <c:v>1795.2872988907766</c:v>
                </c:pt>
                <c:pt idx="13">
                  <c:v>-2745.5980813430597</c:v>
                </c:pt>
                <c:pt idx="14">
                  <c:v>1634.8755870890377</c:v>
                </c:pt>
                <c:pt idx="15">
                  <c:v>-3254.749675227341</c:v>
                </c:pt>
                <c:pt idx="16">
                  <c:v>283.40961327071051</c:v>
                </c:pt>
                <c:pt idx="17">
                  <c:v>283.40961327071051</c:v>
                </c:pt>
                <c:pt idx="18">
                  <c:v>764.89657239932046</c:v>
                </c:pt>
                <c:pt idx="19">
                  <c:v>-2257.7795543119814</c:v>
                </c:pt>
                <c:pt idx="20">
                  <c:v>-610.56460477665632</c:v>
                </c:pt>
              </c:numCache>
            </c:numRef>
          </c:yVal>
          <c:smooth val="1"/>
          <c:extLst>
            <c:ext xmlns:c16="http://schemas.microsoft.com/office/drawing/2014/chart" uri="{C3380CC4-5D6E-409C-BE32-E72D297353CC}">
              <c16:uniqueId val="{00000000-AA9A-0446-B3E2-B49B83C9A099}"/>
            </c:ext>
          </c:extLst>
        </c:ser>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84.993099999999998</c:v>
                </c:pt>
                <c:pt idx="1">
                  <c:v>84.29</c:v>
                </c:pt>
                <c:pt idx="2">
                  <c:v>85.94</c:v>
                </c:pt>
                <c:pt idx="3">
                  <c:v>86.424999999999997</c:v>
                </c:pt>
                <c:pt idx="4">
                  <c:v>86.855000000000004</c:v>
                </c:pt>
                <c:pt idx="5">
                  <c:v>86.96</c:v>
                </c:pt>
                <c:pt idx="6">
                  <c:v>88.41</c:v>
                </c:pt>
                <c:pt idx="7">
                  <c:v>85.23</c:v>
                </c:pt>
                <c:pt idx="8">
                  <c:v>85.21</c:v>
                </c:pt>
                <c:pt idx="9">
                  <c:v>89.4</c:v>
                </c:pt>
                <c:pt idx="10">
                  <c:v>90.54</c:v>
                </c:pt>
                <c:pt idx="11">
                  <c:v>93.64</c:v>
                </c:pt>
                <c:pt idx="12">
                  <c:v>98.25</c:v>
                </c:pt>
                <c:pt idx="13">
                  <c:v>90.77</c:v>
                </c:pt>
                <c:pt idx="14">
                  <c:v>94.894999999999996</c:v>
                </c:pt>
                <c:pt idx="15">
                  <c:v>86.305000000000007</c:v>
                </c:pt>
                <c:pt idx="16">
                  <c:v>87</c:v>
                </c:pt>
                <c:pt idx="17">
                  <c:v>87</c:v>
                </c:pt>
                <c:pt idx="18">
                  <c:v>88.86</c:v>
                </c:pt>
                <c:pt idx="19">
                  <c:v>83.33</c:v>
                </c:pt>
                <c:pt idx="20">
                  <c:v>1094.69</c:v>
                </c:pt>
              </c:numCache>
            </c:numRef>
          </c:xVal>
          <c:yVal>
            <c:numRef>
              <c:f>ChaCha!$F$36:$Z$36</c:f>
              <c:numCache>
                <c:formatCode>0</c:formatCode>
                <c:ptCount val="21"/>
                <c:pt idx="0">
                  <c:v>243.03796554707961</c:v>
                </c:pt>
                <c:pt idx="1">
                  <c:v>6475.4671729789152</c:v>
                </c:pt>
                <c:pt idx="2">
                  <c:v>341.0987217941921</c:v>
                </c:pt>
                <c:pt idx="3">
                  <c:v>365.02695548647779</c:v>
                </c:pt>
                <c:pt idx="4">
                  <c:v>232.27724330083461</c:v>
                </c:pt>
                <c:pt idx="5">
                  <c:v>267.80641608005209</c:v>
                </c:pt>
                <c:pt idx="6">
                  <c:v>307.35567252444389</c:v>
                </c:pt>
                <c:pt idx="7">
                  <c:v>320.40429773293334</c:v>
                </c:pt>
                <c:pt idx="8">
                  <c:v>0.55910264169745549</c:v>
                </c:pt>
                <c:pt idx="9">
                  <c:v>286.01909096251222</c:v>
                </c:pt>
                <c:pt idx="10">
                  <c:v>264.82611742650397</c:v>
                </c:pt>
                <c:pt idx="11">
                  <c:v>209.30885671107109</c:v>
                </c:pt>
                <c:pt idx="12">
                  <c:v>388.52570870410909</c:v>
                </c:pt>
                <c:pt idx="13">
                  <c:v>589.59143350209706</c:v>
                </c:pt>
                <c:pt idx="14">
                  <c:v>340.78828100236768</c:v>
                </c:pt>
                <c:pt idx="15">
                  <c:v>488.38860972367024</c:v>
                </c:pt>
                <c:pt idx="16">
                  <c:v>431.18783617188234</c:v>
                </c:pt>
                <c:pt idx="17">
                  <c:v>431.18956055143946</c:v>
                </c:pt>
                <c:pt idx="18">
                  <c:v>402.68038376320266</c:v>
                </c:pt>
                <c:pt idx="19">
                  <c:v>585.26178644089634</c:v>
                </c:pt>
                <c:pt idx="20">
                  <c:v>561.74658230419948</c:v>
                </c:pt>
              </c:numCache>
            </c:numRef>
          </c:yVal>
          <c:smooth val="1"/>
          <c:extLst>
            <c:ext xmlns:c16="http://schemas.microsoft.com/office/drawing/2014/chart" uri="{C3380CC4-5D6E-409C-BE32-E72D297353CC}">
              <c16:uniqueId val="{00000001-AA9A-0446-B3E2-B49B83C9A099}"/>
            </c:ext>
          </c:extLst>
        </c:ser>
        <c:ser>
          <c:idx val="2"/>
          <c:order val="2"/>
          <c:tx>
            <c:strRef>
              <c:f>ChaCha!$A$44</c:f>
              <c:strCache>
                <c:ptCount val="1"/>
                <c:pt idx="0">
                  <c:v>Last Sale</c:v>
                </c:pt>
              </c:strCache>
            </c:strRef>
          </c:tx>
          <c:spPr>
            <a:ln w="6350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1-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B-7D0D-6D4A-A7E5-9E3D01EF286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C-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1233.56</c:v>
                </c:pt>
                <c:pt idx="10">
                  <c:v>1233.56</c:v>
                </c:pt>
                <c:pt idx="20">
                  <c:v>1233.56</c:v>
                </c:pt>
              </c:numCache>
            </c:numRef>
          </c:xVal>
          <c:yVal>
            <c:numRef>
              <c:f>ChaCha!$F$41:$Z$41</c:f>
              <c:numCache>
                <c:formatCode>General</c:formatCode>
                <c:ptCount val="21"/>
                <c:pt idx="0" formatCode="0">
                  <c:v>8418.1073248725897</c:v>
                </c:pt>
                <c:pt idx="10" formatCode="0">
                  <c:v>8418.1073248725897</c:v>
                </c:pt>
                <c:pt idx="20" formatCode="0">
                  <c:v>-4231.174577795543</c:v>
                </c:pt>
              </c:numCache>
            </c:numRef>
          </c:yVal>
          <c:smooth val="1"/>
          <c:extLst>
            <c:ext xmlns:c16="http://schemas.microsoft.com/office/drawing/2014/chart" uri="{C3380CC4-5D6E-409C-BE32-E72D297353CC}">
              <c16:uniqueId val="{00000000-7D0D-6D4A-A7E5-9E3D01EF286E}"/>
            </c:ext>
          </c:extLst>
        </c:ser>
        <c:ser>
          <c:idx val="3"/>
          <c:order val="3"/>
          <c:tx>
            <c:strRef>
              <c:f>ChaCha!$A$45</c:f>
              <c:strCache>
                <c:ptCount val="1"/>
                <c:pt idx="0">
                  <c:v>Last Buy</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4-7D0D-6D4A-A7E5-9E3D01EF286E}"/>
                </c:ext>
              </c:extLst>
            </c:dLbl>
            <c:dLbl>
              <c:idx val="20"/>
              <c:delete val="1"/>
              <c:extLst>
                <c:ext xmlns:c15="http://schemas.microsoft.com/office/drawing/2012/chart" uri="{CE6537A1-D6FC-4f65-9D91-7224C49458BB}"/>
                <c:ext xmlns:c16="http://schemas.microsoft.com/office/drawing/2014/chart" uri="{C3380CC4-5D6E-409C-BE32-E72D297353CC}">
                  <c16:uniqueId val="{00000003-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l"/>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1096.8800000000001</c:v>
                </c:pt>
                <c:pt idx="10">
                  <c:v>1096.8800000000001</c:v>
                </c:pt>
                <c:pt idx="20">
                  <c:v>1096.8800000000001</c:v>
                </c:pt>
              </c:numCache>
            </c:numRef>
          </c:xVal>
          <c:yVal>
            <c:numRef>
              <c:f>ChaCha!$F$41:$Z$41</c:f>
              <c:numCache>
                <c:formatCode>General</c:formatCode>
                <c:ptCount val="21"/>
                <c:pt idx="0" formatCode="0">
                  <c:v>8418.1073248725897</c:v>
                </c:pt>
                <c:pt idx="10" formatCode="0">
                  <c:v>8418.1073248725897</c:v>
                </c:pt>
                <c:pt idx="20" formatCode="0">
                  <c:v>-4231.174577795543</c:v>
                </c:pt>
              </c:numCache>
            </c:numRef>
          </c:yVal>
          <c:smooth val="1"/>
          <c:extLst>
            <c:ext xmlns:c16="http://schemas.microsoft.com/office/drawing/2014/chart" uri="{C3380CC4-5D6E-409C-BE32-E72D297353CC}">
              <c16:uniqueId val="{00000002-7D0D-6D4A-A7E5-9E3D01EF286E}"/>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2-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608.69060000000002</c:v>
                </c:pt>
                <c:pt idx="10">
                  <c:v>608.69060000000002</c:v>
                </c:pt>
                <c:pt idx="20">
                  <c:v>608.69060000000002</c:v>
                </c:pt>
              </c:numCache>
            </c:numRef>
          </c:xVal>
          <c:yVal>
            <c:numRef>
              <c:f>ChaCha!$F$42:$Z$42</c:f>
              <c:numCache>
                <c:formatCode>General</c:formatCode>
                <c:ptCount val="21"/>
                <c:pt idx="0" formatCode="0">
                  <c:v>7770.5606075746982</c:v>
                </c:pt>
                <c:pt idx="10" formatCode="0">
                  <c:v>7770.5606075746982</c:v>
                </c:pt>
                <c:pt idx="20" formatCode="0">
                  <c:v>-3905.699610272809</c:v>
                </c:pt>
              </c:numCache>
            </c:numRef>
          </c:yVal>
          <c:smooth val="1"/>
          <c:extLst>
            <c:ext xmlns:c16="http://schemas.microsoft.com/office/drawing/2014/chart" uri="{C3380CC4-5D6E-409C-BE32-E72D297353CC}">
              <c16:uniqueId val="{00000005-7D0D-6D4A-A7E5-9E3D01EF286E}"/>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0-D136-1C47-A77C-70895ED6B029}"/>
                </c:ext>
              </c:extLst>
            </c:dLbl>
            <c:dLbl>
              <c:idx val="20"/>
              <c:delete val="1"/>
              <c:extLst>
                <c:ext xmlns:c15="http://schemas.microsoft.com/office/drawing/2012/chart" uri="{CE6537A1-D6FC-4f65-9D91-7224C49458BB}"/>
                <c:ext xmlns:c16="http://schemas.microsoft.com/office/drawing/2014/chart" uri="{C3380CC4-5D6E-409C-BE32-E72D297353CC}">
                  <c16:uniqueId val="{00000011-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1208.99</c:v>
                </c:pt>
                <c:pt idx="10">
                  <c:v>1208.99</c:v>
                </c:pt>
                <c:pt idx="20">
                  <c:v>1208.99</c:v>
                </c:pt>
              </c:numCache>
            </c:numRef>
          </c:xVal>
          <c:yVal>
            <c:numRef>
              <c:f>ChaCha!$F$42:$Z$42</c:f>
              <c:numCache>
                <c:formatCode>General</c:formatCode>
                <c:ptCount val="21"/>
                <c:pt idx="0" formatCode="0">
                  <c:v>7770.5606075746982</c:v>
                </c:pt>
                <c:pt idx="10" formatCode="0">
                  <c:v>7770.5606075746982</c:v>
                </c:pt>
                <c:pt idx="20" formatCode="0">
                  <c:v>-3905.699610272809</c:v>
                </c:pt>
              </c:numCache>
            </c:numRef>
          </c:yVal>
          <c:smooth val="1"/>
          <c:extLst>
            <c:ext xmlns:c16="http://schemas.microsoft.com/office/drawing/2014/chart" uri="{C3380CC4-5D6E-409C-BE32-E72D297353CC}">
              <c16:uniqueId val="{00000006-7D0D-6D4A-A7E5-9E3D01EF286E}"/>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D-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F-7D0D-6D4A-A7E5-9E3D01EF286E}"/>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E-7D0D-6D4A-A7E5-9E3D01EF286E}"/>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ChaCha!$F$48:$Z$48</c:f>
              <c:numCache>
                <c:formatCode>General</c:formatCode>
                <c:ptCount val="21"/>
                <c:pt idx="0" formatCode="#,##0.00">
                  <c:v>1235.33</c:v>
                </c:pt>
                <c:pt idx="10">
                  <c:v>1235.33</c:v>
                </c:pt>
                <c:pt idx="20">
                  <c:v>1235.33</c:v>
                </c:pt>
              </c:numCache>
            </c:numRef>
          </c:xVal>
          <c:yVal>
            <c:numRef>
              <c:f>ChaCha!$F$43:$Z$43</c:f>
              <c:numCache>
                <c:formatCode>General</c:formatCode>
                <c:ptCount val="21"/>
                <c:pt idx="0" formatCode="0">
                  <c:v>7123.0138902768076</c:v>
                </c:pt>
                <c:pt idx="10" formatCode="0">
                  <c:v>7123.0138902768076</c:v>
                </c:pt>
                <c:pt idx="20" formatCode="0">
                  <c:v>-3580.2246427500754</c:v>
                </c:pt>
              </c:numCache>
            </c:numRef>
          </c:yVal>
          <c:smooth val="1"/>
          <c:extLst>
            <c:ext xmlns:c16="http://schemas.microsoft.com/office/drawing/2014/chart" uri="{C3380CC4-5D6E-409C-BE32-E72D297353CC}">
              <c16:uniqueId val="{00000007-7D0D-6D4A-A7E5-9E3D01EF286E}"/>
            </c:ext>
          </c:extLst>
        </c:ser>
        <c:ser>
          <c:idx val="7"/>
          <c:order val="7"/>
          <c:tx>
            <c:strRef>
              <c:f>ChaCha!$A$49</c:f>
              <c:strCache>
                <c:ptCount val="1"/>
                <c:pt idx="0">
                  <c:v>Best Buy</c:v>
                </c:pt>
              </c:strCache>
            </c:strRef>
          </c:tx>
          <c:spPr>
            <a:ln w="1905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1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D136-1C47-A77C-70895ED6B0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ChaCha!$F$49:$Z$49</c:f>
              <c:numCache>
                <c:formatCode>General</c:formatCode>
                <c:ptCount val="21"/>
                <c:pt idx="0" formatCode="#,##0.00">
                  <c:v>393.15</c:v>
                </c:pt>
                <c:pt idx="10">
                  <c:v>393.15</c:v>
                </c:pt>
                <c:pt idx="20">
                  <c:v>393.15</c:v>
                </c:pt>
              </c:numCache>
            </c:numRef>
          </c:xVal>
          <c:yVal>
            <c:numRef>
              <c:f>ChaCha!$F$43:$Z$43</c:f>
              <c:numCache>
                <c:formatCode>General</c:formatCode>
                <c:ptCount val="21"/>
                <c:pt idx="0" formatCode="0">
                  <c:v>7123.0138902768076</c:v>
                </c:pt>
                <c:pt idx="10" formatCode="0">
                  <c:v>7123.0138902768076</c:v>
                </c:pt>
                <c:pt idx="20" formatCode="0">
                  <c:v>-3580.2246427500754</c:v>
                </c:pt>
              </c:numCache>
            </c:numRef>
          </c:yVal>
          <c:smooth val="1"/>
          <c:extLst>
            <c:ext xmlns:c16="http://schemas.microsoft.com/office/drawing/2014/chart" uri="{C3380CC4-5D6E-409C-BE32-E72D297353CC}">
              <c16:uniqueId val="{00000008-7D0D-6D4A-A7E5-9E3D01EF286E}"/>
            </c:ext>
          </c:extLst>
        </c:ser>
        <c:ser>
          <c:idx val="8"/>
          <c:order val="8"/>
          <c:tx>
            <c:strRef>
              <c:f>ChaCha!$A$50</c:f>
              <c:strCache>
                <c:ptCount val="1"/>
                <c:pt idx="0">
                  <c:v>Market</c:v>
                </c:pt>
              </c:strCache>
            </c:strRef>
          </c:tx>
          <c:spPr>
            <a:ln w="127000" cap="rnd">
              <a:solidFill>
                <a:schemeClr val="accent3">
                  <a:lumMod val="20000"/>
                  <a:lumOff val="80000"/>
                  <a:alpha val="96087"/>
                </a:schemeClr>
              </a:solidFill>
              <a:round/>
            </a:ln>
            <a:effectLst>
              <a:glow rad="127000">
                <a:srgbClr val="00B0F0">
                  <a:alpha val="80776"/>
                </a:srgbClr>
              </a:glow>
            </a:effectLst>
          </c:spPr>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dPt>
            <c:idx val="20"/>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bubble3D val="0"/>
            <c:spPr>
              <a:ln w="127000" cap="rnd">
                <a:solidFill>
                  <a:schemeClr val="accent3">
                    <a:lumMod val="20000"/>
                    <a:lumOff val="80000"/>
                    <a:alpha val="96087"/>
                  </a:schemeClr>
                </a:solidFill>
                <a:round/>
              </a:ln>
              <a:effectLst>
                <a:glow rad="127000">
                  <a:srgbClr val="00B0F0">
                    <a:alpha val="80776"/>
                  </a:srgbClr>
                </a:glow>
              </a:effectLst>
            </c:spPr>
            <c:extLst>
              <c:ext xmlns:c16="http://schemas.microsoft.com/office/drawing/2014/chart" uri="{C3380CC4-5D6E-409C-BE32-E72D297353CC}">
                <c16:uniqueId val="{00000001-F248-E440-907C-40842EF5AE38}"/>
              </c:ext>
            </c:extLst>
          </c:dPt>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2-F248-E440-907C-40842EF5AE3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ChaCha!$F$50:$Z$50</c:f>
              <c:numCache>
                <c:formatCode>General</c:formatCode>
                <c:ptCount val="21"/>
                <c:pt idx="0" formatCode="#,##0.00">
                  <c:v>1094.69</c:v>
                </c:pt>
                <c:pt idx="10">
                  <c:v>1094.69</c:v>
                </c:pt>
                <c:pt idx="20">
                  <c:v>1094.69</c:v>
                </c:pt>
              </c:numCache>
            </c:numRef>
          </c:xVal>
          <c:yVal>
            <c:numRef>
              <c:f>ChaCha!$F$41:$Z$41</c:f>
              <c:numCache>
                <c:formatCode>General</c:formatCode>
                <c:ptCount val="21"/>
                <c:pt idx="0" formatCode="0">
                  <c:v>8418.1073248725897</c:v>
                </c:pt>
                <c:pt idx="10" formatCode="0">
                  <c:v>8418.1073248725897</c:v>
                </c:pt>
                <c:pt idx="20" formatCode="0">
                  <c:v>-4231.174577795543</c:v>
                </c:pt>
              </c:numCache>
            </c:numRef>
          </c:yVal>
          <c:smooth val="1"/>
          <c:extLst>
            <c:ext xmlns:c16="http://schemas.microsoft.com/office/drawing/2014/chart" uri="{C3380CC4-5D6E-409C-BE32-E72D297353CC}">
              <c16:uniqueId val="{00000000-F248-E440-907C-40842EF5AE38}"/>
            </c:ext>
          </c:extLst>
        </c:ser>
        <c:dLbls>
          <c:showLegendKey val="0"/>
          <c:showVal val="0"/>
          <c:showCatName val="0"/>
          <c:showSerName val="0"/>
          <c:showPercent val="0"/>
          <c:showBubbleSize val="0"/>
        </c:dLbls>
        <c:axId val="379904832"/>
        <c:axId val="379906544"/>
      </c:scatterChart>
      <c:valAx>
        <c:axId val="379904832"/>
        <c:scaling>
          <c:orientation val="minMax"/>
          <c:max val="1253.7635"/>
          <c:min val="389.21849999999995"/>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Original Purchase Omited</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8196576070052342E-2"/>
          <c:y val="0.11604438023228167"/>
          <c:w val="0.89270785468414904"/>
          <c:h val="0.76224973076311819"/>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84.993099999999998</c:v>
                </c:pt>
                <c:pt idx="1">
                  <c:v>84.29</c:v>
                </c:pt>
                <c:pt idx="2">
                  <c:v>85.94</c:v>
                </c:pt>
                <c:pt idx="3">
                  <c:v>86.424999999999997</c:v>
                </c:pt>
                <c:pt idx="4">
                  <c:v>86.855000000000004</c:v>
                </c:pt>
                <c:pt idx="5">
                  <c:v>86.96</c:v>
                </c:pt>
                <c:pt idx="6">
                  <c:v>88.41</c:v>
                </c:pt>
                <c:pt idx="7">
                  <c:v>85.23</c:v>
                </c:pt>
                <c:pt idx="8">
                  <c:v>85.21</c:v>
                </c:pt>
                <c:pt idx="9">
                  <c:v>89.4</c:v>
                </c:pt>
                <c:pt idx="10">
                  <c:v>90.54</c:v>
                </c:pt>
                <c:pt idx="11">
                  <c:v>93.64</c:v>
                </c:pt>
                <c:pt idx="12">
                  <c:v>98.25</c:v>
                </c:pt>
                <c:pt idx="13">
                  <c:v>90.77</c:v>
                </c:pt>
                <c:pt idx="14">
                  <c:v>94.894999999999996</c:v>
                </c:pt>
                <c:pt idx="15">
                  <c:v>86.305000000000007</c:v>
                </c:pt>
                <c:pt idx="16">
                  <c:v>87</c:v>
                </c:pt>
                <c:pt idx="17">
                  <c:v>87</c:v>
                </c:pt>
                <c:pt idx="18">
                  <c:v>88.86</c:v>
                </c:pt>
                <c:pt idx="19">
                  <c:v>83.33</c:v>
                </c:pt>
                <c:pt idx="20">
                  <c:v>1094.69</c:v>
                </c:pt>
              </c:numCache>
            </c:numRef>
          </c:xVal>
          <c:yVal>
            <c:numRef>
              <c:f>ChaCha!$F$35:$Z$35</c:f>
              <c:numCache>
                <c:formatCode>0</c:formatCode>
                <c:ptCount val="21"/>
                <c:pt idx="0">
                  <c:v>-108.3921255121415</c:v>
                </c:pt>
                <c:pt idx="1">
                  <c:v>-106.37753572499251</c:v>
                </c:pt>
                <c:pt idx="2">
                  <c:v>695.50114919556313</c:v>
                </c:pt>
                <c:pt idx="3">
                  <c:v>198.7968422104527</c:v>
                </c:pt>
                <c:pt idx="4">
                  <c:v>176.88817827520737</c:v>
                </c:pt>
                <c:pt idx="5">
                  <c:v>-629.99100629559302</c:v>
                </c:pt>
                <c:pt idx="6">
                  <c:v>604.05316278604982</c:v>
                </c:pt>
                <c:pt idx="7">
                  <c:v>-1290.0569601279103</c:v>
                </c:pt>
                <c:pt idx="8">
                  <c:v>-1298.1872689117617</c:v>
                </c:pt>
                <c:pt idx="9">
                  <c:v>1800</c:v>
                </c:pt>
                <c:pt idx="10">
                  <c:v>458.75087438792843</c:v>
                </c:pt>
                <c:pt idx="11">
                  <c:v>1231.7417807534725</c:v>
                </c:pt>
                <c:pt idx="12">
                  <c:v>1795.2872988907766</c:v>
                </c:pt>
                <c:pt idx="13">
                  <c:v>-2745.5980813430597</c:v>
                </c:pt>
                <c:pt idx="14">
                  <c:v>1634.8755870890377</c:v>
                </c:pt>
                <c:pt idx="15">
                  <c:v>-3254.749675227341</c:v>
                </c:pt>
                <c:pt idx="16">
                  <c:v>283.40961327071051</c:v>
                </c:pt>
                <c:pt idx="17">
                  <c:v>283.40961327071051</c:v>
                </c:pt>
                <c:pt idx="18">
                  <c:v>764.89657239932046</c:v>
                </c:pt>
                <c:pt idx="19">
                  <c:v>-2257.7795543119814</c:v>
                </c:pt>
                <c:pt idx="20">
                  <c:v>-610.56460477665632</c:v>
                </c:pt>
              </c:numCache>
            </c:numRef>
          </c:yVal>
          <c:smooth val="1"/>
          <c:extLst>
            <c:ext xmlns:c16="http://schemas.microsoft.com/office/drawing/2014/chart" uri="{C3380CC4-5D6E-409C-BE32-E72D297353CC}">
              <c16:uniqueId val="{00000000-BBB7-D24B-BC88-762209F54FF0}"/>
            </c:ext>
          </c:extLst>
        </c:ser>
        <c:ser>
          <c:idx val="2"/>
          <c:order val="2"/>
          <c:tx>
            <c:strRef>
              <c:f>ChaCha!$A$44</c:f>
              <c:strCache>
                <c:ptCount val="1"/>
                <c:pt idx="0">
                  <c:v>Last Sale</c:v>
                </c:pt>
              </c:strCache>
            </c:strRef>
          </c:tx>
          <c:spPr>
            <a:ln w="1905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3-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BBB7-D24B-BC88-762209F54FF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1233.56</c:v>
                </c:pt>
                <c:pt idx="10">
                  <c:v>1233.56</c:v>
                </c:pt>
                <c:pt idx="20">
                  <c:v>1233.56</c:v>
                </c:pt>
              </c:numCache>
            </c:numRef>
          </c:xVal>
          <c:yVal>
            <c:numRef>
              <c:f>ChaCha!$F$41:$Z$41</c:f>
              <c:numCache>
                <c:formatCode>General</c:formatCode>
                <c:ptCount val="21"/>
                <c:pt idx="0" formatCode="0">
                  <c:v>8418.1073248725897</c:v>
                </c:pt>
                <c:pt idx="10" formatCode="0">
                  <c:v>8418.1073248725897</c:v>
                </c:pt>
                <c:pt idx="20" formatCode="0">
                  <c:v>-4231.174577795543</c:v>
                </c:pt>
              </c:numCache>
            </c:numRef>
          </c:yVal>
          <c:smooth val="1"/>
          <c:extLst>
            <c:ext xmlns:c16="http://schemas.microsoft.com/office/drawing/2014/chart" uri="{C3380CC4-5D6E-409C-BE32-E72D297353CC}">
              <c16:uniqueId val="{00000005-BBB7-D24B-BC88-762209F54FF0}"/>
            </c:ext>
          </c:extLst>
        </c:ser>
        <c:ser>
          <c:idx val="3"/>
          <c:order val="3"/>
          <c:tx>
            <c:strRef>
              <c:f>ChaCha!$A$45</c:f>
              <c:strCache>
                <c:ptCount val="1"/>
                <c:pt idx="0">
                  <c:v>Last Buy</c:v>
                </c:pt>
              </c:strCache>
            </c:strRef>
          </c:tx>
          <c:spPr>
            <a:ln w="1905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6-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7-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1096.8800000000001</c:v>
                </c:pt>
                <c:pt idx="10">
                  <c:v>1096.8800000000001</c:v>
                </c:pt>
                <c:pt idx="20">
                  <c:v>1096.8800000000001</c:v>
                </c:pt>
              </c:numCache>
            </c:numRef>
          </c:xVal>
          <c:yVal>
            <c:numRef>
              <c:f>ChaCha!$F$41:$Z$41</c:f>
              <c:numCache>
                <c:formatCode>General</c:formatCode>
                <c:ptCount val="21"/>
                <c:pt idx="0" formatCode="0">
                  <c:v>8418.1073248725897</c:v>
                </c:pt>
                <c:pt idx="10" formatCode="0">
                  <c:v>8418.1073248725897</c:v>
                </c:pt>
                <c:pt idx="20" formatCode="0">
                  <c:v>-4231.174577795543</c:v>
                </c:pt>
              </c:numCache>
            </c:numRef>
          </c:yVal>
          <c:smooth val="1"/>
          <c:extLst>
            <c:ext xmlns:c16="http://schemas.microsoft.com/office/drawing/2014/chart" uri="{C3380CC4-5D6E-409C-BE32-E72D297353CC}">
              <c16:uniqueId val="{00000008-BBB7-D24B-BC88-762209F54FF0}"/>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608.69060000000002</c:v>
                </c:pt>
                <c:pt idx="10">
                  <c:v>608.69060000000002</c:v>
                </c:pt>
                <c:pt idx="20">
                  <c:v>608.69060000000002</c:v>
                </c:pt>
              </c:numCache>
            </c:numRef>
          </c:xVal>
          <c:yVal>
            <c:numRef>
              <c:f>ChaCha!$F$42:$Z$42</c:f>
              <c:numCache>
                <c:formatCode>General</c:formatCode>
                <c:ptCount val="21"/>
                <c:pt idx="0" formatCode="0">
                  <c:v>7770.5606075746982</c:v>
                </c:pt>
                <c:pt idx="10" formatCode="0">
                  <c:v>7770.5606075746982</c:v>
                </c:pt>
                <c:pt idx="20" formatCode="0">
                  <c:v>-3905.699610272809</c:v>
                </c:pt>
              </c:numCache>
            </c:numRef>
          </c:yVal>
          <c:smooth val="1"/>
          <c:extLst>
            <c:ext xmlns:c16="http://schemas.microsoft.com/office/drawing/2014/chart" uri="{C3380CC4-5D6E-409C-BE32-E72D297353CC}">
              <c16:uniqueId val="{0000000A-BBB7-D24B-BC88-762209F54FF0}"/>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B-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C-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1208.99</c:v>
                </c:pt>
                <c:pt idx="10">
                  <c:v>1208.99</c:v>
                </c:pt>
                <c:pt idx="20">
                  <c:v>1208.99</c:v>
                </c:pt>
              </c:numCache>
            </c:numRef>
          </c:xVal>
          <c:yVal>
            <c:numRef>
              <c:f>ChaCha!$F$42:$Z$42</c:f>
              <c:numCache>
                <c:formatCode>General</c:formatCode>
                <c:ptCount val="21"/>
                <c:pt idx="0" formatCode="0">
                  <c:v>7770.5606075746982</c:v>
                </c:pt>
                <c:pt idx="10" formatCode="0">
                  <c:v>7770.5606075746982</c:v>
                </c:pt>
                <c:pt idx="20" formatCode="0">
                  <c:v>-3905.699610272809</c:v>
                </c:pt>
              </c:numCache>
            </c:numRef>
          </c:yVal>
          <c:smooth val="1"/>
          <c:extLst>
            <c:ext xmlns:c16="http://schemas.microsoft.com/office/drawing/2014/chart" uri="{C3380CC4-5D6E-409C-BE32-E72D297353CC}">
              <c16:uniqueId val="{0000000D-BBB7-D24B-BC88-762209F54FF0}"/>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F-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10-BBB7-D24B-BC88-762209F54FF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ChaCha!$F$48:$Z$48</c:f>
              <c:numCache>
                <c:formatCode>General</c:formatCode>
                <c:ptCount val="21"/>
                <c:pt idx="0" formatCode="#,##0.00">
                  <c:v>1235.33</c:v>
                </c:pt>
                <c:pt idx="10">
                  <c:v>1235.33</c:v>
                </c:pt>
                <c:pt idx="20">
                  <c:v>1235.33</c:v>
                </c:pt>
              </c:numCache>
            </c:numRef>
          </c:xVal>
          <c:yVal>
            <c:numRef>
              <c:f>ChaCha!$F$43:$Z$43</c:f>
              <c:numCache>
                <c:formatCode>General</c:formatCode>
                <c:ptCount val="21"/>
                <c:pt idx="0" formatCode="0">
                  <c:v>7123.0138902768076</c:v>
                </c:pt>
                <c:pt idx="10" formatCode="0">
                  <c:v>7123.0138902768076</c:v>
                </c:pt>
                <c:pt idx="20" formatCode="0">
                  <c:v>-3580.2246427500754</c:v>
                </c:pt>
              </c:numCache>
            </c:numRef>
          </c:yVal>
          <c:smooth val="1"/>
          <c:extLst>
            <c:ext xmlns:c16="http://schemas.microsoft.com/office/drawing/2014/chart" uri="{C3380CC4-5D6E-409C-BE32-E72D297353CC}">
              <c16:uniqueId val="{00000011-BBB7-D24B-BC88-762209F54FF0}"/>
            </c:ext>
          </c:extLst>
        </c:ser>
        <c:ser>
          <c:idx val="7"/>
          <c:order val="7"/>
          <c:tx>
            <c:strRef>
              <c:f>ChaCha!$A$50</c:f>
              <c:strCache>
                <c:ptCount val="1"/>
                <c:pt idx="0">
                  <c:v>Market</c:v>
                </c:pt>
              </c:strCache>
            </c:strRef>
          </c:tx>
          <c:spPr>
            <a:ln w="254000" cap="rnd">
              <a:solidFill>
                <a:srgbClr val="00B0F0">
                  <a:alpha val="20000"/>
                </a:srgb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ChaCha!$F$50:$Z$50</c:f>
              <c:numCache>
                <c:formatCode>General</c:formatCode>
                <c:ptCount val="21"/>
                <c:pt idx="0" formatCode="#,##0.00">
                  <c:v>1094.69</c:v>
                </c:pt>
                <c:pt idx="10">
                  <c:v>1094.69</c:v>
                </c:pt>
                <c:pt idx="20">
                  <c:v>1094.69</c:v>
                </c:pt>
              </c:numCache>
            </c:numRef>
          </c:xVal>
          <c:yVal>
            <c:numRef>
              <c:f>ChaCha!$F$43:$Z$43</c:f>
              <c:numCache>
                <c:formatCode>General</c:formatCode>
                <c:ptCount val="21"/>
                <c:pt idx="0" formatCode="0">
                  <c:v>7123.0138902768076</c:v>
                </c:pt>
                <c:pt idx="10" formatCode="0">
                  <c:v>7123.0138902768076</c:v>
                </c:pt>
                <c:pt idx="20" formatCode="0">
                  <c:v>-3580.2246427500754</c:v>
                </c:pt>
              </c:numCache>
            </c:numRef>
          </c:yVal>
          <c:smooth val="1"/>
          <c:extLst>
            <c:ext xmlns:c16="http://schemas.microsoft.com/office/drawing/2014/chart" uri="{C3380CC4-5D6E-409C-BE32-E72D297353CC}">
              <c16:uniqueId val="{00000000-900A-004A-A539-8330A400038A}"/>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84.993099999999998</c:v>
                </c:pt>
                <c:pt idx="1">
                  <c:v>84.29</c:v>
                </c:pt>
                <c:pt idx="2">
                  <c:v>85.94</c:v>
                </c:pt>
                <c:pt idx="3">
                  <c:v>86.424999999999997</c:v>
                </c:pt>
                <c:pt idx="4">
                  <c:v>86.855000000000004</c:v>
                </c:pt>
                <c:pt idx="5">
                  <c:v>86.96</c:v>
                </c:pt>
                <c:pt idx="6">
                  <c:v>88.41</c:v>
                </c:pt>
                <c:pt idx="7">
                  <c:v>85.23</c:v>
                </c:pt>
                <c:pt idx="8">
                  <c:v>85.21</c:v>
                </c:pt>
                <c:pt idx="9">
                  <c:v>89.4</c:v>
                </c:pt>
                <c:pt idx="10">
                  <c:v>90.54</c:v>
                </c:pt>
                <c:pt idx="11">
                  <c:v>93.64</c:v>
                </c:pt>
                <c:pt idx="12">
                  <c:v>98.25</c:v>
                </c:pt>
                <c:pt idx="13">
                  <c:v>90.77</c:v>
                </c:pt>
                <c:pt idx="14">
                  <c:v>94.894999999999996</c:v>
                </c:pt>
                <c:pt idx="15">
                  <c:v>86.305000000000007</c:v>
                </c:pt>
                <c:pt idx="16">
                  <c:v>87</c:v>
                </c:pt>
                <c:pt idx="17">
                  <c:v>87</c:v>
                </c:pt>
                <c:pt idx="18">
                  <c:v>88.86</c:v>
                </c:pt>
                <c:pt idx="19">
                  <c:v>83.33</c:v>
                </c:pt>
                <c:pt idx="20">
                  <c:v>1094.69</c:v>
                </c:pt>
              </c:numCache>
            </c:numRef>
          </c:xVal>
          <c:yVal>
            <c:numRef>
              <c:f>ChaCha!$F$36:$Z$36</c:f>
              <c:numCache>
                <c:formatCode>0</c:formatCode>
                <c:ptCount val="21"/>
                <c:pt idx="0">
                  <c:v>243.03796554707961</c:v>
                </c:pt>
                <c:pt idx="1">
                  <c:v>6475.4671729789152</c:v>
                </c:pt>
                <c:pt idx="2">
                  <c:v>341.0987217941921</c:v>
                </c:pt>
                <c:pt idx="3">
                  <c:v>365.02695548647779</c:v>
                </c:pt>
                <c:pt idx="4">
                  <c:v>232.27724330083461</c:v>
                </c:pt>
                <c:pt idx="5">
                  <c:v>267.80641608005209</c:v>
                </c:pt>
                <c:pt idx="6">
                  <c:v>307.35567252444389</c:v>
                </c:pt>
                <c:pt idx="7">
                  <c:v>320.40429773293334</c:v>
                </c:pt>
                <c:pt idx="8">
                  <c:v>0.55910264169745549</c:v>
                </c:pt>
                <c:pt idx="9">
                  <c:v>286.01909096251222</c:v>
                </c:pt>
                <c:pt idx="10">
                  <c:v>264.82611742650397</c:v>
                </c:pt>
                <c:pt idx="11">
                  <c:v>209.30885671107109</c:v>
                </c:pt>
                <c:pt idx="12">
                  <c:v>388.52570870410909</c:v>
                </c:pt>
                <c:pt idx="13">
                  <c:v>589.59143350209706</c:v>
                </c:pt>
                <c:pt idx="14">
                  <c:v>340.78828100236768</c:v>
                </c:pt>
                <c:pt idx="15">
                  <c:v>488.38860972367024</c:v>
                </c:pt>
                <c:pt idx="16">
                  <c:v>431.18783617188234</c:v>
                </c:pt>
                <c:pt idx="17">
                  <c:v>431.18956055143946</c:v>
                </c:pt>
                <c:pt idx="18">
                  <c:v>402.68038376320266</c:v>
                </c:pt>
                <c:pt idx="19">
                  <c:v>585.26178644089634</c:v>
                </c:pt>
                <c:pt idx="20">
                  <c:v>561.74658230419948</c:v>
                </c:pt>
              </c:numCache>
            </c:numRef>
          </c:yVal>
          <c:smooth val="1"/>
          <c:extLst>
            <c:ext xmlns:c16="http://schemas.microsoft.com/office/drawing/2014/chart" uri="{C3380CC4-5D6E-409C-BE32-E72D297353CC}">
              <c16:uniqueId val="{00000001-BBB7-D24B-BC88-762209F54FF0}"/>
            </c:ext>
          </c:extLst>
        </c:ser>
        <c:ser>
          <c:idx val="8"/>
          <c:order val="8"/>
          <c:tx>
            <c:strRef>
              <c:f>ChaCha!$A$51</c:f>
              <c:strCache>
                <c:ptCount val="1"/>
                <c:pt idx="0">
                  <c:v>Effective Cost/Share</c:v>
                </c:pt>
              </c:strCache>
            </c:strRef>
          </c:tx>
          <c:spPr>
            <a:ln w="63500" cap="rnd">
              <a:solidFill>
                <a:srgbClr val="FF0000"/>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f>ChaCha!$F$51:$Z$51</c:f>
              <c:numCache>
                <c:formatCode>General</c:formatCode>
                <c:ptCount val="21"/>
                <c:pt idx="0" formatCode="0.00">
                  <c:v>51.007316666666668</c:v>
                </c:pt>
                <c:pt idx="10" formatCode="0.00">
                  <c:v>51.007316666666668</c:v>
                </c:pt>
                <c:pt idx="20" formatCode="0.00">
                  <c:v>51.007316666666668</c:v>
                </c:pt>
              </c:numCache>
            </c:numRef>
          </c:xVal>
          <c:yVal>
            <c:numRef>
              <c:f>ChaCha!$F$43:$Z$43</c:f>
              <c:numCache>
                <c:formatCode>General</c:formatCode>
                <c:ptCount val="21"/>
                <c:pt idx="0" formatCode="0">
                  <c:v>7123.0138902768076</c:v>
                </c:pt>
                <c:pt idx="10" formatCode="0">
                  <c:v>7123.0138902768076</c:v>
                </c:pt>
                <c:pt idx="20" formatCode="0">
                  <c:v>-3580.2246427500754</c:v>
                </c:pt>
              </c:numCache>
            </c:numRef>
          </c:yVal>
          <c:smooth val="1"/>
          <c:extLst>
            <c:ext xmlns:c16="http://schemas.microsoft.com/office/drawing/2014/chart" uri="{C3380CC4-5D6E-409C-BE32-E72D297353CC}">
              <c16:uniqueId val="{00000000-7E31-8743-9581-7FC35C8B30D8}"/>
            </c:ext>
          </c:extLst>
        </c:ser>
        <c:dLbls>
          <c:showLegendKey val="0"/>
          <c:showVal val="0"/>
          <c:showCatName val="0"/>
          <c:showSerName val="0"/>
          <c:showPercent val="0"/>
          <c:showBubbleSize val="0"/>
        </c:dLbls>
        <c:axId val="758248256"/>
        <c:axId val="758244496"/>
      </c:scatterChart>
      <c:valAx>
        <c:axId val="379904832"/>
        <c:scaling>
          <c:orientation val="minMax"/>
          <c:max val="1253.7635"/>
          <c:min val="602.60369400000002"/>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758244496"/>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8248256"/>
        <c:crosses val="max"/>
        <c:crossBetween val="midCat"/>
      </c:valAx>
      <c:valAx>
        <c:axId val="758248256"/>
        <c:scaling>
          <c:orientation val="minMax"/>
        </c:scaling>
        <c:delete val="1"/>
        <c:axPos val="b"/>
        <c:numFmt formatCode="General" sourceLinked="1"/>
        <c:majorTickMark val="out"/>
        <c:minorTickMark val="none"/>
        <c:tickLblPos val="nextTo"/>
        <c:crossAx val="7582444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ustomXml" Target="../ink/ink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20</xdr:col>
      <xdr:colOff>97971</xdr:colOff>
      <xdr:row>2</xdr:row>
      <xdr:rowOff>36287</xdr:rowOff>
    </xdr:from>
    <xdr:to>
      <xdr:col>25</xdr:col>
      <xdr:colOff>1052286</xdr:colOff>
      <xdr:row>17</xdr:row>
      <xdr:rowOff>235857</xdr:rowOff>
    </xdr:to>
    <xdr:graphicFrame macro="">
      <xdr:nvGraphicFramePr>
        <xdr:cNvPr id="2" name="FIFOChart" descr="Bar chart">
          <a:extLst>
            <a:ext uri="{FF2B5EF4-FFF2-40B4-BE49-F238E27FC236}">
              <a16:creationId xmlns:a16="http://schemas.microsoft.com/office/drawing/2014/main" id="{B0CA19C6-ECFA-A742-9B73-5A21F35E2E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174625</xdr:colOff>
      <xdr:row>0</xdr:row>
      <xdr:rowOff>63500</xdr:rowOff>
    </xdr:from>
    <xdr:to>
      <xdr:col>20</xdr:col>
      <xdr:colOff>201838</xdr:colOff>
      <xdr:row>15</xdr:row>
      <xdr:rowOff>12700</xdr:rowOff>
    </xdr:to>
    <xdr:graphicFrame macro="">
      <xdr:nvGraphicFramePr>
        <xdr:cNvPr id="4" name="Chart 3">
          <a:extLst>
            <a:ext uri="{FF2B5EF4-FFF2-40B4-BE49-F238E27FC236}">
              <a16:creationId xmlns:a16="http://schemas.microsoft.com/office/drawing/2014/main" id="{12651FC7-E1A6-7A4B-DC8E-6187C0BE37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18</xdr:col>
      <xdr:colOff>183444</xdr:colOff>
      <xdr:row>0</xdr:row>
      <xdr:rowOff>183444</xdr:rowOff>
    </xdr:from>
    <xdr:ext cx="1988073" cy="342851"/>
    <xdr:sp macro="" textlink="$J$1">
      <xdr:nvSpPr>
        <xdr:cNvPr id="3" name="TextBox 2">
          <a:extLst>
            <a:ext uri="{FF2B5EF4-FFF2-40B4-BE49-F238E27FC236}">
              <a16:creationId xmlns:a16="http://schemas.microsoft.com/office/drawing/2014/main" id="{DC89F59A-ADE9-53F3-83B1-0C6424ABF786}"/>
            </a:ext>
          </a:extLst>
        </xdr:cNvPr>
        <xdr:cNvSpPr txBox="1"/>
      </xdr:nvSpPr>
      <xdr:spPr>
        <a:xfrm>
          <a:off x="24892000" y="183444"/>
          <a:ext cx="1988073"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0DBDCD6A-4532-E24B-8E8C-EB818A3F6B1E}" type="TxLink">
            <a:rPr lang="en-US" sz="1600" b="0" i="0" u="none" strike="noStrike">
              <a:solidFill>
                <a:srgbClr val="00B050"/>
              </a:solidFill>
              <a:latin typeface="Aptos Narrow"/>
            </a:rPr>
            <a:pPr/>
            <a:t>Up(Markov) 50%)</a:t>
          </a:fld>
          <a:endParaRPr lang="en-US" sz="1100">
            <a:solidFill>
              <a:srgbClr val="00B050"/>
            </a:solidFill>
          </a:endParaRPr>
        </a:p>
      </xdr:txBody>
    </xdr:sp>
    <xdr:clientData/>
  </xdr:oneCellAnchor>
</xdr:wsDr>
</file>

<file path=xl/drawings/drawing2.xml><?xml version="1.0" encoding="utf-8"?>
<c:userShapes xmlns:c="http://schemas.openxmlformats.org/drawingml/2006/chart">
  <cdr:relSizeAnchor xmlns:cdr="http://schemas.openxmlformats.org/drawingml/2006/chartDrawing">
    <cdr:from>
      <cdr:x>0.75127</cdr:x>
      <cdr:y>0.06692</cdr:y>
    </cdr:from>
    <cdr:to>
      <cdr:x>0.89056</cdr:x>
      <cdr:y>0.37447</cdr:y>
    </cdr:to>
    <cdr:sp macro="" textlink="">
      <cdr:nvSpPr>
        <cdr:cNvPr id="2" name="TextBox 1">
          <a:extLst xmlns:a="http://schemas.openxmlformats.org/drawingml/2006/main">
            <a:ext uri="{FF2B5EF4-FFF2-40B4-BE49-F238E27FC236}">
              <a16:creationId xmlns:a16="http://schemas.microsoft.com/office/drawing/2014/main" id="{AB435D10-2AD8-E98F-83B1-62218D96FCEE}"/>
            </a:ext>
          </a:extLst>
        </cdr:cNvPr>
        <cdr:cNvSpPr txBox="1"/>
      </cdr:nvSpPr>
      <cdr:spPr>
        <a:xfrm xmlns:a="http://schemas.openxmlformats.org/drawingml/2006/main">
          <a:off x="4931834" y="198967"/>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0.71257</cdr:x>
      <cdr:y>0.0954</cdr:y>
    </cdr:from>
    <cdr:to>
      <cdr:x>0.85187</cdr:x>
      <cdr:y>0.40294</cdr:y>
    </cdr:to>
    <cdr:sp macro="" textlink="">
      <cdr:nvSpPr>
        <cdr:cNvPr id="3" name="TextBox 2">
          <a:extLst xmlns:a="http://schemas.openxmlformats.org/drawingml/2006/main">
            <a:ext uri="{FF2B5EF4-FFF2-40B4-BE49-F238E27FC236}">
              <a16:creationId xmlns:a16="http://schemas.microsoft.com/office/drawing/2014/main" id="{5A8604B1-4658-E2A3-6E7D-9A5B95696A62}"/>
            </a:ext>
          </a:extLst>
        </cdr:cNvPr>
        <cdr:cNvSpPr txBox="1"/>
      </cdr:nvSpPr>
      <cdr:spPr>
        <a:xfrm xmlns:a="http://schemas.openxmlformats.org/drawingml/2006/main">
          <a:off x="4677834" y="283633"/>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userShapes>
</file>

<file path=xl/drawings/drawing3.xml><?xml version="1.0" encoding="utf-8"?>
<xdr:wsDr xmlns:xdr="http://schemas.openxmlformats.org/drawingml/2006/spreadsheetDrawing" xmlns:a="http://schemas.openxmlformats.org/drawingml/2006/main">
  <xdr:twoCellAnchor editAs="oneCell">
    <xdr:from>
      <xdr:col>3</xdr:col>
      <xdr:colOff>0</xdr:colOff>
      <xdr:row>111</xdr:row>
      <xdr:rowOff>63500</xdr:rowOff>
    </xdr:from>
    <xdr:to>
      <xdr:col>3</xdr:col>
      <xdr:colOff>0</xdr:colOff>
      <xdr:row>111</xdr:row>
      <xdr:rowOff>63860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923A8C03-B245-945B-033A-542EEDD60267}"/>
                </a:ext>
              </a:extLst>
            </xdr14:cNvPr>
            <xdr14:cNvContentPartPr/>
          </xdr14:nvContentPartPr>
          <xdr14:nvPr macro=""/>
          <xdr14:xfrm>
            <a:off x="12624440" y="30062300"/>
            <a:ext cx="360" cy="360"/>
          </xdr14:xfrm>
        </xdr:contentPart>
      </mc:Choice>
      <mc:Fallback xmlns="">
        <xdr:pic>
          <xdr:nvPicPr>
            <xdr:cNvPr id="2" name="Ink 1">
              <a:extLst>
                <a:ext uri="{FF2B5EF4-FFF2-40B4-BE49-F238E27FC236}">
                  <a16:creationId xmlns:a16="http://schemas.microsoft.com/office/drawing/2014/main" id="{923A8C03-B245-945B-033A-542EEDD60267}"/>
                </a:ext>
              </a:extLst>
            </xdr:cNvPr>
            <xdr:cNvPicPr/>
          </xdr:nvPicPr>
          <xdr:blipFill>
            <a:blip xmlns:r="http://schemas.openxmlformats.org/officeDocument/2006/relationships" r:embed="rId2"/>
            <a:stretch>
              <a:fillRect/>
            </a:stretch>
          </xdr:blipFill>
          <xdr:spPr>
            <a:xfrm>
              <a:off x="12615440" y="30053300"/>
              <a:ext cx="18000" cy="18000"/>
            </a:xfrm>
            <a:prstGeom prst="rect">
              <a:avLst/>
            </a:prstGeom>
          </xdr:spPr>
        </xdr:pic>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68</xdr:col>
      <xdr:colOff>419100</xdr:colOff>
      <xdr:row>1187</xdr:row>
      <xdr:rowOff>152400</xdr:rowOff>
    </xdr:from>
    <xdr:to>
      <xdr:col>92</xdr:col>
      <xdr:colOff>698500</xdr:colOff>
      <xdr:row>1384</xdr:row>
      <xdr:rowOff>12700</xdr:rowOff>
    </xdr:to>
    <xdr:graphicFrame macro="">
      <xdr:nvGraphicFramePr>
        <xdr:cNvPr id="2" name="Chart 1">
          <a:extLst>
            <a:ext uri="{FF2B5EF4-FFF2-40B4-BE49-F238E27FC236}">
              <a16:creationId xmlns:a16="http://schemas.microsoft.com/office/drawing/2014/main" id="{C6A3C48F-6D1A-5387-816C-E7C0DF719D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0</xdr:colOff>
      <xdr:row>38</xdr:row>
      <xdr:rowOff>0</xdr:rowOff>
    </xdr:from>
    <xdr:to>
      <xdr:col>6</xdr:col>
      <xdr:colOff>304800</xdr:colOff>
      <xdr:row>39</xdr:row>
      <xdr:rowOff>39863</xdr:rowOff>
    </xdr:to>
    <xdr:sp macro="" textlink="">
      <xdr:nvSpPr>
        <xdr:cNvPr id="2" name="&lt;image001.png@01DA6E33.AFA4C6D0&gt;" descr="image001.png">
          <a:extLst>
            <a:ext uri="{FF2B5EF4-FFF2-40B4-BE49-F238E27FC236}">
              <a16:creationId xmlns:a16="http://schemas.microsoft.com/office/drawing/2014/main" id="{9A7ED1A0-518C-D144-81C3-9FCE80841BB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3" name="&lt;image001.png@01DA6E33.AFA4C6D0&gt;" descr="image001.png">
          <a:extLst>
            <a:ext uri="{FF2B5EF4-FFF2-40B4-BE49-F238E27FC236}">
              <a16:creationId xmlns:a16="http://schemas.microsoft.com/office/drawing/2014/main" id="{9178E0C2-EE2C-DB40-B18A-6FFF0091397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4" name="&lt;image001.png@01DA6E33.AFA4C6D0&gt;" descr="image001.png">
          <a:extLst>
            <a:ext uri="{FF2B5EF4-FFF2-40B4-BE49-F238E27FC236}">
              <a16:creationId xmlns:a16="http://schemas.microsoft.com/office/drawing/2014/main" id="{E2B61838-E781-3348-8D0C-0E895FDC1B4A}"/>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5" name="&lt;image001.png@01DA6E33.AFA4C6D0&gt;" descr="image001.png">
          <a:extLst>
            <a:ext uri="{FF2B5EF4-FFF2-40B4-BE49-F238E27FC236}">
              <a16:creationId xmlns:a16="http://schemas.microsoft.com/office/drawing/2014/main" id="{536D5F34-16C6-524F-B6E4-919F4C8BD82A}"/>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 name="&lt;image001.png@01DA6E33.AFA4C6D0&gt;" descr="image001.png">
          <a:extLst>
            <a:ext uri="{FF2B5EF4-FFF2-40B4-BE49-F238E27FC236}">
              <a16:creationId xmlns:a16="http://schemas.microsoft.com/office/drawing/2014/main" id="{5760BBFD-955D-A045-AD9A-4411734462A7}"/>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7" name="&lt;image001.png@01DA6E33.AFA4C6D0&gt;" descr="image001.png">
          <a:extLst>
            <a:ext uri="{FF2B5EF4-FFF2-40B4-BE49-F238E27FC236}">
              <a16:creationId xmlns:a16="http://schemas.microsoft.com/office/drawing/2014/main" id="{8280BACF-FA0B-BD43-AC86-A3F411691AD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8" name="&lt;image001.png@01DA6E33.AFA4C6D0&gt;" descr="image001.png">
          <a:extLst>
            <a:ext uri="{FF2B5EF4-FFF2-40B4-BE49-F238E27FC236}">
              <a16:creationId xmlns:a16="http://schemas.microsoft.com/office/drawing/2014/main" id="{4B272FFC-8CB7-FC47-8774-1213DC67F37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9" name="&lt;image001.png@01DA6E33.AFA4C6D0&gt;" descr="image001.png">
          <a:extLst>
            <a:ext uri="{FF2B5EF4-FFF2-40B4-BE49-F238E27FC236}">
              <a16:creationId xmlns:a16="http://schemas.microsoft.com/office/drawing/2014/main" id="{4D273785-585F-5540-95C9-6E9A4D7B08F1}"/>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10" name="&lt;image001.png@01DA6E33.AFA4C6D0&gt;" descr="image001.png">
          <a:extLst>
            <a:ext uri="{FF2B5EF4-FFF2-40B4-BE49-F238E27FC236}">
              <a16:creationId xmlns:a16="http://schemas.microsoft.com/office/drawing/2014/main" id="{9BAE79E9-780A-1A41-B454-2929294317D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1" name="&lt;image001.png@01DA6E33.AFA4C6D0&gt;" descr="image001.png">
          <a:extLst>
            <a:ext uri="{FF2B5EF4-FFF2-40B4-BE49-F238E27FC236}">
              <a16:creationId xmlns:a16="http://schemas.microsoft.com/office/drawing/2014/main" id="{7EEA4612-2D52-924C-856F-AA5E33E3CFE3}"/>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2" name="&lt;image001.png@01DA6E33.AFA4C6D0&gt;" descr="image001.png">
          <a:extLst>
            <a:ext uri="{FF2B5EF4-FFF2-40B4-BE49-F238E27FC236}">
              <a16:creationId xmlns:a16="http://schemas.microsoft.com/office/drawing/2014/main" id="{DCCAFBF5-8C3E-274A-A517-79663FEFD109}"/>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3" name="&lt;image001.png@01DA6E33.AFA4C6D0&gt;" descr="image001.png">
          <a:extLst>
            <a:ext uri="{FF2B5EF4-FFF2-40B4-BE49-F238E27FC236}">
              <a16:creationId xmlns:a16="http://schemas.microsoft.com/office/drawing/2014/main" id="{E52506B0-5E02-AA42-ABAA-3F5C32D33F6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4" name="&lt;image001.png@01DA6E33.AFA4C6D0&gt;" descr="image001.png">
          <a:extLst>
            <a:ext uri="{FF2B5EF4-FFF2-40B4-BE49-F238E27FC236}">
              <a16:creationId xmlns:a16="http://schemas.microsoft.com/office/drawing/2014/main" id="{64F3EB1D-75C1-7C43-8B02-B24E3026AA1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5" name="&lt;image001.png@01DA6E33.AFA4C6D0&gt;" descr="image001.png">
          <a:extLst>
            <a:ext uri="{FF2B5EF4-FFF2-40B4-BE49-F238E27FC236}">
              <a16:creationId xmlns:a16="http://schemas.microsoft.com/office/drawing/2014/main" id="{70E10C17-24DE-EF4D-9FF5-5C26F97DF6D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6" name="&lt;image001.png@01DA6E33.AFA4C6D0&gt;" descr="image001.png">
          <a:extLst>
            <a:ext uri="{FF2B5EF4-FFF2-40B4-BE49-F238E27FC236}">
              <a16:creationId xmlns:a16="http://schemas.microsoft.com/office/drawing/2014/main" id="{277CF0A7-E898-3245-A82E-F84E82E79BB1}"/>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7" name="&lt;image001.png@01DA6E33.AFA4C6D0&gt;" descr="image001.png">
          <a:extLst>
            <a:ext uri="{FF2B5EF4-FFF2-40B4-BE49-F238E27FC236}">
              <a16:creationId xmlns:a16="http://schemas.microsoft.com/office/drawing/2014/main" id="{82267F6F-EC20-FE4A-BB48-54604C32953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8" name="&lt;image001.png@01DA6E33.AFA4C6D0&gt;" descr="image001.png">
          <a:extLst>
            <a:ext uri="{FF2B5EF4-FFF2-40B4-BE49-F238E27FC236}">
              <a16:creationId xmlns:a16="http://schemas.microsoft.com/office/drawing/2014/main" id="{C3F16FE6-A416-CD4A-BF8A-60EFBE22C02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9" name="&lt;image001.png@01DA6E33.AFA4C6D0&gt;" descr="image001.png">
          <a:extLst>
            <a:ext uri="{FF2B5EF4-FFF2-40B4-BE49-F238E27FC236}">
              <a16:creationId xmlns:a16="http://schemas.microsoft.com/office/drawing/2014/main" id="{DB1E5988-D2EB-1249-95BB-A168EABEC8B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0" name="&lt;image001.png@01DA6E33.AFA4C6D0&gt;" descr="image001.png">
          <a:extLst>
            <a:ext uri="{FF2B5EF4-FFF2-40B4-BE49-F238E27FC236}">
              <a16:creationId xmlns:a16="http://schemas.microsoft.com/office/drawing/2014/main" id="{0A1C2D03-9D08-9042-AD51-8E35CFD9955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1" name="&lt;image001.png@01DA6E33.AFA4C6D0&gt;" descr="image001.png">
          <a:extLst>
            <a:ext uri="{FF2B5EF4-FFF2-40B4-BE49-F238E27FC236}">
              <a16:creationId xmlns:a16="http://schemas.microsoft.com/office/drawing/2014/main" id="{360B6E21-1BFC-5A40-BA9C-5A462CE457E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2" name="&lt;image001.png@01DA6E33.AFA4C6D0&gt;" descr="image001.png">
          <a:extLst>
            <a:ext uri="{FF2B5EF4-FFF2-40B4-BE49-F238E27FC236}">
              <a16:creationId xmlns:a16="http://schemas.microsoft.com/office/drawing/2014/main" id="{F041099B-F4D2-A244-9C9A-43C11CB6673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3" name="&lt;image001.png@01DA6E33.AFA4C6D0&gt;" descr="image001.png">
          <a:extLst>
            <a:ext uri="{FF2B5EF4-FFF2-40B4-BE49-F238E27FC236}">
              <a16:creationId xmlns:a16="http://schemas.microsoft.com/office/drawing/2014/main" id="{F23CCA3A-138E-0340-8F24-DB792A14B28E}"/>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4" name="&lt;image001.png@01DA6E33.AFA4C6D0&gt;" descr="image001.png">
          <a:extLst>
            <a:ext uri="{FF2B5EF4-FFF2-40B4-BE49-F238E27FC236}">
              <a16:creationId xmlns:a16="http://schemas.microsoft.com/office/drawing/2014/main" id="{EAAF9EB1-89B5-4241-861F-302F11D5605B}"/>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5" name="&lt;image001.png@01DA6E33.AFA4C6D0&gt;" descr="image001.png">
          <a:extLst>
            <a:ext uri="{FF2B5EF4-FFF2-40B4-BE49-F238E27FC236}">
              <a16:creationId xmlns:a16="http://schemas.microsoft.com/office/drawing/2014/main" id="{8569B6AB-A7AF-EF42-B45D-FAEBD8305DAB}"/>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6" name="&lt;image001.png@01DA6E33.AFA4C6D0&gt;" descr="image001.png">
          <a:extLst>
            <a:ext uri="{FF2B5EF4-FFF2-40B4-BE49-F238E27FC236}">
              <a16:creationId xmlns:a16="http://schemas.microsoft.com/office/drawing/2014/main" id="{2D22D36F-BF27-734E-87F7-89EEC64867D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7" name="&lt;image001.png@01DA6E33.AFA4C6D0&gt;" descr="image001.png">
          <a:extLst>
            <a:ext uri="{FF2B5EF4-FFF2-40B4-BE49-F238E27FC236}">
              <a16:creationId xmlns:a16="http://schemas.microsoft.com/office/drawing/2014/main" id="{BE179D57-E135-064C-967E-7EFAECCDFE7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8" name="&lt;image001.png@01DA6E33.AFA4C6D0&gt;" descr="image001.png">
          <a:extLst>
            <a:ext uri="{FF2B5EF4-FFF2-40B4-BE49-F238E27FC236}">
              <a16:creationId xmlns:a16="http://schemas.microsoft.com/office/drawing/2014/main" id="{BB0C06BF-9CE3-3643-B287-78A3F7910D3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9" name="&lt;image001.png@01DA6E33.AFA4C6D0&gt;" descr="image001.png">
          <a:extLst>
            <a:ext uri="{FF2B5EF4-FFF2-40B4-BE49-F238E27FC236}">
              <a16:creationId xmlns:a16="http://schemas.microsoft.com/office/drawing/2014/main" id="{AE3F4537-83B5-274B-B153-2EEAE878376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0" name="&lt;image001.png@01DA6E33.AFA4C6D0&gt;" descr="image001.png">
          <a:extLst>
            <a:ext uri="{FF2B5EF4-FFF2-40B4-BE49-F238E27FC236}">
              <a16:creationId xmlns:a16="http://schemas.microsoft.com/office/drawing/2014/main" id="{083EEBF4-467C-F94B-99DC-A1EFE2E922B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1" name="&lt;image001.png@01DA6E33.AFA4C6D0&gt;" descr="image001.png">
          <a:extLst>
            <a:ext uri="{FF2B5EF4-FFF2-40B4-BE49-F238E27FC236}">
              <a16:creationId xmlns:a16="http://schemas.microsoft.com/office/drawing/2014/main" id="{BF844878-52F6-314C-94C1-9AFA6540098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2" name="&lt;image001.png@01DA6E33.AFA4C6D0&gt;" descr="image001.png">
          <a:extLst>
            <a:ext uri="{FF2B5EF4-FFF2-40B4-BE49-F238E27FC236}">
              <a16:creationId xmlns:a16="http://schemas.microsoft.com/office/drawing/2014/main" id="{1BC0AC32-1D54-F54E-A47A-A9737706D42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3" name="&lt;image001.png@01DA6E33.AFA4C6D0&gt;" descr="image001.png">
          <a:extLst>
            <a:ext uri="{FF2B5EF4-FFF2-40B4-BE49-F238E27FC236}">
              <a16:creationId xmlns:a16="http://schemas.microsoft.com/office/drawing/2014/main" id="{36AC01B7-571B-4A45-978D-153C9BEDF524}"/>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twoCellAnchor editAs="oneCell">
    <xdr:from>
      <xdr:col>6</xdr:col>
      <xdr:colOff>0</xdr:colOff>
      <xdr:row>38</xdr:row>
      <xdr:rowOff>0</xdr:rowOff>
    </xdr:from>
    <xdr:to>
      <xdr:col>6</xdr:col>
      <xdr:colOff>304800</xdr:colOff>
      <xdr:row>39</xdr:row>
      <xdr:rowOff>27163</xdr:rowOff>
    </xdr:to>
    <xdr:sp macro="" textlink="">
      <xdr:nvSpPr>
        <xdr:cNvPr id="34" name="&lt;image001.png@01DA6E33.AFA4C6D0&gt;" descr="image001.png">
          <a:extLst>
            <a:ext uri="{FF2B5EF4-FFF2-40B4-BE49-F238E27FC236}">
              <a16:creationId xmlns:a16="http://schemas.microsoft.com/office/drawing/2014/main" id="{8A4B5C2F-C096-5741-9967-FBD19072D99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5" name="&lt;image001.png@01DA6E33.AFA4C6D0&gt;" descr="image001.png">
          <a:extLst>
            <a:ext uri="{FF2B5EF4-FFF2-40B4-BE49-F238E27FC236}">
              <a16:creationId xmlns:a16="http://schemas.microsoft.com/office/drawing/2014/main" id="{7A0F18F1-F051-6641-9A76-0CE6184C6F2E}"/>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6" name="&lt;image001.png@01DA6E33.AFA4C6D0&gt;" descr="image001.png">
          <a:extLst>
            <a:ext uri="{FF2B5EF4-FFF2-40B4-BE49-F238E27FC236}">
              <a16:creationId xmlns:a16="http://schemas.microsoft.com/office/drawing/2014/main" id="{E21BDE37-954E-3F47-8680-EFC1AF0B34F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37" name="&lt;image001.png@01DA6E33.AFA4C6D0&gt;" descr="image001.png">
          <a:extLst>
            <a:ext uri="{FF2B5EF4-FFF2-40B4-BE49-F238E27FC236}">
              <a16:creationId xmlns:a16="http://schemas.microsoft.com/office/drawing/2014/main" id="{44807EAE-9562-0C48-A588-6B56188BDAA4}"/>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8" name="&lt;image001.png@01DA6E33.AFA4C6D0&gt;" descr="image001.png">
          <a:extLst>
            <a:ext uri="{FF2B5EF4-FFF2-40B4-BE49-F238E27FC236}">
              <a16:creationId xmlns:a16="http://schemas.microsoft.com/office/drawing/2014/main" id="{1BC129D4-38A1-BE40-96DF-E2F4514A788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39" name="&lt;image001.png@01DA6E33.AFA4C6D0&gt;" descr="image001.png">
          <a:extLst>
            <a:ext uri="{FF2B5EF4-FFF2-40B4-BE49-F238E27FC236}">
              <a16:creationId xmlns:a16="http://schemas.microsoft.com/office/drawing/2014/main" id="{900B21B4-B78D-1340-915D-4860C4698CE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0" name="&lt;image001.png@01DA6E33.AFA4C6D0&gt;" descr="image001.png">
          <a:extLst>
            <a:ext uri="{FF2B5EF4-FFF2-40B4-BE49-F238E27FC236}">
              <a16:creationId xmlns:a16="http://schemas.microsoft.com/office/drawing/2014/main" id="{C028DE9C-FE9C-424E-9CDC-99E13C693C62}"/>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1" name="&lt;image001.png@01DA6E33.AFA4C6D0&gt;" descr="image001.png">
          <a:extLst>
            <a:ext uri="{FF2B5EF4-FFF2-40B4-BE49-F238E27FC236}">
              <a16:creationId xmlns:a16="http://schemas.microsoft.com/office/drawing/2014/main" id="{198E5FBD-F80A-FF47-AFFC-9629E4DFD52D}"/>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2" name="&lt;image001.png@01DA6E33.AFA4C6D0&gt;" descr="image001.png">
          <a:extLst>
            <a:ext uri="{FF2B5EF4-FFF2-40B4-BE49-F238E27FC236}">
              <a16:creationId xmlns:a16="http://schemas.microsoft.com/office/drawing/2014/main" id="{DC064C8E-2612-CA42-B870-4587CD3B183C}"/>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3" name="&lt;image001.png@01DA6E33.AFA4C6D0&gt;" descr="image001.png">
          <a:extLst>
            <a:ext uri="{FF2B5EF4-FFF2-40B4-BE49-F238E27FC236}">
              <a16:creationId xmlns:a16="http://schemas.microsoft.com/office/drawing/2014/main" id="{2B8EFEED-5ABD-FF49-8C26-CB3107CE022D}"/>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4" name="&lt;image001.png@01DA6E33.AFA4C6D0&gt;" descr="image001.png">
          <a:extLst>
            <a:ext uri="{FF2B5EF4-FFF2-40B4-BE49-F238E27FC236}">
              <a16:creationId xmlns:a16="http://schemas.microsoft.com/office/drawing/2014/main" id="{120952B3-D6A4-8E4E-A876-3D6CB7146C86}"/>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5" name="&lt;image001.png@01DA6E33.AFA4C6D0&gt;" descr="image001.png">
          <a:extLst>
            <a:ext uri="{FF2B5EF4-FFF2-40B4-BE49-F238E27FC236}">
              <a16:creationId xmlns:a16="http://schemas.microsoft.com/office/drawing/2014/main" id="{DEC0AD50-FFF9-4541-8AB6-E4AAFA6AA1F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6" name="&lt;image001.png@01DA6E33.AFA4C6D0&gt;" descr="image001.png">
          <a:extLst>
            <a:ext uri="{FF2B5EF4-FFF2-40B4-BE49-F238E27FC236}">
              <a16:creationId xmlns:a16="http://schemas.microsoft.com/office/drawing/2014/main" id="{2805A10F-4E6E-E749-A059-73D1A9E5FF0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7" name="&lt;image001.png@01DA6E33.AFA4C6D0&gt;" descr="image001.png">
          <a:extLst>
            <a:ext uri="{FF2B5EF4-FFF2-40B4-BE49-F238E27FC236}">
              <a16:creationId xmlns:a16="http://schemas.microsoft.com/office/drawing/2014/main" id="{637AEA9F-DF81-5E4C-B494-C8CC2583010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8" name="&lt;image001.png@01DA6E33.AFA4C6D0&gt;" descr="image001.png">
          <a:extLst>
            <a:ext uri="{FF2B5EF4-FFF2-40B4-BE49-F238E27FC236}">
              <a16:creationId xmlns:a16="http://schemas.microsoft.com/office/drawing/2014/main" id="{CA05C26A-29A1-C743-ABD9-C86147E3BC4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9" name="&lt;image001.png@01DA6E33.AFA4C6D0&gt;" descr="image001.png">
          <a:extLst>
            <a:ext uri="{FF2B5EF4-FFF2-40B4-BE49-F238E27FC236}">
              <a16:creationId xmlns:a16="http://schemas.microsoft.com/office/drawing/2014/main" id="{4BBD3A36-6BFE-1D47-8B2B-87CED414784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0" name="&lt;image001.png@01DA6E33.AFA4C6D0&gt;" descr="image001.png">
          <a:extLst>
            <a:ext uri="{FF2B5EF4-FFF2-40B4-BE49-F238E27FC236}">
              <a16:creationId xmlns:a16="http://schemas.microsoft.com/office/drawing/2014/main" id="{101C872C-DC1B-8C4E-97BC-7997737FF70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1" name="&lt;image001.png@01DA6E33.AFA4C6D0&gt;" descr="image001.png">
          <a:extLst>
            <a:ext uri="{FF2B5EF4-FFF2-40B4-BE49-F238E27FC236}">
              <a16:creationId xmlns:a16="http://schemas.microsoft.com/office/drawing/2014/main" id="{B96FB2C7-7FF2-7244-A19C-8352CCAEE19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2" name="&lt;image001.png@01DA6E33.AFA4C6D0&gt;" descr="image001.png">
          <a:extLst>
            <a:ext uri="{FF2B5EF4-FFF2-40B4-BE49-F238E27FC236}">
              <a16:creationId xmlns:a16="http://schemas.microsoft.com/office/drawing/2014/main" id="{36B3474A-E693-764D-8EFE-F185DB5925A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3" name="&lt;image001.png@01DA6E33.AFA4C6D0&gt;" descr="image001.png">
          <a:extLst>
            <a:ext uri="{FF2B5EF4-FFF2-40B4-BE49-F238E27FC236}">
              <a16:creationId xmlns:a16="http://schemas.microsoft.com/office/drawing/2014/main" id="{4C8B1846-1D46-D24F-A75A-2F68A8A0F1DC}"/>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4" name="&lt;image001.png@01DA6E33.AFA4C6D0&gt;" descr="image001.png">
          <a:extLst>
            <a:ext uri="{FF2B5EF4-FFF2-40B4-BE49-F238E27FC236}">
              <a16:creationId xmlns:a16="http://schemas.microsoft.com/office/drawing/2014/main" id="{C7B699DE-6C85-F046-807A-08DA602C7E8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5" name="&lt;image001.png@01DA6E33.AFA4C6D0&gt;" descr="image001.png">
          <a:extLst>
            <a:ext uri="{FF2B5EF4-FFF2-40B4-BE49-F238E27FC236}">
              <a16:creationId xmlns:a16="http://schemas.microsoft.com/office/drawing/2014/main" id="{F4906715-A18F-3D40-A556-931CF1855BF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6" name="&lt;image001.png@01DA6E33.AFA4C6D0&gt;" descr="image001.png">
          <a:extLst>
            <a:ext uri="{FF2B5EF4-FFF2-40B4-BE49-F238E27FC236}">
              <a16:creationId xmlns:a16="http://schemas.microsoft.com/office/drawing/2014/main" id="{DA052981-2ABC-0849-A5F2-0994A9740DE0}"/>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7" name="&lt;image001.png@01DA6E33.AFA4C6D0&gt;" descr="image001.png">
          <a:extLst>
            <a:ext uri="{FF2B5EF4-FFF2-40B4-BE49-F238E27FC236}">
              <a16:creationId xmlns:a16="http://schemas.microsoft.com/office/drawing/2014/main" id="{C8BDB7F5-2E10-5A47-AA1A-523E18030D35}"/>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8" name="&lt;image001.png@01DA6E33.AFA4C6D0&gt;" descr="image001.png">
          <a:extLst>
            <a:ext uri="{FF2B5EF4-FFF2-40B4-BE49-F238E27FC236}">
              <a16:creationId xmlns:a16="http://schemas.microsoft.com/office/drawing/2014/main" id="{E2678E53-03D4-BA4F-B588-E4D4ADC67EF2}"/>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9" name="&lt;image001.png@01DA6E33.AFA4C6D0&gt;" descr="image001.png">
          <a:extLst>
            <a:ext uri="{FF2B5EF4-FFF2-40B4-BE49-F238E27FC236}">
              <a16:creationId xmlns:a16="http://schemas.microsoft.com/office/drawing/2014/main" id="{AFFA3507-129A-3D4C-934C-8100D8586300}"/>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0" name="&lt;image001.png@01DA6E33.AFA4C6D0&gt;" descr="image001.png">
          <a:extLst>
            <a:ext uri="{FF2B5EF4-FFF2-40B4-BE49-F238E27FC236}">
              <a16:creationId xmlns:a16="http://schemas.microsoft.com/office/drawing/2014/main" id="{6DFCEF23-7BA7-154D-ABFE-7FD6FFE0992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1" name="&lt;image001.png@01DA6E33.AFA4C6D0&gt;" descr="image001.png">
          <a:extLst>
            <a:ext uri="{FF2B5EF4-FFF2-40B4-BE49-F238E27FC236}">
              <a16:creationId xmlns:a16="http://schemas.microsoft.com/office/drawing/2014/main" id="{48085935-DDBB-C34F-AF1F-C978400E2430}"/>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2" name="&lt;image001.png@01DA6E33.AFA4C6D0&gt;" descr="image001.png">
          <a:extLst>
            <a:ext uri="{FF2B5EF4-FFF2-40B4-BE49-F238E27FC236}">
              <a16:creationId xmlns:a16="http://schemas.microsoft.com/office/drawing/2014/main" id="{177061F9-F65D-0E4E-98F4-E56C1210F8B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3" name="&lt;image001.png@01DA6E33.AFA4C6D0&gt;" descr="image001.png">
          <a:extLst>
            <a:ext uri="{FF2B5EF4-FFF2-40B4-BE49-F238E27FC236}">
              <a16:creationId xmlns:a16="http://schemas.microsoft.com/office/drawing/2014/main" id="{948A7E17-EBB1-4E45-A34F-EB05C98C912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4" name="&lt;image001.png@01DA6E33.AFA4C6D0&gt;" descr="image001.png">
          <a:extLst>
            <a:ext uri="{FF2B5EF4-FFF2-40B4-BE49-F238E27FC236}">
              <a16:creationId xmlns:a16="http://schemas.microsoft.com/office/drawing/2014/main" id="{3E827E98-562F-224D-A17F-0D4AD19FC5A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5" name="&lt;image001.png@01DA6E33.AFA4C6D0&gt;" descr="image001.png">
          <a:extLst>
            <a:ext uri="{FF2B5EF4-FFF2-40B4-BE49-F238E27FC236}">
              <a16:creationId xmlns:a16="http://schemas.microsoft.com/office/drawing/2014/main" id="{78BBBDC5-FE6A-8644-A220-DF9E80F9B8C3}"/>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6" name="&lt;image001.png@01DA6E33.AFA4C6D0&gt;" descr="image001.png">
          <a:extLst>
            <a:ext uri="{FF2B5EF4-FFF2-40B4-BE49-F238E27FC236}">
              <a16:creationId xmlns:a16="http://schemas.microsoft.com/office/drawing/2014/main" id="{DDE56D48-3ACF-264B-8DC3-4A285380378D}"/>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7" name="&lt;image001.png@01DA6E33.AFA4C6D0&gt;" descr="image001.png">
          <a:extLst>
            <a:ext uri="{FF2B5EF4-FFF2-40B4-BE49-F238E27FC236}">
              <a16:creationId xmlns:a16="http://schemas.microsoft.com/office/drawing/2014/main" id="{53E860B5-0E32-244B-849E-4CC664B9061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8" name="&lt;image001.png@01DA6E33.AFA4C6D0&gt;" descr="image001.png">
          <a:extLst>
            <a:ext uri="{FF2B5EF4-FFF2-40B4-BE49-F238E27FC236}">
              <a16:creationId xmlns:a16="http://schemas.microsoft.com/office/drawing/2014/main" id="{C5170354-54F4-EC4A-8DBB-3DA0F4EFF6A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9" name="&lt;image001.png@01DA6E33.AFA4C6D0&gt;" descr="image001.png">
          <a:extLst>
            <a:ext uri="{FF2B5EF4-FFF2-40B4-BE49-F238E27FC236}">
              <a16:creationId xmlns:a16="http://schemas.microsoft.com/office/drawing/2014/main" id="{BD87417A-D5D6-AD40-8183-9F622619F59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0" name="&lt;image001.png@01DA6E33.AFA4C6D0&gt;" descr="image001.png">
          <a:extLst>
            <a:ext uri="{FF2B5EF4-FFF2-40B4-BE49-F238E27FC236}">
              <a16:creationId xmlns:a16="http://schemas.microsoft.com/office/drawing/2014/main" id="{F8EA8466-BB0E-2742-BBA1-31A242751E2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1" name="&lt;image001.png@01DA6E33.AFA4C6D0&gt;" descr="image001.png">
          <a:extLst>
            <a:ext uri="{FF2B5EF4-FFF2-40B4-BE49-F238E27FC236}">
              <a16:creationId xmlns:a16="http://schemas.microsoft.com/office/drawing/2014/main" id="{22FF51E8-2A05-7B45-AA25-085733A1BC82}"/>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2" name="&lt;image001.png@01DA6E33.AFA4C6D0&gt;" descr="image001.png">
          <a:extLst>
            <a:ext uri="{FF2B5EF4-FFF2-40B4-BE49-F238E27FC236}">
              <a16:creationId xmlns:a16="http://schemas.microsoft.com/office/drawing/2014/main" id="{35AA6397-5A3B-7F4E-98EB-F24F56BBFBE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3" name="&lt;image001.png@01DA6E33.AFA4C6D0&gt;" descr="image001.png">
          <a:extLst>
            <a:ext uri="{FF2B5EF4-FFF2-40B4-BE49-F238E27FC236}">
              <a16:creationId xmlns:a16="http://schemas.microsoft.com/office/drawing/2014/main" id="{0D21A808-C590-C046-ABE7-0F26B3A640C0}"/>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4" name="&lt;image001.png@01DA6E33.AFA4C6D0&gt;" descr="image001.png">
          <a:extLst>
            <a:ext uri="{FF2B5EF4-FFF2-40B4-BE49-F238E27FC236}">
              <a16:creationId xmlns:a16="http://schemas.microsoft.com/office/drawing/2014/main" id="{4F93FF44-0C8A-BF4F-979A-F1E468C9F6C6}"/>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5" name="&lt;image001.png@01DA6E33.AFA4C6D0&gt;" descr="image001.png">
          <a:extLst>
            <a:ext uri="{FF2B5EF4-FFF2-40B4-BE49-F238E27FC236}">
              <a16:creationId xmlns:a16="http://schemas.microsoft.com/office/drawing/2014/main" id="{00A77F7D-AC21-AB49-8E0B-673ABA4B52A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6.xml><?xml version="1.0" encoding="utf-8"?>
<xdr:wsDr xmlns:xdr="http://schemas.openxmlformats.org/drawingml/2006/spreadsheetDrawing" xmlns:a="http://schemas.openxmlformats.org/drawingml/2006/main">
  <xdr:twoCellAnchor>
    <xdr:from>
      <xdr:col>12</xdr:col>
      <xdr:colOff>731766</xdr:colOff>
      <xdr:row>2</xdr:row>
      <xdr:rowOff>39311</xdr:rowOff>
    </xdr:from>
    <xdr:to>
      <xdr:col>24</xdr:col>
      <xdr:colOff>613833</xdr:colOff>
      <xdr:row>25</xdr:row>
      <xdr:rowOff>228600</xdr:rowOff>
    </xdr:to>
    <xdr:graphicFrame macro="">
      <xdr:nvGraphicFramePr>
        <xdr:cNvPr id="2" name="ChaRSI2">
          <a:extLst>
            <a:ext uri="{FF2B5EF4-FFF2-40B4-BE49-F238E27FC236}">
              <a16:creationId xmlns:a16="http://schemas.microsoft.com/office/drawing/2014/main" id="{4C9B361D-D8EE-C143-A230-C9CFB224D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973669</xdr:colOff>
      <xdr:row>2</xdr:row>
      <xdr:rowOff>21168</xdr:rowOff>
    </xdr:from>
    <xdr:to>
      <xdr:col>12</xdr:col>
      <xdr:colOff>689431</xdr:colOff>
      <xdr:row>29</xdr:row>
      <xdr:rowOff>232834</xdr:rowOff>
    </xdr:to>
    <xdr:graphicFrame macro="">
      <xdr:nvGraphicFramePr>
        <xdr:cNvPr id="3" name="ChaRSI1">
          <a:extLst>
            <a:ext uri="{FF2B5EF4-FFF2-40B4-BE49-F238E27FC236}">
              <a16:creationId xmlns:a16="http://schemas.microsoft.com/office/drawing/2014/main" id="{937958BB-A89D-BA4B-B9CD-4767FB8038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925286</xdr:colOff>
      <xdr:row>2</xdr:row>
      <xdr:rowOff>54429</xdr:rowOff>
    </xdr:from>
    <xdr:to>
      <xdr:col>37</xdr:col>
      <xdr:colOff>81639</xdr:colOff>
      <xdr:row>25</xdr:row>
      <xdr:rowOff>243718</xdr:rowOff>
    </xdr:to>
    <xdr:graphicFrame macro="">
      <xdr:nvGraphicFramePr>
        <xdr:cNvPr id="5" name="ChaRSI3">
          <a:extLst>
            <a:ext uri="{FF2B5EF4-FFF2-40B4-BE49-F238E27FC236}">
              <a16:creationId xmlns:a16="http://schemas.microsoft.com/office/drawing/2014/main" id="{B22344D0-09C7-8A4F-9F60-30ED2E2F52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34</xdr:col>
      <xdr:colOff>838200</xdr:colOff>
      <xdr:row>2</xdr:row>
      <xdr:rowOff>177800</xdr:rowOff>
    </xdr:from>
    <xdr:ext cx="2844800" cy="342851"/>
    <xdr:sp macro="" textlink="$AG$1">
      <xdr:nvSpPr>
        <xdr:cNvPr id="4" name="TextBox 3">
          <a:extLst>
            <a:ext uri="{FF2B5EF4-FFF2-40B4-BE49-F238E27FC236}">
              <a16:creationId xmlns:a16="http://schemas.microsoft.com/office/drawing/2014/main" id="{010AF61A-7A95-38F5-28D6-AD074B38CE31}"/>
            </a:ext>
          </a:extLst>
        </xdr:cNvPr>
        <xdr:cNvSpPr txBox="1"/>
      </xdr:nvSpPr>
      <xdr:spPr>
        <a:xfrm>
          <a:off x="39192200" y="1066800"/>
          <a:ext cx="2844800"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FBCCE7FF-F7D2-3E48-908C-F342E9954ED0}" type="TxLink">
            <a:rPr lang="en-US" sz="1600" b="0" i="0" u="none" strike="noStrike">
              <a:solidFill>
                <a:srgbClr val="FF0000"/>
              </a:solidFill>
              <a:latin typeface="Aptos Narrow"/>
            </a:rPr>
            <a:pPr/>
            <a:t>Effective Cost/Share 51</a:t>
          </a:fld>
          <a:endParaRPr lang="en-US" sz="1100">
            <a:solidFill>
              <a:srgbClr val="FF0000"/>
            </a:solidFill>
          </a:endParaRPr>
        </a:p>
      </xdr:txBody>
    </xdr:sp>
    <xdr:clientData/>
  </xdr:oneCellAnchor>
</xdr:wsDr>
</file>

<file path=xl/drawings/drawing7.xml><?xml version="1.0" encoding="utf-8"?>
<c:userShapes xmlns:c="http://schemas.openxmlformats.org/drawingml/2006/chart">
  <cdr:relSizeAnchor xmlns:cdr="http://schemas.openxmlformats.org/drawingml/2006/chartDrawing">
    <cdr:from>
      <cdr:x>0.9136</cdr:x>
      <cdr:y>0.64388</cdr:y>
    </cdr:from>
    <cdr:to>
      <cdr:x>0.99528</cdr:x>
      <cdr:y>0.68367</cdr:y>
    </cdr:to>
    <cdr:sp macro="" textlink="ChaCha!$E$60">
      <cdr:nvSpPr>
        <cdr:cNvPr id="2" name="TextBox 1">
          <a:extLst xmlns:a="http://schemas.openxmlformats.org/drawingml/2006/main">
            <a:ext uri="{FF2B5EF4-FFF2-40B4-BE49-F238E27FC236}">
              <a16:creationId xmlns:a16="http://schemas.microsoft.com/office/drawing/2014/main" id="{7D9EF53B-F138-3A28-76B6-85B150AFE852}"/>
            </a:ext>
          </a:extLst>
        </cdr:cNvPr>
        <cdr:cNvSpPr txBox="1"/>
      </cdr:nvSpPr>
      <cdr:spPr>
        <a:xfrm xmlns:a="http://schemas.openxmlformats.org/drawingml/2006/main">
          <a:off x="12290579" y="4152097"/>
          <a:ext cx="1098849" cy="256617"/>
        </a:xfrm>
        <a:prstGeom xmlns:a="http://schemas.openxmlformats.org/drawingml/2006/main" prst="rect">
          <a:avLst/>
        </a:prstGeom>
        <a:solidFill xmlns:a="http://schemas.openxmlformats.org/drawingml/2006/main">
          <a:schemeClr val="accent6">
            <a:lumMod val="20000"/>
            <a:lumOff val="80000"/>
          </a:schemeClr>
        </a:solidFill>
      </cdr:spPr>
      <cdr:txBody>
        <a:bodyPr xmlns:a="http://schemas.openxmlformats.org/drawingml/2006/main" vertOverflow="clip" wrap="none" rtlCol="0"/>
        <a:lstStyle xmlns:a="http://schemas.openxmlformats.org/drawingml/2006/main"/>
        <a:p xmlns:a="http://schemas.openxmlformats.org/drawingml/2006/main">
          <a:pPr algn="ctr"/>
          <a:r>
            <a:rPr lang="en-US" sz="1600" b="0" i="0" u="none" strike="noStrike" kern="1200">
              <a:solidFill>
                <a:srgbClr val="00B050"/>
              </a:solidFill>
              <a:latin typeface="Aptos Narrow"/>
            </a:rPr>
            <a:t>Agio=</a:t>
          </a:r>
          <a:fld id="{0784DFD7-4581-2F4D-8A3C-4F43857F7D96}" type="TxLink">
            <a:rPr lang="en-US" sz="1600" b="0" i="0" u="none" strike="noStrike" kern="1200">
              <a:solidFill>
                <a:srgbClr val="00B050"/>
              </a:solidFill>
              <a:latin typeface="Aptos Narrow"/>
            </a:rPr>
            <a:pPr algn="ctr"/>
            <a:t>100%</a:t>
          </a:fld>
          <a:endParaRPr lang="en-US" sz="1600" kern="1200">
            <a:solidFill>
              <a:srgbClr val="00B050"/>
            </a:solidFill>
          </a:endParaRPr>
        </a:p>
      </cdr:txBody>
    </cdr:sp>
  </cdr:relSizeAnchor>
</c:userShapes>
</file>

<file path=xl/drawings/drawing8.xml><?xml version="1.0" encoding="utf-8"?>
<xdr:wsDr xmlns:xdr="http://schemas.openxmlformats.org/drawingml/2006/spreadsheetDrawing" xmlns:a="http://schemas.openxmlformats.org/drawingml/2006/main">
  <xdr:twoCellAnchor>
    <xdr:from>
      <xdr:col>9</xdr:col>
      <xdr:colOff>160263</xdr:colOff>
      <xdr:row>2</xdr:row>
      <xdr:rowOff>45359</xdr:rowOff>
    </xdr:from>
    <xdr:to>
      <xdr:col>19</xdr:col>
      <xdr:colOff>870857</xdr:colOff>
      <xdr:row>29</xdr:row>
      <xdr:rowOff>235858</xdr:rowOff>
    </xdr:to>
    <xdr:graphicFrame macro="">
      <xdr:nvGraphicFramePr>
        <xdr:cNvPr id="4" name="ChaCha2">
          <a:extLst>
            <a:ext uri="{FF2B5EF4-FFF2-40B4-BE49-F238E27FC236}">
              <a16:creationId xmlns:a16="http://schemas.microsoft.com/office/drawing/2014/main" id="{0B7F531A-135E-2841-92CD-1DBE875654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xdr:row>
      <xdr:rowOff>36892</xdr:rowOff>
    </xdr:from>
    <xdr:to>
      <xdr:col>9</xdr:col>
      <xdr:colOff>18141</xdr:colOff>
      <xdr:row>29</xdr:row>
      <xdr:rowOff>241301</xdr:rowOff>
    </xdr:to>
    <xdr:graphicFrame macro="">
      <xdr:nvGraphicFramePr>
        <xdr:cNvPr id="5" name="ChaCha1">
          <a:extLst>
            <a:ext uri="{FF2B5EF4-FFF2-40B4-BE49-F238E27FC236}">
              <a16:creationId xmlns:a16="http://schemas.microsoft.com/office/drawing/2014/main" id="{354E689C-FCD3-4DE3-FC62-23FCBC90B1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955521</xdr:colOff>
      <xdr:row>2</xdr:row>
      <xdr:rowOff>39310</xdr:rowOff>
    </xdr:from>
    <xdr:to>
      <xdr:col>29</xdr:col>
      <xdr:colOff>293307</xdr:colOff>
      <xdr:row>29</xdr:row>
      <xdr:rowOff>235857</xdr:rowOff>
    </xdr:to>
    <xdr:graphicFrame macro="">
      <xdr:nvGraphicFramePr>
        <xdr:cNvPr id="3" name="ChaCha3">
          <a:extLst>
            <a:ext uri="{FF2B5EF4-FFF2-40B4-BE49-F238E27FC236}">
              <a16:creationId xmlns:a16="http://schemas.microsoft.com/office/drawing/2014/main" id="{B03F7940-DA42-594B-A450-51F9D5D611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29</xdr:col>
      <xdr:colOff>304800</xdr:colOff>
      <xdr:row>2</xdr:row>
      <xdr:rowOff>190500</xdr:rowOff>
    </xdr:from>
    <xdr:ext cx="1092200" cy="593368"/>
    <xdr:sp macro="" textlink="$O$1">
      <xdr:nvSpPr>
        <xdr:cNvPr id="2" name="TextBox 1">
          <a:extLst>
            <a:ext uri="{FF2B5EF4-FFF2-40B4-BE49-F238E27FC236}">
              <a16:creationId xmlns:a16="http://schemas.microsoft.com/office/drawing/2014/main" id="{61CB99F1-A542-FBEB-82D2-7CD1C439AC6B}"/>
            </a:ext>
          </a:extLst>
        </xdr:cNvPr>
        <xdr:cNvSpPr txBox="1"/>
      </xdr:nvSpPr>
      <xdr:spPr>
        <a:xfrm>
          <a:off x="33499425" y="1222375"/>
          <a:ext cx="10922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36431BDD-04AD-114F-B83D-0D30C5C961CF}" type="TxLink">
            <a:rPr lang="en-US" sz="1600" b="0" i="0" u="none" strike="noStrike">
              <a:solidFill>
                <a:srgbClr val="000000"/>
              </a:solidFill>
              <a:latin typeface="Aptos Narrow"/>
            </a:rPr>
            <a:pPr algn="ctr"/>
            <a:t>3000 x A=51</a:t>
          </a:fld>
          <a:endParaRPr lang="en-US" sz="2400"/>
        </a:p>
      </xdr:txBody>
    </xdr:sp>
    <xdr:clientData/>
  </xdr:oneCellAnchor>
  <xdr:oneCellAnchor>
    <xdr:from>
      <xdr:col>6</xdr:col>
      <xdr:colOff>876300</xdr:colOff>
      <xdr:row>2</xdr:row>
      <xdr:rowOff>88900</xdr:rowOff>
    </xdr:from>
    <xdr:ext cx="1003300" cy="593368"/>
    <xdr:sp macro="" textlink="$O$1">
      <xdr:nvSpPr>
        <xdr:cNvPr id="6" name="TextBox 5">
          <a:extLst>
            <a:ext uri="{FF2B5EF4-FFF2-40B4-BE49-F238E27FC236}">
              <a16:creationId xmlns:a16="http://schemas.microsoft.com/office/drawing/2014/main" id="{F11A83EC-4BFD-DAAE-2615-7102F01DAF8D}"/>
            </a:ext>
          </a:extLst>
        </xdr:cNvPr>
        <xdr:cNvSpPr txBox="1"/>
      </xdr:nvSpPr>
      <xdr:spPr>
        <a:xfrm>
          <a:off x="8099425" y="1120775"/>
          <a:ext cx="10033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44398B67-B5F5-6649-860B-D8387CC9D151}" type="TxLink">
            <a:rPr lang="en-US" sz="1600" b="0" i="0" u="none" strike="noStrike">
              <a:solidFill>
                <a:srgbClr val="000000"/>
              </a:solidFill>
              <a:latin typeface="Aptos Narrow"/>
            </a:rPr>
            <a:pPr/>
            <a:t>3000 x A=51</a:t>
          </a:fld>
          <a:endParaRPr lang="en-US" sz="1100"/>
        </a:p>
      </xdr:txBody>
    </xdr:sp>
    <xdr:clientData/>
  </xdr:oneCellAnchor>
</xdr:wsDr>
</file>

<file path=xl/drawings/drawing9.xml><?xml version="1.0" encoding="utf-8"?>
<c:userShapes xmlns:c="http://schemas.openxmlformats.org/drawingml/2006/chart">
  <cdr:relSizeAnchor xmlns:cdr="http://schemas.openxmlformats.org/drawingml/2006/chartDrawing">
    <cdr:from>
      <cdr:x>0.78356</cdr:x>
      <cdr:y>0.01342</cdr:y>
    </cdr:from>
    <cdr:to>
      <cdr:x>0.9909</cdr:x>
      <cdr:y>0.08523</cdr:y>
    </cdr:to>
    <cdr:sp macro="" textlink="ChaCha!$O$1">
      <cdr:nvSpPr>
        <cdr:cNvPr id="3" name="TextBox 2">
          <a:extLst xmlns:a="http://schemas.openxmlformats.org/drawingml/2006/main">
            <a:ext uri="{FF2B5EF4-FFF2-40B4-BE49-F238E27FC236}">
              <a16:creationId xmlns:a16="http://schemas.microsoft.com/office/drawing/2014/main" id="{795E2921-0BCD-6CEA-CE9B-724827E2282B}"/>
            </a:ext>
          </a:extLst>
        </cdr:cNvPr>
        <cdr:cNvSpPr txBox="1"/>
      </cdr:nvSpPr>
      <cdr:spPr>
        <a:xfrm xmlns:a="http://schemas.openxmlformats.org/drawingml/2006/main">
          <a:off x="9370716" y="101385"/>
          <a:ext cx="2479592" cy="54268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FBD66387-AF7E-CA40-90C6-19C12B819739}" type="TxLink">
            <a:rPr lang="en-US" sz="2400" b="0" i="0" u="none" strike="noStrike" kern="1200">
              <a:solidFill>
                <a:srgbClr val="FF0000"/>
              </a:solidFill>
              <a:latin typeface="Aptos Narrow"/>
            </a:rPr>
            <a:pPr/>
            <a:t>3000 x A=51</a:t>
          </a:fld>
          <a:endParaRPr lang="en-US" sz="2400" kern="1200">
            <a:solidFill>
              <a:srgbClr val="FF0000"/>
            </a:solidFill>
          </a:endParaRPr>
        </a:p>
      </cdr:txBody>
    </cdr: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RTMED.xlsm" TargetMode="External"/><Relationship Id="rId1" Type="http://schemas.openxmlformats.org/officeDocument/2006/relationships/externalLinkPath" Target="RTM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ExtEntry"/>
      <sheetName val="Timing"/>
    </sheetNames>
    <sheetDataSet>
      <sheetData sheetId="0">
        <row r="1">
          <cell r="A1">
            <v>45955.006944444445</v>
          </cell>
        </row>
        <row r="3">
          <cell r="A3" t="str">
            <v>AAPL</v>
          </cell>
          <cell r="D3" t="str">
            <v>USD</v>
          </cell>
          <cell r="E3">
            <v>45954.999963008595</v>
          </cell>
          <cell r="F3">
            <v>259.58</v>
          </cell>
          <cell r="G3">
            <v>261.19</v>
          </cell>
          <cell r="H3">
            <v>262.82</v>
          </cell>
          <cell r="I3">
            <v>259.18</v>
          </cell>
          <cell r="J3">
            <v>264.13</v>
          </cell>
          <cell r="K3">
            <v>35.802500000000002</v>
          </cell>
          <cell r="L3">
            <v>3.24</v>
          </cell>
          <cell r="M3">
            <v>1.2482E-2</v>
          </cell>
          <cell r="N3">
            <v>169.21010000000001</v>
          </cell>
          <cell r="O3">
            <v>265.29000000000002</v>
          </cell>
          <cell r="P3">
            <v>38253717</v>
          </cell>
          <cell r="Q3">
            <v>52650930</v>
          </cell>
          <cell r="R3">
            <v>1.0834999999999999</v>
          </cell>
        </row>
        <row r="4">
          <cell r="A4" t="str">
            <v>ADEA</v>
          </cell>
          <cell r="D4" t="str">
            <v>USD</v>
          </cell>
          <cell r="E4">
            <v>45954.970231885934</v>
          </cell>
          <cell r="F4">
            <v>16.77</v>
          </cell>
          <cell r="G4">
            <v>17.09</v>
          </cell>
          <cell r="H4">
            <v>17.100000000000001</v>
          </cell>
          <cell r="I4">
            <v>16.95</v>
          </cell>
          <cell r="J4">
            <v>17.440000000000001</v>
          </cell>
          <cell r="K4">
            <v>22.616900000000001</v>
          </cell>
          <cell r="L4">
            <v>0.33</v>
          </cell>
          <cell r="M4">
            <v>1.9678000000000001E-2</v>
          </cell>
          <cell r="N4">
            <v>10.59</v>
          </cell>
          <cell r="O4">
            <v>18.25</v>
          </cell>
          <cell r="P4">
            <v>386557</v>
          </cell>
          <cell r="Q4">
            <v>564329</v>
          </cell>
          <cell r="R4">
            <v>2.5771999999999999</v>
          </cell>
        </row>
        <row r="5">
          <cell r="A5" t="str">
            <v>AET</v>
          </cell>
          <cell r="D5" t="str">
            <v>GBp</v>
          </cell>
          <cell r="E5">
            <v>45954.649334640628</v>
          </cell>
          <cell r="F5">
            <v>44.4</v>
          </cell>
          <cell r="G5">
            <v>44.9</v>
          </cell>
          <cell r="H5">
            <v>45.8</v>
          </cell>
          <cell r="I5">
            <v>44.5</v>
          </cell>
          <cell r="J5">
            <v>45.9</v>
          </cell>
          <cell r="K5">
            <v>3.8542000000000001</v>
          </cell>
          <cell r="L5">
            <v>1.4</v>
          </cell>
          <cell r="M5">
            <v>3.1531999999999998E-2</v>
          </cell>
          <cell r="N5">
            <v>33.064999999999998</v>
          </cell>
          <cell r="O5">
            <v>56.2</v>
          </cell>
          <cell r="P5">
            <v>285833</v>
          </cell>
          <cell r="Q5">
            <v>1073800</v>
          </cell>
          <cell r="R5">
            <v>1.1262000000000001</v>
          </cell>
        </row>
        <row r="6">
          <cell r="A6" t="str">
            <v>AMZN</v>
          </cell>
          <cell r="D6" t="str">
            <v>USD</v>
          </cell>
          <cell r="E6">
            <v>45954.999975635939</v>
          </cell>
          <cell r="F6">
            <v>221.09</v>
          </cell>
          <cell r="G6">
            <v>221.97</v>
          </cell>
          <cell r="H6">
            <v>224.21</v>
          </cell>
          <cell r="I6">
            <v>221.9</v>
          </cell>
          <cell r="J6">
            <v>225.4</v>
          </cell>
          <cell r="K6">
            <v>33.7378</v>
          </cell>
          <cell r="L6">
            <v>3.12</v>
          </cell>
          <cell r="M6">
            <v>1.4112E-2</v>
          </cell>
          <cell r="N6">
            <v>161.38</v>
          </cell>
          <cell r="O6">
            <v>242.52</v>
          </cell>
          <cell r="P6">
            <v>38685053</v>
          </cell>
          <cell r="Q6">
            <v>48121986</v>
          </cell>
          <cell r="R6">
            <v>1.2842</v>
          </cell>
        </row>
        <row r="7">
          <cell r="A7" t="str">
            <v>ALDNE</v>
          </cell>
          <cell r="D7" t="str">
            <v>EUR</v>
          </cell>
          <cell r="E7">
            <v>45954.666666666664</v>
          </cell>
          <cell r="F7">
            <v>0.83799999999999997</v>
          </cell>
          <cell r="G7">
            <v>0.82</v>
          </cell>
          <cell r="H7">
            <v>0.82599999999999996</v>
          </cell>
          <cell r="I7">
            <v>0.76400000000000001</v>
          </cell>
          <cell r="J7">
            <v>0.83799999999999997</v>
          </cell>
          <cell r="K7">
            <v>0</v>
          </cell>
          <cell r="L7">
            <v>-1.2E-2</v>
          </cell>
          <cell r="M7">
            <v>-1.4319999999999999E-2</v>
          </cell>
          <cell r="N7">
            <v>0.65</v>
          </cell>
          <cell r="O7">
            <v>1.53</v>
          </cell>
          <cell r="P7">
            <v>10516</v>
          </cell>
          <cell r="Q7">
            <v>6030</v>
          </cell>
          <cell r="R7">
            <v>1.0333000000000001</v>
          </cell>
        </row>
        <row r="8">
          <cell r="A8" t="str">
            <v>ASML</v>
          </cell>
          <cell r="D8" t="str">
            <v>EUR</v>
          </cell>
          <cell r="E8">
            <v>45954.666666666664</v>
          </cell>
          <cell r="F8">
            <v>887.7</v>
          </cell>
          <cell r="G8">
            <v>900</v>
          </cell>
          <cell r="H8">
            <v>894.4</v>
          </cell>
          <cell r="I8">
            <v>889.6</v>
          </cell>
          <cell r="J8">
            <v>902.6</v>
          </cell>
          <cell r="K8">
            <v>34.084499999999998</v>
          </cell>
          <cell r="L8">
            <v>6.7</v>
          </cell>
          <cell r="M8">
            <v>7.548E-3</v>
          </cell>
          <cell r="N8">
            <v>508.4</v>
          </cell>
          <cell r="O8">
            <v>905.1</v>
          </cell>
          <cell r="P8">
            <v>500510</v>
          </cell>
          <cell r="Q8">
            <v>743190</v>
          </cell>
          <cell r="R8">
            <v>1.9605999999999999</v>
          </cell>
        </row>
        <row r="9">
          <cell r="A9" t="str">
            <v>AZN</v>
          </cell>
          <cell r="F9">
            <v>83.4</v>
          </cell>
          <cell r="G9">
            <v>83.45</v>
          </cell>
          <cell r="H9">
            <v>83.29</v>
          </cell>
          <cell r="I9">
            <v>82.92</v>
          </cell>
          <cell r="J9">
            <v>83.515000000000001</v>
          </cell>
          <cell r="K9">
            <v>31.358000000000001</v>
          </cell>
          <cell r="L9">
            <v>-0.11</v>
          </cell>
          <cell r="M9">
            <v>-1.3189999999999999E-3</v>
          </cell>
          <cell r="O9">
            <v>86.57</v>
          </cell>
          <cell r="P9">
            <v>2380453</v>
          </cell>
          <cell r="Q9">
            <v>5836487</v>
          </cell>
          <cell r="R9">
            <v>0.33900000000000002</v>
          </cell>
        </row>
        <row r="10">
          <cell r="A10" t="str">
            <v>BLDP</v>
          </cell>
          <cell r="F10">
            <v>3.28</v>
          </cell>
          <cell r="G10">
            <v>3.38</v>
          </cell>
          <cell r="H10">
            <v>3.44</v>
          </cell>
          <cell r="I10">
            <v>3.34</v>
          </cell>
          <cell r="J10">
            <v>3.4950000000000001</v>
          </cell>
          <cell r="K10">
            <v>0</v>
          </cell>
          <cell r="L10">
            <v>0.16</v>
          </cell>
          <cell r="M10">
            <v>4.8780000000000004E-2</v>
          </cell>
          <cell r="N10">
            <v>1</v>
          </cell>
          <cell r="O10">
            <v>4.0999999999999996</v>
          </cell>
          <cell r="P10">
            <v>5611005</v>
          </cell>
          <cell r="Q10">
            <v>9856064</v>
          </cell>
          <cell r="R10">
            <v>1.75</v>
          </cell>
        </row>
        <row r="11">
          <cell r="A11" t="str">
            <v>BMRA</v>
          </cell>
          <cell r="D11" t="str">
            <v>USD</v>
          </cell>
          <cell r="E11">
            <v>45954.969261747654</v>
          </cell>
          <cell r="F11">
            <v>2.91</v>
          </cell>
          <cell r="G11">
            <v>2.9</v>
          </cell>
          <cell r="H11">
            <v>2.96</v>
          </cell>
          <cell r="I11">
            <v>2.9</v>
          </cell>
          <cell r="J11">
            <v>3.01</v>
          </cell>
          <cell r="K11">
            <v>0</v>
          </cell>
          <cell r="L11">
            <v>0.05</v>
          </cell>
          <cell r="M11">
            <v>1.7181999999999999E-2</v>
          </cell>
          <cell r="N11">
            <v>2.08</v>
          </cell>
          <cell r="O11">
            <v>10.16</v>
          </cell>
          <cell r="P11">
            <v>25021</v>
          </cell>
          <cell r="Q11">
            <v>205622</v>
          </cell>
          <cell r="R11">
            <v>0.27429999999999999</v>
          </cell>
        </row>
        <row r="12">
          <cell r="A12" t="str">
            <v>C</v>
          </cell>
          <cell r="D12" t="str">
            <v>USD</v>
          </cell>
          <cell r="E12">
            <v>45954.999506897657</v>
          </cell>
          <cell r="F12">
            <v>96.69</v>
          </cell>
          <cell r="G12">
            <v>97.385000000000005</v>
          </cell>
          <cell r="H12">
            <v>98.78</v>
          </cell>
          <cell r="I12">
            <v>97.35</v>
          </cell>
          <cell r="J12">
            <v>99.51</v>
          </cell>
          <cell r="K12">
            <v>13.5923</v>
          </cell>
          <cell r="L12">
            <v>2.09</v>
          </cell>
          <cell r="M12">
            <v>2.1615000000000002E-2</v>
          </cell>
          <cell r="N12">
            <v>55.51</v>
          </cell>
          <cell r="O12">
            <v>105.59</v>
          </cell>
          <cell r="P12">
            <v>11870689</v>
          </cell>
          <cell r="Q12">
            <v>14388843</v>
          </cell>
          <cell r="R12">
            <v>1.3595999999999999</v>
          </cell>
        </row>
        <row r="13">
          <cell r="A13" t="str">
            <v>CSCO</v>
          </cell>
          <cell r="D13" t="str">
            <v>USD</v>
          </cell>
          <cell r="E13">
            <v>45954.999660010937</v>
          </cell>
          <cell r="F13">
            <v>70.27</v>
          </cell>
          <cell r="G13">
            <v>70.635000000000005</v>
          </cell>
          <cell r="H13">
            <v>70.63</v>
          </cell>
          <cell r="I13">
            <v>70.06</v>
          </cell>
          <cell r="J13">
            <v>70.94</v>
          </cell>
          <cell r="K13">
            <v>29.7059</v>
          </cell>
          <cell r="L13">
            <v>0.36</v>
          </cell>
          <cell r="M13">
            <v>5.1229999999999999E-3</v>
          </cell>
          <cell r="N13">
            <v>52.11</v>
          </cell>
          <cell r="O13">
            <v>72.55</v>
          </cell>
          <cell r="P13">
            <v>13075554</v>
          </cell>
          <cell r="Q13">
            <v>18838008</v>
          </cell>
          <cell r="R13">
            <v>0.94450000000000001</v>
          </cell>
        </row>
        <row r="14">
          <cell r="A14" t="str">
            <v>CVS</v>
          </cell>
          <cell r="D14" t="str">
            <v>USD</v>
          </cell>
          <cell r="E14">
            <v>45954.999884988283</v>
          </cell>
          <cell r="F14">
            <v>81.069999999999993</v>
          </cell>
          <cell r="G14">
            <v>81.52</v>
          </cell>
          <cell r="H14">
            <v>81.93</v>
          </cell>
          <cell r="I14">
            <v>81.084999999999994</v>
          </cell>
          <cell r="J14">
            <v>82.16</v>
          </cell>
          <cell r="K14">
            <v>22.6252</v>
          </cell>
          <cell r="L14">
            <v>0.86</v>
          </cell>
          <cell r="M14">
            <v>1.0607999999999999E-2</v>
          </cell>
          <cell r="N14">
            <v>43.56</v>
          </cell>
          <cell r="O14">
            <v>83.52</v>
          </cell>
          <cell r="P14">
            <v>5642460</v>
          </cell>
          <cell r="Q14">
            <v>7346773</v>
          </cell>
          <cell r="R14">
            <v>0.5978</v>
          </cell>
        </row>
        <row r="15">
          <cell r="A15" t="str">
            <v>DDD</v>
          </cell>
          <cell r="D15" t="str">
            <v>USD</v>
          </cell>
          <cell r="E15">
            <v>45954.994127685153</v>
          </cell>
          <cell r="F15">
            <v>3.08</v>
          </cell>
          <cell r="G15">
            <v>3.18</v>
          </cell>
          <cell r="H15">
            <v>3.13</v>
          </cell>
          <cell r="I15">
            <v>3.11</v>
          </cell>
          <cell r="J15">
            <v>3.29</v>
          </cell>
          <cell r="K15">
            <v>99</v>
          </cell>
          <cell r="L15">
            <v>0.05</v>
          </cell>
          <cell r="M15">
            <v>1.6233999999999998E-2</v>
          </cell>
          <cell r="N15">
            <v>1.32</v>
          </cell>
          <cell r="O15">
            <v>4.9991000000000003</v>
          </cell>
          <cell r="P15">
            <v>3333984</v>
          </cell>
          <cell r="Q15">
            <v>4995132</v>
          </cell>
          <cell r="R15">
            <v>2.1852999999999998</v>
          </cell>
        </row>
        <row r="16">
          <cell r="A16" t="str">
            <v>DIS</v>
          </cell>
          <cell r="D16" t="str">
            <v>USD</v>
          </cell>
          <cell r="E16">
            <v>45954.999477950783</v>
          </cell>
          <cell r="F16">
            <v>113.03</v>
          </cell>
          <cell r="G16">
            <v>113.23</v>
          </cell>
          <cell r="H16">
            <v>111.68</v>
          </cell>
          <cell r="I16">
            <v>111.59</v>
          </cell>
          <cell r="J16">
            <v>113.65</v>
          </cell>
          <cell r="K16">
            <v>17.720800000000001</v>
          </cell>
          <cell r="L16">
            <v>-1.35</v>
          </cell>
          <cell r="M16">
            <v>-1.1944E-2</v>
          </cell>
          <cell r="N16">
            <v>80.099999999999994</v>
          </cell>
          <cell r="O16">
            <v>124.69</v>
          </cell>
          <cell r="P16">
            <v>6235183</v>
          </cell>
          <cell r="Q16">
            <v>8917322</v>
          </cell>
          <cell r="R16">
            <v>1.5541</v>
          </cell>
        </row>
        <row r="17">
          <cell r="A17" t="str">
            <v>DSY</v>
          </cell>
          <cell r="D17" t="str">
            <v>EUR</v>
          </cell>
          <cell r="E17">
            <v>45954.666666666664</v>
          </cell>
          <cell r="F17">
            <v>26.21</v>
          </cell>
          <cell r="G17">
            <v>26.3</v>
          </cell>
          <cell r="H17">
            <v>25.69</v>
          </cell>
          <cell r="I17">
            <v>25.54</v>
          </cell>
          <cell r="J17">
            <v>26.43</v>
          </cell>
          <cell r="K17">
            <v>28.703900000000001</v>
          </cell>
          <cell r="L17">
            <v>-0.52</v>
          </cell>
          <cell r="M17">
            <v>-1.984E-2</v>
          </cell>
          <cell r="N17">
            <v>25.01</v>
          </cell>
          <cell r="O17">
            <v>41.17</v>
          </cell>
          <cell r="P17">
            <v>3353364</v>
          </cell>
          <cell r="Q17">
            <v>1548090</v>
          </cell>
          <cell r="R17">
            <v>0.68200000000000005</v>
          </cell>
        </row>
        <row r="18">
          <cell r="A18" t="str">
            <v>DVA</v>
          </cell>
          <cell r="D18" t="str">
            <v>USD</v>
          </cell>
          <cell r="E18">
            <v>45954.965299791409</v>
          </cell>
          <cell r="F18">
            <v>128.02000000000001</v>
          </cell>
          <cell r="G18">
            <v>129.29</v>
          </cell>
          <cell r="H18">
            <v>129.19</v>
          </cell>
          <cell r="I18">
            <v>128.47999999999999</v>
          </cell>
          <cell r="J18">
            <v>130.47</v>
          </cell>
          <cell r="K18">
            <v>12.5793</v>
          </cell>
          <cell r="L18">
            <v>1.17</v>
          </cell>
          <cell r="M18">
            <v>9.1390000000000013E-3</v>
          </cell>
          <cell r="N18">
            <v>122.925</v>
          </cell>
          <cell r="O18">
            <v>179.6</v>
          </cell>
          <cell r="P18">
            <v>699259</v>
          </cell>
          <cell r="Q18">
            <v>713056</v>
          </cell>
          <cell r="R18">
            <v>1.1395999999999999</v>
          </cell>
        </row>
        <row r="19">
          <cell r="A19" t="str">
            <v>DXC</v>
          </cell>
          <cell r="D19" t="str">
            <v>USD</v>
          </cell>
          <cell r="E19">
            <v>45954.999246943749</v>
          </cell>
          <cell r="F19">
            <v>13.37</v>
          </cell>
          <cell r="G19">
            <v>13.51</v>
          </cell>
          <cell r="H19">
            <v>13.54</v>
          </cell>
          <cell r="I19">
            <v>13.49</v>
          </cell>
          <cell r="J19">
            <v>13.64</v>
          </cell>
          <cell r="K19">
            <v>6.5284000000000004</v>
          </cell>
          <cell r="L19">
            <v>0.17</v>
          </cell>
          <cell r="M19">
            <v>1.2715000000000001E-2</v>
          </cell>
          <cell r="N19">
            <v>12.24</v>
          </cell>
          <cell r="O19">
            <v>24.83</v>
          </cell>
          <cell r="P19">
            <v>1384401</v>
          </cell>
          <cell r="Q19">
            <v>1841336</v>
          </cell>
          <cell r="R19">
            <v>1.1529</v>
          </cell>
        </row>
        <row r="20">
          <cell r="A20" t="str">
            <v>EOAN</v>
          </cell>
          <cell r="D20" t="str">
            <v>EUR</v>
          </cell>
          <cell r="E20">
            <v>45954.770833333336</v>
          </cell>
          <cell r="F20">
            <v>16.035</v>
          </cell>
          <cell r="G20">
            <v>15.97</v>
          </cell>
          <cell r="H20">
            <v>16.085000000000001</v>
          </cell>
          <cell r="I20">
            <v>15.79</v>
          </cell>
          <cell r="J20">
            <v>16.085000000000001</v>
          </cell>
          <cell r="K20">
            <v>13.279500000000001</v>
          </cell>
          <cell r="L20">
            <v>0.05</v>
          </cell>
          <cell r="M20">
            <v>3.1180000000000001E-3</v>
          </cell>
          <cell r="N20">
            <v>10.435</v>
          </cell>
          <cell r="O20">
            <v>16.55</v>
          </cell>
          <cell r="P20">
            <v>3565315</v>
          </cell>
          <cell r="Q20">
            <v>3151380</v>
          </cell>
          <cell r="R20">
            <v>0.72009999999999996</v>
          </cell>
        </row>
        <row r="21">
          <cell r="A21" t="str">
            <v>EPIX</v>
          </cell>
          <cell r="D21" t="str">
            <v>USD</v>
          </cell>
          <cell r="E21">
            <v>45938.992447279685</v>
          </cell>
          <cell r="F21">
            <v>0.20499999999999999</v>
          </cell>
          <cell r="G21">
            <v>0.2</v>
          </cell>
          <cell r="H21">
            <v>0.20119999999999999</v>
          </cell>
          <cell r="I21">
            <v>0.18990000000000001</v>
          </cell>
          <cell r="J21">
            <v>0.20699999999999999</v>
          </cell>
          <cell r="K21">
            <v>0</v>
          </cell>
          <cell r="L21">
            <v>0</v>
          </cell>
          <cell r="M21">
            <v>0</v>
          </cell>
          <cell r="N21">
            <v>0.17330000000000001</v>
          </cell>
          <cell r="O21">
            <v>0.82499999999999996</v>
          </cell>
          <cell r="P21">
            <v>5945141</v>
          </cell>
          <cell r="Q21">
            <v>3209641</v>
          </cell>
          <cell r="R21">
            <v>1.5513999999999999</v>
          </cell>
        </row>
        <row r="22">
          <cell r="A22" t="str">
            <v>GM</v>
          </cell>
          <cell r="D22" t="str">
            <v>USD</v>
          </cell>
          <cell r="E22">
            <v>45954.999809594534</v>
          </cell>
          <cell r="F22">
            <v>66.849999999999994</v>
          </cell>
          <cell r="G22">
            <v>67.459999999999994</v>
          </cell>
          <cell r="H22">
            <v>69.66</v>
          </cell>
          <cell r="I22">
            <v>67.290000000000006</v>
          </cell>
          <cell r="J22">
            <v>69.7</v>
          </cell>
          <cell r="K22">
            <v>12.857799999999999</v>
          </cell>
          <cell r="L22">
            <v>2.81</v>
          </cell>
          <cell r="M22">
            <v>4.2034000000000002E-2</v>
          </cell>
          <cell r="N22">
            <v>41.6</v>
          </cell>
          <cell r="O22">
            <v>69.7</v>
          </cell>
          <cell r="P22">
            <v>12570973</v>
          </cell>
          <cell r="Q22">
            <v>10305534</v>
          </cell>
          <cell r="R22">
            <v>1.4</v>
          </cell>
        </row>
        <row r="23">
          <cell r="A23" t="str">
            <v>HPE</v>
          </cell>
          <cell r="D23" t="str">
            <v>USD</v>
          </cell>
          <cell r="E23">
            <v>45954.998743008597</v>
          </cell>
          <cell r="F23">
            <v>23.19</v>
          </cell>
          <cell r="G23">
            <v>23.66</v>
          </cell>
          <cell r="H23">
            <v>23.5</v>
          </cell>
          <cell r="I23">
            <v>23.274999999999999</v>
          </cell>
          <cell r="J23">
            <v>23.699200000000001</v>
          </cell>
          <cell r="K23">
            <v>27.8154</v>
          </cell>
          <cell r="L23">
            <v>0.31</v>
          </cell>
          <cell r="M23">
            <v>1.3368E-2</v>
          </cell>
          <cell r="N23">
            <v>11.965</v>
          </cell>
          <cell r="O23">
            <v>26.44</v>
          </cell>
          <cell r="P23">
            <v>19914346</v>
          </cell>
          <cell r="Q23">
            <v>35346638</v>
          </cell>
          <cell r="R23">
            <v>1.4478</v>
          </cell>
        </row>
        <row r="24">
          <cell r="A24" t="str">
            <v>HPQ</v>
          </cell>
          <cell r="D24" t="str">
            <v>USD</v>
          </cell>
          <cell r="E24">
            <v>45954.999660010937</v>
          </cell>
          <cell r="F24">
            <v>27.83</v>
          </cell>
          <cell r="G24">
            <v>28.26</v>
          </cell>
          <cell r="H24">
            <v>27.66</v>
          </cell>
          <cell r="I24">
            <v>27.635000000000002</v>
          </cell>
          <cell r="J24">
            <v>28.43</v>
          </cell>
          <cell r="K24">
            <v>10.138199999999999</v>
          </cell>
          <cell r="L24">
            <v>-0.17</v>
          </cell>
          <cell r="M24">
            <v>-6.1089999999999998E-3</v>
          </cell>
          <cell r="N24">
            <v>21.21</v>
          </cell>
          <cell r="O24">
            <v>39.795000000000002</v>
          </cell>
          <cell r="P24">
            <v>8626493</v>
          </cell>
          <cell r="Q24">
            <v>12133780</v>
          </cell>
          <cell r="R24">
            <v>1.2951999999999999</v>
          </cell>
        </row>
        <row r="25">
          <cell r="A25" t="str">
            <v>IAG</v>
          </cell>
          <cell r="D25" t="str">
            <v>GBp</v>
          </cell>
          <cell r="E25">
            <v>45954.639900659378</v>
          </cell>
          <cell r="F25">
            <v>403.5</v>
          </cell>
          <cell r="G25">
            <v>407.6</v>
          </cell>
          <cell r="H25">
            <v>410</v>
          </cell>
          <cell r="I25">
            <v>402</v>
          </cell>
          <cell r="J25">
            <v>410</v>
          </cell>
          <cell r="K25">
            <v>7.3752000000000004</v>
          </cell>
          <cell r="L25">
            <v>6.5</v>
          </cell>
          <cell r="M25">
            <v>1.6108999999999998E-2</v>
          </cell>
          <cell r="N25">
            <v>207.2</v>
          </cell>
          <cell r="O25">
            <v>416</v>
          </cell>
          <cell r="P25">
            <v>14720617</v>
          </cell>
          <cell r="Q25">
            <v>12139610</v>
          </cell>
          <cell r="R25">
            <v>2.8862999999999999</v>
          </cell>
        </row>
        <row r="26">
          <cell r="A26" t="str">
            <v>KR</v>
          </cell>
          <cell r="D26" t="str">
            <v>USD</v>
          </cell>
          <cell r="E26">
            <v>45954.999927777346</v>
          </cell>
          <cell r="F26">
            <v>68.66</v>
          </cell>
          <cell r="G26">
            <v>68.87</v>
          </cell>
          <cell r="H26">
            <v>67.11</v>
          </cell>
          <cell r="I26">
            <v>66.905000000000001</v>
          </cell>
          <cell r="J26">
            <v>68.900000000000006</v>
          </cell>
          <cell r="K26">
            <v>17.394500000000001</v>
          </cell>
          <cell r="L26">
            <v>-1.55</v>
          </cell>
          <cell r="M26">
            <v>-2.2574999999999998E-2</v>
          </cell>
          <cell r="N26">
            <v>55.6</v>
          </cell>
          <cell r="O26">
            <v>74.900000000000006</v>
          </cell>
          <cell r="P26">
            <v>6073245</v>
          </cell>
          <cell r="Q26">
            <v>6707301</v>
          </cell>
          <cell r="R26">
            <v>0.55230000000000001</v>
          </cell>
        </row>
        <row r="27">
          <cell r="A27" t="str">
            <v>LNSR</v>
          </cell>
          <cell r="D27" t="str">
            <v>USD</v>
          </cell>
          <cell r="E27">
            <v>45954.840321863281</v>
          </cell>
          <cell r="F27">
            <v>11.98</v>
          </cell>
          <cell r="G27">
            <v>12.18</v>
          </cell>
          <cell r="H27">
            <v>11.97</v>
          </cell>
          <cell r="I27">
            <v>11.94</v>
          </cell>
          <cell r="J27">
            <v>12.2599</v>
          </cell>
          <cell r="K27">
            <v>0</v>
          </cell>
          <cell r="L27">
            <v>-0.01</v>
          </cell>
          <cell r="M27">
            <v>-8.3470000000000007E-4</v>
          </cell>
          <cell r="N27">
            <v>5.25</v>
          </cell>
          <cell r="O27">
            <v>17.309999999999999</v>
          </cell>
          <cell r="P27">
            <v>46780</v>
          </cell>
          <cell r="Q27">
            <v>46880</v>
          </cell>
          <cell r="R27">
            <v>0.49120000000000003</v>
          </cell>
        </row>
        <row r="28">
          <cell r="A28" t="str">
            <v>LUMN</v>
          </cell>
          <cell r="D28" t="str">
            <v>USD</v>
          </cell>
          <cell r="E28">
            <v>45954.999517661716</v>
          </cell>
          <cell r="F28">
            <v>7.79</v>
          </cell>
          <cell r="G28">
            <v>8.0299999999999994</v>
          </cell>
          <cell r="H28">
            <v>8.09</v>
          </cell>
          <cell r="I28">
            <v>7.9550000000000001</v>
          </cell>
          <cell r="J28">
            <v>8.4</v>
          </cell>
          <cell r="K28">
            <v>99</v>
          </cell>
          <cell r="L28">
            <v>0.3</v>
          </cell>
          <cell r="M28">
            <v>3.8511000000000004E-2</v>
          </cell>
          <cell r="N28">
            <v>3.01</v>
          </cell>
          <cell r="O28">
            <v>10.33</v>
          </cell>
          <cell r="P28">
            <v>24351182</v>
          </cell>
          <cell r="Q28">
            <v>15771135</v>
          </cell>
          <cell r="R28">
            <v>1.3936999999999999</v>
          </cell>
        </row>
        <row r="29">
          <cell r="A29" t="str">
            <v>MRNA</v>
          </cell>
          <cell r="D29" t="str">
            <v>USD</v>
          </cell>
          <cell r="E29">
            <v>45954.999891851563</v>
          </cell>
          <cell r="F29">
            <v>26.25</v>
          </cell>
          <cell r="G29">
            <v>26.52</v>
          </cell>
          <cell r="H29">
            <v>26.74</v>
          </cell>
          <cell r="I29">
            <v>26.11</v>
          </cell>
          <cell r="J29">
            <v>26.91</v>
          </cell>
          <cell r="K29">
            <v>0</v>
          </cell>
          <cell r="L29">
            <v>0.49</v>
          </cell>
          <cell r="M29">
            <v>1.8667E-2</v>
          </cell>
          <cell r="N29">
            <v>23.15</v>
          </cell>
          <cell r="O29">
            <v>57.69</v>
          </cell>
          <cell r="P29">
            <v>6494118</v>
          </cell>
          <cell r="Q29">
            <v>9835193</v>
          </cell>
          <cell r="R29">
            <v>2.0135000000000001</v>
          </cell>
        </row>
        <row r="30">
          <cell r="A30" t="str">
            <v>MSFT</v>
          </cell>
          <cell r="D30" t="str">
            <v>USD</v>
          </cell>
          <cell r="E30">
            <v>45954.999993089841</v>
          </cell>
          <cell r="F30">
            <v>520.55999999999995</v>
          </cell>
          <cell r="G30">
            <v>522.79</v>
          </cell>
          <cell r="H30">
            <v>523.61</v>
          </cell>
          <cell r="I30">
            <v>520.71</v>
          </cell>
          <cell r="J30">
            <v>525.34500000000003</v>
          </cell>
          <cell r="K30">
            <v>38.161200000000001</v>
          </cell>
          <cell r="L30">
            <v>3.05</v>
          </cell>
          <cell r="M30">
            <v>5.8589999999999996E-3</v>
          </cell>
          <cell r="N30">
            <v>344.79</v>
          </cell>
          <cell r="O30">
            <v>555.45000000000005</v>
          </cell>
          <cell r="P30">
            <v>15532360</v>
          </cell>
          <cell r="Q30">
            <v>18732124</v>
          </cell>
          <cell r="R30">
            <v>1.0196000000000001</v>
          </cell>
        </row>
        <row r="31">
          <cell r="A31" t="str">
            <v>NEE</v>
          </cell>
          <cell r="D31" t="str">
            <v>USD</v>
          </cell>
          <cell r="E31">
            <v>45954.999849108593</v>
          </cell>
          <cell r="F31">
            <v>83.25</v>
          </cell>
          <cell r="G31">
            <v>83.58</v>
          </cell>
          <cell r="H31">
            <v>84.41</v>
          </cell>
          <cell r="I31">
            <v>83.36</v>
          </cell>
          <cell r="J31">
            <v>84.775800000000004</v>
          </cell>
          <cell r="K31">
            <v>31.135000000000002</v>
          </cell>
          <cell r="L31">
            <v>1.1599999999999999</v>
          </cell>
          <cell r="M31">
            <v>1.3934E-2</v>
          </cell>
          <cell r="N31">
            <v>61.72</v>
          </cell>
          <cell r="O31">
            <v>86.74</v>
          </cell>
          <cell r="P31">
            <v>6249998</v>
          </cell>
          <cell r="Q31">
            <v>10239283</v>
          </cell>
          <cell r="R31">
            <v>0.67359999999999998</v>
          </cell>
        </row>
        <row r="32">
          <cell r="A32" t="str">
            <v>NEM</v>
          </cell>
          <cell r="D32" t="str">
            <v>USD</v>
          </cell>
          <cell r="E32">
            <v>45954.999974409373</v>
          </cell>
          <cell r="F32">
            <v>88.91</v>
          </cell>
          <cell r="G32">
            <v>82.54</v>
          </cell>
          <cell r="H32">
            <v>83.37</v>
          </cell>
          <cell r="I32">
            <v>81.290000000000006</v>
          </cell>
          <cell r="J32">
            <v>86</v>
          </cell>
          <cell r="K32">
            <v>13.8165</v>
          </cell>
          <cell r="L32">
            <v>-5.54</v>
          </cell>
          <cell r="M32">
            <v>-6.2309999999999997E-2</v>
          </cell>
          <cell r="N32">
            <v>36.86</v>
          </cell>
          <cell r="O32">
            <v>98.578000000000003</v>
          </cell>
          <cell r="P32">
            <v>21379072</v>
          </cell>
          <cell r="Q32">
            <v>13112848</v>
          </cell>
          <cell r="R32">
            <v>0.35310000000000002</v>
          </cell>
        </row>
        <row r="33">
          <cell r="A33" t="str">
            <v>NFLX</v>
          </cell>
          <cell r="D33" t="str">
            <v>USD</v>
          </cell>
          <cell r="E33">
            <v>45954.999961203124</v>
          </cell>
          <cell r="F33">
            <v>1113.5899999999999</v>
          </cell>
          <cell r="G33">
            <v>1111</v>
          </cell>
          <cell r="H33">
            <v>1094.69</v>
          </cell>
          <cell r="I33">
            <v>1094.4100000000001</v>
          </cell>
          <cell r="J33">
            <v>1114.51</v>
          </cell>
          <cell r="K33">
            <v>46.520099999999999</v>
          </cell>
          <cell r="L33">
            <v>-18.899999999999999</v>
          </cell>
          <cell r="M33">
            <v>-1.6972000000000001E-2</v>
          </cell>
          <cell r="N33">
            <v>746.25</v>
          </cell>
          <cell r="O33">
            <v>1341.15</v>
          </cell>
          <cell r="P33">
            <v>6028025</v>
          </cell>
          <cell r="Q33">
            <v>3860408</v>
          </cell>
          <cell r="R33">
            <v>1.5948</v>
          </cell>
        </row>
        <row r="34">
          <cell r="A34" t="str">
            <v>NOTE</v>
          </cell>
          <cell r="D34" t="str">
            <v>USD</v>
          </cell>
          <cell r="E34">
            <v>45954.988893668749</v>
          </cell>
          <cell r="F34">
            <v>4.45</v>
          </cell>
          <cell r="G34">
            <v>4.4800000000000004</v>
          </cell>
          <cell r="H34">
            <v>4.37</v>
          </cell>
          <cell r="I34">
            <v>4.3499999999999996</v>
          </cell>
          <cell r="J34">
            <v>4.5439999999999996</v>
          </cell>
          <cell r="K34">
            <v>99</v>
          </cell>
          <cell r="L34">
            <v>-0.08</v>
          </cell>
          <cell r="M34">
            <v>-1.7978000000000001E-2</v>
          </cell>
          <cell r="N34">
            <v>3.8</v>
          </cell>
          <cell r="O34">
            <v>24.36</v>
          </cell>
          <cell r="P34">
            <v>200517</v>
          </cell>
          <cell r="Q34">
            <v>271828</v>
          </cell>
          <cell r="R34">
            <v>0.55330000000000001</v>
          </cell>
        </row>
        <row r="35">
          <cell r="A35" t="str">
            <v>PAAS</v>
          </cell>
          <cell r="D35" t="str">
            <v>USD</v>
          </cell>
          <cell r="E35">
            <v>45954.998963726561</v>
          </cell>
          <cell r="F35">
            <v>36.22</v>
          </cell>
          <cell r="G35">
            <v>35.619999999999997</v>
          </cell>
          <cell r="H35">
            <v>36.340000000000003</v>
          </cell>
          <cell r="I35">
            <v>35.619999999999997</v>
          </cell>
          <cell r="J35">
            <v>36.613</v>
          </cell>
          <cell r="K35">
            <v>25.146799999999999</v>
          </cell>
          <cell r="L35">
            <v>0.12</v>
          </cell>
          <cell r="M35">
            <v>3.313E-3</v>
          </cell>
          <cell r="N35">
            <v>19.8017</v>
          </cell>
          <cell r="O35">
            <v>42.57</v>
          </cell>
          <cell r="P35">
            <v>3916015</v>
          </cell>
          <cell r="Q35">
            <v>7461996</v>
          </cell>
          <cell r="R35">
            <v>0.91439999999999999</v>
          </cell>
        </row>
        <row r="36">
          <cell r="A36" t="str">
            <v>PROF</v>
          </cell>
          <cell r="D36" t="str">
            <v>USD</v>
          </cell>
          <cell r="E36">
            <v>45954.84032655078</v>
          </cell>
          <cell r="F36">
            <v>5.306</v>
          </cell>
          <cell r="G36">
            <v>5.38</v>
          </cell>
          <cell r="H36">
            <v>5.5</v>
          </cell>
          <cell r="I36">
            <v>5.2</v>
          </cell>
          <cell r="J36">
            <v>5.58</v>
          </cell>
          <cell r="K36">
            <v>0</v>
          </cell>
          <cell r="L36">
            <v>0.19400000000000001</v>
          </cell>
          <cell r="M36">
            <v>3.6562000000000004E-2</v>
          </cell>
          <cell r="N36">
            <v>3.76</v>
          </cell>
          <cell r="O36">
            <v>9.17</v>
          </cell>
          <cell r="P36">
            <v>102097</v>
          </cell>
          <cell r="Q36">
            <v>145129</v>
          </cell>
          <cell r="R36">
            <v>0.32529999999999998</v>
          </cell>
        </row>
        <row r="37">
          <cell r="A37" t="str">
            <v>POET</v>
          </cell>
          <cell r="D37" t="str">
            <v>USD</v>
          </cell>
          <cell r="E37">
            <v>45954.999822685153</v>
          </cell>
          <cell r="F37">
            <v>7.31</v>
          </cell>
          <cell r="G37">
            <v>7.5750000000000002</v>
          </cell>
          <cell r="H37">
            <v>8.23</v>
          </cell>
          <cell r="I37">
            <v>7.51</v>
          </cell>
          <cell r="J37">
            <v>8.59</v>
          </cell>
          <cell r="K37">
            <v>0</v>
          </cell>
          <cell r="L37">
            <v>0.92</v>
          </cell>
          <cell r="M37">
            <v>0.12585499999999999</v>
          </cell>
          <cell r="N37">
            <v>3.09</v>
          </cell>
          <cell r="O37">
            <v>9.41</v>
          </cell>
          <cell r="P37">
            <v>19277803</v>
          </cell>
          <cell r="Q37">
            <v>14576529</v>
          </cell>
          <cell r="R37">
            <v>0.36220000000000002</v>
          </cell>
        </row>
        <row r="38">
          <cell r="A38" t="str">
            <v>PW</v>
          </cell>
          <cell r="D38" t="str">
            <v>USD</v>
          </cell>
          <cell r="E38">
            <v>45954.976756562501</v>
          </cell>
          <cell r="F38">
            <v>0.70289999999999997</v>
          </cell>
          <cell r="G38">
            <v>0.71</v>
          </cell>
          <cell r="H38">
            <v>0.75349999999999995</v>
          </cell>
          <cell r="I38">
            <v>0.70289999999999997</v>
          </cell>
          <cell r="J38">
            <v>0.91300000000000003</v>
          </cell>
          <cell r="K38">
            <v>99</v>
          </cell>
          <cell r="L38">
            <v>5.0599999999999999E-2</v>
          </cell>
          <cell r="M38">
            <v>7.1986999999999995E-2</v>
          </cell>
          <cell r="N38">
            <v>0.66600000000000004</v>
          </cell>
          <cell r="O38">
            <v>2.59</v>
          </cell>
          <cell r="P38">
            <v>339555</v>
          </cell>
          <cell r="Q38">
            <v>71766</v>
          </cell>
          <cell r="R38">
            <v>1.6061000000000001</v>
          </cell>
        </row>
        <row r="39">
          <cell r="A39" t="str">
            <v>RIGL</v>
          </cell>
          <cell r="D39" t="str">
            <v>USD</v>
          </cell>
          <cell r="E39">
            <v>45954.874653957813</v>
          </cell>
          <cell r="F39">
            <v>29.39</v>
          </cell>
          <cell r="G39">
            <v>29.71</v>
          </cell>
          <cell r="H39">
            <v>29.97</v>
          </cell>
          <cell r="I39">
            <v>29.61</v>
          </cell>
          <cell r="J39">
            <v>30.57</v>
          </cell>
          <cell r="K39">
            <v>5.4275000000000002</v>
          </cell>
          <cell r="L39">
            <v>0.57999999999999996</v>
          </cell>
          <cell r="M39">
            <v>1.9734999999999999E-2</v>
          </cell>
          <cell r="N39">
            <v>13.570499999999999</v>
          </cell>
          <cell r="O39">
            <v>43.7181</v>
          </cell>
          <cell r="P39">
            <v>297483</v>
          </cell>
          <cell r="Q39">
            <v>608918</v>
          </cell>
          <cell r="R39">
            <v>1.2103999999999999</v>
          </cell>
        </row>
        <row r="40">
          <cell r="A40" t="str">
            <v>RWE</v>
          </cell>
          <cell r="D40" t="str">
            <v>EUR</v>
          </cell>
          <cell r="E40">
            <v>45954.770833333336</v>
          </cell>
          <cell r="F40">
            <v>40.44</v>
          </cell>
          <cell r="G40">
            <v>40.33</v>
          </cell>
          <cell r="H40">
            <v>40.57</v>
          </cell>
          <cell r="I40">
            <v>40.1</v>
          </cell>
          <cell r="J40">
            <v>40.71</v>
          </cell>
          <cell r="K40">
            <v>11.573499999999999</v>
          </cell>
          <cell r="L40">
            <v>0.13</v>
          </cell>
          <cell r="M40">
            <v>3.215E-3</v>
          </cell>
          <cell r="N40">
            <v>27.76</v>
          </cell>
          <cell r="O40">
            <v>41.61</v>
          </cell>
          <cell r="P40">
            <v>1189372</v>
          </cell>
          <cell r="Q40">
            <v>1616820</v>
          </cell>
          <cell r="R40">
            <v>0.51729999999999998</v>
          </cell>
        </row>
        <row r="41">
          <cell r="A41" t="str">
            <v>SAP</v>
          </cell>
          <cell r="D41" t="str">
            <v>EUR</v>
          </cell>
          <cell r="E41">
            <v>45954.770833333336</v>
          </cell>
          <cell r="F41">
            <v>242</v>
          </cell>
          <cell r="G41">
            <v>241.25</v>
          </cell>
          <cell r="H41">
            <v>233.35</v>
          </cell>
          <cell r="I41">
            <v>233.35</v>
          </cell>
          <cell r="J41">
            <v>241.3</v>
          </cell>
          <cell r="K41">
            <v>39.863</v>
          </cell>
          <cell r="L41">
            <v>-8.65</v>
          </cell>
          <cell r="M41">
            <v>-3.5743999999999998E-2</v>
          </cell>
          <cell r="N41">
            <v>209.7</v>
          </cell>
          <cell r="O41">
            <v>283.5</v>
          </cell>
          <cell r="P41">
            <v>1802588</v>
          </cell>
          <cell r="Q41">
            <v>1230040</v>
          </cell>
          <cell r="R41">
            <v>0.9919</v>
          </cell>
        </row>
        <row r="42">
          <cell r="A42" t="str">
            <v>SHECY</v>
          </cell>
          <cell r="D42" t="str">
            <v>USD</v>
          </cell>
          <cell r="E42">
            <v>45955.006944444445</v>
          </cell>
          <cell r="F42">
            <v>16.149999999999999</v>
          </cell>
          <cell r="G42">
            <v>15.75</v>
          </cell>
          <cell r="H42">
            <v>15.67</v>
          </cell>
          <cell r="I42">
            <v>15.6</v>
          </cell>
          <cell r="J42">
            <v>15.82</v>
          </cell>
          <cell r="K42">
            <v>0</v>
          </cell>
          <cell r="L42">
            <v>-0.48</v>
          </cell>
          <cell r="M42">
            <v>-2.9721000000000001E-2</v>
          </cell>
          <cell r="N42">
            <v>11.88</v>
          </cell>
          <cell r="O42">
            <v>20.102</v>
          </cell>
          <cell r="P42">
            <v>170519</v>
          </cell>
          <cell r="Q42">
            <v>6346040</v>
          </cell>
          <cell r="R42">
            <v>1.5089999999999999</v>
          </cell>
        </row>
        <row r="43">
          <cell r="A43" t="str">
            <v>SSYS</v>
          </cell>
          <cell r="D43" t="str">
            <v>USD</v>
          </cell>
          <cell r="E43">
            <v>45954.987047603907</v>
          </cell>
          <cell r="F43">
            <v>11.78</v>
          </cell>
          <cell r="G43">
            <v>11.923999999999999</v>
          </cell>
          <cell r="H43">
            <v>11.99</v>
          </cell>
          <cell r="I43">
            <v>11.83</v>
          </cell>
          <cell r="J43">
            <v>12.2837</v>
          </cell>
          <cell r="K43">
            <v>0</v>
          </cell>
          <cell r="L43">
            <v>0.21</v>
          </cell>
          <cell r="M43">
            <v>1.7826999999999999E-2</v>
          </cell>
          <cell r="N43">
            <v>6.92</v>
          </cell>
          <cell r="O43">
            <v>12.88</v>
          </cell>
          <cell r="P43">
            <v>1035948</v>
          </cell>
          <cell r="Q43">
            <v>1241446</v>
          </cell>
          <cell r="R43">
            <v>1.6156999999999999</v>
          </cell>
        </row>
        <row r="44">
          <cell r="A44" t="str">
            <v>TSLA</v>
          </cell>
          <cell r="D44" t="str">
            <v>USD</v>
          </cell>
          <cell r="E44">
            <v>45954.999995960156</v>
          </cell>
          <cell r="F44">
            <v>448.98</v>
          </cell>
          <cell r="G44">
            <v>446.83</v>
          </cell>
          <cell r="H44">
            <v>433.72</v>
          </cell>
          <cell r="I44">
            <v>430.17</v>
          </cell>
          <cell r="J44">
            <v>451.68</v>
          </cell>
          <cell r="K44">
            <v>311.2901</v>
          </cell>
          <cell r="L44">
            <v>-15.26</v>
          </cell>
          <cell r="M44">
            <v>-3.3987999999999997E-2</v>
          </cell>
          <cell r="N44">
            <v>214.25</v>
          </cell>
          <cell r="O44">
            <v>488.53989999999999</v>
          </cell>
          <cell r="P44">
            <v>94727774</v>
          </cell>
          <cell r="Q44">
            <v>89870669</v>
          </cell>
          <cell r="R44">
            <v>2.0724</v>
          </cell>
        </row>
        <row r="45">
          <cell r="A45" t="str">
            <v>TSM</v>
          </cell>
          <cell r="D45" t="str">
            <v>USD</v>
          </cell>
          <cell r="E45">
            <v>45954.999973113285</v>
          </cell>
          <cell r="F45">
            <v>290.73</v>
          </cell>
          <cell r="G45">
            <v>295.57</v>
          </cell>
          <cell r="H45">
            <v>294.95999999999998</v>
          </cell>
          <cell r="I45">
            <v>294.3897</v>
          </cell>
          <cell r="J45">
            <v>297.94990000000001</v>
          </cell>
          <cell r="K45">
            <v>28.929600000000001</v>
          </cell>
          <cell r="L45">
            <v>4.2300000000000004</v>
          </cell>
          <cell r="M45">
            <v>1.455E-2</v>
          </cell>
          <cell r="N45">
            <v>134.25</v>
          </cell>
          <cell r="O45">
            <v>311.36849999999998</v>
          </cell>
          <cell r="P45">
            <v>8747007</v>
          </cell>
          <cell r="Q45">
            <v>14511912</v>
          </cell>
          <cell r="R45">
            <v>1.3099000000000001</v>
          </cell>
        </row>
        <row r="46">
          <cell r="A46" t="str">
            <v>UN0</v>
          </cell>
          <cell r="D46" t="str">
            <v>EUR</v>
          </cell>
          <cell r="E46">
            <v>45954.836805555555</v>
          </cell>
          <cell r="F46">
            <v>30.95</v>
          </cell>
          <cell r="G46">
            <v>31</v>
          </cell>
          <cell r="H46">
            <v>30.15</v>
          </cell>
          <cell r="I46">
            <v>30.15</v>
          </cell>
          <cell r="J46">
            <v>31.2</v>
          </cell>
          <cell r="K46">
            <v>99</v>
          </cell>
          <cell r="L46">
            <v>-0.8</v>
          </cell>
          <cell r="M46">
            <v>-2.5847999999999999E-2</v>
          </cell>
          <cell r="N46">
            <v>2.1</v>
          </cell>
          <cell r="O46">
            <v>73.5</v>
          </cell>
          <cell r="P46">
            <v>186</v>
          </cell>
          <cell r="Q46">
            <v>4760</v>
          </cell>
          <cell r="R46">
            <v>1.0680000000000001</v>
          </cell>
        </row>
        <row r="47">
          <cell r="A47" t="str">
            <v>UNIT</v>
          </cell>
          <cell r="D47" t="str">
            <v>USD</v>
          </cell>
          <cell r="E47">
            <v>45954.994566863279</v>
          </cell>
          <cell r="F47">
            <v>5.8</v>
          </cell>
          <cell r="G47">
            <v>5.97</v>
          </cell>
          <cell r="H47">
            <v>6</v>
          </cell>
          <cell r="I47">
            <v>5.84</v>
          </cell>
          <cell r="J47">
            <v>6.12</v>
          </cell>
          <cell r="L47">
            <v>0.2</v>
          </cell>
          <cell r="M47">
            <v>3.4483E-2</v>
          </cell>
          <cell r="N47">
            <v>5.3</v>
          </cell>
          <cell r="O47">
            <v>10.466100000000001</v>
          </cell>
          <cell r="P47">
            <v>2339233</v>
          </cell>
          <cell r="Q47">
            <v>2993997</v>
          </cell>
          <cell r="R47">
            <v>1.5403</v>
          </cell>
        </row>
        <row r="48">
          <cell r="A48" t="str">
            <v>AVGO</v>
          </cell>
          <cell r="D48" t="str">
            <v>USD</v>
          </cell>
          <cell r="E48">
            <v>45954.999835983595</v>
          </cell>
          <cell r="F48">
            <v>344.29</v>
          </cell>
          <cell r="G48">
            <v>352.51</v>
          </cell>
          <cell r="H48">
            <v>354.13</v>
          </cell>
          <cell r="I48">
            <v>350.875</v>
          </cell>
          <cell r="J48">
            <v>358.3</v>
          </cell>
          <cell r="K48">
            <v>90.779300000000006</v>
          </cell>
          <cell r="L48">
            <v>9.84</v>
          </cell>
          <cell r="M48">
            <v>2.8580999999999999E-2</v>
          </cell>
          <cell r="N48">
            <v>138.1</v>
          </cell>
          <cell r="O48">
            <v>374.23</v>
          </cell>
          <cell r="P48">
            <v>16143739</v>
          </cell>
          <cell r="Q48">
            <v>21904460</v>
          </cell>
          <cell r="R48">
            <v>1.1964999999999999</v>
          </cell>
        </row>
        <row r="49">
          <cell r="A49" t="str">
            <v>VLVLY</v>
          </cell>
          <cell r="D49" t="str">
            <v>USD</v>
          </cell>
          <cell r="E49">
            <v>45955.006944444445</v>
          </cell>
          <cell r="F49">
            <v>27.41</v>
          </cell>
          <cell r="G49">
            <v>27.72</v>
          </cell>
          <cell r="H49">
            <v>27.61</v>
          </cell>
          <cell r="I49">
            <v>27.6</v>
          </cell>
          <cell r="J49">
            <v>27.8399</v>
          </cell>
          <cell r="K49">
            <v>0</v>
          </cell>
          <cell r="L49">
            <v>0.2</v>
          </cell>
          <cell r="M49">
            <v>7.2970000000000005E-3</v>
          </cell>
          <cell r="N49">
            <v>22.55</v>
          </cell>
          <cell r="O49">
            <v>33.33</v>
          </cell>
          <cell r="P49">
            <v>63080</v>
          </cell>
          <cell r="Q49">
            <v>4868410</v>
          </cell>
          <cell r="R49">
            <v>0.91510000000000002</v>
          </cell>
        </row>
        <row r="50">
          <cell r="A50" t="str">
            <v>VONN</v>
          </cell>
          <cell r="D50" t="str">
            <v>CHF</v>
          </cell>
          <cell r="E50">
            <v>45954.652777777781</v>
          </cell>
          <cell r="F50">
            <v>61.1</v>
          </cell>
          <cell r="G50">
            <v>61.1</v>
          </cell>
          <cell r="H50">
            <v>61.3</v>
          </cell>
          <cell r="I50">
            <v>60.4</v>
          </cell>
          <cell r="J50">
            <v>61.3</v>
          </cell>
          <cell r="K50">
            <v>13.792299999999999</v>
          </cell>
          <cell r="L50">
            <v>0.2</v>
          </cell>
          <cell r="M50">
            <v>3.2729999999999999E-3</v>
          </cell>
          <cell r="N50">
            <v>51.1</v>
          </cell>
          <cell r="O50">
            <v>69.5</v>
          </cell>
          <cell r="P50">
            <v>32757</v>
          </cell>
          <cell r="Q50">
            <v>34070</v>
          </cell>
          <cell r="R50">
            <v>1.0084</v>
          </cell>
        </row>
        <row r="51">
          <cell r="A51" t="str">
            <v>VTRS</v>
          </cell>
          <cell r="D51" t="str">
            <v>USD</v>
          </cell>
          <cell r="E51">
            <v>45954.955811678126</v>
          </cell>
          <cell r="F51">
            <v>10.31</v>
          </cell>
          <cell r="G51">
            <v>10.36</v>
          </cell>
          <cell r="H51">
            <v>10.35</v>
          </cell>
          <cell r="I51">
            <v>10.335000000000001</v>
          </cell>
          <cell r="J51">
            <v>10.4999</v>
          </cell>
          <cell r="K51">
            <v>0</v>
          </cell>
          <cell r="L51">
            <v>0.04</v>
          </cell>
          <cell r="M51">
            <v>3.8800000000000002E-3</v>
          </cell>
          <cell r="N51">
            <v>6.85</v>
          </cell>
          <cell r="O51">
            <v>13.55</v>
          </cell>
          <cell r="P51">
            <v>5045629</v>
          </cell>
          <cell r="Q51">
            <v>8873344</v>
          </cell>
          <cell r="R51">
            <v>0.89270000000000005</v>
          </cell>
        </row>
        <row r="52">
          <cell r="A52" t="str">
            <v>WBA</v>
          </cell>
          <cell r="D52" t="str">
            <v>USD</v>
          </cell>
          <cell r="E52">
            <v>45896.992190289064</v>
          </cell>
          <cell r="F52">
            <v>11.92</v>
          </cell>
          <cell r="G52">
            <v>11.914999999999999</v>
          </cell>
          <cell r="H52">
            <v>11.98</v>
          </cell>
          <cell r="I52">
            <v>11.9</v>
          </cell>
          <cell r="J52">
            <v>12.11</v>
          </cell>
          <cell r="K52">
            <v>0</v>
          </cell>
          <cell r="L52">
            <v>0</v>
          </cell>
          <cell r="M52">
            <v>0</v>
          </cell>
          <cell r="N52">
            <v>8.08</v>
          </cell>
          <cell r="O52">
            <v>13.249499999999999</v>
          </cell>
          <cell r="P52">
            <v>452081061</v>
          </cell>
          <cell r="Q52">
            <v>30166826</v>
          </cell>
          <cell r="R52">
            <v>0.81640000000000001</v>
          </cell>
        </row>
        <row r="53">
          <cell r="A53" t="str">
            <v>XOM</v>
          </cell>
          <cell r="D53" t="str">
            <v>USD</v>
          </cell>
          <cell r="E53">
            <v>45954.999659142966</v>
          </cell>
          <cell r="F53">
            <v>115.98</v>
          </cell>
          <cell r="G53">
            <v>116.35</v>
          </cell>
          <cell r="H53">
            <v>115.39</v>
          </cell>
          <cell r="I53">
            <v>115.18</v>
          </cell>
          <cell r="J53">
            <v>116.47</v>
          </cell>
          <cell r="K53">
            <v>16.456900000000001</v>
          </cell>
          <cell r="L53">
            <v>-0.59</v>
          </cell>
          <cell r="M53">
            <v>-5.0870000000000004E-3</v>
          </cell>
          <cell r="N53">
            <v>97.8</v>
          </cell>
          <cell r="O53">
            <v>123.21</v>
          </cell>
          <cell r="P53">
            <v>9919409</v>
          </cell>
          <cell r="Q53">
            <v>14983284</v>
          </cell>
          <cell r="R53">
            <v>0.4662</v>
          </cell>
        </row>
        <row r="54">
          <cell r="A54" t="str">
            <v>XPER</v>
          </cell>
          <cell r="D54" t="str">
            <v>USD</v>
          </cell>
          <cell r="E54">
            <v>45954.958333356248</v>
          </cell>
          <cell r="F54">
            <v>6.61</v>
          </cell>
          <cell r="G54">
            <v>6.69</v>
          </cell>
          <cell r="H54">
            <v>6.67</v>
          </cell>
          <cell r="I54">
            <v>6.67</v>
          </cell>
          <cell r="J54">
            <v>6.75</v>
          </cell>
          <cell r="K54">
            <v>99</v>
          </cell>
          <cell r="L54">
            <v>0.06</v>
          </cell>
          <cell r="M54">
            <v>9.077E-3</v>
          </cell>
          <cell r="N54">
            <v>5.6849999999999996</v>
          </cell>
          <cell r="O54">
            <v>11.074999999999999</v>
          </cell>
          <cell r="P54">
            <v>191077</v>
          </cell>
          <cell r="Q54">
            <v>507779</v>
          </cell>
          <cell r="R54">
            <v>1.1459999999999999</v>
          </cell>
        </row>
        <row r="55">
          <cell r="A55" t="str">
            <v>MVEALDNE</v>
          </cell>
          <cell r="D55" t="str">
            <v>EUR</v>
          </cell>
          <cell r="E55">
            <v>45954.666666666664</v>
          </cell>
          <cell r="F55">
            <v>0.83799999999999997</v>
          </cell>
          <cell r="G55">
            <v>0.82</v>
          </cell>
          <cell r="H55">
            <v>0.82599999999999996</v>
          </cell>
          <cell r="I55">
            <v>0.76400000000000001</v>
          </cell>
          <cell r="J55">
            <v>0.83799999999999997</v>
          </cell>
          <cell r="K55">
            <v>0</v>
          </cell>
          <cell r="L55">
            <v>-1.2E-2</v>
          </cell>
          <cell r="M55">
            <v>-1.4319999999999999E-2</v>
          </cell>
          <cell r="N55">
            <v>0.65</v>
          </cell>
          <cell r="O55">
            <v>1.53</v>
          </cell>
          <cell r="P55">
            <v>10516</v>
          </cell>
          <cell r="Q55">
            <v>6030</v>
          </cell>
          <cell r="R55">
            <v>1.0333000000000001</v>
          </cell>
        </row>
        <row r="56">
          <cell r="A56" t="str">
            <v>MVEDDD</v>
          </cell>
          <cell r="D56" t="str">
            <v>USD</v>
          </cell>
          <cell r="E56">
            <v>45954.994127685153</v>
          </cell>
          <cell r="F56">
            <v>3.08</v>
          </cell>
          <cell r="G56">
            <v>3.18</v>
          </cell>
          <cell r="H56">
            <v>3.13</v>
          </cell>
          <cell r="I56">
            <v>3.11</v>
          </cell>
          <cell r="J56">
            <v>3.29</v>
          </cell>
          <cell r="K56">
            <v>99</v>
          </cell>
          <cell r="L56">
            <v>0.05</v>
          </cell>
          <cell r="M56">
            <v>1.6233999999999998E-2</v>
          </cell>
          <cell r="N56">
            <v>1.32</v>
          </cell>
          <cell r="O56">
            <v>4.9991000000000003</v>
          </cell>
          <cell r="P56">
            <v>3333984</v>
          </cell>
          <cell r="Q56">
            <v>4995132</v>
          </cell>
          <cell r="R56">
            <v>2.1852999999999998</v>
          </cell>
        </row>
        <row r="57">
          <cell r="A57" t="str">
            <v>MVEDSY</v>
          </cell>
          <cell r="D57" t="str">
            <v>EUR</v>
          </cell>
          <cell r="E57">
            <v>45954.666666666664</v>
          </cell>
          <cell r="F57">
            <v>26.21</v>
          </cell>
          <cell r="G57">
            <v>26.3</v>
          </cell>
          <cell r="H57">
            <v>25.69</v>
          </cell>
          <cell r="I57">
            <v>25.54</v>
          </cell>
          <cell r="J57">
            <v>26.43</v>
          </cell>
          <cell r="K57">
            <v>28.703900000000001</v>
          </cell>
          <cell r="L57">
            <v>-0.52</v>
          </cell>
          <cell r="M57">
            <v>-1.984E-2</v>
          </cell>
          <cell r="N57">
            <v>25.01</v>
          </cell>
          <cell r="O57">
            <v>41.17</v>
          </cell>
          <cell r="P57">
            <v>3353364</v>
          </cell>
          <cell r="Q57">
            <v>1548090</v>
          </cell>
          <cell r="R57">
            <v>0.68200000000000005</v>
          </cell>
        </row>
        <row r="58">
          <cell r="A58" t="str">
            <v>MVEEOAN</v>
          </cell>
          <cell r="D58" t="str">
            <v>EUR</v>
          </cell>
          <cell r="E58">
            <v>45954.770833333336</v>
          </cell>
          <cell r="F58">
            <v>16.035</v>
          </cell>
          <cell r="G58">
            <v>15.97</v>
          </cell>
          <cell r="H58">
            <v>16.085000000000001</v>
          </cell>
          <cell r="I58">
            <v>15.79</v>
          </cell>
          <cell r="J58">
            <v>16.085000000000001</v>
          </cell>
          <cell r="K58">
            <v>13.279500000000001</v>
          </cell>
          <cell r="L58">
            <v>0.05</v>
          </cell>
          <cell r="M58">
            <v>3.1180000000000001E-3</v>
          </cell>
          <cell r="N58">
            <v>10.435</v>
          </cell>
          <cell r="O58">
            <v>16.55</v>
          </cell>
          <cell r="P58">
            <v>3565315</v>
          </cell>
          <cell r="Q58">
            <v>3151380</v>
          </cell>
          <cell r="R58">
            <v>0.72009999999999996</v>
          </cell>
        </row>
        <row r="59">
          <cell r="A59" t="str">
            <v>MVEENI</v>
          </cell>
          <cell r="D59" t="str">
            <v>EUR</v>
          </cell>
          <cell r="E59">
            <v>45954.666666666664</v>
          </cell>
          <cell r="F59">
            <v>15.586</v>
          </cell>
          <cell r="G59">
            <v>15.83</v>
          </cell>
          <cell r="H59">
            <v>15.836</v>
          </cell>
          <cell r="I59">
            <v>15.638</v>
          </cell>
          <cell r="J59">
            <v>16.032</v>
          </cell>
          <cell r="K59">
            <v>19.472799999999999</v>
          </cell>
          <cell r="L59">
            <v>0.25</v>
          </cell>
          <cell r="M59">
            <v>1.6040000000000002E-2</v>
          </cell>
          <cell r="N59">
            <v>11.01</v>
          </cell>
          <cell r="O59">
            <v>16.032</v>
          </cell>
          <cell r="P59">
            <v>21544743</v>
          </cell>
          <cell r="Q59">
            <v>11061740</v>
          </cell>
          <cell r="R59">
            <v>1.0790999999999999</v>
          </cell>
        </row>
        <row r="60">
          <cell r="A60" t="str">
            <v>MVEEPIX</v>
          </cell>
          <cell r="D60" t="str">
            <v>USD</v>
          </cell>
          <cell r="E60">
            <v>45938.992447279685</v>
          </cell>
          <cell r="F60">
            <v>0.20499999999999999</v>
          </cell>
          <cell r="G60">
            <v>0.2</v>
          </cell>
          <cell r="H60">
            <v>0.20119999999999999</v>
          </cell>
          <cell r="I60">
            <v>0.18990000000000001</v>
          </cell>
          <cell r="J60">
            <v>0.20699999999999999</v>
          </cell>
          <cell r="K60">
            <v>0</v>
          </cell>
          <cell r="L60">
            <v>0</v>
          </cell>
          <cell r="M60">
            <v>0</v>
          </cell>
          <cell r="N60">
            <v>0.17330000000000001</v>
          </cell>
          <cell r="O60">
            <v>0.82499999999999996</v>
          </cell>
          <cell r="P60">
            <v>5945141</v>
          </cell>
          <cell r="Q60">
            <v>3209641</v>
          </cell>
          <cell r="R60">
            <v>1.5513999999999999</v>
          </cell>
        </row>
        <row r="61">
          <cell r="A61" t="str">
            <v>MVEGLE</v>
          </cell>
          <cell r="D61" t="str">
            <v>EUR</v>
          </cell>
          <cell r="E61">
            <v>45954.666666666664</v>
          </cell>
          <cell r="F61">
            <v>53.58</v>
          </cell>
          <cell r="G61">
            <v>53.94</v>
          </cell>
          <cell r="H61">
            <v>53.68</v>
          </cell>
          <cell r="I61">
            <v>52.4</v>
          </cell>
          <cell r="J61">
            <v>54.12</v>
          </cell>
          <cell r="K61">
            <v>8.9738000000000007</v>
          </cell>
          <cell r="L61">
            <v>0.1</v>
          </cell>
          <cell r="M61">
            <v>1.8659999999999998E-3</v>
          </cell>
          <cell r="N61">
            <v>23.35</v>
          </cell>
          <cell r="O61">
            <v>59.42</v>
          </cell>
          <cell r="P61">
            <v>1624137</v>
          </cell>
          <cell r="Q61">
            <v>2035610</v>
          </cell>
          <cell r="R61">
            <v>1.5581</v>
          </cell>
        </row>
        <row r="62">
          <cell r="A62" t="str">
            <v>MVEORA</v>
          </cell>
          <cell r="D62" t="str">
            <v>EUR</v>
          </cell>
          <cell r="E62">
            <v>45954.666666666664</v>
          </cell>
          <cell r="F62">
            <v>14.15</v>
          </cell>
          <cell r="G62">
            <v>14.13</v>
          </cell>
          <cell r="H62">
            <v>13.92</v>
          </cell>
          <cell r="I62">
            <v>13.805</v>
          </cell>
          <cell r="J62">
            <v>14.16</v>
          </cell>
          <cell r="K62">
            <v>44.693600000000004</v>
          </cell>
          <cell r="L62">
            <v>-0.23</v>
          </cell>
          <cell r="M62">
            <v>-1.6254000000000001E-2</v>
          </cell>
          <cell r="N62">
            <v>9.3699999999999992</v>
          </cell>
          <cell r="O62">
            <v>14.56</v>
          </cell>
          <cell r="P62">
            <v>3783933</v>
          </cell>
          <cell r="Q62">
            <v>3965280</v>
          </cell>
          <cell r="R62">
            <v>0.30830000000000002</v>
          </cell>
        </row>
        <row r="63">
          <cell r="A63" t="str">
            <v>MVERWE</v>
          </cell>
          <cell r="D63" t="str">
            <v>EUR</v>
          </cell>
          <cell r="E63">
            <v>45954.770833333336</v>
          </cell>
          <cell r="F63">
            <v>40.44</v>
          </cell>
          <cell r="G63">
            <v>40.33</v>
          </cell>
          <cell r="H63">
            <v>40.57</v>
          </cell>
          <cell r="I63">
            <v>40.1</v>
          </cell>
          <cell r="J63">
            <v>40.71</v>
          </cell>
          <cell r="K63">
            <v>11.573499999999999</v>
          </cell>
          <cell r="L63">
            <v>0.13</v>
          </cell>
          <cell r="M63">
            <v>3.215E-3</v>
          </cell>
          <cell r="N63">
            <v>27.76</v>
          </cell>
          <cell r="O63">
            <v>41.61</v>
          </cell>
          <cell r="P63">
            <v>1189372</v>
          </cell>
          <cell r="Q63">
            <v>1616820</v>
          </cell>
          <cell r="R63">
            <v>0.51729999999999998</v>
          </cell>
        </row>
        <row r="64">
          <cell r="A64" t="str">
            <v>MVESAP</v>
          </cell>
          <cell r="D64" t="str">
            <v>EUR</v>
          </cell>
          <cell r="E64">
            <v>45954.770833333336</v>
          </cell>
          <cell r="F64">
            <v>242</v>
          </cell>
          <cell r="G64">
            <v>241.25</v>
          </cell>
          <cell r="H64">
            <v>233.35</v>
          </cell>
          <cell r="I64">
            <v>233.35</v>
          </cell>
          <cell r="J64">
            <v>241.3</v>
          </cell>
          <cell r="K64">
            <v>39.863</v>
          </cell>
          <cell r="L64">
            <v>-8.65</v>
          </cell>
          <cell r="M64">
            <v>-3.5743999999999998E-2</v>
          </cell>
          <cell r="N64">
            <v>209.7</v>
          </cell>
          <cell r="O64">
            <v>283.5</v>
          </cell>
          <cell r="P64">
            <v>1802588</v>
          </cell>
          <cell r="Q64">
            <v>1230040</v>
          </cell>
          <cell r="R64">
            <v>0.9919</v>
          </cell>
        </row>
        <row r="65">
          <cell r="A65" t="str">
            <v>MVEUN0</v>
          </cell>
          <cell r="D65" t="str">
            <v>EUR</v>
          </cell>
          <cell r="E65">
            <v>45954.836805555555</v>
          </cell>
          <cell r="F65">
            <v>30.95</v>
          </cell>
          <cell r="G65">
            <v>31</v>
          </cell>
          <cell r="H65">
            <v>30.15</v>
          </cell>
          <cell r="I65">
            <v>30.15</v>
          </cell>
          <cell r="J65">
            <v>31.2</v>
          </cell>
          <cell r="K65">
            <v>99</v>
          </cell>
          <cell r="L65">
            <v>-0.8</v>
          </cell>
          <cell r="M65">
            <v>-2.5847999999999999E-2</v>
          </cell>
          <cell r="N65">
            <v>2.1</v>
          </cell>
          <cell r="O65">
            <v>73.5</v>
          </cell>
          <cell r="P65">
            <v>186</v>
          </cell>
          <cell r="Q65">
            <v>4760</v>
          </cell>
          <cell r="R65">
            <v>1.0680000000000001</v>
          </cell>
        </row>
        <row r="66">
          <cell r="A66" t="str">
            <v>SAFAAPL</v>
          </cell>
          <cell r="D66" t="str">
            <v>USD</v>
          </cell>
          <cell r="E66">
            <v>45954.999963008595</v>
          </cell>
          <cell r="F66">
            <v>259.58</v>
          </cell>
          <cell r="G66">
            <v>261.19</v>
          </cell>
          <cell r="H66">
            <v>262.82</v>
          </cell>
          <cell r="I66">
            <v>259.18</v>
          </cell>
          <cell r="J66">
            <v>264.13</v>
          </cell>
          <cell r="K66">
            <v>35.802500000000002</v>
          </cell>
          <cell r="L66">
            <v>3.24</v>
          </cell>
          <cell r="M66">
            <v>1.2482E-2</v>
          </cell>
          <cell r="N66">
            <v>169.21010000000001</v>
          </cell>
          <cell r="O66">
            <v>265.29000000000002</v>
          </cell>
          <cell r="P66">
            <v>38253717</v>
          </cell>
          <cell r="Q66">
            <v>52650930</v>
          </cell>
          <cell r="R66">
            <v>1.0834999999999999</v>
          </cell>
        </row>
        <row r="67">
          <cell r="A67" t="str">
            <v>SAFAMZN</v>
          </cell>
          <cell r="D67" t="str">
            <v>USD</v>
          </cell>
          <cell r="E67">
            <v>45954.999975635939</v>
          </cell>
          <cell r="F67">
            <v>221.09</v>
          </cell>
          <cell r="G67">
            <v>221.97</v>
          </cell>
          <cell r="H67">
            <v>224.21</v>
          </cell>
          <cell r="I67">
            <v>221.9</v>
          </cell>
          <cell r="J67">
            <v>225.4</v>
          </cell>
          <cell r="K67">
            <v>33.7378</v>
          </cell>
          <cell r="L67">
            <v>3.12</v>
          </cell>
          <cell r="M67">
            <v>1.4112E-2</v>
          </cell>
          <cell r="N67">
            <v>161.38</v>
          </cell>
          <cell r="O67">
            <v>242.52</v>
          </cell>
          <cell r="P67">
            <v>38685053</v>
          </cell>
          <cell r="Q67">
            <v>48121986</v>
          </cell>
          <cell r="R67">
            <v>1.2842</v>
          </cell>
        </row>
        <row r="68">
          <cell r="A68" t="str">
            <v>SAFASML</v>
          </cell>
          <cell r="D68" t="str">
            <v>EUR</v>
          </cell>
          <cell r="E68">
            <v>45954.666666666664</v>
          </cell>
          <cell r="F68">
            <v>887.7</v>
          </cell>
          <cell r="G68">
            <v>900</v>
          </cell>
          <cell r="H68">
            <v>894.4</v>
          </cell>
          <cell r="I68">
            <v>889.6</v>
          </cell>
          <cell r="J68">
            <v>902.6</v>
          </cell>
          <cell r="K68">
            <v>34.084499999999998</v>
          </cell>
          <cell r="L68">
            <v>6.7</v>
          </cell>
          <cell r="M68">
            <v>7.548E-3</v>
          </cell>
          <cell r="N68">
            <v>508.4</v>
          </cell>
          <cell r="O68">
            <v>905.1</v>
          </cell>
          <cell r="P68">
            <v>500510</v>
          </cell>
          <cell r="Q68">
            <v>743190</v>
          </cell>
          <cell r="R68">
            <v>1.9605999999999999</v>
          </cell>
        </row>
        <row r="69">
          <cell r="A69" t="str">
            <v>SAFDDD</v>
          </cell>
          <cell r="D69" t="str">
            <v>USD</v>
          </cell>
          <cell r="E69">
            <v>45954.994127685153</v>
          </cell>
          <cell r="F69">
            <v>3.08</v>
          </cell>
          <cell r="G69">
            <v>3.18</v>
          </cell>
          <cell r="H69">
            <v>3.13</v>
          </cell>
          <cell r="I69">
            <v>3.11</v>
          </cell>
          <cell r="J69">
            <v>3.29</v>
          </cell>
          <cell r="K69">
            <v>99</v>
          </cell>
          <cell r="L69">
            <v>0.05</v>
          </cell>
          <cell r="M69">
            <v>1.6233999999999998E-2</v>
          </cell>
          <cell r="N69">
            <v>1.32</v>
          </cell>
          <cell r="O69">
            <v>4.9991000000000003</v>
          </cell>
          <cell r="P69">
            <v>3333984</v>
          </cell>
          <cell r="Q69">
            <v>4995132</v>
          </cell>
          <cell r="R69">
            <v>2.1852999999999998</v>
          </cell>
        </row>
        <row r="70">
          <cell r="A70" t="str">
            <v>SAFDIS</v>
          </cell>
          <cell r="D70" t="str">
            <v>USD</v>
          </cell>
          <cell r="E70">
            <v>45954.999477950783</v>
          </cell>
          <cell r="F70">
            <v>113.03</v>
          </cell>
          <cell r="G70">
            <v>113.23</v>
          </cell>
          <cell r="H70">
            <v>111.68</v>
          </cell>
          <cell r="I70">
            <v>111.59</v>
          </cell>
          <cell r="J70">
            <v>113.65</v>
          </cell>
          <cell r="K70">
            <v>17.720800000000001</v>
          </cell>
          <cell r="L70">
            <v>-1.35</v>
          </cell>
          <cell r="M70">
            <v>-1.1944E-2</v>
          </cell>
          <cell r="N70">
            <v>80.099999999999994</v>
          </cell>
          <cell r="O70">
            <v>124.69</v>
          </cell>
          <cell r="P70">
            <v>6235183</v>
          </cell>
          <cell r="Q70">
            <v>8917322</v>
          </cell>
          <cell r="R70">
            <v>1.5541</v>
          </cell>
        </row>
        <row r="71">
          <cell r="A71" t="str">
            <v>SAFGM</v>
          </cell>
          <cell r="D71" t="str">
            <v>USD</v>
          </cell>
          <cell r="E71">
            <v>45954.999809594534</v>
          </cell>
          <cell r="F71">
            <v>66.849999999999994</v>
          </cell>
          <cell r="G71">
            <v>67.459999999999994</v>
          </cell>
          <cell r="H71">
            <v>69.66</v>
          </cell>
          <cell r="I71">
            <v>67.290000000000006</v>
          </cell>
          <cell r="J71">
            <v>69.7</v>
          </cell>
          <cell r="K71">
            <v>12.857799999999999</v>
          </cell>
          <cell r="L71">
            <v>2.81</v>
          </cell>
          <cell r="M71">
            <v>4.2034000000000002E-2</v>
          </cell>
          <cell r="N71">
            <v>41.6</v>
          </cell>
          <cell r="O71">
            <v>69.7</v>
          </cell>
          <cell r="P71">
            <v>12570973</v>
          </cell>
          <cell r="Q71">
            <v>10305534</v>
          </cell>
          <cell r="R71">
            <v>1.4</v>
          </cell>
        </row>
        <row r="72">
          <cell r="A72" t="str">
            <v>SAFIAG</v>
          </cell>
          <cell r="D72" t="str">
            <v>GBp</v>
          </cell>
          <cell r="E72">
            <v>45954.639900659378</v>
          </cell>
          <cell r="F72">
            <v>403.5</v>
          </cell>
          <cell r="G72">
            <v>407.6</v>
          </cell>
          <cell r="H72">
            <v>410</v>
          </cell>
          <cell r="I72">
            <v>402</v>
          </cell>
          <cell r="J72">
            <v>410</v>
          </cell>
          <cell r="K72">
            <v>7.3752000000000004</v>
          </cell>
          <cell r="L72">
            <v>6.5</v>
          </cell>
          <cell r="M72">
            <v>1.6108999999999998E-2</v>
          </cell>
          <cell r="N72">
            <v>207.2</v>
          </cell>
          <cell r="O72">
            <v>416</v>
          </cell>
          <cell r="P72">
            <v>14720617</v>
          </cell>
          <cell r="Q72">
            <v>12139610</v>
          </cell>
          <cell r="R72">
            <v>2.8862999999999999</v>
          </cell>
        </row>
        <row r="73">
          <cell r="A73" t="str">
            <v>SAFMRNA</v>
          </cell>
          <cell r="D73" t="str">
            <v>USD</v>
          </cell>
          <cell r="E73">
            <v>45954.999891851563</v>
          </cell>
          <cell r="F73">
            <v>26.25</v>
          </cell>
          <cell r="G73">
            <v>26.52</v>
          </cell>
          <cell r="H73">
            <v>26.74</v>
          </cell>
          <cell r="I73">
            <v>26.11</v>
          </cell>
          <cell r="J73">
            <v>26.91</v>
          </cell>
          <cell r="K73">
            <v>0</v>
          </cell>
          <cell r="L73">
            <v>0.49</v>
          </cell>
          <cell r="M73">
            <v>1.8667E-2</v>
          </cell>
          <cell r="N73">
            <v>23.15</v>
          </cell>
          <cell r="O73">
            <v>57.69</v>
          </cell>
          <cell r="P73">
            <v>6494118</v>
          </cell>
          <cell r="Q73">
            <v>9835193</v>
          </cell>
          <cell r="R73">
            <v>2.0135000000000001</v>
          </cell>
        </row>
        <row r="74">
          <cell r="A74" t="str">
            <v>BLNK</v>
          </cell>
          <cell r="D74" t="str">
            <v>USD</v>
          </cell>
          <cell r="E74">
            <v>45954.998928159373</v>
          </cell>
          <cell r="F74">
            <v>1.79</v>
          </cell>
          <cell r="G74">
            <v>1.83</v>
          </cell>
          <cell r="H74">
            <v>1.93</v>
          </cell>
          <cell r="I74">
            <v>1.8</v>
          </cell>
          <cell r="J74">
            <v>1.94</v>
          </cell>
          <cell r="K74">
            <v>0</v>
          </cell>
          <cell r="L74">
            <v>0.14000000000000001</v>
          </cell>
          <cell r="M74">
            <v>7.8212000000000004E-2</v>
          </cell>
          <cell r="N74">
            <v>0.63009999999999999</v>
          </cell>
          <cell r="O74">
            <v>2.6499000000000001</v>
          </cell>
          <cell r="P74">
            <v>4538770</v>
          </cell>
          <cell r="Q74">
            <v>6689679</v>
          </cell>
          <cell r="R74">
            <v>3.4965999999999999</v>
          </cell>
        </row>
        <row r="75">
          <cell r="A75" t="str">
            <v>ENI</v>
          </cell>
          <cell r="D75" t="str">
            <v>EUR</v>
          </cell>
          <cell r="E75">
            <v>45954.666666666664</v>
          </cell>
          <cell r="F75">
            <v>15.586</v>
          </cell>
          <cell r="G75">
            <v>15.83</v>
          </cell>
          <cell r="H75">
            <v>15.836</v>
          </cell>
          <cell r="I75">
            <v>15.638</v>
          </cell>
          <cell r="J75">
            <v>16.032</v>
          </cell>
          <cell r="K75">
            <v>19.472799999999999</v>
          </cell>
          <cell r="L75">
            <v>0.25</v>
          </cell>
          <cell r="M75">
            <v>1.6040000000000002E-2</v>
          </cell>
          <cell r="N75">
            <v>11.01</v>
          </cell>
          <cell r="O75">
            <v>16.032</v>
          </cell>
          <cell r="P75">
            <v>21544743</v>
          </cell>
          <cell r="Q75">
            <v>11061740</v>
          </cell>
          <cell r="R75">
            <v>1.0790999999999999</v>
          </cell>
        </row>
        <row r="76">
          <cell r="A76" t="str">
            <v>EZJ</v>
          </cell>
          <cell r="D76" t="str">
            <v>GBp</v>
          </cell>
          <cell r="E76">
            <v>45954.643421411718</v>
          </cell>
          <cell r="F76">
            <v>479.5</v>
          </cell>
          <cell r="G76">
            <v>483</v>
          </cell>
          <cell r="H76">
            <v>486.1</v>
          </cell>
          <cell r="I76">
            <v>477.5</v>
          </cell>
          <cell r="J76">
            <v>486.5</v>
          </cell>
          <cell r="K76">
            <v>8.7954000000000008</v>
          </cell>
          <cell r="L76">
            <v>6.6</v>
          </cell>
          <cell r="M76">
            <v>1.3764E-2</v>
          </cell>
          <cell r="N76">
            <v>401.05</v>
          </cell>
          <cell r="O76">
            <v>594</v>
          </cell>
          <cell r="P76">
            <v>2679379</v>
          </cell>
          <cell r="Q76">
            <v>5082380</v>
          </cell>
          <cell r="R76">
            <v>2.8824999999999998</v>
          </cell>
        </row>
        <row r="77">
          <cell r="A77" t="str">
            <v>F</v>
          </cell>
          <cell r="D77" t="str">
            <v>USD</v>
          </cell>
          <cell r="E77">
            <v>45954.999877800779</v>
          </cell>
          <cell r="F77">
            <v>12.34</v>
          </cell>
          <cell r="G77">
            <v>12.73</v>
          </cell>
          <cell r="H77">
            <v>13.84</v>
          </cell>
          <cell r="I77">
            <v>12.71</v>
          </cell>
          <cell r="J77">
            <v>13.97</v>
          </cell>
          <cell r="K77">
            <v>10.596500000000001</v>
          </cell>
          <cell r="L77">
            <v>1.5</v>
          </cell>
          <cell r="M77">
            <v>0.121556</v>
          </cell>
          <cell r="N77">
            <v>8.4405999999999999</v>
          </cell>
          <cell r="O77">
            <v>13.97</v>
          </cell>
          <cell r="P77">
            <v>298366862</v>
          </cell>
          <cell r="Q77">
            <v>122035765</v>
          </cell>
          <cell r="R77">
            <v>1.6007</v>
          </cell>
        </row>
        <row r="78">
          <cell r="A78" t="str">
            <v>GLE</v>
          </cell>
          <cell r="D78" t="str">
            <v>EUR</v>
          </cell>
          <cell r="E78">
            <v>45954.666666666664</v>
          </cell>
          <cell r="F78">
            <v>53.58</v>
          </cell>
          <cell r="G78">
            <v>53.94</v>
          </cell>
          <cell r="H78">
            <v>53.68</v>
          </cell>
          <cell r="I78">
            <v>52.4</v>
          </cell>
          <cell r="J78">
            <v>54.12</v>
          </cell>
          <cell r="K78">
            <v>8.9738000000000007</v>
          </cell>
          <cell r="L78">
            <v>0.1</v>
          </cell>
          <cell r="M78">
            <v>1.8659999999999998E-3</v>
          </cell>
          <cell r="N78">
            <v>23.35</v>
          </cell>
          <cell r="O78">
            <v>59.42</v>
          </cell>
          <cell r="P78">
            <v>1624137</v>
          </cell>
          <cell r="Q78">
            <v>2035610</v>
          </cell>
          <cell r="R78">
            <v>1.5581</v>
          </cell>
        </row>
        <row r="79">
          <cell r="A79" t="str">
            <v>GNRC</v>
          </cell>
          <cell r="D79" t="str">
            <v>USD</v>
          </cell>
          <cell r="E79">
            <v>45954.992194907034</v>
          </cell>
          <cell r="F79">
            <v>189.04</v>
          </cell>
          <cell r="G79">
            <v>192.71</v>
          </cell>
          <cell r="H79">
            <v>191.95</v>
          </cell>
          <cell r="I79">
            <v>190.91</v>
          </cell>
          <cell r="J79">
            <v>195.2</v>
          </cell>
          <cell r="K79">
            <v>31.390499999999999</v>
          </cell>
          <cell r="L79">
            <v>2.91</v>
          </cell>
          <cell r="M79">
            <v>1.5394000000000001E-2</v>
          </cell>
          <cell r="N79">
            <v>99.5</v>
          </cell>
          <cell r="O79">
            <v>203.2499</v>
          </cell>
          <cell r="P79">
            <v>816187</v>
          </cell>
          <cell r="Q79">
            <v>1079254</v>
          </cell>
          <cell r="R79">
            <v>1.6861999999999999</v>
          </cell>
        </row>
        <row r="80">
          <cell r="A80" t="str">
            <v>GS</v>
          </cell>
          <cell r="D80" t="str">
            <v>USD</v>
          </cell>
          <cell r="E80">
            <v>45954.999808414061</v>
          </cell>
          <cell r="F80">
            <v>750.78</v>
          </cell>
          <cell r="G80">
            <v>759.85</v>
          </cell>
          <cell r="H80">
            <v>783.88</v>
          </cell>
          <cell r="I80">
            <v>756</v>
          </cell>
          <cell r="J80">
            <v>784.61</v>
          </cell>
          <cell r="K80">
            <v>15.251300000000001</v>
          </cell>
          <cell r="L80">
            <v>33.1</v>
          </cell>
          <cell r="M80">
            <v>4.4086999999999994E-2</v>
          </cell>
          <cell r="N80">
            <v>439.38</v>
          </cell>
          <cell r="O80">
            <v>825.25</v>
          </cell>
          <cell r="P80">
            <v>2505628</v>
          </cell>
          <cell r="Q80">
            <v>2103402</v>
          </cell>
          <cell r="R80">
            <v>1.4097</v>
          </cell>
        </row>
        <row r="81">
          <cell r="A81" t="str">
            <v>LAZR</v>
          </cell>
          <cell r="D81" t="str">
            <v>USD</v>
          </cell>
          <cell r="E81">
            <v>45954.999899258597</v>
          </cell>
          <cell r="F81">
            <v>1.69</v>
          </cell>
          <cell r="G81">
            <v>1.7250000000000001</v>
          </cell>
          <cell r="H81">
            <v>2.2200000000000002</v>
          </cell>
          <cell r="I81">
            <v>1.72</v>
          </cell>
          <cell r="J81">
            <v>2.2799999999999998</v>
          </cell>
          <cell r="K81">
            <v>0</v>
          </cell>
          <cell r="L81">
            <v>0.53</v>
          </cell>
          <cell r="M81">
            <v>0.31360900000000003</v>
          </cell>
          <cell r="N81">
            <v>1.58</v>
          </cell>
          <cell r="O81">
            <v>18.600000000000001</v>
          </cell>
          <cell r="P81">
            <v>26891821</v>
          </cell>
          <cell r="Q81">
            <v>6510271</v>
          </cell>
          <cell r="R81">
            <v>2.0575000000000001</v>
          </cell>
        </row>
        <row r="82">
          <cell r="A82" t="str">
            <v>LUV</v>
          </cell>
          <cell r="D82" t="str">
            <v>USD</v>
          </cell>
          <cell r="E82">
            <v>45954.999700196095</v>
          </cell>
          <cell r="F82">
            <v>31.65</v>
          </cell>
          <cell r="G82">
            <v>32.049999999999997</v>
          </cell>
          <cell r="H82">
            <v>32.200000000000003</v>
          </cell>
          <cell r="I82">
            <v>31.38</v>
          </cell>
          <cell r="J82">
            <v>32.43</v>
          </cell>
          <cell r="K82">
            <v>47.302300000000002</v>
          </cell>
          <cell r="L82">
            <v>0.55000000000000004</v>
          </cell>
          <cell r="M82">
            <v>1.7378000000000001E-2</v>
          </cell>
          <cell r="N82">
            <v>23.815000000000001</v>
          </cell>
          <cell r="O82">
            <v>37.96</v>
          </cell>
          <cell r="P82">
            <v>15189625</v>
          </cell>
          <cell r="Q82">
            <v>10199141</v>
          </cell>
          <cell r="R82">
            <v>1.2307999999999999</v>
          </cell>
        </row>
        <row r="83">
          <cell r="A83" t="str">
            <v>MA</v>
          </cell>
          <cell r="D83" t="str">
            <v>USD</v>
          </cell>
          <cell r="E83">
            <v>45954.997747291403</v>
          </cell>
          <cell r="F83">
            <v>573.77</v>
          </cell>
          <cell r="G83">
            <v>577.24</v>
          </cell>
          <cell r="H83">
            <v>573.66999999999996</v>
          </cell>
          <cell r="I83">
            <v>573.08000000000004</v>
          </cell>
          <cell r="J83">
            <v>580.82000000000005</v>
          </cell>
          <cell r="K83">
            <v>38.694499999999998</v>
          </cell>
          <cell r="L83">
            <v>-0.1</v>
          </cell>
          <cell r="M83">
            <v>-1.7430000000000001E-4</v>
          </cell>
          <cell r="N83">
            <v>465.59</v>
          </cell>
          <cell r="O83">
            <v>601.77</v>
          </cell>
          <cell r="P83">
            <v>1839794</v>
          </cell>
          <cell r="Q83">
            <v>2791056</v>
          </cell>
          <cell r="R83">
            <v>0.92759999999999998</v>
          </cell>
        </row>
        <row r="84">
          <cell r="A84" t="str">
            <v>NVAX</v>
          </cell>
          <cell r="D84" t="str">
            <v>USD</v>
          </cell>
          <cell r="E84">
            <v>45954.999671608595</v>
          </cell>
          <cell r="F84">
            <v>8.36</v>
          </cell>
          <cell r="G84">
            <v>8.59</v>
          </cell>
          <cell r="H84">
            <v>8.52</v>
          </cell>
          <cell r="I84">
            <v>8.4250000000000007</v>
          </cell>
          <cell r="J84">
            <v>8.65</v>
          </cell>
          <cell r="K84">
            <v>3.6551</v>
          </cell>
          <cell r="L84">
            <v>0.16</v>
          </cell>
          <cell r="M84">
            <v>1.9139E-2</v>
          </cell>
          <cell r="N84">
            <v>5.01</v>
          </cell>
          <cell r="O84">
            <v>11.55</v>
          </cell>
          <cell r="P84">
            <v>2759559</v>
          </cell>
          <cell r="Q84">
            <v>4590823</v>
          </cell>
          <cell r="R84">
            <v>2.6943000000000001</v>
          </cell>
        </row>
        <row r="85">
          <cell r="A85" t="str">
            <v>NVS</v>
          </cell>
          <cell r="D85" t="str">
            <v>USD</v>
          </cell>
          <cell r="E85">
            <v>45954.996331735936</v>
          </cell>
          <cell r="F85">
            <v>131.63999999999999</v>
          </cell>
          <cell r="G85">
            <v>131.53</v>
          </cell>
          <cell r="H85">
            <v>130.36000000000001</v>
          </cell>
          <cell r="I85">
            <v>130.28</v>
          </cell>
          <cell r="J85">
            <v>131.54</v>
          </cell>
          <cell r="K85">
            <v>19.188099999999999</v>
          </cell>
          <cell r="L85">
            <v>-1.28</v>
          </cell>
          <cell r="M85">
            <v>-9.7230000000000007E-3</v>
          </cell>
          <cell r="N85">
            <v>96.061999999999998</v>
          </cell>
          <cell r="O85">
            <v>133.55000000000001</v>
          </cell>
          <cell r="P85">
            <v>1219978</v>
          </cell>
          <cell r="Q85">
            <v>1506506</v>
          </cell>
          <cell r="R85">
            <v>0.60289999999999999</v>
          </cell>
        </row>
        <row r="86">
          <cell r="A86" t="str">
            <v>ORA</v>
          </cell>
          <cell r="D86" t="str">
            <v>EUR</v>
          </cell>
          <cell r="E86">
            <v>45954.666666666664</v>
          </cell>
          <cell r="F86">
            <v>14.15</v>
          </cell>
          <cell r="G86">
            <v>14.13</v>
          </cell>
          <cell r="H86">
            <v>13.92</v>
          </cell>
          <cell r="I86">
            <v>13.805</v>
          </cell>
          <cell r="J86">
            <v>14.16</v>
          </cell>
          <cell r="K86">
            <v>44.693600000000004</v>
          </cell>
          <cell r="L86">
            <v>-0.23</v>
          </cell>
          <cell r="M86">
            <v>-1.6254000000000001E-2</v>
          </cell>
          <cell r="N86">
            <v>9.3699999999999992</v>
          </cell>
          <cell r="O86">
            <v>14.56</v>
          </cell>
          <cell r="P86">
            <v>3783933</v>
          </cell>
          <cell r="Q86">
            <v>3965280</v>
          </cell>
          <cell r="R86">
            <v>0.30830000000000002</v>
          </cell>
        </row>
        <row r="87">
          <cell r="A87" t="str">
            <v>OXY</v>
          </cell>
          <cell r="D87" t="str">
            <v>USD</v>
          </cell>
          <cell r="E87">
            <v>45954.999583876561</v>
          </cell>
          <cell r="F87">
            <v>42.88</v>
          </cell>
          <cell r="G87">
            <v>43</v>
          </cell>
          <cell r="H87">
            <v>42.57</v>
          </cell>
          <cell r="I87">
            <v>42.53</v>
          </cell>
          <cell r="J87">
            <v>43.174999999999997</v>
          </cell>
          <cell r="K87">
            <v>25.258299999999998</v>
          </cell>
          <cell r="L87">
            <v>-0.31</v>
          </cell>
          <cell r="M87">
            <v>-7.2290000000000002E-3</v>
          </cell>
          <cell r="N87">
            <v>34.784999999999997</v>
          </cell>
          <cell r="O87">
            <v>53.2</v>
          </cell>
          <cell r="P87">
            <v>7213344</v>
          </cell>
          <cell r="Q87">
            <v>12465373</v>
          </cell>
          <cell r="R87">
            <v>0.92989999999999995</v>
          </cell>
        </row>
        <row r="88">
          <cell r="A88" t="str">
            <v>PFE</v>
          </cell>
          <cell r="D88" t="str">
            <v>USD</v>
          </cell>
          <cell r="E88">
            <v>45954.999986191404</v>
          </cell>
          <cell r="F88">
            <v>24.67</v>
          </cell>
          <cell r="G88">
            <v>24.695</v>
          </cell>
          <cell r="H88">
            <v>24.76</v>
          </cell>
          <cell r="I88">
            <v>24.68</v>
          </cell>
          <cell r="J88">
            <v>24.829000000000001</v>
          </cell>
          <cell r="K88">
            <v>17.8902</v>
          </cell>
          <cell r="L88">
            <v>0.09</v>
          </cell>
          <cell r="M88">
            <v>3.6480000000000002E-3</v>
          </cell>
          <cell r="N88">
            <v>20.914999999999999</v>
          </cell>
          <cell r="O88">
            <v>29.17</v>
          </cell>
          <cell r="P88">
            <v>27429169</v>
          </cell>
          <cell r="Q88">
            <v>58770627</v>
          </cell>
          <cell r="R88">
            <v>0.5091</v>
          </cell>
        </row>
        <row r="89">
          <cell r="A89" t="str">
            <v>RIG</v>
          </cell>
          <cell r="D89" t="str">
            <v>USD</v>
          </cell>
          <cell r="E89">
            <v>45954.999287060156</v>
          </cell>
          <cell r="F89">
            <v>3.89</v>
          </cell>
          <cell r="G89">
            <v>3.9</v>
          </cell>
          <cell r="H89">
            <v>3.9</v>
          </cell>
          <cell r="I89">
            <v>3.87</v>
          </cell>
          <cell r="J89">
            <v>4.07</v>
          </cell>
          <cell r="K89">
            <v>99</v>
          </cell>
          <cell r="L89">
            <v>0.01</v>
          </cell>
          <cell r="M89">
            <v>2.5709999999999999E-3</v>
          </cell>
          <cell r="N89">
            <v>1.97</v>
          </cell>
          <cell r="O89">
            <v>4.74</v>
          </cell>
          <cell r="P89">
            <v>78302483</v>
          </cell>
          <cell r="Q89">
            <v>61973309</v>
          </cell>
          <cell r="R89">
            <v>2.6339999999999999</v>
          </cell>
        </row>
        <row r="90">
          <cell r="A90" t="str">
            <v>RRC</v>
          </cell>
          <cell r="D90" t="str">
            <v>USD</v>
          </cell>
          <cell r="E90">
            <v>45954.958333344533</v>
          </cell>
          <cell r="F90">
            <v>37.5</v>
          </cell>
          <cell r="G90">
            <v>37.85</v>
          </cell>
          <cell r="H90">
            <v>37.619999999999997</v>
          </cell>
          <cell r="I90">
            <v>37.25</v>
          </cell>
          <cell r="J90">
            <v>37.9</v>
          </cell>
          <cell r="K90">
            <v>33.628100000000003</v>
          </cell>
          <cell r="L90">
            <v>0.12</v>
          </cell>
          <cell r="M90">
            <v>3.2000000000000002E-3</v>
          </cell>
          <cell r="N90">
            <v>29.48</v>
          </cell>
          <cell r="O90">
            <v>43.5</v>
          </cell>
          <cell r="P90">
            <v>2676090</v>
          </cell>
          <cell r="Q90">
            <v>3128133</v>
          </cell>
          <cell r="R90">
            <v>0.50939999999999996</v>
          </cell>
        </row>
        <row r="91">
          <cell r="A91" t="str">
            <v>XYZ</v>
          </cell>
          <cell r="D91" t="str">
            <v>USD</v>
          </cell>
          <cell r="E91">
            <v>45954.99857752266</v>
          </cell>
          <cell r="F91">
            <v>78.56</v>
          </cell>
          <cell r="G91">
            <v>79.8</v>
          </cell>
          <cell r="H91">
            <v>79.540000000000006</v>
          </cell>
          <cell r="I91">
            <v>79.200500000000005</v>
          </cell>
          <cell r="J91">
            <v>80.38</v>
          </cell>
          <cell r="K91">
            <v>46.393000000000001</v>
          </cell>
          <cell r="L91">
            <v>0.98</v>
          </cell>
          <cell r="M91">
            <v>1.2475E-2</v>
          </cell>
          <cell r="N91">
            <v>44.27</v>
          </cell>
          <cell r="O91">
            <v>99.26</v>
          </cell>
          <cell r="P91">
            <v>3866928</v>
          </cell>
          <cell r="Q91">
            <v>6021253</v>
          </cell>
          <cell r="R91">
            <v>2.7320000000000002</v>
          </cell>
        </row>
        <row r="92">
          <cell r="A92" t="str">
            <v>THC</v>
          </cell>
          <cell r="D92" t="str">
            <v>USD</v>
          </cell>
          <cell r="E92">
            <v>45954.958333344533</v>
          </cell>
          <cell r="F92">
            <v>206.91</v>
          </cell>
          <cell r="G92">
            <v>209.51</v>
          </cell>
          <cell r="H92">
            <v>210.38</v>
          </cell>
          <cell r="I92">
            <v>203.15</v>
          </cell>
          <cell r="J92">
            <v>217.42500000000001</v>
          </cell>
          <cell r="K92">
            <v>13.6806</v>
          </cell>
          <cell r="L92">
            <v>3.47</v>
          </cell>
          <cell r="M92">
            <v>1.6771000000000001E-2</v>
          </cell>
          <cell r="N92">
            <v>109.82389999999999</v>
          </cell>
          <cell r="O92">
            <v>217.42500000000001</v>
          </cell>
          <cell r="P92">
            <v>1771985</v>
          </cell>
          <cell r="Q92">
            <v>986264</v>
          </cell>
          <cell r="R92">
            <v>1.5310999999999999</v>
          </cell>
        </row>
        <row r="93">
          <cell r="A93" t="str">
            <v>X</v>
          </cell>
          <cell r="D93" t="str">
            <v>USD</v>
          </cell>
          <cell r="E93">
            <v>45825.999177476566</v>
          </cell>
          <cell r="F93">
            <v>54.85</v>
          </cell>
          <cell r="G93">
            <v>54.83</v>
          </cell>
          <cell r="H93">
            <v>54.84</v>
          </cell>
          <cell r="I93">
            <v>54.78</v>
          </cell>
          <cell r="J93">
            <v>54.89</v>
          </cell>
          <cell r="K93">
            <v>186.1634</v>
          </cell>
          <cell r="L93">
            <v>0</v>
          </cell>
          <cell r="M93">
            <v>0</v>
          </cell>
          <cell r="N93">
            <v>26.914999999999999</v>
          </cell>
          <cell r="O93">
            <v>54.91</v>
          </cell>
          <cell r="P93">
            <v>876</v>
          </cell>
          <cell r="Q93">
            <v>12153533</v>
          </cell>
          <cell r="R93">
            <v>1.8781000000000001</v>
          </cell>
        </row>
        <row r="94">
          <cell r="A94" t="str">
            <v>JBEOAN</v>
          </cell>
          <cell r="D94" t="str">
            <v>EUR</v>
          </cell>
          <cell r="E94">
            <v>45954.770833333336</v>
          </cell>
          <cell r="F94">
            <v>16.035</v>
          </cell>
          <cell r="G94">
            <v>15.97</v>
          </cell>
          <cell r="H94">
            <v>16.085000000000001</v>
          </cell>
          <cell r="I94">
            <v>15.79</v>
          </cell>
          <cell r="J94">
            <v>16.085000000000001</v>
          </cell>
          <cell r="K94">
            <v>13.279500000000001</v>
          </cell>
          <cell r="L94">
            <v>0.05</v>
          </cell>
          <cell r="M94">
            <v>3.1180000000000001E-3</v>
          </cell>
          <cell r="N94">
            <v>10.435</v>
          </cell>
          <cell r="O94">
            <v>16.55</v>
          </cell>
          <cell r="P94">
            <v>3565315</v>
          </cell>
          <cell r="Q94">
            <v>3151380</v>
          </cell>
          <cell r="R94">
            <v>0.72009999999999996</v>
          </cell>
        </row>
        <row r="95">
          <cell r="A95" t="str">
            <v>LOCK</v>
          </cell>
          <cell r="E95">
            <v>45954.651621133591</v>
          </cell>
          <cell r="F95">
            <v>10.426</v>
          </cell>
          <cell r="G95">
            <v>10.486000000000001</v>
          </cell>
          <cell r="H95">
            <v>10.571999999999999</v>
          </cell>
          <cell r="I95">
            <v>10.486000000000001</v>
          </cell>
          <cell r="J95">
            <v>10.61</v>
          </cell>
          <cell r="K95">
            <v>99</v>
          </cell>
          <cell r="L95">
            <v>0.14599999999999999</v>
          </cell>
          <cell r="M95">
            <v>1.4003000000000002E-2</v>
          </cell>
          <cell r="N95">
            <v>7.351</v>
          </cell>
          <cell r="O95">
            <v>10.61</v>
          </cell>
          <cell r="P95">
            <v>87447</v>
          </cell>
          <cell r="Q95" t="e">
            <v>#VALUE!</v>
          </cell>
          <cell r="R95">
            <v>0.58640000000000003</v>
          </cell>
        </row>
        <row r="96">
          <cell r="A96" t="str">
            <v>Total</v>
          </cell>
          <cell r="L96">
            <v>0.62404946236559122</v>
          </cell>
          <cell r="M96">
            <v>0.31360900000000003</v>
          </cell>
          <cell r="P96">
            <v>452081061</v>
          </cell>
          <cell r="Q96" t="e">
            <v>#VALUE!</v>
          </cell>
        </row>
        <row r="99">
          <cell r="B99">
            <v>0.92469999999999997</v>
          </cell>
        </row>
      </sheetData>
      <sheetData sheetId="1"/>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8-20T12:27:21.055"/>
    </inkml:context>
    <inkml:brush xml:id="br0">
      <inkml:brushProperty name="width" value="0.05" units="cm"/>
      <inkml:brushProperty name="height" value="0.05" units="cm"/>
      <inkml:brushProperty name="color" value="#66CC00"/>
    </inkml:brush>
  </inkml:definitions>
  <inkml:trace contextRef="#ctx0" brushRef="#br0">0 0 24575,'0'0'0</inkml:trace>
</inkml:ink>
</file>

<file path=xl/persons/person.xml><?xml version="1.0" encoding="utf-8"?>
<personList xmlns="http://schemas.microsoft.com/office/spreadsheetml/2018/threadedcomments" xmlns:x="http://schemas.openxmlformats.org/spreadsheetml/2006/main">
  <person displayName="Kosta Yanev" id="{8A1DC52A-7F3B-174C-A58C-47297FBFA3B2}"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 c="204">
    <v t="i">1</v>
    <v t="i">2</v>
    <v t="i">5</v>
    <v t="i">6</v>
    <v t="i">7</v>
    <v t="i">9</v>
    <v t="i">12</v>
    <v t="i">13</v>
    <v t="i">14</v>
    <v t="i">15</v>
    <v t="i">16</v>
    <v t="i">20</v>
    <v t="i">21</v>
    <v t="i">22</v>
    <v t="i">23</v>
    <v t="i">26</v>
    <v t="i">27</v>
    <v t="i">28</v>
    <v t="i">29</v>
    <v t="i">30</v>
    <v t="i">33</v>
    <v t="i">34</v>
    <v t="i">35</v>
    <v t="i">36</v>
    <v t="i">37</v>
    <v t="i">40</v>
    <v t="i">41</v>
    <v t="i">42</v>
    <v t="i">43</v>
    <v t="i">44</v>
    <v t="i">48</v>
    <v t="i">49</v>
    <v t="i">50</v>
    <v t="i">51</v>
    <v t="i">54</v>
    <v t="i">55</v>
    <v t="i">56</v>
    <v t="i">57</v>
    <v t="i">58</v>
    <v t="i">61</v>
    <v t="i">62</v>
    <v t="i">63</v>
    <v t="i">64</v>
    <v t="i">65</v>
    <v t="i">68</v>
    <v t="i">69</v>
    <v t="i">70</v>
    <v t="i">71</v>
    <v t="i">72</v>
    <v t="i">75</v>
    <v t="i">76</v>
    <v t="i">77</v>
    <v t="i">78</v>
    <v t="i">79</v>
    <v t="i">82</v>
    <v t="i">83</v>
    <v t="i">84</v>
    <v t="i">85</v>
    <v t="i">86</v>
    <v t="i">89</v>
    <v t="i">90</v>
    <v t="i">91</v>
    <v t="i">92</v>
    <v t="i">93</v>
    <v t="i">96</v>
    <v t="i">97</v>
    <v t="i">98</v>
    <v t="i">99</v>
    <v t="i">100</v>
    <v t="i">103</v>
    <v t="i">104</v>
    <v t="i">105</v>
    <v t="i">106</v>
    <v t="i">110</v>
    <v t="i">111</v>
    <v t="i">112</v>
    <v t="i">113</v>
    <v t="i">114</v>
    <v t="i">117</v>
    <v t="i">118</v>
    <v t="i">119</v>
    <v t="i">120</v>
    <v t="i">121</v>
    <v t="i">124</v>
    <v t="i">125</v>
    <v t="i">126</v>
    <v t="i">127</v>
    <v t="i">128</v>
    <v t="i">131</v>
    <v t="i">132</v>
    <v t="i">133</v>
    <v t="i">134</v>
    <v t="i">135</v>
    <v t="i">138</v>
    <v t="i">139</v>
    <v t="i">140</v>
    <v t="i">141</v>
    <v t="i">142</v>
    <v t="i">146</v>
    <v t="i">147</v>
    <v t="i">148</v>
    <v t="i">149</v>
    <v t="i">152</v>
    <v t="i">153</v>
    <v t="i">154</v>
    <v t="i">155</v>
    <v t="i">156</v>
    <v t="i">159</v>
    <v t="i">160</v>
    <v t="i">161</v>
    <v t="i">162</v>
    <v t="i">163</v>
    <v t="i">166</v>
    <v t="i">167</v>
    <v t="i">168</v>
    <v t="i">170</v>
    <v t="i">173</v>
    <v t="i">174</v>
    <v t="i">175</v>
    <v t="i">176</v>
    <v t="i">177</v>
    <v t="i">180</v>
    <v t="i">181</v>
    <v t="i">182</v>
    <v t="i">183</v>
    <v t="i">187</v>
    <v t="i">188</v>
    <v t="i">189</v>
    <v t="i">190</v>
    <v t="i">191</v>
    <v t="i">194</v>
    <v t="i">195</v>
    <v t="i">196</v>
    <v t="i">197</v>
    <v t="i">198</v>
    <v t="i">201</v>
    <v t="i">202</v>
    <v t="i">203</v>
    <v t="i">204</v>
    <v t="i">205</v>
    <v t="i">208</v>
    <v t="i">209</v>
    <v t="i">210</v>
    <v t="i">211</v>
    <v t="i">212</v>
    <v t="i">215</v>
    <v t="i">216</v>
    <v t="i">217</v>
    <v t="i">218</v>
    <v t="i">219</v>
    <v t="i">222</v>
    <v t="i">223</v>
    <v t="i">224</v>
    <v t="i">225</v>
    <v t="i">226</v>
    <v t="i">229</v>
    <v t="i">230</v>
    <v t="i">231</v>
    <v t="i">232</v>
    <v t="i">233</v>
    <v t="i">236</v>
    <v t="i">237</v>
    <v t="i">238</v>
    <v t="i">239</v>
    <v t="i">240</v>
    <v t="i">244</v>
    <v t="i">245</v>
    <v t="i">246</v>
    <v t="i">247</v>
    <v t="i">250</v>
    <v t="i">251</v>
    <v t="i">252</v>
    <v t="i">253</v>
    <v t="i">254</v>
    <v t="i">257</v>
    <v t="i">258</v>
    <v t="i">259</v>
    <v t="i">260</v>
    <v t="i">261</v>
    <v t="i">264</v>
    <v t="i">265</v>
    <v t="i">266</v>
    <v t="i">267</v>
    <v t="i">268</v>
    <v t="i">271</v>
    <v t="i">272</v>
    <v t="i">273</v>
    <v t="i">274</v>
    <v t="i">275</v>
    <v t="i">278</v>
    <v t="i">279</v>
    <v t="i">280</v>
    <v t="i">281</v>
    <v t="i">282</v>
    <v t="i">285</v>
    <v t="i">286</v>
    <v t="i">287</v>
    <v t="i">288</v>
    <v t="i">289</v>
    <v t="i">292</v>
    <v t="i">293</v>
    <v t="i">294</v>
    <v t="i">295</v>
    <v t="i">296</v>
  </a>
  <a r="1" c="204">
    <v>886.73</v>
    <v>881.05</v>
    <v>881.79</v>
    <v>879.19</v>
    <v>875</v>
    <v>837.69</v>
    <v>840.29</v>
    <v>828.4</v>
    <v>848.26</v>
    <v>842.37</v>
    <v>858.1</v>
    <v>869.68</v>
    <v>953.99</v>
    <v>984.86</v>
    <v>977.59</v>
    <v>971.89</v>
    <v>971.83</v>
    <v>978.15</v>
    <v>973.24</v>
    <v>976.76</v>
    <v>978.94</v>
    <v>994.87</v>
    <v>1011.11</v>
    <v>1015.68</v>
    <v>1013.93</v>
    <v>1027.5999999999999</v>
    <v>1008.08</v>
    <v>1027.31</v>
    <v>1043.69</v>
    <v>1058.5999999999999</v>
    <v>1035.8499999999999</v>
    <v>1043.33</v>
    <v>1024.54</v>
    <v>1003.15</v>
    <v>988.47</v>
    <v>977.24</v>
    <v>990.06</v>
    <v>963.07</v>
    <v>980.56</v>
    <v>973.7</v>
    <v>972.58</v>
    <v>990.92</v>
    <v>906.36</v>
    <v>891.11</v>
    <v>866.68</v>
    <v>895.1</v>
    <v>919.68</v>
    <v>890.17</v>
    <v>918</v>
    <v>950.02</v>
    <v>929.98</v>
    <v>959.49</v>
    <v>950.84</v>
    <v>960.29</v>
    <v>971.99</v>
    <v>997.28</v>
    <v>970.65</v>
    <v>976.72</v>
    <v>933.85</v>
    <v>932.53</v>
    <v>928.38</v>
    <v>935.52</v>
    <v>917.05</v>
    <v>855.86</v>
    <v>867.83</v>
    <v>870.4</v>
    <v>945.47</v>
    <v>921.17</v>
    <v>918.29</v>
    <v>931.28</v>
    <v>976.28</v>
    <v>961.63</v>
    <v>973.03</v>
    <v>987.91</v>
    <v>1040.3399999999999</v>
    <v>1049.5899999999999</v>
    <v>1096.8699999999999</v>
    <v>1101.53</v>
    <v>1110.3800000000001</v>
    <v>1125.6400000000001</v>
    <v>1131.72</v>
    <v>1133.47</v>
    <v>1156.49</v>
    <v>1134.06</v>
    <v>1137.69</v>
    <v>1155.4100000000001</v>
    <v>1144.43</v>
    <v>1140.22</v>
    <v>1110</v>
    <v>1138.44</v>
    <v>1150.99</v>
    <v>1177.98</v>
    <v>1191.53</v>
    <v>1191.6400000000001</v>
    <v>1192.02</v>
    <v>1194.6300000000001</v>
    <v>1187.97</v>
    <v>1185.3900000000001</v>
    <v>1211.57</v>
    <v>1208.55</v>
    <v>1184.8599999999999</v>
    <v>1207.23</v>
    <v>1218.98</v>
    <v>1217.94</v>
    <v>1239.6600000000001</v>
    <v>1250.52</v>
    <v>1241.4749999999999</v>
    <v>1224.46</v>
    <v>1203.6199999999999</v>
    <v>1219.8800000000001</v>
    <v>1215.03</v>
    <v>1212.1500000000001</v>
    <v>1225.3499999999999</v>
    <v>1220.67</v>
    <v>1222.29</v>
    <v>1231.4100000000001</v>
    <v>1253.54</v>
    <v>1279.1099999999999</v>
    <v>1275.25</v>
    <v>1306.67</v>
    <v>1323.12</v>
    <v>1339.13</v>
    <v>1293.5999999999999</v>
    <v>1284.8599999999999</v>
    <v>1297.18</v>
    <v>1289.6199999999999</v>
    <v>1275.31</v>
    <v>1288.28</v>
    <v>1250.5899999999999</v>
    <v>1245.1099999999999</v>
    <v>1261.95</v>
    <v>1260.27</v>
    <v>1250.31</v>
    <v>1274.17</v>
    <v>1209.24</v>
    <v>1233.27</v>
    <v>1190.08</v>
    <v>1176.78</v>
    <v>1180.76</v>
    <v>1180.49</v>
    <v>1174.5999999999999</v>
    <v>1168.74</v>
    <v>1184.2</v>
    <v>1159.4000000000001</v>
    <v>1158.5999999999999</v>
    <v>1170.99</v>
    <v>1147.8699999999999</v>
    <v>1178.48</v>
    <v>1180.3699999999999</v>
    <v>1211.6400000000001</v>
    <v>1218.31</v>
    <v>1225.28</v>
    <v>1204.44</v>
    <v>1230.56</v>
    <v>1238.95</v>
    <v>1245.0899999999999</v>
    <v>1214.1500000000001</v>
    <v>1213.8599999999999</v>
    <v>1206.21</v>
    <v>1204.6500000000001</v>
    <v>1218.07</v>
    <v>1226.0899999999999</v>
    <v>1223.5</v>
    <v>1231.45</v>
    <v>1208.25</v>
    <v>1214.1099999999999</v>
    <v>1226.18</v>
    <v>1257.48</v>
    <v>1243.82</v>
    <v>1244.76</v>
    <v>1263.25</v>
    <v>1247.71</v>
    <v>1203.5</v>
    <v>1188.44</v>
    <v>1202.26</v>
    <v>1200.51</v>
    <v>1228.5</v>
    <v>1207.78</v>
    <v>1226.97</v>
    <v>1227.3699999999999</v>
    <v>1218.47</v>
    <v>1203.95</v>
    <v>1208.24</v>
    <v>1210.6099999999999</v>
    <v>1206.4100000000001</v>
    <v>1198.92</v>
    <v>1170.9000000000001</v>
    <v>1162.53</v>
    <v>1153.32</v>
    <v>1163.31</v>
    <v>1191.06</v>
    <v>1214.25</v>
    <v>1231.07</v>
    <v>1220.08</v>
    <v>1219.03</v>
    <v>1215.3499999999999</v>
    <v>1203.29</v>
    <v>1183.5899999999999</v>
    <v>1199.3599999999999</v>
    <v>1238.56</v>
    <v>1241.3499999999999</v>
    <v>1116.3699999999999</v>
    <v>1113.5899999999999</v>
    <v>1094.69</v>
  </a>
</arrayData>
</file>

<file path=xl/richData/rdrichvalue.xml><?xml version="1.0" encoding="utf-8"?>
<rvData xmlns="http://schemas.microsoft.com/office/spreadsheetml/2017/richdata" count="413">
  <rv s="0">
    <fb>45954</fb>
    <v>0</v>
  </rv>
  <rv s="0">
    <fb>1094.69</fb>
    <v>1</v>
  </rv>
  <rv s="0">
    <fb>45659</fb>
    <v>0</v>
  </rv>
  <rv s="0">
    <fb>886.73</fb>
    <v>1</v>
  </rv>
  <rv s="0">
    <fb>45953</fb>
    <v>0</v>
  </rv>
  <rv s="0">
    <fb>1113.5899999999999</fb>
    <v>1</v>
  </rv>
  <rv s="0">
    <fb>45660</fb>
    <v>0</v>
  </rv>
  <rv s="0">
    <fb>881.05</fb>
    <v>1</v>
  </rv>
  <rv s="0">
    <fb>45952</fb>
    <v>0</v>
  </rv>
  <rv s="0">
    <fb>1116.3699999999999</fb>
    <v>1</v>
  </rv>
  <rv s="0">
    <fb>45663</fb>
    <v>0</v>
  </rv>
  <rv s="0">
    <fb>881.79</fb>
    <v>1</v>
  </rv>
  <rv s="0">
    <fb>45951</fb>
    <v>0</v>
  </rv>
  <rv s="0">
    <fb>1241.3499999999999</fb>
    <v>1</v>
  </rv>
  <rv s="0">
    <fb>45664</fb>
    <v>0</v>
  </rv>
  <rv s="0">
    <fb>879.19</fb>
    <v>1</v>
  </rv>
  <rv s="0">
    <fb>45950</fb>
    <v>0</v>
  </rv>
  <rv s="0">
    <fb>1238.56</fb>
    <v>1</v>
  </rv>
  <rv s="0">
    <fb>45665</fb>
    <v>0</v>
  </rv>
  <rv s="0">
    <fb>875</fb>
    <v>1</v>
  </rv>
  <rv s="0">
    <fb>45947</fb>
    <v>0</v>
  </rv>
  <rv s="0">
    <fb>1199.3599999999999</fb>
    <v>1</v>
  </rv>
  <rv s="0">
    <fb>45667</fb>
    <v>0</v>
  </rv>
  <rv s="0">
    <fb>837.69</fb>
    <v>1</v>
  </rv>
  <rv s="0">
    <fb>45946</fb>
    <v>0</v>
  </rv>
  <rv s="0">
    <fb>1183.5899999999999</fb>
    <v>1</v>
  </rv>
  <rv s="0">
    <fb>45670</fb>
    <v>0</v>
  </rv>
  <rv s="0">
    <fb>840.29</fb>
    <v>1</v>
  </rv>
  <rv s="0">
    <fb>45945</fb>
    <v>0</v>
  </rv>
  <rv s="0">
    <fb>1203.29</fb>
    <v>1</v>
  </rv>
  <rv s="0">
    <fb>45671</fb>
    <v>0</v>
  </rv>
  <rv s="0">
    <fb>828.4</fb>
    <v>1</v>
  </rv>
  <rv s="0">
    <fb>45944</fb>
    <v>0</v>
  </rv>
  <rv s="0">
    <fb>1215.3499999999999</fb>
    <v>1</v>
  </rv>
  <rv s="0">
    <fb>45672</fb>
    <v>0</v>
  </rv>
  <rv s="0">
    <fb>848.26</fb>
    <v>1</v>
  </rv>
  <rv s="0">
    <fb>45943</fb>
    <v>0</v>
  </rv>
  <rv s="0">
    <fb>1219.03</fb>
    <v>1</v>
  </rv>
  <rv s="1">
    <v>13</v>
    <v>3</v>
  </rv>
  <rv s="0">
    <fb>45673</fb>
    <v>0</v>
  </rv>
  <rv s="0">
    <fb>842.37</fb>
    <v>1</v>
  </rv>
  <rv s="0">
    <fb>45940</fb>
    <v>0</v>
  </rv>
  <rv s="0">
    <fb>1220.08</fb>
    <v>1</v>
  </rv>
  <rv s="0">
    <fb>45674</fb>
    <v>0</v>
  </rv>
  <rv s="0">
    <fb>858.1</fb>
    <v>1</v>
  </rv>
  <rv s="0">
    <fb>45939</fb>
    <v>0</v>
  </rv>
  <rv s="0">
    <fb>1231.07</fb>
    <v>1</v>
  </rv>
  <rv s="0">
    <fb>45678</fb>
    <v>0</v>
  </rv>
  <rv s="0">
    <fb>869.68</fb>
    <v>1</v>
  </rv>
  <rv s="0">
    <fb>45938</fb>
    <v>0</v>
  </rv>
  <rv s="0">
    <fb>1214.25</fb>
    <v>1</v>
  </rv>
  <rv s="0">
    <fb>45679</fb>
    <v>0</v>
  </rv>
  <rv s="0">
    <fb>953.99</fb>
    <v>1</v>
  </rv>
  <rv s="0">
    <fb>45937</fb>
    <v>0</v>
  </rv>
  <rv s="0">
    <fb>1191.06</fb>
    <v>1</v>
  </rv>
  <rv s="0">
    <fb>45680</fb>
    <v>0</v>
  </rv>
  <rv s="0">
    <fb>984.86</fb>
    <v>1</v>
  </rv>
  <rv s="0">
    <fb>45936</fb>
    <v>0</v>
  </rv>
  <rv s="0">
    <fb>1163.31</fb>
    <v>1</v>
  </rv>
  <rv s="0">
    <fb>45681</fb>
    <v>0</v>
  </rv>
  <rv s="0">
    <fb>977.59</fb>
    <v>1</v>
  </rv>
  <rv s="0">
    <fb>45933</fb>
    <v>0</v>
  </rv>
  <rv s="0">
    <fb>1153.32</fb>
    <v>1</v>
  </rv>
  <rv s="0">
    <fb>45684</fb>
    <v>0</v>
  </rv>
  <rv s="0">
    <fb>971.89</fb>
    <v>1</v>
  </rv>
  <rv s="0">
    <fb>45932</fb>
    <v>0</v>
  </rv>
  <rv s="0">
    <fb>1162.53</fb>
    <v>1</v>
  </rv>
  <rv s="0">
    <fb>45685</fb>
    <v>0</v>
  </rv>
  <rv s="0">
    <fb>971.83</fb>
    <v>1</v>
  </rv>
  <rv s="0">
    <fb>45931</fb>
    <v>0</v>
  </rv>
  <rv s="0">
    <fb>1170.9000000000001</fb>
    <v>1</v>
  </rv>
  <rv s="0">
    <fb>45686</fb>
    <v>0</v>
  </rv>
  <rv s="0">
    <fb>978.15</fb>
    <v>1</v>
  </rv>
  <rv s="0">
    <fb>45930</fb>
    <v>0</v>
  </rv>
  <rv s="0">
    <fb>1198.92</fb>
    <v>1</v>
  </rv>
  <rv s="0">
    <fb>45687</fb>
    <v>0</v>
  </rv>
  <rv s="0">
    <fb>973.24</fb>
    <v>1</v>
  </rv>
  <rv s="0">
    <fb>45929</fb>
    <v>0</v>
  </rv>
  <rv s="0">
    <fb>1206.4100000000001</fb>
    <v>1</v>
  </rv>
  <rv s="0">
    <fb>45688</fb>
    <v>0</v>
  </rv>
  <rv s="0">
    <fb>976.76</fb>
    <v>1</v>
  </rv>
  <rv s="0">
    <fb>45926</fb>
    <v>0</v>
  </rv>
  <rv s="0">
    <fb>1210.6099999999999</fb>
    <v>1</v>
  </rv>
  <rv s="0">
    <fb>45691</fb>
    <v>0</v>
  </rv>
  <rv s="0">
    <fb>978.94</fb>
    <v>1</v>
  </rv>
  <rv s="0">
    <fb>45925</fb>
    <v>0</v>
  </rv>
  <rv s="0">
    <fb>1208.24</fb>
    <v>1</v>
  </rv>
  <rv s="0">
    <fb>45692</fb>
    <v>0</v>
  </rv>
  <rv s="0">
    <fb>994.87</fb>
    <v>1</v>
  </rv>
  <rv s="0">
    <fb>45924</fb>
    <v>0</v>
  </rv>
  <rv s="0">
    <fb>1203.95</fb>
    <v>1</v>
  </rv>
  <rv s="0">
    <fb>45693</fb>
    <v>0</v>
  </rv>
  <rv s="0">
    <fb>1011.11</fb>
    <v>1</v>
  </rv>
  <rv s="0">
    <fb>45923</fb>
    <v>0</v>
  </rv>
  <rv s="0">
    <fb>1218.47</fb>
    <v>1</v>
  </rv>
  <rv s="0">
    <fb>45694</fb>
    <v>0</v>
  </rv>
  <rv s="0">
    <fb>1015.68</fb>
    <v>1</v>
  </rv>
  <rv s="0">
    <fb>45922</fb>
    <v>0</v>
  </rv>
  <rv s="0">
    <fb>1227.3699999999999</fb>
    <v>1</v>
  </rv>
  <rv s="0">
    <fb>45695</fb>
    <v>0</v>
  </rv>
  <rv s="0">
    <fb>1013.93</fb>
    <v>1</v>
  </rv>
  <rv s="0">
    <fb>45919</fb>
    <v>0</v>
  </rv>
  <rv s="0">
    <fb>1226.97</fb>
    <v>1</v>
  </rv>
  <rv s="0">
    <fb>45698</fb>
    <v>0</v>
  </rv>
  <rv s="0">
    <fb>1027.5999999999999</fb>
    <v>1</v>
  </rv>
  <rv s="0">
    <fb>45918</fb>
    <v>0</v>
  </rv>
  <rv s="0">
    <fb>1207.78</fb>
    <v>1</v>
  </rv>
  <rv s="0">
    <fb>45699</fb>
    <v>0</v>
  </rv>
  <rv s="0">
    <fb>1008.08</fb>
    <v>1</v>
  </rv>
  <rv s="0">
    <fb>45917</fb>
    <v>0</v>
  </rv>
  <rv s="0">
    <fb>1228.5</fb>
    <v>1</v>
  </rv>
  <rv s="0">
    <fb>45700</fb>
    <v>0</v>
  </rv>
  <rv s="0">
    <fb>1027.31</fb>
    <v>1</v>
  </rv>
  <rv s="0">
    <fb>45916</fb>
    <v>0</v>
  </rv>
  <rv s="0">
    <fb>1200.51</fb>
    <v>1</v>
  </rv>
  <rv s="0">
    <fb>45701</fb>
    <v>0</v>
  </rv>
  <rv s="0">
    <fb>1043.69</fb>
    <v>1</v>
  </rv>
  <rv s="0">
    <fb>45915</fb>
    <v>0</v>
  </rv>
  <rv s="0">
    <fb>1202.26</fb>
    <v>1</v>
  </rv>
  <rv s="0">
    <fb>45702</fb>
    <v>0</v>
  </rv>
  <rv s="0">
    <fb>1058.5999999999999</fb>
    <v>1</v>
  </rv>
  <rv s="0">
    <fb>45912</fb>
    <v>0</v>
  </rv>
  <rv s="0">
    <fb>1188.44</fb>
    <v>1</v>
  </rv>
  <rv s="0">
    <fb>45706</fb>
    <v>0</v>
  </rv>
  <rv s="0">
    <fb>1035.8499999999999</fb>
    <v>1</v>
  </rv>
  <rv s="0">
    <fb>45911</fb>
    <v>0</v>
  </rv>
  <rv s="0">
    <fb>1203.5</fb>
    <v>1</v>
  </rv>
  <rv s="2">
    <v>13</v>
    <v>1</v>
  </rv>
  <rv s="0">
    <fb>45707</fb>
    <v>0</v>
  </rv>
  <rv s="0">
    <fb>1043.33</fb>
    <v>1</v>
  </rv>
  <rv s="0">
    <fb>45910</fb>
    <v>0</v>
  </rv>
  <rv s="0">
    <fb>1247.71</fb>
    <v>1</v>
  </rv>
  <rv s="0">
    <fb>45708</fb>
    <v>0</v>
  </rv>
  <rv s="0">
    <fb>1024.54</fb>
    <v>1</v>
  </rv>
  <rv s="0">
    <fb>45909</fb>
    <v>0</v>
  </rv>
  <rv s="0">
    <fb>1263.25</fb>
    <v>1</v>
  </rv>
  <rv s="0">
    <fb>45709</fb>
    <v>0</v>
  </rv>
  <rv s="0">
    <fb>1003.15</fb>
    <v>1</v>
  </rv>
  <rv s="0">
    <fb>45908</fb>
    <v>0</v>
  </rv>
  <rv s="0">
    <fb>1244.76</fb>
    <v>1</v>
  </rv>
  <rv s="0">
    <fb>45712</fb>
    <v>0</v>
  </rv>
  <rv s="0">
    <fb>988.47</fb>
    <v>1</v>
  </rv>
  <rv s="0">
    <fb>45905</fb>
    <v>0</v>
  </rv>
  <rv s="0">
    <fb>1243.82</fb>
    <v>1</v>
  </rv>
  <rv s="0">
    <fb>45713</fb>
    <v>0</v>
  </rv>
  <rv s="0">
    <fb>977.24</fb>
    <v>1</v>
  </rv>
  <rv s="0">
    <fb>45904</fb>
    <v>0</v>
  </rv>
  <rv s="0">
    <fb>1257.48</fb>
    <v>1</v>
  </rv>
  <rv s="0">
    <fb>45714</fb>
    <v>0</v>
  </rv>
  <rv s="0">
    <fb>990.06</fb>
    <v>1</v>
  </rv>
  <rv s="0">
    <fb>45903</fb>
    <v>0</v>
  </rv>
  <rv s="0">
    <fb>1226.18</fb>
    <v>1</v>
  </rv>
  <rv s="0">
    <fb>45715</fb>
    <v>0</v>
  </rv>
  <rv s="0">
    <fb>963.07</fb>
    <v>1</v>
  </rv>
  <rv s="0">
    <fb>45902</fb>
    <v>0</v>
  </rv>
  <rv s="0">
    <fb>1214.1099999999999</fb>
    <v>1</v>
  </rv>
  <rv s="0">
    <fb>45716</fb>
    <v>0</v>
  </rv>
  <rv s="0">
    <fb>980.56</fb>
    <v>1</v>
  </rv>
  <rv s="0">
    <fb>45898</fb>
    <v>0</v>
  </rv>
  <rv s="0">
    <fb>1208.25</fb>
    <v>1</v>
  </rv>
  <rv s="0">
    <fb>45719</fb>
    <v>0</v>
  </rv>
  <rv s="0">
    <fb>973.7</fb>
    <v>1</v>
  </rv>
  <rv s="0">
    <fb>45897</fb>
    <v>0</v>
  </rv>
  <rv s="0">
    <fb>1231.45</fb>
    <v>1</v>
  </rv>
  <rv s="0">
    <fb>45720</fb>
    <v>0</v>
  </rv>
  <rv s="0">
    <fb>972.58</fb>
    <v>1</v>
  </rv>
  <rv s="0">
    <fb>45896</fb>
    <v>0</v>
  </rv>
  <rv s="0">
    <fb>1223.5</fb>
    <v>1</v>
  </rv>
  <rv s="0">
    <fb>45721</fb>
    <v>0</v>
  </rv>
  <rv s="0">
    <fb>990.92</fb>
    <v>1</v>
  </rv>
  <rv s="0">
    <fb>45895</fb>
    <v>0</v>
  </rv>
  <rv s="0">
    <fb>1226.0899999999999</fb>
    <v>1</v>
  </rv>
  <rv s="0">
    <fb>45722</fb>
    <v>0</v>
  </rv>
  <rv s="0">
    <fb>906.36</fb>
    <v>1</v>
  </rv>
  <rv s="0">
    <fb>45894</fb>
    <v>0</v>
  </rv>
  <rv s="0">
    <fb>1218.07</fb>
    <v>1</v>
  </rv>
  <rv s="0">
    <fb>45723</fb>
    <v>0</v>
  </rv>
  <rv s="0">
    <fb>891.11</fb>
    <v>1</v>
  </rv>
  <rv s="0">
    <fb>45891</fb>
    <v>0</v>
  </rv>
  <rv s="0">
    <fb>1204.6500000000001</fb>
    <v>1</v>
  </rv>
  <rv s="0">
    <fb>45726</fb>
    <v>0</v>
  </rv>
  <rv s="0">
    <fb>866.68</fb>
    <v>1</v>
  </rv>
  <rv s="0">
    <fb>45890</fb>
    <v>0</v>
  </rv>
  <rv s="0">
    <fb>1206.21</fb>
    <v>1</v>
  </rv>
  <rv s="0">
    <fb>45727</fb>
    <v>0</v>
  </rv>
  <rv s="0">
    <fb>895.1</fb>
    <v>1</v>
  </rv>
  <rv s="0">
    <fb>45889</fb>
    <v>0</v>
  </rv>
  <rv s="0">
    <fb>1213.8599999999999</fb>
    <v>1</v>
  </rv>
  <rv s="0">
    <fb>45728</fb>
    <v>0</v>
  </rv>
  <rv s="0">
    <fb>919.68</fb>
    <v>1</v>
  </rv>
  <rv s="0">
    <fb>45888</fb>
    <v>0</v>
  </rv>
  <rv s="0">
    <fb>1214.1500000000001</fb>
    <v>1</v>
  </rv>
  <rv s="0">
    <fb>45729</fb>
    <v>0</v>
  </rv>
  <rv s="0">
    <fb>890.17</fb>
    <v>1</v>
  </rv>
  <rv s="0">
    <fb>45887</fb>
    <v>0</v>
  </rv>
  <rv s="0">
    <fb>1245.0899999999999</fb>
    <v>1</v>
  </rv>
  <rv s="0">
    <fb>45730</fb>
    <v>0</v>
  </rv>
  <rv s="0">
    <fb>918</fb>
    <v>1</v>
  </rv>
  <rv s="0">
    <fb>45884</fb>
    <v>0</v>
  </rv>
  <rv s="0">
    <fb>1238.95</fb>
    <v>1</v>
  </rv>
  <rv s="0">
    <fb>45733</fb>
    <v>0</v>
  </rv>
  <rv s="0">
    <fb>950.02</fb>
    <v>1</v>
  </rv>
  <rv s="0">
    <fb>45883</fb>
    <v>0</v>
  </rv>
  <rv s="0">
    <fb>1230.56</fb>
    <v>1</v>
  </rv>
  <rv s="0">
    <fb>45734</fb>
    <v>0</v>
  </rv>
  <rv s="0">
    <fb>929.98</fb>
    <v>1</v>
  </rv>
  <rv s="0">
    <fb>45882</fb>
    <v>0</v>
  </rv>
  <rv s="0">
    <fb>1204.44</fb>
    <v>1</v>
  </rv>
  <rv s="0">
    <fb>45735</fb>
    <v>0</v>
  </rv>
  <rv s="0">
    <fb>959.49</fb>
    <v>1</v>
  </rv>
  <rv s="0">
    <fb>45881</fb>
    <v>0</v>
  </rv>
  <rv s="0">
    <fb>1225.28</fb>
    <v>1</v>
  </rv>
  <rv s="0">
    <fb>45736</fb>
    <v>0</v>
  </rv>
  <rv s="0">
    <fb>950.84</fb>
    <v>1</v>
  </rv>
  <rv s="0">
    <fb>45880</fb>
    <v>0</v>
  </rv>
  <rv s="0">
    <fb>1218.31</fb>
    <v>1</v>
  </rv>
  <rv s="0">
    <fb>45737</fb>
    <v>0</v>
  </rv>
  <rv s="0">
    <fb>960.29</fb>
    <v>1</v>
  </rv>
  <rv s="0">
    <fb>45877</fb>
    <v>0</v>
  </rv>
  <rv s="0">
    <fb>1211.6400000000001</fb>
    <v>1</v>
  </rv>
  <rv s="0">
    <fb>45740</fb>
    <v>0</v>
  </rv>
  <rv s="0">
    <fb>971.99</fb>
    <v>1</v>
  </rv>
  <rv s="0">
    <fb>45876</fb>
    <v>0</v>
  </rv>
  <rv s="0">
    <fb>1180.3699999999999</fb>
    <v>1</v>
  </rv>
  <rv s="0">
    <fb>45741</fb>
    <v>0</v>
  </rv>
  <rv s="0">
    <fb>997.28</fb>
    <v>1</v>
  </rv>
  <rv s="0">
    <fb>45875</fb>
    <v>0</v>
  </rv>
  <rv s="0">
    <fb>1178.48</fb>
    <v>1</v>
  </rv>
  <rv s="0">
    <fb>45742</fb>
    <v>0</v>
  </rv>
  <rv s="0">
    <fb>970.65</fb>
    <v>1</v>
  </rv>
  <rv s="0">
    <fb>45874</fb>
    <v>0</v>
  </rv>
  <rv s="0">
    <fb>1147.8699999999999</fb>
    <v>1</v>
  </rv>
  <rv s="0">
    <fb>45743</fb>
    <v>0</v>
  </rv>
  <rv s="0">
    <fb>976.72</fb>
    <v>1</v>
  </rv>
  <rv s="0">
    <fb>45873</fb>
    <v>0</v>
  </rv>
  <rv s="0">
    <fb>1170.99</fb>
    <v>1</v>
  </rv>
  <rv s="0">
    <fb>45744</fb>
    <v>0</v>
  </rv>
  <rv s="0">
    <fb>933.85</fb>
    <v>1</v>
  </rv>
  <rv s="0">
    <fb>45870</fb>
    <v>0</v>
  </rv>
  <rv s="0">
    <fb>1158.5999999999999</fb>
    <v>1</v>
  </rv>
  <rv s="0">
    <fb>45747</fb>
    <v>0</v>
  </rv>
  <rv s="0">
    <fb>932.53</fb>
    <v>1</v>
  </rv>
  <rv s="0">
    <fb>45869</fb>
    <v>0</v>
  </rv>
  <rv s="0">
    <fb>1159.4000000000001</fb>
    <v>1</v>
  </rv>
  <rv s="0">
    <fb>45748</fb>
    <v>0</v>
  </rv>
  <rv s="0">
    <fb>928.38</fb>
    <v>1</v>
  </rv>
  <rv s="0">
    <fb>45868</fb>
    <v>0</v>
  </rv>
  <rv s="0">
    <fb>1184.2</fb>
    <v>1</v>
  </rv>
  <rv s="0">
    <fb>45749</fb>
    <v>0</v>
  </rv>
  <rv s="0">
    <fb>935.52</fb>
    <v>1</v>
  </rv>
  <rv s="0">
    <fb>45867</fb>
    <v>0</v>
  </rv>
  <rv s="0">
    <fb>1168.74</fb>
    <v>1</v>
  </rv>
  <rv s="0">
    <fb>45750</fb>
    <v>0</v>
  </rv>
  <rv s="0">
    <fb>917.05</fb>
    <v>1</v>
  </rv>
  <rv s="0">
    <fb>45866</fb>
    <v>0</v>
  </rv>
  <rv s="0">
    <fb>1174.5999999999999</fb>
    <v>1</v>
  </rv>
  <rv s="0">
    <fb>45751</fb>
    <v>0</v>
  </rv>
  <rv s="0">
    <fb>855.86</fb>
    <v>1</v>
  </rv>
  <rv s="0">
    <fb>45863</fb>
    <v>0</v>
  </rv>
  <rv s="0">
    <fb>1180.49</fb>
    <v>1</v>
  </rv>
  <rv s="0">
    <fb>45754</fb>
    <v>0</v>
  </rv>
  <rv s="0">
    <fb>867.83</fb>
    <v>1</v>
  </rv>
  <rv s="0">
    <fb>45862</fb>
    <v>0</v>
  </rv>
  <rv s="0">
    <fb>1180.76</fb>
    <v>1</v>
  </rv>
  <rv s="0">
    <fb>45755</fb>
    <v>0</v>
  </rv>
  <rv s="0">
    <fb>870.4</fb>
    <v>1</v>
  </rv>
  <rv s="0">
    <fb>45861</fb>
    <v>0</v>
  </rv>
  <rv s="0">
    <fb>1176.78</fb>
    <v>1</v>
  </rv>
  <rv s="0">
    <fb>45756</fb>
    <v>0</v>
  </rv>
  <rv s="0">
    <fb>945.47</fb>
    <v>1</v>
  </rv>
  <rv s="0">
    <fb>45860</fb>
    <v>0</v>
  </rv>
  <rv s="0">
    <fb>1190.08</fb>
    <v>1</v>
  </rv>
  <rv s="0">
    <fb>45757</fb>
    <v>0</v>
  </rv>
  <rv s="0">
    <fb>921.17</fb>
    <v>1</v>
  </rv>
  <rv s="0">
    <fb>45859</fb>
    <v>0</v>
  </rv>
  <rv s="0">
    <fb>1233.27</fb>
    <v>1</v>
  </rv>
  <rv s="0">
    <fb>45758</fb>
    <v>0</v>
  </rv>
  <rv s="0">
    <fb>918.29</fb>
    <v>1</v>
  </rv>
  <rv s="0">
    <fb>45856</fb>
    <v>0</v>
  </rv>
  <rv s="0">
    <fb>1209.24</fb>
    <v>1</v>
  </rv>
  <rv s="0">
    <fb>45761</fb>
    <v>0</v>
  </rv>
  <rv s="0">
    <fb>931.28</fb>
    <v>1</v>
  </rv>
  <rv s="0">
    <fb>45855</fb>
    <v>0</v>
  </rv>
  <rv s="0">
    <fb>1274.17</fb>
    <v>1</v>
  </rv>
  <rv s="0">
    <fb>45762</fb>
    <v>0</v>
  </rv>
  <rv s="0">
    <fb>976.28</fb>
    <v>1</v>
  </rv>
  <rv s="0">
    <fb>45854</fb>
    <v>0</v>
  </rv>
  <rv s="0">
    <fb>1250.31</fb>
    <v>1</v>
  </rv>
  <rv s="0">
    <fb>45763</fb>
    <v>0</v>
  </rv>
  <rv s="0">
    <fb>961.63</fb>
    <v>1</v>
  </rv>
  <rv s="0">
    <fb>45853</fb>
    <v>0</v>
  </rv>
  <rv s="0">
    <fb>1260.27</fb>
    <v>1</v>
  </rv>
  <rv s="0">
    <fb>45764</fb>
    <v>0</v>
  </rv>
  <rv s="0">
    <fb>973.03</fb>
    <v>1</v>
  </rv>
  <rv s="0">
    <fb>45852</fb>
    <v>0</v>
  </rv>
  <rv s="0">
    <fb>1261.95</fb>
    <v>1</v>
  </rv>
  <rv s="0">
    <fb>45768</fb>
    <v>0</v>
  </rv>
  <rv s="0">
    <fb>987.91</fb>
    <v>1</v>
  </rv>
  <rv s="0">
    <fb>45849</fb>
    <v>0</v>
  </rv>
  <rv s="0">
    <fb>1245.1099999999999</fb>
    <v>1</v>
  </rv>
  <rv s="0">
    <fb>45769</fb>
    <v>0</v>
  </rv>
  <rv s="0">
    <fb>1040.3399999999999</fb>
    <v>1</v>
  </rv>
  <rv s="0">
    <fb>45848</fb>
    <v>0</v>
  </rv>
  <rv s="0">
    <fb>1250.5899999999999</fb>
    <v>1</v>
  </rv>
  <rv s="0">
    <fb>45770</fb>
    <v>0</v>
  </rv>
  <rv s="0">
    <fb>1049.5899999999999</fb>
    <v>1</v>
  </rv>
  <rv s="0">
    <fb>45847</fb>
    <v>0</v>
  </rv>
  <rv s="0">
    <fb>1288.28</fb>
    <v>1</v>
  </rv>
  <rv s="0">
    <fb>45771</fb>
    <v>0</v>
  </rv>
  <rv s="0">
    <fb>1096.8699999999999</fb>
    <v>1</v>
  </rv>
  <rv s="0">
    <fb>45846</fb>
    <v>0</v>
  </rv>
  <rv s="0">
    <fb>1275.31</fb>
    <v>1</v>
  </rv>
  <rv s="0">
    <fb>45772</fb>
    <v>0</v>
  </rv>
  <rv s="0">
    <fb>1101.53</fb>
    <v>1</v>
  </rv>
  <rv s="0">
    <fb>45845</fb>
    <v>0</v>
  </rv>
  <rv s="0">
    <fb>1289.6199999999999</fb>
    <v>1</v>
  </rv>
  <rv s="0">
    <fb>45775</fb>
    <v>0</v>
  </rv>
  <rv s="0">
    <fb>1110.3800000000001</fb>
    <v>1</v>
  </rv>
  <rv s="0">
    <fb>45841</fb>
    <v>0</v>
  </rv>
  <rv s="0">
    <fb>1297.18</fb>
    <v>1</v>
  </rv>
  <rv s="0">
    <fb>45776</fb>
    <v>0</v>
  </rv>
  <rv s="0">
    <fb>1125.6400000000001</fb>
    <v>1</v>
  </rv>
  <rv s="0">
    <fb>45840</fb>
    <v>0</v>
  </rv>
  <rv s="0">
    <fb>1284.8599999999999</fb>
    <v>1</v>
  </rv>
  <rv s="0">
    <fb>45777</fb>
    <v>0</v>
  </rv>
  <rv s="0">
    <fb>1131.72</fb>
    <v>1</v>
  </rv>
  <rv s="0">
    <fb>45839</fb>
    <v>0</v>
  </rv>
  <rv s="0">
    <fb>1293.5999999999999</fb>
    <v>1</v>
  </rv>
  <rv s="0">
    <fb>45778</fb>
    <v>0</v>
  </rv>
  <rv s="0">
    <fb>1133.47</fb>
    <v>1</v>
  </rv>
  <rv s="0">
    <fb>45838</fb>
    <v>0</v>
  </rv>
  <rv s="0">
    <fb>1339.13</fb>
    <v>1</v>
  </rv>
  <rv s="0">
    <fb>45779</fb>
    <v>0</v>
  </rv>
  <rv s="0">
    <fb>1156.49</fb>
    <v>1</v>
  </rv>
  <rv s="0">
    <fb>45835</fb>
    <v>0</v>
  </rv>
  <rv s="0">
    <fb>1323.12</fb>
    <v>1</v>
  </rv>
  <rv s="0">
    <fb>45782</fb>
    <v>0</v>
  </rv>
  <rv s="0">
    <fb>1134.06</fb>
    <v>1</v>
  </rv>
  <rv s="0">
    <fb>45834</fb>
    <v>0</v>
  </rv>
  <rv s="0">
    <fb>1306.67</fb>
    <v>1</v>
  </rv>
  <rv s="0">
    <fb>45783</fb>
    <v>0</v>
  </rv>
  <rv s="0">
    <fb>1137.69</fb>
    <v>1</v>
  </rv>
  <rv s="0">
    <fb>45833</fb>
    <v>0</v>
  </rv>
  <rv s="0">
    <fb>1275.25</fb>
    <v>1</v>
  </rv>
  <rv s="0">
    <fb>45784</fb>
    <v>0</v>
  </rv>
  <rv s="0">
    <fb>1155.4100000000001</fb>
    <v>1</v>
  </rv>
  <rv s="0">
    <fb>45832</fb>
    <v>0</v>
  </rv>
  <rv s="0">
    <fb>1279.1099999999999</fb>
    <v>1</v>
  </rv>
  <rv s="0">
    <fb>45785</fb>
    <v>0</v>
  </rv>
  <rv s="0">
    <fb>1144.43</fb>
    <v>1</v>
  </rv>
  <rv s="0">
    <fb>45831</fb>
    <v>0</v>
  </rv>
  <rv s="0">
    <fb>1253.54</fb>
    <v>1</v>
  </rv>
  <rv s="0">
    <fb>45786</fb>
    <v>0</v>
  </rv>
  <rv s="0">
    <fb>1140.22</fb>
    <v>1</v>
  </rv>
  <rv s="0">
    <fb>45828</fb>
    <v>0</v>
  </rv>
  <rv s="0">
    <fb>1231.4100000000001</fb>
    <v>1</v>
  </rv>
  <rv s="0">
    <fb>45789</fb>
    <v>0</v>
  </rv>
  <rv s="0">
    <fb>1110</fb>
    <v>1</v>
  </rv>
  <rv s="0">
    <fb>45826</fb>
    <v>0</v>
  </rv>
  <rv s="0">
    <fb>1222.29</fb>
    <v>1</v>
  </rv>
  <rv s="0">
    <fb>45790</fb>
    <v>0</v>
  </rv>
  <rv s="0">
    <fb>1138.44</fb>
    <v>1</v>
  </rv>
  <rv s="0">
    <fb>45825</fb>
    <v>0</v>
  </rv>
  <rv s="0">
    <fb>1220.67</fb>
    <v>1</v>
  </rv>
  <rv s="0">
    <fb>45791</fb>
    <v>0</v>
  </rv>
  <rv s="0">
    <fb>1150.99</fb>
    <v>1</v>
  </rv>
  <rv s="0">
    <fb>45824</fb>
    <v>0</v>
  </rv>
  <rv s="0">
    <fb>1225.3499999999999</fb>
    <v>1</v>
  </rv>
  <rv s="0">
    <fb>45792</fb>
    <v>0</v>
  </rv>
  <rv s="0">
    <fb>1177.98</fb>
    <v>1</v>
  </rv>
  <rv s="0">
    <fb>45821</fb>
    <v>0</v>
  </rv>
  <rv s="0">
    <fb>1212.1500000000001</fb>
    <v>1</v>
  </rv>
  <rv s="0">
    <fb>45793</fb>
    <v>0</v>
  </rv>
  <rv s="0">
    <fb>1191.53</fb>
    <v>1</v>
  </rv>
  <rv s="0">
    <fb>45820</fb>
    <v>0</v>
  </rv>
  <rv s="0">
    <fb>1215.03</fb>
    <v>1</v>
  </rv>
  <rv s="0">
    <fb>45796</fb>
    <v>0</v>
  </rv>
  <rv s="0">
    <fb>1191.6400000000001</fb>
    <v>1</v>
  </rv>
  <rv s="0">
    <fb>45819</fb>
    <v>0</v>
  </rv>
  <rv s="0">
    <fb>1219.8800000000001</fb>
    <v>1</v>
  </rv>
  <rv s="0">
    <fb>45797</fb>
    <v>0</v>
  </rv>
  <rv s="0">
    <fb>1192.02</fb>
    <v>1</v>
  </rv>
  <rv s="0">
    <fb>45818</fb>
    <v>0</v>
  </rv>
  <rv s="0">
    <fb>1203.6199999999999</fb>
    <v>1</v>
  </rv>
  <rv s="0">
    <fb>45798</fb>
    <v>0</v>
  </rv>
  <rv s="0">
    <fb>1194.6300000000001</fb>
    <v>1</v>
  </rv>
  <rv s="0">
    <fb>45817</fb>
    <v>0</v>
  </rv>
  <rv s="0">
    <fb>1224.46</fb>
    <v>1</v>
  </rv>
  <rv s="0">
    <fb>45799</fb>
    <v>0</v>
  </rv>
  <rv s="0">
    <fb>1187.97</fb>
    <v>1</v>
  </rv>
  <rv s="0">
    <fb>45814</fb>
    <v>0</v>
  </rv>
  <rv s="0">
    <fb>1241.4749999999999</fb>
    <v>1</v>
  </rv>
  <rv s="0">
    <fb>45800</fb>
    <v>0</v>
  </rv>
  <rv s="0">
    <fb>1185.3900000000001</fb>
    <v>1</v>
  </rv>
  <rv s="0">
    <fb>45813</fb>
    <v>0</v>
  </rv>
  <rv s="0">
    <fb>1250.52</fb>
    <v>1</v>
  </rv>
  <rv s="0">
    <fb>45804</fb>
    <v>0</v>
  </rv>
  <rv s="0">
    <fb>1211.57</fb>
    <v>1</v>
  </rv>
  <rv s="0">
    <fb>45812</fb>
    <v>0</v>
  </rv>
  <rv s="0">
    <fb>1239.6600000000001</fb>
    <v>1</v>
  </rv>
  <rv s="0">
    <fb>45805</fb>
    <v>0</v>
  </rv>
  <rv s="0">
    <fb>1208.55</fb>
    <v>1</v>
  </rv>
  <rv s="0">
    <fb>45811</fb>
    <v>0</v>
  </rv>
  <rv s="0">
    <fb>1217.94</fb>
    <v>1</v>
  </rv>
  <rv s="0">
    <fb>45806</fb>
    <v>0</v>
  </rv>
  <rv s="0">
    <fb>1184.8599999999999</fb>
    <v>1</v>
  </rv>
  <rv s="0">
    <fb>45810</fb>
    <v>0</v>
  </rv>
  <rv s="0">
    <fb>1218.98</fb>
    <v>1</v>
  </rv>
  <rv s="0">
    <fb>45807</fb>
    <v>0</v>
  </rv>
  <rv s="0">
    <fb>1207.23</fb>
    <v>1</v>
  </rv>
  <rv s="1">
    <v>12</v>
    <v>0</v>
  </rv>
  <rv s="2">
    <v>12</v>
    <v>1</v>
  </rv>
  <rv s="3">
    <v>2</v>
    <v>NFLX</v>
    <v>Daily</v>
    <v>45658</v>
    <v>45956</v>
    <v>0</v>
    <v>1</v>
    <v>638968608000000000,638970774354003349,0</v>
    <v>0</v>
    <v>a1ygoc</v>
    <v>XNAS:NFLX</v>
    <v>1</v>
  </rv>
</rvData>
</file>

<file path=xl/richData/rdrichvaluestructure.xml><?xml version="1.0" encoding="utf-8"?>
<rvStructures xmlns="http://schemas.microsoft.com/office/spreadsheetml/2017/richdata" count="4">
  <s t="_formattednumber">
    <k n="_Format" t="spb"/>
  </s>
  <s t="_error">
    <k n="errorType" t="i"/>
    <k n="subType" t="i"/>
  </s>
  <s t="_error">
    <k n="errorType" t="i"/>
    <k n="propagated" t="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Data count="3">
    <spb s="0">
      <v>1</v>
    </spb>
    <spb s="0">
      <v>2</v>
    </spb>
    <spb s="1">
      <v>1</v>
      <v>2</v>
    </spb>
  </spbData>
</supportingPropertyBags>
</file>

<file path=xl/richData/rdsupportingpropertybagstructure.xml><?xml version="1.0" encoding="utf-8"?>
<spbStructures xmlns="http://schemas.microsoft.com/office/spreadsheetml/2017/richdata2" count="2">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2">
    <x:dxf>
      <x:numFmt numFmtId="19" formatCode="m/d/yy"/>
    </x:dxf>
    <x:dxf>
      <x:numFmt numFmtId="0" formatCode="General"/>
    </x:dxf>
  </dxfs>
  <richProperties>
    <rPr n="NumberFormat" t="s"/>
  </richProperties>
  <richStyles>
    <rSty dxfid="0"/>
    <rSty dxfid="1">
      <rpv i="0">_([$$-en-US]* #,##0.00_);_([$$-en-US]* (#,##0.00);_([$$-en-US]*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C24FC06A-D240-FA40-895B-93FDAC41EABC}" name="Table38" displayName="Table38" ref="D5:V11" totalsRowShown="0" dataDxfId="2396">
  <autoFilter ref="D5:V11" xr:uid="{C24FC06A-D240-FA40-895B-93FDAC41EABC}"/>
  <tableColumns count="19">
    <tableColumn id="1" xr3:uid="{DBF59C94-E574-144C-9253-6744AB5FFB29}" name="N Stock" dataDxfId="2395"/>
    <tableColumn id="2" xr3:uid="{C509194D-3462-2C43-9FF0-CFB07104C891}" name="A" dataDxfId="2394">
      <calculatedColumnFormula>IF(FIND("A",Table38[[#This Row],[S=M]],1)&lt;FIND("S",Table38[[#This Row],[S=M]],1),DeltaPercent*Table38[[#This Row],[S]],DMinusPercent*Table38[[#This Row],[S]])</calculatedColumnFormula>
    </tableColumn>
    <tableColumn id="3" xr3:uid="{34CA17A9-0A32-0640-9172-03703FD3815B}" name="B" dataDxfId="2393">
      <calculatedColumnFormula>IF(FIND("B",Table38[[#This Row],[S=M]],1)&lt;FIND("S",Table38[[#This Row],[S=M]],1),BdeltaPlus*Table38[[#This Row],[S]],BdeltaMinus*Table38[[#This Row],[S]])</calculatedColumnFormula>
    </tableColumn>
    <tableColumn id="4" xr3:uid="{27FC4983-1F63-0A4F-BE55-9FD69930E239}" name="S" dataDxfId="2392">
      <calculatedColumnFormula array="1">$G$1*IFERROR(_xlfn.IFS(LEFT(Table38[[#This Row],[S=M]],1)="S",G$4,RIGHT(Table38[[#This Row],[S=M]],1)="S",G$3),G$2)</calculatedColumnFormula>
    </tableColumn>
    <tableColumn id="6" xr3:uid="{F52CA5A5-F794-FC4F-91DB-A94C1D307D65}" name="S=M" dataDxfId="2391"/>
    <tableColumn id="7" xr3:uid="{9E5A4797-757A-3848-8AB4-DDF9CDAD983C}" name="If_SALE_Reverse" dataDxfId="2390"/>
    <tableColumn id="8" xr3:uid="{520675E8-BAE7-FC44-997F-BF87E05EFEED}" name="vsA" dataDxfId="2389" dataCellStyle="Percent">
      <calculatedColumnFormula>((Table38[[#This Row],[N Stock]])*Table38[[#This Row],[A]]-Table38[[#This Row],[S]])/((Table38[[#This Row],[N Stock]]-1)*Table38[[#This Row],[A]])</calculatedColumnFormula>
    </tableColumn>
    <tableColumn id="9" xr3:uid="{5A9F2181-C1D0-6C44-95B1-D93BB1C2E24C}" name="vsReverseCash" dataDxfId="2388" dataCellStyle="Percent">
      <calculatedColumnFormula>(Table38[[#This Row],[S]]-Table38[[#This Row],[B]])/Table38[[#This Row],[S]]</calculatedColumnFormula>
    </tableColumn>
    <tableColumn id="31" xr3:uid="{02E50B27-19BB-134D-860A-47966099B80A}" name="vsA2" dataDxfId="2387" dataCellStyle="Percent">
      <calculatedColumnFormula>(Table38[[#This Row],[S]]-Table38[[#This Row],[B]])/Table38[[#This Row],[A]]</calculatedColumnFormula>
    </tableColumn>
    <tableColumn id="32" xr3:uid="{9BA6E48B-A89C-204C-8F57-C22C80357979}" name="vsA3" dataDxfId="2386" dataCellStyle="Comma">
      <calculatedColumnFormula>(IF(Table38[[#This Row],[S]]&gt;N$4,Table38[[#This Row],[S]],N$4))</calculatedColumnFormula>
    </tableColumn>
    <tableColumn id="18" xr3:uid="{117B15A1-A542-FF4D-B25A-2E57F149E3FA}" name="BS_Max" dataDxfId="2385" dataCellStyle="Percent">
      <calculatedColumnFormula>Table38[[#This Row],[vsA3]]/N$4-1</calculatedColumnFormula>
    </tableColumn>
    <tableColumn id="33" xr3:uid="{B4B3DC01-746B-C849-B2D8-AE7797ED9BD2}" name="Column1" dataDxfId="2384">
      <calculatedColumnFormula>(IF(Table38[[#This Row],[S]]&gt;P$4,Table38[[#This Row],[S]],P$4))</calculatedColumnFormula>
    </tableColumn>
    <tableColumn id="19" xr3:uid="{ABA2E3C0-0AA2-5F49-83E3-D6BB656803D9}" name="BS__medH" dataDxfId="2383" dataCellStyle="Percent">
      <calculatedColumnFormula>Table38[[#This Row],[Column1]]/P$4-1</calculatedColumnFormula>
    </tableColumn>
    <tableColumn id="20" xr3:uid="{6DA2DD76-DE2E-4746-A5AF-A62517B50E81}" name="BS_MedL" dataDxfId="2382">
      <calculatedColumnFormula>(IF(Table38[[#This Row],[S]]&gt;R$4,Table38[[#This Row],[S]],R$4))</calculatedColumnFormula>
    </tableColumn>
    <tableColumn id="21" xr3:uid="{C15602C5-7102-674B-BE42-A2CAFC2E9D2D}" name="BS_Min" dataDxfId="2381">
      <calculatedColumnFormula>Table38[[#This Row],[BS_MedL]]/R$4-1</calculatedColumnFormula>
    </tableColumn>
    <tableColumn id="10" xr3:uid="{014DCAAF-B001-E440-9D4A-60AADD8661A7}" name="WS_Max" dataDxfId="2380">
      <calculatedColumnFormula>(IF(Table38[[#This Row],[S]]&gt;T$4,Table38[[#This Row],[S]],T$4))</calculatedColumnFormula>
    </tableColumn>
    <tableColumn id="11" xr3:uid="{522B67F5-A15E-D247-B800-4110CB228283}" name="WS_medH" dataDxfId="2379">
      <calculatedColumnFormula>Table38[[#This Row],[WS_Max]]/T$4-1</calculatedColumnFormula>
    </tableColumn>
    <tableColumn id="13" xr3:uid="{AF9519DF-3AF8-A440-B068-2104677DB4B8}" name="WS_MedL" dataDxfId="2378">
      <calculatedColumnFormula>(IF(Table38[[#This Row],[S]]&lt;R$4,Table38[[#This Row],[S]]-R$4,0))/W$4</calculatedColumnFormula>
    </tableColumn>
    <tableColumn id="17" xr3:uid="{444943D3-4074-8940-AC58-77F8D7C37EF6}" name="WS_Min" dataDxfId="2377">
      <calculatedColumnFormula>IF(Table38[[#This Row],[S]]&lt;T$4,Table38[[#This Row],[S]]-T$4,"")</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14122106-097D-2E4B-99E7-2862A5F5CD2B}" name="Table39" displayName="Table39" ref="D14:K20" totalsRowShown="0">
  <autoFilter ref="D14:K20" xr:uid="{14122106-097D-2E4B-99E7-2862A5F5CD2B}"/>
  <tableColumns count="8">
    <tableColumn id="1" xr3:uid="{7D490C3F-0A12-3A41-8631-7C87E83B7911}" name="Nstock" dataDxfId="2376"/>
    <tableColumn id="2" xr3:uid="{14B0424C-9DBC-B449-B1C8-D632B45CA174}" name="A" dataDxfId="2375">
      <calculatedColumnFormula array="1">IFERROR(_xlfn.IFS(LEFT(J15,1)="A",15,RIGHT(J15,1)="A",5),10)</calculatedColumnFormula>
    </tableColumn>
    <tableColumn id="3" xr3:uid="{03CB87CD-0036-2945-A6EC-547AC06E2951}" name="B" dataDxfId="2374">
      <calculatedColumnFormula array="1">IFERROR(_xlfn.IFS(LEFT(J15,1)="P",15,RIGHT(J15,1)="P",5),10)</calculatedColumnFormula>
    </tableColumn>
    <tableColumn id="4" xr3:uid="{49C001A8-9686-9444-AE1C-75454EAB98C6}" name="S" dataDxfId="2373">
      <calculatedColumnFormula array="1">IFERROR(_xlfn.IFS(LEFT(J15,1)="S",15,RIGHT(J15,1)="S",5),10)</calculatedColumnFormula>
    </tableColumn>
    <tableColumn id="5" xr3:uid="{BD39454A-8610-CB4B-898C-5E0391146FF6}" name="Column1"/>
    <tableColumn id="6" xr3:uid="{750CF799-C124-9344-B751-C84A91DC2D77}" name="Column2"/>
    <tableColumn id="7" xr3:uid="{717EF31A-E966-3547-B87D-80E00F62D8D9}" name="P=M"/>
    <tableColumn id="8" xr3:uid="{09F5987F-0457-5948-8C35-9F25A7118AF7}" name="If PURCHASE Reverse" dataDxfId="237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8ADE260-10EC-344B-9CCB-00427A09BF41}" name="Table26" displayName="Table26" ref="A2:I95" totalsRowShown="0">
  <autoFilter ref="A2:I95" xr:uid="{78ADE260-10EC-344B-9CCB-00427A09BF41}"/>
  <tableColumns count="9">
    <tableColumn id="1" xr3:uid="{3FB75DD2-68A3-DF44-AA32-CFF8083B7F04}" name="Column1">
      <calculatedColumnFormula>TabCalc[[#This Row],[Ticker]]</calculatedColumnFormula>
    </tableColumn>
    <tableColumn id="2" xr3:uid="{86727EB3-91D0-C94F-9540-9F42E0116901}" name="Agio">
      <calculatedColumnFormula>_xlfn.RANK.EQ(DataShift!AU105,DataShift!AB105:AU105)</calculatedColumnFormula>
    </tableColumn>
    <tableColumn id="3" xr3:uid="{D209FA8B-E828-5F40-A67B-CA96F747A5B3}" name="Change" dataDxfId="2371">
      <calculatedColumnFormula>_xlfn.RANK.EQ(DataShift!Y704,DataShift!F704:Y704)</calculatedColumnFormula>
    </tableColumn>
    <tableColumn id="4" xr3:uid="{CB17A5EB-79C7-5E4A-B8C6-D98950D9C69A}" name="Gravity" dataDxfId="2370">
      <calculatedColumnFormula>_xlfn.RANK.EQ(DataShift!AU605,DataShift!AB605:AU605)</calculatedColumnFormula>
    </tableColumn>
    <tableColumn id="5" xr3:uid="{BE080EDE-BE1B-5047-AFAC-8C3CE039C7FF}" name="Cash"/>
    <tableColumn id="6" xr3:uid="{75F3EF34-0B6D-984E-8D97-B50920FF9793}" name="Dividend"/>
    <tableColumn id="7" xr3:uid="{F343012E-AA86-4041-B3CF-2174703E9FAC}" name="PriceR_Eq">
      <calculatedColumnFormula>_xlfn.RANK.EQ(DataShift!Y205,DataShift!F205:Y205)</calculatedColumnFormula>
    </tableColumn>
    <tableColumn id="8" xr3:uid="{A91B3EEB-81CC-3240-A724-6A4FAA4C96B9}" name="PriceR_Avg">
      <calculatedColumnFormula>_xlfn.RANK.AVG(DataShift!Y205,DataShift!F205:Y205)</calculatedColumnFormula>
    </tableColumn>
    <tableColumn id="9" xr3:uid="{E994C7A4-4C6D-E344-B408-A5629E74DE53}" name="PriceR_%" dataDxfId="2369">
      <calculatedColumnFormula>_xlfn.PERCENTRANK.INC(DataShift!F205:Y205,DataShift!Y205)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715A51DA-B514-1F4B-804D-2485E44509F0}" name="TabFIFO" displayName="TabFIFO" ref="C20:I46" totalsRowCount="1" headerRowDxfId="2335">
  <autoFilter ref="C20:I45" xr:uid="{715A51DA-B514-1F4B-804D-2485E44509F0}"/>
  <tableColumns count="7">
    <tableColumn id="1" xr3:uid="{0D21877A-CADF-2B42-8E32-423F99C45C4C}" name="Number" totalsRowFunction="sum" dataDxfId="2334" totalsRowDxfId="2333" dataCellStyle="Comma"/>
    <tableColumn id="2" xr3:uid="{C42DA1E3-B635-234F-A4E3-577435ABF9B8}" name="Price" dataDxfId="2332" totalsRowDxfId="2331" dataCellStyle="Comma"/>
    <tableColumn id="3" xr3:uid="{DB787670-1ECA-E445-A685-C3B2B2251296}" name="Remaining" totalsRowFunction="sum" dataDxfId="2330" totalsRowDxfId="2329" dataCellStyle="Comma"/>
    <tableColumn id="4" xr3:uid="{1DCD6947-F05F-4C4B-8C2D-DB6F309A0EEF}" name="Profit/Loss" totalsRowFunction="sum" dataDxfId="2328" totalsRowDxfId="2327" dataCellStyle="Comma"/>
    <tableColumn id="5" xr3:uid="{508DC28D-EBE5-3345-AC2B-21EC83602B2F}" name="Income" totalsRowFunction="sum" dataDxfId="2326" totalsRowDxfId="2325" dataCellStyle="Comma">
      <calculatedColumnFormula>IF(TabFIFO[[#This Row],[Price]]&gt;0,TabFIFO[[#This Row],[Number]]*TabFIFO[[#This Row],[Price]],0)*(1-Commission)</calculatedColumnFormula>
    </tableColumn>
    <tableColumn id="6" xr3:uid="{3628D5DD-DC22-E641-9462-F33F525D50BF}" name="Cost" totalsRowFunction="sum" dataDxfId="2324" totalsRowDxfId="2323" dataCellStyle="Comma">
      <calculatedColumnFormula>IF(TabFIFO[[#This Row],[Price]]&lt;0,TabFIFO[[#This Row],[Number]]*TabFIFO[[#This Row],[Price]],0)*(1+Commission)</calculatedColumnFormula>
    </tableColumn>
    <tableColumn id="7" xr3:uid="{7A2F0625-FF49-3B40-8E28-CFA71391A462}" name="M-VALUE Now" totalsRowFunction="sum" dataDxfId="2322" totalsRowDxfId="2321" dataCellStyle="Comma">
      <calculatedColumnFormula>TabFIFO[[#This Row],[Remaining]]*ID_M</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55A38B-5BD1-D249-AD6D-96E02BC9C311}" name="TabTRADER" displayName="TabTRADER" ref="A2:BP97" totalsRowCount="1" headerRowDxfId="2216" headerRowCellStyle="Comma">
  <autoFilter ref="A2:BP96" xr:uid="{1355A38B-5BD1-D249-AD6D-96E02BC9C311}">
    <filterColumn colId="21">
      <filters>
        <filter val="USD"/>
      </filters>
    </filterColumn>
    <filterColumn colId="30">
      <filters>
        <filter val="Sale Back"/>
      </filters>
    </filterColumn>
  </autoFilter>
  <tableColumns count="68">
    <tableColumn id="2" xr3:uid="{AB1EC51C-CE10-C44F-8563-D562A0774781}" name="Scale" totalsRowLabel="Total" dataDxfId="2215" totalsRowDxfId="2214">
      <calculatedColumnFormula>IF(_xlfn.XLOOKUP(TabTRADER[[#This Row],[ClickTick]],TabCalc[Ticker],TabCalc[Cur])="GBp",0.01,1)</calculatedColumnFormula>
    </tableColumn>
    <tableColumn id="3" xr3:uid="{85E73ED8-4FDB-0D4B-87C7-1C8139DDD84A}" name="LastBuy_RevRem_n" dataDxfId="2213" totalsRowDxfId="2212">
      <calculatedColumnFormula>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calculatedColumnFormula>
    </tableColumn>
    <tableColumn id="4" xr3:uid="{157580CB-D134-7E45-AA25-E60D8BF23EB5}" name="ifSaleAfterBuy" dataDxfId="2211" totalsRowDxfId="2210">
      <calculatedColumnFormula>_xlfn.XLOOKUP(TabTRADER[[#This Row],[ClickTick]],TabCalc[Ticker],ListResale)&amp;" @ "&amp;TEXT((_xlfn.XLOOKUP(TabTRADER[[#This Row],[ClickTick]],TabCalc[Ticker],TabCalc[L_Bp])+_xlfn.XLOOKUP(TabTRADER[[#This Row],[ClickTick]],TabCalc[Ticker],TabCalc[M]))/_xlfn.XLOOKUP(TabTRADER[[#This Row],[ClickTick]],TabCalc[Ticker],TabCalc[M]),"#0.0%")</calculatedColumnFormula>
    </tableColumn>
    <tableColumn id="5" xr3:uid="{50583C01-093E-3049-9BAF-A85544FA6AD8}" name="Sell_Advice" dataDxfId="2209" totalsRowDxfId="2208">
      <calculatedColumnFormula array="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calculatedColumnFormula>
    </tableColumn>
    <tableColumn id="14" xr3:uid="{995D69ED-16CC-D444-BD31-2B0C88FEB6E4}" name="Buy_Advice" dataDxfId="2207" totalsRowDxfId="2206">
      <calculatedColumnFormula>IF(      AND(TabTRADER[[#This Row],[A]]&lt;TabTRADER[[#This Row],[M]],    _xlfn.XLOOKUP(TabTRADER[[#This Row],[ClickTick]],TabCalc[Ticker],TabCalc[L_Sp])&gt;TabTRADER[[#This Row],[M]]),"BUY  "&amp;TEXT(DesiredBuyGain/TabTRADER[[#This Row],[Scale]]/(_xlfn.XLOOKUP(TabTRADER[[#This Row],[ClickTick]],TabCalc[Ticker],TabCalc[L_Sp])-TabTRADER[[#This Row],[M]]),"#,##0"),"")</calculatedColumnFormula>
    </tableColumn>
    <tableColumn id="6" xr3:uid="{0B553B7F-6A65-0E44-B8C3-E67229400056}" name="Resale2" dataDxfId="2205" totalsRowDxfId="2204"/>
    <tableColumn id="12" xr3:uid="{F165B824-ACDF-0044-A649-45E93AB88C03}" name="LastSale_RevBuy$" dataDxfId="2203" totalsRowDxfId="2202"/>
    <tableColumn id="13" xr3:uid="{C007EDF1-F9A7-A54D-B9A5-63A7F0F2DE88}" name="if_ReBuy_nSold" dataDxfId="2201" totalsRowDxfId="2200" dataCellStyle="Comma"/>
    <tableColumn id="15" xr3:uid="{7D769024-523A-604D-B662-648DD5B77A3D}" name="Rebuy2" dataDxfId="2199" totalsRowDxfId="2198" dataCellStyle="Comma"/>
    <tableColumn id="16" xr3:uid="{E3F0170B-738A-4C4A-B89A-95794135EB60}" name="Gravity" dataDxfId="2197" totalsRowDxfId="2196" dataCellStyle="Comma">
      <calculatedColumnFormula>_xlfn.XLOOKUP(TabTRADER[[#This Row],[ClickTick]],TabCalc[Ticker],ListGravity)</calculatedColumnFormula>
    </tableColumn>
    <tableColumn id="17" xr3:uid="{294D7F67-21E5-8B44-89D8-1F7A1CA93BAB}" name="Extran" dataDxfId="2195" totalsRowDxfId="2194" dataCellStyle="Comma">
      <calculatedColumnFormula array="1">IF(_xlfn.XLOOKUP(TabTRADER[[#This Row],[ClickTick]],TabTRADER[ClickTick],ListExtra_n)&gt;0,_xlfn.XLOOKUP(TabTRADER[[#This Row],[ClickTick]],TabTRADER[ClickTick],ListExtra_n),"")</calculatedColumnFormula>
    </tableColumn>
    <tableColumn id="18" xr3:uid="{18236C2D-3377-7540-9B36-FD6D31941FDC}" name="ExtraV" dataDxfId="2193" totalsRowDxfId="2192" dataCellStyle="Comma">
      <calculatedColumnFormula>IF(_xlfn.XLOOKUP(TabTRADER[[#This Row],[ClickTick]],TabCalc[Ticker],ListExtra_n)&gt;0,_xlfn.XLOOKUP(TabTRADER[[#This Row],[ClickTick]],TabCalc[Ticker],ListExtra_n)*TabTRADER[[#This Row],[M]]*_xlfn.XLOOKUP(TabTRADER[[#This Row],[ClickTick]],TabCalc[Ticker],ListScale),"")</calculatedColumnFormula>
    </tableColumn>
    <tableColumn id="19" xr3:uid="{F57845B9-A767-3949-B6E4-E892B2E3DA78}" name="Agio" dataDxfId="2191" totalsRowDxfId="2190">
      <calculatedColumnFormula>_xlfn.XLOOKUP(TabTRADER[[#This Row],[ClickTick]],TabCalc[Ticker],TabCalc[Agiotage])</calculatedColumnFormula>
    </tableColumn>
    <tableColumn id="20" xr3:uid="{42A2A74C-CA9D-004F-8FB3-8DE0DE7852F9}" name="RSI" dataDxfId="2189" totalsRowDxfId="2188" dataCellStyle="Comma">
      <calculatedColumnFormula array="1">_xlfn.XLOOKUP(TabTRADER[[#This Row],[ClickTick]],ListTickers,Tab2RSIConventional[RSIConv20])</calculatedColumnFormula>
    </tableColumn>
    <tableColumn id="11" xr3:uid="{9014D1F9-34DC-3748-977E-00BCAAA27F23}" name="Begin/Status" dataDxfId="2187" totalsRowDxfId="2186" dataCellStyle="Comma">
      <calculatedColumnFormula>TEXT(_xlfn.XLOOKUP(TabTRADER[[#This Row],[ClickTick]],TabCalc[Ticker],TabCalc[Nbegin]),"#,#0")&amp;": "&amp;_xlfn.XLOOKUP(TabTRADER[[#This Row],[ClickTick]],TabCalc[Ticker],TabCalc[Pile?])</calculatedColumnFormula>
    </tableColumn>
    <tableColumn id="30" xr3:uid="{49C36AD5-1039-A243-B7C4-E7B3842CF082}" name="L_Bn" dataDxfId="2185" totalsRowDxfId="2184" dataCellStyle="Comma">
      <calculatedColumnFormula>_xlfn.XLOOKUP(TabTRADER[[#This Row],[ClickTick]],TabCalc[Ticker],TabCalc[L_Bn])</calculatedColumnFormula>
    </tableColumn>
    <tableColumn id="31" xr3:uid="{528D52A3-6941-1949-A034-665AD9FAE6A1}" name="L_Bp" dataDxfId="2183" totalsRowDxfId="2182" dataCellStyle="Comma">
      <calculatedColumnFormula>_xlfn.XLOOKUP(TabTRADER[[#This Row],[ClickTick]],TabCalc[Ticker],TabCalc[L_Bp])</calculatedColumnFormula>
    </tableColumn>
    <tableColumn id="21" xr3:uid="{708FCF43-CBDB-8F4F-8472-28891FF733C4}" name="Rev_Sale" dataDxfId="2181" totalsRowDxfId="2180">
      <calculatedColumnFormula>(TabTRADER[[#This Row],[M]]+TabTRADER[[#This Row],[L_Bp]])/ABS(TabTRADER[[#This Row],[L_Bp]])</calculatedColumnFormula>
    </tableColumn>
    <tableColumn id="22" xr3:uid="{FE1A96A1-072C-D74B-83F4-42AA4B053368}" name="Sale_Back_$" totalsRowFunction="sum" dataDxfId="2179" totalsRowDxfId="2178" dataCellStyle="Comma">
      <calculatedColumnFormula>_xlfn.XLOOKUP(TabTRADER[[#This Row],[ClickTick]],TabCalc[Ticker],TabCalc[Rev(MinStock)])*(1-Commission)</calculatedColumnFormula>
    </tableColumn>
    <tableColumn id="7" xr3:uid="{E41693E9-FA9D-724E-8373-ADDD00EA5A62}" name="Agiotage" dataDxfId="2177" totalsRowDxfId="2176" dataCellStyle="Percent">
      <calculatedColumnFormula>_xlfn.XLOOKUP(TabTRADER[[#This Row],[ClickTick]],TabCalc[Ticker],TabCalc[Agiotage])</calculatedColumnFormula>
    </tableColumn>
    <tableColumn id="42" xr3:uid="{7CC4EE64-3885-9F45-8D66-FF4F8A62FA79}" name="SncOpenYest%" totalsRowFunction="sum" dataDxfId="2175" totalsRowDxfId="2174">
      <calculatedColumnFormula array="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calculatedColumnFormula>
    </tableColumn>
    <tableColumn id="1" xr3:uid="{FBCF720D-6709-FE41-AA85-A1D96E8EF448}" name="Cur" dataDxfId="2173" totalsRowDxfId="2172" dataCellStyle="Comma">
      <calculatedColumnFormula>_xlfn.XLOOKUP(TabTRADER[[#This Row],[ClickTick]],[1]!RTData[Ticker symbol],[1]!RTData[Currency])</calculatedColumnFormula>
    </tableColumn>
    <tableColumn id="9" xr3:uid="{AB89C7C7-F885-7043-91BD-2951C5C799FB}" name="M" dataDxfId="2171" totalsRowDxfId="2170" dataCellStyle="Comma">
      <calculatedColumnFormula>_xlfn.XLOOKUP(TabTRADER[[#This Row],[ClickTick]],TabCalc[Ticker],TabCalc[M])</calculatedColumnFormula>
    </tableColumn>
    <tableColumn id="10" xr3:uid="{A64F3714-DFF9-6546-B45D-A323AD90D7C9}" name="ClickTick" dataDxfId="2169" totalsRowDxfId="2168">
      <calculatedColumnFormula>SORTING!B3</calculatedColumnFormula>
    </tableColumn>
    <tableColumn id="54" xr3:uid="{EBDD1601-CCB5-FD46-832E-ACF4F62B8FAF}" name="Target1Y" dataDxfId="2167" totalsRowDxfId="2166">
      <calculatedColumnFormula>_xlfn.XLOOKUP(TabTRADER[[#This Row],[ClickTick]],TabCalc[Ticker],TabCalc[Y])</calculatedColumnFormula>
    </tableColumn>
    <tableColumn id="57" xr3:uid="{AC840AB4-C360-B048-B882-E681719F5339}" name="Y_Change" dataDxfId="2165" totalsRowDxfId="2164" dataCellStyle="Comma">
      <calculatedColumnFormula>_xlfn.XLOOKUP(TabTRADER[[#This Row],[ClickTick]],[1]!RTData[Ticker symbol],[1]!RTData[YTChange])</calculatedColumnFormula>
    </tableColumn>
    <tableColumn id="8" xr3:uid="{C207CF0F-86BD-F844-8AD2-9525818B008A}" name="A" dataDxfId="2163" totalsRowDxfId="2162" dataCellStyle="Comma"/>
    <tableColumn id="60" xr3:uid="{455EB8C9-4981-D846-9DA9-DBC931878F14}" name="Ch%_Yest" dataDxfId="2161" totalsRowDxfId="2160" dataCellStyle="Comma">
      <calculatedColumnFormula array="1">_xlfn.XLOOKUP(TabTRADER[[#This Row],[ClickTick]],ListTickers,Tab1ChangePercent[Change%19])</calculatedColumnFormula>
    </tableColumn>
    <tableColumn id="52" xr3:uid="{68C8CE58-14CD-8543-8CA6-0BDBACC71AB6}" name="N" dataDxfId="2159" totalsRowDxfId="2158">
      <calculatedColumnFormula>_xlfn.XLOOKUP(TabTRADER[[#This Row],[ClickTick]],TabCalc[Ticker],TabCalc[NAfter])</calculatedColumnFormula>
    </tableColumn>
    <tableColumn id="45" xr3:uid="{DAA0B676-9E0E-864B-BD4C-31777526BBCA}" name="Glnow_/M_Value_K$" dataDxfId="2157" totalsRowDxfId="2156">
      <calculatedColumnFormula>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calculatedColumnFormula>
    </tableColumn>
    <tableColumn id="50" xr3:uid="{9AA99474-702A-5645-9E54-3DF550056733}" name="Traps" dataDxfId="2155" totalsRowDxfId="2154" dataCellStyle="Comma">
      <calculatedColumnFormula array="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calculatedColumnFormula>
    </tableColumn>
    <tableColumn id="66" xr3:uid="{EADA89E2-D381-7B4D-A76E-F7A73C5CE2AD}" name="Reverses" dataDxfId="2153" totalsRowDxfId="2152" dataCellStyle="Comma">
      <calculatedColumnFormula array="1">_xlfn.IFS(       TabTRADER[[#This Row],[Traps]]=RePurchaseGain,TEXT(TabTRADER[[#This Row],[L_Sn]],"#,#0")&amp;" x "&amp;TEXT(TabTRADER[[#This Row],[L_Sp]],"#,#0.#0"),     TabTRADER[[#This Row],[Traps]]=ReSaleGain,TEXT(TabTRADER[[#This Row],[L_Bn]],"#0,#0")&amp;" x "&amp;TEXT(TabTRADER[[#This Row],[L_Bp]],"#,#0.#0"),               TRUE,"")</calculatedColumnFormula>
    </tableColumn>
    <tableColumn id="65" xr3:uid="{E3F4D82B-7765-E74D-B7DB-04947A1DB5C3}" name="Sell/Buy_nL" totalsRowFunction="sum" dataDxfId="2151" totalsRowDxfId="2150" dataCellStyle="Comma">
      <calculatedColumnFormula array="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calculatedColumnFormula>
    </tableColumn>
    <tableColumn id="67" xr3:uid="{8DA49C33-D8FC-8845-9B13-D5848EA44834}" name="GL_nM" totalsRowFunction="sum" dataDxfId="2149" totalsRowDxfId="2148" dataCellStyle="Comma">
      <calculatedColumnFormula array="1">_xlfn.IFS(     TabTRADER[[#This Row],[Traps]]=MUp,MIN(TabTRADER[[#This Row],[L_Sn]],TabTRADER[[#This Row],[N]])*(TabTRADER[[#This Row],[M]]-TabTRADER[[#This Row],[L_Sp]])*(1-Commission)*TabTRADER[[#This Row],[Scale]],                           TabTRADER[[#This Row],[Traps]]=MDown,     -TabTRADER[[#This Row],[L_Bn]]*(TabTRADER[[#This Row],[M]]+TabTRADER[[#This Row],[L_Bp]])*(1-Commission)*TabTRADER[[#This Row],[Scale]],                                  TRUE,"")</calculatedColumnFormula>
    </tableColumn>
    <tableColumn id="51" xr3:uid="{4AD58491-CF6F-7743-AF1C-D80979FA3C92}" name="GL_R/M_NA" totalsRowFunction="sum" dataDxfId="2147" totalsRowDxfId="2146" dataCellStyle="Comma">
      <calculatedColumnFormula array="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calculatedColumnFormula>
    </tableColumn>
    <tableColumn id="36" xr3:uid="{06E85279-A0EB-CD45-B343-94B152B92E7B}" name="Rev%" dataDxfId="2145" totalsRowDxfId="2144" dataCellStyle="Percent">
      <calculatedColumnFormula array="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calculatedColumnFormula>
    </tableColumn>
    <tableColumn id="56" xr3:uid="{280D85F1-032F-9D49-8431-C6CA2C845831}" name="vs.LS%" dataDxfId="2143" totalsRowDxfId="2142" dataCellStyle="Percent">
      <calculatedColumnFormula array="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F720E181-DB62-1849-A36B-43167E714093}" name="vs.LS$" totalsRowFunction="sum" dataDxfId="2141" totalsRowDxfId="2140" dataCellStyle="Comma">
      <calculatedColumnFormula array="1">_xlfn.IFS(   TabTRADER[[#This Row],[Traps]]=SellMorePercentGain,                     MIN(TabTRADER[[#This Row],[L_Sn]],TabTRADER[[#This Row],[N]])*(TabTRADER[[#This Row],[M]]-TabTRADER[[#This Row],[L_Sp]])*(1-Commission)*TabTRADER[[#This Row],[Scale]],                    TRUE,"")</calculatedColumnFormula>
    </tableColumn>
    <tableColumn id="63" xr3:uid="{060B86D3-FA81-404A-838C-48C87595A3DC}" name="An_M/LB" dataDxfId="2139" totalsRowDxfId="2138" dataCellStyle="Percent">
      <calculatedColumnFormula>_xlfn.XLOOKUP(TabTRADER[[#This Row],[ClickTick]],TabCalc[Ticker],TabCalc[Ann%RevLB])</calculatedColumnFormula>
    </tableColumn>
    <tableColumn id="64" xr3:uid="{67659519-1C42-244B-921B-725F68AA979B}" name="MUP" dataDxfId="2137" totalsRowDxfId="2136" dataCellStyle="Percent">
      <calculatedColumnFormula>_xlfn.XLOOKUP(TabTRADER[[#This Row],[ClickTick]],TabCalc[Ticker],TabCalc[Up20])</calculatedColumnFormula>
    </tableColumn>
    <tableColumn id="62" xr3:uid="{BD8F261A-D478-8F4A-BEDF-C53705997463}" name="vs.LBt%" dataDxfId="2135" totalsRowDxfId="2134" dataCellStyle="Comma">
      <calculatedColumnFormula array="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calculatedColumnFormula>
    </tableColumn>
    <tableColumn id="61" xr3:uid="{A50F259C-F34C-EF4A-9C46-B30C7E9021F6}" name="vs.LB$" totalsRowFunction="sum" dataDxfId="2133" totalsRowDxfId="2132" dataCellStyle="Comma">
      <calculatedColumnFormula array="1">_xlfn.IFS(         TabTRADER[[#This Row],[Traps]]=MDown,TabTRADER[[#This Row],[L_Bn]]*TabTRADER[[#This Row],[M]]*(-(TabTRADER[[#This Row],[L_Bp]]+TabTRADER[[#This Row],[M]])/TabTRADER[[#This Row],[M]])*(1-Commission)*TabTRADER[[#This Row],[Scale]],                               TRUE,"")</calculatedColumnFormula>
    </tableColumn>
    <tableColumn id="55" xr3:uid="{25BDD8D8-4525-9E41-98C9-64019DFE9261}" name="vs.A%" dataDxfId="2131" totalsRowDxfId="2130" dataCellStyle="Percent">
      <calculatedColumnFormula array="1">_xlfn.IFS(   TabTRADER[[#This Row],[Traps]]=MUp,TabTRADER[[#This Row],[TakeGain_A]]-Commission,        TabTRADER[[#This Row],[Traps]]=MDown,(TabTRADER[[#This Row],[A]]-TabTRADER[[#This Row],[M]])/TabTRADER[[#This Row],[M]]-Commission,                              TRUE,"")</calculatedColumnFormula>
    </tableColumn>
    <tableColumn id="58" xr3:uid="{A121893B-59E2-C540-A9BC-5451BE402AA3}" name="vs.A_GL" dataDxfId="2129" totalsRowDxfId="2128" dataCellStyle="Percent">
      <calculatedColumnFormula array="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calculatedColumnFormula>
    </tableColumn>
    <tableColumn id="53" xr3:uid="{B4CAB985-88A1-B640-A3D5-13D2FD1CA868}" name="SumCh" dataDxfId="2127" totalsRowDxfId="2126" dataCellStyle="Comma">
      <calculatedColumnFormula array="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calculatedColumnFormula>
    </tableColumn>
    <tableColumn id="46" xr3:uid="{4B31C15E-12AB-9C48-8833-943538E8D5D9}" name="nxGL/s(M-A)" dataDxfId="2125" totalsRowDxfId="2124" dataCellStyle="Comma">
      <calculatedColumnFormula array="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calculatedColumnFormula>
    </tableColumn>
    <tableColumn id="47" xr3:uid="{30EAFE3C-CB87-3C4A-A954-BB9D630D1A45}" name="SellMore(/A)" totalsRowFunction="sum" dataDxfId="2123" totalsRowDxfId="2122">
      <calculatedColumnFormula array="1">_xlfn.IFS(TabTRADER[[#This Row],[Traps]]=ReSaleGain,"",         TabTRADER[[#This Row],[Traps]]=MDown, (TabTRADER[[#This Row],[M]]-TabTRADER[[#This Row],[A]])/TabTRADER[[#This Row],[A]]*ComFactor,             TRUE, IFERROR((TabTRADER[[#This Row],[M]]-TabTRADER[[#This Row],[A]])/TabTRADER[[#This Row],[A]]*ComFactor,""))</calculatedColumnFormula>
    </tableColumn>
    <tableColumn id="48" xr3:uid="{DFB395F4-2DE7-AC42-B9E2-D0CFC6F2B9AA}" name="BuyMore" totalsRowFunction="sum" dataDxfId="2121" totalsRowDxfId="2120" dataCellStyle="Percent">
      <calculatedColumnFormula array="1">_xlfn.IFS(               TabTRADER[[#This Row],[Traps]]=NoStock,(TabTRADER[[#This Row],[L_Sp]]-TabTRADER[[#This Row],[M]])/TabTRADER[[#This Row],[M]]-Commission,             TabTRADER[[#This Row],[A]]&lt;&gt;0,(TabTRADER[[#This Row],[A]]-TabTRADER[[#This Row],[M]])/TabTRADER[[#This Row],[M]]-Commission)</calculatedColumnFormula>
    </tableColumn>
    <tableColumn id="33" xr3:uid="{E7F2533E-1EFA-B74F-B3E6-6E6E7B07D5F3}" name="L_Sn" dataDxfId="2119" totalsRowDxfId="2118" dataCellStyle="Comma">
      <calculatedColumnFormula>_xlfn.XLOOKUP(TabTRADER[[#This Row],[ClickTick]],TabCalc[Ticker],TabCalc[L_Sn])</calculatedColumnFormula>
    </tableColumn>
    <tableColumn id="32" xr3:uid="{089D5B01-CA85-1A4E-8FB3-81A40C89B0F9}" name="L_Sp" dataDxfId="2117" totalsRowDxfId="2116" dataCellStyle="Comma">
      <calculatedColumnFormula>_xlfn.XLOOKUP(TabTRADER[[#This Row],[ClickTick]],TabCalc[Ticker],TabCalc[L_Sp])</calculatedColumnFormula>
    </tableColumn>
    <tableColumn id="23" xr3:uid="{A3EEAFE0-9CBA-FC42-8ECA-46F817BA644B}" name="Rev_Buy" dataDxfId="2115" totalsRowDxfId="2114">
      <calculatedColumnFormula>-IFERROR((TabTRADER[[#This Row],[M]]-TabTRADER[[#This Row],[L_Sp]])/TabTRADER[[#This Row],[L_Sp]],0)</calculatedColumnFormula>
    </tableColumn>
    <tableColumn id="24" xr3:uid="{3F91613F-AC29-AB41-B5A5-812FE6F84343}" name="Buy_Back" totalsRowFunction="sum" dataDxfId="2113" totalsRowDxfId="2112" dataCellStyle="Comma">
      <calculatedColumnFormula>TabTRADER[[#This Row],[L_Sn]]*(TabTRADER[[#This Row],[M]]-TabTRADER[[#This Row],[L_Sp]])*(1-Commission)*TabTRADER[[#This Row],[Scale]]</calculatedColumnFormula>
    </tableColumn>
    <tableColumn id="34" xr3:uid="{C0AAEF90-D448-6047-B6DE-CB0FE45089CF}" name="Rev_B@Y" totalsRowFunction="max" dataDxfId="2111" totalsRowDxfId="2110">
      <calculatedColumnFormula>TabTRADER[[#This Row],[L_Sn]]*(TabTRADER[[#This Row],[Agiotage]]-TabTRADER[[#This Row],[M]])/(TabTRADER[[#This Row],[L_Bn]]*TabTRADER[[#This Row],[M]])</calculatedColumnFormula>
    </tableColumn>
    <tableColumn id="25" xr3:uid="{AAE29823-FB0F-F640-9407-FB84AE6E64B6}" name="TakeGain_A" dataDxfId="2109" totalsRowDxfId="2108">
      <calculatedColumnFormula>IFERROR((TabTRADER[[#This Row],[M]]-TabTRADER[[#This Row],[A]])/TabTRADER[[#This Row],[A]],0)</calculatedColumnFormula>
    </tableColumn>
    <tableColumn id="26" xr3:uid="{7550FC06-5A93-6F46-B561-83A49DA6DDC1}" name="Alln*M-A:GL$" dataDxfId="2107" totalsRowDxfId="2106" dataCellStyle="Comma">
      <calculatedColumnFormula>TEXT(_xlfn.XLOOKUP(TabTRADER[[#This Row],[ClickTick]],TabCalc[Ticker],TabCalc[NAfter]),"#,#0")&amp;" : "&amp;TEXT(_xlfn.XLOOKUP(TabTRADER[[#This Row],[ClickTick]],TabCalc[Ticker],TabCalc[NAfter])*(TabTRADER[[#This Row],[M]]-TabTRADER[[#This Row],[A]])*(1-Commission)*TabTRADER[[#This Row],[Scale]],"#,#0$")</calculatedColumnFormula>
    </tableColumn>
    <tableColumn id="27" xr3:uid="{B438EEBA-87C1-BF43-A3AD-76B163E3C173}" name="GL_Total" totalsRowFunction="sum" dataDxfId="2105" totalsRowDxfId="2104" dataCellStyle="Comma"/>
    <tableColumn id="49" xr3:uid="{744FF3A2-F5E4-9545-B57B-D8CDE6F502E1}" name="MinB/M" dataDxfId="2103" totalsRowDxfId="2102" dataCellStyle="Comma"/>
    <tableColumn id="28" xr3:uid="{B960CEB6-2522-4147-8EDC-C07732CFB8E5}" name="Tick_M_A" dataDxfId="2101" totalsRowDxfId="2100">
      <calculatedColumnFormula>TabTRADER[[#This Row],[ClickTick]]&amp;": "&amp;_xlfn.XLOOKUP(TabTRADER[[#This Row],[ClickTick]],TabCalc[Ticker],TabCalc[Pile?])</calculatedColumnFormula>
    </tableColumn>
    <tableColumn id="29" xr3:uid="{16DF2913-98AD-B246-8118-794256FA3500}" name="Status" totalsRowFunction="count" dataDxfId="2099" totalsRowDxfId="2098"/>
    <tableColumn id="35" xr3:uid="{F14A80AE-E62C-DF48-99D4-9293058E44B1}" name="Code" dataDxfId="2097" totalsRowDxfId="2096">
      <calculatedColumnFormula array="1">_xlfn.TEXTJOIN("",,INDEX({"M","A","Y"}, _xlfn.SORTBY({1,2,3}, -CHOOSE({1,2,3}, TabTRADER[[#This Row],[M]], TabTRADER[[#This Row],[A]], TabTRADER[[#This Row],[Agiotage]]))))</calculatedColumnFormula>
    </tableColumn>
    <tableColumn id="37" xr3:uid="{E6B8B070-0576-C54E-8049-42AD03CF00A9}" name="TonM" dataDxfId="2095" totalsRowDxfId="2094">
      <calculatedColumnFormula array="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calculatedColumnFormula>
    </tableColumn>
    <tableColumn id="38" xr3:uid="{C4BBFBCE-09A8-8A47-9474-62F9E675E84C}" name="ReBuy" dataDxfId="2093">
      <calculatedColumnFormula>TabTRADER[[#This Row],[L_Sn]]*TabTRADER[[#This Row],[L_Sp]]+TabTRADER[[#This Row],[SellMore]]*TabTRADER[[#This Row],[M]]</calculatedColumnFormula>
    </tableColumn>
    <tableColumn id="39" xr3:uid="{493C574C-1BCF-3241-AFCD-2265A016AB75}" name="SellMore" dataDxfId="2092"/>
    <tableColumn id="40" xr3:uid="{A99302DF-FBDC-D545-91AF-29D9F0C0AE01}" name="NoStock" dataDxfId="2091" dataCellStyle="Percent"/>
    <tableColumn id="41" xr3:uid="{877B67EB-D7DA-554B-951C-D198CA8535FE}" name="HOLD" dataDxfId="2090" totalsRowDxfId="2089">
      <calculatedColumnFormula>TabTRADER[[#This Row],[ReBuy]]/(TabTRADER[[#This Row],[L_Sn]]+TabTRADER[[#This Row],[SellMore]])</calculatedColumnFormula>
    </tableColumn>
    <tableColumn id="43" xr3:uid="{92F17730-71E8-AE49-A350-B41610408C9D}" name="Column7" dataDxfId="2088">
      <calculatedColumnFormula>((_xlfn.XLOOKUP(TabTRADER[[#This Row],[ClickTick]],TabCalc[Ticker],TabCalc[NAfter])+TabTRADER[[#This Row],[L_Sn]])*(TabTRADER[[#This Row],[Agiotage]]-TabTRADER[[#This Row],[M]]))/(TabTRADER[[#This Row],[L_Sn]]*_xlfn.XLOOKUP(TabTRADER[[#This Row],[ClickTick]],TabCalc[Ticker],TabCalc[NAfter]))</calculatedColumnFormula>
    </tableColumn>
    <tableColumn id="44" xr3:uid="{0FE5C987-B234-CE42-BA61-BA5CFE4C86D2}" name="Column8" dataDxfId="2087">
      <calculatedColumnFormula>(TabTRADER[[#This Row],[M]]-TabTRADER[[#This Row],[Agiotage]])/(TabTRADER[[#This Row],[M]]-TabTRADER[[#This Row],[A]])-1</calculatedColumnFormula>
    </tableColumn>
    <tableColumn id="68" xr3:uid="{09E388EE-11E8-EE40-AFDA-665C399A4A38}" name="index" dataDxfId="2086" totalsRowDxfId="2085">
      <calculatedColumnFormula>_xlfn.XMATCH(TabTRADER[[#This Row],[ClickTick]]&amp;1, TabConsolid[#Headers])</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94A2884-1EAF-2440-ABF7-1645FA906D96}" name="TabCalc" displayName="TabCalc" ref="A2:DC97" totalsRowCount="1" headerRowDxfId="2054">
  <autoFilter ref="A2:DC96" xr:uid="{C94A2884-1EAF-2440-ABF7-1645FA906D96}"/>
  <tableColumns count="107">
    <tableColumn id="12" xr3:uid="{0F5B2D42-2A6A-3E47-981E-DFEFA4FB933B}" name="Cur" dataDxfId="2053" totalsRowDxfId="2052">
      <calculatedColumnFormula>_xlfn.XLOOKUP(TabCalc[[#This Row],[Ticker]],[1]!RTData[Ticker symbol],[1]!RTData[Currency])</calculatedColumnFormula>
    </tableColumn>
    <tableColumn id="11" xr3:uid="{1AECACE1-E3D9-6449-814E-049162DE6BD7}" name="Scale" dataDxfId="2051" totalsRowDxfId="2050">
      <calculatedColumnFormula>IF(TabCalc[[#This Row],[Cur]]="GBP",0.01,1)</calculatedColumnFormula>
    </tableColumn>
    <tableColumn id="2" xr3:uid="{79940D82-514D-B946-ABF3-4043A316AFB0}" name="Nbegin" dataDxfId="2049">
      <calculatedColumnFormula>_xlfn.XLOOKUP(TabCalc[[#This Row],[Ticker]],DM$3:DM$96,DN$3:DN$96)</calculatedColumnFormula>
    </tableColumn>
    <tableColumn id="3" xr3:uid="{5B2C5F05-73FF-2042-B2C7-D6F523FC5E81}" name="PriceBeg" dataDxfId="2048" totalsRowDxfId="2047">
      <calculatedColumnFormula>_xlfn.XLOOKUP(TabCalc[[#This Row],[Ticker]],DM$3:DM$96,DO$3:DO$96)</calculatedColumnFormula>
    </tableColumn>
    <tableColumn id="4" xr3:uid="{24DC3B7F-9B31-024E-B53D-219E6C7D5AE7}" name="ValueBegin" totalsRowFunction="sum" dataDxfId="2046" totalsRowDxfId="2045">
      <calculatedColumnFormula>SUMPRODUCT(C3,D3,B3)</calculatedColumnFormula>
    </tableColumn>
    <tableColumn id="5" xr3:uid="{90E3CC6B-3435-2A4D-B969-2D690A7A4D90}" name="M_V" totalsRowFunction="sum" dataDxfId="2044" totalsRowDxfId="2043">
      <calculatedColumnFormula>TabCalc[[#This Row],[NAfter]]*TabCalc[[#This Row],[M]]*TabCalc[[#This Row],[Scale]]</calculatedColumnFormula>
    </tableColumn>
    <tableColumn id="9" xr3:uid="{17196C10-F846-944B-8D6F-A909FA9CA6C3}" name="NAfter" dataDxfId="2042">
      <calculatedColumnFormula>IFERROR(TabCalc[[#This Row],[SB]]-TabCalc[[#This Row],[SST]],TabCalc[[#This Row],[SB]])</calculatedColumnFormula>
    </tableColumn>
    <tableColumn id="1" xr3:uid="{2F69AA85-E0C5-5649-9823-CAE9A5A0CBB5}" name="Ticker" totalsRowLabel="Total" dataDxfId="2041">
      <calculatedColumnFormula>[1]!RTData[[#This Row],[Ticker symbol]]</calculatedColumnFormula>
    </tableColumn>
    <tableColumn id="6" xr3:uid="{4AB40075-F4E8-2743-9BA0-E64582E2C63F}" name="M" dataDxfId="2040" totalsRowDxfId="2039">
      <calculatedColumnFormula>[1]!RTData[[#This Row],[M-Price]]</calculatedColumnFormula>
    </tableColumn>
    <tableColumn id="89" xr3:uid="{593FD77D-7493-0348-8517-405F87BFD0F2}" name="A" dataDxfId="2038" totalsRowDxfId="2037" dataCellStyle="Comma">
      <calculatedColumnFormula>_xlfn.XLOOKUP(TabCalc[[#This Row],[Ticker]]&amp;2,#REF!,#REF!)</calculatedColumnFormula>
    </tableColumn>
    <tableColumn id="76" xr3:uid="{6DD12444-E9F0-8D49-B8AB-20E86CF499C6}" name="Y" dataDxfId="2036" totalsRowDxfId="2035">
      <calculatedColumnFormula>[1]!RTData[[#This Row],[1YT]]</calculatedColumnFormula>
    </tableColumn>
    <tableColumn id="31" xr3:uid="{2AFC8A0F-DB21-7940-9164-133266F4D5CA}" name="E" dataDxfId="2034" totalsRowDxfId="2033" dataCellStyle="Comma">
      <calculatedColumnFormula>IF(OR(TabCalc[[#This Row],[NAfter]]=0,TabCalc[[#This Row],[EfCost]]&gt;0),0,TabCalc[[#This Row],[EfCost]]/TabCalc[[#This Row],[NAfter]]/TabCalc[[#This Row],[Scale]])</calculatedColumnFormula>
    </tableColumn>
    <tableColumn id="88" xr3:uid="{69D77B69-0989-0D41-89D3-E175D978C58F}" name="Ch_Today" dataDxfId="2032" totalsRowDxfId="2031" dataCellStyle="Percent">
      <calculatedColumnFormula>[1]!RTData[[#This Row],[Change%]]</calculatedColumnFormula>
    </tableColumn>
    <tableColumn id="94" xr3:uid="{026ACAF4-BBD8-BE46-A3D3-9212D85F81A2}" name="Up20" dataDxfId="2030" totalsRowDxfId="2029" dataCellStyle="Percent"/>
    <tableColumn id="98" xr3:uid="{CBD64ADC-34AE-BE41-923A-A11C1C477BF0}" name="Imp20" dataDxfId="2028" totalsRowDxfId="2027" dataCellStyle="Percent">
      <calculatedColumnFormula>TabCalc[[#This Row],[Up20]]-1+TabCalc[[#This Row],[Up20]]</calculatedColumnFormula>
    </tableColumn>
    <tableColumn id="95" xr3:uid="{C3B02805-2FCB-254F-992B-F61A900C6715}" name="DifUps" dataDxfId="2026" totalsRowDxfId="2025" dataCellStyle="Percent">
      <calculatedColumnFormula>TabCalc[[#This Row],[Up20]]-TabCalc[[#This Row],[Up150]]</calculatedColumnFormula>
    </tableColumn>
    <tableColumn id="93" xr3:uid="{20FA27BE-2257-A94D-84D7-413544098B2E}" name="Up150" dataDxfId="2024" totalsRowDxfId="2023" dataCellStyle="Percent"/>
    <tableColumn id="97" xr3:uid="{17A0CA6F-6756-D741-BA84-AA541111FDAD}" name="Imp150" dataDxfId="2022" totalsRowDxfId="2021" dataCellStyle="Percent">
      <calculatedColumnFormula>TabCalc[[#This Row],[Up150]]-1+TabCalc[[#This Row],[Up150]]</calculatedColumnFormula>
    </tableColumn>
    <tableColumn id="99" xr3:uid="{867135F0-2D21-6C40-A1ED-DD7A80D7DF28}" name="DPWC150" totalsRowFunction="average" dataDxfId="2020" totalsRowDxfId="2019" dataCellStyle="Percent">
      <calculatedColumnFormula>IFERROR(SUMPRODUCT(DataShift!F1497:Z1497,DataShift!AB704:AV704)/SQRT(SUMPRODUCT(DataShift!F1497:Z1497,DataShift!F1497:Z1497)*SUMPRODUCT(DataShift!AB704:AV704,DataShift!AB704:AV704)),0)</calculatedColumnFormula>
    </tableColumn>
    <tableColumn id="96" xr3:uid="{D79FD833-163B-9C48-B912-D4463E36266B}" name="DPWC20" totalsRowFunction="average" dataDxfId="2018" totalsRowDxfId="2017" dataCellStyle="Percent">
      <calculatedColumnFormula>IFERROR(SUMPRODUCT(DataShift!F1497:Z1497,DataShift!F704:Z704)/SQRT(SUMPRODUCT(DataShift!F1497:Z1497,DataShift!F1497:Z1497)*SUMPRODUCT(DataShift!F704:Z704,DataShift!F704:Z704)),0)</calculatedColumnFormula>
    </tableColumn>
    <tableColumn id="106" xr3:uid="{0388AD64-9043-6B44-ACB5-7D5895AE8489}" name="AMZ" dataDxfId="2016" totalsRowDxfId="2015" dataCellStyle="Percent"/>
    <tableColumn id="105" xr3:uid="{E585BCF0-24A6-CE48-AAD9-AA41784D95F1}" name="BMZ" dataDxfId="2014" totalsRowDxfId="2013" dataCellStyle="Percent"/>
    <tableColumn id="104" xr3:uid="{11AD2B90-C720-F24E-A0C2-E6CFDE92521B}" name="NMZ" totalsRowFunction="count" dataDxfId="2012" totalsRowDxfId="2011" dataCellStyle="Percent"/>
    <tableColumn id="100" xr3:uid="{8C13792E-F7C4-7147-AAFE-3C5B0E4FF22C}" name="Type" totalsRowFunction="custom" dataDxfId="2010" totalsRowDxfId="2009" dataCellStyle="Percent">
      <calculatedColumnFormula>IF(TabCalc[[#This Row],[EfCost]]+TabCalc[[#This Row],[M_V]]&lt;TabCalc[[#This Row],[NoT_GL]],"Pile","")</calculatedColumnFormula>
      <totalsRowFormula>COUNTIF(TabCalc[Type],"Pile")</totalsRowFormula>
    </tableColumn>
    <tableColumn id="87" xr3:uid="{5DA22C5B-5AD3-1A4B-8D74-BE5E424B720D}" name="for_A=Y" dataDxfId="2008" totalsRowDxfId="2007">
      <calculatedColumnFormula>IF(   OR(TabCalc[[#This Row],[E]]&gt;0,TabCalc[[#This Row],[A]]&lt;TabCalc[[#This Row],[Y]]),         "",                TEXT(INT( (TabCalc[[#This Row],[NAfter]]*(TabCalc[[#This Row],[A]]-TabCalc[[#This Row],[Y]])/ (TabCalc[[#This Row],[Y]]-TabCalc[[#This Row],[M]]))),"#,#0")&amp;" = $ "&amp;TEXT(INT( INT( (TabCalc[[#This Row],[NAfter]]*(TabCalc[[#This Row],[A]]-TabCalc[[#This Row],[Y]])/ (TabCalc[[#This Row],[Y]]-TabCalc[[#This Row],[M]])))*TabCalc[[#This Row],[M]]),"#,#0"))</calculatedColumnFormula>
    </tableColumn>
    <tableColumn id="69" xr3:uid="{1E7DE574-771B-764F-B9FE-866229A1BDD0}" name="Rev(MinStock)" totalsRowFunction="sum" dataDxfId="2006" totalsRowDxfId="2005" dataCellStyle="Comma">
      <calculatedColumnFormula>MIN(TabCalc[[#This Row],[L_Bn]],TabCalc[[#This Row],[NAfter]])*(TabCalc[[#This Row],[M]]+TabCalc[[#This Row],[L_Bp]])*TabCalc[[#This Row],[Scale]]</calculatedColumnFormula>
    </tableColumn>
    <tableColumn id="57" xr3:uid="{61CB5DD9-990C-444A-8A9A-B5A3F63AC5BA}" name="L_Bdate" dataDxfId="2004" totalsRowDxfId="2003" dataCellStyle="Comma">
      <calculatedColumnFormula array="1">_xlfn.XLOOKUP(TabCalc[[#This Row],[L_Bp]],INDIRECT("TabReg["&amp;TabCalc[[#This Row],[Ticker]]&amp;"2]"),INDIRECT("TabReg["&amp;TabCalc[[#This Row],[Ticker]]&amp;"]"))</calculatedColumnFormula>
    </tableColumn>
    <tableColumn id="58" xr3:uid="{B97BBC50-62D2-D74E-B0AC-9A79AFFB8818}" name="L_Bn" dataDxfId="2002" totalsRowDxfId="2001" dataCellStyle="Comma">
      <calculatedColumnFormula array="1">_xlfn.XLOOKUP(TabCalc[[#This Row],[L_Bp]],INDIRECT("TabReg["&amp;TabCalc[[#This Row],[Ticker]]&amp;"2]"),INDIRECT("TabReg["&amp;TabCalc[[#This Row],[Ticker]]&amp;"1]"))</calculatedColumnFormula>
    </tableColumn>
    <tableColumn id="55" xr3:uid="{A1199879-DD12-CB4E-AAD8-E0534D24B690}" name="L_Bp" dataDxfId="2000" totalsRowDxfId="1999" dataCellStyle="Comma">
      <calculatedColumnFormula array="1">IFERROR(INDEX(INDIRECT("TabReg["&amp;TabCalc[[#This Row],[Ticker]]&amp;"2]"),    _xlfn.XMATCH(    MAX(    _xlfn._xlws.FILTER(INDIRECT("TabReg["&amp;TabCalc[[#This Row],[Ticker]]&amp;"]"), INDIRECT("TabReg["&amp;TabCalc[[#This Row],[Ticker]]&amp;"2]")&lt;0)     ), INDIRECT("TabReg["&amp;TabCalc[[#This Row],[Ticker]]&amp;"]"),      0)), "")</calculatedColumnFormula>
    </tableColumn>
    <tableColumn id="70" xr3:uid="{371888A5-49AB-744E-BA1B-04DDD0D4EA13}" name="ReverseS1" totalsRowFunction="sum" dataDxfId="1998" totalsRowDxfId="1997" dataCellStyle="Comma">
      <calculatedColumnFormula>IFERROR(MIN(TabCalc[[#This Row],[L_B1n]],TabCalc[[#This Row],[NAfter]])*(TabCalc[[#This Row],[M]]+TabCalc[[#This Row],[L_B1p]])*TabCalc[[#This Row],[Scale]],"")</calculatedColumnFormula>
    </tableColumn>
    <tableColumn id="66" xr3:uid="{82A32C1F-EE4F-AB4B-BF62-F8332273D8CE}" name="L_B1D" dataDxfId="1996" totalsRowDxfId="1995" dataCellStyle="Comma">
      <calculatedColumnFormula array="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calculatedColumnFormula>
    </tableColumn>
    <tableColumn id="67" xr3:uid="{A23D23D6-CF24-2241-8C92-07B6F89E6D65}" name="L_B1n" dataDxfId="1994" totalsRowDxfId="1993" dataCellStyle="Comma">
      <calculatedColumnFormula array="1">IFERROR(_xlfn.XLOOKUP(TabCalc[[#This Row],[L_B1D]],INDIRECT("TabReg["&amp;TabCalc[[#This Row],[Ticker]]&amp;"]"),INDIRECT("TabReg["&amp;TabCalc[[#This Row],[Ticker]]&amp;"1]")),0)</calculatedColumnFormula>
    </tableColumn>
    <tableColumn id="68" xr3:uid="{EC794CBD-6566-4948-B411-6F9BCAA6E877}" name="L_B1p" dataDxfId="1992" totalsRowDxfId="1991" dataCellStyle="Comma">
      <calculatedColumnFormula array="1">IFERROR(_xlfn.XLOOKUP(TabCalc[[#This Row],[L_B1D]],INDIRECT("TabReg["&amp;TabCalc[[#This Row],[Ticker]]&amp;"]"),INDIRECT("TabReg["&amp;TabCalc[[#This Row],[Ticker]]&amp;"2]")),0)</calculatedColumnFormula>
    </tableColumn>
    <tableColumn id="71" xr3:uid="{0D6A45D5-CEC2-7944-8391-B29D43072BD2}" name="ReverseB" totalsRowFunction="sum" dataDxfId="1990" totalsRowDxfId="1989" dataCellStyle="Calculation">
      <calculatedColumnFormula>IFERROR(TabCalc[[#This Row],[L_Sn]]*(TabCalc[[#This Row],[L_Sp]]-TabCalc[[#This Row],[M]])*TabCalc[[#This Row],[Scale]],"")</calculatedColumnFormula>
    </tableColumn>
    <tableColumn id="51" xr3:uid="{6CAE4E9A-EAC5-3147-B472-CEE8C1395CBA}" name="L_SDate" dataDxfId="1988" totalsRowDxfId="1987" dataCellStyle="Comma">
      <calculatedColumnFormula array="1">IFERROR(_xlfn.XLOOKUP(TabCalc[[#This Row],[L_Sp]],INDIRECT("TabReg["&amp;TabCalc[[#This Row],[Ticker]]&amp;"2]"),INDIRECT("TabReg["&amp;TabCalc[[#This Row],[Ticker]]&amp;"]")),0)</calculatedColumnFormula>
    </tableColumn>
    <tableColumn id="52" xr3:uid="{CA2068E8-ABC8-BC44-AE33-84D5CCD68A5F}" name="L_Sn" dataDxfId="1986" totalsRowDxfId="1985" dataCellStyle="Comma">
      <calculatedColumnFormula array="1">IFERROR(_xlfn.XLOOKUP(TabCalc[[#This Row],[L_Sp]],INDIRECT("TabReg["&amp;TabCalc[[#This Row],[Ticker]]&amp;"2]"),INDIRECT("TabReg["&amp;TabCalc[[#This Row],[Ticker]]&amp;"1]")),0)</calculatedColumnFormula>
    </tableColumn>
    <tableColumn id="53" xr3:uid="{819EC69D-E45B-A148-8905-D7C2151C3172}" name="L_Sp" dataDxfId="1984" totalsRowDxfId="1983" dataCellStyle="Comma">
      <calculatedColumnFormula array="1">IFERROR(INDEX(INDIRECT("TabReg["&amp;TabCalc[[#This Row],[Ticker]]&amp;"2]"), _xlfn.XMATCH(MAX(_xlfn._xlws.FILTER(INDIRECT("TabReg["&amp;TabCalc[[#This Row],[Ticker]]&amp;"]"), INDIRECT("TabReg["&amp;TabCalc[[#This Row],[Ticker]]&amp;"2]")&gt;0)), INDIRECT("TabReg["&amp;TabCalc[[#This Row],[Ticker]]&amp;"]"), 0)), 0)</calculatedColumnFormula>
    </tableColumn>
    <tableColumn id="72" xr3:uid="{929CD31C-0AD2-3A47-8384-4B46851B0D0C}" name="ReverseB1" totalsRowFunction="sum" dataDxfId="1982" totalsRowDxfId="1981" dataCellStyle="Calculation">
      <calculatedColumnFormula>IFERROR(TabCalc[[#This Row],[L_S1n]]*(TabCalc[[#This Row],[L_S1p]]-TabCalc[[#This Row],[M]])*TabCalc[[#This Row],[Scale]],0)</calculatedColumnFormula>
    </tableColumn>
    <tableColumn id="63" xr3:uid="{63AB1132-34CF-3A46-9EF3-A6CDF1D161BA}" name="L_S1D" dataDxfId="1980" totalsRowDxfId="1979" dataCellStyle="Comma">
      <calculatedColumnFormula array="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calculatedColumnFormula>
    </tableColumn>
    <tableColumn id="64" xr3:uid="{DDFBBE77-F03B-8A40-97B9-9862459D936D}" name="L_S1n" dataDxfId="1978" totalsRowDxfId="1977" dataCellStyle="Comma">
      <calculatedColumnFormula array="1">IFERROR(_xlfn.XLOOKUP(TabCalc[[#This Row],[L_S1D]],INDIRECT("TabReg["&amp;TabCalc[[#This Row],[Ticker]]&amp;"]"),INDIRECT("TabReg["&amp;TabCalc[[#This Row],[Ticker]]&amp;"1]")),0)</calculatedColumnFormula>
    </tableColumn>
    <tableColumn id="65" xr3:uid="{5F2C8C1E-890B-AD48-814D-4077590D33B8}" name="L_S1p" dataDxfId="1976" totalsRowDxfId="1975" dataCellStyle="Comma">
      <calculatedColumnFormula array="1">IFERROR(_xlfn.XLOOKUP(TabCalc[[#This Row],[L_S1D]],INDIRECT("TabReg["&amp;TabCalc[[#This Row],[Ticker]]&amp;"]"),INDIRECT("TabReg["&amp;TabCalc[[#This Row],[Ticker]]&amp;"2]")),0)</calculatedColumnFormula>
    </tableColumn>
    <tableColumn id="60" xr3:uid="{DD534D6C-83D1-D94A-B1D8-873D4283DA41}" name="SaldOp" totalsRowFunction="sum" dataDxfId="1974" totalsRowDxfId="1973" dataCellStyle="Comma">
      <calculatedColumnFormula>_xlfn.LET(_xlpm.MVOpen,[1]!RTData[[#This Row],[Open]]*TabCalc[[#This Row],[NAfter]],_xlpm.MVNow,TabCalc[[#This Row],[M]]*TabCalc[[#This Row],[NAfter]],_xlpm.MVNow-_xlpm.MVOpen)*TabCalc[[#This Row],[Scale]]</calculatedColumnFormula>
    </tableColumn>
    <tableColumn id="92" xr3:uid="{5074A234-DDEB-7A45-8CEE-A7290F2C5E3D}" name="SinceClose" dataDxfId="1972" totalsRowDxfId="1971" dataCellStyle="Comma">
      <calculatedColumnFormula>_xlfn.LET(_xlpm.MVToday,DataShift!AV505,         _xlpm.MVY,DataShift!AU505,        _xlpm.MVYY, DataShift!AT505,                                IF(_xlpm.MVToday=_xlpm.MVY,_xlpm.MVY-_xlpm.MVYY,_xlpm.MVToday-_xlpm.MVY))</calculatedColumnFormula>
    </tableColumn>
    <tableColumn id="102" xr3:uid="{25C4159D-5743-C044-8D4F-4991188FB902}" name="PreDay" dataDxfId="1970" totalsRowDxfId="1969" dataCellStyle="Comma">
      <calculatedColumnFormula>_xlfn.LET(_xlpm.MVToday,DataShift!AV505,         _xlpm.MVY,DataShift!AU505,        _xlpm.MVYY, DataShift!AT505,         _xlpm.MVYYY, DataShift!AS505,                      IF(_xlpm.MVToday=_xlpm.MVY,      _xlpm.MVYY-_xlpm.MVYYY,          _xlpm.MVY-_xlpm.MVYY))</calculatedColumnFormula>
    </tableColumn>
    <tableColumn id="61" xr3:uid="{9E2EEBC4-B160-4740-A1E1-7B85B5283017}" name="Gravity" totalsRowFunction="average" dataDxfId="1968" totalsRowDxfId="1967" dataCellStyle="Comma">
      <calculatedColumnFormula>TabCalc[[#This Row],[Y]]/TabCalc[[#This Row],[M]]</calculatedColumnFormula>
    </tableColumn>
    <tableColumn id="62" xr3:uid="{A6A715A1-5EAC-7D4E-A0A1-D497A62E967F}" name="Refill1" dataDxfId="1966" totalsRowDxfId="1965" dataCellStyle="Comma">
      <calculatedColumnFormula array="1">IFERROR(_xlfn.IFS(          TabCalc[[#This Row],[E]]&gt;0, "Free Trade",      TabCalc[[#This Row],[A]]&lt;MIN(TabCalc[[#This Row],[L_Sp]],TabCalc[[#This Row],[M]]), "Buy",            TabCalc[[#This Row],[M]]&lt;TabCalc[[#This Row],[L_Sp]],       "Refill",       TabCalc[[#This Row],[M]]&gt;TabCalc[[#This Row],[L_Sp]],"S_more"),"")</calculatedColumnFormula>
    </tableColumn>
    <tableColumn id="82" xr3:uid="{97571196-CB31-4041-B3D8-B3DEC10FA310}" name="Refill2" dataDxfId="1964" totalsRowDxfId="1963" dataCellStyle="Comma">
      <calculatedColumnFormula>IF(           AND(TabCalc[[#This Row],[E]]&lt;=0,          TabCalc[[#This Row],[A]]&gt;MIN(TabCalc[[#This Row],[M]],TabCalc[[#This Row],[L_Sp]]),             TabCalc[[#This Row],[L_Sp]]&lt;=TabCalc[[#This Row],[M]]),                       "S_more","")</calculatedColumnFormula>
    </tableColumn>
    <tableColumn id="7" xr3:uid="{2E16BDCD-AE22-EF40-A9DC-AC1B7BA116AE}" name="Resale" dataDxfId="1962">
      <calculatedColumnFormula array="1">IFERROR(_xlfn.IFS(TabCalc[[#This Row],[E]]&gt;0,"Free trade",                 TabCalc[[#This Row],[A]]&lt;MAX(ABS(TabCalc[[#This Row],[L_Bp]]),TabCalc[[#This Row],[A]]),"Sell",             TabCalc[[#This Row],[M]]&gt;ABS(TabCalc[[#This Row],[L_Bp]]),"Resell",             TabCalc[[#This Row],[M]]&lt;ABS(TabCalc[[#This Row],[L_Bp]]),"B_more"),"")</calculatedColumnFormula>
    </tableColumn>
    <tableColumn id="83" xr3:uid="{91170B4F-730D-A640-B42C-10884697EF46}" name="Extran" dataDxfId="1961">
      <calculatedColumnFormula>TabCalc[[#This Row],[NAfter]]-TabCalc[[#This Row],[Nbegin]]</calculatedColumnFormula>
    </tableColumn>
    <tableColumn id="8" xr3:uid="{3ED81788-89C0-E043-B2C8-940FCCF3F968}" name="Repulse" totalsRowFunction="min" dataDxfId="1960" totalsRowDxfId="1959">
      <calculatedColumnFormula>IFERROR((TabCalc[[#This Row],[M]]-TabCalc[[#This Row],[Y]])*(TabCalc[[#This Row],[M]]-TabCalc[[#This Row],[Y]])*(TabCalc[[#This Row],[M]]-TabCalc[[#This Row],[Y]])/(TabCalc[[#This Row],[Y]]*TabCalc[[#This Row],[M]]),"")</calculatedColumnFormula>
    </tableColumn>
    <tableColumn id="10" xr3:uid="{742FEA6C-1386-9649-A227-FE3B3FEB4C46}" name="Ori_Sold" dataDxfId="1958">
      <calculatedColumnFormula>IF(G3&lt;C3,C3-G3,0)</calculatedColumnFormula>
    </tableColumn>
    <tableColumn id="13" xr3:uid="{9306F3B6-FAED-BF41-9784-D24E68FA8E08}" name="V/VA" dataCellStyle="Percent">
      <calculatedColumnFormula>[1]!RTData[[#This Row],[V/VA]]</calculatedColumnFormula>
    </tableColumn>
    <tableColumn id="14" xr3:uid="{64584A98-1609-EA47-928A-85F6E57963D8}" name="TimeEX" dataDxfId="1957" dataCellStyle="Percent">
      <calculatedColumnFormula array="1">IFERROR(_xlfn.IFS(TabCalc[[#This Row],[Cur]]="USD",Timer!F$27,TabCalc[[#This Row],[Cur]]="EUR",Timer!F$18,TabCalc[[#This Row],[Cur]]="GBP",Timer!F$12,TabCalc[[#This Row],[Cur]]="CAD",Timer!F$27,TabCalc[[#This Row],[Cur]]="JPY",Timer!F$31,TabCalc[[#This Row],[Cur]]="CHF",Timer!F$18),"Timing")</calculatedColumnFormula>
    </tableColumn>
    <tableColumn id="15" xr3:uid="{30563194-BFC5-9F4F-AC67-0E4620ABC02B}" name="Agiotage" dataDxfId="1956" dataCellStyle="Percent">
      <calculatedColumnFormula>IF(ISNUMBER(TabCalc[[#This Row],[TimeEX]]),TabCalc[[#This Row],[V/VA]]/TabCalc[[#This Row],[TimeEX]],TabCalc[[#This Row],[V/VA]])</calculatedColumnFormula>
    </tableColumn>
    <tableColumn id="16" xr3:uid="{E95746C7-89D0-DA4D-8303-4531E4BF4FC1}" name="NoT_C" totalsRowFunction="count" dataDxfId="1955" totalsRowDxfId="1954" dataCellStyle="Comma">
      <calculatedColumnFormula array="1">INDEX(TabReg[], 1, _xlfn.XMATCH(TabCalc[[#This Row],[Ticker]]&amp;1, TabReg[#Headers], 0))</calculatedColumnFormula>
    </tableColumn>
    <tableColumn id="17" xr3:uid="{661CE259-E64B-DB47-A6BC-A5148B2937DB}" name="NoT_GL" totalsRowFunction="sum" dataDxfId="1953" totalsRowDxfId="1952" dataCellStyle="Comma">
      <calculatedColumnFormula>TabCalc[[#This Row],[Nbegin]]*TabCalc[[#This Row],[M]]*TabCalc[[#This Row],[Scale]]+TabCalc[[#This Row],[ValueBegin]]</calculatedColumnFormula>
    </tableColumn>
    <tableColumn id="18" xr3:uid="{AE2EBD48-00F0-E646-B666-E964C45EF224}" name="Free" totalsRowFunction="sum" dataDxfId="1951" totalsRowDxfId="1950" dataCellStyle="Comma">
      <calculatedColumnFormula array="1">_xlfn.IFS(TabCalc[[#This Row],[Cost+Gain]]&gt;0,"Free",             TabCalc[[#This Row],[GL]]&gt;0,"Gainer",                TRUE,"Looser")</calculatedColumnFormula>
    </tableColumn>
    <tableColumn id="28" xr3:uid="{DB09D693-CEE2-6841-BEF2-459A1A933876}" name="AddBuys" totalsRowFunction="sum" dataDxfId="1949" totalsRowDxfId="1948" dataCellStyle="Comma">
      <calculatedColumnFormula>TabCalc[[#This Row],[Tot_Paid]]-TabCalc[[#This Row],[ValueBegin]]</calculatedColumnFormula>
    </tableColumn>
    <tableColumn id="81" xr3:uid="{7891CD83-058E-0247-BEB0-98866D1BADC5}" name="AddCash" totalsRowFunction="sum" dataDxfId="1947" totalsRowDxfId="1946" dataCellStyle="Comma">
      <calculatedColumnFormula>IF(TabCalc[[#This Row],[EfCost]]&gt;TabCalc[[#This Row],[ValueBegin]],       0,        TabCalc[[#This Row],[EfCost]]-TabCalc[[#This Row],[ValueBegin]]*(1+Commission))</calculatedColumnFormula>
    </tableColumn>
    <tableColumn id="86" xr3:uid="{9E2E601B-FCE4-324A-84E3-918A834D6968}" name="AddValue" totalsRowFunction="sum" dataDxfId="1945" totalsRowDxfId="1944" dataCellStyle="Comma">
      <calculatedColumnFormula>TabCalc[[#This Row],[M_V]]+TabCalc[[#This Row],[ValueBegin]]</calculatedColumnFormula>
    </tableColumn>
    <tableColumn id="20" xr3:uid="{F30A4AB2-55E0-994C-B1F8-F1BF294BAA34}" name="Tot_Paid" totalsRowFunction="sum" dataDxfId="1943" totalsRowDxfId="1942" dataCellStyle="Comma">
      <calculatedColumnFormula array="1">SUMPRODUCT(_xlfn._xlws.FILTER(INDIRECT("TabReg["&amp;TabCalc[[#This Row],[Ticker]]&amp;"1]") * INDIRECT("TabReg["&amp;TabCalc[[#This Row],[Ticker]]&amp;"2]"), INDIRECT("TabReg["&amp;TabCalc[[#This Row],[Ticker]]&amp;"2]")&lt;0))*(1+Commission)*TabCalc[[#This Row],[Scale]]</calculatedColumnFormula>
    </tableColumn>
    <tableColumn id="19" xr3:uid="{B4FEC224-FFBB-314A-A29E-3E549D08E7A7}" name="EfCost" totalsRowFunction="sum" dataDxfId="1941" totalsRowDxfId="1940" dataCellStyle="Comma">
      <calculatedColumnFormula array="1">SUMPRODUCT(IF(INDIRECT("TabReg["&amp;TabCalc[[#This Row],[Ticker]]&amp;"2]") ="", 0, INDIRECT("TabReg["&amp;TabCalc[[#This Row],[Ticker]]&amp;"1]") * INDIRECT("TabReg["&amp;TabCalc[[#This Row],[Ticker]]&amp;"2]") ))*TabCalc[[#This Row],[Scale]]</calculatedColumnFormula>
    </tableColumn>
    <tableColumn id="25" xr3:uid="{6C6DC5F2-E7A6-AA4C-B9EE-41CA60FA07DF}" name="S_Income" totalsRowFunction="sum" dataDxfId="1939" totalsRowDxfId="1938" dataCellStyle="Comma">
      <calculatedColumnFormula array="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calculatedColumnFormula>
    </tableColumn>
    <tableColumn id="30" xr3:uid="{3C1B3BEC-B1EC-F743-8704-884835E90184}" name="GL" totalsRowFunction="sum" dataDxfId="1937" totalsRowDxfId="1936" dataCellStyle="Comma">
      <calculatedColumnFormula>TabCalc[[#This Row],[M_V]]+TabCalc[[#This Row],[EfCost]]</calculatedColumnFormula>
    </tableColumn>
    <tableColumn id="29" xr3:uid="{ECEB5A93-8BB2-A14E-B72F-CF2C9E93A299}" name="Cost+Gain" totalsRowFunction="sum" dataDxfId="1935" totalsRowDxfId="1934" dataCellStyle="Comma">
      <calculatedColumnFormula>IF(        OR( TabCalc[[#This Row],[GL]]&gt;ABS(TabCalc[[#This Row],[EfCost]]),TabCalc[[#This Row],[NAfter]]=0),             TabCalc[[#This Row],[GL]],     0)</calculatedColumnFormula>
    </tableColumn>
    <tableColumn id="24" xr3:uid="{3819A9BC-F941-604F-B0CE-1F4B1F951905}" name="SB" totalsRowFunction="sum" dataDxfId="1933" totalsRowDxfId="1932" dataCellStyle="Comma">
      <calculatedColumnFormula array="1">SUMPRODUCT(_xlfn._xlws.FILTER(IF(INDIRECT("TabReg["&amp;TabCalc[[#This Row],[Ticker]]&amp;"2]") ="", 0, INDIRECT("TabReg["&amp;TabCalc[[#This Row],[Ticker]]&amp;"1]")  ),  INDIRECT("TabReg["&amp;TabCalc[[#This Row],[Ticker]]&amp;"2]") &lt; 0))</calculatedColumnFormula>
    </tableColumn>
    <tableColumn id="21" xr3:uid="{0E2A43D5-3C05-E04C-88E9-F6901AC24C0D}" name="SABT" totalsRowFunction="sum" dataDxfId="1931" totalsRowDxfId="1930" dataCellStyle="Comma">
      <calculatedColumnFormula>TabCalc[[#This Row],[SB]]-TabCalc[[#This Row],[Nbegin]]</calculatedColumnFormula>
    </tableColumn>
    <tableColumn id="23" xr3:uid="{4E9DD018-B419-3E40-8C39-3EA46D617A64}" name="SST" totalsRowFunction="sum" dataDxfId="1929" totalsRowDxfId="1928" dataCellStyle="Comma">
      <calculatedColumnFormula array="1">IFERROR(SUMPRODUCT(_xlfn._xlws.FILTER(IF(INDIRECT("TabReg["&amp;TabCalc[[#This Row],[Ticker]]&amp;"2]") ="", 0, INDIRECT("TabReg["&amp;TabCalc[[#This Row],[Ticker]]&amp;"1]")  ),  INDIRECT("TabReg["&amp;TabCalc[[#This Row],[Ticker]]&amp;"2]") &gt; 0)),0)</calculatedColumnFormula>
    </tableColumn>
    <tableColumn id="26" xr3:uid="{7BC178F1-C029-CE48-AC7F-AD20FED45FD5}" name="BuyBound" dataDxfId="1927" totalsRowDxfId="1926" dataCellStyle="Comma">
      <calculatedColumnFormula>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calculatedColumnFormula>
    </tableColumn>
    <tableColumn id="27" xr3:uid="{FD736ACB-AB11-8B46-B070-C524876A3B4B}" name="Pile?" dataDxfId="1925" totalsRowDxfId="1924" dataCellStyle="Comma">
      <calculatedColumnFormula>IF(TabCalc[[#This Row],[EfCost]]+TabCalc[[#This Row],[M_V]]&lt;TabCalc[[#This Row],[NoT_GL]],"Pile","")</calculatedColumnFormula>
    </tableColumn>
    <tableColumn id="34" xr3:uid="{4565A2A1-5EDC-FF47-84D2-E24B40FBD98E}" name="L-ExT" dataDxfId="1923" totalsRowDxfId="1922" dataCellStyle="Comma">
      <calculatedColumnFormula>[1]!RTData[[#This Row],[Last trade time]]</calculatedColumnFormula>
    </tableColumn>
    <tableColumn id="32" xr3:uid="{B1DB4F36-B904-474A-B050-47338283DA35}" name="CostReduct" totalsRowFunction="sum" dataDxfId="1921" totalsRowDxfId="1920" dataCellStyle="Comma">
      <calculatedColumnFormula>(TabCalc[[#This Row],[ValueBegin]]+(TabCalc[[#This Row],[M]]-TabCalc[[#This Row],[A]])*TabCalc[[#This Row],[NAfter]])*TabCalc[[#This Row],[Scale]]</calculatedColumnFormula>
    </tableColumn>
    <tableColumn id="36" xr3:uid="{170CFEF4-900E-C344-B73F-EC5E388E31F1}" name="L_I1" dataDxfId="1919" totalsRowDxfId="1918" dataCellStyle="Comma">
      <calculatedColumnFormula array="1">_xlfn.XLOOKUP(TabCalc[[#This Row],[Ticker]],TabReg[[#Headers],[AAPL]:[UnknownX28]],Reg!B$72:KF$72)+3</calculatedColumnFormula>
    </tableColumn>
    <tableColumn id="37" xr3:uid="{B9D91A31-483A-7140-A42E-1CB6C1D429F2}" name="L_I2" dataDxfId="1917" totalsRowDxfId="1916" dataCellStyle="Comma">
      <calculatedColumnFormula array="1">_xlfn.XLOOKUP(TabCalc[[#This Row],[Ticker]],TabReg[[#Headers],[AAPL]:[UnknownX28]],Reg!B$73:KF$73)+2</calculatedColumnFormula>
    </tableColumn>
    <tableColumn id="22" xr3:uid="{8E34A39B-834E-354F-ADB3-DB7A321ABE6F}" name="L_TD" dataDxfId="1915" totalsRowDxfId="1914" dataCellStyle="Comma">
      <calculatedColumnFormula>IFERROR(MAX(TabCalc[[#This Row],[Max_SD]],TabCalc[[#This Row],[Max_PD]]),0)</calculatedColumnFormula>
    </tableColumn>
    <tableColumn id="90" xr3:uid="{487FCB73-3571-8F44-9430-C425B5EAA38E}" name="TradeType" dataDxfId="1913" totalsRowDxfId="1912" dataCellStyle="Comma">
      <calculatedColumnFormula array="1">_xlfn.IFS(TabCalc[[#This Row],[L_TP]]&lt;0,"Purchase",TabCalc[[#This Row],[L_TP]]&gt;0,"Sale")</calculatedColumnFormula>
    </tableColumn>
    <tableColumn id="38" xr3:uid="{0832896C-9759-BE41-A69C-9C619066560B}" name="L_T#" dataDxfId="1911" totalsRowDxfId="1910" dataCellStyle="Comma">
      <calculatedColumnFormula array="1">INDEX(Reg!$A$1:$KF$73,TabCalc[[#This Row],[L_I1]],TabCalc[[#This Row],[L_I2]])</calculatedColumnFormula>
    </tableColumn>
    <tableColumn id="39" xr3:uid="{491797D8-2284-B54E-8576-4AE558FEB74E}" name="L_TP" dataDxfId="1909" totalsRowDxfId="1908" dataCellStyle="Comma">
      <calculatedColumnFormula array="1">INDEX(Reg!$A$1:$KF$73,TabCalc[[#This Row],[L_I1]],TabCalc[[#This Row],[L_I2]]+1)</calculatedColumnFormula>
    </tableColumn>
    <tableColumn id="35" xr3:uid="{F649126A-1339-A142-93CA-70CCDF7B20D3}" name="Resale(ME)" totalsRowFunction="sum" dataDxfId="1907" totalsRowDxfId="1906" dataCellStyle="Comma">
      <calculatedColumnFormula>TabCalc[[#This Row],[NAfter]]*(TabCalc[[#This Row],[M]]-IF(TabCalc[[#This Row],[E]]&gt;0,0,TabCalc[[#This Row],[A]]))</calculatedColumnFormula>
    </tableColumn>
    <tableColumn id="42" xr3:uid="{80830DD6-ED9B-6D4C-AD1D-2BB8039767D9}" name="Min_SD" dataDxfId="1905" totalsRowDxfId="1904" dataCellStyle="Comma">
      <calculatedColumnFormula array="1">IFERROR(MIN(_xlfn._xlws.FILTER(INDIRECT("TabReg["&amp;TabCalc[[#This Row],[Ticker]]&amp;"]"), INDIRECT("TabReg["&amp;TabCalc[[#This Row],[Ticker]]&amp;"2]")&gt;0)),0)</calculatedColumnFormula>
    </tableColumn>
    <tableColumn id="43" xr3:uid="{F89BBC3C-4F74-EF46-A27D-4C943ADB2B3E}" name="Min_Sn" dataDxfId="1903" totalsRowDxfId="1902" dataCellStyle="Comma">
      <calculatedColumnFormula array="1">IFERROR(MIN(_xlfn._xlws.FILTER(INDIRECT("TabReg["&amp;TabCalc[[#This Row],[Ticker]]&amp;"1]"), INDIRECT("TabReg["&amp;TabCalc[[#This Row],[Ticker]]&amp;"2]")&gt;0)),0)</calculatedColumnFormula>
    </tableColumn>
    <tableColumn id="44" xr3:uid="{BDAB22CD-D535-184A-8CF5-ADC254BE3DEB}" name="Min_SP" dataDxfId="1901" totalsRowDxfId="1900" dataCellStyle="Comma">
      <calculatedColumnFormula array="1">IFERROR(MIN(_xlfn._xlws.FILTER(INDIRECT("TabReg["&amp;TabCalc[[#This Row],[Ticker]]&amp;"2]"), INDIRECT("TabReg["&amp;TabCalc[[#This Row],[Ticker]]&amp;"2]")&gt;0)),0)</calculatedColumnFormula>
    </tableColumn>
    <tableColumn id="45" xr3:uid="{E335D0E5-CFC2-A947-B7BD-120EA369286A}" name="Max_SD" dataDxfId="1899" totalsRowDxfId="1898" dataCellStyle="Comma">
      <calculatedColumnFormula array="1">IFERROR(MAX(_xlfn._xlws.FILTER(INDIRECT("TabReg["&amp;TabCalc[[#This Row],[Ticker]]&amp;"]"), INDIRECT("TabReg["&amp;TabCalc[[#This Row],[Ticker]]&amp;"2]")&gt;0)),0)</calculatedColumnFormula>
    </tableColumn>
    <tableColumn id="46" xr3:uid="{6D449514-A79E-104D-9623-52BA62C7519E}" name="Max_Sn" dataDxfId="1897" totalsRowDxfId="1896" dataCellStyle="Comma">
      <calculatedColumnFormula array="1">IFERROR(MAX(_xlfn._xlws.FILTER(INDIRECT("TabReg["&amp;TabCalc[[#This Row],[Ticker]]&amp;"1]"), INDIRECT("TabReg["&amp;TabCalc[[#This Row],[Ticker]]&amp;"2]")&gt;0)),0)</calculatedColumnFormula>
    </tableColumn>
    <tableColumn id="47" xr3:uid="{F38BA202-850B-AF4E-AA4F-8ACDF7D3D33E}" name="Max_SP" dataDxfId="1895" totalsRowDxfId="1894" dataCellStyle="Comma">
      <calculatedColumnFormula array="1">IFERROR(MAX(_xlfn._xlws.FILTER(INDIRECT("TabReg["&amp;TabCalc[[#This Row],[Ticker]]&amp;"2]"), INDIRECT("TabReg["&amp;TabCalc[[#This Row],[Ticker]]&amp;"2]")&gt;0)),0)</calculatedColumnFormula>
    </tableColumn>
    <tableColumn id="48" xr3:uid="{A50A08BF-FE5B-B04F-AFB9-97B2140F2515}" name="Min_PD" dataDxfId="1893" totalsRowDxfId="1892" dataCellStyle="Comma">
      <calculatedColumnFormula array="1">MIN(_xlfn._xlws.FILTER(INDIRECT("TabReg["&amp;TabCalc[[#This Row],[Ticker]]&amp;"]"), INDIRECT("TabReg["&amp;TabCalc[[#This Row],[Ticker]]&amp;"2]")&lt;0))</calculatedColumnFormula>
    </tableColumn>
    <tableColumn id="49" xr3:uid="{BA83C83A-66D7-0D4C-B6DF-1D013A8ACE61}" name="Min_Pn" dataDxfId="1891" totalsRowDxfId="1890" dataCellStyle="Comma">
      <calculatedColumnFormula array="1">MIN(_xlfn._xlws.FILTER(INDIRECT("TabReg["&amp;TabCalc[[#This Row],[Ticker]]&amp;"1]"), INDIRECT("TabReg["&amp;TabCalc[[#This Row],[Ticker]]&amp;"2]")&lt;0))</calculatedColumnFormula>
    </tableColumn>
    <tableColumn id="50" xr3:uid="{1E7E364A-0CC5-EE4B-A2C1-996D3BA6D9E9}" name="Min_PP" dataDxfId="1889" totalsRowDxfId="1888" dataCellStyle="Comma">
      <calculatedColumnFormula array="1">MIN(_xlfn._xlws.FILTER(INDIRECT("TabReg["&amp;TabCalc[[#This Row],[Ticker]]&amp;"2]"), INDIRECT("TabReg["&amp;TabCalc[[#This Row],[Ticker]]&amp;"2]")&lt;0))</calculatedColumnFormula>
    </tableColumn>
    <tableColumn id="33" xr3:uid="{2C16329E-7C79-4445-818B-B5709D8C58C8}" name="Max_PD" dataDxfId="1887" totalsRowDxfId="1886" dataCellStyle="Comma">
      <calculatedColumnFormula array="1">MAX(_xlfn._xlws.FILTER(INDIRECT("TabReg["&amp;TabCalc[[#This Row],[Ticker]]&amp;"]"), INDIRECT("TabReg["&amp;TabCalc[[#This Row],[Ticker]]&amp;"2]")&lt;0))</calculatedColumnFormula>
    </tableColumn>
    <tableColumn id="40" xr3:uid="{80C2BE61-B147-1A4F-8D13-0CEAE95FDADF}" name="Max_Pn" dataDxfId="1885" totalsRowDxfId="1884" dataCellStyle="Comma">
      <calculatedColumnFormula array="1">MAX(_xlfn._xlws.FILTER(INDIRECT("TabReg["&amp;TabCalc[[#This Row],[Ticker]]&amp;"1]"), INDIRECT("TabReg["&amp;TabCalc[[#This Row],[Ticker]]&amp;"2]")&lt;0))</calculatedColumnFormula>
    </tableColumn>
    <tableColumn id="41" xr3:uid="{949F09B7-7BB7-534D-97FE-DD550AC34044}" name="Max_PP" dataDxfId="1883" totalsRowDxfId="1882" dataCellStyle="Comma">
      <calculatedColumnFormula array="1">MAX(_xlfn._xlws.FILTER(INDIRECT("TabReg["&amp;TabCalc[[#This Row],[Ticker]]&amp;"2]"), INDIRECT("TabReg["&amp;TabCalc[[#This Row],[Ticker]]&amp;"2]")&lt;0))</calculatedColumnFormula>
    </tableColumn>
    <tableColumn id="73" xr3:uid="{E0DE761B-6728-BB4E-86A8-F627585BF3C6}" name="BS2D" dataDxfId="1881" totalsRowDxfId="1880" dataCellStyle="Comma">
      <calculatedColumnFormula array="1">IFERROR(_xlfn.XLOOKUP(TabCalc[[#This Row],[BS2P]],INDIRECT("TabReg["&amp;TabCalc[[#This Row],[Ticker]]&amp;"2]"),INDIRECT("TabReg["&amp;TabCalc[[#This Row],[Ticker]]&amp;"]")),0)</calculatedColumnFormula>
    </tableColumn>
    <tableColumn id="74" xr3:uid="{38D2E424-320A-C34B-A3C6-31CFFB8F210F}" name="BS2n" dataDxfId="1879" totalsRowDxfId="1878" dataCellStyle="Comma">
      <calculatedColumnFormula array="1">IFERROR(_xlfn.XLOOKUP(TabCalc[[#This Row],[BS2P]],INDIRECT("TabReg["&amp;TabCalc[[#This Row],[Ticker]]&amp;"2]"),INDIRECT("TabReg["&amp;TabCalc[[#This Row],[Ticker]]&amp;"1]")),0)</calculatedColumnFormula>
    </tableColumn>
    <tableColumn id="75" xr3:uid="{24232B07-38D9-534A-BC47-6F013035EC77}" name="BS2P" dataDxfId="1877" totalsRowDxfId="1876" dataCellStyle="Comma">
      <calculatedColumnFormula>_xlfn.MAXIFS(INDIRECT("TabReg["&amp;TabCalc[[#This Row],[Ticker]]&amp;"2]"), INDIRECT("TabReg["&amp;TabCalc[[#This Row],[Ticker]]&amp;"2]"), "&lt;" &amp; MAX(INDIRECT("TabReg["&amp;TabCalc[[#This Row],[Ticker]]&amp;"2]")))</calculatedColumnFormula>
    </tableColumn>
    <tableColumn id="54" xr3:uid="{E65B5C48-7871-804D-AEA0-7740DD221FAB}" name="WB2D" dataDxfId="1875" totalsRowDxfId="1874" dataCellStyle="Comma">
      <calculatedColumnFormula array="1">IFERROR(_xlfn.XLOOKUP(TabCalc[[#This Row],[WB2P]],INDIRECT("TabReg["&amp;TabCalc[[#This Row],[Ticker]]&amp;"2]"),INDIRECT("TabReg["&amp;TabCalc[[#This Row],[Ticker]]&amp;"]")),0)</calculatedColumnFormula>
    </tableColumn>
    <tableColumn id="56" xr3:uid="{6BBD3E0E-4CED-3143-A721-9AF4198E0E20}" name="WB2n" dataDxfId="1873" totalsRowDxfId="1872" dataCellStyle="Comma">
      <calculatedColumnFormula array="1">IFERROR(_xlfn.XLOOKUP(TabCalc[[#This Row],[WB2P]],INDIRECT("TabReg["&amp;TabCalc[[#This Row],[Ticker]]&amp;"2]"),INDIRECT("TabReg["&amp;TabCalc[[#This Row],[Ticker]]&amp;"1]")),0)</calculatedColumnFormula>
    </tableColumn>
    <tableColumn id="59" xr3:uid="{84C96444-FAD3-284D-B227-1E361DF82CB0}" name="WB2P" totalsRowFunction="sum" dataDxfId="1871" totalsRowDxfId="1870" dataCellStyle="Comma">
      <calculatedColumnFormula>_xlfn.MINIFS(INDIRECT("TabReg["&amp;TabCalc[[#This Row],[Ticker]]&amp;"2]"), INDIRECT("TabReg["&amp;TabCalc[[#This Row],[Ticker]]&amp;"2]"), "&gt;" &amp; MIN(INDIRECT("TabReg["&amp;TabCalc[[#This Row],[Ticker]]&amp;"2]")))</calculatedColumnFormula>
    </tableColumn>
    <tableColumn id="77" xr3:uid="{4B251573-A66D-9D4D-8348-1EF7992C808E}" name="ntoBuy" totalsRowFunction="count" dataDxfId="1869" totalsRowDxfId="1868" dataCellStyle="Comma">
      <calculatedColumnFormula>IF(TabCalc[[#This Row],[M]]&lt;TabCalc[[#This Row],[L_Sp]],DesiredBuyGain/(TabCalc[[#This Row],[L_Sp]]-TabCalc[[#This Row],[M]]),0)</calculatedColumnFormula>
    </tableColumn>
    <tableColumn id="84" xr3:uid="{9B279245-86C6-874E-97F9-DBB65C180DA3}" name="BuyCost" totalsRowFunction="sum" dataDxfId="1867" totalsRowDxfId="1866" dataCellStyle="Comma">
      <calculatedColumnFormula>IF(TabCalc[[#This Row],[ntoBuy]]*TabCalc[[#This Row],[M]]&lt;=0,0,TabCalc[[#This Row],[ntoBuy]]*TabCalc[[#This Row],[M]])</calculatedColumnFormula>
    </tableColumn>
    <tableColumn id="79" xr3:uid="{EBF3C3E2-6DB1-E544-B094-91307A9FD36D}" name="ntoSell" dataDxfId="1865" totalsRowDxfId="1864" dataCellStyle="Comma">
      <calculatedColumnFormula>IF(TabCalc[[#This Row],[M]]&gt;ABS(TabCalc[[#This Row],[L_Bp]]),MIN(TabCalc[[#This Row],[NAfter]],DesiredSaleGain/(TabCalc[[#This Row],[M]]+TabCalc[[#This Row],[L_Bp]])),0)/TabCalc[[#This Row],[Scale]]</calculatedColumnFormula>
    </tableColumn>
    <tableColumn id="85" xr3:uid="{D02ED489-5E60-804A-B11A-3D6B8FC6FC8D}" name="vReverse" totalsRowFunction="sum" dataDxfId="1863" totalsRowDxfId="1862" dataCellStyle="Comma">
      <calculatedColumnFormula>TabCalc[[#This Row],[ntoSell]]*TabCalc[[#This Row],[M]]</calculatedColumnFormula>
    </tableColumn>
    <tableColumn id="78" xr3:uid="{C55523C0-D45F-8642-B597-19E7E57CF51A}" name="NMA" dataDxfId="1861" totalsRowDxfId="1860" dataCellStyle="Comma">
      <calculatedColumnFormula>_xlfn.LET(_xlpm.nToSell,IF(TabCalc[[#This Row],[M]]-TabCalc[[#This Row],[A]]&lt;=0,"",INT(DesiredSaleGain/(TabCalc[[#This Row],[M]]-IF(TabCalc[[#This Row],[E]]&gt;0,0,TabCalc[[#This Row],[A]])))),IF(_xlpm.nToSell&lt;=TabCalc[[#This Row],[NAfter]],_xlpm.nToSell,0))</calculatedColumnFormula>
    </tableColumn>
    <tableColumn id="80" xr3:uid="{5845D783-6110-F84B-8642-5EA4A82B1CB5}" name="Revenue" dataDxfId="1859" totalsRowDxfId="1858" dataCellStyle="Comma">
      <calculatedColumnFormula>IFERROR(TabCalc[[#This Row],[NMA]]*TabCalc[[#This Row],[M]],"")</calculatedColumnFormula>
    </tableColumn>
    <tableColumn id="91" xr3:uid="{4773B977-3DE4-0E42-B9FE-48F08243F277}" name="GLMore@A" dataDxfId="1857" totalsRowDxfId="1856" dataCellStyle="Comma">
      <calculatedColumnFormula array="1">_xlfn.IFS(TabCalc[[#This Row],[M]]&gt;= TabCalc[[#This Row],[L_Sp]],(TabCalc[[#This Row],[M]]-TabCalc[[#This Row],[A]])*TabCalc[[#This Row],[NAfter]]*TabCalc[[#This Row],[Scale]],           TabCalc[[#This Row],[M]]&lt; TabCalc[[#This Row],[L_Sp]],(TabCalc[[#This Row],[M]]-TabCalc[[#This Row],[A]])*TabCalc[[#This Row],[NAfter]]*TabCalc[[#This Row],[Scale]],               TRUE,"")</calculatedColumnFormula>
    </tableColumn>
    <tableColumn id="101" xr3:uid="{B8EA40F5-A5AC-B948-8323-ED3342F23F4C}" name="Ann%RevLB" totalsRowFunction="average" dataDxfId="1855" totalsRowDxfId="1854" dataCellStyle="Percent">
      <calculatedColumnFormula>IFERROR((TabCalc[[#This Row],[M]]+TabCalc[[#This Row],[L_Bp]])/ABS(TabCalc[[#This Row],[L_Bp]])/(TODAY()-TabCalc[[#This Row],[L_Bdate]])*360,"")</calculatedColumnFormula>
    </tableColumn>
    <tableColumn id="103" xr3:uid="{E450379B-1A0B-524C-B698-62CF13D40A42}" name="Median" dataDxfId="1853" totalsRowDxfId="1852" dataCellStyle="Percent">
      <calculatedColumnFormula>MEDIAN(DataShift!F704:Z704)</calculatedColumnFormula>
    </tableColumn>
    <tableColumn id="107" xr3:uid="{E193DC56-5187-FA45-B1A4-DA39C98DEBAF}" name="Ag:Ch" dataDxfId="1851" totalsRowDxfId="1850" dataCellStyle="Percent">
      <calculatedColumnFormula array="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A89BE8A1-EE62-2A4F-B94D-8CCFEB7A2182}" name="TableOriginal" displayName="TableOriginal" ref="DM2:DO96" totalsRowShown="0" headerRowDxfId="1849">
  <autoFilter ref="DM2:DO96" xr:uid="{A89BE8A1-EE62-2A4F-B94D-8CCFEB7A2182}"/>
  <tableColumns count="3">
    <tableColumn id="1" xr3:uid="{83C2141C-EB57-9649-821A-E765DD32C16E}" name="OldTicker" dataDxfId="1848"/>
    <tableColumn id="2" xr3:uid="{F9F7757D-7FFC-2A47-A064-09E4F7795175}" name="OriStock" dataDxfId="1847"/>
    <tableColumn id="3" xr3:uid="{B7BC1A5E-7EFA-9440-97AF-1C13CBDF3B16}" name="OriPrice" dataDxfId="1846"/>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8F010E09-40DE-CB49-9705-081A37BD3E66}" name="TableMSG" displayName="TableMSG" ref="A4:P98" totalsRowShown="0" tableBorderDxfId="1825">
  <autoFilter ref="A4:P98" xr:uid="{8F010E09-40DE-CB49-9705-081A37BD3E66}"/>
  <tableColumns count="16">
    <tableColumn id="1" xr3:uid="{D248D7C8-FE91-5D4B-93B0-CA802F8BF9F0}" name="MSGSTicker" dataDxfId="1824">
      <calculatedColumnFormula>Calc!H3</calculatedColumnFormula>
    </tableColumn>
    <tableColumn id="2" xr3:uid="{DCEA20D1-EEC9-F34D-8887-3170D7506040}" name="Static" dataDxfId="1823" dataCellStyle="Comma"/>
    <tableColumn id="3" xr3:uid="{66E8CFC1-6152-2B40-A74D-C51B3D12C26A}" name="Expectation" dataDxfId="1822"/>
    <tableColumn id="4" xr3:uid="{DAF82BBB-C5D4-2C4F-B0F3-D3EB85303B5F}" name="Change" dataDxfId="1821" dataCellStyle="Percent"/>
    <tableColumn id="5" xr3:uid="{86913868-25DE-D143-935E-08543076F0FC}" name="Agio" dataDxfId="1820"/>
    <tableColumn id="6" xr3:uid="{A8E86DB9-D431-B64F-9DE4-7C08E738DBD4}" name="RevenueM&gt;A" dataDxfId="1819"/>
    <tableColumn id="7" xr3:uid="{518090EA-8F28-9B4A-8A12-CC16C3F84E1E}" name="MarkUP" dataCellStyle="Percent"/>
    <tableColumn id="8" xr3:uid="{2C3D6668-A65F-AA42-9077-0DB8624C7676}" name="M_LIVE" dataDxfId="1818">
      <calculatedColumnFormula>Calc!I3</calculatedColumnFormula>
    </tableColumn>
    <tableColumn id="9" xr3:uid="{43FE98D8-979D-8E4C-A91E-E80C6A08278B}" name="StDate" dataDxfId="1817"/>
    <tableColumn id="10" xr3:uid="{D924EA8C-E924-5F4D-AB2A-FEFB0B39DA11}" name="Status"/>
    <tableColumn id="11" xr3:uid="{9E249F30-F4A3-034A-A05D-802CDFBDDDD1}" name="Column1" dataDxfId="1816">
      <calculatedColumnFormula>_xlfn.XLOOKUP(G5,TabCalc[Ticker],TabCalc[Agiotage])</calculatedColumnFormula>
    </tableColumn>
    <tableColumn id="12" xr3:uid="{029C6B83-00D1-E045-ABBA-AD69A72591DF}" name="Column2" dataDxfId="1815">
      <calculatedColumnFormula>IFERROR( _xlfn.LET(_xlpm.nma,_xlfn.XLOOKUP(G5,TabCalc[Ticker],TabCalc[NMA]),_xlpm.revenue,_xlfn.XLOOKUP(G5,TabCalc[Ticker],TabCalc[Revenue]),_xlpm.nma&amp;"="&amp;TEXT(_xlpm.revenue,"#,#0")&amp;"@M: "&amp;N5),"")</calculatedColumnFormula>
    </tableColumn>
    <tableColumn id="13" xr3:uid="{871592B1-4057-D64D-AEEA-242FD66D14BF}" name="Column3" dataDxfId="1814">
      <calculatedColumnFormula>_xlfn.XLOOKUP(G5,TabCalc[Ticker],TabCalc[Up20])</calculatedColumnFormula>
    </tableColumn>
    <tableColumn id="14" xr3:uid="{25D0468D-5365-F54E-80A2-14573D13D064}" name="Column4" dataDxfId="1813">
      <calculatedColumnFormula>_xlfn.XLOOKUP(G5,TabCalc[Ticker],TabCalc[M])</calculatedColumnFormula>
    </tableColumn>
    <tableColumn id="15" xr3:uid="{38403065-CF68-DC4E-A1FD-7601DFE95046}" name="Column5" dataDxfId="1812">
      <calculatedColumnFormula>TODAY()</calculatedColumnFormula>
    </tableColumn>
    <tableColumn id="16" xr3:uid="{D49A7D78-707A-9D46-8D9E-EB721E9CF457}" name="Column6" dataDxfId="1811">
      <calculatedColumnFormula>IFERROR("("&amp;TEXT(J5,"#0.0%")&amp;":"&amp;INT(100*K5)&amp;"%)@"&amp;TEXT(N5,"#,#0.#0")&amp;":("&amp;L5&amp;")"&amp;"&gt;UpMark "&amp;TEXT(M5,"#,#0%"),"Formulas ready to copy below")</calculatedColumnFormula>
    </tableColumn>
  </tableColumns>
  <tableStyleInfo name="TableStyleMedium1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2BDC163-61DF-264F-92B2-E45DC613B4C4}" name="Tab1Close" displayName="Tab1Close" ref="F4:Z98" totalsRowShown="0" headerRowDxfId="1767" tableBorderDxfId="1766">
  <autoFilter ref="F4:Z98" xr:uid="{12BDC163-61DF-264F-92B2-E45DC613B4C4}"/>
  <tableColumns count="21">
    <tableColumn id="1" xr3:uid="{EEADBAE1-5103-2A42-AC82-712785472BF0}" name="Close0" dataDxfId="1765"/>
    <tableColumn id="2" xr3:uid="{AE7EFBB8-D06A-C040-9713-4E49B46FECE7}" name="Close1" dataDxfId="1764"/>
    <tableColumn id="3" xr3:uid="{8841397E-CEB0-F942-82C3-85FBA5B005A1}" name="Close2" dataDxfId="1763"/>
    <tableColumn id="4" xr3:uid="{4AFD7B8B-092B-F546-8C5F-44A7CACE4DF6}" name="Close3" dataDxfId="1762"/>
    <tableColumn id="5" xr3:uid="{65D3394C-DDBB-8F4A-9B2B-7C2AE4CFEBBF}" name="Close4" dataDxfId="1761"/>
    <tableColumn id="6" xr3:uid="{283C7AA4-4055-3548-8D00-36EB7B6CEE5D}" name="Close5" dataDxfId="1760"/>
    <tableColumn id="7" xr3:uid="{78CAA80F-F236-E648-9556-69668646706D}" name="Close6" dataDxfId="1759" dataCellStyle="Percent"/>
    <tableColumn id="8" xr3:uid="{744FAAA4-A199-9B4E-87F9-38DF61826509}" name="Close7" dataDxfId="1758"/>
    <tableColumn id="9" xr3:uid="{BC32CFF7-F793-3040-BCF8-1567BA8BEE70}" name="Close8" dataDxfId="1757"/>
    <tableColumn id="10" xr3:uid="{3A714541-23EB-5B4A-A7EA-1A51C49368D2}" name="Close9" dataDxfId="1756"/>
    <tableColumn id="11" xr3:uid="{F62761C7-0A15-9448-8CF3-C007A34184F4}" name="Close10" dataDxfId="1755"/>
    <tableColumn id="12" xr3:uid="{8998ECDF-4D42-274E-822A-FBFDE0359088}" name="Close11" dataDxfId="1754"/>
    <tableColumn id="13" xr3:uid="{CDE8531B-700E-3E45-874F-42552F16C3B0}" name="Close12" dataDxfId="1753" dataCellStyle="Comma"/>
    <tableColumn id="14" xr3:uid="{4F7F7C8C-725F-D745-B627-B5851174E054}" name="Close13" dataDxfId="1752"/>
    <tableColumn id="15" xr3:uid="{B764A379-6E77-524D-84CE-F3D153DC33B6}" name="Close14" dataDxfId="1751"/>
    <tableColumn id="16" xr3:uid="{4331A404-8007-CA4F-9AE0-B2C01B0833A7}" name="Close15" dataDxfId="1750"/>
    <tableColumn id="17" xr3:uid="{0E7625FB-2D36-0248-B8EB-47E2820C4276}" name="Close16" dataDxfId="1749" dataCellStyle="Comma"/>
    <tableColumn id="18" xr3:uid="{D5281074-BB4E-6F4E-AD11-1983B5F6F52A}" name="Close17" dataDxfId="1748" dataCellStyle="Comma"/>
    <tableColumn id="19" xr3:uid="{D2D3DB13-7D54-904A-B3FA-E6ECA88164A0}" name="Close18" dataDxfId="1747" dataCellStyle="Comma"/>
    <tableColumn id="20" xr3:uid="{A6BDE463-026D-A14D-A56E-1A389384E71F}" name="Close19" dataDxfId="1746"/>
    <tableColumn id="21" xr3:uid="{8739BE66-982C-0B4D-A9FA-B2E2DE7CCF03}" name="Close20" dataDxfId="1745">
      <calculatedColumnFormula>[1]ExtEntry!$F3</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798B848-3F46-BA40-8424-750FBB9BF60F}" name="Tab1Open" displayName="Tab1Open" ref="F104:Z198" totalsRowShown="0" headerRowDxfId="1744" dataDxfId="1743" tableBorderDxfId="1742">
  <autoFilter ref="F104:Z198" xr:uid="{7798B848-3F46-BA40-8424-750FBB9BF60F}"/>
  <tableColumns count="21">
    <tableColumn id="1" xr3:uid="{6FEF1508-A20B-AA45-A9AC-4C624E068446}" name="Open0" dataDxfId="1741"/>
    <tableColumn id="2" xr3:uid="{A968BA88-43F9-8744-8D9C-EE0A5FE428C5}" name="Open1" dataDxfId="1740"/>
    <tableColumn id="3" xr3:uid="{084E3773-67E5-6546-877A-017B9C02A673}" name="Open2" dataDxfId="1739"/>
    <tableColumn id="4" xr3:uid="{D159A5E9-303F-2B4C-A90F-C1854A80FA6B}" name="Open3" dataDxfId="1738"/>
    <tableColumn id="5" xr3:uid="{CE8D320D-FD87-4F41-9A24-52676668D9C7}" name="Open4" dataDxfId="1737"/>
    <tableColumn id="6" xr3:uid="{1D8AD5A2-1882-E045-9FDE-A8B14CC49F19}" name="Open5" dataDxfId="1736"/>
    <tableColumn id="7" xr3:uid="{06E18F72-7E37-A84D-A205-389EC66FF62B}" name="Open6" dataDxfId="1735"/>
    <tableColumn id="8" xr3:uid="{78284C14-C4CF-F04E-8F5D-41B356BE8667}" name="Open7" dataDxfId="1734"/>
    <tableColumn id="9" xr3:uid="{9A312717-8B10-A641-9532-CFF04B325F56}" name="Open8" dataDxfId="1733"/>
    <tableColumn id="10" xr3:uid="{913B10DB-C756-D444-9334-829A62032C37}" name="Open9" dataDxfId="1732"/>
    <tableColumn id="11" xr3:uid="{D4686E54-DA00-094B-A567-7A6FCE459B04}" name="Open10" dataDxfId="1731"/>
    <tableColumn id="12" xr3:uid="{8C32C6DF-BCB0-0F4F-8B25-02BDFE0C90E8}" name="Open11" dataDxfId="1730"/>
    <tableColumn id="13" xr3:uid="{5A561081-F5CD-6B4D-B465-1869DCBCB727}" name="Open12" dataDxfId="1729"/>
    <tableColumn id="14" xr3:uid="{B8D9766C-03C2-9B40-B56F-15C155EC7762}" name="Open13" dataDxfId="1728"/>
    <tableColumn id="15" xr3:uid="{69794E79-649D-B04A-9E6D-A1FB7FD06CC4}" name="Open14" dataDxfId="1727"/>
    <tableColumn id="16" xr3:uid="{2C43AD13-A168-9A4D-869C-1EA09EDDFD22}" name="Open15" dataDxfId="1726"/>
    <tableColumn id="17" xr3:uid="{17AFBD30-9F2E-1A4C-8AA5-71AFA3BF092C}" name="Open16" dataDxfId="1725"/>
    <tableColumn id="18" xr3:uid="{1F620BC4-C578-3545-B148-8C7E16D7F5FE}" name="Open17" dataDxfId="1724"/>
    <tableColumn id="19" xr3:uid="{B560E636-BDB1-AA40-86EC-4E1A75517D70}" name="Open18" dataDxfId="1723"/>
    <tableColumn id="20" xr3:uid="{714C2841-15F8-C249-873E-4343067B0240}" name="Open19" dataDxfId="1722"/>
    <tableColumn id="21" xr3:uid="{D347935C-0F22-024F-8C36-90AFCCDAE1AF}" name="Open20" dataDxfId="1721">
      <calculatedColumnFormula>[1]ExtEntry!$G3</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B4BB861-7DAC-314C-88E1-E031AC845B22}" name="Tab1Price" displayName="Tab1Price" ref="F204:Z298" totalsRowShown="0" headerRowDxfId="1720" dataDxfId="1719" tableBorderDxfId="1718">
  <autoFilter ref="F204:Z298" xr:uid="{EB4BB861-7DAC-314C-88E1-E031AC845B22}"/>
  <tableColumns count="21">
    <tableColumn id="1" xr3:uid="{A4E5A9D6-B024-1848-9F1D-71E156809148}" name="Price0" dataDxfId="1717"/>
    <tableColumn id="2" xr3:uid="{52A5C813-441A-0F44-A905-B78DFD4A3E7C}" name="Price1" dataDxfId="1716"/>
    <tableColumn id="3" xr3:uid="{ED453191-6F79-4140-B4A3-749667D3669A}" name="Price2" dataDxfId="1715"/>
    <tableColumn id="4" xr3:uid="{2B0E655A-259C-864B-AEA5-8BFBC75DFA5F}" name="Price3" dataDxfId="1714"/>
    <tableColumn id="5" xr3:uid="{31D31267-41BA-A84C-9512-B812956F8287}" name="Price4" dataDxfId="1713"/>
    <tableColumn id="6" xr3:uid="{6E482D3D-F09A-AD46-BFEC-448C11C27A1B}" name="Price5" dataDxfId="1712"/>
    <tableColumn id="7" xr3:uid="{8DCBD691-FA2F-5C4F-8741-758F221535B8}" name="Price6" dataDxfId="1711"/>
    <tableColumn id="8" xr3:uid="{F81A28A3-D8E8-C548-BBF7-52E767E3560F}" name="Price7" dataDxfId="1710"/>
    <tableColumn id="9" xr3:uid="{F36950E3-5E7A-C44B-BDEC-5FF51E1821C0}" name="Price8" dataDxfId="1709"/>
    <tableColumn id="10" xr3:uid="{94001300-D30A-164C-9AF4-A6C18C1D8233}" name="Price9" dataDxfId="1708"/>
    <tableColumn id="11" xr3:uid="{1762A2DB-B308-ED43-944F-330F2C82AF06}" name="Price10" dataDxfId="1707"/>
    <tableColumn id="12" xr3:uid="{664B20E9-BD46-EB4E-8614-25B89B67B0C5}" name="Price11" dataDxfId="1706"/>
    <tableColumn id="13" xr3:uid="{85F76311-414E-8345-9FCC-75CCEC1CF031}" name="Price12" dataDxfId="1705"/>
    <tableColumn id="14" xr3:uid="{39B5CAB1-7AF2-ED40-844D-4C3150F8440D}" name="Price13" dataDxfId="1704"/>
    <tableColumn id="15" xr3:uid="{EAFED719-DCFC-8346-BF51-C8F86D4EF22A}" name="Price14" dataDxfId="1703"/>
    <tableColumn id="16" xr3:uid="{F0C7D109-ABBE-184B-9657-0BD76C0A19B9}" name="Price15" dataDxfId="1702"/>
    <tableColumn id="17" xr3:uid="{255011AA-1459-4E42-A3A6-ACA53BC0738C}" name="Price16" dataDxfId="1701"/>
    <tableColumn id="18" xr3:uid="{F9009A2B-6610-1349-8B9E-07FE9A1901DB}" name="Price17" dataDxfId="1700"/>
    <tableColumn id="19" xr3:uid="{F72FCCC2-2EE5-3B40-B6E1-BC512B2A567B}" name="Price18" dataDxfId="1699"/>
    <tableColumn id="20" xr3:uid="{FFF62431-CB3E-DD4C-B035-809B1E6C4777}" name="Price19" dataDxfId="1698"/>
    <tableColumn id="21" xr3:uid="{6CA9E17B-C9CB-5D40-9BDE-F4B681DB70A8}" name="Price20" dataDxfId="1697">
      <calculatedColumnFormula>[1]ExtEntry!$H3</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AB25A1F-426D-5D41-AF5C-E0BACF53B0F0}" name="Tab2Stock" displayName="Tab2Stock" ref="AB4:AV98" totalsRowShown="0" headerRowDxfId="1696" dataDxfId="1695" tableBorderDxfId="1694" dataCellStyle="Comma">
  <autoFilter ref="AB4:AV98" xr:uid="{6AB25A1F-426D-5D41-AF5C-E0BACF53B0F0}"/>
  <tableColumns count="21">
    <tableColumn id="1" xr3:uid="{C7F03BE7-11FE-E841-9EF9-83F5C6F6FF3F}" name="Stock0" dataDxfId="1693" dataCellStyle="Comma"/>
    <tableColumn id="2" xr3:uid="{18A6D9C1-5DF4-2B40-9126-0E253FF416D7}" name="Stock1" dataDxfId="1692" dataCellStyle="Comma"/>
    <tableColumn id="3" xr3:uid="{4C2FC7F7-8430-F04E-8872-D98FF3A3D75B}" name="Stock2" dataDxfId="1691" dataCellStyle="Comma"/>
    <tableColumn id="4" xr3:uid="{838478B3-3270-1143-9694-B70966ED2654}" name="Stock3" dataDxfId="1690" dataCellStyle="Comma"/>
    <tableColumn id="5" xr3:uid="{F32213CF-064E-9342-B3E7-EA3E20AC95ED}" name="Stock4" dataDxfId="1689" dataCellStyle="Comma"/>
    <tableColumn id="6" xr3:uid="{C02BEF2E-2769-C04B-B440-6091CCD42B79}" name="Stock5" dataDxfId="1688" dataCellStyle="Comma"/>
    <tableColumn id="7" xr3:uid="{0F048FA9-BD2E-1F4C-AC9C-84F2091208AD}" name="Stock6" dataDxfId="1687" dataCellStyle="Comma"/>
    <tableColumn id="8" xr3:uid="{146ACADB-FB47-A542-9FA4-6EDCECB46FC4}" name="Stock7" dataDxfId="1686" dataCellStyle="Comma"/>
    <tableColumn id="9" xr3:uid="{96904AC0-9C5F-D043-BEDD-6B33D0EC239E}" name="Stock8" dataDxfId="1685" dataCellStyle="Comma"/>
    <tableColumn id="10" xr3:uid="{61E1D695-049F-5440-81AB-7D97F9E0F5CB}" name="Stock9" dataDxfId="1684" dataCellStyle="Comma"/>
    <tableColumn id="11" xr3:uid="{66B73799-E0BE-0049-82BC-096FB61FE577}" name="Stock10" dataDxfId="1683" dataCellStyle="Comma"/>
    <tableColumn id="12" xr3:uid="{F7F319CC-4A25-7345-A1A3-E1E93F1B82F6}" name="Stock11" dataDxfId="1682" dataCellStyle="Comma"/>
    <tableColumn id="13" xr3:uid="{D935BDD0-C5FF-414D-B97A-D213626F8B26}" name="Stock12" dataDxfId="1681" dataCellStyle="Comma"/>
    <tableColumn id="14" xr3:uid="{516F2104-B757-F94E-AB0F-428E98774253}" name="Stock13" dataDxfId="1680" dataCellStyle="Comma"/>
    <tableColumn id="15" xr3:uid="{2D08D160-51A8-914D-BB06-71F9E133FF42}" name="Stock14" dataDxfId="1679" dataCellStyle="Comma"/>
    <tableColumn id="16" xr3:uid="{A6311255-1F3F-E94F-A911-9E0083E20212}" name="Stock15" dataDxfId="1678" dataCellStyle="Comma"/>
    <tableColumn id="17" xr3:uid="{63865F5A-7539-144A-A7BF-3F28BA206DC5}" name="Stock16" dataDxfId="1677" dataCellStyle="Comma"/>
    <tableColumn id="18" xr3:uid="{53365510-D756-014D-B723-CBF92DEF74E4}" name="Stock17" dataDxfId="1676" dataCellStyle="Comma"/>
    <tableColumn id="19" xr3:uid="{4526F642-C055-8A46-B59D-A903CB7704F2}" name="Stock18" dataDxfId="1675" dataCellStyle="Comma"/>
    <tableColumn id="20" xr3:uid="{4D633FC2-817A-0D44-977B-DC0ADA7FA9EA}" name="Stock19" dataDxfId="1674" dataCellStyle="Comma"/>
    <tableColumn id="21" xr3:uid="{17C3BFF9-DE7F-F049-8716-2E4A3E209A88}" name="Stock20" dataDxfId="1673" dataCellStyle="Comma">
      <calculatedColumnFormula>Calc!G3</calculatedColumnFormula>
    </tableColumn>
  </tableColumns>
  <tableStyleInfo name="TableStyleMedium5"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E09C67E-B492-C14D-BA21-53D0DFBBCF19}" name="Tab2Agiotage" displayName="Tab2Agiotage" ref="AB104:AV198" totalsRowShown="0" headerRowDxfId="1672" dataDxfId="1671" tableBorderDxfId="1670" dataCellStyle="Percent">
  <autoFilter ref="AB104:AV198" xr:uid="{5E09C67E-B492-C14D-BA21-53D0DFBBCF19}"/>
  <tableColumns count="21">
    <tableColumn id="1" xr3:uid="{4844BFD7-46E9-AD4D-A30F-27D7E320248D}" name="XAgio0" dataDxfId="1669" dataCellStyle="Percent"/>
    <tableColumn id="2" xr3:uid="{7A1C1DBC-E8A9-9C43-8D4C-79908C623B18}" name="XAgio1" dataDxfId="1668" dataCellStyle="Percent"/>
    <tableColumn id="3" xr3:uid="{F5F51D62-A156-3A4B-B1D3-94FCD61FC950}" name="XAgio2" dataDxfId="1667" dataCellStyle="Percent"/>
    <tableColumn id="4" xr3:uid="{E7F601FB-9DA1-9646-901B-25613F200B8E}" name="XAgio3" dataDxfId="1666" dataCellStyle="Percent"/>
    <tableColumn id="5" xr3:uid="{75D6ABA4-DA21-5B45-A87C-3A40C095EEDD}" name="XAgio4" dataDxfId="1665" dataCellStyle="Percent"/>
    <tableColumn id="6" xr3:uid="{456553CB-4622-3A40-868B-E76C74ECEC20}" name="XAgio5" dataDxfId="1664" dataCellStyle="Percent"/>
    <tableColumn id="7" xr3:uid="{A3974414-65F7-E44F-9012-7BB38B2A109D}" name="XAgio6" dataDxfId="1663" dataCellStyle="Percent"/>
    <tableColumn id="8" xr3:uid="{9AF89B43-794D-0044-8721-675D2C6D4F3E}" name="XAgio7" dataDxfId="1662" dataCellStyle="Percent"/>
    <tableColumn id="9" xr3:uid="{F5B7FA23-D7FE-BC47-9591-E9DA8FF929C2}" name="XAgio8" dataDxfId="1661" dataCellStyle="Percent"/>
    <tableColumn id="10" xr3:uid="{65D900EF-8A52-3C44-9629-8C6C9CD41130}" name="XAgio9" dataDxfId="1660" dataCellStyle="Percent"/>
    <tableColumn id="11" xr3:uid="{5E70DF05-8BA0-2D41-982A-D2D655974B5A}" name="XAgio10" dataDxfId="1659" dataCellStyle="Percent"/>
    <tableColumn id="12" xr3:uid="{B092C649-E1A7-3344-B40E-2BF9506A0880}" name="XAgio11" dataDxfId="1658" dataCellStyle="Percent"/>
    <tableColumn id="13" xr3:uid="{840DE593-5252-9C4A-BE7A-3D48632B63B7}" name="XAgio12" dataDxfId="1657" dataCellStyle="Percent"/>
    <tableColumn id="14" xr3:uid="{2E89F770-65D9-BB4A-B172-0E7996075FB4}" name="XAgio13" dataDxfId="1656" dataCellStyle="Percent"/>
    <tableColumn id="15" xr3:uid="{F177428E-AD8D-DF4B-A7AA-B15CB23DB9E4}" name="XAgio14" dataDxfId="1655" dataCellStyle="Percent"/>
    <tableColumn id="16" xr3:uid="{BCD73CCF-78D3-EC44-880D-FD6173967D68}" name="XAgio15" dataDxfId="1654" dataCellStyle="Percent"/>
    <tableColumn id="17" xr3:uid="{972D2180-01FF-264F-BA6C-033AD490130B}" name="XAgio16" dataDxfId="1653" dataCellStyle="Percent"/>
    <tableColumn id="18" xr3:uid="{BA2DE4B4-20B3-5943-8FBF-B47FBCAB9092}" name="XAgio17" dataDxfId="1652" dataCellStyle="Percent"/>
    <tableColumn id="19" xr3:uid="{34B59026-2C3D-8B4A-A730-B5D8AC1FD6FA}" name="XAgio18" dataDxfId="1651" dataCellStyle="Percent"/>
    <tableColumn id="20" xr3:uid="{9D4953E9-4D29-F647-B767-013FD23C3406}" name="XAgio19" dataDxfId="1650" dataCellStyle="Percent"/>
    <tableColumn id="21" xr3:uid="{C64D4FA9-A244-B04F-ABB2-1CF53E36712C}" name="XAgio20" dataDxfId="1649" dataCellStyle="Percent">
      <calculatedColumnFormula>Calc!BB3</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0EA3112-2FB6-FF42-841C-1FCA71A552B8}" name="Tab2SumChangePercent" displayName="Tab2SumChangePercent" ref="AB204:AV298" headerRowDxfId="1648" dataDxfId="1647" tableBorderDxfId="1646" dataCellStyle="Comma">
  <autoFilter ref="AB204:AV298" xr:uid="{A0EA3112-2FB6-FF42-841C-1FCA71A552B8}"/>
  <tableColumns count="21">
    <tableColumn id="1" xr3:uid="{AFEB9715-0820-D341-B6DD-56D90ACA4EB8}" name="AVGChan0" totalsRowLabel="Total" dataDxfId="1645" dataCellStyle="Comma"/>
    <tableColumn id="2" xr3:uid="{C5555382-638A-5E4F-9F9E-F76D19F860CD}" name="AVGChan1" dataDxfId="1644" dataCellStyle="Comma"/>
    <tableColumn id="3" xr3:uid="{CC180859-B3A9-A74D-854E-75282058C806}" name="AVGChan2" dataDxfId="1643" dataCellStyle="Comma"/>
    <tableColumn id="4" xr3:uid="{0B2BD7AB-D580-E44F-9EE2-E63D10A83637}" name="AVGChan3" dataDxfId="1642" dataCellStyle="Comma"/>
    <tableColumn id="5" xr3:uid="{A007109A-0054-AC49-B4CC-AC0ABA7FCC51}" name="AVGChan4" dataDxfId="1641" dataCellStyle="Comma"/>
    <tableColumn id="6" xr3:uid="{ADA20693-A5A5-AE4B-B88C-B65CB781B96B}" name="AVGChan5" dataDxfId="1640" dataCellStyle="Comma"/>
    <tableColumn id="7" xr3:uid="{7D26F7E4-E81D-D340-9014-5ACD0B49DD1E}" name="AVGChan6" dataDxfId="1639" dataCellStyle="Comma"/>
    <tableColumn id="8" xr3:uid="{4FEFA07A-6190-8C40-852E-B947C25694E4}" name="AVGChan7" dataDxfId="1638" dataCellStyle="Comma"/>
    <tableColumn id="9" xr3:uid="{200C4B95-289F-6742-B20B-64883DC43885}" name="AVGChan8" dataDxfId="1637" dataCellStyle="Comma"/>
    <tableColumn id="10" xr3:uid="{4C9BF29D-D210-D542-ACA3-179CDDE9DAF7}" name="AVGChan9" dataDxfId="1636" dataCellStyle="Comma"/>
    <tableColumn id="11" xr3:uid="{B85A0FFF-0B92-E545-AA74-114F3489EF28}" name="AVGChan10" dataDxfId="1635" dataCellStyle="Comma"/>
    <tableColumn id="12" xr3:uid="{36FAB0C0-8931-7C4A-A4D4-F1D9B93019C4}" name="AVGChan11" dataDxfId="1634" dataCellStyle="Comma"/>
    <tableColumn id="13" xr3:uid="{3F14D851-FC58-CF45-A44B-BEB6ECE74CF5}" name="AVGChan12" dataDxfId="1633" dataCellStyle="Comma"/>
    <tableColumn id="14" xr3:uid="{76BFA56E-7A6D-D648-8E97-C919C4B1D64E}" name="AVGChan13" dataDxfId="1632" dataCellStyle="Comma"/>
    <tableColumn id="15" xr3:uid="{42ECD6EE-13DD-CA41-8888-DBF465AE6675}" name="AVGChan14" dataDxfId="1631" dataCellStyle="Comma"/>
    <tableColumn id="16" xr3:uid="{4A0F3AFD-AFF8-4845-BF6E-71EEAC694084}" name="AVGChan15" dataDxfId="1630" dataCellStyle="Comma"/>
    <tableColumn id="17" xr3:uid="{BB41E69B-766F-CA4C-8F73-8229D71B0FBD}" name="AVGChan16" dataDxfId="1629" dataCellStyle="Comma"/>
    <tableColumn id="18" xr3:uid="{4E0F70D5-E77D-5544-BB80-5273D6D6DAD6}" name="AVGChan17" dataDxfId="1628" dataCellStyle="Comma"/>
    <tableColumn id="19" xr3:uid="{C0969DD6-BF9F-4F43-AE89-B3456AD8AEBA}" name="AVGChan18" dataDxfId="1627" dataCellStyle="Comma"/>
    <tableColumn id="20" xr3:uid="{3B8AD847-1069-8C45-ABC0-C614EB40C498}" name="AVGChan19" dataDxfId="1626" dataCellStyle="Comma"/>
    <tableColumn id="21" xr3:uid="{6E962B66-DD99-C04D-82E7-4A68E8C053FD}" name="AVGChan20" totalsRowFunction="max" dataDxfId="1625" totalsRowDxfId="1624" dataCellStyle="Comma">
      <calculatedColumnFormula>AVERAGE(S704:Z704)-AVERAGE(F704:Z704)</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341DCDD-9E59-2740-A24A-0BAB86A4C294}" name="Tab1Low" displayName="Tab1Low" ref="F304:Z398" totalsRowShown="0" headerRowDxfId="1623" dataDxfId="1622" tableBorderDxfId="1621">
  <autoFilter ref="F304:Z398" xr:uid="{8341DCDD-9E59-2740-A24A-0BAB86A4C294}"/>
  <tableColumns count="21">
    <tableColumn id="1" xr3:uid="{05BF7933-5282-7743-AAEF-BA70016123D1}" name="Low0" dataDxfId="1620"/>
    <tableColumn id="2" xr3:uid="{AEBAE2DC-B6D6-0D45-8ED5-23D6DE0D188E}" name="Low1" dataDxfId="1619"/>
    <tableColumn id="3" xr3:uid="{7397E65D-0B52-944C-B00D-ACBE6FC8970C}" name="Low2" dataDxfId="1618"/>
    <tableColumn id="4" xr3:uid="{65199958-FB50-644B-A6CD-D9B4A6A31C81}" name="Low3" dataDxfId="1617"/>
    <tableColumn id="5" xr3:uid="{D4E76AA6-38FC-044A-8136-1857F432C2D3}" name="Low4" dataDxfId="1616"/>
    <tableColumn id="6" xr3:uid="{ED22DB04-9A39-FA4C-A400-F3A5E3819087}" name="Low5" dataDxfId="1615"/>
    <tableColumn id="7" xr3:uid="{0691BBF2-D7EE-5E42-95D5-979DA294E3E7}" name="Low6" dataDxfId="1614"/>
    <tableColumn id="8" xr3:uid="{74FD8EEA-5F19-9447-855C-6D265EC39B98}" name="Low7" dataDxfId="1613"/>
    <tableColumn id="9" xr3:uid="{E09EB8DA-7DAF-AB45-BDDC-046B45CF7281}" name="Low8" dataDxfId="1612"/>
    <tableColumn id="10" xr3:uid="{3878FE9A-1C85-B84F-AC92-CB845274D16C}" name="Low9" dataDxfId="1611"/>
    <tableColumn id="11" xr3:uid="{B8430559-485B-B541-8B61-B3AA3978406D}" name="Low10" dataDxfId="1610"/>
    <tableColumn id="12" xr3:uid="{37EF61DB-B6C4-5742-A9A0-AAEAD0B7FCE6}" name="Low11" dataDxfId="1609"/>
    <tableColumn id="13" xr3:uid="{B119276C-5FBF-1A44-8632-7C3C430B2A4D}" name="Low12" dataDxfId="1608"/>
    <tableColumn id="14" xr3:uid="{49F0F70A-AA8D-204B-9C66-28455E39E699}" name="Low13" dataDxfId="1607"/>
    <tableColumn id="15" xr3:uid="{1A9F3FC6-0480-244A-91A4-82DAB8F1B54C}" name="Low14" dataDxfId="1606"/>
    <tableColumn id="16" xr3:uid="{547FE690-F1C5-B04D-B2DF-6360BB404F5A}" name="Low15" dataDxfId="1605"/>
    <tableColumn id="17" xr3:uid="{D819DC47-43F2-AC44-883E-2374E2163BF7}" name="Low16" dataDxfId="1604"/>
    <tableColumn id="18" xr3:uid="{88351988-EF51-384B-AC10-2BC7C2582A51}" name="Low17" dataDxfId="1603"/>
    <tableColumn id="19" xr3:uid="{01380C41-88F2-4D41-8C9D-E40D9F6441F5}" name="Low18" dataDxfId="1602"/>
    <tableColumn id="20" xr3:uid="{84321462-E49A-E747-ABFD-DD17E624EC5A}" name="Low19" dataDxfId="1601"/>
    <tableColumn id="21" xr3:uid="{684AE721-DDC5-814C-9DAE-F132DA57CEBA}" name="Low20" dataDxfId="1600">
      <calculatedColumnFormula>[1]ExtEntry!$I3</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05C5E5D-245B-A747-9456-0A0E743C05A8}" name="Tab2Saldo" displayName="Tab2Saldo" ref="AB304:AV398" totalsRowShown="0" headerRowDxfId="1599" dataDxfId="1598" tableBorderDxfId="1597" dataCellStyle="Comma">
  <autoFilter ref="AB304:AV398" xr:uid="{505C5E5D-245B-A747-9456-0A0E743C05A8}"/>
  <tableColumns count="21">
    <tableColumn id="1" xr3:uid="{F7696D4B-4AED-544C-B7C4-D7CE117BA3E4}" name="Sald0" dataDxfId="1596" dataCellStyle="Comma"/>
    <tableColumn id="2" xr3:uid="{715ED5A9-49EF-A648-85DA-96BA79BF9465}" name="Sald1" dataDxfId="1595" dataCellStyle="Comma"/>
    <tableColumn id="3" xr3:uid="{C7F806CC-F109-4247-B40E-74E3AE1489B3}" name="Sald2" dataDxfId="1594" dataCellStyle="Comma"/>
    <tableColumn id="4" xr3:uid="{18B41461-0D38-0849-89C0-982034BE0F82}" name="Sald3" dataDxfId="1593" dataCellStyle="Comma"/>
    <tableColumn id="5" xr3:uid="{8298E28E-80F4-1048-8A5F-010EBB7B8A3E}" name="Sald4" dataDxfId="1592" dataCellStyle="Comma"/>
    <tableColumn id="6" xr3:uid="{32D5C376-8552-A04D-9ED9-02FE6C79D9A2}" name="Sald5" dataDxfId="1591" dataCellStyle="Comma"/>
    <tableColumn id="7" xr3:uid="{0ABF3F59-1C72-A14A-9072-D4A990EA8CE3}" name="Sald6" dataDxfId="1590" dataCellStyle="Comma"/>
    <tableColumn id="8" xr3:uid="{0FD2AAEC-31D8-8C4D-A76B-31EAAFF62550}" name="Sald7" dataDxfId="1589" dataCellStyle="Comma"/>
    <tableColumn id="9" xr3:uid="{F861BBF0-6B76-7944-AEF1-EE42D7F8BE67}" name="Sald8" dataDxfId="1588" dataCellStyle="Comma"/>
    <tableColumn id="10" xr3:uid="{C7145DD9-60A5-6649-B81D-9A811F1A04C8}" name="Sald9" dataDxfId="1587" dataCellStyle="Comma"/>
    <tableColumn id="11" xr3:uid="{44B06E69-05E2-7E4A-AC70-25BCA74106DD}" name="Sald10" dataDxfId="1586" dataCellStyle="Comma"/>
    <tableColumn id="12" xr3:uid="{A3625923-E054-3845-B42D-2D38393132BF}" name="Sald11" dataDxfId="1585" dataCellStyle="Comma"/>
    <tableColumn id="13" xr3:uid="{CF2D3173-D401-C247-BA64-D3BECA1113C9}" name="Sald12" dataDxfId="1584" dataCellStyle="Comma"/>
    <tableColumn id="14" xr3:uid="{7CA064B5-3FF3-5347-A4DA-C9135895E78E}" name="Sald13" dataDxfId="1583" dataCellStyle="Comma"/>
    <tableColumn id="15" xr3:uid="{F88906F4-6EF3-8D44-AFB3-7F6171120460}" name="Sald14" dataDxfId="1582" dataCellStyle="Comma"/>
    <tableColumn id="16" xr3:uid="{08BE88DE-285E-DD4E-9B94-ABF49BDF2583}" name="Sald15" dataDxfId="1581" dataCellStyle="Comma"/>
    <tableColumn id="17" xr3:uid="{FF350C71-FB06-814C-AB62-C38F3BD8773D}" name="Sald16" dataDxfId="1580" dataCellStyle="Comma"/>
    <tableColumn id="18" xr3:uid="{871A4128-CC31-834F-9E52-C6732E47E371}" name="Sald17" dataDxfId="1579" dataCellStyle="Comma"/>
    <tableColumn id="19" xr3:uid="{CEC6770B-F0F3-E944-84DF-0EB3CF5BF1C5}" name="Sald18" dataDxfId="1578" dataCellStyle="Comma"/>
    <tableColumn id="20" xr3:uid="{4ED80F33-FFBC-754A-BC03-7BBA30F2CF36}" name="Sald19" dataDxfId="1577" dataCellStyle="Comma"/>
    <tableColumn id="21" xr3:uid="{EE7FE24F-4084-A047-A96A-BFD7777A0526}" name="Sald20" dataDxfId="1576" dataCellStyle="Comma">
      <calculatedColumnFormula>Calc!AP3</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2791BE6-AE3B-984E-9283-1FCA25508BF8}" name="Tab1High" displayName="Tab1High" ref="F404:Z498" totalsRowShown="0" headerRowDxfId="1575" dataDxfId="1574" tableBorderDxfId="1573">
  <autoFilter ref="F404:Z498" xr:uid="{72791BE6-AE3B-984E-9283-1FCA25508BF8}"/>
  <tableColumns count="21">
    <tableColumn id="1" xr3:uid="{5F2442DC-292F-7E44-9E79-EC5946746F80}" name="High0" dataDxfId="1572"/>
    <tableColumn id="2" xr3:uid="{0549D8C8-5CD6-D547-AA4E-06EF2CCBBC47}" name="High1" dataDxfId="1571"/>
    <tableColumn id="3" xr3:uid="{9808B4C7-981B-8E41-932E-5EEDB044D191}" name="High2" dataDxfId="1570"/>
    <tableColumn id="4" xr3:uid="{B0305D9C-4013-9546-B636-C1949178510D}" name="High3" dataDxfId="1569"/>
    <tableColumn id="5" xr3:uid="{F9E69E5D-F110-9B48-9329-9C8765C01A16}" name="High4" dataDxfId="1568"/>
    <tableColumn id="6" xr3:uid="{48A1E920-9742-9B42-B5B4-CE8842722C58}" name="High5" dataDxfId="1567"/>
    <tableColumn id="7" xr3:uid="{0FAA0644-82A0-C647-85BA-148C691889ED}" name="High6" dataDxfId="1566"/>
    <tableColumn id="8" xr3:uid="{E26B2014-11CB-6C43-9007-791975CDE457}" name="High7" dataDxfId="1565"/>
    <tableColumn id="9" xr3:uid="{BB5A97F1-1D0F-3B40-9D75-3BC9680046D9}" name="High8" dataDxfId="1564"/>
    <tableColumn id="10" xr3:uid="{9937F62A-F0DE-504F-9DDF-9B58BBCDF30D}" name="High9" dataDxfId="1563"/>
    <tableColumn id="11" xr3:uid="{29A4776E-C258-E74A-ADF9-5D021108CAC4}" name="High10" dataDxfId="1562"/>
    <tableColumn id="12" xr3:uid="{8849CFF6-7CC5-C142-AF6B-ADEA6C57F16A}" name="High11" dataDxfId="1561"/>
    <tableColumn id="13" xr3:uid="{633224FB-FB56-3346-B3D4-7815BD0EE8D2}" name="High12" dataDxfId="1560"/>
    <tableColumn id="14" xr3:uid="{AE8EB41C-C141-E34D-998C-B0CD93824B2C}" name="High13" dataDxfId="1559"/>
    <tableColumn id="15" xr3:uid="{D5C19F64-CCDC-C14F-9A29-B00650B50A72}" name="High14" dataDxfId="1558"/>
    <tableColumn id="16" xr3:uid="{30340F11-A4CE-D545-A219-2AE57981DD72}" name="High15" dataDxfId="1557"/>
    <tableColumn id="17" xr3:uid="{DC13C9CF-21E4-0341-AC85-77254CBA4C10}" name="High16" dataDxfId="1556"/>
    <tableColumn id="18" xr3:uid="{8B477E38-014E-7349-BDEF-006CC12B5F71}" name="High17" dataDxfId="1555"/>
    <tableColumn id="19" xr3:uid="{244FB7EE-D034-2C4B-855E-A5622CFD9DCC}" name="High18" dataDxfId="1554"/>
    <tableColumn id="20" xr3:uid="{BE6D664C-133B-0D49-9894-15834393E697}" name="High19" dataDxfId="1553"/>
    <tableColumn id="21" xr3:uid="{0D39CB33-A7F6-3446-97CA-74E68796A5EF}" name="High20" dataDxfId="1552">
      <calculatedColumnFormula>[1]ExtEntry!$J3</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059310D-912B-5146-8786-585E1C6FFCF2}" name="Tab2MarketValue" displayName="Tab2MarketValue" ref="AB504:AV598" totalsRowShown="0" headerRowDxfId="1551" dataDxfId="1550" tableBorderDxfId="1549" dataCellStyle="Comma">
  <autoFilter ref="AB504:AV598" xr:uid="{2059310D-912B-5146-8786-585E1C6FFCF2}"/>
  <tableColumns count="21">
    <tableColumn id="1" xr3:uid="{C4347E4A-86BC-5043-97CE-45A14B956E41}" name="M_Val0" dataDxfId="1548" dataCellStyle="Comma"/>
    <tableColumn id="2" xr3:uid="{B1FF6CEC-79A5-F849-8927-C7B81EC7DECC}" name="M_Val1" dataDxfId="1547" dataCellStyle="Comma"/>
    <tableColumn id="3" xr3:uid="{A3EF44CD-266F-BE4D-AA64-EC5EB34BABDE}" name="M_Val2" dataDxfId="1546" dataCellStyle="Comma"/>
    <tableColumn id="4" xr3:uid="{33FCDB11-ACFC-144C-96FF-80A724DEA2D2}" name="M_Val3" dataDxfId="1545" dataCellStyle="Comma"/>
    <tableColumn id="5" xr3:uid="{ECF85600-2A51-6B4A-A8AA-85CC4E8C8A69}" name="M_Val4" dataDxfId="1544" dataCellStyle="Comma"/>
    <tableColumn id="6" xr3:uid="{DA6F66BD-BF68-A745-930D-40C93490CE38}" name="M_Val5" dataDxfId="1543" dataCellStyle="Comma"/>
    <tableColumn id="7" xr3:uid="{3825427F-1753-8E4B-9F49-DC786B094ADF}" name="M_Val6" dataDxfId="1542" dataCellStyle="Comma"/>
    <tableColumn id="8" xr3:uid="{DE50C296-7BE6-2344-ADBB-42DDE8201D63}" name="M_Val7" dataDxfId="1541" dataCellStyle="Comma"/>
    <tableColumn id="9" xr3:uid="{6E7F2388-373F-3347-A802-C9769737C04E}" name="M_Val8" dataDxfId="1540" dataCellStyle="Comma"/>
    <tableColumn id="10" xr3:uid="{A785C2B5-06C3-8744-8BCE-7DF4FD77BC91}" name="M_Val9" dataDxfId="1539" dataCellStyle="Comma"/>
    <tableColumn id="11" xr3:uid="{8C7CA10E-47BD-E84A-BD5C-1A0BE803DEC1}" name="M_Val10" dataDxfId="1538" dataCellStyle="Comma"/>
    <tableColumn id="12" xr3:uid="{1E4D3DAF-E7FF-874F-9172-DEC7EE7EAB78}" name="M_Val11" dataDxfId="1537" dataCellStyle="Comma"/>
    <tableColumn id="13" xr3:uid="{92B8A6BB-8666-2348-B666-A1B1F7225487}" name="M_Val12" dataDxfId="1536" dataCellStyle="Comma"/>
    <tableColumn id="14" xr3:uid="{2BB9A822-DD2E-954F-B6F7-E6E26EE77E8B}" name="M_Val13" dataDxfId="1535" dataCellStyle="Comma"/>
    <tableColumn id="15" xr3:uid="{155B15D5-436D-664E-8647-3917F45F9F75}" name="M_Val14" dataDxfId="1534" dataCellStyle="Comma"/>
    <tableColumn id="16" xr3:uid="{2317AB74-4C6E-FC4A-8D59-B4EA62202F18}" name="M_Val15" dataDxfId="1533" dataCellStyle="Comma"/>
    <tableColumn id="17" xr3:uid="{FA0A4F43-775A-E940-A9B0-C394FF2B3489}" name="M_Val16" dataDxfId="1532" dataCellStyle="Comma"/>
    <tableColumn id="18" xr3:uid="{914B7672-9B72-E249-BB28-1D744A2474DA}" name="M_Val17" dataDxfId="1531" dataCellStyle="Comma"/>
    <tableColumn id="19" xr3:uid="{FEAB0C78-F15D-434B-A119-CE6A5430E083}" name="M_Val18" dataDxfId="1530" dataCellStyle="Comma"/>
    <tableColumn id="20" xr3:uid="{7060E8A2-F8A5-8741-9D69-3F1A5F8B6BF0}" name="M_Val19" dataDxfId="1529" dataCellStyle="Comma"/>
    <tableColumn id="21" xr3:uid="{FA8ABABE-3921-3E45-831B-C8F137C9C488}" name="M_Val20" dataDxfId="1528" dataCellStyle="Comma">
      <calculatedColumnFormula>Calc!F3</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6432D48-615D-1C48-A920-5E65086EABA8}" name="Tab1PE" displayName="Tab1PE" ref="F504:Z598" totalsRowShown="0" headerRowDxfId="1527" dataDxfId="1526" tableBorderDxfId="1525">
  <autoFilter ref="F504:Z598" xr:uid="{36432D48-615D-1C48-A920-5E65086EABA8}"/>
  <tableColumns count="21">
    <tableColumn id="1" xr3:uid="{6AB3A1F6-3AFC-8A45-971A-236D7AC7AB72}" name="PE0" dataDxfId="1524"/>
    <tableColumn id="2" xr3:uid="{C1F36B94-A69D-D048-9AB8-5EA83B7C9B99}" name="PE1" dataDxfId="1523"/>
    <tableColumn id="3" xr3:uid="{63661DA8-D795-6C49-A71B-41F019D21DDC}" name="PE2" dataDxfId="1522"/>
    <tableColumn id="4" xr3:uid="{D5A54A31-FEF4-BA4E-9B48-3EEF87AD1F14}" name="PE3" dataDxfId="1521"/>
    <tableColumn id="5" xr3:uid="{B65A08F3-5A74-754D-A3C6-8CDB9EF676C2}" name="PE4" dataDxfId="1520"/>
    <tableColumn id="6" xr3:uid="{7D4695C5-0843-EF45-A864-194AC78A2520}" name="PE5" dataDxfId="1519"/>
    <tableColumn id="7" xr3:uid="{35BB55FC-B3A0-964C-AEA0-9AA1136AF415}" name="PE6" dataDxfId="1518"/>
    <tableColumn id="8" xr3:uid="{1D2CBFF1-8B15-A84D-81C4-481E8A48D1DC}" name="PE7" dataDxfId="1517"/>
    <tableColumn id="9" xr3:uid="{A828A73C-F96B-5249-93ED-64ED903CA99D}" name="PE8" dataDxfId="1516"/>
    <tableColumn id="10" xr3:uid="{8870CD52-48DF-8841-998E-4E415A2751E6}" name="PE9" dataDxfId="1515"/>
    <tableColumn id="11" xr3:uid="{93CEE660-F7F2-1242-8DB3-9770EDC47297}" name="PE10" dataDxfId="1514"/>
    <tableColumn id="12" xr3:uid="{7271FB2D-1E6B-FE46-89C9-E6D759BE0E9C}" name="PE11" dataDxfId="1513"/>
    <tableColumn id="13" xr3:uid="{F5323927-9C3C-1445-8A2F-D173633B0D4C}" name="PE12" dataDxfId="1512"/>
    <tableColumn id="14" xr3:uid="{F94286AA-0AD1-F44B-A550-F7D2B757B377}" name="PE13" dataDxfId="1511"/>
    <tableColumn id="15" xr3:uid="{3E87B3EC-0708-2840-B184-905CF0494D38}" name="PE14" dataDxfId="1510"/>
    <tableColumn id="16" xr3:uid="{937EBC93-3781-5349-A2AC-956E22021E08}" name="PE15" dataDxfId="1509"/>
    <tableColumn id="17" xr3:uid="{638B58F0-3B34-CD4E-B605-167004C8346E}" name="PE16" dataDxfId="1508"/>
    <tableColumn id="18" xr3:uid="{E1AD3DD0-1478-964D-8994-FF3EA6BE4C0F}" name="PE17" dataDxfId="1507"/>
    <tableColumn id="19" xr3:uid="{9E8E221E-BFCA-BA44-9CF6-97E06234E423}" name="PE18" dataDxfId="1506"/>
    <tableColumn id="20" xr3:uid="{C4FBB163-9E7D-C545-98D8-5012D5EBEE1F}" name="PE19" dataDxfId="1505"/>
    <tableColumn id="21" xr3:uid="{EB5F2E20-930D-4648-8D82-E36CBF64AD58}" name="PE20" dataDxfId="1504">
      <calculatedColumnFormula>[1]ExtEntry!$K3</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609B58A-1615-B540-A3F4-6B519A654E28}" name="Tab2Free1" displayName="Tab2Free1" ref="AB604:AV698" totalsRowShown="0" headerRowDxfId="1503" dataDxfId="1502" tableBorderDxfId="1501" dataCellStyle="Comma">
  <autoFilter ref="AB604:AV698" xr:uid="{3609B58A-1615-B540-A3F4-6B519A654E28}"/>
  <tableColumns count="21">
    <tableColumn id="1" xr3:uid="{A0B04F0D-EC99-2549-B887-D57FA0D5E86F}" name="Gravity0" dataDxfId="1500" dataCellStyle="Percent"/>
    <tableColumn id="2" xr3:uid="{8D4C8AFE-708C-3547-976C-9A96BCBB8AFE}" name="Gravity1" dataDxfId="1499" dataCellStyle="Percent"/>
    <tableColumn id="3" xr3:uid="{7DFEBD87-178F-F64B-84A1-99F2119E39BA}" name="Gravity2" dataDxfId="1498" dataCellStyle="Percent"/>
    <tableColumn id="4" xr3:uid="{1D750563-D4F9-1A4D-A506-0AFE6C2D1D11}" name="Gravity3" dataDxfId="1497" dataCellStyle="Percent"/>
    <tableColumn id="5" xr3:uid="{0C9EE0C1-A0F5-A74E-8AB9-1AFD9B1C16DB}" name="Gravity4" dataDxfId="1496" dataCellStyle="Percent"/>
    <tableColumn id="6" xr3:uid="{9B19E6A0-AB29-C740-A355-E5A5CAD21CAB}" name="Gravity5" dataDxfId="1495" dataCellStyle="Percent"/>
    <tableColumn id="7" xr3:uid="{C28A85C1-D8C2-CA41-8F08-02E8F8024840}" name="Gravity6" dataDxfId="1494" dataCellStyle="Percent"/>
    <tableColumn id="8" xr3:uid="{357255E7-2CA0-0A43-9C09-B4D68962DF89}" name="Gravity7" dataDxfId="1493" dataCellStyle="Percent"/>
    <tableColumn id="9" xr3:uid="{C55B8262-AD8C-5141-BB34-1E2036804933}" name="Gravity8" dataDxfId="1492" dataCellStyle="Percent"/>
    <tableColumn id="10" xr3:uid="{298C0C4D-7682-4740-A283-7CAC9012D782}" name="Gravity9" dataDxfId="1491" dataCellStyle="Percent"/>
    <tableColumn id="11" xr3:uid="{B2D984E2-F2D7-B140-A5DB-627777F1DCD8}" name="Gravity10" dataDxfId="1490" dataCellStyle="Percent"/>
    <tableColumn id="12" xr3:uid="{9BB8DE4A-EB39-9548-A681-07940F2F801B}" name="Gravity11" dataDxfId="1489" dataCellStyle="Percent"/>
    <tableColumn id="13" xr3:uid="{76A3DECB-D825-C34E-8854-40CC9AFC168B}" name="Gravity12" dataDxfId="1488" dataCellStyle="Percent"/>
    <tableColumn id="14" xr3:uid="{AB485574-61F2-474C-89CB-FD8087756B5F}" name="Gravity13" dataDxfId="1487" dataCellStyle="Percent"/>
    <tableColumn id="15" xr3:uid="{438E0A68-B270-F947-817C-A58D392C7C30}" name="Gravity14" dataDxfId="1486" dataCellStyle="Percent"/>
    <tableColumn id="16" xr3:uid="{2B03B8A5-CB2F-C04E-B9AF-40D10250B197}" name="Gravity15" dataDxfId="1485" dataCellStyle="Percent"/>
    <tableColumn id="17" xr3:uid="{8387BA87-3B28-BE46-AD30-96A306038D1F}" name="Gravity16" dataDxfId="1484" dataCellStyle="Percent"/>
    <tableColumn id="18" xr3:uid="{F7904E93-BC46-0140-B3D6-49F92A3C3B5D}" name="Gravity17" dataDxfId="1483" dataCellStyle="Percent"/>
    <tableColumn id="19" xr3:uid="{672772F2-D35C-FE45-9C9E-A94C236B7B44}" name="Gravity18" dataDxfId="1482" dataCellStyle="Percent"/>
    <tableColumn id="20" xr3:uid="{208290DE-04CD-8449-90BB-B19A0603A99B}" name="Gravity19" dataDxfId="1481" dataCellStyle="Percent"/>
    <tableColumn id="21" xr3:uid="{D3DBFB11-389F-5340-8DDD-4E481D36F033}" name="Gravity20" dataDxfId="1480" dataCellStyle="Percent">
      <calculatedColumnFormula>Calc!AS3</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DCF9413-627E-A447-A977-39461A12B0A3}" name="Tab1Change" displayName="Tab1Change" ref="F604:Z698" totalsRowShown="0" headerRowDxfId="1479" dataDxfId="1478" tableBorderDxfId="1477">
  <autoFilter ref="F604:Z698" xr:uid="{4DCF9413-627E-A447-A977-39461A12B0A3}"/>
  <tableColumns count="21">
    <tableColumn id="1" xr3:uid="{6C815857-AD36-514F-8897-BFA64C5DF519}" name="Change0" dataDxfId="1476"/>
    <tableColumn id="2" xr3:uid="{D38C3A03-2443-AD4B-AABC-4865D01815F2}" name="Change1" dataDxfId="1475"/>
    <tableColumn id="3" xr3:uid="{F6A50E01-2E70-8A44-A203-8594C9A07E19}" name="Change2" dataDxfId="1474"/>
    <tableColumn id="4" xr3:uid="{706AC2D7-888F-424A-A18C-849A98565C59}" name="Change3" dataDxfId="1473"/>
    <tableColumn id="5" xr3:uid="{560434CF-FA00-224C-B78C-55A65C6677B2}" name="Change4" dataDxfId="1472"/>
    <tableColumn id="6" xr3:uid="{9BB8986A-CB07-764B-974F-0200B964D48F}" name="Change5" dataDxfId="1471"/>
    <tableColumn id="7" xr3:uid="{A2BACA41-D491-AB49-BEA6-9772D4BD92BB}" name="Change6" dataDxfId="1470"/>
    <tableColumn id="8" xr3:uid="{B018DF0E-1556-A640-A7CD-653956B49AF4}" name="Change7" dataDxfId="1469"/>
    <tableColumn id="9" xr3:uid="{0589AC3B-0F4E-9B4F-BB47-CE809EB1DBF8}" name="Change8" dataDxfId="1468"/>
    <tableColumn id="10" xr3:uid="{43E47C43-9E48-B94B-A809-58536D8414BF}" name="Change9" dataDxfId="1467"/>
    <tableColumn id="11" xr3:uid="{A0D7F08A-CDD4-414F-9F26-553F599CBBF1}" name="Change10" dataDxfId="1466"/>
    <tableColumn id="12" xr3:uid="{488D9FD5-AC07-7A41-BD58-03C91357C94E}" name="Change11" dataDxfId="1465"/>
    <tableColumn id="13" xr3:uid="{EE9196AD-D051-6B4A-A202-A7144C6DFD66}" name="Change12" dataDxfId="1464"/>
    <tableColumn id="14" xr3:uid="{98450C78-3B61-1240-A662-7D5D61F30136}" name="Change13" dataDxfId="1463"/>
    <tableColumn id="15" xr3:uid="{EFA82915-6798-D846-878D-4446ABAE0933}" name="Change14" dataDxfId="1462"/>
    <tableColumn id="16" xr3:uid="{1CB917FE-8C88-4342-92DA-8B016542CFD2}" name="Change15" dataDxfId="1461"/>
    <tableColumn id="17" xr3:uid="{42105FB5-22CD-9342-866F-5BA47B717B37}" name="Change16" dataDxfId="1460"/>
    <tableColumn id="18" xr3:uid="{9FDA4AD2-5AA7-AC4E-BDB4-8AA2B4A4A42A}" name="Change17" dataDxfId="1459"/>
    <tableColumn id="19" xr3:uid="{6F1473B0-92BE-D749-A143-3A92C357032F}" name="Change18" dataDxfId="1458"/>
    <tableColumn id="20" xr3:uid="{25B55CEC-14E6-7E42-9FB8-CC16C431ABE7}" name="Change19" dataDxfId="1457"/>
    <tableColumn id="21" xr3:uid="{C59011F9-9453-234D-A348-16CE831E6078}" name="Change20" dataDxfId="1456">
      <calculatedColumnFormula>[1]ExtEntry!$L3</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5611BBA-DEBB-A742-816E-7FD6E0ADDC18}" name="Tab2Free2" displayName="Tab2Free2" ref="AB703:AV797" totalsRowShown="0" headerRowDxfId="1455" dataDxfId="1454" tableBorderDxfId="1453" dataCellStyle="Comma">
  <autoFilter ref="AB703:AV797" xr:uid="{A5611BBA-DEBB-A742-816E-7FD6E0ADDC18}"/>
  <tableColumns count="21">
    <tableColumn id="1" xr3:uid="{9E345079-25ED-314A-BD31-D6BE104235D5}" name="Price_R_0" dataDxfId="1452" dataCellStyle="Comma"/>
    <tableColumn id="2" xr3:uid="{814A6345-1ED8-FE41-9109-8CD80D16593D}" name="Price_R_1" dataDxfId="1451" dataCellStyle="Comma"/>
    <tableColumn id="3" xr3:uid="{63A5BA5B-6637-7146-BCAB-AF0A6BD84542}" name="Price_R_2" dataDxfId="1450" dataCellStyle="Comma"/>
    <tableColumn id="4" xr3:uid="{C60CA0E4-422E-874F-B78B-A323C8C52AD9}" name="Price_R_3" dataDxfId="1449" dataCellStyle="Comma"/>
    <tableColumn id="5" xr3:uid="{7482E8DF-E6B5-9E41-8E12-A7E87DCC4331}" name="Price_R_4" dataDxfId="1448" dataCellStyle="Comma"/>
    <tableColumn id="6" xr3:uid="{D2D2A512-B5A8-7944-8FDD-4BCD959F2381}" name="Price_R_5" dataDxfId="1447" dataCellStyle="Comma"/>
    <tableColumn id="7" xr3:uid="{4F82805C-CC22-E74C-B851-5D6D0D84B7DC}" name="Price_R_6" dataDxfId="1446" dataCellStyle="Comma"/>
    <tableColumn id="8" xr3:uid="{BE4CDE83-DB86-9A48-85B9-E2A9B9E30C11}" name="Price_R_7" dataDxfId="1445" dataCellStyle="Comma"/>
    <tableColumn id="9" xr3:uid="{6C1BF96F-8EDB-6946-A2F3-C983E0C0C055}" name="Price_R_8" dataDxfId="1444" dataCellStyle="Comma"/>
    <tableColumn id="10" xr3:uid="{DA1EB53F-7FEE-8641-A52B-536EA3AB1DAC}" name="Price_R_9" dataDxfId="1443" dataCellStyle="Comma"/>
    <tableColumn id="11" xr3:uid="{A78F983A-0F51-D747-8420-29D3EA740487}" name="Price_R_10" dataDxfId="1442" dataCellStyle="Comma"/>
    <tableColumn id="12" xr3:uid="{6EE0B1E4-6446-F242-8E37-5BC854705E77}" name="Price_R_11" dataDxfId="1441" dataCellStyle="Comma"/>
    <tableColumn id="13" xr3:uid="{B85618C8-1B52-2A43-94AF-62D2CF27CAA3}" name="Price_R_12" dataDxfId="1440" dataCellStyle="Comma"/>
    <tableColumn id="14" xr3:uid="{6F404DC1-D1DD-7741-9D45-4928A4B19C45}" name="Price_R_13" dataDxfId="1439" dataCellStyle="Comma"/>
    <tableColumn id="15" xr3:uid="{B9BCB79E-3DF6-A845-AA0F-D76186F6F272}" name="Price_R_14" dataDxfId="1438" dataCellStyle="Comma"/>
    <tableColumn id="16" xr3:uid="{A3C7848D-67D3-FF45-8B42-6D9A6E4C865F}" name="Price_R_15" dataDxfId="1437" dataCellStyle="Comma"/>
    <tableColumn id="17" xr3:uid="{6385658D-D996-6E49-96D3-AC27BD18C68D}" name="Price_R_16" dataDxfId="1436" dataCellStyle="Comma"/>
    <tableColumn id="18" xr3:uid="{6755F4F7-AB0E-1140-BD86-0CEB49445E3C}" name="Price_R_17" dataDxfId="1435" dataCellStyle="Comma"/>
    <tableColumn id="19" xr3:uid="{5F2B6E7B-CF5C-004B-BBB8-34AC8C1B33C1}" name="Price_R_18" dataDxfId="1434" dataCellStyle="Comma"/>
    <tableColumn id="20" xr3:uid="{5BBB4D31-9AF3-3C40-A301-74F15E49AF4B}" name="Price_R_19" dataDxfId="1433" dataCellStyle="Comma"/>
    <tableColumn id="21" xr3:uid="{F53B7264-073C-B04C-AB0C-D9A23BDED3A3}" name="Price_R_20" dataDxfId="1432" dataCellStyle="Comma">
      <calculatedColumnFormula>_xlfn.RANK.EQ(Y205,F205:Y205)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17639E3-C9A3-E441-ACF7-1F3F452949DB}" name="Tab1ChangePercent" displayName="Tab1ChangePercent" ref="F703:Z797" totalsRowShown="0" headerRowDxfId="1431" dataDxfId="1430" tableBorderDxfId="1429" dataCellStyle="Percent">
  <autoFilter ref="F703:Z797" xr:uid="{217639E3-C9A3-E441-ACF7-1F3F452949DB}"/>
  <tableColumns count="21">
    <tableColumn id="1" xr3:uid="{07F85B24-C0AB-654A-99EE-FF2231A0E5E9}" name="Change%0" dataDxfId="1428" totalsRowDxfId="1427" dataCellStyle="Percent"/>
    <tableColumn id="2" xr3:uid="{6277BEEF-ED87-8F44-856D-A182DAC7D192}" name="Change%1" dataDxfId="1426" totalsRowDxfId="1425" dataCellStyle="Percent"/>
    <tableColumn id="3" xr3:uid="{81173F8B-762A-6F48-A5CE-466659ED4610}" name="Change%2" dataDxfId="1424" totalsRowDxfId="1423" dataCellStyle="Percent"/>
    <tableColumn id="4" xr3:uid="{5FAB3EA3-5005-BF42-8BD0-60FA27AB26A0}" name="Change%3" dataDxfId="1422" totalsRowDxfId="1421" dataCellStyle="Percent"/>
    <tableColumn id="5" xr3:uid="{263B0787-0B05-754C-BD4B-2E271E2ECCC7}" name="Change%4" dataDxfId="1420" totalsRowDxfId="1419" dataCellStyle="Percent"/>
    <tableColumn id="6" xr3:uid="{30CF5F57-193D-0442-A594-4E8DE2F03ADB}" name="Change%5" dataDxfId="1418" totalsRowDxfId="1417" dataCellStyle="Percent"/>
    <tableColumn id="7" xr3:uid="{4B8BFE6B-2BED-4D42-AEC9-87DFA508274E}" name="Change%6" dataDxfId="1416" totalsRowDxfId="1415" dataCellStyle="Percent"/>
    <tableColumn id="8" xr3:uid="{07CEB146-02E3-E541-9100-0CB50F4E0739}" name="Change%7" dataDxfId="1414" totalsRowDxfId="1413" dataCellStyle="Percent"/>
    <tableColumn id="9" xr3:uid="{4CDDB7A4-680A-2340-B992-0DC78E17A997}" name="Change%8" dataDxfId="1412" totalsRowDxfId="1411" dataCellStyle="Percent"/>
    <tableColumn id="10" xr3:uid="{9AA5B541-EC12-DE45-B4D3-4EE2138C5D3C}" name="Change%9" dataDxfId="1410" totalsRowDxfId="1409" dataCellStyle="Percent"/>
    <tableColumn id="11" xr3:uid="{DA0F2F38-7866-354A-AF05-3F766DEF3C41}" name="Change%10" dataDxfId="1408" totalsRowDxfId="1407" dataCellStyle="Percent"/>
    <tableColumn id="12" xr3:uid="{ACEEC37C-251A-744A-A91C-58964EEB2458}" name="Change%11" dataDxfId="1406" totalsRowDxfId="1405" dataCellStyle="Percent"/>
    <tableColumn id="13" xr3:uid="{64EA9527-9991-AA4B-B95F-7836E1D6B699}" name="Change%12" dataDxfId="1404" totalsRowDxfId="1403" dataCellStyle="Percent"/>
    <tableColumn id="14" xr3:uid="{BF77A13F-B55D-E945-85FD-1B2DEE78796D}" name="Change%13" dataDxfId="1402" totalsRowDxfId="1401" dataCellStyle="Percent"/>
    <tableColumn id="15" xr3:uid="{37253EE7-EBB5-FB4C-AAD0-28CC218B6D0F}" name="Change%14" dataDxfId="1400" totalsRowDxfId="1399" dataCellStyle="Percent"/>
    <tableColumn id="16" xr3:uid="{67C0BADF-9353-854D-BCD6-DB9E43EE9E3E}" name="Change%15" dataDxfId="1398" totalsRowDxfId="1397" dataCellStyle="Percent"/>
    <tableColumn id="17" xr3:uid="{8C76684D-54C9-0441-8A71-E4B91154A635}" name="Change%16" dataDxfId="1396" totalsRowDxfId="1395" dataCellStyle="Percent"/>
    <tableColumn id="18" xr3:uid="{09F452FF-F0DF-F44D-8DCF-4990F34FA347}" name="Change%17" dataDxfId="1394" totalsRowDxfId="1393" dataCellStyle="Percent"/>
    <tableColumn id="19" xr3:uid="{0F279240-DB4F-A344-BDFA-918E88A0673B}" name="Change%18" dataDxfId="1392" totalsRowDxfId="1391" dataCellStyle="Percent"/>
    <tableColumn id="20" xr3:uid="{1D897499-2474-6042-AF31-D19B07F64D1C}" name="Change%19" dataDxfId="1390" totalsRowDxfId="1389" dataCellStyle="Percent"/>
    <tableColumn id="21" xr3:uid="{2E614D1E-AA18-8C46-95FC-92384A1FC5E5}" name="Change%20" dataDxfId="1388" totalsRowDxfId="1387" dataCellStyle="Percent">
      <calculatedColumnFormula>[1]ExtEntry!$M3</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DC97B12-567A-5F43-B215-F635C4FFAF56}" name="Tab2Free3" displayName="Tab2Free3" ref="AB803:AV897" totalsRowShown="0" headerRowDxfId="1386" dataDxfId="1385" tableBorderDxfId="1384" dataCellStyle="Comma">
  <autoFilter ref="AB803:AV897" xr:uid="{1DC97B12-567A-5F43-B215-F635C4FFAF56}"/>
  <tableColumns count="21">
    <tableColumn id="1" xr3:uid="{727EC8D5-2244-CA4D-B85E-1371B26803A7}" name="CH-R-0" dataDxfId="1383" dataCellStyle="Comma"/>
    <tableColumn id="2" xr3:uid="{1D4D9313-D8EA-EE45-834B-B8110298E57E}" name="CH-R-1" dataDxfId="1382" dataCellStyle="Comma"/>
    <tableColumn id="3" xr3:uid="{BFBBF7D3-3ACF-E04D-8ACF-5FC756167FF7}" name="CH-R-2" dataDxfId="1381" dataCellStyle="Comma"/>
    <tableColumn id="4" xr3:uid="{8AB840F2-736F-CA41-A42D-74A8241D8796}" name="CH-R-3" dataDxfId="1380" dataCellStyle="Comma"/>
    <tableColumn id="5" xr3:uid="{5D1E54CB-AE29-0144-B1FC-B3B15533987B}" name="CH-R-4" dataDxfId="1379" dataCellStyle="Comma"/>
    <tableColumn id="6" xr3:uid="{BA1BC152-62C6-244E-85BC-7E4C47ECE56F}" name="CH-R-5" dataDxfId="1378" dataCellStyle="Comma"/>
    <tableColumn id="7" xr3:uid="{0FB3DBC1-359D-0D4A-A6BD-6D34EB9BE4B5}" name="CH-R-6" dataDxfId="1377" dataCellStyle="Comma"/>
    <tableColumn id="8" xr3:uid="{C5DF6FC7-DD4A-6B48-936C-A6C0052CA0E2}" name="CH-R-7" dataDxfId="1376" dataCellStyle="Comma"/>
    <tableColumn id="9" xr3:uid="{294D38E4-945E-E243-AF30-979EE13B6E0E}" name="CH-R-8" dataDxfId="1375" dataCellStyle="Comma"/>
    <tableColumn id="10" xr3:uid="{1003CB93-FC9A-3047-A4AD-4014B5E1BDB1}" name="CH-R-9" dataDxfId="1374" dataCellStyle="Comma"/>
    <tableColumn id="11" xr3:uid="{59E8ED13-A37B-A548-9E5F-0C631205C7A6}" name="CH-R-10" dataDxfId="1373" dataCellStyle="Comma"/>
    <tableColumn id="12" xr3:uid="{F8B58B23-BC44-2C4F-94DD-52848147470C}" name="CH-R-11" dataDxfId="1372" dataCellStyle="Comma"/>
    <tableColumn id="13" xr3:uid="{6587F87F-94FF-3948-A1ED-50697B285DD9}" name="CH-R-12" dataDxfId="1371" dataCellStyle="Comma"/>
    <tableColumn id="14" xr3:uid="{5F72F02E-D1EB-0A48-AC14-631092D2AB8F}" name="CH-R-13" dataDxfId="1370" dataCellStyle="Comma"/>
    <tableColumn id="15" xr3:uid="{40CDB037-F34C-2C46-A44D-4EEB99A4F48A}" name="CH-R-14" dataDxfId="1369" dataCellStyle="Comma"/>
    <tableColumn id="16" xr3:uid="{36A7D946-56B9-424A-AC3F-16C20613B32D}" name="CH-R-15" dataDxfId="1368" dataCellStyle="Comma"/>
    <tableColumn id="17" xr3:uid="{98778DB8-B67D-2440-B38A-5470013D7E4A}" name="CH-R-16" dataDxfId="1367" dataCellStyle="Comma"/>
    <tableColumn id="18" xr3:uid="{4B26C77F-CDA1-384A-A838-99098596B1CA}" name="CH-R-17" dataDxfId="1366" dataCellStyle="Comma"/>
    <tableColumn id="19" xr3:uid="{D80360C1-FD36-B649-BA53-444CF7B6B399}" name="CH-R-18" dataDxfId="1365" dataCellStyle="Comma"/>
    <tableColumn id="20" xr3:uid="{70AEF62D-042F-584F-A3F6-7A20A448F2FA}" name="CH-R-19" dataDxfId="1364" dataCellStyle="Comma"/>
    <tableColumn id="21" xr3:uid="{0399200B-8517-864B-BB3B-55D173BBA511}" name="CH-R-20" dataDxfId="1363" dataCellStyle="Comma">
      <calculatedColumnFormula>_xlfn.RANK.EQ(Y704,F704:Y704)</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DE443FDB-A09F-D546-9DCC-6F79C8591A3A}" name="Tab1Low52" displayName="Tab1Low52" ref="F803:Z896" totalsRowShown="0" headerRowDxfId="1362" dataDxfId="1361" tableBorderDxfId="1360">
  <autoFilter ref="F803:Z896" xr:uid="{DE443FDB-A09F-D546-9DCC-6F79C8591A3A}"/>
  <tableColumns count="21">
    <tableColumn id="1" xr3:uid="{66DF501E-0E04-284D-AE56-250C1181933A}" name="LOW520" dataDxfId="1359"/>
    <tableColumn id="2" xr3:uid="{51019CAA-7B7B-8843-BBCF-5E5CF4955750}" name="LOW521" dataDxfId="1358"/>
    <tableColumn id="3" xr3:uid="{2F991A5F-695C-964A-B29C-4DD5E41602D3}" name="LOW522" dataDxfId="1357"/>
    <tableColumn id="4" xr3:uid="{AB3D5084-566B-2B4F-9C79-27669957BB9F}" name="LOW523" dataDxfId="1356"/>
    <tableColumn id="5" xr3:uid="{6C53359E-20BC-C146-9D57-DC52E93E1D0E}" name="LOW524" dataDxfId="1355"/>
    <tableColumn id="6" xr3:uid="{70979044-9A70-5441-A295-C2836D7D4EED}" name="LOW525" dataDxfId="1354"/>
    <tableColumn id="7" xr3:uid="{80D3193C-0073-D342-AB91-282BC9934C5D}" name="LOW526" dataDxfId="1353"/>
    <tableColumn id="8" xr3:uid="{1F04BB25-949C-A647-B2F5-3D7AAD3EE4C5}" name="LOW527" dataDxfId="1352"/>
    <tableColumn id="9" xr3:uid="{9BA5549A-8A81-D144-8C7C-F545ADD31E5A}" name="LOW528" dataDxfId="1351"/>
    <tableColumn id="10" xr3:uid="{8500AE99-78F5-2544-959C-444C1B16D49C}" name="LOW529" dataDxfId="1350"/>
    <tableColumn id="11" xr3:uid="{3DB600FC-DD7E-DA49-BBB5-1B3A8D390CA1}" name="LOW530" dataDxfId="1349"/>
    <tableColumn id="12" xr3:uid="{B776E02F-5049-7C41-9287-FC66BD83FD7C}" name="LOW531" dataDxfId="1348"/>
    <tableColumn id="13" xr3:uid="{2A31C167-B981-AA42-AD62-98EB96BEFE66}" name="LOW532" dataDxfId="1347"/>
    <tableColumn id="14" xr3:uid="{D9B09FFF-8924-C041-A13C-2CF52F057E93}" name="LOW533" dataDxfId="1346"/>
    <tableColumn id="15" xr3:uid="{C89D40B5-88F9-7F40-9C11-C00C2540EF0B}" name="LOW534" dataDxfId="1345"/>
    <tableColumn id="16" xr3:uid="{5B579388-FC67-8E4A-91A7-9373EE02FD6D}" name="LOW535" dataDxfId="1344"/>
    <tableColumn id="17" xr3:uid="{BA4BE745-0FD6-B44F-B87F-E6D03EF83F74}" name="LOW536" dataDxfId="1343"/>
    <tableColumn id="18" xr3:uid="{4F99BD31-6BBB-4C4E-AF0E-C5201824FB40}" name="LOW537" dataDxfId="1342"/>
    <tableColumn id="19" xr3:uid="{027111A8-F0C3-2E49-B4C8-66CA04669A75}" name="LOW538" dataDxfId="1341"/>
    <tableColumn id="20" xr3:uid="{898C76AA-1E86-5248-9312-D2A982DF2BC1}" name="LOW539" dataDxfId="1340"/>
    <tableColumn id="21" xr3:uid="{4ED07DB6-2955-E747-8AD4-966FA8287E02}" name="LOW540" dataDxfId="1339">
      <calculatedColumnFormula>[1]ExtEntry!$N3</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1989BE9-E4C8-204A-8EC4-E515463D6985}" name="Tab1High52" displayName="Tab1High52" ref="F902:Z996" totalsRowShown="0" headerRowDxfId="1338" dataDxfId="1337" tableBorderDxfId="1336">
  <autoFilter ref="F902:Z996" xr:uid="{A1989BE9-E4C8-204A-8EC4-E515463D6985}"/>
  <tableColumns count="21">
    <tableColumn id="1" xr3:uid="{CCDAF27B-3366-AB41-9C05-67D8AB44D4C7}" name="HIGH520" dataDxfId="1335" dataCellStyle="Comma"/>
    <tableColumn id="2" xr3:uid="{66800E83-F458-F641-A4A6-8E929A7BC7C5}" name="HIGH521" dataDxfId="1334"/>
    <tableColumn id="3" xr3:uid="{50281050-1392-2349-A75F-437D63C0923A}" name="HIGH522" dataDxfId="1333"/>
    <tableColumn id="4" xr3:uid="{02987E0E-C4C8-F64F-A903-54444C25D7A5}" name="HIGH523" dataDxfId="1332"/>
    <tableColumn id="5" xr3:uid="{1C8321CF-3789-B942-8086-84D8FC5EF89B}" name="HIGH524" dataDxfId="1331"/>
    <tableColumn id="6" xr3:uid="{8EF5F9E0-0987-2244-862B-B4A06B974900}" name="HIGH525" dataDxfId="1330"/>
    <tableColumn id="7" xr3:uid="{74B46C00-40B4-3A45-8BC9-0EC98E687645}" name="HIGH526" dataDxfId="1329"/>
    <tableColumn id="8" xr3:uid="{13302214-C76A-9E43-852A-951084F77FEA}" name="HIGH527" dataDxfId="1328"/>
    <tableColumn id="9" xr3:uid="{36EAB480-A1A3-084D-BFBC-05E7EE00265E}" name="HIGH528" dataDxfId="1327"/>
    <tableColumn id="10" xr3:uid="{F3503877-08D5-6948-B0C1-AC821D9C45C5}" name="HIGH529" dataDxfId="1326"/>
    <tableColumn id="11" xr3:uid="{32C868C5-378D-FF40-812E-1D62D5C262B5}" name="HIGH530" dataDxfId="1325"/>
    <tableColumn id="12" xr3:uid="{974976C8-811B-B542-9ACC-A07556104D5D}" name="HIGH531" dataDxfId="1324"/>
    <tableColumn id="13" xr3:uid="{8EFA0DD6-DC2A-FB4D-BFF3-7DD01DC6CD24}" name="HIGH532" dataDxfId="1323"/>
    <tableColumn id="14" xr3:uid="{A6F85B1E-9147-4F47-A979-FBAEA4A15F17}" name="HIGH533" dataDxfId="1322"/>
    <tableColumn id="15" xr3:uid="{F3D09233-8B42-B448-BF0C-B6AB160E9B03}" name="HIGH534" dataDxfId="1321"/>
    <tableColumn id="16" xr3:uid="{FEB17489-56E2-BF43-A14A-29AF2FB81F6F}" name="HIGH535" dataDxfId="1320"/>
    <tableColumn id="17" xr3:uid="{B41E1FB1-F71C-2348-8B12-860AF115417C}" name="HIGH536" dataDxfId="1319"/>
    <tableColumn id="18" xr3:uid="{C1BB1E6B-5675-A346-A11C-A87C031AD1A5}" name="HIGH537" dataDxfId="1318"/>
    <tableColumn id="19" xr3:uid="{86E6ADFF-340C-9146-9B5E-4E9C76C88F59}" name="HIGH538" dataDxfId="1317"/>
    <tableColumn id="20" xr3:uid="{EFB55E1D-EB5D-FD4F-ABE5-FB8031ED630E}" name="HIGH539" dataDxfId="1316"/>
    <tableColumn id="21" xr3:uid="{5617BEFC-D126-7146-A1A8-E3206935A4F5}" name="HIGH540" dataDxfId="1315">
      <calculatedColumnFormula>[1]ExtEntry!$O3</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8DAF20EC-FF35-DE4F-9098-7E9343F0641B}" name="Tab1Volume" displayName="Tab1Volume" ref="F1001:Z1095" totalsRowShown="0" headerRowDxfId="1314" dataDxfId="1313" tableBorderDxfId="1312">
  <autoFilter ref="F1001:Z1095" xr:uid="{8DAF20EC-FF35-DE4F-9098-7E9343F0641B}"/>
  <tableColumns count="21">
    <tableColumn id="1" xr3:uid="{B3E72227-C152-6545-AAB1-0674C78DD4CA}" name="Volume0" dataDxfId="1311"/>
    <tableColumn id="2" xr3:uid="{44BDEDA8-E930-DC4B-82C0-675E1102E708}" name="Volume1" dataDxfId="1310"/>
    <tableColumn id="3" xr3:uid="{2B2A1DCE-B9EC-3F43-BD26-58D797066ACD}" name="Volume2" dataDxfId="1309"/>
    <tableColumn id="4" xr3:uid="{DFE41D08-A256-C94D-B744-ECF9E816875C}" name="Volume3" dataDxfId="1308"/>
    <tableColumn id="5" xr3:uid="{C0DF0F2F-58F0-714A-9FF4-A8682A1F3C0B}" name="Volume4" dataDxfId="1307"/>
    <tableColumn id="6" xr3:uid="{6173CC3E-D986-EC43-984F-D946E06D5B94}" name="Volume5" dataDxfId="1306"/>
    <tableColumn id="7" xr3:uid="{114AAB9D-4B2B-A647-9313-BCBA903A3513}" name="Volume6" dataDxfId="1305"/>
    <tableColumn id="8" xr3:uid="{53EFA4DE-9A07-FE47-A251-BB8D255E4EB8}" name="Volume7" dataDxfId="1304"/>
    <tableColumn id="9" xr3:uid="{18C94A55-2F25-084A-9640-943067E91284}" name="Volume8" dataDxfId="1303"/>
    <tableColumn id="10" xr3:uid="{836BAD23-7619-4645-8764-EB77B1427659}" name="Volume9" dataDxfId="1302"/>
    <tableColumn id="11" xr3:uid="{E4A6B4E0-74F0-8D4B-96CF-D56C7DD8F08A}" name="Volume10" dataDxfId="1301"/>
    <tableColumn id="12" xr3:uid="{C1A9A2E3-93CC-3041-9EC2-31623DCABB6C}" name="Volume11" dataDxfId="1300"/>
    <tableColumn id="13" xr3:uid="{E0142E08-C564-E443-9FC7-0607E2316E25}" name="Volume12" dataDxfId="1299"/>
    <tableColumn id="14" xr3:uid="{8D53300E-D5DB-7B42-8845-1B0A2E494262}" name="Volume13" dataDxfId="1298"/>
    <tableColumn id="15" xr3:uid="{9DFECEBD-3B06-3E43-AF7E-8644958914AE}" name="Volume14" dataDxfId="1297"/>
    <tableColumn id="16" xr3:uid="{DC69221A-F447-8A42-A5D4-462EE430A9BC}" name="Volume15" dataDxfId="1296"/>
    <tableColumn id="17" xr3:uid="{86A2E9AF-0E5A-0F4A-B409-7F6E53DA4CCF}" name="Volume16" dataDxfId="1295"/>
    <tableColumn id="18" xr3:uid="{746B717B-21BA-4346-96B2-7048F7EA0275}" name="Volume17" dataDxfId="1294"/>
    <tableColumn id="19" xr3:uid="{F6963C48-F97C-6D47-BE9D-5BB0B53684CD}" name="Volume18" dataDxfId="1293"/>
    <tableColumn id="20" xr3:uid="{B44B7DF5-2539-D747-8014-370786A69140}" name="Volume19" dataDxfId="1292"/>
    <tableColumn id="21" xr3:uid="{CD202E5D-BEC6-DC45-83A1-369B18AD153F}" name="Volume20" dataDxfId="1291">
      <calculatedColumnFormula>[1]ExtEntry!$P3</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EE0B227-8581-DE42-9CB7-10D8CA661FF2}" name="Tab1VolAverage" displayName="Tab1VolAverage" ref="F1100:Z1194" totalsRowShown="0" headerRowDxfId="1290" dataDxfId="1289" tableBorderDxfId="1288" dataCellStyle="Comma">
  <autoFilter ref="F1100:Z1194" xr:uid="{3EE0B227-8581-DE42-9CB7-10D8CA661FF2}"/>
  <tableColumns count="21">
    <tableColumn id="1" xr3:uid="{C85E8DCA-5245-5048-8F18-181D1CC88078}" name="VolumeAV0" dataDxfId="1287" dataCellStyle="Comma"/>
    <tableColumn id="2" xr3:uid="{552BBB2F-D8F3-9E4F-8187-798F57E91491}" name="VolumeAV1" dataDxfId="1286" dataCellStyle="Comma"/>
    <tableColumn id="3" xr3:uid="{E206F8A1-0B59-7A4C-84A7-52F3D3E42580}" name="VolumeAV2" dataDxfId="1285" dataCellStyle="Comma"/>
    <tableColumn id="4" xr3:uid="{7A6E365D-A83C-BF4C-B6FB-F9815FE99ED7}" name="VolumeAV3" dataDxfId="1284" dataCellStyle="Comma"/>
    <tableColumn id="5" xr3:uid="{AA8BBD46-ADC4-DF45-B244-3F7AAE4826E9}" name="VolumeAV4" dataDxfId="1283" dataCellStyle="Comma"/>
    <tableColumn id="6" xr3:uid="{F877F64B-6397-4642-B5BD-0B3AD6FF5DB0}" name="VolumeAV5" dataDxfId="1282" dataCellStyle="Comma"/>
    <tableColumn id="7" xr3:uid="{55A6F6E2-CA7E-3044-8359-1172E697A40B}" name="VolumeAV6" dataDxfId="1281" dataCellStyle="Comma"/>
    <tableColumn id="8" xr3:uid="{CDA1A456-FD81-0E41-9FC9-B01A1A75506A}" name="VolumeAV7" dataDxfId="1280" dataCellStyle="Comma"/>
    <tableColumn id="9" xr3:uid="{F9EA7004-940F-4E42-9E05-45ACC60D31E3}" name="VolumeAV8" dataDxfId="1279" dataCellStyle="Comma"/>
    <tableColumn id="10" xr3:uid="{32FCDE73-4126-D643-A9EA-46C7A1AB5C2C}" name="VolumeAV9" dataDxfId="1278" dataCellStyle="Comma"/>
    <tableColumn id="11" xr3:uid="{7439CF2B-B03F-B349-A5AD-03A86DA63C60}" name="VolumeAV10" dataDxfId="1277" dataCellStyle="Comma"/>
    <tableColumn id="12" xr3:uid="{C0B9B680-5103-AE4E-ABA5-DC0D3B8256CD}" name="VolumeAV11" dataDxfId="1276" dataCellStyle="Comma"/>
    <tableColumn id="13" xr3:uid="{23A5D386-C520-0B4B-BF4E-FAAA66D794D4}" name="VolumeAV12" dataDxfId="1275" dataCellStyle="Comma"/>
    <tableColumn id="14" xr3:uid="{98A613A1-A0C8-CE4A-BD85-8FE3FB18160D}" name="VolumeAV13" dataDxfId="1274" dataCellStyle="Comma"/>
    <tableColumn id="15" xr3:uid="{A7A58C4F-A83C-2D4A-B754-9B307634A5A4}" name="VolumeAV14" dataDxfId="1273" dataCellStyle="Comma"/>
    <tableColumn id="16" xr3:uid="{F8BBBBA1-2662-2841-82D7-65FA8FA94BC2}" name="VolumeAV15" dataDxfId="1272" dataCellStyle="Comma"/>
    <tableColumn id="17" xr3:uid="{1E3A524D-09C1-1547-98DB-667D506C3291}" name="VolumeAV16" dataDxfId="1271" dataCellStyle="Comma"/>
    <tableColumn id="18" xr3:uid="{75328263-19F5-9E41-A079-EA70EAB2BD37}" name="VolumeAV17" dataDxfId="1270" dataCellStyle="Comma"/>
    <tableColumn id="19" xr3:uid="{7429A8D8-0A57-E74F-9269-8E54044F49AB}" name="VolumeAV18" dataDxfId="1269" dataCellStyle="Comma"/>
    <tableColumn id="20" xr3:uid="{575D40F2-3F48-1D4D-9813-1574FF33990B}" name="VolumeAV19" dataDxfId="1268" dataCellStyle="Comma"/>
    <tableColumn id="21" xr3:uid="{E4DCEDCE-1D73-E54B-8746-C7B82073AA57}" name="VolumeAV20" dataDxfId="1267" dataCellStyle="Comma">
      <calculatedColumnFormula>[1]ExtEntry!$Q3</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71FD0FF-AECC-C844-91B0-2D3814BAA800}" name="Tab1Beta" displayName="Tab1Beta" ref="F1199:Z1293" totalsRowShown="0" headerRowDxfId="1266" dataDxfId="1265" tableBorderDxfId="1264">
  <autoFilter ref="F1199:Z1293" xr:uid="{071FD0FF-AECC-C844-91B0-2D3814BAA800}"/>
  <tableColumns count="21">
    <tableColumn id="1" xr3:uid="{3E6BCBC8-17C5-D544-8397-29CB96C09FB0}" name="BETA0" dataDxfId="1263"/>
    <tableColumn id="2" xr3:uid="{EA9DF148-0896-0241-9853-BCCF84E573C7}" name="BETA1" dataDxfId="1262"/>
    <tableColumn id="3" xr3:uid="{305CE689-D655-3047-8897-0CB222FC9C97}" name="BETA2" dataDxfId="1261"/>
    <tableColumn id="4" xr3:uid="{B642F9B5-64FD-F541-A471-56F96D4838D5}" name="BETA3" dataDxfId="1260"/>
    <tableColumn id="5" xr3:uid="{7D408C4F-A6DA-7744-90B5-58BED4DCA387}" name="BETA4" dataDxfId="1259"/>
    <tableColumn id="6" xr3:uid="{1C388ED8-51FC-FC4B-8218-215A76F7FE67}" name="BETA5" dataDxfId="1258"/>
    <tableColumn id="7" xr3:uid="{E7CDFCD7-DA4D-2449-AF1E-C02968632992}" name="BETA6" dataDxfId="1257"/>
    <tableColumn id="8" xr3:uid="{85FC13AF-AA4A-F542-9735-2441281158E1}" name="BETA7" dataDxfId="1256"/>
    <tableColumn id="9" xr3:uid="{99F619D1-DC28-C640-9EA1-3B3528D0F909}" name="BETA8" dataDxfId="1255"/>
    <tableColumn id="10" xr3:uid="{8EF98610-5953-1744-9F07-FCBA4B8DAD80}" name="BETA9" dataDxfId="1254"/>
    <tableColumn id="11" xr3:uid="{48405BC4-9142-8448-A3A7-0E5B30515726}" name="BETA10" dataDxfId="1253"/>
    <tableColumn id="12" xr3:uid="{4B254EFA-F69B-CD48-95A7-E3DD170FDAF6}" name="BETA11" dataDxfId="1252"/>
    <tableColumn id="13" xr3:uid="{F4BD7B80-FE62-584F-87F5-9610991B2DF9}" name="BETA12" dataDxfId="1251"/>
    <tableColumn id="14" xr3:uid="{997D1600-D275-2448-9059-48C623B70DBD}" name="BETA13" dataDxfId="1250"/>
    <tableColumn id="15" xr3:uid="{7FB75DCB-5880-334F-A05B-5C68FD891D9C}" name="BETA14" dataDxfId="1249"/>
    <tableColumn id="16" xr3:uid="{29D4352B-3770-A444-8C39-24FF6DCF527D}" name="BETA15" dataDxfId="1248"/>
    <tableColumn id="17" xr3:uid="{CC6C6D3F-4D9E-FB4E-870B-9E37C67A1E94}" name="BETA16" dataDxfId="1247"/>
    <tableColumn id="18" xr3:uid="{B6C6B591-4B12-5B48-B6EE-A7BF688195FF}" name="BETA17" dataDxfId="1246"/>
    <tableColumn id="19" xr3:uid="{91C40A07-D511-6C45-9282-58D43AF5D020}" name="BETA18" dataDxfId="1245"/>
    <tableColumn id="20" xr3:uid="{4980A1EB-51EE-2C4F-B65C-97ED9A3D26B5}" name="BETA19" dataDxfId="1244"/>
    <tableColumn id="21" xr3:uid="{C4D8FCC4-CF6E-EF4C-8612-A56614867063}" name="BETA20" dataDxfId="1243">
      <calculatedColumnFormula>[1]ExtEntry!$R3</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6B77735E-46E6-7545-A642-770D818A2D75}" name="Tab2RSI" displayName="Tab2RSI" ref="AB902:AV996" totalsRowShown="0" headerRowDxfId="1242" dataDxfId="1241" tableBorderDxfId="1240" dataCellStyle="Comma">
  <autoFilter ref="AB902:AV996" xr:uid="{6B77735E-46E6-7545-A642-770D818A2D75}"/>
  <tableColumns count="21">
    <tableColumn id="1" xr3:uid="{78A7C6E8-2822-4343-B8B3-B58D5A5C861C}" name="RSI0" dataDxfId="1239" dataCellStyle="Comma"/>
    <tableColumn id="2" xr3:uid="{E98CCE09-2573-4E47-ACFE-022664B84B4C}" name="RSI1" dataDxfId="1238" dataCellStyle="Comma"/>
    <tableColumn id="3" xr3:uid="{ACFE02A1-D8BD-EB4A-B834-5B28E9ACC18D}" name="RSI2" dataDxfId="1237" dataCellStyle="Comma"/>
    <tableColumn id="4" xr3:uid="{B6282100-5411-B14D-A9C9-B2CAC437FBB9}" name="RSI3" dataDxfId="1236" dataCellStyle="Comma"/>
    <tableColumn id="5" xr3:uid="{7A8EE7B4-22B4-404D-B15A-BC6B8B952E38}" name="RSI4" dataDxfId="1235" dataCellStyle="Comma"/>
    <tableColumn id="6" xr3:uid="{2989F0E1-E812-514F-95E6-26AA98E62E04}" name="RSI5" dataDxfId="1234" dataCellStyle="Comma"/>
    <tableColumn id="7" xr3:uid="{A8D8FA8D-9763-1640-AB49-A2CC0DF27AD9}" name="RSI6" dataDxfId="1233" dataCellStyle="Comma"/>
    <tableColumn id="8" xr3:uid="{2383B8DB-8E34-2045-80E5-BFC5F537D306}" name="RSI7" dataDxfId="1232" dataCellStyle="Comma"/>
    <tableColumn id="9" xr3:uid="{BEE36186-0446-AA4E-A48D-58473919680F}" name="RSI8" dataDxfId="1231" dataCellStyle="Comma"/>
    <tableColumn id="10" xr3:uid="{3056AA09-B75A-3F47-BA0C-4BC0730AA9A2}" name="RSI9" dataDxfId="1230" dataCellStyle="Comma"/>
    <tableColumn id="11" xr3:uid="{88D58233-4FE5-6D43-8260-B992739672EC}" name="RSI10" dataDxfId="1229" dataCellStyle="Comma"/>
    <tableColumn id="12" xr3:uid="{D08F0A16-307A-CB4E-B109-169320FBD1E9}" name="RSI11" dataDxfId="1228" dataCellStyle="Comma"/>
    <tableColumn id="13" xr3:uid="{5675D356-6E8F-7140-84E2-2760931C0061}" name="RSI12" dataDxfId="1227" dataCellStyle="Comma"/>
    <tableColumn id="14" xr3:uid="{56E1F75D-E50B-6941-9C85-C8456F3A502D}" name="RSI13" dataDxfId="1226" dataCellStyle="Comma"/>
    <tableColumn id="15" xr3:uid="{0EB5233D-4800-3B48-8C4D-83F182791517}" name="RSI14" dataDxfId="1225" dataCellStyle="Comma"/>
    <tableColumn id="16" xr3:uid="{F1DA6FAA-219D-DB40-888E-4B8355632C3E}" name="RSI15" dataDxfId="1224" dataCellStyle="Comma"/>
    <tableColumn id="17" xr3:uid="{87038607-300B-9A4E-8AB1-32360C0BCED1}" name="RSI16" dataDxfId="1223" dataCellStyle="Comma"/>
    <tableColumn id="18" xr3:uid="{216E4659-AF11-2749-A023-E9DBCA3D3FA2}" name="RSI17" dataDxfId="1222" dataCellStyle="Comma"/>
    <tableColumn id="19" xr3:uid="{3369DE30-2A5A-4049-8BC3-16DCF75D83FE}" name="RSI18" dataDxfId="1221" dataCellStyle="Comma"/>
    <tableColumn id="20" xr3:uid="{48350DE2-6BE5-1345-84B2-782B10F06A03}" name="RSI19" dataDxfId="1220" dataCellStyle="Comma"/>
    <tableColumn id="21" xr3:uid="{48474E5F-00E7-A24D-9184-B6F5A16251A0}" name="RSI20" dataDxfId="1219" dataCellStyle="Comma">
      <calculatedColumnFormula>INT(100-100/(1+SUMIF(F605:Y605,"&gt;0",F605:Y605)/ABS(SUMIF(F605:Y605,"&lt;0",F605:Y605))))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5876AF5-DDC5-0C46-8253-9CE2A2026D21}" name="Tab2RSIConventional" displayName="Tab2RSIConventional" ref="AB1001:AV1095" totalsRowShown="0" headerRowDxfId="1218" dataDxfId="1217" tableBorderDxfId="1216" dataCellStyle="Comma">
  <autoFilter ref="AB1001:AV1095" xr:uid="{55876AF5-DDC5-0C46-8253-9CE2A2026D21}"/>
  <tableColumns count="21">
    <tableColumn id="1" xr3:uid="{7881D38C-EE57-AD43-9C51-A2D36B2DD1C0}" name="RSIConv0" dataDxfId="1215" dataCellStyle="Comma"/>
    <tableColumn id="2" xr3:uid="{273702F5-9D3C-9F4A-80D0-0DCDBB3DCD59}" name="RSIConv1" dataDxfId="1214" dataCellStyle="Comma"/>
    <tableColumn id="3" xr3:uid="{83DCA11F-CA44-8848-8B85-F0B2E37C4F0C}" name="RSIConv2" dataDxfId="1213" dataCellStyle="Comma"/>
    <tableColumn id="4" xr3:uid="{55C21B30-B418-0D45-AD39-1565CF1997A1}" name="RSIConv3" dataDxfId="1212" dataCellStyle="Comma"/>
    <tableColumn id="5" xr3:uid="{BB9B84B0-BCEB-794C-8FF2-D58E69348C06}" name="RSIConv4" dataDxfId="1211" dataCellStyle="Comma"/>
    <tableColumn id="6" xr3:uid="{097186E5-7C8A-3F41-B35A-49384289CD0F}" name="RSIConv5" dataDxfId="1210" dataCellStyle="Comma"/>
    <tableColumn id="7" xr3:uid="{CC05FA3D-FFB7-BE47-99D3-2646C96C0CBF}" name="RSIConv6" dataDxfId="1209" dataCellStyle="Comma"/>
    <tableColumn id="8" xr3:uid="{CB2150CC-BF4D-D345-A7AA-4181448136A7}" name="RSIConv7" dataDxfId="1208" dataCellStyle="Comma"/>
    <tableColumn id="9" xr3:uid="{72A1979C-0FD2-9F4E-AFE5-CBD747F6B4AA}" name="RSIConv8" dataDxfId="1207" dataCellStyle="Comma"/>
    <tableColumn id="10" xr3:uid="{D515DCE0-17C5-8E42-BAD4-109A2A5298F0}" name="RSIConv9" dataDxfId="1206" dataCellStyle="Comma"/>
    <tableColumn id="11" xr3:uid="{F44C4C40-F6CC-1941-9573-4BA0D73A8D58}" name="RSIConv10" dataDxfId="1205" dataCellStyle="Comma"/>
    <tableColumn id="12" xr3:uid="{4DE80765-1FE2-A649-B6F3-0C2B4518761C}" name="RSIConv11" dataDxfId="1204" dataCellStyle="Comma"/>
    <tableColumn id="13" xr3:uid="{8544D363-8B56-7C43-95EE-FFDB1DEA969C}" name="RSIConv12" dataDxfId="1203" dataCellStyle="Comma"/>
    <tableColumn id="14" xr3:uid="{D60B5757-70FA-A245-9445-8A97AB6A0396}" name="RSIConv13" dataDxfId="1202" dataCellStyle="Comma"/>
    <tableColumn id="15" xr3:uid="{B4235226-F5D9-DD46-910F-103FE2B1C3B9}" name="RSIConv14" dataDxfId="1201" dataCellStyle="Comma"/>
    <tableColumn id="16" xr3:uid="{05479B02-8B5D-8441-B9F1-DB51C7A70F30}" name="RSIConv15" dataDxfId="1200" dataCellStyle="Comma"/>
    <tableColumn id="17" xr3:uid="{2C4FA0F3-DB10-274D-8CF3-2AE6D06CE419}" name="RSIConv16" dataDxfId="1199" dataCellStyle="Comma"/>
    <tableColumn id="18" xr3:uid="{58D242FC-0690-DD47-B0BA-60ED63154F95}" name="RSIConv17" dataDxfId="1198" dataCellStyle="Comma"/>
    <tableColumn id="19" xr3:uid="{65EAB3BB-4FC4-6448-B97E-F13E83B68528}" name="RSIConv18" dataDxfId="1197" dataCellStyle="Comma"/>
    <tableColumn id="20" xr3:uid="{E85541A1-4E16-B549-87E0-867D3FA7AB11}" name="RSIConv19" dataDxfId="1196" dataCellStyle="Comma"/>
    <tableColumn id="21" xr3:uid="{62EE7DD4-57B6-1B4B-BB14-920C26DA151F}" name="RSIConv20" dataDxfId="1195" dataCellStyle="Comma">
      <calculatedColumnFormula>INT(100-100/(1+(19*SUMIF(L605:Y605,"&gt;0",L605:Y605)+IF(Y605&gt;0,Y605,0))/ABS(19*SUMIF(L605:Y605,"&lt;0",L605:Y605)+IF(Y605&lt;0,Y605,0))))</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A6858140-8021-514E-B3E1-C7BF94FA0033}" name="Tab2Cash" displayName="Tab2Cash" ref="AB1100:AV1194" totalsRowShown="0" headerRowDxfId="1194" dataDxfId="1193" tableBorderDxfId="1192" dataCellStyle="Comma">
  <autoFilter ref="AB1100:AV1194" xr:uid="{A6858140-8021-514E-B3E1-C7BF94FA0033}"/>
  <tableColumns count="21">
    <tableColumn id="1" xr3:uid="{E298D0BD-45AF-4148-9BAD-429094EF8271}" name="Cash0" dataDxfId="1191" dataCellStyle="Comma"/>
    <tableColumn id="2" xr3:uid="{86547C8D-C915-714E-9477-0F23E52B00F6}" name="Cash1" dataDxfId="1190" dataCellStyle="Comma"/>
    <tableColumn id="3" xr3:uid="{36D62499-6FBB-044B-ABE4-67E8EC92B406}" name="Cash2" dataDxfId="1189" dataCellStyle="Comma"/>
    <tableColumn id="4" xr3:uid="{95CBFF96-C40A-394B-871E-117B86F71A75}" name="Cash3" dataDxfId="1188" dataCellStyle="Comma"/>
    <tableColumn id="5" xr3:uid="{40B0C993-D356-544E-8F72-B25CD1561DB9}" name="Cash4" dataDxfId="1187" dataCellStyle="Comma"/>
    <tableColumn id="6" xr3:uid="{16105271-212F-7F47-BCE1-3C465279D64E}" name="Cash5" dataDxfId="1186" dataCellStyle="Comma"/>
    <tableColumn id="7" xr3:uid="{9B523121-22D5-7D4C-9773-B20E7E733C34}" name="Cash6" dataDxfId="1185" dataCellStyle="Comma"/>
    <tableColumn id="8" xr3:uid="{99749C28-89C2-3D49-97C2-E4C4640DF6DA}" name="Cash7" dataDxfId="1184" dataCellStyle="Comma"/>
    <tableColumn id="9" xr3:uid="{5111F612-3907-904E-986D-8892DD33995C}" name="Cash8" dataDxfId="1183" dataCellStyle="Comma"/>
    <tableColumn id="10" xr3:uid="{E08E9B9D-14BA-5440-95B0-D4AFDB52F61F}" name="Cash9" dataDxfId="1182" dataCellStyle="Comma"/>
    <tableColumn id="11" xr3:uid="{D271A389-E25F-104D-9413-0FD54B41EEAE}" name="Cash10" dataDxfId="1181" dataCellStyle="Comma"/>
    <tableColumn id="12" xr3:uid="{3B4A241E-9074-734F-915D-7726D458DCAF}" name="Cash11" dataDxfId="1180" dataCellStyle="Comma"/>
    <tableColumn id="13" xr3:uid="{E8D8F957-8CFE-914E-B859-B221C47E58B2}" name="Cash12" dataDxfId="1179" dataCellStyle="Comma"/>
    <tableColumn id="14" xr3:uid="{113831A1-CC99-3B42-B8F5-AFEB1DC22D33}" name="Cash13" dataDxfId="1178" dataCellStyle="Comma"/>
    <tableColumn id="15" xr3:uid="{0E765A96-5FE3-4C4B-82B8-8B3F51B4536C}" name="Cash14" dataDxfId="1177" dataCellStyle="Comma"/>
    <tableColumn id="16" xr3:uid="{F2C78A88-D1BC-014E-8114-18527AC2CB5B}" name="Cash15" dataDxfId="1176" dataCellStyle="Comma"/>
    <tableColumn id="17" xr3:uid="{D2964560-F4EE-6344-A6DE-47921DE660C0}" name="Cash16" dataDxfId="1175" dataCellStyle="Comma"/>
    <tableColumn id="18" xr3:uid="{4FD8EDF7-D5A7-1440-B477-3FF6B70BEDD0}" name="Cash17" dataDxfId="1174" dataCellStyle="Comma"/>
    <tableColumn id="19" xr3:uid="{3649DE1E-D435-714F-BB19-EF3402C6AF22}" name="Cash18" dataDxfId="1173" dataCellStyle="Comma"/>
    <tableColumn id="20" xr3:uid="{701D1C02-DFD0-784A-9F28-745E11161D7E}" name="Cash19" dataDxfId="1172" dataCellStyle="Comma"/>
    <tableColumn id="21" xr3:uid="{0C684961-AF54-3648-8593-3FE8563E6C51}" name="Cash20" dataDxfId="1171" dataCellStyle="Comma">
      <calculatedColumnFormula>Calc!BG3</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A5A3FC2-1860-534B-8DD0-10BDA217BDFE}" name="Tab2RevSale" displayName="Tab2RevSale" ref="AB1199:AV1293" totalsRowShown="0" headerRowDxfId="1170" dataDxfId="1169" tableBorderDxfId="1168" dataCellStyle="Comma">
  <autoFilter ref="AB1199:AV1293" xr:uid="{0A5A3FC2-1860-534B-8DD0-10BDA217BDFE}"/>
  <tableColumns count="21">
    <tableColumn id="1" xr3:uid="{B7BE4C83-4F89-A148-9BFD-EF937D226141}" name="RevSale0" dataDxfId="1167" dataCellStyle="Comma"/>
    <tableColumn id="2" xr3:uid="{D9B00968-AB75-D341-95A0-B5E0538F519B}" name="RevSale1" dataDxfId="1166" dataCellStyle="Comma"/>
    <tableColumn id="3" xr3:uid="{848EC437-A5F6-CD42-94EE-ADC9AE69EB25}" name="RevSale2" dataDxfId="1165" dataCellStyle="Comma"/>
    <tableColumn id="4" xr3:uid="{1B494BF3-2E0F-8F4A-9955-142385E1F8BD}" name="RevSale3" dataDxfId="1164" dataCellStyle="Comma"/>
    <tableColumn id="5" xr3:uid="{48A95940-B649-F245-BDFB-40FD49B4EEA9}" name="RevSale4" dataDxfId="1163" dataCellStyle="Comma"/>
    <tableColumn id="6" xr3:uid="{F29C926F-5AD5-DB46-A4C8-38488FC88563}" name="RevSale5" dataDxfId="1162" dataCellStyle="Comma"/>
    <tableColumn id="7" xr3:uid="{40881A88-B6CC-1748-AE84-DBBF15CDD664}" name="RevSale6" dataDxfId="1161" dataCellStyle="Comma"/>
    <tableColumn id="8" xr3:uid="{06780BEA-27AA-E74D-A331-9525B9D24152}" name="RevSale7" dataDxfId="1160" dataCellStyle="Comma"/>
    <tableColumn id="9" xr3:uid="{0900939F-F515-6C46-888D-909EDE9F09FB}" name="RevSale8" dataDxfId="1159" dataCellStyle="Comma"/>
    <tableColumn id="10" xr3:uid="{0DE3B22B-7FDD-5F47-B41E-5678A133FE87}" name="RevSale9" dataDxfId="1158" dataCellStyle="Comma"/>
    <tableColumn id="11" xr3:uid="{F662376C-7504-8046-9CD8-038237C565B0}" name="RevSale10" dataDxfId="1157" dataCellStyle="Comma"/>
    <tableColumn id="12" xr3:uid="{007BA40B-4C88-4243-B8BD-C61A273884FA}" name="RevSale11" dataDxfId="1156" dataCellStyle="Comma"/>
    <tableColumn id="13" xr3:uid="{9000EAA8-2766-DC4D-8C59-5A2A0FF49296}" name="RevSale12" dataDxfId="1155" dataCellStyle="Comma"/>
    <tableColumn id="14" xr3:uid="{6FC4A1EC-D5E3-3A4E-8294-EC201288D435}" name="RevSale13" dataDxfId="1154" dataCellStyle="Comma"/>
    <tableColumn id="15" xr3:uid="{43639010-CC3B-D243-B85E-C1E15232EBDC}" name="RevSale14" dataDxfId="1153" dataCellStyle="Comma"/>
    <tableColumn id="16" xr3:uid="{61BFA615-44B6-9D4C-B74F-B6FFE6E04A2D}" name="RevSale15" dataDxfId="1152" dataCellStyle="Comma"/>
    <tableColumn id="17" xr3:uid="{D569100A-7B22-4E4A-970A-85E3A0A201C1}" name="RevSale16" dataDxfId="1151" dataCellStyle="Comma"/>
    <tableColumn id="18" xr3:uid="{06F7FE50-0662-3A4D-9EE3-8DB9F5D70BFF}" name="RevSale17" dataDxfId="1150" dataCellStyle="Comma"/>
    <tableColumn id="19" xr3:uid="{15DF4D6C-5238-9246-BC08-243E825E1949}" name="RevSale18" dataDxfId="1149" dataCellStyle="Comma"/>
    <tableColumn id="20" xr3:uid="{49CC288D-DED6-E54C-AE81-4FB2F509C2FB}" name="RevSale19" dataDxfId="1148" dataCellStyle="Comma"/>
    <tableColumn id="21" xr3:uid="{106C00F1-2979-8B4B-BB61-4D1DF0F6F9E0}" name="RevSale20" dataDxfId="1147" dataCellStyle="Comma">
      <calculatedColumnFormula>Calc!Z3</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29B3B90-231D-984A-8913-4BD26833EE55}" name="Tab2ReBuy" displayName="Tab2ReBuy" ref="AB1298:AV1392" totalsRowShown="0" headerRowDxfId="1146" dataDxfId="1145" tableBorderDxfId="1144" dataCellStyle="Comma">
  <autoFilter ref="AB1298:AV1392" xr:uid="{029B3B90-231D-984A-8913-4BD26833EE55}"/>
  <tableColumns count="21">
    <tableColumn id="1" xr3:uid="{6A48BBC4-9F8C-E241-ABF9-8B082D07A915}" name="RevBuy0" dataDxfId="1143" dataCellStyle="Comma"/>
    <tableColumn id="2" xr3:uid="{3DC22D7D-8F33-224B-9FD3-A02E0E52A654}" name="RevBuy1" dataDxfId="1142" dataCellStyle="Comma"/>
    <tableColumn id="3" xr3:uid="{BFA86469-714F-604A-83B7-ADBDA419AAAC}" name="RevBuy2" dataDxfId="1141" dataCellStyle="Comma"/>
    <tableColumn id="4" xr3:uid="{BD5D4CEC-DFA9-A645-B64D-5478236122ED}" name="RevBuy3" dataDxfId="1140" dataCellStyle="Comma"/>
    <tableColumn id="5" xr3:uid="{FEEEA6B5-12EE-CA49-BC91-E9808CF75D06}" name="RevBuy4" dataDxfId="1139" dataCellStyle="Comma"/>
    <tableColumn id="6" xr3:uid="{8DDFBBE0-AB23-7641-A24A-F97BF48C35AC}" name="RevBuy5" dataDxfId="1138" dataCellStyle="Comma"/>
    <tableColumn id="7" xr3:uid="{9AAFF624-6153-C640-9CA1-6E9EAE0C62E6}" name="RevBuy6" dataDxfId="1137" dataCellStyle="Comma"/>
    <tableColumn id="8" xr3:uid="{3CE951EB-53B3-1244-B40C-ACD7AE718ADE}" name="RevBuy7" dataDxfId="1136" dataCellStyle="Comma"/>
    <tableColumn id="9" xr3:uid="{0F49B9D0-426D-C34B-8BC8-3409AFDA4ABC}" name="RevBuy8" dataDxfId="1135" dataCellStyle="Comma"/>
    <tableColumn id="10" xr3:uid="{9A0FBB4F-5D77-2B4B-99E0-824364A5297D}" name="RevBuy9" dataDxfId="1134" dataCellStyle="Comma"/>
    <tableColumn id="11" xr3:uid="{A6DFA062-72DB-994D-B9D4-26B6405DD395}" name="RevBuy10" dataDxfId="1133" dataCellStyle="Comma"/>
    <tableColumn id="12" xr3:uid="{7393EDBB-4FCA-B149-8058-EB9D09947DDE}" name="RevBuy11" dataDxfId="1132" dataCellStyle="Comma"/>
    <tableColumn id="13" xr3:uid="{0E6A4A32-6A6F-174A-95B9-58836CFD2CB3}" name="RevBuy12" dataDxfId="1131" dataCellStyle="Comma"/>
    <tableColumn id="14" xr3:uid="{2CF43023-9A75-C748-985A-9E29BD626892}" name="RevBuy13" dataDxfId="1130" dataCellStyle="Comma"/>
    <tableColumn id="15" xr3:uid="{4E36864A-377C-3A48-BC00-50578A6E506F}" name="RevBuy14" dataDxfId="1129" dataCellStyle="Comma"/>
    <tableColumn id="16" xr3:uid="{DB1CD117-EFF8-1840-99D4-2D16851999F1}" name="RevBuy15" dataDxfId="1128" dataCellStyle="Comma"/>
    <tableColumn id="17" xr3:uid="{42B2D85B-B956-8E40-9443-86D19B1A05D9}" name="RevBuy16" dataDxfId="1127" dataCellStyle="Comma"/>
    <tableColumn id="18" xr3:uid="{512DE7CC-E954-994C-A03A-4ABBD8962618}" name="RevBuy17" dataDxfId="1126" dataCellStyle="Comma"/>
    <tableColumn id="19" xr3:uid="{695A19CA-5D3E-ED4B-97F1-6D391036EF05}" name="RevBuy18" dataDxfId="1125" dataCellStyle="Comma"/>
    <tableColumn id="20" xr3:uid="{B2119E64-AACB-A14C-9559-514A472B4B21}" name="RevBuy19" dataDxfId="1124" dataCellStyle="Comma"/>
    <tableColumn id="21" xr3:uid="{2163EE0E-D715-DF4A-AEE0-8201AC51B898}" name="RevBuy20" dataDxfId="1123" dataCellStyle="Comma">
      <calculatedColumnFormula>Calc!AH3</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A862798D-1A6F-4F4B-9D3C-CC5F9499011B}" name="Tab2Surplus" displayName="Tab2Surplus" ref="AB1397:AV1491" totalsRowShown="0" headerRowDxfId="1122" dataDxfId="1121" tableBorderDxfId="1120" dataCellStyle="Comma">
  <autoFilter ref="AB1397:AV1491" xr:uid="{A862798D-1A6F-4F4B-9D3C-CC5F9499011B}"/>
  <tableColumns count="21">
    <tableColumn id="1" xr3:uid="{3AC0D457-1D0C-7F49-A40F-0DE88B6B346F}" name="ExtraV0" dataDxfId="1119" totalsRowDxfId="1118" dataCellStyle="Comma"/>
    <tableColumn id="2" xr3:uid="{BBA9E372-2827-524A-8766-E691E6346A00}" name="ExtraV1" dataDxfId="1117" totalsRowDxfId="1116" dataCellStyle="Comma"/>
    <tableColumn id="3" xr3:uid="{86FFF09D-F252-5D4A-B7AE-018C7F417359}" name="ExtraV2" dataDxfId="1115" totalsRowDxfId="1114" dataCellStyle="Comma"/>
    <tableColumn id="4" xr3:uid="{EC3B54C3-0BA1-454F-B2AE-A9D80F740098}" name="ExtraV3" dataDxfId="1113" totalsRowDxfId="1112" dataCellStyle="Comma"/>
    <tableColumn id="5" xr3:uid="{D993D839-87B0-0E40-8C6F-15665A8E8072}" name="ExtraV4" dataDxfId="1111" totalsRowDxfId="1110" dataCellStyle="Comma"/>
    <tableColumn id="6" xr3:uid="{1BFB46B7-C176-504F-8EBB-26171A3D0521}" name="ExtraV5" dataDxfId="1109" totalsRowDxfId="1108" dataCellStyle="Comma"/>
    <tableColumn id="7" xr3:uid="{2B054E70-6A65-2841-B5D4-1D5AA57C8782}" name="ExtraV6" dataDxfId="1107" totalsRowDxfId="1106" dataCellStyle="Comma"/>
    <tableColumn id="8" xr3:uid="{68325155-E45A-FC4D-97C1-76858716F55F}" name="ExtraV7" dataDxfId="1105" totalsRowDxfId="1104" dataCellStyle="Comma"/>
    <tableColumn id="9" xr3:uid="{C54B2B53-F7FD-7A49-BDA6-04D9B4EF7741}" name="ExtraV8" dataDxfId="1103" totalsRowDxfId="1102" dataCellStyle="Comma"/>
    <tableColumn id="10" xr3:uid="{6B6BA1C0-34D2-A141-93A2-236370689F5C}" name="ExtraV9" dataDxfId="1101" totalsRowDxfId="1100" dataCellStyle="Comma"/>
    <tableColumn id="11" xr3:uid="{05AD6B97-9023-594F-8540-CDDA816224C7}" name="ExtraV10" dataDxfId="1099" totalsRowDxfId="1098" dataCellStyle="Comma"/>
    <tableColumn id="12" xr3:uid="{AE2DB8DB-D042-3345-AE75-DF958B831776}" name="ExtraV11" dataDxfId="1097" totalsRowDxfId="1096" dataCellStyle="Comma"/>
    <tableColumn id="13" xr3:uid="{DB617589-A099-C643-8929-3D2CA9AFC0F5}" name="ExtraV12" dataDxfId="1095" totalsRowDxfId="1094" dataCellStyle="Comma"/>
    <tableColumn id="14" xr3:uid="{CD892BF4-9983-4847-9C5F-D9B2BB0D5F2D}" name="ExtraV13" dataDxfId="1093" totalsRowDxfId="1092" dataCellStyle="Comma"/>
    <tableColumn id="15" xr3:uid="{8E18B52E-0B40-1F43-8E69-05D5D9F2074B}" name="ExtraV14" dataDxfId="1091" totalsRowDxfId="1090" dataCellStyle="Comma"/>
    <tableColumn id="16" xr3:uid="{077DD0B2-C59F-8E48-9793-B86BF53B2326}" name="ExtraV15" dataDxfId="1089" totalsRowDxfId="1088" dataCellStyle="Comma"/>
    <tableColumn id="17" xr3:uid="{FA7FEF7D-BB41-C94D-AD7E-65D253D5E0B2}" name="ExtraV16" dataDxfId="1087" totalsRowDxfId="1086" dataCellStyle="Comma"/>
    <tableColumn id="18" xr3:uid="{DE9E75AC-9C77-CB44-9498-19B521B8BE07}" name="ExtraV17" dataDxfId="1085" totalsRowDxfId="1084" dataCellStyle="Comma"/>
    <tableColumn id="19" xr3:uid="{2FEDB87D-6676-E142-B6C6-4C01E32E4F0A}" name="ExtraV18" dataDxfId="1083" totalsRowDxfId="1082" dataCellStyle="Comma"/>
    <tableColumn id="20" xr3:uid="{2FCA0075-35A7-1B40-8488-C039CCE16E9D}" name="ExtraV19" dataDxfId="1081" totalsRowDxfId="1080" dataCellStyle="Comma"/>
    <tableColumn id="21" xr3:uid="{8B815B8D-74CB-1A4D-B00D-1F6DAD74FC4B}" name="ExtraV20" dataDxfId="1079" totalsRowDxfId="1078" dataCellStyle="Comma">
      <calculatedColumnFormula>IF(_xlfn.XLOOKUP(A1398,TabCalc[Ticker],ListExtra_n)&gt;0,             _xlfn.XLOOKUP(A1398,TabCalc[Ticker],ListExtra_n)*_xlfn.XLOOKUP(A1398,TabTRADER[ClickTick],TabTRADER[M])*_xlfn.XLOOKUP(A1398,TabCalc[Ticker],ListScale),               "")</calculatedColumnFormula>
    </tableColumn>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F744D99-CBDB-A840-B675-EB13CC0AC422}" name="Tab2ReverseGL" displayName="Tab2ReverseGL" ref="AB1496:AV1590" totalsRowShown="0" headerRowDxfId="1077" dataDxfId="1076" tableBorderDxfId="1075" dataCellStyle="Percent">
  <autoFilter ref="AB1496:AV1590" xr:uid="{0F744D99-CBDB-A840-B675-EB13CC0AC422}"/>
  <tableColumns count="21">
    <tableColumn id="1" xr3:uid="{E1EC9148-EB38-344A-9ECF-E8F28A8A49A8}" name="Rev_GL0" dataDxfId="1074" dataCellStyle="Percent"/>
    <tableColumn id="2" xr3:uid="{4187F546-585D-D945-A89B-784CBB16D86B}" name="Rev_GL1" dataDxfId="1073" dataCellStyle="Percent"/>
    <tableColumn id="3" xr3:uid="{952B18A9-1809-FD4A-A0D4-0B8C6B10222D}" name="Rev_GL2" dataDxfId="1072" dataCellStyle="Percent"/>
    <tableColumn id="4" xr3:uid="{454132EA-52DC-4B46-84C9-F8C1817AAA8B}" name="Rev_GL3" dataDxfId="1071" dataCellStyle="Percent"/>
    <tableColumn id="5" xr3:uid="{46042E51-AD37-D64B-9F54-0AECB1CF208E}" name="Rev_GL4" dataDxfId="1070" dataCellStyle="Percent"/>
    <tableColumn id="6" xr3:uid="{88F9D56A-B70E-5F42-94D8-D65259D09AB6}" name="Rev_GL5" dataDxfId="1069" dataCellStyle="Percent"/>
    <tableColumn id="7" xr3:uid="{E66AADF7-66BC-6945-B6C8-8DE9B67D7D8C}" name="Rev_GL6" dataDxfId="1068" dataCellStyle="Percent"/>
    <tableColumn id="8" xr3:uid="{37DCCF9B-EF3C-2E46-A599-23C1C4979010}" name="Rev_GL7" dataDxfId="1067" dataCellStyle="Percent"/>
    <tableColumn id="9" xr3:uid="{E3EC2144-FCFD-4A4A-9A90-DBEB5288EF9F}" name="Rev_GL8" dataDxfId="1066" dataCellStyle="Percent"/>
    <tableColumn id="10" xr3:uid="{F8204BC8-8C71-AC4D-94AB-07EF311BCDB1}" name="Rev_GL9" dataDxfId="1065" dataCellStyle="Percent"/>
    <tableColumn id="11" xr3:uid="{9BC9C872-1F07-7B4D-9217-6A0B6AF47865}" name="Rev_GL10" dataDxfId="1064" dataCellStyle="Percent"/>
    <tableColumn id="12" xr3:uid="{120827D9-3318-D744-9216-DC27D3CF5968}" name="Rev_GL11" dataDxfId="1063" dataCellStyle="Percent"/>
    <tableColumn id="13" xr3:uid="{5D3F0E9B-693A-E944-918D-50F58C26C2C4}" name="Rev_GL12" dataDxfId="1062" dataCellStyle="Percent"/>
    <tableColumn id="14" xr3:uid="{17E4A056-EF9A-6746-8B3A-898BFDD6A696}" name="Rev_GL13" dataDxfId="1061" dataCellStyle="Percent"/>
    <tableColumn id="15" xr3:uid="{FFEBDC05-8049-534C-A5B3-7EBE90032BE1}" name="Rev_GL14" dataDxfId="1060" dataCellStyle="Percent"/>
    <tableColumn id="16" xr3:uid="{0A197748-CDC1-C64A-AE17-D22E200567DB}" name="Rev_GL15" dataDxfId="1059" dataCellStyle="Percent"/>
    <tableColumn id="17" xr3:uid="{42E0E5EF-910E-5F4E-9CF1-9CFAEC4C8700}" name="Rev_GL16" dataDxfId="1058" dataCellStyle="Percent"/>
    <tableColumn id="18" xr3:uid="{8B111263-3695-3044-B75D-C98410149243}" name="Rev_GL17" dataDxfId="1057" dataCellStyle="Percent"/>
    <tableColumn id="19" xr3:uid="{C3255BF8-7FCD-D64A-97FB-553379A81A55}" name="Rev_GL18" dataDxfId="1056" dataCellStyle="Percent"/>
    <tableColumn id="20" xr3:uid="{7A6EE87E-0D4C-D14A-B440-FBF691F1A8D2}" name="Rev_GL19" dataDxfId="1055" dataCellStyle="Percent"/>
    <tableColumn id="21" xr3:uid="{2E0D70B8-5AC9-9044-8C37-930BC7209F87}" name="Rev_GL20" dataDxfId="1054" dataCellStyle="Percent">
      <calculatedColumnFormula>_xlfn.XLOOKUP(A1393,TabCalc[Ticker],TabCalc[Imp150])</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AF2A9EC8-851C-1C46-8C70-3CD3F3C868AC}" name="Tab1Free1" displayName="Tab1Free1" ref="F1298:Z1392" totalsRowShown="0" headerRowDxfId="1053" dataDxfId="1052" tableBorderDxfId="1051" dataCellStyle="Percent">
  <autoFilter ref="F1298:Z1392" xr:uid="{AF2A9EC8-851C-1C46-8C70-3CD3F3C868AC}"/>
  <tableColumns count="21">
    <tableColumn id="1" xr3:uid="{CA2857FA-1FC2-104D-B66E-371CA24537CD}" name="Naft0" dataDxfId="1050" dataCellStyle="Percent"/>
    <tableColumn id="2" xr3:uid="{8C525679-2502-FF45-B2B9-12506AA3F644}" name="Naft1" dataDxfId="1049" dataCellStyle="Percent"/>
    <tableColumn id="3" xr3:uid="{AD993A4C-A7F1-E342-9EC4-C90192C82B31}" name="Naft2" dataDxfId="1048" dataCellStyle="Percent"/>
    <tableColumn id="4" xr3:uid="{40B8B76F-5171-D54D-BF06-A4AC21350B3B}" name="Naft3" dataDxfId="1047" dataCellStyle="Percent"/>
    <tableColumn id="5" xr3:uid="{762033C0-4281-1746-84F3-542BF017FA4B}" name="Naft4" dataDxfId="1046" dataCellStyle="Percent"/>
    <tableColumn id="6" xr3:uid="{FAFE4B64-0CB1-994E-8F05-C5E44C8DDB03}" name="Naft5" dataDxfId="1045" dataCellStyle="Percent"/>
    <tableColumn id="7" xr3:uid="{AF0D904D-7647-BB48-8D6E-B302E22C3C1C}" name="Naft6" dataDxfId="1044" dataCellStyle="Percent"/>
    <tableColumn id="8" xr3:uid="{CF096B0E-2F7F-924E-BA91-4DC10C6E3ED9}" name="Naft7" dataDxfId="1043" dataCellStyle="Percent"/>
    <tableColumn id="9" xr3:uid="{C3C4E1F9-90C6-9646-BC1A-573E5493DC64}" name="Naft8" dataDxfId="1042" dataCellStyle="Percent"/>
    <tableColumn id="10" xr3:uid="{8A89D7FB-45BB-7642-A43A-239F682092E7}" name="Naft9" dataDxfId="1041" dataCellStyle="Percent"/>
    <tableColumn id="11" xr3:uid="{6CB557D2-EFB9-2E40-ADFE-F1D06A55A2C1}" name="Naft10" dataDxfId="1040" dataCellStyle="Percent"/>
    <tableColumn id="12" xr3:uid="{D7F02D6C-BB3C-D747-B902-F6B6DDD59B57}" name="Naft11" dataDxfId="1039" dataCellStyle="Percent"/>
    <tableColumn id="13" xr3:uid="{FD8D6943-9FA6-EA49-BBD9-F5E3DDB53BE7}" name="Naft12" dataDxfId="1038" dataCellStyle="Percent"/>
    <tableColumn id="14" xr3:uid="{2393C95D-1173-E448-837B-713DEFB9753C}" name="Naft13" dataDxfId="1037" dataCellStyle="Percent"/>
    <tableColumn id="15" xr3:uid="{E4C43FA3-A3C8-D340-985B-1BEA174F8B98}" name="Naft14" dataDxfId="1036" dataCellStyle="Percent"/>
    <tableColumn id="16" xr3:uid="{5F4E9827-A41F-8D4B-B649-51F74733E28D}" name="Naft15" dataDxfId="1035" dataCellStyle="Percent"/>
    <tableColumn id="17" xr3:uid="{DC3B667D-F4B9-8648-ACF1-C0371C364AA1}" name="Naft16" dataDxfId="1034" dataCellStyle="Percent"/>
    <tableColumn id="18" xr3:uid="{3E4D8A11-1F61-DE42-9951-C0BA46393626}" name="Naft17" dataDxfId="1033" dataCellStyle="Percent"/>
    <tableColumn id="19" xr3:uid="{50825E73-0383-E743-BD57-1CC0EAEE123B}" name="Naft18" dataDxfId="1032" dataCellStyle="Percent"/>
    <tableColumn id="20" xr3:uid="{BF93579D-889E-5B4A-A245-055F31FD5F5F}" name="Naft19" dataDxfId="1031" dataCellStyle="Percent"/>
    <tableColumn id="21" xr3:uid="{1A3DDD58-5298-C144-A846-CB3FD97B6F3B}" name="Naft20" dataDxfId="1030" dataCellStyle="Percent">
      <calculatedColumnFormula>Calc!G3</calculatedColumnFormula>
    </tableColumn>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6EF671C-15EB-6340-A931-CD19935BD39E}" name="Tab1Free2" displayName="Tab1Free2" ref="F1397:Z1491" totalsRowShown="0" headerRowDxfId="1029" dataDxfId="1028" tableBorderDxfId="1027">
  <autoFilter ref="F1397:Z1491" xr:uid="{F6EF671C-15EB-6340-A931-CD19935BD39E}"/>
  <tableColumns count="21">
    <tableColumn id="1" xr3:uid="{3937D0B6-0B63-584B-8662-4CF442418B39}" name="Free2_0" dataDxfId="1026"/>
    <tableColumn id="2" xr3:uid="{297E75E7-30A8-614A-BC6B-7EDF8EA51692}" name="Free2_1" dataDxfId="1025"/>
    <tableColumn id="3" xr3:uid="{7F7BAB67-5081-FE41-B799-765A7833B5F6}" name="Free2_2" dataDxfId="1024"/>
    <tableColumn id="4" xr3:uid="{700C6907-FB66-B04F-81CB-5569C38B311E}" name="Free2_3" dataDxfId="1023"/>
    <tableColumn id="5" xr3:uid="{E20B3C31-90B8-D44C-9ECA-BC79BF5194CC}" name="Free2_4" dataDxfId="1022"/>
    <tableColumn id="6" xr3:uid="{27ADA4AC-F4C1-944D-8D1E-59B6112D7B6E}" name="Free2_5" dataDxfId="1021"/>
    <tableColumn id="7" xr3:uid="{97FCEADF-673E-2044-B069-C5D83CC6CD02}" name="Free2_6" dataDxfId="1020"/>
    <tableColumn id="8" xr3:uid="{2DAEB5D8-A75B-6345-B212-BABEC279EF4F}" name="Free2_7" dataDxfId="1019"/>
    <tableColumn id="9" xr3:uid="{D048A8D0-4C56-164A-B9F6-25853F5C87FB}" name="Free2_8" dataDxfId="1018"/>
    <tableColumn id="10" xr3:uid="{1B9502C7-37BD-1F47-9E14-6E91E86574DE}" name="Free2_9" dataDxfId="1017"/>
    <tableColumn id="11" xr3:uid="{9B6DF665-04C4-7649-852D-B0E5327053BC}" name="Free2_10" dataDxfId="1016"/>
    <tableColumn id="12" xr3:uid="{ABA824BF-6AB3-F848-89AE-8ACE9C246B08}" name="Free2_11" dataDxfId="1015"/>
    <tableColumn id="13" xr3:uid="{BE8860B0-2B51-9346-9587-0367E9E40239}" name="Free2_12" dataDxfId="1014"/>
    <tableColumn id="14" xr3:uid="{3BEA1E54-18D2-6740-93C2-7BD649B58A23}" name="Free2_13" dataDxfId="1013"/>
    <tableColumn id="15" xr3:uid="{79159609-704E-8146-B86F-5E75085DE96C}" name="Free2_14" dataDxfId="1012"/>
    <tableColumn id="16" xr3:uid="{E8E7FE0B-CAFC-A648-A958-2ACB64144D08}" name="Free2_15" dataDxfId="1011"/>
    <tableColumn id="17" xr3:uid="{D33B5289-1DC5-5447-8C39-5A33CEF0329C}" name="Free2_16" dataDxfId="1010"/>
    <tableColumn id="18" xr3:uid="{A4005841-AE7D-4E45-B5E4-DCCB8C0DAF66}" name="Free2_17" dataDxfId="1009"/>
    <tableColumn id="19" xr3:uid="{BF68ED05-57C6-CF48-97AC-E91CD45EE53C}" name="Free2_18" dataDxfId="1008"/>
    <tableColumn id="20" xr3:uid="{E9FBBC2B-85F5-8242-86CF-10EB4C79D58D}" name="Free2_19" dataDxfId="1007"/>
    <tableColumn id="21" xr3:uid="{29DD2BEB-9881-8043-9502-DA3DA8E0EC3C}" name="Free2_20" dataDxfId="1006">
      <calculatedColumnFormula>[1]ExtEntry!$R3</calculatedColumnFormula>
    </tableColumn>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A5A966C8-A895-2142-9D9C-4A177559753C}" name="Tab2Saldo5Days" displayName="Tab2Saldo5Days" ref="AB404:AV498" totalsRowShown="0" headerRowDxfId="1005" dataDxfId="1004" tableBorderDxfId="1003" dataCellStyle="Comma">
  <autoFilter ref="AB404:AV498" xr:uid="{A5A966C8-A895-2142-9D9C-4A177559753C}"/>
  <tableColumns count="21">
    <tableColumn id="1" xr3:uid="{086170E0-912A-0046-8C70-71421FDB86CB}" name="Saldo_5Day0" dataDxfId="1002" dataCellStyle="Comma"/>
    <tableColumn id="2" xr3:uid="{C47EE9E0-CEB9-744E-A9B1-030E5081996F}" name="Saldo_5Day1" dataDxfId="1001" dataCellStyle="Comma"/>
    <tableColumn id="3" xr3:uid="{0374466B-D15D-8849-BFAB-F2C39763E33E}" name="Saldo_5Day2" dataDxfId="1000" dataCellStyle="Comma"/>
    <tableColumn id="4" xr3:uid="{3DC4E1AB-5240-2B47-95A1-A9FED5CB7931}" name="Saldo_5Day3" dataDxfId="999" dataCellStyle="Comma"/>
    <tableColumn id="5" xr3:uid="{AD8D194A-067C-D54B-B1FC-6AA332CE1097}" name="Saldo_5Day4" dataDxfId="998" dataCellStyle="Comma"/>
    <tableColumn id="6" xr3:uid="{B5DAB107-F4BA-3846-B1DF-1BB15544E5EB}" name="Saldo_5Day5" dataDxfId="997" dataCellStyle="Comma"/>
    <tableColumn id="7" xr3:uid="{FC981E9A-3BB2-EC42-9BD0-4739A49F449B}" name="Saldo_5Day6" dataDxfId="996" dataCellStyle="Comma"/>
    <tableColumn id="8" xr3:uid="{0D786F90-14A9-EC46-B54E-55D2023B3BAB}" name="Saldo_5Day7" dataDxfId="995" dataCellStyle="Comma"/>
    <tableColumn id="9" xr3:uid="{640827C4-D151-714F-9431-310E739241DB}" name="Saldo_5Day8" dataDxfId="994" dataCellStyle="Comma"/>
    <tableColumn id="10" xr3:uid="{883C6F42-8C48-8A47-A661-A9DC638F12F2}" name="Saldo_5Day9" dataDxfId="993" dataCellStyle="Comma"/>
    <tableColumn id="11" xr3:uid="{CEF2A3F7-C727-D942-BBAD-594BB418F823}" name="Saldo_5Day10" dataDxfId="992" dataCellStyle="Comma"/>
    <tableColumn id="12" xr3:uid="{A3DB2142-E94A-AD4D-9220-463878802587}" name="Saldo_5Day11" dataDxfId="991" dataCellStyle="Comma"/>
    <tableColumn id="13" xr3:uid="{1FFAEF3D-A638-0843-889A-A25ABD8D4445}" name="Saldo_5Day12" dataDxfId="990" dataCellStyle="Comma"/>
    <tableColumn id="14" xr3:uid="{66353A91-21E4-6345-9E5E-23B2AA7D6228}" name="Saldo_5Day13" dataDxfId="989" dataCellStyle="Comma"/>
    <tableColumn id="15" xr3:uid="{4FA84C89-1A8F-284D-9C13-78D90BBF6266}" name="Saldo_5Day14" dataDxfId="988" dataCellStyle="Comma"/>
    <tableColumn id="16" xr3:uid="{AEB3F103-A250-9D40-91AE-588B1AF73D28}" name="Saldo_5Day15" dataDxfId="987" dataCellStyle="Comma"/>
    <tableColumn id="17" xr3:uid="{89C20C78-7E59-C74D-AF29-1A8CCB46B1D9}" name="Saldo_5Day16" dataDxfId="986" dataCellStyle="Comma"/>
    <tableColumn id="18" xr3:uid="{44BE309E-DDA6-0F4A-98BD-B8D4F08F3A35}" name="Saldo_5Day17" dataDxfId="985" dataCellStyle="Comma"/>
    <tableColumn id="19" xr3:uid="{F644A9A2-2953-9D41-B057-FC93AC10643A}" name="Saldo_5Day18" dataDxfId="984" dataCellStyle="Comma"/>
    <tableColumn id="20" xr3:uid="{913F3E58-BEA0-7047-9081-6EE33487BB80}" name="Saldo_5Day19" dataDxfId="983" dataCellStyle="Comma"/>
    <tableColumn id="21" xr3:uid="{AF453376-8DDF-764F-B09C-84B72B80BF75}" name="Saldo_5Day20" dataDxfId="982" dataCellStyle="Comma">
      <calculatedColumnFormula>AV305-AP305</calculatedColumnFormula>
    </tableColumn>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AB6E1CDF-94B7-F946-A0AE-62E692DA555B}" name="Tab1SDataShiftSummary" displayName="Tab1SDataShiftSummary" ref="F1711:Z1775" totalsRowCount="1">
  <autoFilter ref="F1711:Z1774" xr:uid="{AB6E1CDF-94B7-F946-A0AE-62E692DA555B}"/>
  <tableColumns count="21">
    <tableColumn id="1" xr3:uid="{9B9EAE97-EF06-5246-8610-B005FF28117A}" name="Summary0" dataDxfId="981" totalsRowDxfId="980"/>
    <tableColumn id="2" xr3:uid="{C0145B90-171D-F843-922B-5308D656256B}" name="Summary1" dataDxfId="979" totalsRowDxfId="978"/>
    <tableColumn id="3" xr3:uid="{13B89441-86AC-2245-A728-E49F31DB3D6A}" name="Summary2" dataDxfId="977" totalsRowDxfId="976"/>
    <tableColumn id="4" xr3:uid="{1B918288-DC53-904B-AB84-4C90F09BE4EC}" name="Summary3" dataDxfId="975" totalsRowDxfId="974"/>
    <tableColumn id="5" xr3:uid="{48DD1F16-0C12-8349-8732-19827F0EAE9F}" name="Summary4" dataDxfId="973" totalsRowDxfId="972"/>
    <tableColumn id="6" xr3:uid="{D4E4DABC-EA23-ED49-81B2-4BFF2A0772F9}" name="Summary5" dataDxfId="971" totalsRowDxfId="970"/>
    <tableColumn id="7" xr3:uid="{4C49F7EE-3ECF-174B-A361-EC8BFAA95624}" name="Summary6" dataDxfId="969" totalsRowDxfId="968" dataCellStyle="Percent"/>
    <tableColumn id="8" xr3:uid="{816A286C-4A21-3144-93B8-B400778D576A}" name="Summary7" dataDxfId="967" totalsRowDxfId="966"/>
    <tableColumn id="9" xr3:uid="{59E1500E-A932-4840-BA3E-5B3025BB1454}" name="Summary8" dataDxfId="965" totalsRowDxfId="964"/>
    <tableColumn id="10" xr3:uid="{F96B4C1B-365D-1741-B72A-531258FFE2BC}" name="Summary9" dataDxfId="963" totalsRowDxfId="962"/>
    <tableColumn id="11" xr3:uid="{77C9D1FE-F025-D54B-8787-3FC4E59E56AD}" name="Summary10" dataDxfId="961" totalsRowDxfId="960"/>
    <tableColumn id="12" xr3:uid="{47411572-1EC6-254C-9838-49A66022B7E4}" name="Summary11" dataDxfId="959" totalsRowDxfId="958"/>
    <tableColumn id="13" xr3:uid="{60CF3707-8850-F148-BBF5-A0EE9B808735}" name="Summary12" dataDxfId="957" totalsRowDxfId="956" dataCellStyle="Comma"/>
    <tableColumn id="14" xr3:uid="{3A0F36B9-4B29-0A4C-A448-D9CF99B8C62F}" name="Summary13" dataDxfId="955" totalsRowDxfId="954"/>
    <tableColumn id="15" xr3:uid="{C63BF0B5-FDDE-D043-A434-8FF7E3AE8994}" name="Summary14" dataDxfId="953" totalsRowDxfId="952"/>
    <tableColumn id="16" xr3:uid="{07929D4C-E2BA-E64A-AA43-4BF7D1D5E3A2}" name="Summary15" dataDxfId="951" totalsRowDxfId="950"/>
    <tableColumn id="17" xr3:uid="{A2E5D0AD-33EE-F140-9570-FEF3580B722F}" name="Summary16" dataDxfId="949" totalsRowDxfId="948"/>
    <tableColumn id="18" xr3:uid="{379DD2CB-9A5C-D142-A1F0-8F2739E2CFA8}" name="Summary17" dataDxfId="947" totalsRowDxfId="946" dataCellStyle="Percent"/>
    <tableColumn id="19" xr3:uid="{268245B6-FCB0-084E-A766-46A83AED1DB3}" name="Summary18" dataDxfId="945" totalsRowDxfId="944" dataCellStyle="Comma"/>
    <tableColumn id="20" xr3:uid="{861CA8D0-B5BD-6F48-80D5-D373641A59B8}" name="Summary19" dataDxfId="943" totalsRowDxfId="942"/>
    <tableColumn id="21" xr3:uid="{2D6D6470-C27B-9441-BFD7-B5A6B11B21EE}" name="Summary20" dataDxfId="941" totalsRowDxfId="940"/>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BD0B59F9-75A4-6345-9840-A2E778B47C79}" name="Table43" displayName="Table43" ref="F1496:Z1590" totalsRowShown="0" dataDxfId="939" dataCellStyle="Percent">
  <autoFilter ref="F1496:Z1590" xr:uid="{BD0B59F9-75A4-6345-9840-A2E778B47C79}"/>
  <tableColumns count="21">
    <tableColumn id="1" xr3:uid="{3DEEB649-1545-504F-B74F-9FE969CBD76A}" name="MarkUp0" dataDxfId="938" dataCellStyle="Percent"/>
    <tableColumn id="2" xr3:uid="{A6C89CFF-07F2-8B49-AAA7-95B57C6AEA42}" name="MarkUp1" dataDxfId="937" dataCellStyle="Percent"/>
    <tableColumn id="3" xr3:uid="{80775B53-35F4-1742-A64B-DBC41620A5F8}" name="MarkUp2" dataDxfId="936" dataCellStyle="Percent"/>
    <tableColumn id="4" xr3:uid="{789F2A95-FF0D-514F-A880-E9C55248174B}" name="MarkUp3" dataDxfId="935" dataCellStyle="Percent"/>
    <tableColumn id="5" xr3:uid="{DB0D0239-7981-3C47-AD76-C782554E8AB8}" name="MarkUp4" dataDxfId="934" dataCellStyle="Percent"/>
    <tableColumn id="6" xr3:uid="{544A8C51-585B-F848-8A7B-A1008FDFDF37}" name="MarkUp5" dataDxfId="933" dataCellStyle="Percent"/>
    <tableColumn id="7" xr3:uid="{A575BF9D-8361-714D-B07E-8D0E262F5FBB}" name="MarkUp6" dataDxfId="932" dataCellStyle="Percent"/>
    <tableColumn id="8" xr3:uid="{0B8D438E-DFEB-DA4D-8453-53E9B370F907}" name="MarkUp7" dataDxfId="931" dataCellStyle="Percent"/>
    <tableColumn id="9" xr3:uid="{DA3BFA50-3B0C-844C-8D33-C1F303E0855D}" name="MarkUp8" dataDxfId="930" dataCellStyle="Percent"/>
    <tableColumn id="10" xr3:uid="{8E2DFA05-ADCD-0240-B8AC-9A068217E1F3}" name="MarkUp9" dataDxfId="929" dataCellStyle="Percent"/>
    <tableColumn id="11" xr3:uid="{1799051C-A221-0543-BE05-0E219A76BB16}" name="MarkUp10" dataDxfId="928" dataCellStyle="Percent"/>
    <tableColumn id="12" xr3:uid="{98820823-ACB0-1F49-AA92-A32FD2BAD762}" name="MarkUp11" dataDxfId="927" dataCellStyle="Percent"/>
    <tableColumn id="13" xr3:uid="{C19E583A-0D28-FB48-9A8A-B5A7CB5484A4}" name="MarkUp12" dataDxfId="926" dataCellStyle="Percent"/>
    <tableColumn id="14" xr3:uid="{8059EBA1-5F47-CF46-84AB-5A12E88D8D2C}" name="MarkUp13" dataDxfId="925" dataCellStyle="Percent"/>
    <tableColumn id="15" xr3:uid="{510C91B6-E50C-FC46-BFA2-6964EC87E14B}" name="MarkUp14" dataDxfId="924" dataCellStyle="Percent"/>
    <tableColumn id="16" xr3:uid="{8C82C0B6-D9ED-CE4B-AED9-78058B4F22DA}" name="MarkUp15" dataDxfId="923" dataCellStyle="Percent"/>
    <tableColumn id="17" xr3:uid="{1CC24814-7184-0C4B-A764-BAC31484FFD7}" name="MarkUp16" dataDxfId="922" dataCellStyle="Percent"/>
    <tableColumn id="18" xr3:uid="{254EACA1-0431-EB47-9340-65308D62D404}" name="MarkUp17" dataDxfId="921" dataCellStyle="Percent"/>
    <tableColumn id="19" xr3:uid="{B63624E4-0107-AE46-B98F-363678F4DBF5}" name="MarkUp18" dataDxfId="920" dataCellStyle="Percent"/>
    <tableColumn id="20" xr3:uid="{096A92CA-4B2E-E442-A2EC-DE652EE21C06}" name="MarkUp19" dataDxfId="919" dataCellStyle="Percent"/>
    <tableColumn id="21" xr3:uid="{92E1C85C-4F66-6340-BEBE-C53E1E837A88}" name="MarkUp20" dataDxfId="918" dataCellStyle="Percent">
      <calculatedColumnFormula>_xlfn.XLOOKUP(A1393,TabCalc[Ticker],TabCalc[Imp20])</calculatedColumnFormula>
    </tableColumn>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D5BEC7A6-EF60-3B46-B9E8-034B7BBF3E15}" name="Table44" displayName="Table44" ref="F1596:Z1689" totalsRowShown="0" dataDxfId="917" dataCellStyle="Percent">
  <autoFilter ref="F1596:Z1689" xr:uid="{D5BEC7A6-EF60-3B46-B9E8-034B7BBF3E15}"/>
  <tableColumns count="21">
    <tableColumn id="1" xr3:uid="{2C2B2823-339F-4D4E-B506-4D9D2FD31170}" name="Sum**2_0" dataDxfId="916" dataCellStyle="Percent"/>
    <tableColumn id="2" xr3:uid="{63B31B64-D53D-D148-A12E-0035DE733783}" name="Sum**2_1" dataDxfId="915" dataCellStyle="Percent"/>
    <tableColumn id="3" xr3:uid="{AB7122E0-6AA1-2345-9984-477938E242DE}" name="Sum**2_2" dataDxfId="914" dataCellStyle="Percent"/>
    <tableColumn id="4" xr3:uid="{C1F1B198-A6E5-6E4B-9EFE-3A79002AA194}" name="Sum**2_3" dataDxfId="913" dataCellStyle="Percent"/>
    <tableColumn id="5" xr3:uid="{CD8ADFDF-0FAA-2F4B-A5BA-D3744B56DB65}" name="Sum**2_4" dataDxfId="912" dataCellStyle="Percent"/>
    <tableColumn id="6" xr3:uid="{A773326D-FA9D-F645-8327-6BD976AF582F}" name="Sum**2_5" dataDxfId="911" dataCellStyle="Percent"/>
    <tableColumn id="7" xr3:uid="{819DBD76-9239-DC4A-9670-B59537B37853}" name="Sum**2_6" dataDxfId="910" dataCellStyle="Percent"/>
    <tableColumn id="8" xr3:uid="{9E873F49-2374-174D-9563-D76244E18328}" name="Sum**2_7" dataDxfId="909" dataCellStyle="Percent"/>
    <tableColumn id="9" xr3:uid="{B103D527-25A1-D646-AD0A-2D6D80419144}" name="Sum**2_8" dataDxfId="908" dataCellStyle="Percent"/>
    <tableColumn id="10" xr3:uid="{96CCA32E-3C73-7142-BF4C-C158F7B37810}" name="Sum**2_9" dataDxfId="907" dataCellStyle="Percent"/>
    <tableColumn id="11" xr3:uid="{56B7687B-91AF-4445-A28F-2881C7A6A6CD}" name="Sum**2_10" dataDxfId="906" dataCellStyle="Percent"/>
    <tableColumn id="12" xr3:uid="{DB2A6F66-3621-8846-9226-BC837F3A8607}" name="Sum**2_11" dataDxfId="905" dataCellStyle="Percent"/>
    <tableColumn id="13" xr3:uid="{AF2CAAB5-0134-4944-A2DF-51F7D4C73924}" name="Sum**2_12" dataDxfId="904" dataCellStyle="Percent"/>
    <tableColumn id="14" xr3:uid="{96835407-A70C-7447-8F4F-990440ABEC87}" name="Sum**2_13" dataDxfId="903" dataCellStyle="Percent"/>
    <tableColumn id="15" xr3:uid="{CA0AA75C-43E5-784B-8D61-06F3C41CF8A0}" name="Sum**2_14" dataDxfId="902" dataCellStyle="Percent"/>
    <tableColumn id="16" xr3:uid="{13A8CBF4-DB9A-B849-8F2C-A0A188E0DF2A}" name="Sum**2_15" dataDxfId="901" dataCellStyle="Percent"/>
    <tableColumn id="17" xr3:uid="{1F0AAC37-63D2-6F47-A469-FCC7FEF1D822}" name="Sum**2_16" dataDxfId="900" dataCellStyle="Percent"/>
    <tableColumn id="18" xr3:uid="{A2F60BCE-BEE7-654C-BC93-9A7FA97E5352}" name="Sum**2_17" dataDxfId="899" dataCellStyle="Percent"/>
    <tableColumn id="19" xr3:uid="{C3C24884-56D0-D04B-B09F-B980FE86E022}" name="Sum**2_18" dataDxfId="898" dataCellStyle="Percent"/>
    <tableColumn id="20" xr3:uid="{87579DA9-E185-BD4F-B501-5C2BD25EC567}" name="Sum**2_19" dataDxfId="897" dataCellStyle="Percent"/>
    <tableColumn id="21" xr3:uid="{8C3E0B6F-730F-3540-A789-4533BE6E2F4F}" name="Sum**2_20" dataDxfId="896" dataCellStyle="Percent">
      <calculatedColumnFormula>SUMPRODUCT(F1497:Z1497,F1497:Z1497)</calculatedColumnFormula>
    </tableColumn>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E6A8CF0B-7BCE-7A42-AF72-2FEB89DD3A0B}" name="Table4446" displayName="Table4446" ref="AB1595:AV1689" totalsRowShown="0" dataDxfId="895" dataCellStyle="Percent">
  <autoFilter ref="AB1595:AV1689" xr:uid="{E6A8CF0B-7BCE-7A42-AF72-2FEB89DD3A0B}"/>
  <tableColumns count="21">
    <tableColumn id="1" xr3:uid="{9EDCB166-851C-9C48-A224-9B8BFE7FE3EA}" name="Sum**2_0" dataDxfId="894" dataCellStyle="Percent"/>
    <tableColumn id="2" xr3:uid="{61601C57-E293-4C4A-A5AB-3FE09D2D2FF9}" name="Sum**2_1" dataDxfId="893" dataCellStyle="Percent"/>
    <tableColumn id="3" xr3:uid="{1C26E27A-CF61-7E4F-9A2A-AF52B8F9FA0A}" name="Sum**2_2" dataDxfId="892" dataCellStyle="Percent"/>
    <tableColumn id="4" xr3:uid="{75C65365-474A-3D45-ADC6-D2047EA06590}" name="Sum**2_3" dataDxfId="891" dataCellStyle="Percent"/>
    <tableColumn id="5" xr3:uid="{09B33CCF-A873-244E-AC3B-291C83A0BE67}" name="Sum**2_4" dataDxfId="890" dataCellStyle="Percent"/>
    <tableColumn id="6" xr3:uid="{9B1510FE-6D6F-5A4A-9B5A-BD71A0794CEE}" name="Sum**2_5" dataDxfId="889" dataCellStyle="Percent"/>
    <tableColumn id="7" xr3:uid="{31F83491-B3A3-D54A-BA15-B163AC5F2C9A}" name="Sum**2_6" dataDxfId="888" dataCellStyle="Percent"/>
    <tableColumn id="8" xr3:uid="{9979AA70-2D99-DE49-B7D5-D643B1001152}" name="Sum**2_7" dataDxfId="887" dataCellStyle="Percent"/>
    <tableColumn id="9" xr3:uid="{56FDE8E4-7BDA-C045-92CE-C96F0478841C}" name="Sum**2_8" dataDxfId="886" dataCellStyle="Percent"/>
    <tableColumn id="10" xr3:uid="{BF651EAC-5DE6-8C4B-ABC0-7FF266F414FD}" name="Sum**2_9" dataDxfId="885" dataCellStyle="Percent"/>
    <tableColumn id="11" xr3:uid="{3274233F-09E2-B64E-8CBF-8506F78A99B0}" name="Sum**2_10" dataDxfId="884" dataCellStyle="Percent"/>
    <tableColumn id="12" xr3:uid="{CD61E0F9-09BC-1745-A795-3F33957E3D3B}" name="Sum**2_11" dataDxfId="883" dataCellStyle="Percent"/>
    <tableColumn id="13" xr3:uid="{BABFF967-AEF7-3644-A589-7A5B73F2D156}" name="Sum**2_12" dataDxfId="882" dataCellStyle="Percent"/>
    <tableColumn id="14" xr3:uid="{D196ECB2-3F4E-6544-B4EC-2376A142D915}" name="Sum**2_13" dataDxfId="881" dataCellStyle="Percent"/>
    <tableColumn id="15" xr3:uid="{4D81CFC7-992B-D642-904A-CBCDCAD97394}" name="Sum**2_14" dataDxfId="880" dataCellStyle="Percent"/>
    <tableColumn id="16" xr3:uid="{5C315818-8E3C-1848-ABAE-9D4300EDBD1B}" name="Sum**2_15" dataDxfId="879" dataCellStyle="Percent"/>
    <tableColumn id="17" xr3:uid="{728CDA8F-F9BB-C84B-83D6-434A28B7A69E}" name="Sum**2_16" dataDxfId="878" dataCellStyle="Percent"/>
    <tableColumn id="18" xr3:uid="{AB73409A-6B6D-6B4B-9F6A-31BD45FAC5D4}" name="Sum**2_17" dataDxfId="877" dataCellStyle="Percent"/>
    <tableColumn id="19" xr3:uid="{27A4013B-1966-EE44-AF6E-83D9EAC45769}" name="Sum**2_18" dataDxfId="876" dataCellStyle="Percent"/>
    <tableColumn id="20" xr3:uid="{E4C94DB5-B5B2-DE4C-93AC-18C099042A0A}" name="Sum**2_19" dataDxfId="875" dataCellStyle="Percent"/>
    <tableColumn id="21" xr3:uid="{8DDFD0E0-45EB-0249-B5F1-B1404A2BB9D0}" name="Sum**2_20" dataDxfId="874" dataCellStyle="Percent">
      <calculatedColumnFormula>SUMPRODUCT(AB1497:AV1497,AB1497:AV1497)</calculatedColumnFormula>
    </tableColumn>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84EC62-F546-EC44-B85F-22666178BACB}" name="TabReg" displayName="TabReg" ref="A3:KF72" totalsRowCount="1" headerRowDxfId="873" totalsRowDxfId="871" tableBorderDxfId="872">
  <autoFilter ref="A3:KF71" xr:uid="{6184EC62-F546-EC44-B85F-22666178BACB}"/>
  <tableColumns count="292">
    <tableColumn id="1" xr3:uid="{57623EC6-295D-6C46-8762-F4C1DD08499F}" name="RegIndex" dataDxfId="870" totalsRowDxfId="869"/>
    <tableColumn id="2" xr3:uid="{59C53E03-08BC-7241-A405-B961C9CD4E4C}" name="AAPL" totalsRowFunction="custom" dataDxfId="868" totalsRowDxfId="867">
      <totalsRowFormula>COUNT(TabReg[AAPL])</totalsRowFormula>
    </tableColumn>
    <tableColumn id="3" xr3:uid="{E8ED35B7-2399-6041-8311-C19BDE1DDA95}" name="AAPL1" totalsRowFunction="custom" dataDxfId="866" totalsRowDxfId="865" dataCellStyle="Comma">
      <totalsRowFormula>COUNT(TabReg[AAPL1])</totalsRowFormula>
    </tableColumn>
    <tableColumn id="4" xr3:uid="{C3865FAF-DC26-3B45-AC2D-579945EE4DE2}" name="AAPL2" totalsRowFunction="custom" dataDxfId="864" totalsRowDxfId="863" dataCellStyle="Comma">
      <totalsRowFormula>COUNT(TabReg[AAPL2])</totalsRowFormula>
    </tableColumn>
    <tableColumn id="5" xr3:uid="{58414643-D5EF-DC42-BE18-AFAB1AA967A3}" name="ADEA" totalsRowFunction="custom" dataDxfId="862" totalsRowDxfId="861">
      <totalsRowFormula>COUNT(TabReg[ADEA])</totalsRowFormula>
    </tableColumn>
    <tableColumn id="6" xr3:uid="{770722DB-0B2C-4149-8CBF-EBAC14770B02}" name="ADEA1" totalsRowFunction="custom" dataDxfId="860" totalsRowDxfId="859" dataCellStyle="Comma">
      <totalsRowFormula>COUNT(TabReg[ADEA1])</totalsRowFormula>
    </tableColumn>
    <tableColumn id="7" xr3:uid="{ADBB0985-AFC7-0A49-AAD9-9FD8A0ADA9E8}" name="ADEA2" totalsRowFunction="custom" dataDxfId="858" totalsRowDxfId="857" dataCellStyle="Comma">
      <totalsRowFormula>COUNT(TabReg[ADEA2])</totalsRowFormula>
    </tableColumn>
    <tableColumn id="8" xr3:uid="{F9B8D055-A3B6-6049-AB67-FD35F31EAD12}" name="AET" totalsRowFunction="custom" dataDxfId="856" totalsRowDxfId="855">
      <totalsRowFormula>COUNT(TabReg[AET])</totalsRowFormula>
    </tableColumn>
    <tableColumn id="9" xr3:uid="{4F1B47E7-AE09-DE47-9326-7E38373F590D}" name="AET1" totalsRowFunction="custom" dataDxfId="854" totalsRowDxfId="853" dataCellStyle="Comma">
      <totalsRowFormula>COUNT(TabReg[AET1])</totalsRowFormula>
    </tableColumn>
    <tableColumn id="10" xr3:uid="{C55D7E50-6E70-8245-AF6D-9B0AF1B842F6}" name="AET2" totalsRowFunction="custom" dataDxfId="852" totalsRowDxfId="851" dataCellStyle="Comma">
      <totalsRowFormula>COUNT(TabReg[AET2])</totalsRowFormula>
    </tableColumn>
    <tableColumn id="11" xr3:uid="{75AEAC53-9C89-8F4E-A89E-5819F07855E8}" name="AMZN" totalsRowFunction="custom" dataDxfId="850" totalsRowDxfId="849">
      <totalsRowFormula>COUNT(TabReg[AMZN])</totalsRowFormula>
    </tableColumn>
    <tableColumn id="12" xr3:uid="{50DF90F7-5FF8-F84C-9DEF-B56AE90E9FE1}" name="AMZN1" totalsRowFunction="custom" dataDxfId="848" totalsRowDxfId="847" dataCellStyle="Comma">
      <totalsRowFormula>COUNT(TabReg[AMZN1])</totalsRowFormula>
    </tableColumn>
    <tableColumn id="13" xr3:uid="{BB3AD602-9B27-A44D-956D-E044A03841B0}" name="AMZN2" totalsRowFunction="custom" dataDxfId="846" totalsRowDxfId="845" dataCellStyle="Comma">
      <totalsRowFormula>COUNT(TabReg[AMZN2])</totalsRowFormula>
    </tableColumn>
    <tableColumn id="14" xr3:uid="{49715757-C441-334A-8359-CB03A54D44A0}" name="ALDNE" totalsRowFunction="custom" dataDxfId="844" totalsRowDxfId="843" dataCellStyle="Comma">
      <totalsRowFormula>COUNT(TabReg[ALDNE])</totalsRowFormula>
    </tableColumn>
    <tableColumn id="15" xr3:uid="{2367F0AA-874E-0F49-8743-948F4AA0066D}" name="ALDNE1" totalsRowFunction="custom" dataDxfId="842" totalsRowDxfId="841" dataCellStyle="Comma">
      <totalsRowFormula>COUNT(TabReg[ALDNE1])</totalsRowFormula>
    </tableColumn>
    <tableColumn id="16" xr3:uid="{136C77A7-D877-524E-A602-4F388B4DC883}" name="ALDNE2" totalsRowFunction="custom" dataDxfId="840" totalsRowDxfId="839" dataCellStyle="Comma">
      <totalsRowFormula>COUNT(TabReg[ALDNE2])</totalsRowFormula>
    </tableColumn>
    <tableColumn id="179" xr3:uid="{24648F26-5ACD-B54B-A6CE-ED445344889D}" name="ASML" totalsRowFunction="custom" dataDxfId="838" totalsRowDxfId="837" dataCellStyle="Comma">
      <totalsRowFormula>COUNT(TabReg[ASML])</totalsRowFormula>
    </tableColumn>
    <tableColumn id="180" xr3:uid="{4685999F-AD40-C34D-B18F-9AE018200409}" name="ASML1" totalsRowFunction="custom" dataDxfId="836" totalsRowDxfId="835" dataCellStyle="Comma">
      <totalsRowFormula>COUNT(TabReg[ASML1])</totalsRowFormula>
    </tableColumn>
    <tableColumn id="181" xr3:uid="{4FFE09BD-40A8-0846-9183-DCBB01B1E7C1}" name="ASML2" totalsRowFunction="custom" dataDxfId="834" totalsRowDxfId="833" dataCellStyle="Comma">
      <totalsRowFormula>COUNT(TabReg[ASML2])</totalsRowFormula>
    </tableColumn>
    <tableColumn id="175" xr3:uid="{C078EC90-D9D7-E54A-B14B-6247837CA7D1}" name="AVGO" dataDxfId="832" totalsRowDxfId="831" dataCellStyle="Comma"/>
    <tableColumn id="174" xr3:uid="{4907FD99-23B8-0C46-B85B-0B8F78B3E102}" name="AVGO1" dataDxfId="830" totalsRowDxfId="829" dataCellStyle="Comma"/>
    <tableColumn id="173" xr3:uid="{BBB39EE6-6F6F-BE4E-ABA4-34B7CD29B270}" name="AVGO2" dataDxfId="828" totalsRowDxfId="827" dataCellStyle="Comma"/>
    <tableColumn id="279" xr3:uid="{7779299B-53A0-B24B-931D-BAB9A59FEE4F}" name="AZN" totalsRowFunction="custom" dataDxfId="826" totalsRowDxfId="825" dataCellStyle="Comma">
      <totalsRowFormula>COUNT(TabReg[AZN])</totalsRowFormula>
    </tableColumn>
    <tableColumn id="280" xr3:uid="{E931132A-A088-874A-B802-74955F5A51ED}" name="AZN1" totalsRowFunction="custom" dataDxfId="824" totalsRowDxfId="823" dataCellStyle="Comma">
      <totalsRowFormula>COUNT(TabReg[AZN1])</totalsRowFormula>
    </tableColumn>
    <tableColumn id="278" xr3:uid="{2DB0600A-9980-454D-B57C-8E1729380840}" name="AZN2" totalsRowFunction="custom" dataDxfId="822" totalsRowDxfId="821" dataCellStyle="Comma">
      <totalsRowFormula>COUNT(TabReg[AZN2])</totalsRowFormula>
    </tableColumn>
    <tableColumn id="290" xr3:uid="{3A948DBC-E554-114B-9856-05ED7CFD7F8C}" name="BLDP" totalsRowFunction="custom" dataDxfId="820" totalsRowDxfId="819" dataCellStyle="Comma">
      <totalsRowFormula>COUNT(TabReg[BLDP])</totalsRowFormula>
    </tableColumn>
    <tableColumn id="291" xr3:uid="{EBF4CFFB-7F3F-A648-AA96-9F683DEB40C2}" name="BLDP1" totalsRowFunction="custom" dataDxfId="818" totalsRowDxfId="817" dataCellStyle="Comma">
      <totalsRowFormula>COUNT(TabReg[BLDP1])</totalsRowFormula>
    </tableColumn>
    <tableColumn id="292" xr3:uid="{DEF375A3-1AEB-1447-AAA1-210FF59FFAB3}" name="BLDP2" totalsRowFunction="custom" dataDxfId="816" totalsRowDxfId="815" dataCellStyle="Comma">
      <totalsRowFormula>COUNT(TabReg[BLDP2])</totalsRowFormula>
    </tableColumn>
    <tableColumn id="281" xr3:uid="{3B2EE5F2-7BA3-4944-9A29-0E94A422A457}" name="BMRA" totalsRowFunction="custom" dataDxfId="814" totalsRowDxfId="813" dataCellStyle="Comma">
      <totalsRowFormula>COUNT(TabReg[BMRA])</totalsRowFormula>
    </tableColumn>
    <tableColumn id="282" xr3:uid="{7CAF9C5B-8DD1-DC42-8DE9-44E2726437AF}" name="BMRA1" totalsRowFunction="custom" dataDxfId="812" totalsRowDxfId="811" dataCellStyle="Comma">
      <totalsRowFormula>COUNT(TabReg[BMRA1])</totalsRowFormula>
    </tableColumn>
    <tableColumn id="283" xr3:uid="{86EB1738-523E-9446-A1FD-BA96C5EEC9D8}" name="BMRA2" totalsRowFunction="custom" dataDxfId="810" totalsRowDxfId="809" dataCellStyle="Comma">
      <totalsRowFormula>COUNT(TabReg[BMRA2])</totalsRowFormula>
    </tableColumn>
    <tableColumn id="17" xr3:uid="{6CE9E4BB-2E28-D048-BEC8-1E8072E45461}" name="C" totalsRowFunction="custom" dataDxfId="808" totalsRowDxfId="807" dataCellStyle="Comma">
      <totalsRowFormula>COUNT(TabReg[C])</totalsRowFormula>
    </tableColumn>
    <tableColumn id="18" xr3:uid="{9335FB1F-2111-9347-8BEA-BA672F606FE1}" name="C1" totalsRowFunction="custom" dataDxfId="806" totalsRowDxfId="805" dataCellStyle="Comma">
      <totalsRowFormula>COUNT(TabReg[C1])</totalsRowFormula>
    </tableColumn>
    <tableColumn id="19" xr3:uid="{47B8B9DB-56E0-4849-B633-AB8E567BC6A2}" name="C2" totalsRowFunction="custom" dataDxfId="804" totalsRowDxfId="803" dataCellStyle="Comma">
      <totalsRowFormula>COUNT(TabReg[C2])</totalsRowFormula>
    </tableColumn>
    <tableColumn id="20" xr3:uid="{66BF6E62-9341-8D45-8C56-4B59337C40DE}" name="CSCO" totalsRowFunction="custom" dataDxfId="802" totalsRowDxfId="801" dataCellStyle="Comma">
      <totalsRowFormula>COUNT(TabReg[CSCO])</totalsRowFormula>
    </tableColumn>
    <tableColumn id="21" xr3:uid="{0766B374-52D4-2947-BA01-337368F5998F}" name="CSCO1" totalsRowFunction="custom" dataDxfId="800" totalsRowDxfId="799" dataCellStyle="Comma">
      <totalsRowFormula>COUNT(TabReg[CSCO1])</totalsRowFormula>
    </tableColumn>
    <tableColumn id="22" xr3:uid="{9342CC24-A8C2-5B40-86F8-AEAC5372742F}" name="CSCO2" totalsRowFunction="custom" dataDxfId="798" totalsRowDxfId="797" dataCellStyle="Comma">
      <totalsRowFormula>COUNT(TabReg[CSCO2])</totalsRowFormula>
    </tableColumn>
    <tableColumn id="23" xr3:uid="{3B6738B7-B322-7B41-9D51-6C47F21F1EC2}" name="CVS" totalsRowFunction="custom" dataDxfId="796" totalsRowDxfId="795" dataCellStyle="Comma">
      <totalsRowFormula>COUNT(TabReg[CVS])</totalsRowFormula>
    </tableColumn>
    <tableColumn id="24" xr3:uid="{69FD021F-7252-9E48-A9C1-B58E1E44090C}" name="CVS1" totalsRowFunction="custom" dataDxfId="794" totalsRowDxfId="793" dataCellStyle="Comma">
      <totalsRowFormula>COUNT(TabReg[CVS1])</totalsRowFormula>
    </tableColumn>
    <tableColumn id="25" xr3:uid="{1459F42D-6ADD-C642-9895-1BEA61E6EB67}" name="CVS2" totalsRowFunction="custom" dataDxfId="792" totalsRowDxfId="791" dataCellStyle="Comma">
      <totalsRowFormula>COUNT(TabReg[CVS2])</totalsRowFormula>
    </tableColumn>
    <tableColumn id="26" xr3:uid="{063E938B-FAE4-744E-9F28-8F39125ADC16}" name="DDD" totalsRowFunction="custom" dataDxfId="790" totalsRowDxfId="789">
      <totalsRowFormula>COUNT(TabReg[DDD])</totalsRowFormula>
    </tableColumn>
    <tableColumn id="27" xr3:uid="{1C7D2960-4D7C-3A43-864A-9D2F2207D012}" name="DDD1" totalsRowFunction="custom" dataDxfId="788" totalsRowDxfId="787" dataCellStyle="Comma">
      <totalsRowFormula>COUNT(TabReg[DDD1])</totalsRowFormula>
    </tableColumn>
    <tableColumn id="28" xr3:uid="{1BEB1AF9-8C3C-B04C-9A62-E35492C2C4B4}" name="DDD2" totalsRowFunction="custom" dataDxfId="786" totalsRowDxfId="785" dataCellStyle="Comma">
      <totalsRowFormula>COUNT(TabReg[DDD2])</totalsRowFormula>
    </tableColumn>
    <tableColumn id="29" xr3:uid="{ABF122A5-B5D9-754E-898C-5A469C089337}" name="DIS" totalsRowFunction="custom" dataDxfId="784" totalsRowDxfId="783">
      <totalsRowFormula>COUNT(TabReg[DIS])</totalsRowFormula>
    </tableColumn>
    <tableColumn id="30" xr3:uid="{7C2A5D2F-4040-8040-8346-E75A957CFF74}" name="DIS1" totalsRowFunction="custom" dataDxfId="782" totalsRowDxfId="781" dataCellStyle="Comma">
      <totalsRowFormula>COUNT(TabReg[DIS1])</totalsRowFormula>
    </tableColumn>
    <tableColumn id="31" xr3:uid="{3D5AE59B-27C1-0F4D-8490-91E3B001EC18}" name="DIS2" totalsRowFunction="custom" dataDxfId="780" totalsRowDxfId="779" dataCellStyle="Comma">
      <totalsRowFormula>COUNT(TabReg[DIS2])</totalsRowFormula>
    </tableColumn>
    <tableColumn id="32" xr3:uid="{D9A01F25-6BC9-2A4C-BE7A-8A095A4F4699}" name="DSY" totalsRowFunction="custom" dataDxfId="778" totalsRowDxfId="777">
      <totalsRowFormula>COUNT(TabReg[DSY])</totalsRowFormula>
    </tableColumn>
    <tableColumn id="33" xr3:uid="{345BC183-7AAE-3C47-BE0D-B82379F2CAE1}" name="DSY1" totalsRowFunction="custom" dataDxfId="776" totalsRowDxfId="775" dataCellStyle="Comma">
      <totalsRowFormula>COUNT(TabReg[DSY1])</totalsRowFormula>
    </tableColumn>
    <tableColumn id="34" xr3:uid="{25CD66A3-4CD6-E742-B453-45470819DC16}" name="DSY2" totalsRowFunction="custom" dataDxfId="774" totalsRowDxfId="773" dataCellStyle="Comma">
      <totalsRowFormula>COUNT(TabReg[DSY2])</totalsRowFormula>
    </tableColumn>
    <tableColumn id="35" xr3:uid="{D83AFDCF-42BD-564D-9427-1D78C6682439}" name="DVA" totalsRowFunction="custom" dataDxfId="772" totalsRowDxfId="771">
      <totalsRowFormula>COUNT(TabReg[DVA])</totalsRowFormula>
    </tableColumn>
    <tableColumn id="36" xr3:uid="{C061890B-B5E9-6841-8038-940695CA8CF1}" name="DVA1" totalsRowFunction="custom" dataDxfId="770" totalsRowDxfId="769" dataCellStyle="Comma">
      <totalsRowFormula>COUNT(TabReg[DVA1])</totalsRowFormula>
    </tableColumn>
    <tableColumn id="37" xr3:uid="{BDA00239-5392-EB47-861F-6CC9421DE4C2}" name="DVA2" totalsRowFunction="custom" dataDxfId="768" totalsRowDxfId="767" dataCellStyle="Comma">
      <totalsRowFormula>COUNT(TabReg[DVA2])</totalsRowFormula>
    </tableColumn>
    <tableColumn id="38" xr3:uid="{EAB6CDF7-DCC5-3947-82F8-B20B36657868}" name="DXC" totalsRowFunction="custom" dataDxfId="766" totalsRowDxfId="765">
      <totalsRowFormula>COUNT(TabReg[DXC])</totalsRowFormula>
    </tableColumn>
    <tableColumn id="39" xr3:uid="{70295CBC-7FD4-C542-97C0-076D2DBB8560}" name="DXC1" totalsRowFunction="custom" dataDxfId="764" totalsRowDxfId="763" dataCellStyle="Comma">
      <totalsRowFormula>COUNT(TabReg[DXC1])</totalsRowFormula>
    </tableColumn>
    <tableColumn id="40" xr3:uid="{FD803DE8-0F34-1F4F-B4CA-C142B6124013}" name="DXC2" totalsRowFunction="custom" dataDxfId="762" totalsRowDxfId="761" dataCellStyle="Comma">
      <totalsRowFormula>COUNT(TabReg[DXC2])</totalsRowFormula>
    </tableColumn>
    <tableColumn id="41" xr3:uid="{883A6563-5D30-3647-A642-03C1D2587F09}" name="EOAN" totalsRowFunction="custom" dataDxfId="760" totalsRowDxfId="759">
      <totalsRowFormula>COUNT(TabReg[EOAN])</totalsRowFormula>
    </tableColumn>
    <tableColumn id="42" xr3:uid="{DA9DDAAE-CAB2-6143-95E1-1416DF9923B1}" name="EOAN1" totalsRowFunction="custom" dataDxfId="758" totalsRowDxfId="757" dataCellStyle="Comma">
      <totalsRowFormula>COUNT(TabReg[EOAN1])</totalsRowFormula>
    </tableColumn>
    <tableColumn id="43" xr3:uid="{313E3763-ACA8-6547-84D3-3905F0AEFB64}" name="EOAN2" totalsRowFunction="custom" dataDxfId="756" totalsRowDxfId="755" dataCellStyle="Comma">
      <totalsRowFormula>COUNT(TabReg[EOAN2])</totalsRowFormula>
    </tableColumn>
    <tableColumn id="44" xr3:uid="{DE961D13-327B-554F-B7CF-C73C3AEF6BBD}" name="EPIX" totalsRowFunction="custom" dataDxfId="754" totalsRowDxfId="753">
      <totalsRowFormula>COUNT(TabReg[EPIX])</totalsRowFormula>
    </tableColumn>
    <tableColumn id="45" xr3:uid="{6C6AE2AF-0CFC-044D-B320-623532E243D7}" name="EPIX1" totalsRowFunction="custom" dataDxfId="752" totalsRowDxfId="751" dataCellStyle="Comma">
      <totalsRowFormula>COUNT(TabReg[EPIX1])</totalsRowFormula>
    </tableColumn>
    <tableColumn id="46" xr3:uid="{A85AEFAE-0C46-2342-A2A0-03C1C03F2383}" name="EPIX2" totalsRowFunction="custom" dataDxfId="750" totalsRowDxfId="749" dataCellStyle="Comma">
      <totalsRowFormula>COUNT(TabReg[EPIX2])</totalsRowFormula>
    </tableColumn>
    <tableColumn id="47" xr3:uid="{1034943A-F82F-A944-8F7E-1E4A894BCAF1}" name="GM" totalsRowFunction="custom" dataDxfId="748" totalsRowDxfId="747">
      <totalsRowFormula>COUNT(TabReg[GM])</totalsRowFormula>
    </tableColumn>
    <tableColumn id="48" xr3:uid="{51DE31AC-13D3-CD46-B5FE-5DA3D9A31D71}" name="GM1" totalsRowFunction="custom" dataDxfId="746" totalsRowDxfId="745" dataCellStyle="Comma">
      <totalsRowFormula>COUNT(TabReg[GM1])</totalsRowFormula>
    </tableColumn>
    <tableColumn id="49" xr3:uid="{574522F8-74D0-F04C-86A4-21E8FF51BAF4}" name="GM2" totalsRowFunction="custom" dataDxfId="744" totalsRowDxfId="743" dataCellStyle="Comma">
      <totalsRowFormula>COUNT(TabReg[GM2])</totalsRowFormula>
    </tableColumn>
    <tableColumn id="50" xr3:uid="{F1F680B7-6221-4B43-9EEC-42EADC72535E}" name="HPE" totalsRowFunction="custom" dataDxfId="742" totalsRowDxfId="741">
      <totalsRowFormula>COUNT(TabReg[HPE])</totalsRowFormula>
    </tableColumn>
    <tableColumn id="51" xr3:uid="{A794E8F2-2178-E945-A531-C9DEAC87C0CF}" name="HPE1" totalsRowFunction="custom" dataDxfId="740" totalsRowDxfId="739" dataCellStyle="Comma">
      <totalsRowFormula>COUNT(TabReg[HPE1])</totalsRowFormula>
    </tableColumn>
    <tableColumn id="52" xr3:uid="{74900C8F-AF95-EF44-8790-FF51D716DB9C}" name="HPE2" totalsRowFunction="custom" dataDxfId="738" totalsRowDxfId="737" dataCellStyle="Comma">
      <totalsRowFormula>COUNT(TabReg[HPE2])</totalsRowFormula>
    </tableColumn>
    <tableColumn id="53" xr3:uid="{9E4C7D64-DCA6-8149-AAA3-41838EBEED0F}" name="HPQ" totalsRowFunction="custom" dataDxfId="736" totalsRowDxfId="735">
      <totalsRowFormula>COUNT(TabReg[HPQ])</totalsRowFormula>
    </tableColumn>
    <tableColumn id="54" xr3:uid="{3322AA64-E865-144B-80CB-759A3279236E}" name="HPQ1" totalsRowFunction="custom" dataDxfId="734" totalsRowDxfId="733" dataCellStyle="Comma">
      <totalsRowFormula>COUNT(TabReg[HPQ1])</totalsRowFormula>
    </tableColumn>
    <tableColumn id="55" xr3:uid="{94334F80-D1DF-404A-B3D8-EF0FA062E0F9}" name="HPQ2" totalsRowFunction="custom" dataDxfId="732" totalsRowDxfId="731" dataCellStyle="Comma">
      <totalsRowFormula>COUNT(TabReg[HPQ2])</totalsRowFormula>
    </tableColumn>
    <tableColumn id="284" xr3:uid="{B51A72A3-F030-9F40-92FE-BF02BB2A5D59}" name="IAG" totalsRowFunction="custom" dataDxfId="730" totalsRowDxfId="729">
      <totalsRowFormula>COUNT(TabReg[IAG])</totalsRowFormula>
    </tableColumn>
    <tableColumn id="285" xr3:uid="{CEA5A13B-039C-444A-8A33-BDB427ADC196}" name="IAG1" totalsRowFunction="custom" dataDxfId="728" totalsRowDxfId="727" dataCellStyle="Comma">
      <totalsRowFormula>COUNT(TabReg[IAG1])</totalsRowFormula>
    </tableColumn>
    <tableColumn id="286" xr3:uid="{2E05A3E4-533D-F646-8DBA-FDCA0D064519}" name="IAG2" totalsRowFunction="custom" dataDxfId="726" totalsRowDxfId="725" dataCellStyle="Comma">
      <totalsRowFormula>COUNT(TabReg[IAG2])</totalsRowFormula>
    </tableColumn>
    <tableColumn id="56" xr3:uid="{6F12E7F1-8AF1-1846-AF5B-31B60034E0D7}" name="KR" totalsRowFunction="custom" dataDxfId="724" totalsRowDxfId="723">
      <totalsRowFormula>COUNT(TabReg[KR])</totalsRowFormula>
    </tableColumn>
    <tableColumn id="57" xr3:uid="{5BEC4E93-146D-7245-8EDE-093807DDEE21}" name="KR1" totalsRowFunction="custom" dataDxfId="722" totalsRowDxfId="721" dataCellStyle="Comma">
      <totalsRowFormula>COUNT(TabReg[KR1])</totalsRowFormula>
    </tableColumn>
    <tableColumn id="58" xr3:uid="{717517AC-D851-A04B-9414-52C005882D84}" name="KR2" totalsRowFunction="custom" dataDxfId="720" totalsRowDxfId="719" dataCellStyle="Comma">
      <totalsRowFormula>COUNT(TabReg[KR2])</totalsRowFormula>
    </tableColumn>
    <tableColumn id="59" xr3:uid="{D021B57D-07DD-E947-B756-65EFC624E3F3}" name="LNSR" totalsRowFunction="custom" dataDxfId="718" totalsRowDxfId="717">
      <totalsRowFormula>COUNT(TabReg[LNSR])</totalsRowFormula>
    </tableColumn>
    <tableColumn id="60" xr3:uid="{66BE0145-D170-4D49-8DAC-3456350BE6D9}" name="LNSR1" totalsRowFunction="custom" dataDxfId="716" totalsRowDxfId="715" dataCellStyle="Comma">
      <totalsRowFormula>COUNT(TabReg[LNSR1])</totalsRowFormula>
    </tableColumn>
    <tableColumn id="61" xr3:uid="{7AD7594E-BCF1-7E48-8728-03B525428275}" name="LNSR2" totalsRowFunction="custom" dataDxfId="714" totalsRowDxfId="713" dataCellStyle="Comma">
      <totalsRowFormula>COUNT(TabReg[LNSR2])</totalsRowFormula>
    </tableColumn>
    <tableColumn id="62" xr3:uid="{43377BA1-60BD-EE40-894C-18287FDB1B16}" name="LUMN" totalsRowFunction="custom" dataDxfId="712" totalsRowDxfId="711">
      <totalsRowFormula>COUNT(TabReg[LUMN])</totalsRowFormula>
    </tableColumn>
    <tableColumn id="63" xr3:uid="{AD8D0B7B-217E-934B-A293-F7C63FBED141}" name="LUMN1" totalsRowFunction="custom" dataDxfId="710" totalsRowDxfId="709" dataCellStyle="Comma">
      <totalsRowFormula>COUNT(TabReg[LUMN1])</totalsRowFormula>
    </tableColumn>
    <tableColumn id="64" xr3:uid="{A870C284-0CA4-AE40-9EE1-3AB29BC5D4F3}" name="LUMN2" totalsRowFunction="custom" dataDxfId="708" totalsRowDxfId="707" dataCellStyle="Comma">
      <totalsRowFormula>COUNT(TabReg[LUMN2])</totalsRowFormula>
    </tableColumn>
    <tableColumn id="65" xr3:uid="{E275E28D-3757-9044-A4A4-D99F5D566005}" name="MRNA" totalsRowFunction="custom" dataDxfId="706" totalsRowDxfId="705">
      <totalsRowFormula>COUNT(TabReg[MRNA])</totalsRowFormula>
    </tableColumn>
    <tableColumn id="66" xr3:uid="{6AD855FC-9BBF-C445-985D-CA7838F8FD2D}" name="MRNA1" totalsRowFunction="custom" dataDxfId="704" totalsRowDxfId="703" dataCellStyle="Comma">
      <totalsRowFormula>COUNT(TabReg[MRNA1])</totalsRowFormula>
    </tableColumn>
    <tableColumn id="67" xr3:uid="{3068B037-08B2-D448-9549-6A149801D195}" name="MRNA2" totalsRowFunction="custom" dataDxfId="702" totalsRowDxfId="701" dataCellStyle="Comma">
      <totalsRowFormula>COUNT(TabReg[MRNA2])</totalsRowFormula>
    </tableColumn>
    <tableColumn id="68" xr3:uid="{49549E71-6C51-4A4C-B492-0153C310953B}" name="MSFT" totalsRowFunction="custom" dataDxfId="700" totalsRowDxfId="699">
      <totalsRowFormula>COUNT(TabReg[MSFT])</totalsRowFormula>
    </tableColumn>
    <tableColumn id="69" xr3:uid="{8DF195BA-794A-0A40-8685-FAE62977224A}" name="MSFT1" totalsRowFunction="custom" dataDxfId="698" totalsRowDxfId="697" dataCellStyle="Comma">
      <totalsRowFormula>COUNT(TabReg[MSFT1])</totalsRowFormula>
    </tableColumn>
    <tableColumn id="70" xr3:uid="{E7B650AE-A343-1F4D-B438-EAF54796762D}" name="MSFT2" totalsRowFunction="custom" dataDxfId="696" totalsRowDxfId="695" dataCellStyle="Comma">
      <totalsRowFormula>COUNT(TabReg[MSFT2])</totalsRowFormula>
    </tableColumn>
    <tableColumn id="71" xr3:uid="{4607C2AF-82CF-2243-A48D-A39169CBA57A}" name="NEE" totalsRowFunction="custom" dataDxfId="694" totalsRowDxfId="693">
      <totalsRowFormula>COUNT(TabReg[NEE])</totalsRowFormula>
    </tableColumn>
    <tableColumn id="72" xr3:uid="{5D4EB61A-7397-9E47-8536-E31BAAA24355}" name="NEE1" totalsRowFunction="custom" dataDxfId="692" totalsRowDxfId="691" dataCellStyle="Comma">
      <totalsRowFormula>COUNT(TabReg[NEE1])</totalsRowFormula>
    </tableColumn>
    <tableColumn id="73" xr3:uid="{B6AABF8F-F7D4-BB41-AAD4-AFCC47585858}" name="NEE2" totalsRowFunction="custom" dataDxfId="690" totalsRowDxfId="689" dataCellStyle="Comma">
      <totalsRowFormula>COUNT(TabReg[NEE2])</totalsRowFormula>
    </tableColumn>
    <tableColumn id="74" xr3:uid="{52882C01-3B38-C744-BF22-E05F01808FEE}" name="NEM" totalsRowFunction="custom" dataDxfId="688" totalsRowDxfId="687">
      <totalsRowFormula>COUNT(TabReg[NEM])</totalsRowFormula>
    </tableColumn>
    <tableColumn id="75" xr3:uid="{24398854-C209-6C4B-9B66-920EB4C8B544}" name="NEM1" totalsRowFunction="custom" dataDxfId="686" totalsRowDxfId="685" dataCellStyle="Comma">
      <totalsRowFormula>COUNT(TabReg[NEM1])</totalsRowFormula>
    </tableColumn>
    <tableColumn id="76" xr3:uid="{3597365E-AEEA-6047-A23F-2848214BCC19}" name="NEM2" totalsRowFunction="custom" dataDxfId="684" totalsRowDxfId="683" dataCellStyle="Comma">
      <totalsRowFormula>COUNT(TabReg[NEM2])</totalsRowFormula>
    </tableColumn>
    <tableColumn id="77" xr3:uid="{4BD1BB60-3B6E-B547-9FE0-2B384EFF0910}" name="NFLX" totalsRowFunction="custom" dataDxfId="682" totalsRowDxfId="681">
      <totalsRowFormula>COUNT(TabReg[NFLX])</totalsRowFormula>
    </tableColumn>
    <tableColumn id="78" xr3:uid="{CAF9351A-3A29-0D44-B1EE-3271D7689AFA}" name="NFLX1" totalsRowFunction="custom" dataDxfId="680" totalsRowDxfId="679" dataCellStyle="Comma">
      <totalsRowFormula>COUNT(TabReg[NFLX1])</totalsRowFormula>
    </tableColumn>
    <tableColumn id="79" xr3:uid="{0510658C-3791-4748-BD84-8C9883EE2448}" name="NFLX2" totalsRowFunction="custom" dataDxfId="678" totalsRowDxfId="677" dataCellStyle="Comma">
      <totalsRowFormula>COUNT(TabReg[NFLX2])</totalsRowFormula>
    </tableColumn>
    <tableColumn id="80" xr3:uid="{442BD350-9075-D64B-8A88-64DCBE51B30A}" name="NOTE" totalsRowFunction="custom" dataDxfId="676" totalsRowDxfId="675">
      <totalsRowFormula>COUNT(TabReg[NOTE])</totalsRowFormula>
    </tableColumn>
    <tableColumn id="81" xr3:uid="{6DE1FDFB-FFF4-AC4C-AF68-9F7F0CF3B558}" name="NOTE1" totalsRowFunction="custom" dataDxfId="674" totalsRowDxfId="673" dataCellStyle="Comma">
      <totalsRowFormula>COUNT(TabReg[NOTE1])</totalsRowFormula>
    </tableColumn>
    <tableColumn id="82" xr3:uid="{DE24F44E-8FA3-B048-82A8-E77F97825CA4}" name="NOTE2" totalsRowFunction="custom" dataDxfId="672" totalsRowDxfId="671" dataCellStyle="Comma">
      <totalsRowFormula>COUNT(TabReg[NOTE2])</totalsRowFormula>
    </tableColumn>
    <tableColumn id="83" xr3:uid="{9F6B78F2-DBBC-1A46-A62D-57E0901EF550}" name="PAAS" totalsRowFunction="custom" dataDxfId="670" totalsRowDxfId="669">
      <totalsRowFormula>COUNT(TabReg[PAAS])</totalsRowFormula>
    </tableColumn>
    <tableColumn id="84" xr3:uid="{0C908565-3389-EC4E-A6AB-52D31DD4689D}" name="PAAS1" totalsRowFunction="custom" dataDxfId="668" totalsRowDxfId="667" dataCellStyle="Comma">
      <totalsRowFormula>COUNT(TabReg[PAAS1])</totalsRowFormula>
    </tableColumn>
    <tableColumn id="85" xr3:uid="{2B626666-3F4C-DA47-9281-BDA5E66093CD}" name="PAAS2" totalsRowFunction="custom" dataDxfId="666" totalsRowDxfId="665" dataCellStyle="Comma">
      <totalsRowFormula>COUNT(TabReg[PAAS2])</totalsRowFormula>
    </tableColumn>
    <tableColumn id="86" xr3:uid="{F4E3303B-0E98-4C4C-AE0B-E64934CC95A6}" name="PROF" totalsRowFunction="custom" dataDxfId="664" totalsRowDxfId="663">
      <totalsRowFormula>COUNT(TabReg[PROF])</totalsRowFormula>
    </tableColumn>
    <tableColumn id="87" xr3:uid="{DE03D08F-9F3C-D449-A3B5-8748D00BFE01}" name="PROF1" totalsRowFunction="custom" dataDxfId="662" totalsRowDxfId="661" dataCellStyle="Comma">
      <totalsRowFormula>COUNT(TabReg[PROF1])</totalsRowFormula>
    </tableColumn>
    <tableColumn id="88" xr3:uid="{3569531C-2EA3-5B48-A18A-1DCF94D98401}" name="PROF2" totalsRowFunction="custom" dataDxfId="660" totalsRowDxfId="659" dataCellStyle="Comma">
      <totalsRowFormula>COUNT(TabReg[PROF2])</totalsRowFormula>
    </tableColumn>
    <tableColumn id="89" xr3:uid="{75113B95-6171-E140-BB9D-63439FA70099}" name="POET" totalsRowFunction="custom" dataDxfId="658" totalsRowDxfId="657">
      <totalsRowFormula>COUNT(TabReg[POET])</totalsRowFormula>
    </tableColumn>
    <tableColumn id="90" xr3:uid="{83152C3B-8CD6-B143-9EB4-93109EC82770}" name="POET1" totalsRowFunction="custom" dataDxfId="656" totalsRowDxfId="655" dataCellStyle="Comma">
      <totalsRowFormula>COUNT(TabReg[POET1])</totalsRowFormula>
    </tableColumn>
    <tableColumn id="91" xr3:uid="{3E7BB71D-2688-9E47-A610-5D73CD9AA787}" name="POET2" totalsRowFunction="custom" dataDxfId="654" totalsRowDxfId="653" dataCellStyle="Comma">
      <totalsRowFormula>COUNT(TabReg[POET2])</totalsRowFormula>
    </tableColumn>
    <tableColumn id="92" xr3:uid="{CE5B0666-9EC2-054D-AFC3-C980131F81B8}" name="PW" totalsRowFunction="custom" dataDxfId="652" totalsRowDxfId="651">
      <totalsRowFormula>COUNT(TabReg[PW])</totalsRowFormula>
    </tableColumn>
    <tableColumn id="93" xr3:uid="{0E0F1866-7C84-6648-9FED-367E22A8B639}" name="PW1" totalsRowFunction="custom" dataDxfId="650" totalsRowDxfId="649" dataCellStyle="Comma">
      <totalsRowFormula>COUNT(TabReg[PW1])</totalsRowFormula>
    </tableColumn>
    <tableColumn id="94" xr3:uid="{73BAB3D4-5375-1246-9E6A-2A0B4994EC3C}" name="PW2" totalsRowFunction="custom" dataDxfId="648" totalsRowDxfId="647" dataCellStyle="Comma">
      <totalsRowFormula>COUNT(TabReg[PW2])</totalsRowFormula>
    </tableColumn>
    <tableColumn id="95" xr3:uid="{62667957-E2C9-3A47-8AEA-85E8FB7BF330}" name="RIGL" totalsRowFunction="custom" dataDxfId="646" totalsRowDxfId="645">
      <totalsRowFormula>COUNT(TabReg[RIGL])</totalsRowFormula>
    </tableColumn>
    <tableColumn id="96" xr3:uid="{8F4D9886-9333-4148-B2C7-5C81493AE4BD}" name="RIGL1" totalsRowFunction="custom" dataDxfId="644" totalsRowDxfId="643" dataCellStyle="Comma">
      <totalsRowFormula>COUNT(TabReg[RIGL1])</totalsRowFormula>
    </tableColumn>
    <tableColumn id="97" xr3:uid="{680094D7-06F8-524C-BA76-746BA0D1D205}" name="RIGL2" totalsRowFunction="custom" dataDxfId="642" totalsRowDxfId="641" dataCellStyle="Comma">
      <totalsRowFormula>COUNT(TabReg[RIGL2])</totalsRowFormula>
    </tableColumn>
    <tableColumn id="98" xr3:uid="{D886DD55-C3E7-634E-8462-B3FD2D56434A}" name="RWE" totalsRowFunction="custom" dataDxfId="640" totalsRowDxfId="639">
      <totalsRowFormula>COUNT(TabReg[RWE])</totalsRowFormula>
    </tableColumn>
    <tableColumn id="99" xr3:uid="{0A4DDF35-0DBD-7440-B2AE-2C35740FECF2}" name="RWE1" totalsRowFunction="custom" dataDxfId="638" totalsRowDxfId="637" dataCellStyle="Comma">
      <totalsRowFormula>COUNT(TabReg[RWE1])</totalsRowFormula>
    </tableColumn>
    <tableColumn id="100" xr3:uid="{6A68AE46-0376-A040-8013-9EF9BEF52B13}" name="RWE2" totalsRowFunction="custom" dataDxfId="636" totalsRowDxfId="635" dataCellStyle="Comma">
      <totalsRowFormula>COUNT(TabReg[RWE2])</totalsRowFormula>
    </tableColumn>
    <tableColumn id="185" xr3:uid="{DE00E83F-2920-024F-B423-12D5FAE83151}" name="SAP" totalsRowFunction="custom" dataDxfId="634" totalsRowDxfId="633">
      <totalsRowFormula>COUNT(TabReg[SAP])</totalsRowFormula>
    </tableColumn>
    <tableColumn id="186" xr3:uid="{3F10E388-7AB3-E043-80E3-1DED6BD713F1}" name="SAP1" totalsRowFunction="custom" dataDxfId="632" totalsRowDxfId="631" dataCellStyle="Comma">
      <totalsRowFormula>COUNT(TabReg[SAP1])</totalsRowFormula>
    </tableColumn>
    <tableColumn id="187" xr3:uid="{E8D0D7A6-83F5-A64B-96E4-6B51993BBD00}" name="SAP2" totalsRowFunction="custom" dataDxfId="630" totalsRowDxfId="629">
      <totalsRowFormula>COUNT(TabReg[SAP2])</totalsRowFormula>
    </tableColumn>
    <tableColumn id="188" xr3:uid="{C8262558-0B27-4A44-BF9A-0898AD5C5095}" name="SHECY" totalsRowFunction="custom" dataDxfId="628" totalsRowDxfId="627">
      <totalsRowFormula>COUNT(TabReg[SHECY])</totalsRowFormula>
    </tableColumn>
    <tableColumn id="189" xr3:uid="{2C6CC351-BB1F-AA4A-860C-3C1D2C50A4FC}" name="SHECY1" totalsRowFunction="custom" dataDxfId="626" totalsRowDxfId="625" dataCellStyle="Comma">
      <totalsRowFormula>COUNT(TabReg[SHECY1])</totalsRowFormula>
    </tableColumn>
    <tableColumn id="190" xr3:uid="{98889618-47DC-2149-B0F2-6618201B43B0}" name="SHECY2" totalsRowFunction="custom" dataDxfId="624" totalsRowDxfId="623">
      <totalsRowFormula>COUNT(TabReg[SHECY2])</totalsRowFormula>
    </tableColumn>
    <tableColumn id="101" xr3:uid="{521C5459-0F23-5347-9B6A-EDC0A3E3BC25}" name="SSYS" totalsRowFunction="custom" dataDxfId="622" totalsRowDxfId="621">
      <totalsRowFormula>COUNT(TabReg[SSYS])</totalsRowFormula>
    </tableColumn>
    <tableColumn id="102" xr3:uid="{6FB8136B-6631-984D-9D04-2A5E527DD95D}" name="SSYS1" totalsRowFunction="custom" dataDxfId="620" totalsRowDxfId="619" dataCellStyle="Comma">
      <totalsRowFormula>COUNT(TabReg[SSYS1])</totalsRowFormula>
    </tableColumn>
    <tableColumn id="103" xr3:uid="{913E48BF-4356-634C-ADC3-621D146F4A17}" name="SSYS2" totalsRowFunction="custom" dataDxfId="618" totalsRowDxfId="617" dataCellStyle="Comma">
      <totalsRowFormula>COUNT(TabReg[SSYS2])</totalsRowFormula>
    </tableColumn>
    <tableColumn id="104" xr3:uid="{2456B9BF-4D21-D54C-A793-6973577C34DE}" name="TSLA" totalsRowFunction="custom" dataDxfId="616" totalsRowDxfId="615">
      <totalsRowFormula>COUNT(TabReg[TSLA])</totalsRowFormula>
    </tableColumn>
    <tableColumn id="105" xr3:uid="{B8E3C6CF-2410-9448-99CC-EA470C412ADB}" name="TSLA1" totalsRowFunction="custom" dataDxfId="614" totalsRowDxfId="613" dataCellStyle="Comma">
      <totalsRowFormula>COUNT(TabReg[TSLA1])</totalsRowFormula>
    </tableColumn>
    <tableColumn id="106" xr3:uid="{6DABB6B4-568C-E242-BA9A-66B1823D06FB}" name="TSLA2" totalsRowFunction="custom" dataDxfId="612" totalsRowDxfId="611" dataCellStyle="Comma">
      <totalsRowFormula>COUNT(TabReg[TSLA2])</totalsRowFormula>
    </tableColumn>
    <tableColumn id="107" xr3:uid="{7B18E74E-1F96-DE49-A713-7E8C042E7F88}" name="TSM" totalsRowFunction="custom" dataDxfId="610" totalsRowDxfId="609">
      <totalsRowFormula>COUNT(TabReg[TSM])</totalsRowFormula>
    </tableColumn>
    <tableColumn id="108" xr3:uid="{D12190D1-9044-9141-ADD8-0871FA1688C0}" name="TSM1" totalsRowFunction="custom" dataDxfId="608" totalsRowDxfId="607" dataCellStyle="Comma">
      <totalsRowFormula>COUNT(TabReg[TSM1])</totalsRowFormula>
    </tableColumn>
    <tableColumn id="109" xr3:uid="{1B66B6A6-B718-8F42-98E0-CD76F0D5A829}" name="TSM2" totalsRowFunction="custom" dataDxfId="606" totalsRowDxfId="605" dataCellStyle="Comma">
      <totalsRowFormula>COUNT(TabReg[TSM2])</totalsRowFormula>
    </tableColumn>
    <tableColumn id="110" xr3:uid="{1A945ACE-273D-734A-8C83-77BB5E8319BD}" name="UN0" totalsRowFunction="custom" dataDxfId="604" totalsRowDxfId="603">
      <totalsRowFormula>COUNT(TabReg[UN0])</totalsRowFormula>
    </tableColumn>
    <tableColumn id="111" xr3:uid="{3DA9E56D-F97D-F74D-9B25-778FFC4532B6}" name="UN01" totalsRowFunction="custom" dataDxfId="602" totalsRowDxfId="601" dataCellStyle="Comma">
      <totalsRowFormula>COUNT(TabReg[UN01])</totalsRowFormula>
    </tableColumn>
    <tableColumn id="112" xr3:uid="{D83DF0EE-56BB-804E-88D8-BCDE3B64BC7E}" name="UN02" totalsRowFunction="custom" dataDxfId="600" totalsRowDxfId="599" dataCellStyle="Comma">
      <totalsRowFormula>COUNT(TabReg[UN02])</totalsRowFormula>
    </tableColumn>
    <tableColumn id="113" xr3:uid="{AB6DA1FE-83BC-8C44-AE28-39191AE0A338}" name="UNIT" totalsRowFunction="custom" dataDxfId="598" totalsRowDxfId="597">
      <totalsRowFormula>COUNT(TabReg[UNIT])</totalsRowFormula>
    </tableColumn>
    <tableColumn id="114" xr3:uid="{C4F3FB31-D6F1-2447-8736-7372F6D4C91C}" name="UNIT1" totalsRowFunction="custom" dataDxfId="596" totalsRowDxfId="595" dataCellStyle="Comma">
      <totalsRowFormula>COUNT(TabReg[UNIT1])</totalsRowFormula>
    </tableColumn>
    <tableColumn id="115" xr3:uid="{AB5F6294-8139-4A49-8631-32C384FB1DBC}" name="UNIT2" totalsRowFunction="custom" dataDxfId="594" totalsRowDxfId="593" dataCellStyle="Comma">
      <totalsRowFormula>COUNT(TabReg[UNIT2])</totalsRowFormula>
    </tableColumn>
    <tableColumn id="191" xr3:uid="{AD95F93D-62BB-8646-881A-FDCF1F4203E3}" name="Free" totalsRowFunction="custom" dataDxfId="592" totalsRowDxfId="591">
      <totalsRowFormula>COUNT(TabReg[Free])</totalsRowFormula>
    </tableColumn>
    <tableColumn id="192" xr3:uid="{751C8CA5-9FC6-6144-8379-1FF0AC9B4A7C}" name="Free1" totalsRowFunction="custom" dataDxfId="590" totalsRowDxfId="589" dataCellStyle="Comma">
      <totalsRowFormula>COUNT(TabReg[Free1])</totalsRowFormula>
    </tableColumn>
    <tableColumn id="193" xr3:uid="{37F82F33-F30B-EA48-B816-29C8A5F9F7B9}" name="Free2" totalsRowFunction="custom" dataDxfId="588" totalsRowDxfId="587">
      <totalsRowFormula>COUNT(TabReg[Free2])</totalsRowFormula>
    </tableColumn>
    <tableColumn id="233" xr3:uid="{5C4BF384-1740-CB49-8025-B346D90C0917}" name="VLVLY" totalsRowFunction="custom" dataDxfId="586" totalsRowDxfId="585">
      <totalsRowFormula>COUNT(TabReg[VLVLY])</totalsRowFormula>
    </tableColumn>
    <tableColumn id="234" xr3:uid="{6B24C139-13D4-CD4F-AA1F-A361E6F76F4F}" name="VLVLY1" totalsRowFunction="custom" dataDxfId="584" totalsRowDxfId="583" dataCellStyle="Comma">
      <totalsRowFormula>COUNT(TabReg[VLVLY1])</totalsRowFormula>
    </tableColumn>
    <tableColumn id="235" xr3:uid="{12493D9D-4297-CF46-B66F-1559E8FB14BE}" name="VLVLY2" totalsRowFunction="custom" dataDxfId="582" totalsRowDxfId="581">
      <totalsRowFormula>COUNT(TabReg[VLVLY2])</totalsRowFormula>
    </tableColumn>
    <tableColumn id="236" xr3:uid="{7E0EDE3A-36BF-2B41-B80B-CC97CAEA7DE6}" name="VONN" totalsRowFunction="custom" dataDxfId="580" totalsRowDxfId="579">
      <totalsRowFormula>COUNT(TabReg[VONN])</totalsRowFormula>
    </tableColumn>
    <tableColumn id="237" xr3:uid="{8B33F160-B82A-B345-A971-DA3D869687B4}" name="VONN1" totalsRowFunction="custom" dataDxfId="578" totalsRowDxfId="577" dataCellStyle="Comma">
      <totalsRowFormula>COUNT(TabReg[VONN1])</totalsRowFormula>
    </tableColumn>
    <tableColumn id="238" xr3:uid="{8182C875-990C-F64B-9F13-C9023F898A5D}" name="VONN2" totalsRowFunction="custom" dataDxfId="576" totalsRowDxfId="575" dataCellStyle="Comma">
      <totalsRowFormula>COUNT(TabReg[VONN2])</totalsRowFormula>
    </tableColumn>
    <tableColumn id="116" xr3:uid="{EAFA0E97-DD26-2746-8568-280408AB6E0E}" name="VTRS" totalsRowFunction="custom" dataDxfId="574" totalsRowDxfId="573">
      <totalsRowFormula>COUNT(TabReg[VTRS])</totalsRowFormula>
    </tableColumn>
    <tableColumn id="117" xr3:uid="{F4925C9A-0EA1-854B-9D01-DD31D1925353}" name="VTRS1" totalsRowFunction="custom" dataDxfId="572" totalsRowDxfId="571" dataCellStyle="Comma">
      <totalsRowFormula>COUNT(TabReg[VTRS1])</totalsRowFormula>
    </tableColumn>
    <tableColumn id="118" xr3:uid="{FDD4CF08-9B2E-2740-B044-F3F004164CAB}" name="VTRS2" totalsRowFunction="custom" dataDxfId="570" totalsRowDxfId="569" dataCellStyle="Comma">
      <totalsRowFormula>COUNT(TabReg[VTRS2])</totalsRowFormula>
    </tableColumn>
    <tableColumn id="119" xr3:uid="{FC06DF00-5468-524C-8EDC-8EEF915AA6FD}" name="WBA" totalsRowFunction="custom" dataDxfId="568" totalsRowDxfId="567">
      <totalsRowFormula>COUNT(TabReg[WBA])</totalsRowFormula>
    </tableColumn>
    <tableColumn id="120" xr3:uid="{D5C360EB-B8B1-A741-B40E-C08576251C87}" name="WBA1" totalsRowFunction="custom" dataDxfId="566" totalsRowDxfId="565" dataCellStyle="Comma">
      <totalsRowFormula>COUNT(TabReg[WBA1])</totalsRowFormula>
    </tableColumn>
    <tableColumn id="121" xr3:uid="{39CEDF0B-E2E3-E448-9E9B-A947524DF97B}" name="WBA2" totalsRowFunction="custom" dataDxfId="564" totalsRowDxfId="563" dataCellStyle="Comma">
      <totalsRowFormula>COUNT(TabReg[WBA2])</totalsRowFormula>
    </tableColumn>
    <tableColumn id="122" xr3:uid="{51611324-95E2-7A49-B281-67A46FC8D674}" name="XOM" totalsRowFunction="custom" dataDxfId="562" totalsRowDxfId="561">
      <totalsRowFormula>COUNT(TabReg[XOM])</totalsRowFormula>
    </tableColumn>
    <tableColumn id="123" xr3:uid="{13422B36-F155-B840-B2CF-B05574FDF663}" name="XOM1" totalsRowFunction="custom" dataDxfId="560" totalsRowDxfId="559" dataCellStyle="Comma">
      <totalsRowFormula>COUNT(TabReg[XOM1])</totalsRowFormula>
    </tableColumn>
    <tableColumn id="124" xr3:uid="{764EB640-E02A-5C4B-8207-C8D40970E5C7}" name="XOM2" totalsRowFunction="custom" dataDxfId="558" totalsRowDxfId="557" dataCellStyle="Comma">
      <totalsRowFormula>COUNT(TabReg[XOM2])</totalsRowFormula>
    </tableColumn>
    <tableColumn id="125" xr3:uid="{2E708A98-1149-AD42-A6A9-5C9860AA9242}" name="XPER" totalsRowFunction="custom" dataDxfId="556" totalsRowDxfId="555">
      <totalsRowFormula>COUNT(TabReg[XPER])</totalsRowFormula>
    </tableColumn>
    <tableColumn id="126" xr3:uid="{93528364-BF0F-7144-A219-2BB9427F4E0B}" name="XPER1" totalsRowFunction="custom" dataDxfId="554" totalsRowDxfId="553" dataCellStyle="Comma">
      <totalsRowFormula>COUNT(TabReg[XPER1])</totalsRowFormula>
    </tableColumn>
    <tableColumn id="127" xr3:uid="{6FA0AB33-2B74-8741-86CE-5DD24EAFB0AE}" name="XPER2" totalsRowFunction="custom" dataDxfId="552" totalsRowDxfId="551" dataCellStyle="Comma">
      <totalsRowFormula>COUNT(TabReg[XPER2])</totalsRowFormula>
    </tableColumn>
    <tableColumn id="128" xr3:uid="{C486E5C1-6BEC-8C4B-86D1-C3E8153030D4}" name="MVEALDNE" totalsRowFunction="custom" dataDxfId="550" totalsRowDxfId="549">
      <totalsRowFormula>COUNT(TabReg[MVEALDNE])</totalsRowFormula>
    </tableColumn>
    <tableColumn id="129" xr3:uid="{3FB451E6-2946-8040-A85E-6B646D511A9C}" name="MVEALDNE1" totalsRowFunction="custom" dataDxfId="548" totalsRowDxfId="547" dataCellStyle="Comma">
      <totalsRowFormula>COUNT(TabReg[MVEALDNE1])</totalsRowFormula>
    </tableColumn>
    <tableColumn id="130" xr3:uid="{626584AD-E5BE-944D-BE1F-698427DA51F7}" name="MVEALDNE2" totalsRowFunction="custom" dataDxfId="546" totalsRowDxfId="545" dataCellStyle="Comma">
      <totalsRowFormula>COUNT(TabReg[MVEALDNE2])</totalsRowFormula>
    </tableColumn>
    <tableColumn id="131" xr3:uid="{DD68A5C2-4B08-024C-9778-DA46318A392D}" name="MVEDDD" totalsRowFunction="custom" dataDxfId="544" totalsRowDxfId="543">
      <totalsRowFormula>COUNT(TabReg[MVEDDD])</totalsRowFormula>
    </tableColumn>
    <tableColumn id="132" xr3:uid="{D9A558E3-596C-5C4F-936E-47C954B63F35}" name="MVEDDD1" totalsRowFunction="custom" dataDxfId="542" totalsRowDxfId="541" dataCellStyle="Comma">
      <totalsRowFormula>COUNT(TabReg[MVEDDD1])</totalsRowFormula>
    </tableColumn>
    <tableColumn id="133" xr3:uid="{7120DB8C-7514-FA48-A08E-5B247085EBF9}" name="MVEDDD2" totalsRowFunction="custom" dataDxfId="540" totalsRowDxfId="539" dataCellStyle="Comma">
      <totalsRowFormula>COUNT(TabReg[MVEDDD2])</totalsRowFormula>
    </tableColumn>
    <tableColumn id="134" xr3:uid="{2FD8B1C9-64F0-584A-A7F0-676B72893EB0}" name="MVEDSY" totalsRowFunction="custom" dataDxfId="538" totalsRowDxfId="537">
      <totalsRowFormula>COUNT(TabReg[MVEDSY])</totalsRowFormula>
    </tableColumn>
    <tableColumn id="135" xr3:uid="{D76DA24F-4421-F847-B121-A8F4A193BD82}" name="MVEDSY1" totalsRowFunction="custom" dataDxfId="536" totalsRowDxfId="535" dataCellStyle="Comma">
      <totalsRowFormula>COUNT(TabReg[MVEDSY1])</totalsRowFormula>
    </tableColumn>
    <tableColumn id="136" xr3:uid="{396A0ECB-755E-104D-A8E3-7A5B2AE7C6EA}" name="MVEDSY2" totalsRowFunction="custom" dataDxfId="534" totalsRowDxfId="533" dataCellStyle="Comma">
      <totalsRowFormula>COUNT(TabReg[MVEDSY2])</totalsRowFormula>
    </tableColumn>
    <tableColumn id="137" xr3:uid="{2C0B4D1E-F3B5-484A-9C4B-65760000E495}" name="MVEEOAN" totalsRowFunction="custom" dataDxfId="532" totalsRowDxfId="531">
      <totalsRowFormula>COUNT(TabReg[MVEEOAN])</totalsRowFormula>
    </tableColumn>
    <tableColumn id="138" xr3:uid="{1FF1B771-C944-A04A-B9B9-0F3D9C680168}" name="MVEEOAN1" totalsRowFunction="custom" dataDxfId="530" totalsRowDxfId="529" dataCellStyle="Comma">
      <totalsRowFormula>COUNT(TabReg[MVEEOAN1])</totalsRowFormula>
    </tableColumn>
    <tableColumn id="139" xr3:uid="{66A5709F-8CE1-C54D-A79D-76E0054D3090}" name="MVEEOAN2" totalsRowFunction="custom" dataDxfId="528" totalsRowDxfId="527" dataCellStyle="Comma">
      <totalsRowFormula>COUNT(TabReg[MVEEOAN2])</totalsRowFormula>
    </tableColumn>
    <tableColumn id="140" xr3:uid="{6631A4B3-359A-FC4A-ADBD-0EC86E90A804}" name="MVEENI" totalsRowFunction="custom" dataDxfId="526" totalsRowDxfId="525">
      <totalsRowFormula>COUNT(TabReg[MVEENI])</totalsRowFormula>
    </tableColumn>
    <tableColumn id="141" xr3:uid="{A95026D5-E0DE-2C40-B806-896DAD5080B2}" name="MVEENI1" totalsRowFunction="custom" dataDxfId="524" totalsRowDxfId="523" dataCellStyle="Comma">
      <totalsRowFormula>COUNT(TabReg[MVEENI1])</totalsRowFormula>
    </tableColumn>
    <tableColumn id="142" xr3:uid="{F8B96B9E-4850-7843-AD4B-6B4E2A697D2B}" name="MVEENI2" totalsRowFunction="custom" dataDxfId="522" totalsRowDxfId="521" dataCellStyle="Comma">
      <totalsRowFormula>COUNT(TabReg[MVEENI2])</totalsRowFormula>
    </tableColumn>
    <tableColumn id="143" xr3:uid="{10AC4A37-9481-6542-84E4-55D1CA14160D}" name="MVEEPIX" totalsRowFunction="custom" dataDxfId="520" totalsRowDxfId="519">
      <totalsRowFormula>COUNT(TabReg[MVEEPIX])</totalsRowFormula>
    </tableColumn>
    <tableColumn id="144" xr3:uid="{299E26EE-7492-CC43-869A-F15EBBF8E46C}" name="MVEEPIX1" totalsRowFunction="custom" dataDxfId="518" totalsRowDxfId="517" dataCellStyle="Comma">
      <totalsRowFormula>COUNT(TabReg[MVEEPIX1])</totalsRowFormula>
    </tableColumn>
    <tableColumn id="145" xr3:uid="{C8D192BC-03B4-D644-8664-CCB8652B8687}" name="MVEEPIX2" totalsRowFunction="custom" dataDxfId="516" totalsRowDxfId="515" dataCellStyle="Comma">
      <totalsRowFormula>COUNT(TabReg[MVEEPIX2])</totalsRowFormula>
    </tableColumn>
    <tableColumn id="146" xr3:uid="{798AB43E-D927-AA4A-952C-C7A4EED1515C}" name="MVEGLE" totalsRowFunction="custom" dataDxfId="514" totalsRowDxfId="513">
      <totalsRowFormula>COUNT(TabReg[MVEGLE])</totalsRowFormula>
    </tableColumn>
    <tableColumn id="147" xr3:uid="{29D52BAD-01AC-9843-99E2-108D85712955}" name="MVEGLE1" totalsRowFunction="custom" dataDxfId="512" totalsRowDxfId="511" dataCellStyle="Comma">
      <totalsRowFormula>COUNT(TabReg[MVEGLE1])</totalsRowFormula>
    </tableColumn>
    <tableColumn id="148" xr3:uid="{91A1A354-6935-214C-B655-6FA5D05B6148}" name="MVEGLE2" totalsRowFunction="custom" dataDxfId="510" totalsRowDxfId="509" dataCellStyle="Comma">
      <totalsRowFormula>COUNT(TabReg[MVEGLE2])</totalsRowFormula>
    </tableColumn>
    <tableColumn id="149" xr3:uid="{63EC1406-ED3D-7248-BC5E-B3891B5F1C34}" name="MVEORA" totalsRowFunction="custom" dataDxfId="508" totalsRowDxfId="507">
      <totalsRowFormula>COUNT(TabReg[MVEORA])</totalsRowFormula>
    </tableColumn>
    <tableColumn id="150" xr3:uid="{BD96D106-F762-CA4F-9926-DCA72A4EFCF8}" name="MVEORA1" totalsRowFunction="custom" dataDxfId="506" totalsRowDxfId="505" dataCellStyle="Comma">
      <totalsRowFormula>COUNT(TabReg[MVEORA1])</totalsRowFormula>
    </tableColumn>
    <tableColumn id="151" xr3:uid="{6F6EEB8A-4418-9F48-B010-D1102DED03E8}" name="MVEORA2" totalsRowFunction="custom" dataDxfId="504" totalsRowDxfId="503" dataCellStyle="Comma">
      <totalsRowFormula>COUNT(TabReg[MVEORA2])</totalsRowFormula>
    </tableColumn>
    <tableColumn id="152" xr3:uid="{08AF805C-499B-CA44-8B1B-09DDD9BDDA89}" name="MVERWE" totalsRowFunction="custom" dataDxfId="502" totalsRowDxfId="501">
      <totalsRowFormula>COUNT(TabReg[MVERWE])</totalsRowFormula>
    </tableColumn>
    <tableColumn id="153" xr3:uid="{73DE675B-333C-8042-A051-7C22080AA480}" name="MVERWE1" totalsRowFunction="custom" dataDxfId="500" totalsRowDxfId="499" dataCellStyle="Comma">
      <totalsRowFormula>COUNT(TabReg[MVERWE1])</totalsRowFormula>
    </tableColumn>
    <tableColumn id="154" xr3:uid="{3F90A3E1-83FC-5F43-9DEE-1A1BF3455758}" name="MVERWE2" totalsRowFunction="custom" dataDxfId="498" totalsRowDxfId="497" dataCellStyle="Comma">
      <totalsRowFormula>COUNT(TabReg[MVERWE2])</totalsRowFormula>
    </tableColumn>
    <tableColumn id="155" xr3:uid="{E9F565FB-317B-7B48-8D94-56DBC6AB96D8}" name="MVESAP" totalsRowFunction="custom" dataDxfId="496" totalsRowDxfId="495">
      <totalsRowFormula>COUNT(TabReg[MVESAP])</totalsRowFormula>
    </tableColumn>
    <tableColumn id="156" xr3:uid="{877F9E2B-72C9-1D43-8E9B-7585F3B9C5A8}" name="MVESAP1" totalsRowFunction="custom" dataDxfId="494" totalsRowDxfId="493" dataCellStyle="Comma">
      <totalsRowFormula>COUNT(TabReg[MVESAP1])</totalsRowFormula>
    </tableColumn>
    <tableColumn id="157" xr3:uid="{095D7B94-97D5-F04F-8693-4C0766693B3D}" name="MVESAP2" totalsRowFunction="custom" dataDxfId="492" totalsRowDxfId="491" dataCellStyle="Comma">
      <totalsRowFormula>COUNT(TabReg[MVESAP2])</totalsRowFormula>
    </tableColumn>
    <tableColumn id="158" xr3:uid="{6DAC9D38-B756-EA4C-9F7A-8677964ECEE7}" name="MVEUN0" totalsRowFunction="custom" dataDxfId="490" totalsRowDxfId="489">
      <totalsRowFormula>COUNT(TabReg[MVEUN0])</totalsRowFormula>
    </tableColumn>
    <tableColumn id="159" xr3:uid="{A8EC8BAE-FF6E-2249-9250-9AA033F9ED29}" name="MVEUN01" totalsRowFunction="custom" dataDxfId="488" totalsRowDxfId="487" dataCellStyle="Comma">
      <totalsRowFormula>COUNT(TabReg[MVEUN01])</totalsRowFormula>
    </tableColumn>
    <tableColumn id="160" xr3:uid="{F612F125-1D81-1E44-874A-33914890A832}" name="MVEUN02" totalsRowFunction="custom" dataDxfId="486" totalsRowDxfId="485" dataCellStyle="Comma">
      <totalsRowFormula>COUNT(TabReg[MVEUN02])</totalsRowFormula>
    </tableColumn>
    <tableColumn id="245" xr3:uid="{87DB3F20-52D6-CA4E-88EA-60775FA48471}" name="SAFAAPL" totalsRowFunction="custom" dataDxfId="484" totalsRowDxfId="483">
      <totalsRowFormula>COUNT(TabReg[SAFAAPL])</totalsRowFormula>
    </tableColumn>
    <tableColumn id="246" xr3:uid="{20517EE6-352A-AD43-8441-3441B61C1D89}" name="SAFAAPL1" totalsRowFunction="custom" dataDxfId="482" totalsRowDxfId="481" dataCellStyle="Comma">
      <totalsRowFormula>COUNT(TabReg[SAFAAPL1])</totalsRowFormula>
    </tableColumn>
    <tableColumn id="247" xr3:uid="{3C4F3F09-49B3-EA48-ABFA-662F1DB33DA3}" name="SAFAAPL2" totalsRowFunction="custom" dataDxfId="480" totalsRowDxfId="479">
      <totalsRowFormula>COUNT(TabReg[SAFAAPL2])</totalsRowFormula>
    </tableColumn>
    <tableColumn id="248" xr3:uid="{AABFB2F9-1399-A74B-9F06-69E103AFB9CD}" name="SAFAMZN" totalsRowFunction="custom" dataDxfId="478" totalsRowDxfId="477">
      <totalsRowFormula>COUNT(TabReg[SAFAMZN])</totalsRowFormula>
    </tableColumn>
    <tableColumn id="249" xr3:uid="{D38CCD21-85E7-5243-8853-685BFE452284}" name="SAFAMZN1" totalsRowFunction="custom" dataDxfId="476" totalsRowDxfId="475" dataCellStyle="Comma">
      <totalsRowFormula>COUNT(TabReg[SAFAMZN1])</totalsRowFormula>
    </tableColumn>
    <tableColumn id="250" xr3:uid="{E22F61D9-4EB0-B94C-8F20-A63DF62D6B14}" name="SAFAMZN2" totalsRowFunction="custom" dataDxfId="474" totalsRowDxfId="473">
      <totalsRowFormula>COUNT(TabReg[SAFAMZN2])</totalsRowFormula>
    </tableColumn>
    <tableColumn id="251" xr3:uid="{F25F604C-FECA-CA4F-B82A-F2731B9AB9E2}" name="SAFASML" totalsRowFunction="custom" dataDxfId="472" totalsRowDxfId="471">
      <totalsRowFormula>COUNT(TabReg[SAFASML])</totalsRowFormula>
    </tableColumn>
    <tableColumn id="252" xr3:uid="{30ACA57E-5B73-3341-B584-158624B040E3}" name="SAFASML1" totalsRowFunction="custom" dataDxfId="470" totalsRowDxfId="469" dataCellStyle="Comma">
      <totalsRowFormula>COUNT(TabReg[SAFASML1])</totalsRowFormula>
    </tableColumn>
    <tableColumn id="253" xr3:uid="{20ED69C9-1D65-6341-8E2D-F366D2B2C54B}" name="SAFASML2" totalsRowFunction="custom" dataDxfId="468" totalsRowDxfId="467">
      <totalsRowFormula>COUNT(TabReg[SAFASML2])</totalsRowFormula>
    </tableColumn>
    <tableColumn id="254" xr3:uid="{2C63720C-5818-4944-BDB8-32411EDB5BB5}" name="SAFDDD" totalsRowFunction="custom" dataDxfId="466" totalsRowDxfId="465">
      <totalsRowFormula>COUNT(TabReg[SAFDDD])</totalsRowFormula>
    </tableColumn>
    <tableColumn id="255" xr3:uid="{D31C2829-AC58-5245-9282-3889257E506D}" name="SAFDDD1" totalsRowFunction="custom" dataDxfId="464" totalsRowDxfId="463" dataCellStyle="Comma">
      <totalsRowFormula>COUNT(TabReg[SAFDDD1])</totalsRowFormula>
    </tableColumn>
    <tableColumn id="256" xr3:uid="{E7DF0399-71E8-B642-B9E4-D0FDA4593657}" name="SAFDDD2" totalsRowFunction="custom" dataDxfId="462" totalsRowDxfId="461">
      <totalsRowFormula>COUNT(TabReg[SAFDDD2])</totalsRowFormula>
    </tableColumn>
    <tableColumn id="194" xr3:uid="{F93F1814-DD60-0A4E-8EA3-934D7D95DB83}" name="SAFDIS" totalsRowFunction="custom" dataDxfId="460" totalsRowDxfId="459">
      <totalsRowFormula>COUNT(TabReg[SAFDIS])</totalsRowFormula>
    </tableColumn>
    <tableColumn id="195" xr3:uid="{A22E8D43-4FB7-1445-8926-DD20EC462EE2}" name="SAFDIS1" totalsRowFunction="custom" dataDxfId="458" totalsRowDxfId="457" dataCellStyle="Comma">
      <totalsRowFormula>COUNT(TabReg[SAFDIS1])</totalsRowFormula>
    </tableColumn>
    <tableColumn id="196" xr3:uid="{730E80A0-73EA-F14F-B023-90418CB7FF94}" name="SAFDIS2" totalsRowFunction="custom" dataDxfId="456" totalsRowDxfId="455" dataCellStyle="Comma">
      <totalsRowFormula>COUNT(TabReg[SAFDIS2])</totalsRowFormula>
    </tableColumn>
    <tableColumn id="197" xr3:uid="{6EBEAD56-C7F4-BE4A-B558-A5F2DBB0CE46}" name="SAFGM" totalsRowFunction="custom" dataDxfId="454" totalsRowDxfId="453">
      <totalsRowFormula>COUNT(TabReg[SAFGM])</totalsRowFormula>
    </tableColumn>
    <tableColumn id="198" xr3:uid="{8550DAEC-2C07-FC46-A369-CE27ACA32089}" name="SAFGM1" totalsRowFunction="custom" dataDxfId="452" totalsRowDxfId="451" dataCellStyle="Comma">
      <totalsRowFormula>COUNT(TabReg[SAFGM1])</totalsRowFormula>
    </tableColumn>
    <tableColumn id="199" xr3:uid="{076EBF9E-377C-F747-82A7-FA7768DD8DC4}" name="SAFGM2" totalsRowFunction="custom" dataDxfId="450" totalsRowDxfId="449" dataCellStyle="Comma">
      <totalsRowFormula>COUNT(TabReg[SAFGM2])</totalsRowFormula>
    </tableColumn>
    <tableColumn id="200" xr3:uid="{735B8A44-120B-FF4C-AAEF-AFACB3D9DFCF}" name="SAFIAG" totalsRowFunction="custom" dataDxfId="448" totalsRowDxfId="447">
      <totalsRowFormula>COUNT(TabReg[SAFIAG])</totalsRowFormula>
    </tableColumn>
    <tableColumn id="201" xr3:uid="{A329D987-F158-744A-9A1D-8059162935DD}" name="SAFIAG1" totalsRowFunction="custom" dataDxfId="446" totalsRowDxfId="445" dataCellStyle="Comma">
      <totalsRowFormula>COUNT(TabReg[SAFIAG1])</totalsRowFormula>
    </tableColumn>
    <tableColumn id="296" xr3:uid="{CA00107A-3584-4E4D-9727-9DD9D29E985C}" name="SAFIAG2" totalsRowFunction="custom" dataDxfId="444" totalsRowDxfId="443" dataCellStyle="Comma">
      <totalsRowFormula>COUNT(TabReg[SAFIAG2])</totalsRowFormula>
    </tableColumn>
    <tableColumn id="297" xr3:uid="{C33A51F9-76AA-7E4A-8F99-9984D22DF038}" name="SAFMRNA" totalsRowFunction="custom" dataDxfId="442" totalsRowDxfId="441" dataCellStyle="Comma">
      <totalsRowFormula>COUNT(TabReg[SAFMRNA])</totalsRowFormula>
    </tableColumn>
    <tableColumn id="298" xr3:uid="{38EAE1F2-CCA3-2243-8FA9-8C83A7C2E83E}" name="SAFMRNA1" totalsRowFunction="custom" dataDxfId="440" totalsRowDxfId="439" dataCellStyle="Comma">
      <totalsRowFormula>COUNT(TabReg[SAFMRNA1])</totalsRowFormula>
    </tableColumn>
    <tableColumn id="202" xr3:uid="{58031338-9EAE-DB42-B765-E2B6B518A683}" name="SAFMRNA2" totalsRowFunction="custom" dataDxfId="438" totalsRowDxfId="437" dataCellStyle="Comma">
      <totalsRowFormula>COUNT(TabReg[SAFMRNA2])</totalsRowFormula>
    </tableColumn>
    <tableColumn id="299" xr3:uid="{4C1E3C38-AA96-C24E-95A1-3B57744A500F}" name="BLNK" totalsRowFunction="custom" dataDxfId="436" totalsRowDxfId="435">
      <totalsRowFormula>COUNT(TabReg[BLNK])</totalsRowFormula>
    </tableColumn>
    <tableColumn id="300" xr3:uid="{023BBB79-E8CA-254F-9A5F-6769DEF86DEB}" name="BLNK1" totalsRowFunction="custom" dataDxfId="434" totalsRowDxfId="433" dataCellStyle="Comma">
      <totalsRowFormula>COUNT(TabReg[BLNK1])</totalsRowFormula>
    </tableColumn>
    <tableColumn id="301" xr3:uid="{8FF7052C-5BC8-6246-B336-C9608EE0C4D8}" name="BLNK2" totalsRowFunction="custom" dataDxfId="432" totalsRowDxfId="431" dataCellStyle="Comma">
      <totalsRowFormula>COUNT(TabReg[BLNK2])</totalsRowFormula>
    </tableColumn>
    <tableColumn id="203" xr3:uid="{5146FD2A-2827-254E-AC2D-0ACF26A0C74F}" name="ENI" totalsRowFunction="custom" dataDxfId="430" totalsRowDxfId="429">
      <totalsRowFormula>COUNT(TabReg[ENI])</totalsRowFormula>
    </tableColumn>
    <tableColumn id="204" xr3:uid="{6DC93B63-70C5-4745-A0E8-9B1894B72882}" name="ENI1" totalsRowFunction="custom" dataDxfId="428" totalsRowDxfId="427" dataCellStyle="Comma">
      <totalsRowFormula>COUNT(TabReg[ENI1])</totalsRowFormula>
    </tableColumn>
    <tableColumn id="205" xr3:uid="{1586E4F1-AF55-7943-9C5C-6F56BC0D13FB}" name="ENI2" totalsRowFunction="custom" dataDxfId="426" totalsRowDxfId="425" dataCellStyle="Comma">
      <totalsRowFormula>COUNT(TabReg[ENI2])</totalsRowFormula>
    </tableColumn>
    <tableColumn id="206" xr3:uid="{F90D6620-764A-014D-8E1D-2C110AC0BDCF}" name="EZJ" totalsRowFunction="custom" dataDxfId="424" totalsRowDxfId="423">
      <totalsRowFormula>COUNT(TabReg[EZJ])</totalsRowFormula>
    </tableColumn>
    <tableColumn id="207" xr3:uid="{AEF036D2-CA8D-5244-B754-038CD142E280}" name="EZJ1" totalsRowFunction="custom" dataDxfId="422" totalsRowDxfId="421" dataCellStyle="Comma">
      <totalsRowFormula>COUNT(TabReg[EZJ1])</totalsRowFormula>
    </tableColumn>
    <tableColumn id="208" xr3:uid="{172612BD-38A4-9045-8225-B6BACB6E0938}" name="EZJ2" totalsRowFunction="custom" dataDxfId="420" totalsRowDxfId="419" dataCellStyle="Comma">
      <totalsRowFormula>COUNT(TabReg[EZJ2])</totalsRowFormula>
    </tableColumn>
    <tableColumn id="257" xr3:uid="{897D4C8A-78D4-D145-ACA9-1DF7996B1927}" name="F" totalsRowFunction="custom" dataDxfId="418" totalsRowDxfId="417">
      <totalsRowFormula>COUNT(TabReg[F])</totalsRowFormula>
    </tableColumn>
    <tableColumn id="258" xr3:uid="{A7D8D583-1B05-8148-91A8-CEB2BB055274}" name="F1" totalsRowFunction="custom" dataDxfId="416" totalsRowDxfId="415" dataCellStyle="Comma">
      <totalsRowFormula>COUNT(TabReg[F1])</totalsRowFormula>
    </tableColumn>
    <tableColumn id="259" xr3:uid="{22766649-0D25-BF4F-85D7-B86CDF58DA39}" name="F2" totalsRowFunction="custom" dataDxfId="414" totalsRowDxfId="413" dataCellStyle="Comma">
      <totalsRowFormula>COUNT(TabReg[F2])</totalsRowFormula>
    </tableColumn>
    <tableColumn id="260" xr3:uid="{FCD11F79-1C56-6C45-AC2E-082E924CB4A3}" name="GLE" totalsRowFunction="custom" dataDxfId="412" totalsRowDxfId="411">
      <totalsRowFormula>COUNT(TabReg[GLE])</totalsRowFormula>
    </tableColumn>
    <tableColumn id="261" xr3:uid="{5EB7E023-E38C-DD45-912B-0DFE7A6D3146}" name="GLE1" totalsRowFunction="custom" dataDxfId="410" totalsRowDxfId="409" dataCellStyle="Comma">
      <totalsRowFormula>COUNT(TabReg[GLE1])</totalsRowFormula>
    </tableColumn>
    <tableColumn id="262" xr3:uid="{FC176C26-7A73-DB43-BD0A-E6EE991D681A}" name="GLE2" totalsRowFunction="custom" dataDxfId="408" totalsRowDxfId="407" dataCellStyle="Comma">
      <totalsRowFormula>COUNT(TabReg[GLE2])</totalsRowFormula>
    </tableColumn>
    <tableColumn id="263" xr3:uid="{9446E411-2C2F-D343-A67C-95ED97E45DA5}" name="GNRC" totalsRowFunction="custom" dataDxfId="406" totalsRowDxfId="405">
      <totalsRowFormula>COUNT(TabReg[GNRC])</totalsRowFormula>
    </tableColumn>
    <tableColumn id="264" xr3:uid="{F3FE8B53-FAAF-CB4E-A4D7-0F5EE1683F9E}" name="GNRC1" totalsRowFunction="custom" dataDxfId="404" totalsRowDxfId="403" dataCellStyle="Comma">
      <totalsRowFormula>COUNT(TabReg[GNRC1])</totalsRowFormula>
    </tableColumn>
    <tableColumn id="265" xr3:uid="{E75747AB-0FE8-A948-9AB7-15132E227017}" name="GNRC2" totalsRowFunction="custom" dataDxfId="402" totalsRowDxfId="401" dataCellStyle="Comma">
      <totalsRowFormula>COUNT(TabReg[GNRC2])</totalsRowFormula>
    </tableColumn>
    <tableColumn id="209" xr3:uid="{131BFBC2-6A94-CC42-BD9A-855C7FE85C35}" name="GS" totalsRowFunction="custom" dataDxfId="400" totalsRowDxfId="399">
      <totalsRowFormula>COUNT(TabReg[GS])</totalsRowFormula>
    </tableColumn>
    <tableColumn id="210" xr3:uid="{A78ED95C-9665-9742-8BFA-99A9C75BC404}" name="GS1" totalsRowFunction="custom" dataDxfId="398" totalsRowDxfId="397" dataCellStyle="Comma">
      <totalsRowFormula>COUNT(TabReg[GS1])</totalsRowFormula>
    </tableColumn>
    <tableColumn id="211" xr3:uid="{8F5C146D-8344-9C4B-BCA6-5AF63729897B}" name="GS2" totalsRowFunction="custom" dataDxfId="396" totalsRowDxfId="395" dataCellStyle="Comma">
      <totalsRowFormula>COUNT(TabReg[GS2])</totalsRowFormula>
    </tableColumn>
    <tableColumn id="266" xr3:uid="{20F2F446-BE57-094C-9573-EB81C34762AF}" name="LAZR" totalsRowFunction="custom" dataDxfId="394" totalsRowDxfId="393">
      <totalsRowFormula>COUNT(TabReg[LAZR])</totalsRowFormula>
    </tableColumn>
    <tableColumn id="267" xr3:uid="{F00BD279-0ECA-F743-9538-36D809B80CD3}" name="LAZR1" totalsRowFunction="custom" dataDxfId="392" totalsRowDxfId="391" dataCellStyle="Comma">
      <totalsRowFormula>COUNT(TabReg[LAZR1])</totalsRowFormula>
    </tableColumn>
    <tableColumn id="268" xr3:uid="{1D038EDA-DE9D-4245-89D8-B2C045C70A6C}" name="LAZR2" totalsRowFunction="custom" dataDxfId="390" totalsRowDxfId="389">
      <totalsRowFormula>COUNT(TabReg[LAZR2])</totalsRowFormula>
    </tableColumn>
    <tableColumn id="269" xr3:uid="{F16F4EFF-2D64-E744-A3AC-95F9B17CEA2F}" name="LUV" totalsRowFunction="custom" dataDxfId="388" totalsRowDxfId="387">
      <totalsRowFormula>COUNT(TabReg[LUV])</totalsRowFormula>
    </tableColumn>
    <tableColumn id="270" xr3:uid="{AC39F39E-E54F-1B4B-81E0-A9D66F18D678}" name="LUV1" totalsRowFunction="custom" dataDxfId="386" totalsRowDxfId="385" dataCellStyle="Comma">
      <totalsRowFormula>COUNT(TabReg[LUV1])</totalsRowFormula>
    </tableColumn>
    <tableColumn id="271" xr3:uid="{DDA01EC9-A8EC-E340-8856-045E57C154E5}" name="LUV2" totalsRowFunction="custom" dataDxfId="384" totalsRowDxfId="383" dataCellStyle="Comma">
      <totalsRowFormula>COUNT(TabReg[LUV2])</totalsRowFormula>
    </tableColumn>
    <tableColumn id="272" xr3:uid="{749351A6-512B-204B-84E4-670FAACD0369}" name="MA" totalsRowFunction="custom" dataDxfId="382" totalsRowDxfId="381">
      <totalsRowFormula>COUNT(TabReg[MA])</totalsRowFormula>
    </tableColumn>
    <tableColumn id="273" xr3:uid="{828049A8-7C35-B542-8930-68C89091C4D8}" name="MA1" totalsRowFunction="custom" dataDxfId="380" totalsRowDxfId="379" dataCellStyle="Comma">
      <totalsRowFormula>COUNT(TabReg[MA1])</totalsRowFormula>
    </tableColumn>
    <tableColumn id="274" xr3:uid="{B1925B35-79A0-C947-AF5A-95C1B54AAD2D}" name="MA2" totalsRowFunction="custom" dataDxfId="378" totalsRowDxfId="377">
      <totalsRowFormula>COUNT(TabReg[MA2])</totalsRowFormula>
    </tableColumn>
    <tableColumn id="275" xr3:uid="{9E1D1A56-BAC9-7447-BC8D-85593A0856D6}" name="NVAX" totalsRowFunction="custom" dataDxfId="376" totalsRowDxfId="375">
      <totalsRowFormula>COUNT(TabReg[NVAX])</totalsRowFormula>
    </tableColumn>
    <tableColumn id="276" xr3:uid="{0B75FE73-7F51-5D4E-9BEB-979D6617649C}" name="NVAX1" totalsRowFunction="custom" dataDxfId="374" totalsRowDxfId="373" dataCellStyle="Comma">
      <totalsRowFormula>COUNT(TabReg[NVAX1])</totalsRowFormula>
    </tableColumn>
    <tableColumn id="277" xr3:uid="{4A6A0493-9483-CA4A-885C-1B1C245534E5}" name="NVAX2" totalsRowFunction="custom" dataDxfId="372" totalsRowDxfId="371">
      <totalsRowFormula>COUNT(TabReg[NVAX2])</totalsRowFormula>
    </tableColumn>
    <tableColumn id="287" xr3:uid="{7D4C2FDC-F45E-014B-8CCA-692692C22E13}" name="NVS" totalsRowFunction="custom" dataDxfId="370" totalsRowDxfId="369">
      <totalsRowFormula>COUNT(TabReg[NVS])</totalsRowFormula>
    </tableColumn>
    <tableColumn id="288" xr3:uid="{FBCE367A-3707-9948-B314-F8D5000F6BF9}" name="NVS1" totalsRowFunction="custom" dataDxfId="368" totalsRowDxfId="367" dataCellStyle="Comma">
      <totalsRowFormula>COUNT(TabReg[NVS1])</totalsRowFormula>
    </tableColumn>
    <tableColumn id="289" xr3:uid="{15239B29-1C46-C24A-8E4B-52142A0760BA}" name="NVS2" totalsRowFunction="custom" dataDxfId="366" totalsRowDxfId="365">
      <totalsRowFormula>COUNT(TabReg[NVS2])</totalsRowFormula>
    </tableColumn>
    <tableColumn id="293" xr3:uid="{9E5FA77E-2974-304D-BF26-38A14FFED41C}" name="ORA" totalsRowFunction="custom" dataDxfId="364" totalsRowDxfId="363">
      <totalsRowFormula>COUNT(TabReg[ORA])</totalsRowFormula>
    </tableColumn>
    <tableColumn id="294" xr3:uid="{EAFF0433-5E40-6A4A-8274-D6B66E885F64}" name="ORA1" totalsRowFunction="custom" dataDxfId="362" totalsRowDxfId="361" dataCellStyle="Comma">
      <totalsRowFormula>COUNT(TabReg[ORA1])</totalsRowFormula>
    </tableColumn>
    <tableColumn id="295" xr3:uid="{98FDE75C-EEE2-D945-8F39-C938380B1DCF}" name="ORA2" totalsRowFunction="custom" dataDxfId="360" totalsRowDxfId="359">
      <totalsRowFormula>COUNT(TabReg[ORA2])</totalsRowFormula>
    </tableColumn>
    <tableColumn id="341" xr3:uid="{79F0B853-990E-F048-9DB7-48CEDB15D449}" name="OXY" totalsRowFunction="custom" dataDxfId="358" totalsRowDxfId="357">
      <totalsRowFormula>COUNT(TabReg[OXY])</totalsRowFormula>
    </tableColumn>
    <tableColumn id="342" xr3:uid="{67D8C685-D16D-354A-B89E-7171813BBACB}" name="OXY1" totalsRowFunction="custom" dataDxfId="356" totalsRowDxfId="355" dataCellStyle="Comma">
      <totalsRowFormula>COUNT(TabReg[OXY1])</totalsRowFormula>
    </tableColumn>
    <tableColumn id="343" xr3:uid="{28DE8418-782B-5944-BAEF-72062E46E63B}" name="OXY2" totalsRowFunction="custom" dataDxfId="354" totalsRowDxfId="353">
      <totalsRowFormula>COUNT(TabReg[OXY2])</totalsRowFormula>
    </tableColumn>
    <tableColumn id="344" xr3:uid="{89941348-5FF4-CB40-BC45-E8D2587B0B46}" name="PFE" totalsRowFunction="custom" dataDxfId="352" totalsRowDxfId="351">
      <totalsRowFormula>COUNT(TabReg[PFE])</totalsRowFormula>
    </tableColumn>
    <tableColumn id="345" xr3:uid="{244BE308-157C-A446-BC34-CFC3E87F727E}" name="PFE1" totalsRowFunction="custom" dataDxfId="350" totalsRowDxfId="349" dataCellStyle="Comma">
      <totalsRowFormula>COUNT(TabReg[PFE1])</totalsRowFormula>
    </tableColumn>
    <tableColumn id="346" xr3:uid="{D5E76701-0AE3-1E47-92EE-A72611DC786D}" name="PFE2" totalsRowFunction="custom" dataDxfId="348" totalsRowDxfId="347">
      <totalsRowFormula>COUNT(TabReg[PFE2])</totalsRowFormula>
    </tableColumn>
    <tableColumn id="347" xr3:uid="{E30CEE26-CE01-2644-851E-A54AC199B369}" name="RIG" totalsRowFunction="custom" dataDxfId="346" totalsRowDxfId="345">
      <totalsRowFormula>COUNT(TabReg[RIG])</totalsRowFormula>
    </tableColumn>
    <tableColumn id="348" xr3:uid="{0BDB8355-85ED-0F48-B9D2-BE4BFC6AB116}" name="RIG1" totalsRowFunction="custom" dataDxfId="344" totalsRowDxfId="343" dataCellStyle="Comma">
      <totalsRowFormula>COUNT(TabReg[RIG1])</totalsRowFormula>
    </tableColumn>
    <tableColumn id="349" xr3:uid="{A9F9D8BA-10B6-E84E-A870-0D7A28806645}" name="RIG2" totalsRowFunction="custom" dataDxfId="342" totalsRowDxfId="341">
      <totalsRowFormula>COUNT(TabReg[RIG2])</totalsRowFormula>
    </tableColumn>
    <tableColumn id="212" xr3:uid="{F30CC0DB-52A4-E744-A741-C26358086BAC}" name="RRC" totalsRowFunction="custom" dataDxfId="340" totalsRowDxfId="339">
      <totalsRowFormula>COUNT(TabReg[RRC])</totalsRowFormula>
    </tableColumn>
    <tableColumn id="213" xr3:uid="{56C3BFFD-3193-F64F-B26B-CEEED7BF9A3F}" name="RRC1" totalsRowFunction="custom" dataDxfId="338" totalsRowDxfId="337" dataCellStyle="Comma">
      <totalsRowFormula>COUNT(TabReg[RRC1])</totalsRowFormula>
    </tableColumn>
    <tableColumn id="214" xr3:uid="{8DE967B3-1687-0848-A144-0C489B72A69B}" name="RRC2" totalsRowFunction="custom" dataDxfId="336" totalsRowDxfId="335" dataCellStyle="Comma">
      <totalsRowFormula>COUNT(TabReg[RRC2])</totalsRowFormula>
    </tableColumn>
    <tableColumn id="215" xr3:uid="{622EC914-822C-924A-AEF5-A27E19DF6037}" name="XYZ" totalsRowFunction="custom" dataDxfId="334" totalsRowDxfId="333">
      <totalsRowFormula>COUNT(TabReg[XYZ])</totalsRowFormula>
    </tableColumn>
    <tableColumn id="216" xr3:uid="{B030C74E-0D3D-6541-B7BB-48BF89C99809}" name="XYZ1" totalsRowFunction="custom" dataDxfId="332" totalsRowDxfId="331" dataCellStyle="Comma">
      <totalsRowFormula>COUNT(TabReg[XYZ1])</totalsRowFormula>
    </tableColumn>
    <tableColumn id="217" xr3:uid="{ACEFFD2C-EAB6-9948-989F-D7D5AC701829}" name="XYZ2" totalsRowFunction="custom" dataDxfId="330" totalsRowDxfId="329" dataCellStyle="Comma">
      <totalsRowFormula>COUNT(TabReg[XYZ2])</totalsRowFormula>
    </tableColumn>
    <tableColumn id="218" xr3:uid="{4CD2CE15-E36E-3E42-A306-F305A7C90830}" name="THC" totalsRowFunction="custom" dataDxfId="328" totalsRowDxfId="327">
      <totalsRowFormula>COUNT(TabReg[THC])</totalsRowFormula>
    </tableColumn>
    <tableColumn id="219" xr3:uid="{C11F035D-CDF4-174B-9BE6-F7593779E4D8}" name="THC1" totalsRowFunction="custom" dataDxfId="326" totalsRowDxfId="325" dataCellStyle="Comma">
      <totalsRowFormula>COUNT(TabReg[THC1])</totalsRowFormula>
    </tableColumn>
    <tableColumn id="220" xr3:uid="{2A06D532-4E45-4645-BB9C-323A66479BFA}" name="THC2" totalsRowFunction="custom" dataDxfId="324" totalsRowDxfId="323" dataCellStyle="Comma">
      <totalsRowFormula>COUNT(TabReg[THC2])</totalsRowFormula>
    </tableColumn>
    <tableColumn id="221" xr3:uid="{6EA5B267-5542-3547-8C51-B4865046DAB9}" name="X" totalsRowFunction="custom" dataDxfId="322" totalsRowDxfId="321">
      <totalsRowFormula>COUNT(TabReg[X])</totalsRowFormula>
    </tableColumn>
    <tableColumn id="222" xr3:uid="{365245E0-D863-7643-BC5B-7BD0ECB1DE4C}" name="X1" totalsRowFunction="custom" dataDxfId="320" totalsRowDxfId="319" dataCellStyle="Comma">
      <totalsRowFormula>COUNT(TabReg[X1])</totalsRowFormula>
    </tableColumn>
    <tableColumn id="223" xr3:uid="{DCD6AC1F-F77E-0741-AC5D-657E140B6DC2}" name="X2" totalsRowFunction="custom" dataDxfId="318" totalsRowDxfId="317" dataCellStyle="Comma">
      <totalsRowFormula>COUNT(TabReg[X2])</totalsRowFormula>
    </tableColumn>
    <tableColumn id="302" xr3:uid="{12D2B534-7A04-F54F-80F6-A11D14B88280}" name="LOCK" totalsRowFunction="custom" dataDxfId="316" totalsRowDxfId="315">
      <totalsRowFormula>COUNT(TabReg[LOCK])</totalsRowFormula>
    </tableColumn>
    <tableColumn id="303" xr3:uid="{8CFAE27D-A663-E64A-BF5D-1F73B5863089}" name="LOCK1" totalsRowFunction="custom" dataDxfId="314" totalsRowDxfId="313" dataCellStyle="Comma">
      <totalsRowFormula>COUNT(TabReg[LOCK1])</totalsRowFormula>
    </tableColumn>
    <tableColumn id="304" xr3:uid="{D90F9136-0218-FB4C-836E-08A741E13B5A}" name="LOCK2" totalsRowFunction="custom" dataDxfId="312" totalsRowDxfId="311" dataCellStyle="Comma">
      <totalsRowFormula>COUNT(TabReg[LOCK2])</totalsRowFormula>
    </tableColumn>
    <tableColumn id="161" xr3:uid="{A9E992B2-11DC-8849-A7E9-148965BC4326}" name="JBASML" totalsRowFunction="custom" dataDxfId="310" totalsRowDxfId="309">
      <calculatedColumnFormula array="1">IF( ISNUMBER(MATCH(JU$3,Entries!$B$3:$B$16,0)),           _xlfn.IFS(  JU3="","",      AND(SUMPRODUCT((Entries!$A$3:$A$16=JU3)*(Entries!$C$3:$C$16=JV3)*(Entries!$D$3:$D$16=JW3)) = 0,        _xlfn.XLOOKUP(JU$3,Entries!$B$3:$B$16,Entries!$E$3:$E$16,"Enter")="Booked"),   INDEX(Entries!$B$3:$E$16,MATCH(JU$3,Entries!$B$3:$B$16,0),2),      JU3 &lt;&gt;0,""                                                ),"")</calculatedColumnFormula>
      <totalsRowFormula>COUNT(TabReg[JBASML])</totalsRowFormula>
    </tableColumn>
    <tableColumn id="162" xr3:uid="{494C1E9E-9045-934A-80AA-FF9880E85187}" name="JBASML1" totalsRowFunction="custom" dataDxfId="308" totalsRowDxfId="307" dataCellStyle="Comma">
      <calculatedColumnFormula array="1">IF( ISNUMBER(MATCH(JU$3,Entries!$B$3:$B$16,0)),           _xlfn.IFS(  JU4="","",      SUMPRODUCT((Entries!$A$3:$A$16=JU3)*(Entries!$C$3:$C$16=JV3)*(Entries!$D$3:$D$16=JW3)) &lt;&gt;0,"",         _xlfn.XLOOKUP(JU$3,Entries!$B$3:$B$16,Entries!$E$3:$E$16,"Enter")="Booked",   INDEX(Entries!$B$3:$E$16,MATCH(JU$3,Entries!$B$3:$B$16,0),3),                                                    _xlfn.XLOOKUP(JU$3,Entries!$B$3:$B$16,Entries!$A$3:$A$16,"Error"),""),"")</calculatedColumnFormula>
      <totalsRowFormula>COUNT(TabReg[JBASML1])</totalsRowFormula>
    </tableColumn>
    <tableColumn id="163" xr3:uid="{D527364E-B373-4241-BC60-4C3219F55D00}" name="JBASML2" totalsRowFunction="custom" dataDxfId="306" totalsRowDxfId="305">
      <calculatedColumnFormula array="1">IF( ISNUMBER(MATCH(JU$3,Entries!$B$3:$B$16,0)),           _xlfn.IFS(  JU4="","",      SUMPRODUCT((Entries!$A$3:$A$16=JV3)*(Entries!$C$3:$C$16=JW3)*(Entries!$D$3:$D$16=JX3)) &lt;&gt;0,"",         _xlfn.XLOOKUP(JU$3,Entries!$B$3:$B$16,Entries!$E$3:$E$16,"Enter")="Booked",   INDEX(Entries!$B$3:$E$16,MATCH(JU$3,Entries!$B$3:$B$16,0),4),                                                    _xlfn.XLOOKUP(JU$3,Entries!$B$3:$B$16,Entries!$A$3:$A$16,"Error"),""),"")</calculatedColumnFormula>
      <totalsRowFormula>COUNT(TabReg[JBASML2])</totalsRowFormula>
    </tableColumn>
    <tableColumn id="164" xr3:uid="{B4364CB7-CCCC-6E41-8C1D-ADA126AD5C59}" name="JBEOAN" totalsRowFunction="custom" dataDxfId="304" totalsRowDxfId="303">
      <calculatedColumnFormula array="1">IF( ISNUMBER(MATCH(JX$3,Entries!$B$3:$B$16,0)),           _xlfn.IFS(  JX3="","",      AND(SUMPRODUCT((Entries!$A$3:$A$16=JX3)*(Entries!$C$3:$C$16=JY3)*(Entries!$D$3:$D$16=JZ3)) = 0,        _xlfn.XLOOKUP(JX$3,Entries!$B$3:$B$16,Entries!$E$3:$E$16,"Enter")="Booked"),   INDEX(Entries!$B$3:$E$16,MATCH(JX$3,Entries!$B$3:$B$16,0),2),      JX3 &lt;&gt;0,""                                                ),"")</calculatedColumnFormula>
      <totalsRowFormula>COUNT(TabReg[JBEOAN])</totalsRowFormula>
    </tableColumn>
    <tableColumn id="165" xr3:uid="{E694D3F0-6E54-4947-993C-79D1F26FF5E2}" name="JBEOAN1" totalsRowFunction="custom" dataDxfId="302" totalsRowDxfId="301" dataCellStyle="Comma">
      <calculatedColumnFormula array="1">IF( ISNUMBER(MATCH(JX$3,Entries!$B$3:$B$16,0)),           _xlfn.IFS(  JX4="","",      SUMPRODUCT((Entries!$A$3:$A$16=JX3)*(Entries!$C$3:$C$16=JY3)*(Entries!$D$3:$D$16=JZ3)) &lt;&gt;0,"",         _xlfn.XLOOKUP(JX$3,Entries!$B$3:$B$16,Entries!$E$3:$E$16,"Enter")="Booked",   INDEX(Entries!$B$3:$E$16,MATCH(JX$3,Entries!$B$3:$B$16,0),3),                                                    _xlfn.XLOOKUP(JX$3,Entries!$B$3:$B$16,Entries!$A$3:$A$16,"Error"),""),"")</calculatedColumnFormula>
      <totalsRowFormula>COUNT(TabReg[JBEOAN1])</totalsRowFormula>
    </tableColumn>
    <tableColumn id="166" xr3:uid="{02B04B07-9C10-EF4F-918E-4DB2FE5E773C}" name="JBEOAN2" totalsRowFunction="custom" dataDxfId="300" totalsRowDxfId="299">
      <calculatedColumnFormula array="1">IF( ISNUMBER(MATCH(JX$3,Entries!$B$3:$B$16,0)),           _xlfn.IFS(  JX4="","",      SUMPRODUCT((Entries!$A$3:$A$16=JY3)*(Entries!$C$3:$C$16=JZ3)*(Entries!$D$3:$D$16=KA3)) &lt;&gt;0,"",         _xlfn.XLOOKUP(JX$3,Entries!$B$3:$B$16,Entries!$E$3:$E$16,"Enter")="Booked",   INDEX(Entries!$B$3:$E$16,MATCH(JX$3,Entries!$B$3:$B$16,0),4),                                                    _xlfn.XLOOKUP(JX$3,Entries!$B$3:$B$16,Entries!$A$3:$A$16,"Error"),""),"")</calculatedColumnFormula>
      <totalsRowFormula>COUNT(TabReg[JBEOAN2])</totalsRowFormula>
    </tableColumn>
    <tableColumn id="167" xr3:uid="{AA600DA9-0184-6D46-89DC-09EFCD692BEF}" name="UnknownX3" totalsRowFunction="custom" dataDxfId="298" totalsRowDxfId="297">
      <calculatedColumnFormula array="1">IF( ISNUMBER(MATCH(KA$3,Entries!$B$3:$B$16,0)),           _xlfn.IFS(  KA3="","",      AND(SUMPRODUCT((Entries!$A$3:$A$16=KA3)*(Entries!$C$3:$C$16=KB3)*(Entries!$D$3:$D$16=KC3)) = 0,        _xlfn.XLOOKUP(KA$3,Entries!$B$3:$B$16,Entries!$E$3:$E$16,"Enter")="Booked"),   INDEX(Entries!$B$3:$E$16,MATCH(KA$3,Entries!$B$3:$B$16,0),2),      KA3 &lt;&gt;0,""                                                ),"")</calculatedColumnFormula>
      <totalsRowFormula>COUNT(TabReg[UnknownX3])</totalsRowFormula>
    </tableColumn>
    <tableColumn id="168" xr3:uid="{006E6AEA-9B85-154A-87C0-F2E00363BEEF}" name="UnknownX14" totalsRowFunction="custom" dataDxfId="296" totalsRowDxfId="295" dataCellStyle="Comma">
      <calculatedColumnFormula array="1">IF( ISNUMBER(MATCH(KA$3,Entries!$B$3:$B$16,0)),           _xlfn.IFS(  KA4="","",      SUMPRODUCT((Entries!$A$3:$A$16=KA3)*(Entries!$C$3:$C$16=KB3)*(Entries!$D$3:$D$16=KC3)) &lt;&gt;0,"",         _xlfn.XLOOKUP(KA$3,Entries!$B$3:$B$16,Entries!$E$3:$E$16,"Enter")="Booked",   INDEX(Entries!$B$3:$E$16,MATCH(KA$3,Entries!$B$3:$B$16,0),3),                                                    _xlfn.XLOOKUP(KA$3,Entries!$B$3:$B$16,Entries!$A$3:$A$16,"Error"),""),"")</calculatedColumnFormula>
      <totalsRowFormula>COUNT(TabReg[UnknownX14])</totalsRowFormula>
    </tableColumn>
    <tableColumn id="169" xr3:uid="{B9B2594A-C830-5949-A181-260A76EDE472}" name="UnknownX25" totalsRowFunction="custom" dataDxfId="294" totalsRowDxfId="293">
      <calculatedColumnFormula array="1">IF( ISNUMBER(MATCH(KA$3,Entries!$B$3:$B$16,0)),           _xlfn.IFS(  KA4="","",      SUMPRODUCT((Entries!$A$3:$A$16=KB3)*(Entries!$C$3:$C$16=KC3)*(Entries!$D$3:$D$16=KD3)) &lt;&gt;0,"",         _xlfn.XLOOKUP(KA$3,Entries!$B$3:$B$16,Entries!$E$3:$E$16,"Enter")="Booked",   INDEX(Entries!$B$3:$E$16,MATCH(KA$3,Entries!$B$3:$B$16,0),4),                                                    _xlfn.XLOOKUP(KA$3,Entries!$B$3:$B$16,Entries!$A$3:$A$16,"Error"),""),"")</calculatedColumnFormula>
      <totalsRowFormula>COUNT(TabReg[UnknownX25])</totalsRowFormula>
    </tableColumn>
    <tableColumn id="170" xr3:uid="{8B1E5D77-AEA1-CC41-84B9-BBC8DAD5FE23}" name="UnknownX6" totalsRowFunction="custom" dataDxfId="292" totalsRowDxfId="291">
      <calculatedColumnFormula array="1">IF( ISNUMBER(MATCH(KD$3,Entries!$B$3:$B$16,0)),           _xlfn.IFS(  KD3="","",      AND(SUMPRODUCT((Entries!$A$3:$A$16=KD3)*(Entries!$C$3:$C$16=KE3)*(Entries!$D$3:$D$16=KF3)) = 0,        _xlfn.XLOOKUP(KD$3,Entries!$B$3:$B$16,Entries!$E$3:$E$16,"Enter")="Booked"),   INDEX(Entries!$B$3:$E$16,MATCH(KD$3,Entries!$B$3:$B$16,0),2),      KD3 &lt;&gt;0,""                                                ),"")</calculatedColumnFormula>
      <totalsRowFormula>COUNT(TabReg[UnknownX6])</totalsRowFormula>
    </tableColumn>
    <tableColumn id="171" xr3:uid="{3D473DFF-783A-7246-BA16-0DFFF490F412}" name="UnknownX17" totalsRowFunction="custom" dataDxfId="290" totalsRowDxfId="289" dataCellStyle="Comma">
      <calculatedColumnFormula array="1">IF( ISNUMBER(MATCH(KD$3,Entries!$B$3:$B$16,0)),           _xlfn.IFS(  KD4="","",      SUMPRODUCT((Entries!$A$3:$A$16=KD3)*(Entries!$C$3:$C$16=KE3)*(Entries!$D$3:$D$16=KF3)) &lt;&gt;0,"",         _xlfn.XLOOKUP(KD$3,Entries!$B$3:$B$16,Entries!$E$3:$E$16,"Enter")="Booked",   INDEX(Entries!$B$3:$E$16,MATCH(KD$3,Entries!$B$3:$B$16,0),3),                                                    _xlfn.XLOOKUP(KD$3,Entries!$B$3:$B$16,Entries!$A$3:$A$16,"Error"),""),"")</calculatedColumnFormula>
      <totalsRowFormula>COUNT(TabReg[UnknownX17])</totalsRowFormula>
    </tableColumn>
    <tableColumn id="172" xr3:uid="{EF3AA4EC-8B92-D44B-990E-7E5A497B6963}" name="UnknownX28" totalsRowFunction="custom" dataDxfId="288" totalsRowDxfId="287">
      <calculatedColumnFormula array="1">IF( ISNUMBER(MATCH(KD$3,Entries!$B$3:$B$16,0)),           _xlfn.IFS(  KD4="","",      SUMPRODUCT((Entries!$A$3:$A$16=KE3)*(Entries!$C$3:$C$16=KF3)*(Entries!$D$3:$D$16=KG3)) &lt;&gt;0,"",         _xlfn.XLOOKUP(KD$3,Entries!$B$3:$B$16,Entries!$E$3:$E$16,"Enter")="Booked",   INDEX(Entries!$B$3:$E$16,MATCH(KD$3,Entries!$B$3:$B$16,0),4),                                                    _xlfn.XLOOKUP(KD$3,Entries!$B$3:$B$16,Entries!$A$3:$A$16,"Error"),""),"")</calculatedColumnFormula>
      <totalsRowFormula>COUNT(TabReg[UnknownX28])</totalsRowFormula>
    </tableColumn>
  </tableColumns>
  <tableStyleInfo name="TableStyleMedium19"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9FDB8E1-C2D8-CA44-9290-EA3B066D98B2}" name="TabConsolid" displayName="TabConsolid" ref="B3:JZ35" totalsRowShown="0" headerRowDxfId="286" tableBorderDxfId="285">
  <autoFilter ref="B3:JZ35" xr:uid="{B9FDB8E1-C2D8-CA44-9290-EA3B066D98B2}"/>
  <tableColumns count="285">
    <tableColumn id="1" xr3:uid="{4F3C6718-1B2B-FE44-B8C7-4CA3C7D81539}" name="AAPL" dataDxfId="284" dataCellStyle="Comma"/>
    <tableColumn id="2" xr3:uid="{FF2983F9-BF22-2A43-A1DE-D6A2929E69C2}" name="AAPL1" dataDxfId="283" dataCellStyle="Comma"/>
    <tableColumn id="3" xr3:uid="{AE90608B-5D45-834A-9CEC-916B02A0BF70}" name="AAPL2" dataDxfId="282" dataCellStyle="Comma"/>
    <tableColumn id="4" xr3:uid="{4B747254-4228-9644-99B3-FF68845A1767}" name="ADEA" dataDxfId="281" dataCellStyle="Comma"/>
    <tableColumn id="5" xr3:uid="{A192C7BC-8A1A-024C-AEFD-A4B09613ABCA}" name="ADEA1" dataDxfId="280" dataCellStyle="Comma"/>
    <tableColumn id="6" xr3:uid="{86DBBBB8-C822-A042-882E-DAF1F6E7F1A9}" name="ADEA2" dataDxfId="279" dataCellStyle="Comma"/>
    <tableColumn id="7" xr3:uid="{CDB0D2D9-A20E-9F44-855D-B737E27A8610}" name="AET" dataDxfId="278" dataCellStyle="Comma"/>
    <tableColumn id="8" xr3:uid="{F7C57E98-EFA4-264D-A1A8-5E18578768AC}" name="AET1" dataDxfId="277" dataCellStyle="Comma"/>
    <tableColumn id="9" xr3:uid="{5E45A015-732A-FE4C-B729-DE274A6016E0}" name="AET2" dataDxfId="276" dataCellStyle="Comma"/>
    <tableColumn id="10" xr3:uid="{29B6658B-8137-294C-BDFD-629EF915B030}" name="AMZN" dataDxfId="275" dataCellStyle="Comma"/>
    <tableColumn id="11" xr3:uid="{D51515D0-AD0A-7042-83F6-2930DDECDC82}" name="AMZN1" dataDxfId="274" dataCellStyle="Comma"/>
    <tableColumn id="12" xr3:uid="{D6411F6F-1618-5046-A24E-F795B967A62E}" name="AMZN2" dataDxfId="273" dataCellStyle="Comma"/>
    <tableColumn id="13" xr3:uid="{8C7D245B-EC8F-414A-AE20-9F53131FF92C}" name="ALDNE" dataDxfId="272" dataCellStyle="Comma"/>
    <tableColumn id="14" xr3:uid="{9A5ACEE4-9677-974E-BBC5-32C8CE678401}" name="ALDNE1" dataDxfId="271" dataCellStyle="Comma"/>
    <tableColumn id="15" xr3:uid="{C9CC9906-076E-B542-90B7-A75EAA4C486F}" name="ALDNE2" dataDxfId="270" dataCellStyle="Comma"/>
    <tableColumn id="16" xr3:uid="{04CB329C-3089-0945-9AC7-48EFD8C7E2D0}" name="ASML" dataDxfId="269" dataCellStyle="Comma"/>
    <tableColumn id="17" xr3:uid="{B77296A8-A666-6444-97C5-8C071857CF23}" name="ASML1" dataDxfId="268" dataCellStyle="Comma"/>
    <tableColumn id="18" xr3:uid="{83202C9D-48DB-5B48-B948-26C6A8D48AB1}" name="ASML2" dataDxfId="267" dataCellStyle="Comma"/>
    <tableColumn id="19" xr3:uid="{FB5345B6-A211-DB42-A1E9-A005590036FF}" name="AVGO" dataDxfId="266" dataCellStyle="Comma"/>
    <tableColumn id="20" xr3:uid="{68D705CA-90AF-6242-9C88-DFDD951676B9}" name="AVGO1" dataDxfId="265" dataCellStyle="Comma"/>
    <tableColumn id="21" xr3:uid="{C5D19C38-801A-6A46-8BA6-8B94CC71900F}" name="AVGO2" dataDxfId="264" dataCellStyle="Comma"/>
    <tableColumn id="22" xr3:uid="{A277A45B-54A4-0A4D-A9D7-28389A195826}" name="AZN" dataDxfId="263" dataCellStyle="Comma"/>
    <tableColumn id="23" xr3:uid="{92B99FAD-1108-734D-8297-53766E839787}" name="AZN1" dataDxfId="262" dataCellStyle="Comma"/>
    <tableColumn id="24" xr3:uid="{82125733-91A0-0E43-98ED-EE5820A40A2D}" name="AZN2" dataDxfId="261" dataCellStyle="Comma"/>
    <tableColumn id="25" xr3:uid="{11C1CFCE-DD1E-034E-9F0B-6EAC1073C537}" name="BLDP" dataDxfId="260" dataCellStyle="Comma"/>
    <tableColumn id="26" xr3:uid="{360D253A-CA28-5E4D-B955-B8406C4A5F9E}" name="BLDP1" dataDxfId="259" dataCellStyle="Comma"/>
    <tableColumn id="27" xr3:uid="{78BB3D99-F937-4F43-8875-B7E23A6FA32B}" name="BLDP2" dataDxfId="258" dataCellStyle="Comma"/>
    <tableColumn id="28" xr3:uid="{C59C5AD3-A4D8-7B4F-83F9-EFA750C2D5EB}" name="BMRA" dataDxfId="257" dataCellStyle="Comma"/>
    <tableColumn id="29" xr3:uid="{30176083-A0E5-FE4E-8CA3-9FF85C53DAA0}" name="BMRA1" dataDxfId="256" dataCellStyle="Comma"/>
    <tableColumn id="30" xr3:uid="{157B3467-E16E-6B4C-B0AC-345A122E272E}" name="BMRA2" dataDxfId="255" dataCellStyle="Comma"/>
    <tableColumn id="31" xr3:uid="{09259404-461E-4B42-97D7-BC216348265E}" name="C" dataDxfId="254" dataCellStyle="Comma"/>
    <tableColumn id="32" xr3:uid="{C2842856-FA06-F241-9877-F4F2A22D62C0}" name="C1" dataDxfId="253" dataCellStyle="Comma"/>
    <tableColumn id="33" xr3:uid="{CE4D0E24-6414-C94A-9600-A11AABD3BC40}" name="C2" dataDxfId="252" dataCellStyle="Comma"/>
    <tableColumn id="34" xr3:uid="{078D17E2-A2D5-3D4D-B742-157B8CB3F0BA}" name="CSCO" dataDxfId="251" dataCellStyle="Comma"/>
    <tableColumn id="35" xr3:uid="{DA4CCFB4-3785-A448-BD12-B24CFFE15100}" name="CSCO1" dataDxfId="250" dataCellStyle="Comma"/>
    <tableColumn id="36" xr3:uid="{706D3649-B8D9-CB46-85BB-2503E26E2C17}" name="CSCO2" dataDxfId="249" dataCellStyle="Comma"/>
    <tableColumn id="37" xr3:uid="{C664F6F7-12B5-6842-8880-53DF3553EBE5}" name="CVS" dataDxfId="248" dataCellStyle="Comma"/>
    <tableColumn id="38" xr3:uid="{4661F2A7-EF10-8F47-A857-292ADCBC9FD1}" name="CVS1" dataDxfId="247" dataCellStyle="Comma"/>
    <tableColumn id="39" xr3:uid="{846CEC17-7EC7-E84E-B199-0C0E8960419B}" name="CVS2" dataDxfId="246" dataCellStyle="Comma"/>
    <tableColumn id="40" xr3:uid="{4DCD0661-9DF9-CE49-90F9-D694D57AE82F}" name="DDD" dataDxfId="245" dataCellStyle="Comma"/>
    <tableColumn id="41" xr3:uid="{65C42C47-BEEF-5A43-8793-34D0816F3BC5}" name="DDD1" dataDxfId="244" dataCellStyle="Comma"/>
    <tableColumn id="42" xr3:uid="{3B8ABE3C-1DCC-6A4B-970C-E21CDF07AC21}" name="DDD2" dataDxfId="243" dataCellStyle="Comma"/>
    <tableColumn id="43" xr3:uid="{1569A28F-F511-5C4D-8DD6-30ACA757E7E7}" name="DIS" dataDxfId="242" dataCellStyle="Comma"/>
    <tableColumn id="44" xr3:uid="{E403B095-56DF-0641-9062-C7B3671154B2}" name="DIS1" dataDxfId="241" dataCellStyle="Comma"/>
    <tableColumn id="45" xr3:uid="{8DFBDE8E-AC27-7A42-BE30-25EF0C39ED2D}" name="DIS2" dataDxfId="240" dataCellStyle="Comma"/>
    <tableColumn id="46" xr3:uid="{6046D983-09F2-8342-B55E-38DC94662758}" name="DSY" dataDxfId="239" dataCellStyle="Comma"/>
    <tableColumn id="47" xr3:uid="{F8D640E4-7B06-4C41-8CCD-2056E9C5A036}" name="DSY1" dataDxfId="238" dataCellStyle="Comma"/>
    <tableColumn id="48" xr3:uid="{B16CF993-FFAD-8348-9062-209D2EB1063C}" name="DSY2" dataDxfId="237" dataCellStyle="Comma"/>
    <tableColumn id="49" xr3:uid="{16299194-B209-E04F-B83E-22E206A94209}" name="DVA" dataDxfId="236" dataCellStyle="Comma"/>
    <tableColumn id="50" xr3:uid="{B0D37179-E335-0D45-9DAC-63F72DFDB690}" name="DVA1" dataDxfId="235" dataCellStyle="Comma"/>
    <tableColumn id="51" xr3:uid="{4A45E220-F558-E14A-9111-D79E6AEE9F87}" name="DVA2" dataDxfId="234" dataCellStyle="Comma"/>
    <tableColumn id="52" xr3:uid="{5FE7A652-62D3-034A-85CF-95616062006C}" name="DXC" dataDxfId="233" dataCellStyle="Comma"/>
    <tableColumn id="53" xr3:uid="{83D50AE1-D96C-5A4F-BBB5-435FC1C1CDCD}" name="DXC1" dataDxfId="232" dataCellStyle="Comma"/>
    <tableColumn id="54" xr3:uid="{FD007891-17F4-544B-A18C-7CF33EC95A98}" name="DXC2" dataDxfId="231" dataCellStyle="Comma"/>
    <tableColumn id="55" xr3:uid="{9AD98B59-186F-4645-B06F-1EFB866D9D3A}" name="EOAN" dataDxfId="230" dataCellStyle="Comma"/>
    <tableColumn id="56" xr3:uid="{2C37859C-05A6-2F46-A430-12020E97CDDA}" name="EOAN1" dataDxfId="229" dataCellStyle="Comma"/>
    <tableColumn id="57" xr3:uid="{39A52E6F-F4D8-0A42-B6F4-7E059D490412}" name="EOAN2" dataDxfId="228" dataCellStyle="Comma"/>
    <tableColumn id="58" xr3:uid="{7BBECE56-3D92-2F42-9FC8-DB87EB6560AC}" name="EPIX" dataDxfId="227" dataCellStyle="Comma"/>
    <tableColumn id="59" xr3:uid="{334321B6-C136-5045-B0D8-C45B5968E1F4}" name="EPIX1" dataDxfId="226" dataCellStyle="Comma"/>
    <tableColumn id="60" xr3:uid="{65990670-CFEB-7B48-9CA3-1AA957BC261E}" name="EPIX2" dataDxfId="225" dataCellStyle="Comma"/>
    <tableColumn id="61" xr3:uid="{336FC4A6-72E6-AD47-BB46-577B146714F1}" name="GM" dataDxfId="224" dataCellStyle="Comma"/>
    <tableColumn id="62" xr3:uid="{C4B9154B-A497-C746-A22E-268498C355B1}" name="GM1" dataDxfId="223" dataCellStyle="Comma"/>
    <tableColumn id="63" xr3:uid="{533CB1C3-2006-3A44-82D6-50E2F60B1390}" name="GM2" dataDxfId="222" dataCellStyle="Comma"/>
    <tableColumn id="64" xr3:uid="{64C92ADD-B441-A54B-B34F-ACC0AAA55A6D}" name="HPE" dataDxfId="221" dataCellStyle="Comma"/>
    <tableColumn id="65" xr3:uid="{DDC3C698-57C9-8E40-9B44-03AEF5E2D33E}" name="HPE1" dataDxfId="220" dataCellStyle="Comma"/>
    <tableColumn id="66" xr3:uid="{FE47C51F-A166-3D4F-B502-DB6D6F219911}" name="HPE2" dataDxfId="219" dataCellStyle="Comma"/>
    <tableColumn id="67" xr3:uid="{17E23500-7942-B64E-82CA-F7883926C605}" name="HPQ" dataDxfId="218" dataCellStyle="Comma"/>
    <tableColumn id="68" xr3:uid="{CA289335-17CB-674A-8A96-84F9C9BFB456}" name="HPQ1" dataDxfId="217" dataCellStyle="Comma"/>
    <tableColumn id="69" xr3:uid="{D3EAC5FA-188A-F74E-956B-23A739D82BE2}" name="HPQ2" dataDxfId="216" dataCellStyle="Comma"/>
    <tableColumn id="70" xr3:uid="{F794EEC2-757B-0B4C-A97F-488A63CF054F}" name="IAG" dataDxfId="215" dataCellStyle="Comma"/>
    <tableColumn id="71" xr3:uid="{C8D9C546-3E1E-3944-8CAE-5102C0B702A7}" name="IAG1" dataDxfId="214" dataCellStyle="Comma"/>
    <tableColumn id="72" xr3:uid="{2711F9B5-1A47-ED40-91E3-53338F3897E5}" name="IAG2" dataDxfId="213" dataCellStyle="Comma"/>
    <tableColumn id="73" xr3:uid="{F5FC5392-4456-AB4B-8BA4-9DBAE831115C}" name="KR" dataDxfId="212" dataCellStyle="Comma"/>
    <tableColumn id="74" xr3:uid="{777F8583-92B7-8F41-859A-79C3721421C1}" name="KR1" dataDxfId="211" dataCellStyle="Comma"/>
    <tableColumn id="75" xr3:uid="{E99A7506-8017-FC4E-9CA2-52E6F7C05881}" name="KR2" dataDxfId="210" dataCellStyle="Comma"/>
    <tableColumn id="76" xr3:uid="{920BB91C-1886-7148-98B1-FDFF98736F14}" name="LNSR" dataDxfId="209" dataCellStyle="Comma"/>
    <tableColumn id="77" xr3:uid="{0CA43B86-716C-254E-860A-62C5E5FF6526}" name="LNSR1" dataDxfId="208" dataCellStyle="Comma"/>
    <tableColumn id="78" xr3:uid="{7AEF95B8-712B-F642-87C9-6A9501098ED9}" name="LNSR2" dataDxfId="207" dataCellStyle="Comma"/>
    <tableColumn id="79" xr3:uid="{3CDEC1EC-7A39-7C41-A8F5-6DD96DF561A2}" name="LUMN" dataDxfId="206" dataCellStyle="Comma"/>
    <tableColumn id="80" xr3:uid="{075ED823-73A8-3140-A535-39CB4912DA86}" name="LUMN1" dataDxfId="205" dataCellStyle="Comma"/>
    <tableColumn id="81" xr3:uid="{EF42D74A-4522-2241-832E-A1E70E9145F9}" name="LUMN2" dataDxfId="204" dataCellStyle="Comma"/>
    <tableColumn id="82" xr3:uid="{FAD1EB90-EE7E-7E4D-8F6A-D530C21860C4}" name="MRNA" dataDxfId="203" dataCellStyle="Comma"/>
    <tableColumn id="83" xr3:uid="{E96325F3-3FFB-4945-97DF-3E0B895B32BA}" name="MRNA1" dataDxfId="202" dataCellStyle="Comma"/>
    <tableColumn id="84" xr3:uid="{38C36CD7-FFF3-B94D-BBA2-E3FCEDD9E2C9}" name="MRNA2" dataDxfId="201" dataCellStyle="Comma"/>
    <tableColumn id="85" xr3:uid="{D3F7B5A1-68CB-DD47-95A2-C2A2F4FEB49A}" name="MSFT" dataDxfId="200" dataCellStyle="Comma"/>
    <tableColumn id="86" xr3:uid="{498E253A-4894-CC4A-8BDB-D493B847ADEE}" name="MSFT1" dataDxfId="199" dataCellStyle="Comma"/>
    <tableColumn id="87" xr3:uid="{6B7745C3-9073-9F42-86E9-6E29F372AB19}" name="MSFT2" dataDxfId="198" dataCellStyle="Comma"/>
    <tableColumn id="88" xr3:uid="{7967BFC4-C0E3-5F41-B5FB-B99F8B1F4F60}" name="NEE" dataDxfId="197" dataCellStyle="Comma"/>
    <tableColumn id="89" xr3:uid="{E26FAAA2-E84A-664D-A186-5B869A89DE66}" name="NEE1" dataDxfId="196" dataCellStyle="Comma"/>
    <tableColumn id="90" xr3:uid="{D4457184-AC90-FF46-A98C-28B4FE42662F}" name="NEE2" dataDxfId="195" dataCellStyle="Comma"/>
    <tableColumn id="91" xr3:uid="{0350E67E-C364-DC45-860A-163A20CB2AF7}" name="NEM" dataDxfId="194" dataCellStyle="Comma"/>
    <tableColumn id="92" xr3:uid="{CC763123-44C0-0B48-8910-25EBF34C057F}" name="NEM1" dataDxfId="193" dataCellStyle="Comma"/>
    <tableColumn id="93" xr3:uid="{BC59D84A-BD01-F546-A05F-73A544F2A66B}" name="NEM2" dataDxfId="192" dataCellStyle="Comma"/>
    <tableColumn id="94" xr3:uid="{01C43689-6564-574E-8C2F-3218C46EED39}" name="NFLX" dataDxfId="191" dataCellStyle="Comma"/>
    <tableColumn id="95" xr3:uid="{C61EBA53-FA20-E14E-AC13-AF5A204B1D64}" name="NFLX1" dataDxfId="190" dataCellStyle="Comma"/>
    <tableColumn id="96" xr3:uid="{528E1A3F-ADF3-A041-AF88-A5D1CBE54694}" name="NFLX2" dataDxfId="189" dataCellStyle="Comma"/>
    <tableColumn id="97" xr3:uid="{EE8DB3DE-C84A-7142-9DBE-22152BE7F05C}" name="NOTE" dataDxfId="188" dataCellStyle="Comma"/>
    <tableColumn id="98" xr3:uid="{3EB79190-BE55-FF41-A5B8-89261ABFCCEF}" name="NOTE1" dataDxfId="187" dataCellStyle="Comma"/>
    <tableColumn id="99" xr3:uid="{C275B362-7AF8-D04D-A60A-29807754C61A}" name="NOTE2" dataDxfId="186" dataCellStyle="Comma"/>
    <tableColumn id="100" xr3:uid="{84156E29-C75E-1549-93F0-4C22B621E470}" name="PAAS" dataDxfId="185" dataCellStyle="Comma"/>
    <tableColumn id="101" xr3:uid="{3074A862-D4A8-BC4A-8525-FBE77503EFCE}" name="PAAS1" dataDxfId="184" dataCellStyle="Comma"/>
    <tableColumn id="102" xr3:uid="{B774B9E2-AFA0-CC40-8434-1E869C710642}" name="PAAS2" dataDxfId="183" dataCellStyle="Comma"/>
    <tableColumn id="103" xr3:uid="{F59B1991-C44E-1842-B560-FD6BA7BF65E1}" name="PROF" dataDxfId="182" dataCellStyle="Comma"/>
    <tableColumn id="104" xr3:uid="{7A648921-782B-094B-9AC1-9A3182FADEE7}" name="PROF1" dataDxfId="181" dataCellStyle="Comma"/>
    <tableColumn id="105" xr3:uid="{E134CDF6-54A6-104D-A588-BD86FD67040F}" name="PROF2" dataDxfId="180" dataCellStyle="Comma"/>
    <tableColumn id="106" xr3:uid="{86D65F56-DF53-CC4A-9E19-B529E65F1C75}" name="POET" dataDxfId="179" dataCellStyle="Comma"/>
    <tableColumn id="107" xr3:uid="{E9280078-06B8-9649-8650-511767770BD3}" name="POET1" dataDxfId="178" dataCellStyle="Comma"/>
    <tableColumn id="108" xr3:uid="{2E35D0FA-1511-8C47-B29B-8A3751083E79}" name="POET2" dataDxfId="177" dataCellStyle="Comma"/>
    <tableColumn id="109" xr3:uid="{ACDC3A1B-310F-344D-A25D-EFAF2DA754F5}" name="PW" dataDxfId="176" dataCellStyle="Comma"/>
    <tableColumn id="110" xr3:uid="{FAEE4FEA-62CA-294D-ABF9-4563064E6BA8}" name="PW1" dataDxfId="175" dataCellStyle="Comma"/>
    <tableColumn id="111" xr3:uid="{80FF5CFA-8F63-894A-9C56-7A6A804F620F}" name="PW2" dataDxfId="174" dataCellStyle="Comma"/>
    <tableColumn id="112" xr3:uid="{FE3C1657-D29A-254B-8304-D173720389C1}" name="RIGL" dataDxfId="173" dataCellStyle="Comma"/>
    <tableColumn id="113" xr3:uid="{39AEED7D-52C8-8347-BCA2-C8207398A415}" name="RIGL1" dataDxfId="172" dataCellStyle="Comma"/>
    <tableColumn id="114" xr3:uid="{65A5449B-6191-3848-AAE6-E474979A4826}" name="RIGL2" dataDxfId="171" dataCellStyle="Comma"/>
    <tableColumn id="115" xr3:uid="{64B37DD2-A420-3A4C-BB41-103D11E44E00}" name="RWE" dataDxfId="170" dataCellStyle="Comma"/>
    <tableColumn id="116" xr3:uid="{0C8DB87B-3DFF-F849-803F-304BE29ACE6F}" name="RWE1" dataDxfId="169" dataCellStyle="Comma"/>
    <tableColumn id="117" xr3:uid="{F03B718E-935E-5944-8702-A489484FF2A5}" name="RWE2" dataDxfId="168" dataCellStyle="Comma"/>
    <tableColumn id="118" xr3:uid="{E81E3112-8486-004F-A62E-9163C465EABC}" name="SAP" dataDxfId="167" dataCellStyle="Comma"/>
    <tableColumn id="119" xr3:uid="{DF7A2077-A8B7-B24B-BCC7-9A5CE980BB63}" name="SAP1" dataDxfId="166" dataCellStyle="Comma"/>
    <tableColumn id="120" xr3:uid="{81BAD1BF-576A-C14A-B5BC-22A810BF9C8B}" name="SAP2" dataDxfId="165" dataCellStyle="Comma"/>
    <tableColumn id="121" xr3:uid="{F83ADD54-B4F0-BE40-98DA-A3F47F9655A7}" name="SHECY" dataDxfId="164" dataCellStyle="Comma"/>
    <tableColumn id="122" xr3:uid="{22AC636A-1AE3-5E4B-B841-E385E86CDD56}" name="SHECY1" dataDxfId="163" dataCellStyle="Comma"/>
    <tableColumn id="123" xr3:uid="{388F1694-2482-C14D-B433-CDD72262C7F2}" name="SHECY2" dataDxfId="162" dataCellStyle="Comma"/>
    <tableColumn id="124" xr3:uid="{20F10A2E-5921-DF40-8350-2F803C2D284F}" name="SSYS" dataDxfId="161" dataCellStyle="Comma"/>
    <tableColumn id="125" xr3:uid="{CFB45D49-E59D-E94A-91A9-6D7BFA0DA4BF}" name="SSYS1" dataDxfId="160" dataCellStyle="Comma"/>
    <tableColumn id="126" xr3:uid="{FBE6F387-DE88-A54B-8EDA-5A7F03478FE9}" name="SSYS2" dataDxfId="159" dataCellStyle="Comma"/>
    <tableColumn id="127" xr3:uid="{729B6E9F-E8D7-8743-8199-94F998ED5529}" name="TSLA" dataDxfId="158" dataCellStyle="Comma"/>
    <tableColumn id="128" xr3:uid="{5FC83869-9BDE-DB42-89C9-A75961A28912}" name="TSLA1" dataDxfId="157" dataCellStyle="Comma"/>
    <tableColumn id="129" xr3:uid="{7ED7429F-A831-2741-B223-E18CF879D0FF}" name="TSLA2" dataDxfId="156" dataCellStyle="Comma"/>
    <tableColumn id="130" xr3:uid="{8F2F86A1-AB73-4C45-B6A3-71BCA5A197E9}" name="TSM" dataDxfId="155" dataCellStyle="Comma"/>
    <tableColumn id="131" xr3:uid="{44F96535-4AB3-654D-9E97-294D66B63AA9}" name="TSM1" dataDxfId="154" dataCellStyle="Comma"/>
    <tableColumn id="132" xr3:uid="{C9083538-F7CF-244B-BA6D-8F04FACB053E}" name="TSM2" dataDxfId="153" dataCellStyle="Comma"/>
    <tableColumn id="133" xr3:uid="{FC95878B-E72D-B64D-A477-817226300E96}" name="UN0" dataDxfId="152" dataCellStyle="Comma"/>
    <tableColumn id="134" xr3:uid="{7E5B9EDF-F393-2448-A152-B30F39B596FD}" name="UN01" dataDxfId="151" dataCellStyle="Comma"/>
    <tableColumn id="135" xr3:uid="{65FB4079-20B9-BC47-9D99-5CC5FE09BDF5}" name="UN02" dataDxfId="150" dataCellStyle="Comma"/>
    <tableColumn id="136" xr3:uid="{6D8B7C95-E8BD-CF4E-A0F8-6ACCCE764AF4}" name="UNIT" dataDxfId="149" dataCellStyle="Comma"/>
    <tableColumn id="137" xr3:uid="{0F1D805F-0864-C14A-9BA6-E30A638F801B}" name="UNIT1" dataDxfId="148" dataCellStyle="Comma"/>
    <tableColumn id="138" xr3:uid="{8339927D-798A-374E-952D-498E693C2F81}" name="UNIT2" dataDxfId="147" dataCellStyle="Comma"/>
    <tableColumn id="139" xr3:uid="{E86CE4B2-67C3-E946-99EE-215F9AFBB44B}" name="Free" dataDxfId="146" dataCellStyle="Comma"/>
    <tableColumn id="140" xr3:uid="{2A1F7BD6-D7FB-5149-B6B0-D7DE17D011FF}" name="Free1" dataDxfId="145" dataCellStyle="Comma"/>
    <tableColumn id="141" xr3:uid="{33907480-858B-7E4F-AFC4-0EDC7312C3F7}" name="Free2" dataDxfId="144" dataCellStyle="Comma"/>
    <tableColumn id="142" xr3:uid="{00D1CCC4-1D2A-0345-A1E0-9F720EA238C8}" name="VLVLY" dataDxfId="143" dataCellStyle="Comma"/>
    <tableColumn id="143" xr3:uid="{ECF23EF1-8B60-9744-9A10-58CBC82F4625}" name="VLVLY1" dataDxfId="142" dataCellStyle="Comma"/>
    <tableColumn id="144" xr3:uid="{7004DF05-E0F2-794A-AB5E-B44C42C1B293}" name="VLVLY2" dataDxfId="141" dataCellStyle="Comma"/>
    <tableColumn id="145" xr3:uid="{41F14CA5-D644-7844-92B5-1CDA6AD1EDBD}" name="VONN" dataDxfId="140" dataCellStyle="Comma"/>
    <tableColumn id="146" xr3:uid="{D4CB0390-24B1-184E-9999-820F8A0A3E71}" name="VONN1" dataDxfId="139" dataCellStyle="Comma"/>
    <tableColumn id="147" xr3:uid="{0F61E6EC-5AA7-4E4E-9881-330A85520104}" name="VONN2" dataDxfId="138" dataCellStyle="Comma"/>
    <tableColumn id="148" xr3:uid="{42C8BF39-DEFC-3D4D-8A5D-2BA2E330D8D9}" name="VTRS" dataDxfId="137" dataCellStyle="Comma"/>
    <tableColumn id="149" xr3:uid="{0E05FFE0-E1FD-7241-BD67-7FD0BF47A6E7}" name="VTRS1" dataDxfId="136" dataCellStyle="Comma"/>
    <tableColumn id="150" xr3:uid="{4D304682-5B3C-9443-A1F2-DD94157006BF}" name="VTRS2" dataDxfId="135" dataCellStyle="Comma"/>
    <tableColumn id="151" xr3:uid="{6FAB44FC-5959-A841-BE04-05A288B83A96}" name="WBA" dataDxfId="134" dataCellStyle="Comma"/>
    <tableColumn id="152" xr3:uid="{EB1E6E75-1A3D-F54A-BDAC-B7FB81FAAA76}" name="WBA1" dataDxfId="133" dataCellStyle="Comma"/>
    <tableColumn id="153" xr3:uid="{0E0D2AAF-3A9E-9B42-B1C7-78FF8512709B}" name="WBA2" dataDxfId="132"/>
    <tableColumn id="154" xr3:uid="{78C7D213-AD65-A147-B2D4-136490099172}" name="XOM" dataDxfId="131" dataCellStyle="Comma"/>
    <tableColumn id="155" xr3:uid="{5FC889AE-E8E8-0C48-B5C2-8A78C0BB67CB}" name="XOM1" dataDxfId="130" dataCellStyle="Comma"/>
    <tableColumn id="156" xr3:uid="{4431D097-8451-014D-BC06-B1985AD57878}" name="XOM2" dataDxfId="129"/>
    <tableColumn id="157" xr3:uid="{0E46A2D5-3273-B447-BEED-AE25F7D069CD}" name="XPER" dataDxfId="128" dataCellStyle="Comma"/>
    <tableColumn id="158" xr3:uid="{E61E2579-C816-774A-B173-ABA6CCC18EE0}" name="XPER1" dataDxfId="127" dataCellStyle="Comma"/>
    <tableColumn id="159" xr3:uid="{265E885E-1CAF-0748-9DE0-769739590A1B}" name="XPER2" dataDxfId="126"/>
    <tableColumn id="160" xr3:uid="{3820CAC2-68B6-3748-A506-ADBB9F837618}" name="MVEALDNE" dataDxfId="125" dataCellStyle="Comma"/>
    <tableColumn id="161" xr3:uid="{A0543065-1D11-C54C-960C-D08B13ADB829}" name="MVEALDNE1" dataDxfId="124" dataCellStyle="Comma"/>
    <tableColumn id="162" xr3:uid="{BD3314F7-04D1-874A-8549-329C72734F3D}" name="MVEALDNE2" dataDxfId="123" dataCellStyle="Comma"/>
    <tableColumn id="163" xr3:uid="{C8F49C24-279A-A346-B056-A737A6F85AE9}" name="MVEDDD" dataDxfId="122" dataCellStyle="Comma"/>
    <tableColumn id="164" xr3:uid="{B06AB4B5-078A-424C-87F9-13B7C649DD51}" name="MVEDDD1" dataDxfId="121" dataCellStyle="Comma"/>
    <tableColumn id="165" xr3:uid="{5D1FC6AB-E21E-C246-A0CF-D8247A189BAC}" name="MVEDDD2" dataDxfId="120" dataCellStyle="Comma"/>
    <tableColumn id="166" xr3:uid="{75E6225D-62D5-4742-AFA8-9736C31E2BFF}" name="MVEDSY" dataDxfId="119" dataCellStyle="Comma"/>
    <tableColumn id="167" xr3:uid="{966A6923-293E-2444-9A23-5F7BB5A04262}" name="MVEDSY1" dataDxfId="118" dataCellStyle="Comma"/>
    <tableColumn id="168" xr3:uid="{1118E635-3B19-DB46-9F11-B12BB1E875FC}" name="MVEDSY2" dataDxfId="117" dataCellStyle="Comma"/>
    <tableColumn id="169" xr3:uid="{2E957AA9-B081-A14E-9108-FF128A790B84}" name="MVEEOAN" dataDxfId="116" dataCellStyle="Comma"/>
    <tableColumn id="170" xr3:uid="{A0606DA9-0DC0-D14E-94B7-BDC8F26A844B}" name="MVEEOAN1" dataDxfId="115" dataCellStyle="Comma"/>
    <tableColumn id="171" xr3:uid="{03F498C0-CF20-AC4C-813D-E60D1042341A}" name="MVEEOAN2" dataDxfId="114" dataCellStyle="Comma"/>
    <tableColumn id="172" xr3:uid="{D4905E0E-6225-7A4B-B4D3-C4A9E8817C59}" name="MVEENI" dataDxfId="113" dataCellStyle="Comma"/>
    <tableColumn id="173" xr3:uid="{64B53446-A0B1-8246-B470-E50AB2C5EDC9}" name="MVEENI1" dataDxfId="112" dataCellStyle="Comma"/>
    <tableColumn id="174" xr3:uid="{1EE87B8D-7646-2748-9950-418A6569C95E}" name="MVEENI2" dataDxfId="111" dataCellStyle="Comma"/>
    <tableColumn id="175" xr3:uid="{CE13D8FB-3DD0-2D4D-8B70-CBBD6D591004}" name="MVEEPIX" dataDxfId="110" dataCellStyle="Comma"/>
    <tableColumn id="176" xr3:uid="{9685FEC9-D23A-4A49-A43D-9AFF22AF6B6B}" name="MVEEPIX1" dataDxfId="109" dataCellStyle="Comma"/>
    <tableColumn id="177" xr3:uid="{DD9AA91E-A700-B044-9B39-2039AD46446A}" name="MVEEPIX2" dataDxfId="108" dataCellStyle="Comma"/>
    <tableColumn id="178" xr3:uid="{E730A607-73BA-6741-8FD9-2DB67F9B782A}" name="MVEGLE" dataDxfId="107" dataCellStyle="Comma"/>
    <tableColumn id="179" xr3:uid="{BEB0F207-007F-BD4F-92A0-37F8695434E9}" name="MVEGLE1" dataDxfId="106" dataCellStyle="Comma"/>
    <tableColumn id="180" xr3:uid="{29F037D3-4405-6543-B349-A70079931FB1}" name="MVEGLE2" dataDxfId="105" dataCellStyle="Comma"/>
    <tableColumn id="181" xr3:uid="{C8B245DB-DF16-FC4F-931F-E81CB9BBF7B2}" name="MVEORA" dataDxfId="104" dataCellStyle="Comma"/>
    <tableColumn id="182" xr3:uid="{D903C307-9791-7445-84DE-4733652E096C}" name="MVEORA1" dataDxfId="103" dataCellStyle="Comma"/>
    <tableColumn id="183" xr3:uid="{B918E06A-7F74-4B48-9C49-E84E94857CE2}" name="MVEORA2" dataDxfId="102" dataCellStyle="Comma"/>
    <tableColumn id="184" xr3:uid="{15C75F0C-7812-B844-9CE0-4120E521988E}" name="MVERWE" dataDxfId="101" dataCellStyle="Comma"/>
    <tableColumn id="185" xr3:uid="{F34D96F3-8856-124C-B582-F166D95DE24E}" name="MVERWE1" dataDxfId="100" dataCellStyle="Comma"/>
    <tableColumn id="186" xr3:uid="{7C6D5177-8805-364D-96E9-808F000002BE}" name="MVERWE2" dataDxfId="99" dataCellStyle="Comma"/>
    <tableColumn id="187" xr3:uid="{6FDB4658-5ED5-3B4F-9594-F34A6C55A047}" name="MVESAP" dataDxfId="98" dataCellStyle="Comma"/>
    <tableColumn id="188" xr3:uid="{9172DE0E-F5D9-6D45-9FA5-13F9353D77CE}" name="MVESAP1" dataDxfId="97" dataCellStyle="Comma"/>
    <tableColumn id="189" xr3:uid="{440AACDB-64D0-FB4F-8A2A-D0897192C709}" name="MVESAP2" dataDxfId="96" dataCellStyle="Comma"/>
    <tableColumn id="190" xr3:uid="{0FCF7579-5965-604A-A65D-258362E4C2BE}" name="MVEUN0" dataDxfId="95" dataCellStyle="Comma"/>
    <tableColumn id="191" xr3:uid="{57F9CA37-2493-8148-8436-143BE0A5D9E0}" name="MVEUN01" dataDxfId="94" dataCellStyle="Comma"/>
    <tableColumn id="192" xr3:uid="{DFD39CE4-780E-884B-BC2E-280709B1BCDA}" name="MVEUN02" dataDxfId="93" dataCellStyle="Comma"/>
    <tableColumn id="193" xr3:uid="{E3D86E5C-3036-3745-9926-210CAAFAD7C8}" name="SAFAAPL" dataDxfId="92" dataCellStyle="Comma"/>
    <tableColumn id="194" xr3:uid="{FF18444A-A208-FE43-9CFF-64026A262E73}" name="SAFAAPL1" dataDxfId="91" dataCellStyle="Comma"/>
    <tableColumn id="195" xr3:uid="{84176513-3FA0-1545-94D9-D44CFF5883FA}" name="SAFAAPL2" dataDxfId="90" dataCellStyle="Comma"/>
    <tableColumn id="196" xr3:uid="{4CBA2AA6-F524-194B-A9E1-1915FFFFA4C8}" name="SAFAMZN" dataDxfId="89" dataCellStyle="Comma"/>
    <tableColumn id="197" xr3:uid="{AE80B7F0-A13E-BD45-803B-55C1C01EE9C5}" name="SAFAMZN1" dataDxfId="88" dataCellStyle="Comma"/>
    <tableColumn id="198" xr3:uid="{64F06311-56C7-E84F-BD4C-989A8B345110}" name="SAFAMZN2" dataDxfId="87" dataCellStyle="Comma"/>
    <tableColumn id="199" xr3:uid="{775363EB-0F54-C541-8562-4A379B17EADC}" name="SAFASML" dataDxfId="86" dataCellStyle="Comma"/>
    <tableColumn id="200" xr3:uid="{46C8FB70-49E5-DA4E-B9C6-85E89CBBB5D2}" name="SAFASML1" dataDxfId="85" dataCellStyle="Comma"/>
    <tableColumn id="201" xr3:uid="{5CFC5AE2-BB9E-BF4E-9536-714C86396EB9}" name="SAFASML2" dataDxfId="84" dataCellStyle="Comma"/>
    <tableColumn id="202" xr3:uid="{2B388994-C6C9-0145-B61B-B365A9E7944D}" name="SAFDDD" dataDxfId="83" dataCellStyle="Comma"/>
    <tableColumn id="203" xr3:uid="{EC7D730F-171D-5841-B2E3-8CCB70DE842F}" name="SAFDDD1" dataDxfId="82" dataCellStyle="Comma"/>
    <tableColumn id="204" xr3:uid="{5FAAEB35-DECD-244B-B6B4-4926CB30645A}" name="SAFDDD2" dataDxfId="81" dataCellStyle="Comma"/>
    <tableColumn id="205" xr3:uid="{AED14D0A-9588-F14F-9433-95F490D9E17E}" name="SAFDIS" dataDxfId="80" dataCellStyle="Comma"/>
    <tableColumn id="206" xr3:uid="{114427FC-7455-B04A-A6DD-826FA591A5EE}" name="SAFDIS1" dataDxfId="79" dataCellStyle="Comma"/>
    <tableColumn id="207" xr3:uid="{237C6617-E1E6-9A45-A95E-AF4856201610}" name="SAFDIS2" dataDxfId="78" dataCellStyle="Comma"/>
    <tableColumn id="208" xr3:uid="{4E509DFA-86B7-CD4F-9F15-18F2851CBFE7}" name="SAFGM" dataDxfId="77" dataCellStyle="Comma"/>
    <tableColumn id="209" xr3:uid="{E12ABEE4-9265-9343-9331-DC1DBFA56091}" name="SAFGM1" dataDxfId="76" dataCellStyle="Comma"/>
    <tableColumn id="210" xr3:uid="{B4D1E6C5-EA57-0545-9936-5131B6AFAB33}" name="SAFGM2" dataDxfId="75" dataCellStyle="Comma"/>
    <tableColumn id="211" xr3:uid="{27E94563-2841-AF44-882D-8B7C4CF26E41}" name="SAFIAG" dataDxfId="74" dataCellStyle="Comma"/>
    <tableColumn id="212" xr3:uid="{015596F7-028B-EF41-8610-35212F6C6E0A}" name="SAFIAG1" dataDxfId="73" dataCellStyle="Comma"/>
    <tableColumn id="213" xr3:uid="{1E90A488-7D24-2641-89A0-5E10BB30D3E2}" name="SAFIAG2" dataDxfId="72" dataCellStyle="Comma"/>
    <tableColumn id="214" xr3:uid="{E2934692-5F80-5142-A085-BAB3016D1D7D}" name="SAFMRNA" dataDxfId="71" dataCellStyle="Comma"/>
    <tableColumn id="215" xr3:uid="{B5288CAF-4E4E-6A41-8D03-CFF98B939A73}" name="SAFMRNA1" dataDxfId="70" dataCellStyle="Comma"/>
    <tableColumn id="216" xr3:uid="{E379AF68-9AF7-5645-B486-E8B292B5F7C7}" name="SAFMRNA2" dataDxfId="69" dataCellStyle="Comma"/>
    <tableColumn id="217" xr3:uid="{7669526C-C45D-164B-B7FC-D486C9FF0CED}" name="BLNK" dataDxfId="68" dataCellStyle="Comma"/>
    <tableColumn id="218" xr3:uid="{EB728490-D337-F843-A196-E31315AE89DA}" name="BLNK1" dataDxfId="67" dataCellStyle="Comma"/>
    <tableColumn id="219" xr3:uid="{49A5A043-B549-214A-915F-58CDC0E497DA}" name="BLNK2" dataDxfId="66" dataCellStyle="Comma"/>
    <tableColumn id="220" xr3:uid="{C225E383-5B3A-D246-BE92-549A7117AA19}" name="ENI" dataDxfId="65" dataCellStyle="Comma"/>
    <tableColumn id="221" xr3:uid="{58DD1976-BCC3-1641-94EA-C37E2379D322}" name="ENI1" dataDxfId="64" dataCellStyle="Comma"/>
    <tableColumn id="222" xr3:uid="{91099446-2ED1-AD42-B338-64989653AEF5}" name="ENI2" dataDxfId="63" dataCellStyle="Comma"/>
    <tableColumn id="223" xr3:uid="{94D8AF40-ECA0-354C-B75F-5D3226599EFC}" name="EZJ" dataDxfId="62" dataCellStyle="Comma"/>
    <tableColumn id="224" xr3:uid="{BF26A8AA-5B90-794F-BD83-D51B4040DBC5}" name="EZJ1" dataDxfId="61" dataCellStyle="Comma"/>
    <tableColumn id="225" xr3:uid="{3689C227-DC38-A04E-94B5-D5FC6B66A85B}" name="EZJ2" dataDxfId="60" dataCellStyle="Comma"/>
    <tableColumn id="226" xr3:uid="{FB7C2B18-95F9-9F48-B6F8-7107918C37B0}" name="F" dataDxfId="59" dataCellStyle="Comma"/>
    <tableColumn id="227" xr3:uid="{59201844-A7EE-0D4E-A913-002521A7DFF7}" name="F1" dataDxfId="58" dataCellStyle="Comma"/>
    <tableColumn id="228" xr3:uid="{2784B2D6-D849-AD47-9AE6-C37C7F718EDC}" name="F2" dataDxfId="57" dataCellStyle="Comma"/>
    <tableColumn id="229" xr3:uid="{5172CAD0-43DE-4A44-B3CF-A2D7F6ECA044}" name="GLE" dataDxfId="56" dataCellStyle="Comma"/>
    <tableColumn id="230" xr3:uid="{1A17A66C-4D5C-8947-A874-ED96997253F5}" name="GLE1" dataDxfId="55" dataCellStyle="Comma"/>
    <tableColumn id="231" xr3:uid="{51390D36-859F-F947-9F17-40DF6678074C}" name="GLE2" dataDxfId="54" dataCellStyle="Comma"/>
    <tableColumn id="232" xr3:uid="{E898C86B-1F4A-6D40-BBD5-FA08BEBDF164}" name="GNRC" dataDxfId="53" dataCellStyle="Comma"/>
    <tableColumn id="233" xr3:uid="{740B70BA-648E-4E48-A652-F470085294B4}" name="GNRC1" dataDxfId="52" dataCellStyle="Comma"/>
    <tableColumn id="234" xr3:uid="{2F969E41-2934-A047-B1B2-9FFA73F86BA4}" name="GNRC2" dataDxfId="51" dataCellStyle="Comma"/>
    <tableColumn id="235" xr3:uid="{68E93E7C-D13A-3E44-9E22-D0A4371CD0F0}" name="GS" dataDxfId="50" dataCellStyle="Comma"/>
    <tableColumn id="236" xr3:uid="{389DA179-71AB-FE4B-A39A-C93BCB1FB2E4}" name="GS1" dataDxfId="49" dataCellStyle="Comma"/>
    <tableColumn id="237" xr3:uid="{2E819FD9-9936-F240-8450-6DC6610CEBF5}" name="GS2" dataDxfId="48" dataCellStyle="Comma"/>
    <tableColumn id="238" xr3:uid="{FB45914F-65A5-4241-B148-E2F60812B6C3}" name="LAZR" dataDxfId="47" dataCellStyle="Comma"/>
    <tableColumn id="239" xr3:uid="{CF8C5BB1-A44F-1047-93BE-D4E505F70014}" name="LAZR1" dataDxfId="46" dataCellStyle="Comma"/>
    <tableColumn id="240" xr3:uid="{BBB6BF29-FDD1-8B42-AB8F-CC2B044F8E0E}" name="LAZR2" dataDxfId="45" dataCellStyle="Comma"/>
    <tableColumn id="241" xr3:uid="{4626281E-0051-5F41-918A-C974DAD7A8B8}" name="LUV" dataDxfId="44" dataCellStyle="Comma"/>
    <tableColumn id="242" xr3:uid="{DC6573B8-8548-A54D-B782-F4BA2982C75A}" name="LUV1" dataDxfId="43" dataCellStyle="Comma"/>
    <tableColumn id="243" xr3:uid="{7D3946E4-49FC-A94A-BA1E-9C8B10F808C3}" name="LUV2" dataDxfId="42" dataCellStyle="Comma"/>
    <tableColumn id="244" xr3:uid="{95FF93E3-248C-7F4E-8C0F-13E06B2E9B5F}" name="MA" dataDxfId="41" dataCellStyle="Comma"/>
    <tableColumn id="245" xr3:uid="{8D711E27-1BEF-FC4B-A240-9FF85F1F4FFE}" name="MA1" dataDxfId="40" dataCellStyle="Comma"/>
    <tableColumn id="246" xr3:uid="{C373D45E-C415-5A43-A25D-920AB52AD15D}" name="MA2" dataDxfId="39" dataCellStyle="Comma"/>
    <tableColumn id="247" xr3:uid="{B5DB9542-EF25-ED46-912C-E96C598C5B95}" name="NVAX" dataDxfId="38" dataCellStyle="Comma"/>
    <tableColumn id="248" xr3:uid="{E9ED7765-27CF-5540-915B-9709575A569F}" name="NVAX1" dataDxfId="37" dataCellStyle="Comma"/>
    <tableColumn id="249" xr3:uid="{5C6E1216-E6D3-E749-B59D-76C0424F9D79}" name="NVAX2" dataDxfId="36" dataCellStyle="Comma"/>
    <tableColumn id="250" xr3:uid="{703D6D6F-409A-4640-870E-8E56D1AEAA52}" name="NVS" dataDxfId="35" dataCellStyle="Comma"/>
    <tableColumn id="251" xr3:uid="{3C12C176-2B62-4145-B89E-20D020A45A29}" name="NVS1" dataDxfId="34" dataCellStyle="Comma"/>
    <tableColumn id="252" xr3:uid="{DA81076B-11C3-DD41-B2AE-FBB09632E161}" name="NVS2" dataDxfId="33" dataCellStyle="Comma"/>
    <tableColumn id="253" xr3:uid="{A4E40067-3EDA-2B47-B781-77DE32A0C3A4}" name="ORA" dataDxfId="32" dataCellStyle="Comma"/>
    <tableColumn id="254" xr3:uid="{EDE806CC-445C-D949-BA1D-8437B5C6C058}" name="ORA1" dataDxfId="31" dataCellStyle="Comma"/>
    <tableColumn id="255" xr3:uid="{F483F38C-62A6-2347-925B-49625ADB435F}" name="ORA2" dataDxfId="30" dataCellStyle="Comma"/>
    <tableColumn id="256" xr3:uid="{E840F141-B187-4E46-9FE1-56FE22148CE0}" name="OXY" dataDxfId="29" dataCellStyle="Comma"/>
    <tableColumn id="257" xr3:uid="{BB4D994A-23E5-F243-9E5A-EE72A43E6583}" name="OXY1" dataDxfId="28" dataCellStyle="Comma"/>
    <tableColumn id="258" xr3:uid="{6B4719B5-2341-5347-B41B-3E893EFD8F32}" name="OXY2" dataDxfId="27" dataCellStyle="Comma"/>
    <tableColumn id="259" xr3:uid="{B9F8C50C-AC54-B245-901E-AC81835A888D}" name="PFE" dataDxfId="26" dataCellStyle="Comma"/>
    <tableColumn id="260" xr3:uid="{200440A7-9597-5541-B06F-5394908ECBD4}" name="PFE1" dataDxfId="25" dataCellStyle="Comma"/>
    <tableColumn id="261" xr3:uid="{BD830D5D-B303-4E4C-90F5-1BE90210D860}" name="PFE2" dataDxfId="24" dataCellStyle="Comma"/>
    <tableColumn id="262" xr3:uid="{E95C3C1D-D1DA-7341-A6C7-350240ABB556}" name="RIG" dataDxfId="23" dataCellStyle="Comma"/>
    <tableColumn id="263" xr3:uid="{903313B4-7B9D-154A-AE3D-77FD3F20BF47}" name="RIG1" dataDxfId="22" dataCellStyle="Comma"/>
    <tableColumn id="264" xr3:uid="{E9244164-4FD9-7746-BD3E-4849A574AB73}" name="RIG2" dataDxfId="21" dataCellStyle="Comma"/>
    <tableColumn id="265" xr3:uid="{9B1C2547-CF68-CF4F-93A0-EA05F87A3A64}" name="RRC" dataDxfId="20" dataCellStyle="Comma"/>
    <tableColumn id="266" xr3:uid="{CD08F2A2-DF91-AA4D-959F-CFB14552D844}" name="RRC1" dataDxfId="19" dataCellStyle="Comma"/>
    <tableColumn id="267" xr3:uid="{CDC2D8B0-B269-7744-BD53-210E13C0BD55}" name="RRC2" dataDxfId="18" dataCellStyle="Comma"/>
    <tableColumn id="268" xr3:uid="{845D5BAB-F92C-FF45-8A4C-8139058F1117}" name="XYZ" dataDxfId="17" dataCellStyle="Comma"/>
    <tableColumn id="269" xr3:uid="{A539E0AA-586B-1245-BC7F-E4BA7C46540E}" name="XYZ1" dataDxfId="16" dataCellStyle="Comma"/>
    <tableColumn id="270" xr3:uid="{6E0B2157-4642-5045-B4BB-094AE6BFA747}" name="XYZ2" dataDxfId="15" dataCellStyle="Comma"/>
    <tableColumn id="271" xr3:uid="{9D7AA151-B32B-AF46-8E71-B15590BD1888}" name="THC" dataDxfId="14" dataCellStyle="Comma"/>
    <tableColumn id="272" xr3:uid="{1578BB9F-0EBD-3D44-A97E-58279FD356E8}" name="THC1" dataDxfId="13" dataCellStyle="Comma"/>
    <tableColumn id="273" xr3:uid="{E1B590BB-BE88-E842-931D-959A64574D89}" name="THC2" dataDxfId="12" dataCellStyle="Comma"/>
    <tableColumn id="274" xr3:uid="{2C6A0043-B3F5-0E42-9DCF-DB694535043F}" name="X" dataDxfId="11" dataCellStyle="Comma"/>
    <tableColumn id="275" xr3:uid="{618B8C28-7E04-1844-8C5A-7C077244BE3C}" name="X1" dataDxfId="10" dataCellStyle="Comma"/>
    <tableColumn id="276" xr3:uid="{4BE104A1-9211-4F4C-94BA-24883EE05EB2}" name="X2" dataDxfId="9" dataCellStyle="Comma"/>
    <tableColumn id="277" xr3:uid="{9CF61E2D-7D69-3A47-BA46-58E661CC2A03}" name="LOCK" dataDxfId="8" dataCellStyle="Comma"/>
    <tableColumn id="278" xr3:uid="{3CEABE9C-FBED-B14E-B347-305053C76B00}" name="LOCK1" dataDxfId="7" dataCellStyle="Comma"/>
    <tableColumn id="279" xr3:uid="{0C18DBDC-FECC-3341-B235-DF1E9063D6FB}" name="LOCK2" dataDxfId="6" dataCellStyle="Comma"/>
    <tableColumn id="280" xr3:uid="{0957126C-3AC2-FC46-9CCE-9CDB97F3259D}" name="JBASML" dataDxfId="5" dataCellStyle="Comma"/>
    <tableColumn id="281" xr3:uid="{4E796D8B-0B1A-A24E-846F-D5CA1530C11A}" name="JBASML1" dataDxfId="4" dataCellStyle="Comma"/>
    <tableColumn id="282" xr3:uid="{05B1CEE8-DE7A-8648-AA60-B3D6FFC1C0B4}" name="JBASML2" dataDxfId="3" dataCellStyle="Comma"/>
    <tableColumn id="283" xr3:uid="{D1D8A769-1420-5846-BE54-E349675C5315}" name="JBEOAN" dataDxfId="2" dataCellStyle="Comma"/>
    <tableColumn id="284" xr3:uid="{AFC92BED-9DE5-594B-8735-E720CDAEFC29}" name="JBEOAN1" dataDxfId="1" dataCellStyle="Comma"/>
    <tableColumn id="285" xr3:uid="{5F4263ED-C98D-B847-B128-EAB2E7CD8E43}" name="JBEOAN2"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L19" dT="2025-03-05T23:00:50.45" personId="{8A1DC52A-7F3B-174C-A58C-47297FBFA3B2}" id="{09D9AF85-40DA-9140-AD90-3798BF19C569}">
    <text xml:space="preserve">If newA&lt;S
</text>
  </threadedComment>
</ThreadedComments>
</file>

<file path=xl/threadedComments/threadedComment2.xml><?xml version="1.0" encoding="utf-8"?>
<ThreadedComments xmlns="http://schemas.microsoft.com/office/spreadsheetml/2018/threadedcomments" xmlns:x="http://schemas.openxmlformats.org/spreadsheetml/2006/main">
  <threadedComment ref="D3" dT="2025-02-08T16:32:21.08" personId="{8A1DC52A-7F3B-174C-A58C-47297FBFA3B2}" id="{0F3CC822-2037-444A-9EE3-BC594F4A6744}">
    <text>Relation(CurrentDayVolume)/(AverageVolume)vs.(TimeSinceExchangeOpen)</text>
  </threadedComment>
  <threadedComment ref="B4" dT="2025-01-18T19:15:10.28" personId="{8A1DC52A-7F3B-174C-A58C-47297FBFA3B2}" id="{DE9C5028-2DF2-CB4C-A5C2-508E06AA48CC}">
    <text>Green fill parameters are real-time collected (Refinitive)</text>
  </threadedComment>
  <threadedComment ref="R10" dT="2025-03-05T23:00:50.45" personId="{8A1DC52A-7F3B-174C-A58C-47297FBFA3B2}" id="{5DF87627-8CC0-6048-947C-BB52A35ECC7D}">
    <text xml:space="preserve">If newA&lt;S
</text>
  </threadedComment>
  <threadedComment ref="S25" dT="2025-03-05T23:00:50.45" personId="{8A1DC52A-7F3B-174C-A58C-47297FBFA3B2}" id="{D9E3711E-C374-1946-88A7-A3386C7F9257}">
    <text xml:space="preserve">When newA&lt;A the result is 
New A= (N*A - n*S)/(N-n);
In particular for n=k*N, k&lt;1
newA&lt;=(2A-S), in general
newA=(A-kS)/(1-k)
New value V=(kM+(1-k)A)N
</text>
  </threadedComment>
  <threadedComment ref="DU34" dT="2025-08-25T15:33:39.85" personId="{8A1DC52A-7F3B-174C-A58C-47297FBFA3B2}" id="{C767CD06-4D51-8040-9D61-659A9FECE44F}">
    <text xml:space="preserve">MVE
</text>
  </threadedComment>
  <threadedComment ref="DU41" dT="2025-08-25T15:33:17.50" personId="{8A1DC52A-7F3B-174C-A58C-47297FBFA3B2}" id="{6A6CD30C-B15D-2D40-BBF5-EF3E17914281}">
    <text xml:space="preserve">MVE
</text>
  </threadedComment>
  <threadedComment ref="A56" dT="2025-02-01T23:33:30.99" personId="{8A1DC52A-7F3B-174C-A58C-47297FBFA3B2}" id="{E1ABA867-6041-694C-B7AA-5056252287EF}">
    <text>Total cost = 
Cost of shares bought - 
Revenue from shares sold</text>
  </threadedComment>
  <threadedComment ref="C56" dT="2025-02-08T17:37:41.69" personId="{8A1DC52A-7F3B-174C-A58C-47297FBFA3B2}" id="{1F1CB195-3AA5-0245-80B0-4DCDA754D110}">
    <text>Effective cost is equal to the cost of all purchases minus the revenue of all sales</text>
  </threadedComment>
  <threadedComment ref="DJ108" dT="2025-08-25T15:33:39.85" personId="{8A1DC52A-7F3B-174C-A58C-47297FBFA3B2}" id="{552EF1AB-78AD-4448-84B9-3C95E0969F58}">
    <text xml:space="preserve">MVE
</text>
  </threadedComment>
  <threadedComment ref="DJ115" dT="2025-08-25T15:33:17.50" personId="{8A1DC52A-7F3B-174C-A58C-47297FBFA3B2}" id="{8AA3CB45-C783-124D-B52A-2A1BA9BE6BC7}">
    <text xml:space="preserve">MVE
</text>
  </threadedComment>
  <threadedComment ref="C116" dT="2025-02-08T17:30:01.59" personId="{8A1DC52A-7F3B-174C-A58C-47297FBFA3B2}" id="{A8070C35-B9E1-E548-B063-975539C3FFFF}">
    <text>Difference between the original number of shares and the current one</text>
  </threadedComment>
  <threadedComment ref="C117" dT="2025-02-08T17:31:16.07" personId="{8A1DC52A-7F3B-174C-A58C-47297FBFA3B2}" id="{5B431876-B5FB-8741-8158-B49071C22017}">
    <text>Value of extra stock (difference between the original number of shares and the current one)</text>
  </threadedComment>
</ThreadedComments>
</file>

<file path=xl/threadedComments/threadedComment3.xml><?xml version="1.0" encoding="utf-8"?>
<ThreadedComments xmlns="http://schemas.microsoft.com/office/spreadsheetml/2018/threadedcomments" xmlns:x="http://schemas.openxmlformats.org/spreadsheetml/2006/main">
  <threadedComment ref="X15" dT="2025-08-20T14:48:11.09" personId="{8A1DC52A-7F3B-174C-A58C-47297FBFA3B2}" id="{D0395B5C-58BC-4444-8043-B1A8B5420B7F}">
    <text>For the same calculation</text>
  </threadedComment>
  <threadedComment ref="Y37" dT="2025-09-05T13:16:05.15" personId="{8A1DC52A-7F3B-174C-A58C-47297FBFA3B2}" id="{00A7F780-2B98-4347-AD42-DA65554E0826}">
    <text>Just another formula</text>
  </threadedComment>
  <threadedComment ref="AC37" dT="2025-09-10T09:50:30.70" personId="{8A1DC52A-7F3B-174C-A58C-47297FBFA3B2}" id="{A61A36B9-6D06-894B-A58D-3B39EE47C0BF}">
    <text>Just another formula</text>
  </threadedComment>
</ThreadedComments>
</file>

<file path=xl/threadedComments/threadedComment4.xml><?xml version="1.0" encoding="utf-8"?>
<ThreadedComments xmlns="http://schemas.microsoft.com/office/spreadsheetml/2018/threadedcomments" xmlns:x="http://schemas.openxmlformats.org/spreadsheetml/2006/main">
  <threadedComment ref="B3" dT="2025-09-29T12:35:00.08" personId="{8A1DC52A-7F3B-174C-A58C-47297FBFA3B2}" id="{B6FCC38C-03C1-F644-9656-2BAD7549507B}">
    <text>9/29/25</text>
  </threadedComment>
  <threadedComment ref="A5" dT="2025-05-29T21:03:13.03" personId="{8A1DC52A-7F3B-174C-A58C-47297FBFA3B2}" id="{28C17D77-177E-2646-A328-6DEB83E70D66}">
    <text>How many shares to sell to get the position free (of zero cost)</text>
  </threadedComment>
  <threadedComment ref="B7" dT="2025-06-24T20:09:44.43" personId="{8A1DC52A-7F3B-174C-A58C-47297FBFA3B2}" id="{B60A0E20-D41B-F34D-9F09-4917BCCFC640}">
    <text>Current Stock+ReBuy@M, 
at Y</text>
  </threadedComment>
  <threadedComment ref="B8" dT="2025-06-24T20:06:01.79" personId="{8A1DC52A-7F3B-174C-A58C-47297FBFA3B2}" id="{E1D6F229-C3AE-7848-BEAD-A9669A1882D4}">
    <text>Current Stock, 
on Y</text>
  </threadedComment>
  <threadedComment ref="B9" dT="2025-06-24T20:59:12.45" personId="{8A1DC52A-7F3B-174C-A58C-47297FBFA3B2}" id="{21F14720-6B3F-D043-B419-7E7DD7B9E789}">
    <text>ReBuy @M Gain/Loss vs 
Current stock Gain/Loss @Y</text>
  </threadedComment>
  <threadedComment ref="A11" dT="2025-06-13T16:10:35.01" personId="{8A1DC52A-7F3B-174C-A58C-47297FBFA3B2}" id="{7EFC1CEC-5521-374A-89C0-EC9FC9E1EDE2}">
    <text>Sell above worst purchase price</text>
  </threadedComment>
  <threadedComment ref="B11" dT="2025-05-29T21:01:57.30" personId="{8A1DC52A-7F3B-174C-A58C-47297FBFA3B2}" id="{A041CC84-4DC3-6845-AA5C-38999E3E74B8}">
    <text>The price of shares to buy (number equal to Remaining) to have zero Gaiin/Loss</text>
  </threadedComment>
  <threadedComment ref="D14" dT="2025-07-03T16:54:49.63" personId="{8A1DC52A-7F3B-174C-A58C-47297FBFA3B2}" id="{3B98603A-A95D-BC42-8605-44FEF5743B13}">
    <text>To the average cost per share</text>
  </threadedComment>
  <threadedComment ref="F20" dT="2025-05-20T20:21:42.12" personId="{8A1DC52A-7F3B-174C-A58C-47297FBFA3B2}" id="{E7834834-7108-3A49-8E68-27B00FDF41E7}">
    <text>Gbp Currency Scaling not taken into account below</text>
  </threadedComment>
  <threadedComment ref="R21" dT="2025-08-15T12:18:03.89" personId="{8A1DC52A-7F3B-174C-A58C-47297FBFA3B2}" id="{E8E78C57-3D45-BB4A-AA04-03B3B4BEEB02}">
    <text>Number of shares with a value of 40,000 (1 lot)</text>
  </threadedComment>
  <threadedComment ref="Z21" dT="2025-09-30T12:58:33.35" personId="{8A1DC52A-7F3B-174C-A58C-47297FBFA3B2}" id="{5991728E-023E-8548-9330-852BF1055778}">
    <text>Nonzero value for Consolid</text>
  </threadedComment>
  <threadedComment ref="O22" dT="2025-06-13T16:18:56.99" personId="{8A1DC52A-7F3B-174C-A58C-47297FBFA3B2}" id="{F2E6A3FA-BDC2-8443-993A-EADB4CCAAA24}">
    <text>(Sell Above)</text>
  </threadedComment>
</ThreadedComments>
</file>

<file path=xl/threadedComments/threadedComment5.xml><?xml version="1.0" encoding="utf-8"?>
<ThreadedComments xmlns="http://schemas.microsoft.com/office/spreadsheetml/2018/threadedcomments" xmlns:x="http://schemas.openxmlformats.org/spreadsheetml/2006/main">
  <threadedComment ref="AK1" dT="2025-08-28T10:23:30.50" personId="{8A1DC52A-7F3B-174C-A58C-47297FBFA3B2}" id="{144CDF80-6F64-B14C-9F34-66339FAE41BE}">
    <text xml:space="preserve">R stays for Remaining
Don't buy if M&gt;A, or M&gt; max(R)
</text>
  </threadedComment>
  <threadedComment ref="AO1" dT="2025-08-28T10:23:30.50" personId="{8A1DC52A-7F3B-174C-A58C-47297FBFA3B2}" id="{1ACBFE9E-58F9-4A47-9CFC-6086A284B57E}">
    <text xml:space="preserve">R stays for Remaining
Don't buy if M&gt;A, or M&gt; max(R)
</text>
  </threadedComment>
  <threadedComment ref="AS1" dT="2025-08-14T11:35:00.12" personId="{8A1DC52A-7F3B-174C-A58C-47297FBFA3B2}" id="{5736B209-3FA3-EC4A-87BB-D4E40554888C}">
    <text>Last 20 trading days</text>
  </threadedComment>
  <threadedComment ref="AE2" dT="2025-09-05T10:24:10.02" personId="{8A1DC52A-7F3B-174C-A58C-47297FBFA3B2}" id="{C207A891-D055-8F4E-9A76-6A2554FA4E0D}">
    <text>Sell or Buy (MUp) meaning:
Sell at M&gt;last sale , or
Buy with expectation of further soaring?
Buy or Sell (MDown)  meaning:
Buy at M&lt;last purchase, or
Sell with expectation of further drop (expecting to rebuy later)?</text>
  </threadedComment>
  <threadedComment ref="AH2" dT="2025-10-13T19:44:19.15" personId="{8A1DC52A-7F3B-174C-A58C-47297FBFA3B2}" id="{96C4DA76-72EE-994D-906D-58971C7F892A}">
    <text xml:space="preserve">Sorted on  Reverse:
GL from nM
Sorted on MUp
additiona GL for another nM
Sorted on MDown
Additional virtual GL on Buy more nM
</text>
  </threadedComment>
  <threadedComment ref="AI2" dT="2025-09-15T17:23:01.81" personId="{8A1DC52A-7F3B-174C-A58C-47297FBFA3B2}" id="{12DC2977-8E14-7F49-BB06-7ED34AEAB7F9}">
    <text>When M Up: Sell or Buy: 
Potential  revenue N vs. A
(number of shares sold: min of last sale and available stock
When M Down: Buy or Sell: 
Stock value at M</text>
  </threadedComment>
  <threadedComment ref="AJ2" dT="2025-07-28T10:00:57.64" personId="{8A1DC52A-7F3B-174C-A58C-47297FBFA3B2}" id="{8B64F07E-7D6D-0A4A-A714-4EB622F7B6E0}">
    <text>SellMore: M vs. A</text>
  </threadedComment>
  <threadedComment ref="AM2" dT="2025-09-09T14:34:22.22" personId="{8A1DC52A-7F3B-174C-A58C-47297FBFA3B2}" id="{8690499B-FF21-CA45-9587-694D9F9A5E0D}">
    <text xml:space="preserve">Annualized GL for the last purchase:
(M-PurchasePrice)/days*360
</text>
  </threadedComment>
  <threadedComment ref="AN2" dT="2025-09-09T14:32:45.09" personId="{8A1DC52A-7F3B-174C-A58C-47297FBFA3B2}" id="{23F190C4-8311-BC44-B180-A17F13EED9F2}">
    <text xml:space="preserve">Markov chain probability to go Up (history of 3-cell chains DZU) </text>
  </threadedComment>
  <threadedComment ref="AT2" dT="2025-06-30T16:22:35.12" personId="{8A1DC52A-7F3B-174C-A58C-47297FBFA3B2}" id="{1BB462EA-CD41-2C47-9D8E-BE2640DCC4BD}">
    <text>Traps are made by the last trade only.</text>
  </threadedComment>
  <threadedComment ref="BK2" dT="2025-09-29T11:45:54.58" personId="{8A1DC52A-7F3B-174C-A58C-47297FBFA3B2}" id="{4E16C3F5-8C8E-F14C-A8A5-5F38079CE677}">
    <text>Number of shares bought at  highest price that is smaller  than or equal to lookup value (negative market price -M)</text>
  </threadedComment>
  <threadedComment ref="BA3" dT="2025-06-24T20:09:44.43" personId="{8A1DC52A-7F3B-174C-A58C-47297FBFA3B2}" id="{2C98D10A-5BEF-5944-822A-58DDC124ECC3}">
    <text>Current Stock+ReBuy@M, 
at Y</text>
  </threadedComment>
</ThreadedComments>
</file>

<file path=xl/threadedComments/threadedComment6.xml><?xml version="1.0" encoding="utf-8"?>
<ThreadedComments xmlns="http://schemas.microsoft.com/office/spreadsheetml/2018/threadedcomments" xmlns:x="http://schemas.openxmlformats.org/spreadsheetml/2006/main">
  <threadedComment ref="C2" dT="2025-02-08T16:36:17.95" personId="{8A1DC52A-7F3B-174C-A58C-47297FBFA3B2}" id="{A8A6EEDC-8F4E-1E4E-81F4-A4E446BABA21}">
    <text>Number of shares originally owned</text>
  </threadedComment>
  <threadedComment ref="G2" dT="2025-02-08T16:46:15.94" personId="{8A1DC52A-7F3B-174C-A58C-47297FBFA3B2}" id="{ADE8A951-AC39-B142-8BA1-E525B4E082DD}">
    <text>Current stock (after all transactions)</text>
  </threadedComment>
  <threadedComment ref="L2" dT="2025-02-09T12:44:22.64" personId="{8A1DC52A-7F3B-174C-A58C-47297FBFA3B2}" id="{1BC095DB-2CA2-334E-BEE4-48D5EEE2C069}">
    <text>Effective price on position
Free: if all cost is already recuperated
GREEN fill &lt;min(M-Price, Y)
GREEN font double M&gt;Y
GREEN font abs(E)&lt;M
RED abs(E)&gt;max(M-Price, Y)</text>
  </threadedComment>
  <threadedComment ref="O2" dT="2025-09-08T17:20:11.72" personId="{8A1DC52A-7F3B-174C-A58C-47297FBFA3B2}" id="{E232150E-BF95-FA45-9F7A-8F23B6F1005D}">
    <text>Difference between
Markov% 
Up and Down</text>
  </threadedComment>
  <threadedComment ref="P2" dT="2025-09-05T13:47:41.45" personId="{8A1DC52A-7F3B-174C-A58C-47297FBFA3B2}" id="{AE011861-0A03-2746-8AD0-B0F6FC56E77E}">
    <text>Difference between the probabilities for forward and downward movement.</text>
  </threadedComment>
  <threadedComment ref="R2" dT="2025-09-08T17:20:32.54" personId="{8A1DC52A-7F3B-174C-A58C-47297FBFA3B2}" id="{8DBBCC43-0D2A-0146-A346-21E053C82492}">
    <text>Difference between % 
Up and Down</text>
  </threadedComment>
  <threadedComment ref="S2" dT="2025-09-05T15:11:02.16" personId="{8A1DC52A-7F3B-174C-A58C-47297FBFA3B2}" id="{11FBBA63-D251-DA47-B3DD-F5BEA86CC914}">
    <text>Directional Probability - Weighted Correlation</text>
  </threadedComment>
  <threadedComment ref="T2" dT="2025-09-05T14:41:47.45" personId="{8A1DC52A-7F3B-174C-A58C-47297FBFA3B2}" id="{68E60758-C4D0-974E-95E6-30F9828EE6BA}">
    <text>Directional Probability - Weighted Correlation</text>
  </threadedComment>
  <threadedComment ref="U2" dT="2025-09-16T15:39:21.91" personId="{8A1DC52A-7F3B-174C-A58C-47297FBFA3B2}" id="{BDD6FB8F-21A0-924C-AEDF-6493E7D24B6B}">
    <text>Shares above the market price</text>
  </threadedComment>
  <threadedComment ref="V2" dT="2025-09-16T15:39:45.30" personId="{8A1DC52A-7F3B-174C-A58C-47297FBFA3B2}" id="{2EA1BBCF-5097-1047-B45B-038BDF4DBFFB}">
    <text>Shares below the market price</text>
  </threadedComment>
  <threadedComment ref="W2" dT="2025-09-15T22:27:40.24" personId="{8A1DC52A-7F3B-174C-A58C-47297FBFA3B2}" id="{44F3808B-AF32-BD41-A2CC-020BB39E8A06}">
    <text>Neutral rice zone around the market rice M (+/- % NetralZoneM)
0.5% in ws ID</text>
  </threadedComment>
  <threadedComment ref="Y2" dT="2025-03-08T15:59:50.12" personId="{8A1DC52A-7F3B-174C-A58C-47297FBFA3B2}" id="{541D638A-B6CE-814A-B981-B1D5C58D6026}">
    <text>How many shares to buy to make 
A [cost per share] &lt; Y[1YTarg]
In the formula when @E&gt;0, position is at Gain</text>
  </threadedComment>
  <threadedComment ref="Z2" dT="2025-10-13T19:35:44.87" personId="{8A1DC52A-7F3B-174C-A58C-47297FBFA3B2}" id="{B3AB1925-73EC-F049-8002-AF6C66DCAECC}">
    <text>Reverse sale: 
min of remaining stock</text>
  </threadedComment>
  <threadedComment ref="AP2" dT="2025-02-17T14:13:44.53" personId="{8A1DC52A-7F3B-174C-A58C-47297FBFA3B2}" id="{06A96AA1-EE1F-CD4C-9F2A-3A39EE287510}">
    <text xml:space="preserve">Saldo of the day=
M_Value x Change%
</text>
  </threadedComment>
  <threadedComment ref="AT2" dT="2025-02-20T22:08:22.61" personId="{8A1DC52A-7F3B-174C-A58C-47297FBFA3B2}" id="{9371267B-FD54-DB4C-A430-CAFF18FF39A7}">
    <text>BUY to REFILL position, if:
E&gt;0: stock cost is  already recuperated, or 
abs(E) &lt; last sale L_SP
On effective price E =&gt; last sale transaction reverse is not recommended
B_more: On M&gt;L_SP, independently of E value</text>
  </threadedComment>
  <threadedComment ref="AV2" dT="2025-02-21T00:46:17.50" personId="{8A1DC52A-7F3B-174C-A58C-47297FBFA3B2}" id="{F6C00C09-21F5-CB40-87DE-5C57CACCD159}">
    <text>Free trade if E&gt;0
Don’t resell on low M_Price:
M GT and(E, lastBuy)</text>
  </threadedComment>
  <threadedComment ref="AX2" dT="2025-02-22T10:23:49.52" personId="{8A1DC52A-7F3B-174C-A58C-47297FBFA3B2}" id="{8626F2A3-67DD-8B45-9354-1D7838EF204F}">
    <text>sign(M-Y)*(M-Y)**3/(Y*M)
?</text>
  </threadedComment>
  <threadedComment ref="AY2" dT="2025-02-02T00:52:18.59" personId="{8A1DC52A-7F3B-174C-A58C-47297FBFA3B2}" id="{AE42AC27-4767-1F45-ABE5-1AC1CA139BC7}">
    <text>Shares actually sold from original position (so, current position is smaller than the one n the beginning)</text>
  </threadedComment>
  <threadedComment ref="BC2" dT="2025-02-01T17:28:12.91" personId="{8A1DC52A-7F3B-174C-A58C-47297FBFA3B2}" id="{DE182165-2D5F-5D42-A91F-2F59F1722AD4}">
    <text>Hypothetical No-Trade-Case
Column unused</text>
  </threadedComment>
  <threadedComment ref="BD2" dT="2025-02-01T21:04:51.27" personId="{8A1DC52A-7F3B-174C-A58C-47297FBFA3B2}" id="{0ED22159-ECAC-364A-BB47-E2CB49F60E49}">
    <text>No-Trade-Case: 
Hypothetical Gain/Loss</text>
  </threadedComment>
  <threadedComment ref="BE2" dT="2025-02-01T21:03:57.14" personId="{8A1DC52A-7F3B-174C-A58C-47297FBFA3B2}" id="{CD9AC06C-FA1D-2544-9ABF-3FD45733941B}">
    <text xml:space="preserve">Current market value
</text>
  </threadedComment>
  <threadedComment ref="BF2" dT="2025-02-02T01:23:20.21" personId="{8A1DC52A-7F3B-174C-A58C-47297FBFA3B2}" id="{9C0043D0-DC46-9849-9BF5-295C8313B3A6}">
    <text>New spendings (for trades)</text>
  </threadedComment>
  <threadedComment ref="BG2" dT="2025-02-28T20:50:29.47" personId="{8A1DC52A-7F3B-174C-A58C-47297FBFA3B2}" id="{0D905DCA-58AA-5442-B077-A181026BB62B}">
    <text xml:space="preserve">Trade Result - 
new position cost- 
cost begin 
</text>
  </threadedComment>
  <threadedComment ref="BH2" dT="2025-06-19T10:24:03.65" personId="{8A1DC52A-7F3B-174C-A58C-47297FBFA3B2}" id="{82C8C7D0-03A1-234E-911E-AA4AB4F44CA7}">
    <text>Actual m_Value -original value (=original cost)</text>
  </threadedComment>
  <threadedComment ref="BI2" dT="2025-02-01T22:05:08.41" personId="{8A1DC52A-7F3B-174C-A58C-47297FBFA3B2}" id="{71E5E94D-E505-A348-AA7E-A898B268E548}">
    <text>Total spent: the amount used to buy shares, sales revenue not taken into account</text>
  </threadedComment>
  <threadedComment ref="BJ2" dT="2025-02-01T23:28:02.45" personId="{8A1DC52A-7F3B-174C-A58C-47297FBFA3B2}" id="{447A1541-66F4-134D-9252-4D89B5590282}">
    <text>Effective spent of position = 
Cost of shares bought - 
Revenue from shares sold
NB: Current market value isn’t taken into account</text>
  </threadedComment>
  <threadedComment ref="BK2" dT="2025-02-02T00:16:57.49" personId="{8A1DC52A-7F3B-174C-A58C-47297FBFA3B2}" id="{2CB088A2-92C8-F64A-99D3-0B906B3150C6}">
    <text>Revenue from trades</text>
  </threadedComment>
  <threadedComment ref="BL2" dT="2025-02-09T12:43:19.68" personId="{8A1DC52A-7F3B-174C-A58C-47297FBFA3B2}" id="{4DE414DF-F5B4-3E48-82A5-12F704C3E5E0}">
    <text>Result of position:
Effective cost + Market value</text>
  </threadedComment>
  <threadedComment ref="BM2" dT="2025-02-01T21:03:57.14" personId="{8A1DC52A-7F3B-174C-A58C-47297FBFA3B2}" id="{C6C16620-B9F3-6446-B93A-AE0D1464D771}">
    <text>Current market value
Eff. cost &lt; Gain/Loss</text>
  </threadedComment>
  <threadedComment ref="BN2" dT="2025-02-01T22:38:38.43" personId="{8A1DC52A-7F3B-174C-A58C-47297FBFA3B2}" id="{73A8C02F-2ECC-C542-BB91-9734447BF864}">
    <text>Total number of shares bought</text>
  </threadedComment>
  <threadedComment ref="BO2" dT="2025-02-01T23:46:04.62" personId="{8A1DC52A-7F3B-174C-A58C-47297FBFA3B2}" id="{DBC4D0FF-7A14-2745-9CD3-94CDDBCF4F5C}">
    <text>Number of shares additionally bought (during trading) after the establishment of the original position</text>
  </threadedComment>
  <threadedComment ref="BP2" dT="2025-02-01T23:46:27.87" personId="{8A1DC52A-7F3B-174C-A58C-47297FBFA3B2}" id="{A645EA7E-CC45-B24D-84EE-A315BA389338}">
    <text>Number of shares sold after the establishment of the original position</text>
  </threadedComment>
  <threadedComment ref="BQ2" dT="2025-02-08T16:48:59.11" personId="{8A1DC52A-7F3B-174C-A58C-47297FBFA3B2}" id="{2CF0F987-B046-D449-ADB8-057864EDF189}">
    <text xml:space="preserve">Analysis of BUY Reverse: LS&gt;M&gt;E case:
M=NE/((n*(k+2),
Where 
k.M=Last sale price, k&gt;1,
	as last sale reverse buy is 	analyzed here, M&gt;L_SP)
N - number of shares,
E - effective price,
n - last sale number of shares.
Basic case N=n (reverse stock)
</text>
  </threadedComment>
  <threadedComment ref="BR2" dT="2025-02-02T01:20:13.12" personId="{8A1DC52A-7F3B-174C-A58C-47297FBFA3B2}" id="{D737190E-FF3C-DA4F-B211-B710BEDEC840}">
    <text>Position status:
Pile: if no trade gives better revenue
Trade: if trading history (including market value) 
is showing result better than no trading case</text>
  </threadedComment>
  <threadedComment ref="BS2" dT="2025-02-08T16:27:57.07" personId="{8A1DC52A-7F3B-174C-A58C-47297FBFA3B2}" id="{4DA4D09D-2332-4941-A0B2-808FB7E8BF02}">
    <text>Stock Exchange last trade time</text>
  </threadedComment>
  <threadedComment ref="BU2" dT="2025-02-09T11:28:19.34" personId="{8A1DC52A-7F3B-174C-A58C-47297FBFA3B2}" id="{DF752F22-3244-284D-BF5D-49D1B52AB1F5}">
    <text>Vertical index NewReg</text>
  </threadedComment>
  <threadedComment ref="BV2" dT="2025-02-09T11:29:05.52" personId="{8A1DC52A-7F3B-174C-A58C-47297FBFA3B2}" id="{204C7865-35C1-694A-AE58-D31D8F10EE1D}">
    <text>Horizontal index NewReg</text>
  </threadedComment>
  <threadedComment ref="BW2" dT="2025-02-08T16:25:24.30" personId="{8A1DC52A-7F3B-174C-A58C-47297FBFA3B2}" id="{10A77EFF-6C20-0249-82C8-8488F44A6BEF}">
    <text>Last Trade Date
(Independently buy or sell</text>
  </threadedComment>
  <threadedComment ref="BY2" dT="2025-02-09T12:45:36.86" personId="{8A1DC52A-7F3B-174C-A58C-47297FBFA3B2}" id="{8F4E3459-60E9-A146-B036-EC5081B4818B}">
    <text>Last trade number of shares</text>
  </threadedComment>
  <threadedComment ref="CK2" dT="2025-02-02T01:57:00.62" personId="{8A1DC52A-7F3B-174C-A58C-47297FBFA3B2}" id="{B37EFCD5-2C9B-E54B-9497-FD124C7007C4}">
    <text>Last Purchase date</text>
  </threadedComment>
  <threadedComment ref="CT2" dT="2025-02-22T17:21:02.74" personId="{8A1DC52A-7F3B-174C-A58C-47297FBFA3B2}" id="{B272A6A3-CDE9-E544-A0D8-B66D74615A54}">
    <text>How many shares 
to BUY to make 
T_Bound (=1500/2000) 
gain of compared with the 
last SALE</text>
  </threadedComment>
  <threadedComment ref="CV2" dT="2025-02-22T18:56:34.56" personId="{8A1DC52A-7F3B-174C-A58C-47297FBFA3B2}" id="{4395F13F-71C3-AC48-B8AA-24BE81D74E9E}">
    <text>If M &gt; last Buy
how many shares 
to SELL to make 
T_Bound (=5000); 
gain of compared with the 
last PURCHASE</text>
  </threadedComment>
  <threadedComment ref="CX2" dT="2025-03-18T10:34:08.10" personId="{8A1DC52A-7F3B-174C-A58C-47297FBFA3B2}" id="{778CFFF7-39FD-CA42-BDF1-7D0FD10A3797}">
    <text>Number of shares to get the transaction gain limit ($5000) based on the difference of 
M_price and A [cost per share]</text>
  </threadedComment>
  <threadedComment ref="H35" dT="2025-02-20T17:48:10.08" personId="{8A1DC52A-7F3B-174C-A58C-47297FBFA3B2}" id="{E7ACA462-B179-1B42-9E65-75D3B860F65D}">
    <text>Liquidated position with loss reduced by 2K</text>
  </threadedComment>
  <threadedComment ref="BC108" dT="2025-07-07T17:07:28.54" personId="{8A1DC52A-7F3B-174C-A58C-47297FBFA3B2}" id="{95D05CB3-0136-5048-B730-AD8CF2C616DF}">
    <text xml:space="preserve">Market vaalue - Oriinal stock cost
</text>
  </threadedComment>
</ThreadedComments>
</file>

<file path=xl/threadedComments/threadedComment7.xml><?xml version="1.0" encoding="utf-8"?>
<ThreadedComments xmlns="http://schemas.microsoft.com/office/spreadsheetml/2018/threadedcomments" xmlns:x="http://schemas.openxmlformats.org/spreadsheetml/2006/main">
  <threadedComment ref="D2" dT="2025-09-19T17:11:07.26" personId="{8A1DC52A-7F3B-174C-A58C-47297FBFA3B2}" id="{64089E49-BAE9-D140-BD47-3D9B2ECC09FC}">
    <text>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ext>
  </threadedComment>
  <threadedComment ref="F3" dT="2025-09-25T09:42:01.25" personId="{8A1DC52A-7F3B-174C-A58C-47297FBFA3B2}" id="{1C6870CB-9BB8-A047-886A-4A2437187C6F}">
    <text>Value of trade on M of:
Number of shares to get the transaction bound ($5000) based on the difference of 
M_price and A [cost per share]</text>
  </threadedComment>
  <threadedComment ref="H4" dT="2025-10-23T15:55:55.95" personId="{8A1DC52A-7F3B-174C-A58C-47297FBFA3B2}" id="{17C95D9E-F2AC-DD41-B81C-C807C523BA53}">
    <text>Current market price!</text>
  </threadedComment>
  <threadedComment ref="J4" dT="2025-09-26T12:00:56.88" personId="{8A1DC52A-7F3B-174C-A58C-47297FBFA3B2}" id="{8ECC8214-070C-A242-88E0-85689640A8F1}">
    <text>Ch%/Agio@M:
(nsell=Income[M&gt;A])</text>
  </threadedComment>
  <threadedComment ref="F5" dT="2025-09-25T09:42:01.25" personId="{8A1DC52A-7F3B-174C-A58C-47297FBFA3B2}" id="{68899EF9-5F7A-3D44-A78C-3E7607208C5B}">
    <text>Value of trade on M of:
Number of shares to get the transaction bound ($5000) based on the difference of 
M_price and A [cost per share]</text>
  </threadedComment>
  <threadedComment ref="F7" dT="2025-09-25T09:42:01.25" personId="{8A1DC52A-7F3B-174C-A58C-47297FBFA3B2}" id="{549B2514-E821-1846-AC40-B51A3C429A90}">
    <text>Value of trade on M of:
Number of shares to get the transaction bound ($5000) based on the difference of 
M_price and A [cost per share]</text>
  </threadedComment>
  <threadedComment ref="F8" dT="2025-09-25T09:42:01.25" personId="{8A1DC52A-7F3B-174C-A58C-47297FBFA3B2}" id="{4AD71C8E-ADEE-B047-BFFD-A4DEE3B6699D}">
    <text>Value of trade on M of:
Number of shares to get the transaction bound ($5000) based on the difference of 
M_price and A [cost per share]</text>
  </threadedComment>
  <threadedComment ref="F10" dT="2025-09-25T09:42:01.25" personId="{8A1DC52A-7F3B-174C-A58C-47297FBFA3B2}" id="{C8313177-35DE-AA4C-A7B6-9D6991F4866F}">
    <text>Value of trade on M of:
Number of shares to get the transaction bound ($5000) based on the difference of 
M_price and A [cost per share]</text>
  </threadedComment>
  <threadedComment ref="F11" dT="2025-09-25T09:42:01.25" personId="{8A1DC52A-7F3B-174C-A58C-47297FBFA3B2}" id="{28997FB5-CE9F-6144-BE8B-DE030C1E5026}">
    <text>Value of trade on M of:
Number of shares to get the transaction bound ($5000) based on the difference of 
M_price and A [cost per share]</text>
  </threadedComment>
  <threadedComment ref="F13" dT="2025-09-25T09:42:01.25" personId="{8A1DC52A-7F3B-174C-A58C-47297FBFA3B2}" id="{2FEF4FB4-FEB3-D643-A56D-9C174446883C}">
    <text>Value of trade on M of:
Number of shares to get the transaction bound ($5000) based on the difference of 
M_price and A [cost per share]</text>
  </threadedComment>
  <threadedComment ref="F16" dT="2025-09-25T09:42:01.25" personId="{8A1DC52A-7F3B-174C-A58C-47297FBFA3B2}" id="{49C9F164-EF21-044C-8BF0-25EA2067177C}">
    <text>Value of trade on M of:
Number of shares to get the transaction bound ($5000) based on the difference of 
M_price and A [cost per share]</text>
  </threadedComment>
  <threadedComment ref="F17" dT="2025-09-25T09:42:01.25" personId="{8A1DC52A-7F3B-174C-A58C-47297FBFA3B2}" id="{8BA43598-4B8F-3A47-8C91-D7AF81DFEA34}">
    <text>Value of trade on M of:
Number of shares to get the transaction bound ($5000) based on the difference of 
M_price and A [cost per share]</text>
  </threadedComment>
  <threadedComment ref="F19" dT="2025-09-25T09:42:01.25" personId="{8A1DC52A-7F3B-174C-A58C-47297FBFA3B2}" id="{4135C877-A19F-234C-B84C-1A761E9C8004}">
    <text>Value of trade on M of:
Number of shares to get the transaction bound ($5000) based on the difference of 
M_price and A [cost per share]</text>
  </threadedComment>
  <threadedComment ref="F20" dT="2025-09-25T09:42:01.25" personId="{8A1DC52A-7F3B-174C-A58C-47297FBFA3B2}" id="{C74609F5-505F-EF41-839F-A2CD0B9CAA40}">
    <text>Value of trade on M of:
Number of shares to get the transaction bound ($5000) based on the difference of 
M_price and A [cost per share]</text>
  </threadedComment>
  <threadedComment ref="F21" dT="2025-09-25T09:42:01.25" personId="{8A1DC52A-7F3B-174C-A58C-47297FBFA3B2}" id="{09313EB2-2CB8-9B4B-9B45-851DA7B5EE55}">
    <text>Value of trade on M of:
Number of shares to get the transaction bound ($5000) based on the difference of 
M_price and A [cost per share]</text>
  </threadedComment>
  <threadedComment ref="F28" dT="2025-09-25T09:42:01.25" personId="{8A1DC52A-7F3B-174C-A58C-47297FBFA3B2}" id="{EB72A686-96F8-AE4F-97DE-CEA78A27F856}">
    <text>Value of trade on M of:
Number of shares to get the transaction bound ($5000) based on the difference of 
M_price and A [cost per share]</text>
  </threadedComment>
  <threadedComment ref="F33" dT="2025-09-25T09:42:01.25" personId="{8A1DC52A-7F3B-174C-A58C-47297FBFA3B2}" id="{EBBB06EC-E38D-FE4F-A319-4361EEEF1F7D}">
    <text>Value of trade on M of:
Number of shares to get the transaction bound ($5000) based on the difference of 
M_price and A [cost per share]</text>
  </threadedComment>
  <threadedComment ref="F35" dT="2025-09-25T09:42:01.25" personId="{8A1DC52A-7F3B-174C-A58C-47297FBFA3B2}" id="{56A39AE2-79D0-8A47-8CC5-7B1A7F8BEAE1}">
    <text>Value of trade on M of:
Number of shares to get the transaction bound ($5000) based on the difference of 
M_price and A [cost per share]</text>
  </threadedComment>
  <threadedComment ref="F36" dT="2025-09-25T09:42:01.25" personId="{8A1DC52A-7F3B-174C-A58C-47297FBFA3B2}" id="{83EA0299-A22F-264C-9E34-71D699329526}">
    <text>Value of trade on M of:
Number of shares to get the transaction bound ($5000) based on the difference of 
M_price and A [cost per share]</text>
  </threadedComment>
  <threadedComment ref="F37" dT="2025-09-25T09:42:01.25" personId="{8A1DC52A-7F3B-174C-A58C-47297FBFA3B2}" id="{F0006BD1-E326-1648-BA39-E24CC874D683}">
    <text>Value of trade on M of:
Number of shares to get the transaction bound ($5000) based on the difference of 
M_price and A [cost per share]</text>
  </threadedComment>
  <threadedComment ref="F39" dT="2025-09-25T09:42:01.25" personId="{8A1DC52A-7F3B-174C-A58C-47297FBFA3B2}" id="{16BE8569-0112-2642-BF7B-40D606010A6F}">
    <text>Value of trade on M of:
Number of shares to get the transaction bound ($5000) based on the difference of 
M_price and A [cost per share]</text>
  </threadedComment>
  <threadedComment ref="F40" dT="2025-09-25T09:42:01.25" personId="{8A1DC52A-7F3B-174C-A58C-47297FBFA3B2}" id="{5F9DB92B-9E76-4743-98FE-F58D6E5E5B51}">
    <text>Value of trade on M of:
Number of shares to get the transaction bound ($5000) based on the difference of 
M_price and A [cost per share]</text>
  </threadedComment>
  <threadedComment ref="F41" dT="2025-09-25T09:42:01.25" personId="{8A1DC52A-7F3B-174C-A58C-47297FBFA3B2}" id="{03EFEFA8-F3DF-6E42-B44F-0209E12FCFA6}">
    <text>Value of trade on M of:
Number of shares to get the transaction bound ($5000) based on the difference of 
M_price and A [cost per share]</text>
  </threadedComment>
  <threadedComment ref="F42" dT="2025-09-25T09:42:01.25" personId="{8A1DC52A-7F3B-174C-A58C-47297FBFA3B2}" id="{64CF9D23-951F-0F41-A95E-7B389FEE99D9}">
    <text>Value of trade on M of:
Number of shares to get the transaction bound ($5000) based on the difference of 
M_price and A [cost per share]</text>
  </threadedComment>
  <threadedComment ref="F43" dT="2025-09-25T09:42:01.25" personId="{8A1DC52A-7F3B-174C-A58C-47297FBFA3B2}" id="{31927001-1AA3-984D-ABD6-70D5E687E29E}">
    <text>Value of trade on M of:
Number of shares to get the transaction bound ($5000) based on the difference of 
M_price and A [cost per share]</text>
  </threadedComment>
  <threadedComment ref="F44" dT="2025-09-25T09:42:01.25" personId="{8A1DC52A-7F3B-174C-A58C-47297FBFA3B2}" id="{B8A35589-C0A4-7A49-BEF5-0648553FFA1F}">
    <text>Value of trade on M of:
Number of shares to get the transaction bound ($5000) based on the difference of 
M_price and A [cost per share]</text>
  </threadedComment>
  <threadedComment ref="F45" dT="2025-09-25T09:42:01.25" personId="{8A1DC52A-7F3B-174C-A58C-47297FBFA3B2}" id="{A9AB904A-43D7-E344-AC22-4564A8301619}">
    <text>Value of trade on M of:
Number of shares to get the transaction bound ($5000) based on the difference of 
M_price and A [cost per share]</text>
  </threadedComment>
  <threadedComment ref="F51" dT="2025-09-25T09:42:01.25" personId="{8A1DC52A-7F3B-174C-A58C-47297FBFA3B2}" id="{DEF092DB-85B1-384E-89F5-A0D4B99A6D88}">
    <text>Value of trade on M of:
Number of shares to get the transaction bound ($5000) based on the difference of 
M_price and A [cost per share]</text>
  </threadedComment>
  <threadedComment ref="F52" dT="2025-09-25T09:42:01.25" personId="{8A1DC52A-7F3B-174C-A58C-47297FBFA3B2}" id="{A5BFFE70-6BE3-AE4D-9873-293FA2A021C9}">
    <text>Value of trade on M of:
Number of shares to get the transaction bound ($5000) based on the difference of 
M_price and A [cost per share]</text>
  </threadedComment>
  <threadedComment ref="F53" dT="2025-09-25T09:42:01.25" personId="{8A1DC52A-7F3B-174C-A58C-47297FBFA3B2}" id="{E7F5F14A-5964-8843-9C91-16C2D7BE7D79}">
    <text>Value of trade on M of:
Number of shares to get the transaction bound ($5000) based on the difference of 
M_price and A [cost per share]</text>
  </threadedComment>
  <threadedComment ref="F55" dT="2025-09-25T09:42:01.25" personId="{8A1DC52A-7F3B-174C-A58C-47297FBFA3B2}" id="{9DC0BBF1-6CBF-BB4C-BFC7-B68264E8651B}">
    <text>Value of trade on M of:
Number of shares to get the transaction bound ($5000) based on the difference of 
M_price and A [cost per share]</text>
  </threadedComment>
  <threadedComment ref="F56" dT="2025-09-25T09:42:01.25" personId="{8A1DC52A-7F3B-174C-A58C-47297FBFA3B2}" id="{12CACF3C-67CB-6B4A-8473-58B56A93A086}">
    <text>Value of trade on M of:
Number of shares to get the transaction bound ($5000) based on the difference of 
M_price and A [cost per share]</text>
  </threadedComment>
  <threadedComment ref="F58" dT="2025-09-25T09:42:01.25" personId="{8A1DC52A-7F3B-174C-A58C-47297FBFA3B2}" id="{19E9CCCA-0E1D-6946-82F8-455540C10303}">
    <text>Value of trade on M of:
Number of shares to get the transaction bound ($5000) based on the difference of 
M_price and A [cost per share]</text>
  </threadedComment>
  <threadedComment ref="F63" dT="2025-09-25T09:42:01.25" personId="{8A1DC52A-7F3B-174C-A58C-47297FBFA3B2}" id="{97CFCFF8-733D-FC48-BC5D-BA3C47CF3709}">
    <text>Value of trade on M of:
Number of shares to get the transaction bound ($5000) based on the difference of 
M_price and A [cost per share]</text>
  </threadedComment>
  <threadedComment ref="F64" dT="2025-09-25T09:42:01.25" personId="{8A1DC52A-7F3B-174C-A58C-47297FBFA3B2}" id="{9890E2EC-D390-D946-9DE5-BED002D34B2A}">
    <text>Value of trade on M of:
Number of shares to get the transaction bound ($5000) based on the difference of 
M_price and A [cost per share]</text>
  </threadedComment>
  <threadedComment ref="L64" dT="2025-09-25T09:42:01.25" personId="{8A1DC52A-7F3B-174C-A58C-47297FBFA3B2}" id="{1F705F25-DF4F-014A-A527-D81B4318F613}">
    <text>Value of trade on M of:
Number of shares to get the transaction bound ($5000) based on the difference of 
M_price and A [cost per share]</text>
  </threadedComment>
  <threadedComment ref="F69" dT="2025-09-25T09:42:01.25" personId="{8A1DC52A-7F3B-174C-A58C-47297FBFA3B2}" id="{02500364-7AAB-614C-9A24-A0AD0C8BBC68}">
    <text>Value of trade on M of:
Number of shares to get the transaction bound ($5000) based on the difference of 
M_price and A [cost per share]</text>
  </threadedComment>
  <threadedComment ref="F70" dT="2025-09-25T09:42:01.25" personId="{8A1DC52A-7F3B-174C-A58C-47297FBFA3B2}" id="{DCF45572-6688-E041-AE39-B76FF6AB5827}">
    <text>Value of trade on M of:
Number of shares to get the transaction bound ($5000) based on the difference of 
M_price and A [cost per share]</text>
  </threadedComment>
  <threadedComment ref="F71" dT="2025-09-25T09:42:01.25" personId="{8A1DC52A-7F3B-174C-A58C-47297FBFA3B2}" id="{8CAD3954-CA25-FC43-A95C-5B72EEBE6812}">
    <text>Value of trade on M of:
Number of shares to get the transaction bound ($5000) based on the difference of 
M_price and A [cost per share]</text>
  </threadedComment>
  <threadedComment ref="F72" dT="2025-09-25T09:42:01.25" personId="{8A1DC52A-7F3B-174C-A58C-47297FBFA3B2}" id="{E4A1CEAD-FDCE-9341-962A-641C08C19492}">
    <text>Value of trade on M of:
Number of shares to get the transaction bound ($5000) based on the difference of 
M_price and A [cost per share]</text>
  </threadedComment>
  <threadedComment ref="F76" dT="2025-09-25T09:42:01.25" personId="{8A1DC52A-7F3B-174C-A58C-47297FBFA3B2}" id="{B4809271-30D1-8B41-8530-8304899B0B9C}">
    <text>Value of trade on M of:
Number of shares to get the transaction bound ($5000) based on the difference of 
M_price and A [cost per share]</text>
  </threadedComment>
  <threadedComment ref="L76" dT="2025-09-25T09:42:01.25" personId="{8A1DC52A-7F3B-174C-A58C-47297FBFA3B2}" id="{CDA76358-3B0B-984D-A5F1-70B8674FFAE7}">
    <text>Value of trade on M of:
Number of shares to get the transaction bound ($5000) based on the difference of 
M_price and A [cost per share]</text>
  </threadedComment>
  <threadedComment ref="F79" dT="2025-09-25T09:42:01.25" personId="{8A1DC52A-7F3B-174C-A58C-47297FBFA3B2}" id="{EDB65063-99EB-AC4F-B48A-398C76DA76CA}">
    <text>Value of trade on M of:
Number of shares to get the transaction bound ($5000) based on the difference of 
M_price and A [cost per share]</text>
  </threadedComment>
  <threadedComment ref="F81" dT="2025-09-25T09:42:01.25" personId="{8A1DC52A-7F3B-174C-A58C-47297FBFA3B2}" id="{B45B851D-CF82-234E-8907-71A4660A664C}">
    <text>Value of trade on M of:
Number of shares to get the transaction bound ($5000) based on the difference of 
M_price and A [cost per share]</text>
  </threadedComment>
  <threadedComment ref="F84" dT="2025-09-25T09:42:01.25" personId="{8A1DC52A-7F3B-174C-A58C-47297FBFA3B2}" id="{B9E9781C-37E8-6040-BD4D-4CD4F9F23AFE}">
    <text>Value of trade on M of:
Number of shares to get the transaction bound ($5000) based on the difference of 
M_price and A [cost per share]</text>
  </threadedComment>
  <threadedComment ref="F88" dT="2025-09-25T09:42:01.25" personId="{8A1DC52A-7F3B-174C-A58C-47297FBFA3B2}" id="{D496637A-5574-444B-B6B2-86877F992E76}">
    <text>Value of trade on M of:
Number of shares to get the transaction bound ($5000) based on the difference of 
M_price and A [cost per share]</text>
  </threadedComment>
  <threadedComment ref="F90" dT="2025-09-25T09:42:01.25" personId="{8A1DC52A-7F3B-174C-A58C-47297FBFA3B2}" id="{170A17F3-515B-4E4B-8E4B-BC16063DAF96}">
    <text>Value of trade on M of:
Number of shares to get the transaction bound ($5000) based on the difference of 
M_price and A [cost per share]</text>
  </threadedComment>
  <threadedComment ref="F91" dT="2025-09-25T09:42:01.25" personId="{8A1DC52A-7F3B-174C-A58C-47297FBFA3B2}" id="{570C907D-3B0E-3B4D-A322-D870786B11DC}">
    <text>Value of trade on M of:
Number of shares to get the transaction bound ($5000) based on the difference of 
M_price and A [cost per share]</text>
  </threadedComment>
  <threadedComment ref="F93" dT="2025-09-25T09:42:01.25" personId="{8A1DC52A-7F3B-174C-A58C-47297FBFA3B2}" id="{32BFBEC3-E417-F14A-B967-3A4A022A4300}">
    <text>Value of trade on M of:
Number of shares to get the transaction bound ($5000) based on the difference of 
M_price and A [cost per share]</text>
  </threadedComment>
  <threadedComment ref="F94" dT="2025-09-25T09:42:01.25" personId="{8A1DC52A-7F3B-174C-A58C-47297FBFA3B2}" id="{7973D9BB-64CB-9941-AE71-0BA2C7AF752C}">
    <text>Value of trade on M of:
Number of shares to get the transaction bound ($5000) based on the difference of 
M_price and A [cost per share]</text>
  </threadedComment>
  <threadedComment ref="F95" dT="2025-09-25T09:42:01.25" personId="{8A1DC52A-7F3B-174C-A58C-47297FBFA3B2}" id="{F4E638AB-C6DD-CE47-A349-39B4C4E93B0D}">
    <text>Value of trade on M of:
Number of shares to get the transaction bound ($5000) based on the difference of 
M_price and A [cost per share]</text>
  </threadedComment>
  <threadedComment ref="F96" dT="2025-09-25T09:42:01.25" personId="{8A1DC52A-7F3B-174C-A58C-47297FBFA3B2}" id="{84C50E93-A1D8-AA43-9D2C-357E2BA1C8AD}">
    <text>Value of trade on M of:
Number of shares to get the transaction bound ($5000) based on the difference of 
M_price and A [cost per share]</text>
  </threadedComment>
  <threadedComment ref="F97" dT="2025-09-25T09:42:01.25" personId="{8A1DC52A-7F3B-174C-A58C-47297FBFA3B2}" id="{79E700FD-996F-4B45-84BF-394A68062705}">
    <text>Value of trade on M of:
Number of shares to get the transaction bound ($5000) based on the difference of 
M_price and A [cost per share]</text>
  </threadedComment>
  <threadedComment ref="F98" dT="2025-09-25T09:42:01.25" personId="{8A1DC52A-7F3B-174C-A58C-47297FBFA3B2}" id="{B51801E2-5107-964B-9F0D-0AA8E4E70F9F}">
    <text>Value of trade on M of:
Number of shares to get the transaction bound ($5000) based on the difference of 
M_price and A [cost per share]</text>
  </threadedComment>
</ThreadedComments>
</file>

<file path=xl/threadedComments/threadedComment8.xml><?xml version="1.0" encoding="utf-8"?>
<ThreadedComments xmlns="http://schemas.microsoft.com/office/spreadsheetml/2018/threadedcomments" xmlns:x="http://schemas.openxmlformats.org/spreadsheetml/2006/main">
  <threadedComment ref="AV204" dT="2025-09-02T16:24:08.72" personId="{8A1DC52A-7F3B-174C-A58C-47297FBFA3B2}" id="{AB2FC931-34E5-C04B-B733-936EF810D80A}">
    <text>Ratio last 8 vs 20 day %</text>
  </threadedComment>
  <threadedComment ref="AV1397" dT="2025-09-10T11:11:48.55" personId="{8A1DC52A-7F3B-174C-A58C-47297FBFA3B2}" id="{314B2EE6-427C-084B-9ECA-FA956584BA45}">
    <text xml:space="preserve">Value of the new stock when the number of shares actually owned  is &gt; original:
Number of shares now - 
original number *
Market price M
</text>
  </threadedComment>
  <threadedComment ref="AU1740" dT="2025-08-14T23:29:03.74" personId="{8A1DC52A-7F3B-174C-A58C-47297FBFA3B2}" id="{185DB4F8-D131-1844-A4A8-554EAC36305E}">
    <text>Market value - effective cost</text>
  </threadedComment>
  <threadedComment ref="AU1761" dT="2025-08-14T23:29:54.29" personId="{8A1DC52A-7F3B-174C-A58C-47297FBFA3B2}" id="{9E83D646-AF2B-9148-AFF8-F32BD955FDA5}">
    <text>Market value - effective cost</text>
  </threadedComment>
  <threadedComment ref="AX1765" dT="2025-09-18T20:05:51.17" personId="{8A1DC52A-7F3B-174C-A58C-47297FBFA3B2}" id="{C61EBEFE-9175-9C44-9A4E-79C7DB2CCF1E}">
    <text>Day gain/loss: 
During the day (before shift)
Market Value+ Day Trades
After shift (daily update)
Day trade results by currency</text>
  </threadedComment>
  <threadedComment ref="AV1766" dT="2025-09-08T17:30:12.91" personId="{8A1DC52A-7F3B-174C-A58C-47297FBFA3B2}" id="{D1A5E0E6-4F00-6A4F-9358-EC4FC1E03883}">
    <text>Vs. Yesterday</text>
  </threadedComment>
  <threadedComment ref="B1774" dT="2025-09-19T20:35:52.79" personId="{8A1DC52A-7F3B-174C-A58C-47297FBFA3B2}" id="{676DF21A-62C1-A043-812C-97AE9E0CD4F8}">
    <text>(Value+Cash)/Gain/Loss
NB: Sales from initial positions not taken into account</text>
  </threadedComment>
  <threadedComment ref="AY1774" dT="2025-09-19T20:35:52.79" personId="{8A1DC52A-7F3B-174C-A58C-47297FBFA3B2}" id="{52BEFD65-A713-1D45-9FC6-969EA3EC27E5}">
    <text>(Value+Cash)/Gain/Loss
NB: Sales from initial positions not taken into account</text>
  </threadedComment>
</ThreadedComments>
</file>

<file path=xl/threadedComments/threadedComment9.xml><?xml version="1.0" encoding="utf-8"?>
<ThreadedComments xmlns="http://schemas.microsoft.com/office/spreadsheetml/2018/threadedcomments" xmlns:x="http://schemas.openxmlformats.org/spreadsheetml/2006/main">
  <threadedComment ref="A1" dT="2025-01-25T17:41:11.91" personId="{8A1DC52A-7F3B-174C-A58C-47297FBFA3B2}" id="{48DDBD45-031D-384C-803A-F1856D70F83A}">
    <text>Old trade data comes from the GITTRAPPER.xlsm.
New trades have to be entered in Entries work Sheed and formulas in NewReg work sheet put the values into this trade  register.</text>
  </threadedComment>
  <threadedComment ref="E3" dT="2025-01-26T16:08:48.85" personId="{8A1DC52A-7F3B-174C-A58C-47297FBFA3B2}" id="{E41341EE-7358-DA4A-8B3F-6E227DC846F8}">
    <text xml:space="preserve">If 
Ticker&lt;&gt; ticker: “”;
Entry=previous: “”;
And
previous #,P are numbers;
Status=Booked: enter data.
</text>
  </threadedComment>
  <threadedComment ref="AC3" dT="2025-04-22T17:42:16.64" personId="{8A1DC52A-7F3B-174C-A58C-47297FBFA3B2}" id="{036AE940-3C0A-E948-A447-B9A740D8AE64}">
    <text>21/4/25 Split 8:1
15,000 x 6.90
12/9/24: 15,000 x 0.31
17/1/25: 70,000 x 0.72
= 12,500 x 12.7196</text>
  </threadedComment>
  <threadedComment ref="EG3" dT="2025-09-06T11:16:05.83" personId="{8A1DC52A-7F3B-174C-A58C-47297FBFA3B2}" id="{17454EE7-A109-C648-B92C-556FDEBECCA1}">
    <text xml:space="preserve">From Safra
5-Sep
                10,852 
6.44 
</text>
  </threadedComment>
  <threadedComment ref="HP20" dT="2025-10-15T09:22:41.61" personId="{8A1DC52A-7F3B-174C-A58C-47297FBFA3B2}" id="{09D8E527-360D-254F-8A7E-871FA3F7C15A}">
    <text>in Vontobel .002</text>
  </threadedComment>
  <threadedComment ref="Q27" dT="2025-08-25T15:33:39.85" personId="{8A1DC52A-7F3B-174C-A58C-47297FBFA3B2}" id="{B81BE5BB-B340-9C41-8F7D-70C31F425B46}">
    <text xml:space="preserve">MVE
</text>
  </threadedComment>
  <threadedComment ref="Q34" dT="2025-08-25T15:33:17.50" personId="{8A1DC52A-7F3B-174C-A58C-47297FBFA3B2}" id="{A086E24D-4D96-7046-B480-7675AB5CA8B2}">
    <text xml:space="preserve">MVE
</text>
  </threadedComment>
  <threadedComment ref="CN36" dT="2025-10-21T18:47:33.15" personId="{8A1DC52A-7F3B-174C-A58C-47297FBFA3B2}" id="{1AA97CA7-EFAC-034F-A619-20DDDF9A9738}">
    <text>In .002 account</text>
  </threadedComment>
</ThreadedComments>
</file>

<file path=xl/threadedComments/threadedComment10.xml><?xml version="1.0" encoding="utf-8"?>
<ThreadedComments xmlns="http://schemas.microsoft.com/office/spreadsheetml/2018/threadedcomments" xmlns:x="http://schemas.openxmlformats.org/spreadsheetml/2006/main">
  <threadedComment ref="E10" dT="2024-05-21T15:25:03.76" personId="{8A1DC52A-7F3B-174C-A58C-47297FBFA3B2}" id="{E6584042-EFC3-3247-9556-3DB44E441BB1}">
    <text>Price should be above 
the A_Price =34.79
Margin&gt;Eur 2</text>
  </threadedComment>
  <threadedComment ref="H10" dT="2024-06-18T09:35:12.20" personId="{8A1DC52A-7F3B-174C-A58C-47297FBFA3B2}" id="{2DA56AE6-53F6-8C48-BF7B-AEF3E2AB8528}">
    <text>1 is Going Up, 9 is bad</text>
  </threadedComment>
</ThreadedComments>
</file>

<file path=xl/threadedComments/threadedComment11.xml><?xml version="1.0" encoding="utf-8"?>
<ThreadedComments xmlns="http://schemas.microsoft.com/office/spreadsheetml/2018/threadedcomments" xmlns:x="http://schemas.openxmlformats.org/spreadsheetml/2006/main">
  <threadedComment ref="T18" dT="2025-09-01T09:59:34.69" personId="{8A1DC52A-7F3B-174C-A58C-47297FBFA3B2}" id="{054083AA-D92C-F64A-8108-C3A35D8AF0DC}">
    <text>200 in MVE</text>
  </threadedComment>
  <threadedComment ref="W18" dT="2025-08-25T16:38:06.09" personId="{8A1DC52A-7F3B-174C-A58C-47297FBFA3B2}" id="{D604112D-1CAC-2340-A5C1-6E4B1EE8A4EA}">
    <text>200 in MVE</text>
  </threadedComment>
  <threadedComment ref="S51" dT="2025-03-11T13:14:25.01" personId="{8A1DC52A-7F3B-174C-A58C-47297FBFA3B2}" id="{27C68760-BE7B-154D-A675-DA0A1241E5BE}">
    <text>Registered for Safra</text>
  </threadedComment>
  <threadedComment ref="S87" dT="2025-02-22T08:48:57.40" personId="{8A1DC52A-7F3B-174C-A58C-47297FBFA3B2}" id="{8B3255E9-08C4-1D47-8D96-7DBE005485C0}">
    <text>Not included as a position for MVE portfolio</text>
  </threadedComment>
</ThreadedComments>
</file>

<file path=xl/threadedComments/threadedComment12.xml><?xml version="1.0" encoding="utf-8"?>
<ThreadedComments xmlns="http://schemas.microsoft.com/office/spreadsheetml/2018/threadedcomments" xmlns:x="http://schemas.openxmlformats.org/spreadsheetml/2006/main">
  <threadedComment ref="D11" dT="2024-01-23T00:59:20.01" personId="{8A1DC52A-7F3B-174C-A58C-47297FBFA3B2}" id="{7CED445A-5CA6-9141-B63F-2377B59E0F26}">
    <text xml:space="preserve">Today-1 added
</text>
  </threadedComment>
  <threadedComment ref="D17" dT="2024-01-23T01:00:13.84" personId="{8A1DC52A-7F3B-174C-A58C-47297FBFA3B2}" id="{349F7C5B-82A9-8146-954F-58FB198CFBDF}">
    <text>Today-1 added</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drawing" Target="../drawings/drawing1.xml"/><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5.xml"/><Relationship Id="rId1" Type="http://schemas.openxmlformats.org/officeDocument/2006/relationships/vmlDrawing" Target="../drawings/vmlDrawing5.vml"/><Relationship Id="rId4" Type="http://schemas.microsoft.com/office/2017/10/relationships/threadedComment" Target="../threadedComments/threadedComment5.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vmlDrawing" Target="../drawings/vmlDrawing6.vml"/><Relationship Id="rId5" Type="http://schemas.microsoft.com/office/2017/10/relationships/threadedComment" Target="../threadedComments/threadedComment6.xml"/><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7.vml"/><Relationship Id="rId1" Type="http://schemas.openxmlformats.org/officeDocument/2006/relationships/drawing" Target="../drawings/drawing3.xml"/><Relationship Id="rId5" Type="http://schemas.microsoft.com/office/2017/10/relationships/threadedComment" Target="../threadedComments/threadedComment7.xml"/><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13" Type="http://schemas.openxmlformats.org/officeDocument/2006/relationships/table" Target="../tables/table19.xml"/><Relationship Id="rId18" Type="http://schemas.openxmlformats.org/officeDocument/2006/relationships/table" Target="../tables/table24.xml"/><Relationship Id="rId26" Type="http://schemas.openxmlformats.org/officeDocument/2006/relationships/table" Target="../tables/table32.xml"/><Relationship Id="rId39" Type="http://schemas.microsoft.com/office/2017/10/relationships/threadedComment" Target="../threadedComments/threadedComment8.xml"/><Relationship Id="rId21" Type="http://schemas.openxmlformats.org/officeDocument/2006/relationships/table" Target="../tables/table27.xml"/><Relationship Id="rId34" Type="http://schemas.openxmlformats.org/officeDocument/2006/relationships/table" Target="../tables/table40.xml"/><Relationship Id="rId7" Type="http://schemas.openxmlformats.org/officeDocument/2006/relationships/table" Target="../tables/table13.xml"/><Relationship Id="rId12" Type="http://schemas.openxmlformats.org/officeDocument/2006/relationships/table" Target="../tables/table18.xml"/><Relationship Id="rId17" Type="http://schemas.openxmlformats.org/officeDocument/2006/relationships/table" Target="../tables/table23.xml"/><Relationship Id="rId25" Type="http://schemas.openxmlformats.org/officeDocument/2006/relationships/table" Target="../tables/table31.xml"/><Relationship Id="rId33" Type="http://schemas.openxmlformats.org/officeDocument/2006/relationships/table" Target="../tables/table39.xml"/><Relationship Id="rId38" Type="http://schemas.openxmlformats.org/officeDocument/2006/relationships/comments" Target="../comments8.xml"/><Relationship Id="rId2" Type="http://schemas.openxmlformats.org/officeDocument/2006/relationships/vmlDrawing" Target="../drawings/vmlDrawing8.vml"/><Relationship Id="rId16" Type="http://schemas.openxmlformats.org/officeDocument/2006/relationships/table" Target="../tables/table22.xml"/><Relationship Id="rId20" Type="http://schemas.openxmlformats.org/officeDocument/2006/relationships/table" Target="../tables/table26.xml"/><Relationship Id="rId29" Type="http://schemas.openxmlformats.org/officeDocument/2006/relationships/table" Target="../tables/table35.xml"/><Relationship Id="rId1" Type="http://schemas.openxmlformats.org/officeDocument/2006/relationships/drawing" Target="../drawings/drawing4.xml"/><Relationship Id="rId6" Type="http://schemas.openxmlformats.org/officeDocument/2006/relationships/table" Target="../tables/table12.xml"/><Relationship Id="rId11" Type="http://schemas.openxmlformats.org/officeDocument/2006/relationships/table" Target="../tables/table17.xml"/><Relationship Id="rId24" Type="http://schemas.openxmlformats.org/officeDocument/2006/relationships/table" Target="../tables/table30.xml"/><Relationship Id="rId32" Type="http://schemas.openxmlformats.org/officeDocument/2006/relationships/table" Target="../tables/table38.xml"/><Relationship Id="rId37" Type="http://schemas.openxmlformats.org/officeDocument/2006/relationships/table" Target="../tables/table43.xml"/><Relationship Id="rId5" Type="http://schemas.openxmlformats.org/officeDocument/2006/relationships/table" Target="../tables/table11.xml"/><Relationship Id="rId15" Type="http://schemas.openxmlformats.org/officeDocument/2006/relationships/table" Target="../tables/table21.xml"/><Relationship Id="rId23" Type="http://schemas.openxmlformats.org/officeDocument/2006/relationships/table" Target="../tables/table29.xml"/><Relationship Id="rId28" Type="http://schemas.openxmlformats.org/officeDocument/2006/relationships/table" Target="../tables/table34.xml"/><Relationship Id="rId36" Type="http://schemas.openxmlformats.org/officeDocument/2006/relationships/table" Target="../tables/table42.xml"/><Relationship Id="rId10" Type="http://schemas.openxmlformats.org/officeDocument/2006/relationships/table" Target="../tables/table16.xml"/><Relationship Id="rId19" Type="http://schemas.openxmlformats.org/officeDocument/2006/relationships/table" Target="../tables/table25.xml"/><Relationship Id="rId31" Type="http://schemas.openxmlformats.org/officeDocument/2006/relationships/table" Target="../tables/table37.xml"/><Relationship Id="rId4" Type="http://schemas.openxmlformats.org/officeDocument/2006/relationships/table" Target="../tables/table10.xml"/><Relationship Id="rId9" Type="http://schemas.openxmlformats.org/officeDocument/2006/relationships/table" Target="../tables/table15.xml"/><Relationship Id="rId14" Type="http://schemas.openxmlformats.org/officeDocument/2006/relationships/table" Target="../tables/table20.xml"/><Relationship Id="rId22" Type="http://schemas.openxmlformats.org/officeDocument/2006/relationships/table" Target="../tables/table28.xml"/><Relationship Id="rId27" Type="http://schemas.openxmlformats.org/officeDocument/2006/relationships/table" Target="../tables/table33.xml"/><Relationship Id="rId30" Type="http://schemas.openxmlformats.org/officeDocument/2006/relationships/table" Target="../tables/table36.xml"/><Relationship Id="rId35" Type="http://schemas.openxmlformats.org/officeDocument/2006/relationships/table" Target="../tables/table41.xml"/><Relationship Id="rId8" Type="http://schemas.openxmlformats.org/officeDocument/2006/relationships/table" Target="../tables/table14.xml"/><Relationship Id="rId3" Type="http://schemas.openxmlformats.org/officeDocument/2006/relationships/table" Target="../tables/table9.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44.xml"/><Relationship Id="rId1" Type="http://schemas.openxmlformats.org/officeDocument/2006/relationships/vmlDrawing" Target="../drawings/vmlDrawing9.vml"/><Relationship Id="rId4" Type="http://schemas.microsoft.com/office/2017/10/relationships/threadedComment" Target="../threadedComments/threadedComment9.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5.xml"/><Relationship Id="rId4" Type="http://schemas.microsoft.com/office/2017/10/relationships/threadedComment" Target="../threadedComments/threadedComment10.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45.xml"/></Relationships>
</file>

<file path=xl/worksheets/_rels/sheet18.xml.rels><?xml version="1.0" encoding="UTF-8" standalone="yes"?>
<Relationships xmlns="http://schemas.openxmlformats.org/package/2006/relationships"><Relationship Id="rId3" Type="http://schemas.microsoft.com/office/2017/10/relationships/threadedComment" Target="../threadedComments/threadedComment11.xml"/><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2.xml.rels><?xml version="1.0" encoding="UTF-8" standalone="yes"?>
<Relationships xmlns="http://schemas.openxmlformats.org/package/2006/relationships"><Relationship Id="rId3" Type="http://schemas.microsoft.com/office/2017/10/relationships/threadedComment" Target="../threadedComments/threadedComment12.xml"/><Relationship Id="rId2" Type="http://schemas.openxmlformats.org/officeDocument/2006/relationships/comments" Target="../comments12.xml"/><Relationship Id="rId1" Type="http://schemas.openxmlformats.org/officeDocument/2006/relationships/vmlDrawing" Target="../drawings/vmlDrawing1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5B39C-DA90-5140-9FEC-4256700392AE}">
  <sheetPr codeName="Sheet16"/>
  <dimension ref="A1:Y40"/>
  <sheetViews>
    <sheetView topLeftCell="D14" workbookViewId="0">
      <selection activeCell="E15" sqref="E15"/>
    </sheetView>
  </sheetViews>
  <sheetFormatPr baseColWidth="10" defaultRowHeight="22"/>
  <cols>
    <col min="1" max="3" width="0" hidden="1" customWidth="1"/>
    <col min="4" max="4" width="9.125" bestFit="1" customWidth="1"/>
    <col min="5" max="5" width="5.75" bestFit="1" customWidth="1"/>
    <col min="6" max="7" width="7" customWidth="1"/>
    <col min="8" max="8" width="13.5" customWidth="1"/>
    <col min="9" max="9" width="15.375" customWidth="1"/>
    <col min="10" max="10" width="13.5" bestFit="1" customWidth="1"/>
    <col min="11" max="11" width="20.25" customWidth="1"/>
    <col min="12" max="12" width="11.125" bestFit="1" customWidth="1"/>
    <col min="13" max="13" width="6.375" customWidth="1"/>
    <col min="14" max="14" width="5.75" customWidth="1"/>
    <col min="15" max="15" width="5.375" customWidth="1"/>
    <col min="16" max="16" width="5.25" customWidth="1"/>
    <col min="17" max="17" width="8.75" customWidth="1"/>
    <col min="18" max="18" width="5.625" customWidth="1"/>
    <col min="19" max="19" width="4.875" customWidth="1"/>
    <col min="20" max="20" width="6.125" customWidth="1"/>
    <col min="21" max="21" width="6.25" customWidth="1"/>
    <col min="22" max="22" width="5" customWidth="1"/>
  </cols>
  <sheetData>
    <row r="1" spans="1:25" ht="23" thickBot="1">
      <c r="G1" s="223">
        <v>1.5</v>
      </c>
    </row>
    <row r="2" spans="1:25" ht="23" thickBot="1">
      <c r="G2">
        <f>G$1*10</f>
        <v>15</v>
      </c>
      <c r="N2" t="s">
        <v>1716</v>
      </c>
      <c r="P2" s="15"/>
      <c r="R2" s="15"/>
      <c r="T2" s="15"/>
      <c r="U2" s="514"/>
      <c r="V2" s="474" t="s">
        <v>1708</v>
      </c>
      <c r="W2" s="15"/>
      <c r="X2" s="15"/>
      <c r="Y2" s="514"/>
    </row>
    <row r="3" spans="1:25">
      <c r="E3" s="223">
        <v>0.9</v>
      </c>
      <c r="F3" s="223">
        <v>0.8</v>
      </c>
      <c r="G3">
        <f>G$1*5</f>
        <v>7.5</v>
      </c>
      <c r="H3" t="s">
        <v>1603</v>
      </c>
      <c r="I3" s="1" t="s">
        <v>1564</v>
      </c>
      <c r="J3" s="12" t="s">
        <v>1705</v>
      </c>
      <c r="K3" s="13"/>
      <c r="N3">
        <v>1</v>
      </c>
      <c r="P3" s="1">
        <v>0.8</v>
      </c>
      <c r="R3" s="1">
        <v>0.6</v>
      </c>
      <c r="T3" s="516">
        <v>0.4</v>
      </c>
      <c r="U3" s="515">
        <v>1</v>
      </c>
      <c r="V3" s="1">
        <v>0.9</v>
      </c>
      <c r="W3" s="1">
        <v>0.7</v>
      </c>
      <c r="X3" s="516">
        <v>0.5</v>
      </c>
    </row>
    <row r="4" spans="1:25" ht="23" thickBot="1">
      <c r="E4" s="223">
        <v>1.1000000000000001</v>
      </c>
      <c r="F4" s="223">
        <v>1.2</v>
      </c>
      <c r="G4">
        <f>G$1*15</f>
        <v>22.5</v>
      </c>
      <c r="H4" t="s">
        <v>1702</v>
      </c>
      <c r="I4" t="s">
        <v>1604</v>
      </c>
      <c r="J4" s="504" t="s">
        <v>1707</v>
      </c>
      <c r="K4" s="513" t="s">
        <v>1721</v>
      </c>
      <c r="N4" s="94">
        <f>N3*$G$1*$G6*ADeltaPlus</f>
        <v>37.125</v>
      </c>
      <c r="O4" s="94"/>
      <c r="P4" s="527">
        <f>P3*$G$1*$G6*ADeltaPlus</f>
        <v>29.700000000000006</v>
      </c>
      <c r="Q4" s="94"/>
      <c r="R4" s="527">
        <f>R3*$G$1*$G6*ADeltaPlus</f>
        <v>22.274999999999999</v>
      </c>
      <c r="S4" s="94"/>
      <c r="T4" s="527">
        <f>T3*$G$1*$G6*ADeltaPlus</f>
        <v>14.850000000000003</v>
      </c>
      <c r="U4" s="520">
        <f>U3*$G$1*$G6*ADeltaPlus</f>
        <v>37.125</v>
      </c>
      <c r="V4" s="520">
        <f>V3*$G$1*$G6*ADeltaPlus</f>
        <v>33.412500000000009</v>
      </c>
      <c r="W4" s="520">
        <f>W3*$G$1*$G6*ADeltaPlus</f>
        <v>25.987499999999997</v>
      </c>
      <c r="X4" s="520">
        <f>X3*$G$1*$G6*ADeltaPlus</f>
        <v>18.5625</v>
      </c>
    </row>
    <row r="5" spans="1:25" ht="23" thickBot="1">
      <c r="A5" s="355" t="s">
        <v>1577</v>
      </c>
      <c r="B5" s="355" t="s">
        <v>1578</v>
      </c>
      <c r="D5" t="s">
        <v>1706</v>
      </c>
      <c r="E5" s="505" t="s">
        <v>1580</v>
      </c>
      <c r="F5" s="506" t="s">
        <v>691</v>
      </c>
      <c r="G5" s="507" t="s">
        <v>1579</v>
      </c>
      <c r="H5" t="s">
        <v>1700</v>
      </c>
      <c r="I5" s="126" t="s">
        <v>1709</v>
      </c>
      <c r="J5" s="1" t="s">
        <v>1710</v>
      </c>
      <c r="K5" s="1" t="s">
        <v>1715</v>
      </c>
      <c r="L5" s="1" t="s">
        <v>1722</v>
      </c>
      <c r="M5" s="1" t="s">
        <v>1724</v>
      </c>
      <c r="N5" s="1" t="s">
        <v>1717</v>
      </c>
      <c r="O5" s="1" t="s">
        <v>188</v>
      </c>
      <c r="P5" s="1" t="s">
        <v>1718</v>
      </c>
      <c r="Q5" s="1" t="s">
        <v>1719</v>
      </c>
      <c r="R5" s="1" t="s">
        <v>1720</v>
      </c>
      <c r="S5" t="s">
        <v>1714</v>
      </c>
      <c r="T5" t="s">
        <v>1711</v>
      </c>
      <c r="U5" t="s">
        <v>1712</v>
      </c>
      <c r="V5" t="s">
        <v>1713</v>
      </c>
    </row>
    <row r="6" spans="1:25">
      <c r="A6" s="359" t="s">
        <v>691</v>
      </c>
      <c r="B6" s="357" t="s">
        <v>1580</v>
      </c>
      <c r="D6" s="1">
        <v>10</v>
      </c>
      <c r="E6" s="1">
        <f>IF(FIND("A",Table38[[#This Row],[S=M]],1)&lt;FIND("S",Table38[[#This Row],[S=M]],1),DeltaPercent*Table38[[#This Row],[S]],DMinusPercent*Table38[[#This Row],[S]])</f>
        <v>24.750000000000004</v>
      </c>
      <c r="F6" s="1">
        <f>IF(FIND("B",Table38[[#This Row],[S=M]],1)&lt;FIND("S",Table38[[#This Row],[S=M]],1),BdeltaPlus*Table38[[#This Row],[S]],BdeltaMinus*Table38[[#This Row],[S]])</f>
        <v>18</v>
      </c>
      <c r="G6" s="1" cm="1">
        <f t="array" ref="G6">$G$1*IFERROR(_xlfn.IFS(LEFT(Table38[[#This Row],[S=M]],1)="S",G$4,RIGHT(Table38[[#This Row],[S=M]],1)="S",G$3),G$2)</f>
        <v>22.5</v>
      </c>
      <c r="H6" t="s">
        <v>1590</v>
      </c>
      <c r="I6" t="s">
        <v>1601</v>
      </c>
      <c r="J6" s="517">
        <f>((Table38[[#This Row],[N Stock]])*Table38[[#This Row],[A]]-Table38[[#This Row],[S]])/((Table38[[#This Row],[N Stock]]-1)*Table38[[#This Row],[A]])</f>
        <v>1.0101010101010102</v>
      </c>
      <c r="K6" s="519">
        <f>(Table38[[#This Row],[S]]-Table38[[#This Row],[B]])/Table38[[#This Row],[S]]</f>
        <v>0.2</v>
      </c>
      <c r="L6" s="519">
        <f>(Table38[[#This Row],[S]]-Table38[[#This Row],[B]])/Table38[[#This Row],[A]]</f>
        <v>0.1818181818181818</v>
      </c>
      <c r="M6" s="521">
        <f>(IF(Table38[[#This Row],[S]]&gt;N$4,Table38[[#This Row],[S]],N$4))</f>
        <v>37.125</v>
      </c>
      <c r="N6" s="522">
        <f>Table38[[#This Row],[vsA3]]/N$4-1</f>
        <v>0</v>
      </c>
      <c r="O6" s="521">
        <f>(IF(Table38[[#This Row],[S]]&gt;P$4,Table38[[#This Row],[S]],P$4))</f>
        <v>29.700000000000006</v>
      </c>
      <c r="P6" s="522">
        <f>Table38[[#This Row],[Column1]]/P$4-1</f>
        <v>0</v>
      </c>
      <c r="Q6" s="521">
        <f>(IF(Table38[[#This Row],[S]]&gt;R$4,Table38[[#This Row],[S]],R$4))</f>
        <v>22.5</v>
      </c>
      <c r="R6" s="528">
        <f>Table38[[#This Row],[BS_MedL]]/R$4-1</f>
        <v>1.0101010101010166E-2</v>
      </c>
      <c r="S6" s="521">
        <f>(IF(Table38[[#This Row],[S]]&gt;T$4,Table38[[#This Row],[S]],T$4))</f>
        <v>22.5</v>
      </c>
      <c r="T6" s="518">
        <f>Table38[[#This Row],[WS_Max]]/T$4-1</f>
        <v>0.51515151515151492</v>
      </c>
      <c r="U6" s="518">
        <f>(IF(Table38[[#This Row],[S]]&lt;R$4,Table38[[#This Row],[S]]-R$4,0))/W$4</f>
        <v>0</v>
      </c>
      <c r="V6" s="518" t="str">
        <f>IF(Table38[[#This Row],[S]]&lt;T$4,Table38[[#This Row],[S]]-T$4,"")</f>
        <v/>
      </c>
    </row>
    <row r="7" spans="1:25">
      <c r="A7" s="357" t="s">
        <v>1579</v>
      </c>
      <c r="B7" s="357" t="s">
        <v>1580</v>
      </c>
      <c r="D7" s="1">
        <v>10</v>
      </c>
      <c r="E7" s="1">
        <f>IF(FIND("A",Table38[[#This Row],[S=M]],1)&lt;FIND("S",Table38[[#This Row],[S=M]],1),DeltaPercent*Table38[[#This Row],[S]],DMinusPercent*Table38[[#This Row],[S]])</f>
        <v>12.375000000000002</v>
      </c>
      <c r="F7" s="1">
        <f>IF(FIND("B",Table38[[#This Row],[S=M]],1)&lt;FIND("S",Table38[[#This Row],[S=M]],1),BdeltaPlus*Table38[[#This Row],[S]],BdeltaMinus*Table38[[#This Row],[S]])</f>
        <v>13.5</v>
      </c>
      <c r="G7" s="1" cm="1">
        <f t="array" ref="G7">$G$1*IFERROR(_xlfn.IFS(LEFT(Table38[[#This Row],[S=M]],1)="S",G$4,RIGHT(Table38[[#This Row],[S=M]],1)="S",G$3),G$2)</f>
        <v>11.25</v>
      </c>
      <c r="H7" t="s">
        <v>1570</v>
      </c>
      <c r="I7" t="s">
        <v>1602</v>
      </c>
      <c r="J7" s="517">
        <f>((Table38[[#This Row],[N Stock]])*Table38[[#This Row],[A]]-Table38[[#This Row],[S]])/((Table38[[#This Row],[N Stock]]-1)*Table38[[#This Row],[A]])</f>
        <v>1.0101010101010102</v>
      </c>
      <c r="K7" s="519">
        <f>(Table38[[#This Row],[S]]-Table38[[#This Row],[B]])/Table38[[#This Row],[S]]</f>
        <v>-0.2</v>
      </c>
      <c r="L7" s="519">
        <f>(Table38[[#This Row],[S]]-Table38[[#This Row],[B]])/Table38[[#This Row],[A]]</f>
        <v>-0.1818181818181818</v>
      </c>
      <c r="M7" s="523">
        <f>(IF(Table38[[#This Row],[S]]&gt;N$4,Table38[[#This Row],[S]],N$4))</f>
        <v>37.125</v>
      </c>
      <c r="N7" s="525">
        <f>Table38[[#This Row],[vsA3]]/N$4-1</f>
        <v>0</v>
      </c>
      <c r="O7" s="523">
        <f>(IF(Table38[[#This Row],[S]]&gt;P$4,Table38[[#This Row],[S]],P$4))</f>
        <v>29.700000000000006</v>
      </c>
      <c r="P7" s="525">
        <f>Table38[[#This Row],[Column1]]/P$4-1</f>
        <v>0</v>
      </c>
      <c r="Q7" s="523">
        <f>(IF(Table38[[#This Row],[S]]&gt;R$4,Table38[[#This Row],[S]],R$4))</f>
        <v>22.274999999999999</v>
      </c>
      <c r="R7" s="528">
        <f>Table38[[#This Row],[BS_MedL]]/R$4-1</f>
        <v>0</v>
      </c>
      <c r="S7" s="523">
        <f>(IF(Table38[[#This Row],[S]]&gt;T$4,Table38[[#This Row],[S]],T$4))</f>
        <v>14.850000000000003</v>
      </c>
      <c r="T7" s="518">
        <f>Table38[[#This Row],[WS_Max]]/T$4-1</f>
        <v>0</v>
      </c>
      <c r="U7" s="518">
        <f>(IF(Table38[[#This Row],[S]]&lt;R$4,Table38[[#This Row],[S]]-R$4,0))/W$4</f>
        <v>-0.42424242424242425</v>
      </c>
      <c r="V7" s="518">
        <f>IF(Table38[[#This Row],[S]]&lt;T$4,Table38[[#This Row],[S]]-T$4,"")</f>
        <v>-3.6000000000000032</v>
      </c>
    </row>
    <row r="8" spans="1:25">
      <c r="A8" s="357" t="s">
        <v>1579</v>
      </c>
      <c r="B8" s="365" t="s">
        <v>691</v>
      </c>
      <c r="D8" s="1">
        <v>10</v>
      </c>
      <c r="E8" s="1">
        <f>IF(FIND("A",Table38[[#This Row],[S=M]],1)&lt;FIND("S",Table38[[#This Row],[S=M]],1),DeltaPercent*Table38[[#This Row],[S]],DMinusPercent*Table38[[#This Row],[S]])</f>
        <v>12.375000000000002</v>
      </c>
      <c r="F8" s="1">
        <f>IF(FIND("B",Table38[[#This Row],[S=M]],1)&lt;FIND("S",Table38[[#This Row],[S=M]],1),BdeltaPlus*Table38[[#This Row],[S]],BdeltaMinus*Table38[[#This Row],[S]])</f>
        <v>13.5</v>
      </c>
      <c r="G8" s="1" cm="1">
        <f t="array" ref="G8">$G$1*IFERROR(_xlfn.IFS(LEFT(Table38[[#This Row],[S=M]],1)="S",G$4,RIGHT(Table38[[#This Row],[S=M]],1)="S",G$3),G$2)</f>
        <v>11.25</v>
      </c>
      <c r="H8" t="s">
        <v>1593</v>
      </c>
      <c r="I8" t="s">
        <v>1602</v>
      </c>
      <c r="J8" s="517">
        <f>((Table38[[#This Row],[N Stock]])*Table38[[#This Row],[A]]-Table38[[#This Row],[S]])/((Table38[[#This Row],[N Stock]]-1)*Table38[[#This Row],[A]])</f>
        <v>1.0101010101010102</v>
      </c>
      <c r="K8" s="519">
        <f>(Table38[[#This Row],[S]]-Table38[[#This Row],[B]])/Table38[[#This Row],[S]]</f>
        <v>-0.2</v>
      </c>
      <c r="L8" s="519">
        <f>(Table38[[#This Row],[S]]-Table38[[#This Row],[B]])/Table38[[#This Row],[A]]</f>
        <v>-0.1818181818181818</v>
      </c>
      <c r="M8" s="523">
        <f>(IF(Table38[[#This Row],[S]]&gt;N$4,Table38[[#This Row],[S]],N$4))</f>
        <v>37.125</v>
      </c>
      <c r="N8" s="525">
        <f>Table38[[#This Row],[vsA3]]/N$4-1</f>
        <v>0</v>
      </c>
      <c r="O8" s="523">
        <f>(IF(Table38[[#This Row],[S]]&gt;P$4,Table38[[#This Row],[S]],P$4))</f>
        <v>29.700000000000006</v>
      </c>
      <c r="P8" s="525">
        <f>Table38[[#This Row],[Column1]]/P$4-1</f>
        <v>0</v>
      </c>
      <c r="Q8" s="523">
        <f>(IF(Table38[[#This Row],[S]]&gt;R$4,Table38[[#This Row],[S]],R$4))</f>
        <v>22.274999999999999</v>
      </c>
      <c r="R8" s="528">
        <f>Table38[[#This Row],[BS_MedL]]/R$4-1</f>
        <v>0</v>
      </c>
      <c r="S8" s="523">
        <f>(IF(Table38[[#This Row],[S]]&gt;T$4,Table38[[#This Row],[S]],T$4))</f>
        <v>14.850000000000003</v>
      </c>
      <c r="T8" s="518">
        <f>Table38[[#This Row],[WS_Max]]/T$4-1</f>
        <v>0</v>
      </c>
      <c r="U8" s="518">
        <f>(IF(Table38[[#This Row],[S]]&lt;R$4,Table38[[#This Row],[S]]-R$4,0))/W$4</f>
        <v>-0.42424242424242425</v>
      </c>
      <c r="V8" s="518">
        <f>IF(Table38[[#This Row],[S]]&lt;T$4,Table38[[#This Row],[S]]-T$4,"")</f>
        <v>-3.6000000000000032</v>
      </c>
    </row>
    <row r="9" spans="1:25">
      <c r="A9" s="358" t="s">
        <v>1580</v>
      </c>
      <c r="B9" s="365" t="s">
        <v>691</v>
      </c>
      <c r="D9" s="1">
        <v>10</v>
      </c>
      <c r="E9" s="1">
        <f>IF(FIND("A",Table38[[#This Row],[S=M]],1)&lt;FIND("S",Table38[[#This Row],[S=M]],1),DeltaPercent*Table38[[#This Row],[S]],DMinusPercent*Table38[[#This Row],[S]])</f>
        <v>20.25</v>
      </c>
      <c r="F9" s="1">
        <f>IF(FIND("B",Table38[[#This Row],[S=M]],1)&lt;FIND("S",Table38[[#This Row],[S=M]],1),BdeltaPlus*Table38[[#This Row],[S]],BdeltaMinus*Table38[[#This Row],[S]])</f>
        <v>27</v>
      </c>
      <c r="G9" s="1" cm="1">
        <f t="array" ref="G9">$G$1*IFERROR(_xlfn.IFS(LEFT(Table38[[#This Row],[S=M]],1)="S",G$4,RIGHT(Table38[[#This Row],[S=M]],1)="S",G$3),G$2)</f>
        <v>22.5</v>
      </c>
      <c r="H9" t="s">
        <v>1594</v>
      </c>
      <c r="I9" t="s">
        <v>1600</v>
      </c>
      <c r="J9" s="517">
        <f>((Table38[[#This Row],[N Stock]])*Table38[[#This Row],[A]]-Table38[[#This Row],[S]])/((Table38[[#This Row],[N Stock]]-1)*Table38[[#This Row],[A]])</f>
        <v>0.98765432098765427</v>
      </c>
      <c r="K9" s="519">
        <f>(Table38[[#This Row],[S]]-Table38[[#This Row],[B]])/Table38[[#This Row],[S]]</f>
        <v>-0.2</v>
      </c>
      <c r="L9" s="519">
        <f>(Table38[[#This Row],[S]]-Table38[[#This Row],[B]])/Table38[[#This Row],[A]]</f>
        <v>-0.22222222222222221</v>
      </c>
      <c r="M9" s="523">
        <f>(IF(Table38[[#This Row],[S]]&gt;N$4,Table38[[#This Row],[S]],N$4))</f>
        <v>37.125</v>
      </c>
      <c r="N9" s="525">
        <f>Table38[[#This Row],[vsA3]]/N$4-1</f>
        <v>0</v>
      </c>
      <c r="O9" s="523">
        <f>(IF(Table38[[#This Row],[S]]&gt;P$4,Table38[[#This Row],[S]],P$4))</f>
        <v>29.700000000000006</v>
      </c>
      <c r="P9" s="525">
        <f>Table38[[#This Row],[Column1]]/P$4-1</f>
        <v>0</v>
      </c>
      <c r="Q9" s="523">
        <f>(IF(Table38[[#This Row],[S]]&gt;R$4,Table38[[#This Row],[S]],R$4))</f>
        <v>22.5</v>
      </c>
      <c r="R9" s="528">
        <f>Table38[[#This Row],[BS_MedL]]/R$4-1</f>
        <v>1.0101010101010166E-2</v>
      </c>
      <c r="S9" s="523">
        <f>(IF(Table38[[#This Row],[S]]&gt;T$4,Table38[[#This Row],[S]],T$4))</f>
        <v>22.5</v>
      </c>
      <c r="T9" s="518">
        <f>Table38[[#This Row],[WS_Max]]/T$4-1</f>
        <v>0.51515151515151492</v>
      </c>
      <c r="U9" s="518">
        <f>(IF(Table38[[#This Row],[S]]&lt;R$4,Table38[[#This Row],[S]]-R$4,0))/W$4</f>
        <v>0</v>
      </c>
      <c r="V9" s="518" t="str">
        <f>IF(Table38[[#This Row],[S]]&lt;T$4,Table38[[#This Row],[S]]-T$4,"")</f>
        <v/>
      </c>
    </row>
    <row r="10" spans="1:25">
      <c r="A10" s="359" t="s">
        <v>691</v>
      </c>
      <c r="B10" s="358" t="s">
        <v>1579</v>
      </c>
      <c r="D10" s="1">
        <v>10</v>
      </c>
      <c r="E10" s="1">
        <f>IF(FIND("A",Table38[[#This Row],[S=M]],1)&lt;FIND("S",Table38[[#This Row],[S=M]],1),DeltaPercent*Table38[[#This Row],[S]],DMinusPercent*Table38[[#This Row],[S]])</f>
        <v>30.375</v>
      </c>
      <c r="F10" s="1">
        <f>IF(FIND("B",Table38[[#This Row],[S=M]],1)&lt;FIND("S",Table38[[#This Row],[S=M]],1),BdeltaPlus*Table38[[#This Row],[S]],BdeltaMinus*Table38[[#This Row],[S]])</f>
        <v>27</v>
      </c>
      <c r="G10" s="1" cm="1">
        <f t="array" ref="G10">$G$1*IFERROR(_xlfn.IFS(LEFT(Table38[[#This Row],[S=M]],1)="S",G$4,RIGHT(Table38[[#This Row],[S=M]],1)="S",G$3),G$2)</f>
        <v>33.75</v>
      </c>
      <c r="H10" t="s">
        <v>1595</v>
      </c>
      <c r="I10" t="s">
        <v>1597</v>
      </c>
      <c r="J10" s="517">
        <f>((Table38[[#This Row],[N Stock]])*Table38[[#This Row],[A]]-Table38[[#This Row],[S]])/((Table38[[#This Row],[N Stock]]-1)*Table38[[#This Row],[A]])</f>
        <v>0.98765432098765427</v>
      </c>
      <c r="K10" s="519">
        <f>(Table38[[#This Row],[S]]-Table38[[#This Row],[B]])/Table38[[#This Row],[S]]</f>
        <v>0.2</v>
      </c>
      <c r="L10" s="519">
        <f>(Table38[[#This Row],[S]]-Table38[[#This Row],[B]])/Table38[[#This Row],[A]]</f>
        <v>0.22222222222222221</v>
      </c>
      <c r="M10" s="523">
        <f>(IF(Table38[[#This Row],[S]]&gt;N$4,Table38[[#This Row],[S]],N$4))</f>
        <v>37.125</v>
      </c>
      <c r="N10" s="525">
        <f>Table38[[#This Row],[vsA3]]/N$4-1</f>
        <v>0</v>
      </c>
      <c r="O10" s="523">
        <f>(IF(Table38[[#This Row],[S]]&gt;P$4,Table38[[#This Row],[S]],P$4))</f>
        <v>33.75</v>
      </c>
      <c r="P10" s="525">
        <f>Table38[[#This Row],[Column1]]/P$4-1</f>
        <v>0.13636363636363602</v>
      </c>
      <c r="Q10" s="523">
        <f>(IF(Table38[[#This Row],[S]]&gt;R$4,Table38[[#This Row],[S]],R$4))</f>
        <v>33.75</v>
      </c>
      <c r="R10" s="528">
        <f>Table38[[#This Row],[BS_MedL]]/R$4-1</f>
        <v>0.51515151515151514</v>
      </c>
      <c r="S10" s="523">
        <f>(IF(Table38[[#This Row],[S]]&gt;T$4,Table38[[#This Row],[S]],T$4))</f>
        <v>33.75</v>
      </c>
      <c r="T10" s="518">
        <f>Table38[[#This Row],[WS_Max]]/T$4-1</f>
        <v>1.272727272727272</v>
      </c>
      <c r="U10" s="518">
        <f>(IF(Table38[[#This Row],[S]]&lt;R$4,Table38[[#This Row],[S]]-R$4,0))/W$4</f>
        <v>0</v>
      </c>
      <c r="V10" s="518" t="str">
        <f>IF(Table38[[#This Row],[S]]&lt;T$4,Table38[[#This Row],[S]]-T$4,"")</f>
        <v/>
      </c>
    </row>
    <row r="11" spans="1:25" ht="23" thickBot="1">
      <c r="A11" s="358" t="s">
        <v>1580</v>
      </c>
      <c r="B11" s="358" t="s">
        <v>1579</v>
      </c>
      <c r="D11" s="1">
        <v>10</v>
      </c>
      <c r="E11" s="1">
        <f>IF(FIND("A",Table38[[#This Row],[S=M]],1)&lt;FIND("S",Table38[[#This Row],[S=M]],1),DeltaPercent*Table38[[#This Row],[S]],DMinusPercent*Table38[[#This Row],[S]])</f>
        <v>30.375</v>
      </c>
      <c r="F11" s="1">
        <f>IF(FIND("B",Table38[[#This Row],[S=M]],1)&lt;FIND("S",Table38[[#This Row],[S=M]],1),BdeltaPlus*Table38[[#This Row],[S]],BdeltaMinus*Table38[[#This Row],[S]])</f>
        <v>27</v>
      </c>
      <c r="G11" s="1" cm="1">
        <f t="array" ref="G11">$G$1*IFERROR(_xlfn.IFS(LEFT(Table38[[#This Row],[S=M]],1)="S",G$4,RIGHT(Table38[[#This Row],[S=M]],1)="S",G$3),G$2)</f>
        <v>33.75</v>
      </c>
      <c r="H11" t="s">
        <v>1596</v>
      </c>
      <c r="I11" t="s">
        <v>1597</v>
      </c>
      <c r="J11" s="517">
        <f>((Table38[[#This Row],[N Stock]])*Table38[[#This Row],[A]]-Table38[[#This Row],[S]])/((Table38[[#This Row],[N Stock]]-1)*Table38[[#This Row],[A]])</f>
        <v>0.98765432098765427</v>
      </c>
      <c r="K11" s="519">
        <f>(Table38[[#This Row],[S]]-Table38[[#This Row],[B]])/Table38[[#This Row],[S]]</f>
        <v>0.2</v>
      </c>
      <c r="L11" s="519">
        <f>(Table38[[#This Row],[S]]-Table38[[#This Row],[B]])/Table38[[#This Row],[A]]</f>
        <v>0.22222222222222221</v>
      </c>
      <c r="M11" s="524">
        <f>(IF(Table38[[#This Row],[S]]&gt;N$4,Table38[[#This Row],[S]],N$4))</f>
        <v>37.125</v>
      </c>
      <c r="N11" s="526">
        <f>Table38[[#This Row],[vsA3]]/N$4-1</f>
        <v>0</v>
      </c>
      <c r="O11" s="524">
        <f>(IF(Table38[[#This Row],[S]]&gt;P$4,Table38[[#This Row],[S]],P$4))</f>
        <v>33.75</v>
      </c>
      <c r="P11" s="526">
        <f>Table38[[#This Row],[Column1]]/P$4-1</f>
        <v>0.13636363636363602</v>
      </c>
      <c r="Q11" s="524">
        <f>(IF(Table38[[#This Row],[S]]&gt;R$4,Table38[[#This Row],[S]],R$4))</f>
        <v>33.75</v>
      </c>
      <c r="R11" s="528">
        <f>Table38[[#This Row],[BS_MedL]]/R$4-1</f>
        <v>0.51515151515151514</v>
      </c>
      <c r="S11" s="524">
        <f>(IF(Table38[[#This Row],[S]]&gt;T$4,Table38[[#This Row],[S]],T$4))</f>
        <v>33.75</v>
      </c>
      <c r="T11" s="518">
        <f>Table38[[#This Row],[WS_Max]]/T$4-1</f>
        <v>1.272727272727272</v>
      </c>
      <c r="U11" s="518">
        <f>(IF(Table38[[#This Row],[S]]&lt;R$4,Table38[[#This Row],[S]]-R$4,0))/W$4</f>
        <v>0</v>
      </c>
      <c r="V11" s="518" t="str">
        <f>IF(Table38[[#This Row],[S]]&lt;T$4,Table38[[#This Row],[S]]-T$4,"")</f>
        <v/>
      </c>
    </row>
    <row r="12" spans="1:25">
      <c r="C12" s="508"/>
      <c r="D12" s="509"/>
      <c r="E12" s="509"/>
      <c r="F12" s="509"/>
      <c r="G12" s="509"/>
      <c r="H12" s="510"/>
      <c r="I12" s="510"/>
      <c r="J12" s="508"/>
      <c r="K12" s="508"/>
      <c r="L12" s="511"/>
      <c r="M12" s="512"/>
      <c r="N12" s="512"/>
      <c r="O12" s="508"/>
      <c r="P12" s="508"/>
      <c r="Q12" s="508"/>
      <c r="R12" s="508"/>
      <c r="S12" s="508"/>
      <c r="T12" s="508"/>
      <c r="U12" s="508"/>
      <c r="V12" s="508"/>
    </row>
    <row r="13" spans="1:25" ht="23" thickBot="1">
      <c r="D13" s="1"/>
      <c r="E13" s="1"/>
      <c r="F13" s="1"/>
      <c r="G13" s="1"/>
      <c r="H13" t="s">
        <v>1589</v>
      </c>
      <c r="J13" t="s">
        <v>1703</v>
      </c>
      <c r="K13" t="s">
        <v>1564</v>
      </c>
      <c r="L13" t="s">
        <v>1565</v>
      </c>
      <c r="M13" s="1" t="s">
        <v>1588</v>
      </c>
      <c r="U13" s="508"/>
    </row>
    <row r="14" spans="1:25" ht="23" thickBot="1">
      <c r="A14" s="355" t="s">
        <v>1577</v>
      </c>
      <c r="B14" s="355" t="s">
        <v>1578</v>
      </c>
      <c r="D14" s="1" t="s">
        <v>1723</v>
      </c>
      <c r="E14" s="505" t="s">
        <v>1580</v>
      </c>
      <c r="F14" s="506" t="s">
        <v>691</v>
      </c>
      <c r="G14" s="507" t="s">
        <v>1579</v>
      </c>
      <c r="H14" t="s">
        <v>188</v>
      </c>
      <c r="I14" t="s">
        <v>187</v>
      </c>
      <c r="J14" t="s">
        <v>1701</v>
      </c>
      <c r="K14" s="355" t="s">
        <v>1704</v>
      </c>
      <c r="L14" s="355" t="s">
        <v>1566</v>
      </c>
      <c r="M14" s="355" t="s">
        <v>1598</v>
      </c>
    </row>
    <row r="15" spans="1:25">
      <c r="A15" cm="1">
        <f t="array" ref="A15">IFERROR(_xlfn.IFS(LEFT(M15,1)="A",15,RIGHT(M15,1)="A",5),10)</f>
        <v>10</v>
      </c>
      <c r="B15" cm="1">
        <f t="array" ref="B15">IFERROR(_xlfn.IFS(LEFT(M15,1)="P",15,RIGHT(M15,1)="P",5),10)</f>
        <v>10</v>
      </c>
      <c r="D15" s="1">
        <v>10</v>
      </c>
      <c r="E15" s="1" cm="1">
        <f t="array" ref="E15">IFERROR(_xlfn.IFS(LEFT(J15,1)="A",DeltaPercent*G6,RIGHT(J15,1)="A",5),10)</f>
        <v>24.750000000000004</v>
      </c>
      <c r="F15" s="1" cm="1">
        <f t="array" ref="F15">IFERROR(_xlfn.IFS(LEFT(J15,1)="P",15,RIGHT(J15,1)="P",5),10)</f>
        <v>10</v>
      </c>
      <c r="G15" s="1" cm="1">
        <f t="array" ref="G15">IFERROR(_xlfn.IFS(LEFT(J15,1)="S",15,RIGHT(J15,1)="S",5),10)</f>
        <v>5</v>
      </c>
      <c r="J15" t="s">
        <v>1571</v>
      </c>
      <c r="K15" s="356" t="s">
        <v>1583</v>
      </c>
      <c r="L15" s="356" t="s">
        <v>1568</v>
      </c>
      <c r="M15" s="357" t="s">
        <v>1567</v>
      </c>
    </row>
    <row r="16" spans="1:25">
      <c r="A16" s="356" t="s">
        <v>1581</v>
      </c>
      <c r="B16" s="361" t="s">
        <v>1580</v>
      </c>
      <c r="D16" s="1">
        <v>10</v>
      </c>
      <c r="E16" s="1" cm="1">
        <f t="array" ref="E16">IFERROR(_xlfn.IFS(LEFT(J16,1)="A",15,RIGHT(J16,1)="A",5),10)</f>
        <v>15</v>
      </c>
      <c r="F16" s="1" cm="1">
        <f t="array" ref="F16">IFERROR(_xlfn.IFS(LEFT(J16,1)="P",15,RIGHT(J16,1)="P",5),10)</f>
        <v>5</v>
      </c>
      <c r="G16" s="1" cm="1">
        <f t="array" ref="G16">IFERROR(_xlfn.IFS(LEFT(J16,1)="S",15,RIGHT(J16,1)="S",5),10)</f>
        <v>10</v>
      </c>
      <c r="J16" t="s">
        <v>1572</v>
      </c>
      <c r="K16" s="356" t="s">
        <v>1584</v>
      </c>
      <c r="L16" s="356" t="s">
        <v>1568</v>
      </c>
      <c r="M16" s="356" t="s">
        <v>1568</v>
      </c>
    </row>
    <row r="17" spans="1:13">
      <c r="A17" s="360" t="s">
        <v>1579</v>
      </c>
      <c r="B17" s="357" t="s">
        <v>1581</v>
      </c>
      <c r="D17" s="1">
        <v>10</v>
      </c>
      <c r="E17" s="1" cm="1">
        <f t="array" ref="E17">IFERROR(_xlfn.IFS(LEFT(J17,1)="A",15,RIGHT(J17,1)="A",5),10)</f>
        <v>10</v>
      </c>
      <c r="F17" s="1" cm="1">
        <f t="array" ref="F17">IFERROR(_xlfn.IFS(LEFT(J17,1)="P",15,RIGHT(J17,1)="P",5),10)</f>
        <v>15</v>
      </c>
      <c r="G17" s="1" cm="1">
        <f t="array" ref="G17">IFERROR(_xlfn.IFS(LEFT(J17,1)="S",15,RIGHT(J17,1)="S",5),10)</f>
        <v>5</v>
      </c>
      <c r="J17" t="s">
        <v>1575</v>
      </c>
      <c r="K17" s="357" t="s">
        <v>1587</v>
      </c>
      <c r="L17" s="357" t="s">
        <v>1567</v>
      </c>
      <c r="M17" s="357" t="s">
        <v>1567</v>
      </c>
    </row>
    <row r="18" spans="1:13">
      <c r="A18" s="358" t="s">
        <v>1580</v>
      </c>
      <c r="B18" s="357" t="s">
        <v>1581</v>
      </c>
      <c r="D18" s="1">
        <v>10</v>
      </c>
      <c r="E18" s="1" cm="1">
        <f t="array" ref="E18">IFERROR(_xlfn.IFS(LEFT(J18,1)="A",15,RIGHT(J18,1)="A",5),10)</f>
        <v>5</v>
      </c>
      <c r="F18" s="1" cm="1">
        <f t="array" ref="F18">IFERROR(_xlfn.IFS(LEFT(J18,1)="P",15,RIGHT(J18,1)="P",5),10)</f>
        <v>15</v>
      </c>
      <c r="G18" s="1" cm="1">
        <f t="array" ref="G18">IFERROR(_xlfn.IFS(LEFT(J18,1)="S",15,RIGHT(J18,1)="S",5),10)</f>
        <v>10</v>
      </c>
      <c r="J18" t="s">
        <v>1574</v>
      </c>
      <c r="K18" s="357" t="s">
        <v>1587</v>
      </c>
      <c r="L18" s="357" t="s">
        <v>1567</v>
      </c>
      <c r="M18" s="357" t="s">
        <v>1567</v>
      </c>
    </row>
    <row r="19" spans="1:13">
      <c r="A19" s="358" t="s">
        <v>1580</v>
      </c>
      <c r="B19" s="359" t="s">
        <v>1579</v>
      </c>
      <c r="D19" s="1">
        <v>10</v>
      </c>
      <c r="E19" s="1" cm="1">
        <f t="array" ref="E19">IFERROR(_xlfn.IFS(LEFT(J19,1)="A",15,RIGHT(J19,1)="A",5),10)</f>
        <v>5</v>
      </c>
      <c r="F19" s="1" cm="1">
        <f t="array" ref="F19">IFERROR(_xlfn.IFS(LEFT(J19,1)="P",15,RIGHT(J19,1)="P",5),10)</f>
        <v>10</v>
      </c>
      <c r="G19" s="1" cm="1">
        <f t="array" ref="G19">IFERROR(_xlfn.IFS(LEFT(J19,1)="S",15,RIGHT(J19,1)="S",5),10)</f>
        <v>15</v>
      </c>
      <c r="J19" t="s">
        <v>1573</v>
      </c>
      <c r="K19" s="357" t="s">
        <v>1586</v>
      </c>
      <c r="L19" s="363" t="s">
        <v>1576</v>
      </c>
      <c r="M19" s="356" t="s">
        <v>1568</v>
      </c>
    </row>
    <row r="20" spans="1:13">
      <c r="A20" s="356" t="s">
        <v>1581</v>
      </c>
      <c r="B20" s="359" t="s">
        <v>1579</v>
      </c>
      <c r="D20" s="1">
        <v>10</v>
      </c>
      <c r="E20" s="1" cm="1">
        <f t="array" ref="E20">IFERROR(_xlfn.IFS(LEFT(J20,1)="A",15,RIGHT(J20,1)="A",5),10)</f>
        <v>10</v>
      </c>
      <c r="F20" s="1" cm="1">
        <f t="array" ref="F20">IFERROR(_xlfn.IFS(LEFT(J20,1)="P",15,RIGHT(J20,1)="P",5),10)</f>
        <v>5</v>
      </c>
      <c r="G20" s="1" cm="1">
        <f t="array" ref="G20">IFERROR(_xlfn.IFS(LEFT(J20,1)="S",15,RIGHT(J20,1)="S",5),10)</f>
        <v>15</v>
      </c>
      <c r="J20" t="s">
        <v>38</v>
      </c>
      <c r="K20" s="356" t="s">
        <v>1585</v>
      </c>
      <c r="L20" s="362" t="s">
        <v>1010</v>
      </c>
      <c r="M20" s="356" t="s">
        <v>1568</v>
      </c>
    </row>
    <row r="22" spans="1:13" ht="25" thickBot="1">
      <c r="E22" t="s">
        <v>1779</v>
      </c>
      <c r="F22" t="s">
        <v>1780</v>
      </c>
      <c r="G22" t="s">
        <v>1781</v>
      </c>
      <c r="H22" t="s">
        <v>1778</v>
      </c>
    </row>
    <row r="23" spans="1:13" ht="25" thickBot="1">
      <c r="G23" s="295" t="s">
        <v>1744</v>
      </c>
      <c r="H23" s="544" t="s">
        <v>1741</v>
      </c>
      <c r="I23" s="545" t="s">
        <v>1742</v>
      </c>
      <c r="J23" s="546" t="s">
        <v>1743</v>
      </c>
    </row>
    <row r="24" spans="1:13" ht="26" thickTop="1" thickBot="1">
      <c r="G24" s="295"/>
      <c r="H24" t="s">
        <v>1748</v>
      </c>
    </row>
    <row r="25" spans="1:13" ht="25" thickBot="1">
      <c r="D25" s="12" t="s">
        <v>1747</v>
      </c>
      <c r="E25" s="542" t="s">
        <v>1749</v>
      </c>
      <c r="F25" s="543"/>
      <c r="G25" s="547" t="s">
        <v>1751</v>
      </c>
      <c r="H25" s="13" t="s">
        <v>1759</v>
      </c>
      <c r="I25" s="13"/>
      <c r="J25" s="69"/>
    </row>
    <row r="26" spans="1:13" ht="24">
      <c r="D26" s="16"/>
      <c r="E26" t="s">
        <v>1746</v>
      </c>
      <c r="G26" s="295" t="s">
        <v>1745</v>
      </c>
      <c r="H26" t="s">
        <v>1750</v>
      </c>
      <c r="I26" t="s">
        <v>1752</v>
      </c>
      <c r="J26" s="71"/>
    </row>
    <row r="27" spans="1:13" ht="24">
      <c r="D27" s="16"/>
      <c r="G27" s="295"/>
      <c r="H27" t="s">
        <v>1755</v>
      </c>
      <c r="I27" t="s">
        <v>1753</v>
      </c>
      <c r="J27" s="71"/>
    </row>
    <row r="28" spans="1:13" ht="24">
      <c r="D28" s="16"/>
      <c r="H28" t="s">
        <v>1756</v>
      </c>
      <c r="I28" t="s">
        <v>1754</v>
      </c>
      <c r="J28" s="71"/>
    </row>
    <row r="29" spans="1:13" ht="24">
      <c r="D29" s="16"/>
      <c r="H29" t="s">
        <v>1758</v>
      </c>
      <c r="I29" t="s">
        <v>1757</v>
      </c>
      <c r="J29" s="71"/>
    </row>
    <row r="30" spans="1:13" ht="24">
      <c r="D30" s="16"/>
      <c r="H30" t="s">
        <v>1770</v>
      </c>
      <c r="J30" s="71"/>
    </row>
    <row r="31" spans="1:13" ht="24">
      <c r="D31" s="16"/>
      <c r="H31" t="s">
        <v>1740</v>
      </c>
      <c r="J31" s="71"/>
    </row>
    <row r="32" spans="1:13" ht="25" thickBot="1">
      <c r="D32" s="19"/>
      <c r="E32" s="20"/>
      <c r="F32" s="20"/>
      <c r="G32" s="20"/>
      <c r="H32" s="20" t="s">
        <v>1772</v>
      </c>
      <c r="I32" s="20" t="s">
        <v>1777</v>
      </c>
      <c r="J32" s="80"/>
    </row>
    <row r="33" spans="4:10" ht="25" thickBot="1">
      <c r="D33" s="12" t="s">
        <v>1760</v>
      </c>
      <c r="E33" s="542" t="s">
        <v>1773</v>
      </c>
      <c r="F33" s="543"/>
      <c r="G33" s="547" t="s">
        <v>1751</v>
      </c>
      <c r="H33" s="13" t="s">
        <v>1761</v>
      </c>
      <c r="I33" s="13"/>
      <c r="J33" s="69"/>
    </row>
    <row r="34" spans="4:10" ht="24">
      <c r="D34" s="16"/>
      <c r="E34" t="s">
        <v>1776</v>
      </c>
      <c r="G34" s="295" t="s">
        <v>1745</v>
      </c>
      <c r="H34" t="s">
        <v>1762</v>
      </c>
      <c r="I34" t="s">
        <v>1768</v>
      </c>
      <c r="J34" s="71"/>
    </row>
    <row r="35" spans="4:10" ht="24">
      <c r="D35" s="16"/>
      <c r="G35" s="295"/>
      <c r="H35" t="s">
        <v>1763</v>
      </c>
      <c r="I35" t="s">
        <v>1766</v>
      </c>
      <c r="J35" s="71"/>
    </row>
    <row r="36" spans="4:10" ht="24">
      <c r="D36" s="16"/>
      <c r="H36" t="s">
        <v>1764</v>
      </c>
      <c r="I36" t="s">
        <v>1769</v>
      </c>
      <c r="J36" s="71"/>
    </row>
    <row r="37" spans="4:10" ht="24">
      <c r="D37" s="16"/>
      <c r="H37" t="s">
        <v>1765</v>
      </c>
      <c r="I37" t="s">
        <v>1767</v>
      </c>
      <c r="J37" s="71"/>
    </row>
    <row r="38" spans="4:10" ht="24">
      <c r="D38" s="16"/>
      <c r="H38" t="s">
        <v>1771</v>
      </c>
      <c r="J38" s="71"/>
    </row>
    <row r="39" spans="4:10" ht="24">
      <c r="D39" s="16"/>
      <c r="H39" t="s">
        <v>1774</v>
      </c>
      <c r="J39" s="71"/>
    </row>
    <row r="40" spans="4:10" ht="25" thickBot="1">
      <c r="D40" s="19"/>
      <c r="E40" s="20"/>
      <c r="F40" s="20"/>
      <c r="G40" s="20"/>
      <c r="H40" s="20" t="s">
        <v>1775</v>
      </c>
      <c r="I40" s="20"/>
      <c r="J40" s="80"/>
    </row>
  </sheetData>
  <phoneticPr fontId="47" type="noConversion"/>
  <pageMargins left="0.7" right="0.7" top="0.75" bottom="0.75" header="0.3" footer="0.3"/>
  <legacy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6DBA3-DFF2-A741-AB69-4E77FB32A1D1}">
  <sheetPr codeName="Sheet18"/>
  <dimension ref="B1:C111"/>
  <sheetViews>
    <sheetView topLeftCell="A44" workbookViewId="0">
      <selection activeCell="B42" sqref="B42"/>
    </sheetView>
  </sheetViews>
  <sheetFormatPr baseColWidth="10" defaultRowHeight="22"/>
  <cols>
    <col min="2" max="2" width="17.375" style="1" bestFit="1" customWidth="1"/>
    <col min="3" max="3" width="110.375" customWidth="1"/>
  </cols>
  <sheetData>
    <row r="1" spans="2:3" ht="27">
      <c r="B1" s="539" t="s">
        <v>1734</v>
      </c>
      <c r="C1" s="539" t="s">
        <v>1735</v>
      </c>
    </row>
    <row r="2" spans="2:3">
      <c r="B2" s="1" t="str" cm="1">
        <f t="array" ref="B2:B108">TRANSPOSE(TabCalc[#Headers])</f>
        <v>Cur</v>
      </c>
    </row>
    <row r="3" spans="2:3">
      <c r="B3" s="1" t="str">
        <v>Scale</v>
      </c>
    </row>
    <row r="4" spans="2:3">
      <c r="B4" s="1" t="str">
        <v>Nbegin</v>
      </c>
      <c r="C4" t="s">
        <v>1622</v>
      </c>
    </row>
    <row r="5" spans="2:3">
      <c r="B5" s="1" t="str">
        <v>PriceBeg</v>
      </c>
    </row>
    <row r="6" spans="2:3">
      <c r="B6" s="1" t="str">
        <v>ValueBegin</v>
      </c>
    </row>
    <row r="7" spans="2:3">
      <c r="B7" s="1" t="str">
        <v>M_V</v>
      </c>
    </row>
    <row r="8" spans="2:3">
      <c r="B8" s="1" t="str">
        <v>NAfter</v>
      </c>
      <c r="C8" t="s">
        <v>1623</v>
      </c>
    </row>
    <row r="9" spans="2:3">
      <c r="B9" s="1" t="str">
        <v>Ticker</v>
      </c>
    </row>
    <row r="10" spans="2:3">
      <c r="B10" s="1" t="str">
        <v>M</v>
      </c>
    </row>
    <row r="11" spans="2:3" ht="138">
      <c r="B11" s="1" t="str">
        <v>A</v>
      </c>
      <c r="C11" s="410" t="s">
        <v>1785</v>
      </c>
    </row>
    <row r="12" spans="2:3">
      <c r="B12" s="1" t="str">
        <v>Y</v>
      </c>
    </row>
    <row r="13" spans="2:3">
      <c r="B13" s="1" t="str">
        <v>E</v>
      </c>
      <c r="C13" t="s">
        <v>1736</v>
      </c>
    </row>
    <row r="14" spans="2:3">
      <c r="B14" s="1" t="str">
        <v>Ch_Today</v>
      </c>
    </row>
    <row r="15" spans="2:3">
      <c r="B15" s="1" t="str">
        <v>Up20</v>
      </c>
    </row>
    <row r="16" spans="2:3">
      <c r="B16" s="1" t="str">
        <v>Imp20</v>
      </c>
    </row>
    <row r="17" spans="2:3">
      <c r="B17" s="1" t="str">
        <v>DifUps</v>
      </c>
    </row>
    <row r="18" spans="2:3">
      <c r="B18" s="1" t="str">
        <v>Up150</v>
      </c>
    </row>
    <row r="19" spans="2:3">
      <c r="B19" s="1" t="str">
        <v>Imp150</v>
      </c>
    </row>
    <row r="20" spans="2:3">
      <c r="B20" s="1" t="str">
        <v>DPWC150</v>
      </c>
    </row>
    <row r="21" spans="2:3">
      <c r="B21" s="1" t="str">
        <v>DPWC20</v>
      </c>
    </row>
    <row r="22" spans="2:3">
      <c r="B22" s="1" t="str">
        <v>AMZ</v>
      </c>
    </row>
    <row r="23" spans="2:3">
      <c r="B23" s="1" t="str">
        <v>BMZ</v>
      </c>
    </row>
    <row r="24" spans="2:3">
      <c r="B24" s="1" t="str">
        <v>NMZ</v>
      </c>
    </row>
    <row r="25" spans="2:3">
      <c r="B25" s="1" t="str">
        <v>Type</v>
      </c>
    </row>
    <row r="26" spans="2:3">
      <c r="B26" s="1" t="str">
        <v>for_A=Y</v>
      </c>
    </row>
    <row r="27" spans="2:3">
      <c r="B27" s="1" t="str">
        <v>Rev(MinStock)</v>
      </c>
    </row>
    <row r="28" spans="2:3">
      <c r="B28" s="1" t="str">
        <v>L_Bdate</v>
      </c>
    </row>
    <row r="29" spans="2:3">
      <c r="B29" s="1" t="str">
        <v>L_Bn</v>
      </c>
    </row>
    <row r="30" spans="2:3" ht="69">
      <c r="B30" s="1" t="str">
        <v>L_Bp</v>
      </c>
      <c r="C30" s="410" t="s">
        <v>1626</v>
      </c>
    </row>
    <row r="31" spans="2:3">
      <c r="B31" s="1" t="str">
        <v>ReverseS1</v>
      </c>
    </row>
    <row r="32" spans="2:3" ht="207">
      <c r="B32" s="1" t="str">
        <v>L_B1D</v>
      </c>
      <c r="C32" s="410" t="s">
        <v>1627</v>
      </c>
    </row>
    <row r="33" spans="2:3">
      <c r="B33" s="1" t="str">
        <v>L_B1n</v>
      </c>
    </row>
    <row r="34" spans="2:3" ht="69">
      <c r="B34" s="1" t="str">
        <v>L_B1p</v>
      </c>
      <c r="C34" s="410" t="s">
        <v>1628</v>
      </c>
    </row>
    <row r="35" spans="2:3">
      <c r="B35" s="1" t="str">
        <v>ReverseB</v>
      </c>
    </row>
    <row r="36" spans="2:3" ht="46">
      <c r="B36" s="1" t="str">
        <v>L_SDate</v>
      </c>
      <c r="C36" s="410" t="s">
        <v>1629</v>
      </c>
    </row>
    <row r="37" spans="2:3">
      <c r="B37" s="1" t="str">
        <v>L_Sn</v>
      </c>
      <c r="C37" t="s">
        <v>1630</v>
      </c>
    </row>
    <row r="38" spans="2:3">
      <c r="B38" s="1" t="str">
        <v>L_Sp</v>
      </c>
    </row>
    <row r="39" spans="2:3">
      <c r="B39" s="1" t="str">
        <v>ReverseB1</v>
      </c>
    </row>
    <row r="40" spans="2:3">
      <c r="B40" s="1" t="str">
        <v>L_S1D</v>
      </c>
    </row>
    <row r="41" spans="2:3">
      <c r="B41" s="1" t="str">
        <v>L_S1n</v>
      </c>
      <c r="C41" t="s">
        <v>1631</v>
      </c>
    </row>
    <row r="42" spans="2:3" ht="46">
      <c r="B42" s="1" t="str">
        <v>L_S1p</v>
      </c>
      <c r="C42" s="410" t="s">
        <v>1632</v>
      </c>
    </row>
    <row r="43" spans="2:3" ht="46">
      <c r="B43" s="1" t="str">
        <v>SaldOp</v>
      </c>
      <c r="C43" s="410" t="s">
        <v>1633</v>
      </c>
    </row>
    <row r="44" spans="2:3" ht="92">
      <c r="B44" s="1" t="str">
        <v>SinceClose</v>
      </c>
      <c r="C44" s="410" t="s">
        <v>1634</v>
      </c>
    </row>
    <row r="45" spans="2:3">
      <c r="B45" s="1" t="str">
        <v>PreDay</v>
      </c>
    </row>
    <row r="46" spans="2:3">
      <c r="B46" s="1" t="str">
        <v>Gravity</v>
      </c>
      <c r="C46" t="s">
        <v>1635</v>
      </c>
    </row>
    <row r="47" spans="2:3" ht="92">
      <c r="B47" s="1" t="str">
        <v>Refill1</v>
      </c>
      <c r="C47" s="410" t="s">
        <v>1636</v>
      </c>
    </row>
    <row r="48" spans="2:3">
      <c r="B48" s="1" t="str">
        <v>Refill2</v>
      </c>
      <c r="C48" t="s">
        <v>1637</v>
      </c>
    </row>
    <row r="49" spans="2:3">
      <c r="B49" s="1" t="str">
        <v>Resale</v>
      </c>
      <c r="C49" t="s">
        <v>1638</v>
      </c>
    </row>
    <row r="50" spans="2:3">
      <c r="B50" s="1" t="str">
        <v>Extran</v>
      </c>
      <c r="C50" t="s">
        <v>1639</v>
      </c>
    </row>
    <row r="51" spans="2:3">
      <c r="B51" s="1" t="str">
        <v>Repulse</v>
      </c>
      <c r="C51" t="s">
        <v>1640</v>
      </c>
    </row>
    <row r="52" spans="2:3">
      <c r="B52" s="1" t="str">
        <v>Ori_Sold</v>
      </c>
      <c r="C52" t="s">
        <v>1641</v>
      </c>
    </row>
    <row r="53" spans="2:3">
      <c r="B53" s="1" t="str">
        <v>V/VA</v>
      </c>
      <c r="C53" t="s">
        <v>1642</v>
      </c>
    </row>
    <row r="54" spans="2:3">
      <c r="B54" s="1" t="str">
        <v>TimeEX</v>
      </c>
      <c r="C54" t="s">
        <v>1643</v>
      </c>
    </row>
    <row r="55" spans="2:3" ht="230">
      <c r="B55" s="1" t="str">
        <v>Agiotage</v>
      </c>
      <c r="C55" s="410" t="s">
        <v>1644</v>
      </c>
    </row>
    <row r="56" spans="2:3" ht="92">
      <c r="B56" s="1" t="str">
        <v>NoT_C</v>
      </c>
      <c r="C56" s="410" t="s">
        <v>1645</v>
      </c>
    </row>
    <row r="57" spans="2:3">
      <c r="B57" s="1" t="str">
        <v>NoT_GL</v>
      </c>
      <c r="C57" t="s">
        <v>1646</v>
      </c>
    </row>
    <row r="58" spans="2:3">
      <c r="B58" s="1" t="str">
        <v>Free</v>
      </c>
    </row>
    <row r="59" spans="2:3">
      <c r="B59" s="1" t="str">
        <v>AddBuys</v>
      </c>
      <c r="C59" t="s">
        <v>1647</v>
      </c>
    </row>
    <row r="60" spans="2:3">
      <c r="B60" s="1" t="str">
        <v>AddCash</v>
      </c>
      <c r="C60" t="s">
        <v>1648</v>
      </c>
    </row>
    <row r="61" spans="2:3" ht="46">
      <c r="B61" s="1" t="str">
        <v>AddValue</v>
      </c>
      <c r="C61" s="410" t="s">
        <v>1649</v>
      </c>
    </row>
    <row r="62" spans="2:3">
      <c r="B62" s="1" t="str">
        <v>Tot_Paid</v>
      </c>
      <c r="C62" t="s">
        <v>1650</v>
      </c>
    </row>
    <row r="63" spans="2:3">
      <c r="B63" s="1" t="str">
        <v>EfCost</v>
      </c>
    </row>
    <row r="64" spans="2:3" ht="115">
      <c r="B64" s="1" t="str">
        <v>S_Income</v>
      </c>
      <c r="C64" s="410" t="s">
        <v>1651</v>
      </c>
    </row>
    <row r="65" spans="2:3">
      <c r="B65" s="1" t="str">
        <v>GL</v>
      </c>
    </row>
    <row r="66" spans="2:3">
      <c r="B66" s="1" t="str">
        <v>Cost+Gain</v>
      </c>
    </row>
    <row r="67" spans="2:3">
      <c r="B67" s="1" t="str">
        <v>SB</v>
      </c>
    </row>
    <row r="68" spans="2:3">
      <c r="B68" s="1" t="str">
        <v>SABT</v>
      </c>
    </row>
    <row r="69" spans="2:3">
      <c r="B69" s="1" t="str">
        <v>SST</v>
      </c>
    </row>
    <row r="70" spans="2:3">
      <c r="B70" s="1" t="str">
        <v>BuyBound</v>
      </c>
    </row>
    <row r="71" spans="2:3">
      <c r="B71" s="1" t="str">
        <v>Pile?</v>
      </c>
    </row>
    <row r="72" spans="2:3">
      <c r="B72" s="1" t="str">
        <v>L-ExT</v>
      </c>
    </row>
    <row r="73" spans="2:3">
      <c r="B73" s="1" t="str">
        <v>CostReduct</v>
      </c>
    </row>
    <row r="74" spans="2:3">
      <c r="B74" s="1" t="str">
        <v>L_I1</v>
      </c>
      <c r="C74" t="s">
        <v>1652</v>
      </c>
    </row>
    <row r="75" spans="2:3">
      <c r="B75" s="1" t="str">
        <v>L_I2</v>
      </c>
    </row>
    <row r="76" spans="2:3">
      <c r="B76" s="1" t="str">
        <v>L_TD</v>
      </c>
    </row>
    <row r="77" spans="2:3">
      <c r="B77" s="1" t="str">
        <v>TradeType</v>
      </c>
    </row>
    <row r="78" spans="2:3">
      <c r="B78" s="1" t="str">
        <v>L_T#</v>
      </c>
    </row>
    <row r="79" spans="2:3">
      <c r="B79" s="1" t="str">
        <v>L_TP</v>
      </c>
    </row>
    <row r="80" spans="2:3">
      <c r="B80" s="1" t="str">
        <v>Resale(ME)</v>
      </c>
    </row>
    <row r="81" spans="2:3">
      <c r="B81" s="1" t="str">
        <v>Min_SD</v>
      </c>
    </row>
    <row r="82" spans="2:3">
      <c r="B82" s="1" t="str">
        <v>Min_Sn</v>
      </c>
    </row>
    <row r="83" spans="2:3" ht="115">
      <c r="B83" s="1" t="str">
        <v>Min_SP</v>
      </c>
      <c r="C83" s="410" t="s">
        <v>1737</v>
      </c>
    </row>
    <row r="84" spans="2:3">
      <c r="B84" s="1" t="str">
        <v>Max_SD</v>
      </c>
    </row>
    <row r="85" spans="2:3" ht="138">
      <c r="B85" s="1" t="str">
        <v>Max_Sn</v>
      </c>
      <c r="C85" s="410" t="s">
        <v>1738</v>
      </c>
    </row>
    <row r="86" spans="2:3">
      <c r="B86" s="1" t="str">
        <v>Max_SP</v>
      </c>
    </row>
    <row r="87" spans="2:3">
      <c r="B87" s="1" t="str">
        <v>Min_PD</v>
      </c>
      <c r="C87" t="s">
        <v>1739</v>
      </c>
    </row>
    <row r="88" spans="2:3">
      <c r="B88" s="1" t="str">
        <v>Min_Pn</v>
      </c>
    </row>
    <row r="89" spans="2:3">
      <c r="B89" s="1" t="str">
        <v>Min_PP</v>
      </c>
    </row>
    <row r="90" spans="2:3">
      <c r="B90" s="1" t="str">
        <v>Max_PD</v>
      </c>
    </row>
    <row r="91" spans="2:3">
      <c r="B91" s="1" t="str">
        <v>Max_Pn</v>
      </c>
    </row>
    <row r="92" spans="2:3">
      <c r="B92" s="1" t="str">
        <v>Max_PP</v>
      </c>
    </row>
    <row r="93" spans="2:3">
      <c r="B93" s="1" t="str">
        <v>BS2D</v>
      </c>
    </row>
    <row r="94" spans="2:3">
      <c r="B94" s="1" t="str">
        <v>BS2n</v>
      </c>
    </row>
    <row r="95" spans="2:3">
      <c r="B95" s="1" t="str">
        <v>BS2P</v>
      </c>
    </row>
    <row r="96" spans="2:3">
      <c r="B96" s="1" t="str">
        <v>WB2D</v>
      </c>
    </row>
    <row r="97" spans="2:3">
      <c r="B97" s="1" t="str">
        <v>WB2n</v>
      </c>
    </row>
    <row r="98" spans="2:3">
      <c r="B98" s="1" t="str">
        <v>WB2P</v>
      </c>
    </row>
    <row r="99" spans="2:3">
      <c r="B99" s="1" t="str">
        <v>ntoBuy</v>
      </c>
    </row>
    <row r="100" spans="2:3">
      <c r="B100" s="1" t="str">
        <v>BuyCost</v>
      </c>
    </row>
    <row r="101" spans="2:3">
      <c r="B101" s="1" t="str">
        <v>ntoSell</v>
      </c>
    </row>
    <row r="102" spans="2:3">
      <c r="B102" s="1" t="str">
        <v>vReverse</v>
      </c>
    </row>
    <row r="103" spans="2:3">
      <c r="B103" s="1" t="str">
        <v>NMA</v>
      </c>
    </row>
    <row r="104" spans="2:3">
      <c r="B104" s="1" t="str">
        <v>Revenue</v>
      </c>
    </row>
    <row r="105" spans="2:3">
      <c r="B105" s="1" t="str">
        <v>GLMore@A</v>
      </c>
    </row>
    <row r="106" spans="2:3">
      <c r="B106" s="1" t="str">
        <v>Ann%RevLB</v>
      </c>
    </row>
    <row r="107" spans="2:3">
      <c r="B107" s="1" t="str">
        <v>Median</v>
      </c>
    </row>
    <row r="108" spans="2:3">
      <c r="B108" s="1" t="str">
        <v>Ag:Ch</v>
      </c>
    </row>
    <row r="111" spans="2:3">
      <c r="B111" s="540"/>
      <c r="C111" s="54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D788A-B4C2-124B-BCB2-2195B68C6DFE}">
  <sheetPr codeName="Sheet5"/>
  <dimension ref="A1:EP135"/>
  <sheetViews>
    <sheetView topLeftCell="A113" workbookViewId="0">
      <selection activeCell="B135" sqref="B135"/>
    </sheetView>
  </sheetViews>
  <sheetFormatPr baseColWidth="10" defaultRowHeight="22"/>
  <cols>
    <col min="1" max="1" width="18.75" customWidth="1"/>
    <col min="2" max="2" width="25" customWidth="1"/>
    <col min="3" max="3" width="16" customWidth="1"/>
    <col min="4" max="4" width="44.25" customWidth="1"/>
    <col min="10" max="10" width="14" customWidth="1"/>
    <col min="14" max="15" width="0" hidden="1" customWidth="1"/>
    <col min="16" max="16" width="15.375" customWidth="1"/>
    <col min="17" max="17" width="17.75" customWidth="1"/>
    <col min="18" max="18" width="16.125" customWidth="1"/>
    <col min="27" max="27" width="10.625" style="411"/>
    <col min="29" max="29" width="84.375" bestFit="1" customWidth="1"/>
  </cols>
  <sheetData>
    <row r="1" spans="1:127">
      <c r="A1" t="s">
        <v>956</v>
      </c>
      <c r="B1" t="s">
        <v>669</v>
      </c>
      <c r="AA1" s="412" t="str" cm="1">
        <f t="array" ref="AA1:AA107">TRANSPOSE(TabCalc[#Headers])</f>
        <v>Cur</v>
      </c>
    </row>
    <row r="2" spans="1:127">
      <c r="A2" t="s">
        <v>734</v>
      </c>
      <c r="B2" t="s">
        <v>670</v>
      </c>
      <c r="C2" t="s">
        <v>671</v>
      </c>
      <c r="D2" t="s">
        <v>681</v>
      </c>
      <c r="AA2" s="411" t="str">
        <v>Scale</v>
      </c>
    </row>
    <row r="3" spans="1:127">
      <c r="B3" s="143" t="s">
        <v>544</v>
      </c>
      <c r="C3" s="144" t="s">
        <v>661</v>
      </c>
      <c r="D3" s="92" t="s">
        <v>958</v>
      </c>
      <c r="E3" s="174" t="s">
        <v>735</v>
      </c>
      <c r="AA3" s="411" t="str">
        <v>Nbegin</v>
      </c>
    </row>
    <row r="4" spans="1:127">
      <c r="B4" s="144" t="s">
        <v>736</v>
      </c>
      <c r="C4" s="89" t="s">
        <v>1052</v>
      </c>
      <c r="D4" s="116" t="s">
        <v>957</v>
      </c>
      <c r="P4" t="s">
        <v>1563</v>
      </c>
      <c r="Q4" t="s">
        <v>1564</v>
      </c>
      <c r="R4" t="s">
        <v>1565</v>
      </c>
      <c r="S4" s="1" t="s">
        <v>1588</v>
      </c>
      <c r="T4" t="s">
        <v>1589</v>
      </c>
      <c r="AA4" s="411" t="str">
        <v>PriceBeg</v>
      </c>
      <c r="AC4" t="s">
        <v>1622</v>
      </c>
    </row>
    <row r="5" spans="1:127">
      <c r="B5" s="144" t="s">
        <v>190</v>
      </c>
      <c r="C5" s="89" t="s">
        <v>8</v>
      </c>
      <c r="D5" s="116" t="s">
        <v>957</v>
      </c>
      <c r="I5" t="s">
        <v>1017</v>
      </c>
      <c r="Q5" s="355" t="s">
        <v>1591</v>
      </c>
      <c r="R5" s="355" t="s">
        <v>1566</v>
      </c>
      <c r="S5" s="355" t="s">
        <v>1598</v>
      </c>
      <c r="T5" s="355" t="s">
        <v>1577</v>
      </c>
      <c r="U5" s="355" t="s">
        <v>1578</v>
      </c>
      <c r="AA5" s="411" t="str">
        <v>ValueBegin</v>
      </c>
    </row>
    <row r="6" spans="1:127">
      <c r="A6" s="87"/>
      <c r="B6" s="144" t="s">
        <v>191</v>
      </c>
      <c r="C6" s="89" t="s">
        <v>678</v>
      </c>
      <c r="D6" s="116" t="s">
        <v>957</v>
      </c>
      <c r="I6" t="s">
        <v>977</v>
      </c>
      <c r="J6" t="s">
        <v>978</v>
      </c>
      <c r="K6" t="s">
        <v>544</v>
      </c>
      <c r="L6" t="s">
        <v>1049</v>
      </c>
      <c r="P6" t="s">
        <v>1571</v>
      </c>
      <c r="Q6" s="356" t="s">
        <v>1583</v>
      </c>
      <c r="R6" s="356" t="s">
        <v>1568</v>
      </c>
      <c r="S6" s="357" t="s">
        <v>1567</v>
      </c>
      <c r="T6" s="360" t="s">
        <v>1579</v>
      </c>
      <c r="U6" s="361" t="s">
        <v>1580</v>
      </c>
      <c r="AA6" s="411" t="str">
        <v>M_V</v>
      </c>
    </row>
    <row r="7" spans="1:127">
      <c r="A7" s="92" t="s">
        <v>167</v>
      </c>
      <c r="B7" s="144" t="s">
        <v>167</v>
      </c>
      <c r="C7" s="89" t="s">
        <v>677</v>
      </c>
      <c r="D7" s="116" t="s">
        <v>957</v>
      </c>
      <c r="I7" t="s">
        <v>967</v>
      </c>
      <c r="J7" t="s">
        <v>966</v>
      </c>
      <c r="K7" t="s">
        <v>1002</v>
      </c>
      <c r="L7" t="s">
        <v>136</v>
      </c>
      <c r="M7" t="s">
        <v>1010</v>
      </c>
      <c r="P7" t="s">
        <v>1572</v>
      </c>
      <c r="Q7" s="356" t="s">
        <v>1584</v>
      </c>
      <c r="R7" s="356" t="s">
        <v>1568</v>
      </c>
      <c r="S7" s="356" t="s">
        <v>1568</v>
      </c>
      <c r="T7" s="356" t="s">
        <v>1581</v>
      </c>
      <c r="U7" s="361" t="s">
        <v>1580</v>
      </c>
      <c r="AA7" s="411" t="str">
        <v>NAfter</v>
      </c>
    </row>
    <row r="8" spans="1:127">
      <c r="A8" s="126"/>
      <c r="B8" s="144" t="s">
        <v>192</v>
      </c>
      <c r="C8" s="89" t="s">
        <v>679</v>
      </c>
      <c r="D8" s="116" t="s">
        <v>957</v>
      </c>
      <c r="I8" t="s">
        <v>971</v>
      </c>
      <c r="J8" t="s">
        <v>1003</v>
      </c>
      <c r="K8" t="s">
        <v>972</v>
      </c>
      <c r="P8" t="s">
        <v>1575</v>
      </c>
      <c r="Q8" s="357" t="s">
        <v>1587</v>
      </c>
      <c r="R8" s="357" t="s">
        <v>1567</v>
      </c>
      <c r="S8" s="357" t="s">
        <v>1567</v>
      </c>
      <c r="T8" s="360" t="s">
        <v>1579</v>
      </c>
      <c r="U8" s="357" t="s">
        <v>1581</v>
      </c>
      <c r="AA8" s="411" t="str">
        <v>Ticker</v>
      </c>
      <c r="AC8" t="s">
        <v>1623</v>
      </c>
    </row>
    <row r="9" spans="1:127">
      <c r="A9" s="126"/>
      <c r="B9" s="144" t="s">
        <v>193</v>
      </c>
      <c r="C9" s="89" t="s">
        <v>680</v>
      </c>
      <c r="D9" s="116" t="s">
        <v>957</v>
      </c>
      <c r="I9" t="s">
        <v>979</v>
      </c>
      <c r="K9" t="s">
        <v>156</v>
      </c>
      <c r="L9" t="s">
        <v>1008</v>
      </c>
      <c r="P9" t="s">
        <v>1574</v>
      </c>
      <c r="Q9" s="357" t="s">
        <v>1587</v>
      </c>
      <c r="R9" s="357" t="s">
        <v>1567</v>
      </c>
      <c r="S9" s="357" t="s">
        <v>1567</v>
      </c>
      <c r="T9" s="358" t="s">
        <v>1580</v>
      </c>
      <c r="U9" s="357" t="s">
        <v>1581</v>
      </c>
      <c r="V9" t="s">
        <v>1612</v>
      </c>
      <c r="X9" t="s">
        <v>1613</v>
      </c>
      <c r="AA9" s="411" t="str">
        <v>M</v>
      </c>
    </row>
    <row r="10" spans="1:127" ht="161">
      <c r="B10" s="144" t="s">
        <v>194</v>
      </c>
      <c r="C10" s="89" t="s">
        <v>194</v>
      </c>
      <c r="D10" s="116" t="s">
        <v>957</v>
      </c>
      <c r="I10" t="s">
        <v>980</v>
      </c>
      <c r="K10" t="s">
        <v>1004</v>
      </c>
      <c r="P10" t="s">
        <v>1573</v>
      </c>
      <c r="Q10" s="357" t="s">
        <v>1586</v>
      </c>
      <c r="R10" s="363" t="s">
        <v>1576</v>
      </c>
      <c r="S10" s="356" t="s">
        <v>1568</v>
      </c>
      <c r="T10" s="358" t="s">
        <v>1580</v>
      </c>
      <c r="U10" s="359" t="s">
        <v>1579</v>
      </c>
      <c r="AA10" s="411" t="str">
        <v>A</v>
      </c>
      <c r="AC10" s="410" t="s">
        <v>1624</v>
      </c>
    </row>
    <row r="11" spans="1:127">
      <c r="B11" s="144" t="s">
        <v>195</v>
      </c>
      <c r="C11" s="89" t="s">
        <v>675</v>
      </c>
      <c r="D11" s="116" t="s">
        <v>957</v>
      </c>
      <c r="I11" t="s">
        <v>981</v>
      </c>
      <c r="K11" t="s">
        <v>1016</v>
      </c>
      <c r="L11" t="s">
        <v>728</v>
      </c>
      <c r="P11" t="s">
        <v>38</v>
      </c>
      <c r="Q11" s="356" t="s">
        <v>1585</v>
      </c>
      <c r="R11" s="362" t="s">
        <v>1010</v>
      </c>
      <c r="S11" s="356" t="s">
        <v>1568</v>
      </c>
      <c r="T11" s="356" t="s">
        <v>1581</v>
      </c>
      <c r="U11" s="359" t="s">
        <v>1579</v>
      </c>
      <c r="AA11" s="411" t="str">
        <v>Y</v>
      </c>
      <c r="DM11" t="s">
        <v>2504</v>
      </c>
      <c r="DN11" s="583">
        <v>500</v>
      </c>
      <c r="DO11" s="164">
        <v>-599.29999999999995</v>
      </c>
      <c r="DS11" t="s">
        <v>2505</v>
      </c>
      <c r="DT11" t="s">
        <v>2506</v>
      </c>
      <c r="DU11" s="138">
        <v>40544</v>
      </c>
      <c r="DV11" s="1097">
        <v>500</v>
      </c>
      <c r="DW11" s="1092">
        <v>-896.1</v>
      </c>
    </row>
    <row r="12" spans="1:127">
      <c r="B12" s="144" t="s">
        <v>196</v>
      </c>
      <c r="C12" s="89" t="s">
        <v>676</v>
      </c>
      <c r="D12" s="116" t="s">
        <v>957</v>
      </c>
      <c r="I12" t="s">
        <v>982</v>
      </c>
      <c r="K12" t="s">
        <v>1005</v>
      </c>
      <c r="L12" t="s">
        <v>1023</v>
      </c>
      <c r="AA12" s="411" t="str">
        <v>E</v>
      </c>
      <c r="AC12" t="s">
        <v>1625</v>
      </c>
      <c r="DN12" s="1091">
        <v>300</v>
      </c>
      <c r="DO12" s="1092">
        <v>-602.54999999999995</v>
      </c>
      <c r="DQ12" s="1095"/>
      <c r="DR12" s="1096"/>
      <c r="DU12" s="137">
        <v>45453</v>
      </c>
      <c r="DV12" s="122">
        <v>490</v>
      </c>
      <c r="DW12" s="164">
        <v>954.5</v>
      </c>
    </row>
    <row r="13" spans="1:127">
      <c r="B13" s="144" t="s">
        <v>197</v>
      </c>
      <c r="C13" s="89" t="s">
        <v>673</v>
      </c>
      <c r="D13" s="116" t="s">
        <v>957</v>
      </c>
      <c r="I13" t="s">
        <v>1015</v>
      </c>
      <c r="K13" t="s">
        <v>193</v>
      </c>
      <c r="AA13" s="411" t="str">
        <v>Ch_Today</v>
      </c>
      <c r="DN13" s="583">
        <v>200</v>
      </c>
      <c r="DO13" s="164">
        <v>-603.79999999999995</v>
      </c>
      <c r="DQ13" s="1093">
        <v>-603.79999999999995</v>
      </c>
      <c r="DR13" s="1094">
        <v>200</v>
      </c>
      <c r="DU13" s="138">
        <v>45468</v>
      </c>
      <c r="DV13" s="1097">
        <v>500</v>
      </c>
      <c r="DW13" s="1092">
        <v>-945</v>
      </c>
    </row>
    <row r="14" spans="1:127">
      <c r="B14" s="144" t="s">
        <v>198</v>
      </c>
      <c r="C14" s="89" t="s">
        <v>674</v>
      </c>
      <c r="D14" s="116" t="s">
        <v>957</v>
      </c>
      <c r="I14" t="s">
        <v>983</v>
      </c>
      <c r="O14" s="355" t="s">
        <v>1581</v>
      </c>
      <c r="P14" s="355" t="s">
        <v>1579</v>
      </c>
      <c r="Q14" s="355" t="s">
        <v>1580</v>
      </c>
      <c r="R14" s="355" t="s">
        <v>1566</v>
      </c>
      <c r="S14" s="355" t="s">
        <v>1569</v>
      </c>
      <c r="T14" s="355" t="s">
        <v>1582</v>
      </c>
      <c r="AA14" s="411" t="str">
        <v>Up20</v>
      </c>
      <c r="DN14" s="1091">
        <v>500</v>
      </c>
      <c r="DO14" s="1092">
        <v>-622.20000000000005</v>
      </c>
      <c r="DQ14" s="1095"/>
      <c r="DR14" s="1096"/>
      <c r="DU14" s="124">
        <v>45476</v>
      </c>
      <c r="DV14" s="122">
        <v>510</v>
      </c>
      <c r="DW14" s="164">
        <v>982.8</v>
      </c>
    </row>
    <row r="15" spans="1:127">
      <c r="B15" s="144" t="s">
        <v>199</v>
      </c>
      <c r="C15" s="89" t="s">
        <v>186</v>
      </c>
      <c r="D15" s="116" t="s">
        <v>957</v>
      </c>
      <c r="I15" t="s">
        <v>984</v>
      </c>
      <c r="O15" s="1">
        <v>10</v>
      </c>
      <c r="P15" s="1">
        <v>8</v>
      </c>
      <c r="Q15" s="1">
        <v>7</v>
      </c>
      <c r="R15" s="1">
        <f>(O15+Q15)/2</f>
        <v>8.5</v>
      </c>
      <c r="S15">
        <f>P15-O15</f>
        <v>-2</v>
      </c>
      <c r="T15" t="str">
        <f>IF(R15&lt;P15,"OK","LOSS")</f>
        <v>LOSS</v>
      </c>
      <c r="X15" t="s">
        <v>1615</v>
      </c>
      <c r="AA15" s="411" t="str">
        <v>Imp20</v>
      </c>
      <c r="DN15" s="583">
        <v>300</v>
      </c>
      <c r="DO15" s="164">
        <v>-632.79999999999995</v>
      </c>
      <c r="DQ15" s="1095">
        <v>-632.79999999999995</v>
      </c>
      <c r="DR15" s="1096">
        <v>300</v>
      </c>
      <c r="DU15" s="169">
        <v>45490</v>
      </c>
      <c r="DV15" s="1097">
        <v>500</v>
      </c>
      <c r="DW15" s="1092">
        <v>-879.74199999999996</v>
      </c>
    </row>
    <row r="16" spans="1:127">
      <c r="A16" s="127"/>
      <c r="B16" s="144" t="s">
        <v>737</v>
      </c>
      <c r="C16" s="89" t="s">
        <v>672</v>
      </c>
      <c r="D16" s="116" t="s">
        <v>957</v>
      </c>
      <c r="I16" t="s">
        <v>985</v>
      </c>
      <c r="O16" s="1">
        <v>8</v>
      </c>
      <c r="P16" s="1">
        <v>10</v>
      </c>
      <c r="Q16" s="1">
        <v>7</v>
      </c>
      <c r="R16" s="1">
        <f>(O16+Q16)/2</f>
        <v>7.5</v>
      </c>
      <c r="S16">
        <f>P16-O16</f>
        <v>2</v>
      </c>
      <c r="T16" t="str">
        <f>IF(R16&lt;P16,"OK","LOSS")</f>
        <v>OK</v>
      </c>
      <c r="AA16" s="411" t="str">
        <v>DifUps</v>
      </c>
      <c r="DN16" s="1091">
        <v>100</v>
      </c>
      <c r="DO16" s="1092">
        <v>-632.95000000000005</v>
      </c>
      <c r="DQ16" s="1093">
        <v>-632.95000000000005</v>
      </c>
      <c r="DR16" s="1094">
        <v>100</v>
      </c>
      <c r="DU16" s="169">
        <v>45491</v>
      </c>
      <c r="DV16" s="122">
        <v>500</v>
      </c>
      <c r="DW16" s="164">
        <v>-860.48699999999997</v>
      </c>
    </row>
    <row r="17" spans="1:127">
      <c r="A17" s="127"/>
      <c r="B17" s="144" t="s">
        <v>179</v>
      </c>
      <c r="C17" s="89" t="s">
        <v>179</v>
      </c>
      <c r="D17" s="116" t="s">
        <v>957</v>
      </c>
      <c r="I17" t="s">
        <v>965</v>
      </c>
      <c r="J17" t="s">
        <v>163</v>
      </c>
      <c r="K17" t="s">
        <v>192</v>
      </c>
      <c r="L17" t="s">
        <v>1019</v>
      </c>
      <c r="M17" t="s">
        <v>1022</v>
      </c>
      <c r="AA17" s="411" t="str">
        <v>Up150</v>
      </c>
      <c r="DN17" s="583">
        <v>200</v>
      </c>
      <c r="DO17" s="164">
        <v>-645.5</v>
      </c>
      <c r="DQ17" s="1095">
        <v>-645.5</v>
      </c>
      <c r="DR17" s="1096">
        <v>200</v>
      </c>
      <c r="DU17" s="169">
        <v>45495</v>
      </c>
      <c r="DV17" s="1097">
        <v>500</v>
      </c>
      <c r="DW17" s="1092">
        <v>-857.1</v>
      </c>
    </row>
    <row r="18" spans="1:127">
      <c r="A18" t="s">
        <v>176</v>
      </c>
      <c r="B18" s="145" t="s">
        <v>176</v>
      </c>
      <c r="C18" s="144" t="s">
        <v>690</v>
      </c>
      <c r="D18" s="175" t="s">
        <v>958</v>
      </c>
      <c r="E18" t="s">
        <v>738</v>
      </c>
      <c r="I18" t="s">
        <v>968</v>
      </c>
      <c r="J18" t="s">
        <v>131</v>
      </c>
      <c r="AA18" s="411" t="str">
        <v>Imp150</v>
      </c>
      <c r="DN18" s="1091">
        <v>200</v>
      </c>
      <c r="DO18" s="1092">
        <v>-647.1</v>
      </c>
      <c r="DQ18" s="1095">
        <v>-647.29999999999995</v>
      </c>
      <c r="DR18" s="1096">
        <v>300</v>
      </c>
      <c r="DU18" s="169">
        <v>45506</v>
      </c>
      <c r="DV18" s="122">
        <v>300</v>
      </c>
      <c r="DW18" s="164">
        <v>-763.5</v>
      </c>
    </row>
    <row r="19" spans="1:127">
      <c r="B19" s="146" t="s">
        <v>739</v>
      </c>
      <c r="C19" s="89" t="s">
        <v>682</v>
      </c>
      <c r="D19" s="116" t="s">
        <v>957</v>
      </c>
      <c r="I19" t="s">
        <v>973</v>
      </c>
      <c r="J19" t="s">
        <v>1065</v>
      </c>
      <c r="K19" t="s">
        <v>549</v>
      </c>
      <c r="P19" t="s">
        <v>1603</v>
      </c>
      <c r="AA19" s="411" t="str">
        <v>DPWC150</v>
      </c>
      <c r="DN19" s="583">
        <v>300</v>
      </c>
      <c r="DO19" s="164">
        <v>-647.29999999999995</v>
      </c>
      <c r="DQ19" s="1095">
        <v>-647.1</v>
      </c>
      <c r="DR19" s="1096">
        <v>200</v>
      </c>
      <c r="DU19" s="169">
        <v>45523</v>
      </c>
      <c r="DV19" s="1097">
        <v>300</v>
      </c>
      <c r="DW19" s="1092">
        <v>826.52670000000001</v>
      </c>
    </row>
    <row r="20" spans="1:127">
      <c r="B20" s="146" t="s">
        <v>740</v>
      </c>
      <c r="C20" s="89" t="s">
        <v>720</v>
      </c>
      <c r="D20" s="116" t="s">
        <v>957</v>
      </c>
      <c r="I20" t="s">
        <v>986</v>
      </c>
      <c r="J20" t="s">
        <v>1061</v>
      </c>
      <c r="K20" t="s">
        <v>191</v>
      </c>
      <c r="P20" t="s">
        <v>1605</v>
      </c>
      <c r="Q20" t="s">
        <v>1604</v>
      </c>
      <c r="R20" s="1" t="s">
        <v>1564</v>
      </c>
      <c r="AA20" s="411" t="str">
        <v>DPWC20</v>
      </c>
      <c r="DN20" s="1091">
        <v>1000</v>
      </c>
      <c r="DO20" s="1092">
        <v>-653.1</v>
      </c>
      <c r="DQ20" s="1095"/>
      <c r="DR20" s="1096"/>
      <c r="DU20" s="169">
        <v>45531</v>
      </c>
      <c r="DV20" s="122">
        <v>300</v>
      </c>
      <c r="DW20" s="164">
        <v>-791.4</v>
      </c>
    </row>
    <row r="21" spans="1:127">
      <c r="B21" s="146" t="s">
        <v>741</v>
      </c>
      <c r="C21" s="89" t="s">
        <v>996</v>
      </c>
      <c r="D21" s="116" t="s">
        <v>957</v>
      </c>
      <c r="I21" t="s">
        <v>987</v>
      </c>
      <c r="J21" t="s">
        <v>139</v>
      </c>
      <c r="K21" t="s">
        <v>1006</v>
      </c>
      <c r="L21" t="s">
        <v>688</v>
      </c>
      <c r="Q21" s="355" t="s">
        <v>1592</v>
      </c>
      <c r="R21" s="355" t="s">
        <v>1566</v>
      </c>
      <c r="S21" s="355" t="s">
        <v>1599</v>
      </c>
      <c r="T21" s="355" t="s">
        <v>1577</v>
      </c>
      <c r="U21" s="355" t="s">
        <v>1578</v>
      </c>
      <c r="AA21" s="411" t="str">
        <v>AMZ</v>
      </c>
      <c r="DN21" s="583">
        <v>300</v>
      </c>
      <c r="DO21" s="164">
        <v>-653.70000000000005</v>
      </c>
      <c r="DQ21" s="1093">
        <v>-653.70000000000005</v>
      </c>
      <c r="DR21" s="1094">
        <v>1000</v>
      </c>
      <c r="DU21" s="169">
        <v>45575</v>
      </c>
      <c r="DV21" s="1097">
        <v>200</v>
      </c>
      <c r="DW21" s="1092">
        <v>-761.4</v>
      </c>
    </row>
    <row r="22" spans="1:127">
      <c r="B22" s="146" t="s">
        <v>742</v>
      </c>
      <c r="C22" t="s">
        <v>683</v>
      </c>
      <c r="D22" s="116" t="s">
        <v>957</v>
      </c>
      <c r="I22" t="s">
        <v>988</v>
      </c>
      <c r="P22" t="s">
        <v>1590</v>
      </c>
      <c r="Q22" t="s">
        <v>1601</v>
      </c>
      <c r="R22" s="357" t="s">
        <v>1567</v>
      </c>
      <c r="S22" s="356" t="s">
        <v>1568</v>
      </c>
      <c r="T22" s="359" t="s">
        <v>691</v>
      </c>
      <c r="U22" s="357" t="s">
        <v>1580</v>
      </c>
      <c r="X22" t="s">
        <v>1614</v>
      </c>
      <c r="AA22" s="411" t="str">
        <v>BMZ</v>
      </c>
      <c r="DN22" s="1091">
        <v>200</v>
      </c>
      <c r="DO22" s="1092">
        <v>-690.9</v>
      </c>
      <c r="DQ22" s="1095"/>
      <c r="DR22" s="1096"/>
      <c r="DU22" s="169">
        <v>45583</v>
      </c>
      <c r="DV22" s="122">
        <v>500</v>
      </c>
      <c r="DW22" s="164">
        <v>-653.1</v>
      </c>
    </row>
    <row r="23" spans="1:127">
      <c r="B23" s="155" t="s">
        <v>743</v>
      </c>
      <c r="C23" t="s">
        <v>695</v>
      </c>
      <c r="D23" s="116" t="s">
        <v>957</v>
      </c>
      <c r="I23" t="s">
        <v>989</v>
      </c>
      <c r="J23" t="s">
        <v>1001</v>
      </c>
      <c r="K23" t="s">
        <v>162</v>
      </c>
      <c r="P23" t="s">
        <v>1570</v>
      </c>
      <c r="Q23" t="s">
        <v>1602</v>
      </c>
      <c r="R23" s="357" t="s">
        <v>1567</v>
      </c>
      <c r="S23" s="357" t="s">
        <v>1567</v>
      </c>
      <c r="T23" s="357" t="s">
        <v>1579</v>
      </c>
      <c r="U23" s="357" t="s">
        <v>1580</v>
      </c>
      <c r="AA23" s="411" t="str">
        <v>NMZ</v>
      </c>
      <c r="DN23" s="583">
        <v>500</v>
      </c>
      <c r="DO23" s="164">
        <v>-695.5</v>
      </c>
      <c r="DQ23" s="1093"/>
      <c r="DR23" s="1094"/>
      <c r="DU23" s="169">
        <v>45593</v>
      </c>
      <c r="DV23" s="1097">
        <v>1000</v>
      </c>
      <c r="DW23" s="1092">
        <v>-653.70000000000005</v>
      </c>
    </row>
    <row r="24" spans="1:127">
      <c r="B24" s="155" t="s">
        <v>744</v>
      </c>
      <c r="C24" t="s">
        <v>726</v>
      </c>
      <c r="D24" s="116" t="s">
        <v>957</v>
      </c>
      <c r="I24" t="s">
        <v>990</v>
      </c>
      <c r="J24" t="s">
        <v>178</v>
      </c>
      <c r="L24" t="s">
        <v>1007</v>
      </c>
      <c r="M24" t="s">
        <v>1026</v>
      </c>
      <c r="N24" t="s">
        <v>1000</v>
      </c>
      <c r="P24" t="s">
        <v>1593</v>
      </c>
      <c r="Q24" t="s">
        <v>1602</v>
      </c>
      <c r="R24" s="357" t="s">
        <v>1567</v>
      </c>
      <c r="S24" s="357" t="s">
        <v>1567</v>
      </c>
      <c r="T24" s="357" t="s">
        <v>1579</v>
      </c>
      <c r="U24" s="365" t="s">
        <v>691</v>
      </c>
      <c r="AA24" s="411" t="str">
        <v>Type</v>
      </c>
      <c r="DN24" s="1091">
        <v>200</v>
      </c>
      <c r="DO24" s="1092">
        <v>-701.05</v>
      </c>
      <c r="DU24" s="169">
        <v>45663</v>
      </c>
      <c r="DV24" s="122">
        <v>200</v>
      </c>
      <c r="DW24" s="164">
        <v>729.4</v>
      </c>
    </row>
    <row r="25" spans="1:127">
      <c r="B25" s="145" t="s">
        <v>935</v>
      </c>
      <c r="C25" s="89" t="s">
        <v>1079</v>
      </c>
      <c r="E25" t="s">
        <v>745</v>
      </c>
      <c r="I25" t="s">
        <v>974</v>
      </c>
      <c r="J25" t="s">
        <v>157</v>
      </c>
      <c r="K25" t="s">
        <v>1011</v>
      </c>
      <c r="M25" t="s">
        <v>999</v>
      </c>
      <c r="P25" t="s">
        <v>1594</v>
      </c>
      <c r="Q25" t="s">
        <v>1600</v>
      </c>
      <c r="R25" s="356" t="s">
        <v>1568</v>
      </c>
      <c r="S25" s="363" t="s">
        <v>1576</v>
      </c>
      <c r="T25" s="358" t="s">
        <v>1580</v>
      </c>
      <c r="U25" s="365" t="s">
        <v>691</v>
      </c>
      <c r="AA25" s="411" t="str">
        <v>for_A=Y</v>
      </c>
      <c r="DN25" s="583">
        <v>100</v>
      </c>
      <c r="DO25" s="164">
        <v>-706.2</v>
      </c>
      <c r="DQ25" s="1093"/>
      <c r="DR25" s="1094"/>
      <c r="DU25" s="169">
        <v>45670</v>
      </c>
      <c r="DV25" s="1097">
        <v>200</v>
      </c>
      <c r="DW25" s="1092">
        <v>-706.2</v>
      </c>
    </row>
    <row r="26" spans="1:127">
      <c r="B26" s="145" t="s">
        <v>934</v>
      </c>
      <c r="C26" t="s">
        <v>936</v>
      </c>
      <c r="I26" t="s">
        <v>991</v>
      </c>
      <c r="P26" t="s">
        <v>1595</v>
      </c>
      <c r="Q26" t="s">
        <v>1597</v>
      </c>
      <c r="R26" s="356" t="s">
        <v>1568</v>
      </c>
      <c r="S26" s="362" t="s">
        <v>1010</v>
      </c>
      <c r="T26" s="359" t="s">
        <v>691</v>
      </c>
      <c r="U26" s="358" t="s">
        <v>1579</v>
      </c>
      <c r="AA26" s="411" t="str">
        <v>Rev(MinStock)</v>
      </c>
      <c r="DN26" s="1091">
        <v>200</v>
      </c>
      <c r="DO26" s="1092">
        <v>-706.6</v>
      </c>
      <c r="DU26" s="169">
        <v>45677</v>
      </c>
      <c r="DV26" s="122">
        <v>500</v>
      </c>
      <c r="DW26" s="164">
        <v>745.4</v>
      </c>
    </row>
    <row r="27" spans="1:127">
      <c r="B27" s="146" t="s">
        <v>746</v>
      </c>
      <c r="C27" s="89" t="s">
        <v>1060</v>
      </c>
      <c r="D27" s="175" t="s">
        <v>958</v>
      </c>
      <c r="E27" t="s">
        <v>747</v>
      </c>
      <c r="I27" t="s">
        <v>970</v>
      </c>
      <c r="J27" t="s">
        <v>969</v>
      </c>
      <c r="P27" t="s">
        <v>1596</v>
      </c>
      <c r="Q27" t="s">
        <v>1597</v>
      </c>
      <c r="R27" s="356" t="s">
        <v>1568</v>
      </c>
      <c r="S27" s="356" t="s">
        <v>1568</v>
      </c>
      <c r="T27" s="358" t="s">
        <v>1580</v>
      </c>
      <c r="U27" s="358" t="s">
        <v>1579</v>
      </c>
      <c r="AA27" s="411" t="str">
        <v>L_Bdate</v>
      </c>
      <c r="DN27" s="583">
        <v>100</v>
      </c>
      <c r="DO27" s="164">
        <v>-715.55</v>
      </c>
      <c r="DU27" s="169">
        <v>45679</v>
      </c>
      <c r="DV27" s="1097">
        <v>200</v>
      </c>
      <c r="DW27" s="1092">
        <v>748.4</v>
      </c>
    </row>
    <row r="28" spans="1:127">
      <c r="A28" t="s">
        <v>166</v>
      </c>
      <c r="B28" s="145" t="s">
        <v>748</v>
      </c>
      <c r="C28" s="89" t="s">
        <v>959</v>
      </c>
      <c r="D28" s="175" t="s">
        <v>958</v>
      </c>
      <c r="E28" t="s">
        <v>749</v>
      </c>
      <c r="I28" t="s">
        <v>992</v>
      </c>
      <c r="J28" t="s">
        <v>1009</v>
      </c>
      <c r="AA28" s="411" t="str">
        <v>L_Bn</v>
      </c>
      <c r="DN28" s="1091">
        <v>100</v>
      </c>
      <c r="DO28" s="1092">
        <v>-717.1</v>
      </c>
      <c r="DQ28" s="1095"/>
      <c r="DR28" s="1096"/>
      <c r="DU28" s="169">
        <v>45680</v>
      </c>
      <c r="DV28" s="122">
        <v>200</v>
      </c>
      <c r="DW28" s="164">
        <v>-715.55</v>
      </c>
    </row>
    <row r="29" spans="1:127" ht="68" customHeight="1">
      <c r="A29" t="s">
        <v>645</v>
      </c>
      <c r="B29" s="145" t="s">
        <v>750</v>
      </c>
      <c r="C29" s="89" t="s">
        <v>960</v>
      </c>
      <c r="D29" s="175" t="s">
        <v>958</v>
      </c>
      <c r="E29" t="s">
        <v>751</v>
      </c>
      <c r="I29" t="s">
        <v>993</v>
      </c>
      <c r="J29" t="s">
        <v>1027</v>
      </c>
      <c r="O29" t="s">
        <v>1611</v>
      </c>
      <c r="P29" t="s">
        <v>1610</v>
      </c>
      <c r="Q29" t="s">
        <v>1564</v>
      </c>
      <c r="AA29" s="411" t="str">
        <v>L_Bp</v>
      </c>
      <c r="AC29" s="410" t="s">
        <v>1626</v>
      </c>
      <c r="DU29" s="169">
        <v>45681</v>
      </c>
      <c r="DV29" s="1097">
        <v>500</v>
      </c>
      <c r="DW29" s="1092">
        <v>-701.05</v>
      </c>
    </row>
    <row r="30" spans="1:127">
      <c r="A30" t="s">
        <v>650</v>
      </c>
      <c r="B30" s="145" t="s">
        <v>752</v>
      </c>
      <c r="C30" s="89" t="s">
        <v>961</v>
      </c>
      <c r="D30" s="175" t="s">
        <v>958</v>
      </c>
      <c r="F30" s="84" t="s">
        <v>637</v>
      </c>
      <c r="I30" t="s">
        <v>994</v>
      </c>
      <c r="J30" t="s">
        <v>997</v>
      </c>
      <c r="O30" s="355" t="s">
        <v>1579</v>
      </c>
      <c r="P30" s="355" t="s">
        <v>691</v>
      </c>
      <c r="Q30" s="355" t="s">
        <v>1580</v>
      </c>
      <c r="R30" s="355" t="s">
        <v>1566</v>
      </c>
      <c r="S30" s="355" t="s">
        <v>1569</v>
      </c>
      <c r="T30" s="355" t="s">
        <v>1582</v>
      </c>
      <c r="U30" s="355" t="s">
        <v>972</v>
      </c>
      <c r="AA30" s="411" t="str">
        <v>ReverseS1</v>
      </c>
      <c r="DU30" s="169">
        <v>45684</v>
      </c>
      <c r="DV30" s="122">
        <v>200</v>
      </c>
      <c r="DW30" s="164">
        <v>-647.1</v>
      </c>
    </row>
    <row r="31" spans="1:127" ht="207">
      <c r="B31" s="145" t="s">
        <v>753</v>
      </c>
      <c r="C31" s="89" t="s">
        <v>962</v>
      </c>
      <c r="D31" s="175" t="s">
        <v>958</v>
      </c>
      <c r="F31" s="84" t="s">
        <v>638</v>
      </c>
      <c r="I31" t="s">
        <v>995</v>
      </c>
      <c r="J31" t="s">
        <v>998</v>
      </c>
      <c r="O31" s="1">
        <v>10</v>
      </c>
      <c r="P31" s="1">
        <v>8</v>
      </c>
      <c r="Q31" s="1">
        <v>7</v>
      </c>
      <c r="R31" s="1">
        <f>2*Q31-O31</f>
        <v>4</v>
      </c>
      <c r="S31">
        <f>-(P31-O31)</f>
        <v>2</v>
      </c>
      <c r="T31" t="str">
        <f>IF(R31&lt;P31,"OK","LOSS")</f>
        <v>OK</v>
      </c>
      <c r="U31">
        <f>R31</f>
        <v>4</v>
      </c>
      <c r="AA31" s="411" t="str">
        <v>L_B1D</v>
      </c>
      <c r="AC31" s="410" t="s">
        <v>1627</v>
      </c>
      <c r="DQ31" s="1093">
        <v>-602.54999999999995</v>
      </c>
      <c r="DR31" s="1094">
        <v>300</v>
      </c>
      <c r="DU31" s="169">
        <v>45701</v>
      </c>
      <c r="DV31" s="1097">
        <v>100</v>
      </c>
      <c r="DW31" s="1092">
        <v>737.1</v>
      </c>
    </row>
    <row r="32" spans="1:127">
      <c r="B32" s="145" t="s">
        <v>754</v>
      </c>
      <c r="C32" s="89" t="s">
        <v>1058</v>
      </c>
      <c r="F32" s="84" t="s">
        <v>639</v>
      </c>
      <c r="I32" t="s">
        <v>1063</v>
      </c>
      <c r="J32" t="s">
        <v>1064</v>
      </c>
      <c r="O32" s="1">
        <v>8</v>
      </c>
      <c r="P32" s="1">
        <v>10</v>
      </c>
      <c r="Q32" s="1">
        <v>7</v>
      </c>
      <c r="R32" s="1">
        <f>2*Q32-O32</f>
        <v>6</v>
      </c>
      <c r="S32">
        <f>-(P32-O32)</f>
        <v>-2</v>
      </c>
      <c r="T32" t="str">
        <f>IF(R32&lt;P32,"OK","LOSS")</f>
        <v>OK</v>
      </c>
      <c r="U32">
        <f>R32</f>
        <v>6</v>
      </c>
      <c r="AA32" s="411" t="str">
        <v>L_B1n</v>
      </c>
      <c r="DQ32" s="1095">
        <v>-599.29999999999995</v>
      </c>
      <c r="DR32" s="1096">
        <v>500</v>
      </c>
      <c r="DU32" s="169">
        <v>45706</v>
      </c>
      <c r="DV32" s="122">
        <v>100</v>
      </c>
      <c r="DW32" s="164">
        <v>-724.24</v>
      </c>
    </row>
    <row r="33" spans="1:127" ht="69">
      <c r="B33" s="145" t="s">
        <v>755</v>
      </c>
      <c r="C33" s="89" t="s">
        <v>1059</v>
      </c>
      <c r="F33" s="84" t="s">
        <v>640</v>
      </c>
      <c r="I33" t="s">
        <v>1012</v>
      </c>
      <c r="J33" t="s">
        <v>195</v>
      </c>
      <c r="Q33" s="364" t="s">
        <v>1606</v>
      </c>
      <c r="R33" s="364">
        <f t="shared" ref="R33:Y33" si="0">($Q32-R34*$O32)/(1-$R34)</f>
        <v>7</v>
      </c>
      <c r="S33" s="364">
        <f t="shared" si="0"/>
        <v>6.2</v>
      </c>
      <c r="T33" s="364">
        <f t="shared" si="0"/>
        <v>5.4</v>
      </c>
      <c r="U33" s="364">
        <f t="shared" si="0"/>
        <v>4.5999999999999996</v>
      </c>
      <c r="V33" s="364">
        <f t="shared" si="0"/>
        <v>3.8</v>
      </c>
      <c r="W33" s="364">
        <f t="shared" si="0"/>
        <v>3</v>
      </c>
      <c r="X33" s="364">
        <f t="shared" si="0"/>
        <v>2.2000000000000002</v>
      </c>
      <c r="Y33" s="364">
        <f t="shared" si="0"/>
        <v>1.4000000000000004</v>
      </c>
      <c r="AA33" s="411" t="str">
        <v>L_B1p</v>
      </c>
      <c r="AC33" s="410" t="s">
        <v>1628</v>
      </c>
      <c r="DQ33" s="1093">
        <v>636.70000000000005</v>
      </c>
      <c r="DR33" s="1094"/>
      <c r="DU33" s="169">
        <v>45706</v>
      </c>
      <c r="DV33" s="1097">
        <v>100</v>
      </c>
      <c r="DW33" s="1092">
        <v>-717.1</v>
      </c>
    </row>
    <row r="34" spans="1:127">
      <c r="B34" s="145" t="s">
        <v>756</v>
      </c>
      <c r="C34" s="89" t="s">
        <v>963</v>
      </c>
      <c r="I34" t="s">
        <v>975</v>
      </c>
      <c r="J34" t="s">
        <v>976</v>
      </c>
      <c r="P34" s="1">
        <v>8</v>
      </c>
      <c r="Q34" t="s">
        <v>1607</v>
      </c>
      <c r="R34">
        <v>0</v>
      </c>
      <c r="S34">
        <v>0.1</v>
      </c>
      <c r="T34">
        <v>0.2</v>
      </c>
      <c r="U34">
        <v>0.3</v>
      </c>
      <c r="V34">
        <v>0.4</v>
      </c>
      <c r="W34">
        <v>0.5</v>
      </c>
      <c r="X34">
        <v>0.6</v>
      </c>
      <c r="Y34">
        <v>0.7</v>
      </c>
      <c r="AA34" s="411" t="str">
        <v>ReverseB</v>
      </c>
      <c r="DQ34" s="1095">
        <v>646.20000000000005</v>
      </c>
      <c r="DR34" s="1096"/>
      <c r="DU34" s="971">
        <v>45713</v>
      </c>
      <c r="DV34" s="122">
        <v>100</v>
      </c>
      <c r="DW34" s="164">
        <v>-706.6</v>
      </c>
    </row>
    <row r="35" spans="1:127" ht="46">
      <c r="B35" s="145" t="s">
        <v>757</v>
      </c>
      <c r="C35" s="89" t="s">
        <v>964</v>
      </c>
      <c r="I35" t="s">
        <v>1013</v>
      </c>
      <c r="J35" t="s">
        <v>1014</v>
      </c>
      <c r="P35" s="1">
        <v>10</v>
      </c>
      <c r="R35">
        <f t="shared" ref="R35:Y35" si="1">($Q32-R34*$O31)/(1-$R34)</f>
        <v>7</v>
      </c>
      <c r="S35">
        <f t="shared" si="1"/>
        <v>6</v>
      </c>
      <c r="T35">
        <f t="shared" si="1"/>
        <v>5</v>
      </c>
      <c r="U35">
        <f t="shared" si="1"/>
        <v>4</v>
      </c>
      <c r="V35">
        <f t="shared" si="1"/>
        <v>3</v>
      </c>
      <c r="W35">
        <f t="shared" si="1"/>
        <v>2</v>
      </c>
      <c r="X35">
        <f t="shared" si="1"/>
        <v>1</v>
      </c>
      <c r="Y35">
        <f t="shared" si="1"/>
        <v>0</v>
      </c>
      <c r="AA35" s="411" t="str">
        <v>L_SDate</v>
      </c>
      <c r="AC35" s="410" t="s">
        <v>1629</v>
      </c>
      <c r="DQ35" s="1093">
        <v>-622.20000000000005</v>
      </c>
      <c r="DR35" s="1094">
        <v>500</v>
      </c>
      <c r="DU35" s="971">
        <v>45713</v>
      </c>
      <c r="DV35" s="1097">
        <v>300</v>
      </c>
      <c r="DW35" s="1092">
        <v>-690.9</v>
      </c>
    </row>
    <row r="36" spans="1:127">
      <c r="A36" t="s">
        <v>642</v>
      </c>
      <c r="B36" s="146" t="s">
        <v>174</v>
      </c>
      <c r="C36" s="89" t="str">
        <f>TabCalc[[#Headers],[ValueBegin]]</f>
        <v>ValueBegin</v>
      </c>
      <c r="D36" t="s">
        <v>758</v>
      </c>
      <c r="I36" t="s">
        <v>1020</v>
      </c>
      <c r="J36" t="s">
        <v>1021</v>
      </c>
      <c r="N36" t="s">
        <v>1608</v>
      </c>
      <c r="O36">
        <v>100</v>
      </c>
      <c r="Q36" t="s">
        <v>1609</v>
      </c>
      <c r="R36">
        <f t="shared" ref="R36:Y39" si="2">$O36*((1-R$34)*$Q$32+R$34*$O$31)</f>
        <v>700</v>
      </c>
      <c r="S36">
        <f t="shared" si="2"/>
        <v>730</v>
      </c>
      <c r="T36">
        <f t="shared" si="2"/>
        <v>760</v>
      </c>
      <c r="U36">
        <f t="shared" si="2"/>
        <v>790</v>
      </c>
      <c r="V36">
        <f t="shared" si="2"/>
        <v>819.99999999999989</v>
      </c>
      <c r="W36">
        <f t="shared" si="2"/>
        <v>850</v>
      </c>
      <c r="X36">
        <f t="shared" si="2"/>
        <v>880.00000000000011</v>
      </c>
      <c r="Y36">
        <f t="shared" si="2"/>
        <v>910.00000000000011</v>
      </c>
      <c r="AA36" s="411" t="str">
        <v>L_Sn</v>
      </c>
      <c r="AC36" t="s">
        <v>1630</v>
      </c>
      <c r="DQ36" s="1095">
        <v>667.2</v>
      </c>
      <c r="DR36" s="1096"/>
      <c r="DU36" s="971">
        <v>45726</v>
      </c>
      <c r="DV36" s="122">
        <v>300</v>
      </c>
      <c r="DW36" s="164">
        <v>-632.79999999999995</v>
      </c>
    </row>
    <row r="37" spans="1:127">
      <c r="B37" s="146" t="s">
        <v>759</v>
      </c>
      <c r="C37" s="89" t="str">
        <f>TabCalc[[#Headers],[Nbegin]]</f>
        <v>Nbegin</v>
      </c>
      <c r="I37" t="s">
        <v>1024</v>
      </c>
      <c r="J37" t="s">
        <v>1025</v>
      </c>
      <c r="O37">
        <v>200</v>
      </c>
      <c r="R37">
        <f t="shared" si="2"/>
        <v>1400</v>
      </c>
      <c r="S37">
        <f t="shared" si="2"/>
        <v>1460</v>
      </c>
      <c r="T37">
        <f t="shared" si="2"/>
        <v>1520</v>
      </c>
      <c r="U37">
        <f t="shared" si="2"/>
        <v>1580</v>
      </c>
      <c r="V37">
        <f t="shared" si="2"/>
        <v>1639.9999999999998</v>
      </c>
      <c r="W37">
        <f t="shared" si="2"/>
        <v>1700</v>
      </c>
      <c r="X37">
        <f t="shared" si="2"/>
        <v>1760.0000000000002</v>
      </c>
      <c r="Y37">
        <f t="shared" si="2"/>
        <v>1820.0000000000002</v>
      </c>
      <c r="AA37" s="411" t="str">
        <v>L_Sp</v>
      </c>
      <c r="DU37" s="971">
        <v>45735</v>
      </c>
      <c r="DV37" s="1097">
        <v>300</v>
      </c>
      <c r="DW37" s="1092">
        <v>667.6</v>
      </c>
    </row>
    <row r="38" spans="1:127">
      <c r="B38" s="146" t="s">
        <v>173</v>
      </c>
      <c r="C38" s="89" t="str">
        <f>TabCalc[[#Headers],[PriceBeg]]</f>
        <v>PriceBeg</v>
      </c>
      <c r="O38">
        <v>300</v>
      </c>
      <c r="R38">
        <f t="shared" si="2"/>
        <v>2100</v>
      </c>
      <c r="S38">
        <f t="shared" si="2"/>
        <v>2190</v>
      </c>
      <c r="T38">
        <f t="shared" si="2"/>
        <v>2280</v>
      </c>
      <c r="U38">
        <f t="shared" si="2"/>
        <v>2370</v>
      </c>
      <c r="V38">
        <f t="shared" si="2"/>
        <v>2460</v>
      </c>
      <c r="W38">
        <f t="shared" si="2"/>
        <v>2550</v>
      </c>
      <c r="X38">
        <f t="shared" si="2"/>
        <v>2640</v>
      </c>
      <c r="Y38">
        <f t="shared" si="2"/>
        <v>2730.0000000000005</v>
      </c>
      <c r="AA38" s="411" t="str">
        <v>ReverseB1</v>
      </c>
      <c r="DU38" s="971">
        <v>45743</v>
      </c>
      <c r="DV38" s="122">
        <v>300</v>
      </c>
      <c r="DW38" s="164">
        <v>-647.29999999999995</v>
      </c>
    </row>
    <row r="39" spans="1:127">
      <c r="B39" s="145" t="s">
        <v>760</v>
      </c>
      <c r="C39" t="s">
        <v>1033</v>
      </c>
      <c r="D39" t="s">
        <v>761</v>
      </c>
      <c r="O39">
        <v>400</v>
      </c>
      <c r="R39">
        <f t="shared" si="2"/>
        <v>2800</v>
      </c>
      <c r="S39">
        <f t="shared" si="2"/>
        <v>2920</v>
      </c>
      <c r="T39">
        <f t="shared" si="2"/>
        <v>3040</v>
      </c>
      <c r="U39">
        <f t="shared" si="2"/>
        <v>3160</v>
      </c>
      <c r="V39">
        <f t="shared" si="2"/>
        <v>3279.9999999999995</v>
      </c>
      <c r="W39">
        <f t="shared" si="2"/>
        <v>3400</v>
      </c>
      <c r="X39">
        <f t="shared" si="2"/>
        <v>3520.0000000000005</v>
      </c>
      <c r="Y39">
        <f t="shared" si="2"/>
        <v>3640.0000000000005</v>
      </c>
      <c r="AA39" s="411" t="str">
        <v>L_S1D</v>
      </c>
      <c r="DU39" s="971">
        <v>45749</v>
      </c>
      <c r="DV39" s="1097">
        <v>200</v>
      </c>
      <c r="DW39" s="1092">
        <v>-603.79999999999995</v>
      </c>
    </row>
    <row r="40" spans="1:127">
      <c r="B40" s="146" t="s">
        <v>727</v>
      </c>
      <c r="C40" t="s">
        <v>728</v>
      </c>
      <c r="D40" t="s">
        <v>762</v>
      </c>
      <c r="R40" s="90">
        <f t="shared" ref="R40:Y40" si="3">R39/$R39</f>
        <v>1</v>
      </c>
      <c r="S40" s="90">
        <f t="shared" si="3"/>
        <v>1.0428571428571429</v>
      </c>
      <c r="T40" s="90">
        <f t="shared" si="3"/>
        <v>1.0857142857142856</v>
      </c>
      <c r="U40" s="90">
        <f t="shared" si="3"/>
        <v>1.1285714285714286</v>
      </c>
      <c r="V40" s="90">
        <f t="shared" si="3"/>
        <v>1.1714285714285713</v>
      </c>
      <c r="W40" s="90">
        <f t="shared" si="3"/>
        <v>1.2142857142857142</v>
      </c>
      <c r="X40" s="90">
        <f t="shared" si="3"/>
        <v>1.2571428571428573</v>
      </c>
      <c r="Y40" s="90">
        <f t="shared" si="3"/>
        <v>1.3000000000000003</v>
      </c>
      <c r="AA40" s="411" t="str">
        <v>L_S1n</v>
      </c>
      <c r="AC40" t="s">
        <v>1631</v>
      </c>
      <c r="DU40" s="971">
        <v>45833</v>
      </c>
      <c r="DV40" s="122">
        <v>200</v>
      </c>
      <c r="DW40" s="164">
        <v>-695.5</v>
      </c>
    </row>
    <row r="41" spans="1:127" ht="46">
      <c r="B41" s="146" t="s">
        <v>763</v>
      </c>
      <c r="C41" t="s">
        <v>684</v>
      </c>
      <c r="D41" t="s">
        <v>764</v>
      </c>
      <c r="R41">
        <f t="shared" ref="R41:Y41" si="4">$O39*R34*$O$31</f>
        <v>0</v>
      </c>
      <c r="S41">
        <f t="shared" si="4"/>
        <v>400</v>
      </c>
      <c r="T41">
        <f t="shared" si="4"/>
        <v>800</v>
      </c>
      <c r="U41">
        <f t="shared" si="4"/>
        <v>1200</v>
      </c>
      <c r="V41">
        <f t="shared" si="4"/>
        <v>1600</v>
      </c>
      <c r="W41">
        <f t="shared" si="4"/>
        <v>2000</v>
      </c>
      <c r="X41">
        <f t="shared" si="4"/>
        <v>2400</v>
      </c>
      <c r="Y41">
        <f t="shared" si="4"/>
        <v>2800</v>
      </c>
      <c r="AA41" s="411" t="str">
        <v>L_S1p</v>
      </c>
      <c r="AC41" s="410" t="s">
        <v>1632</v>
      </c>
      <c r="DU41" s="971">
        <v>45856</v>
      </c>
      <c r="DV41" s="1097">
        <v>100</v>
      </c>
      <c r="DW41" s="1092">
        <v>-632.95000000000005</v>
      </c>
    </row>
    <row r="42" spans="1:127" ht="46">
      <c r="B42" s="146" t="s">
        <v>685</v>
      </c>
      <c r="C42" t="s">
        <v>685</v>
      </c>
      <c r="D42" t="s">
        <v>764</v>
      </c>
      <c r="R42">
        <f t="shared" ref="R42:Y42" si="5">R39-R41</f>
        <v>2800</v>
      </c>
      <c r="S42">
        <f t="shared" si="5"/>
        <v>2520</v>
      </c>
      <c r="T42">
        <f t="shared" si="5"/>
        <v>2240</v>
      </c>
      <c r="U42">
        <f t="shared" si="5"/>
        <v>1960</v>
      </c>
      <c r="V42">
        <f t="shared" si="5"/>
        <v>1679.9999999999995</v>
      </c>
      <c r="W42">
        <f t="shared" si="5"/>
        <v>1400</v>
      </c>
      <c r="X42">
        <f t="shared" si="5"/>
        <v>1120.0000000000005</v>
      </c>
      <c r="Y42">
        <f t="shared" si="5"/>
        <v>840.00000000000045</v>
      </c>
      <c r="AA42" s="411" t="str">
        <v>SaldOp</v>
      </c>
      <c r="AC42" s="410" t="s">
        <v>1633</v>
      </c>
      <c r="DU42" s="971">
        <v>45856</v>
      </c>
      <c r="DV42" s="122">
        <v>200</v>
      </c>
      <c r="DW42" s="164">
        <v>-645.5</v>
      </c>
    </row>
    <row r="43" spans="1:127" ht="92">
      <c r="A43" s="139" t="s">
        <v>168</v>
      </c>
      <c r="B43" s="145" t="s">
        <v>168</v>
      </c>
      <c r="C43" s="89" t="s">
        <v>939</v>
      </c>
      <c r="D43" t="s">
        <v>765</v>
      </c>
      <c r="AA43" s="411" t="str">
        <v>SinceClose</v>
      </c>
      <c r="AC43" s="410" t="s">
        <v>1634</v>
      </c>
      <c r="DU43" s="971">
        <v>45860</v>
      </c>
      <c r="DV43" s="1097">
        <v>300</v>
      </c>
      <c r="DW43" s="1092">
        <v>-602.54999999999995</v>
      </c>
    </row>
    <row r="44" spans="1:127">
      <c r="A44" s="139" t="s">
        <v>658</v>
      </c>
      <c r="B44" s="145" t="s">
        <v>766</v>
      </c>
      <c r="C44" s="89" t="s">
        <v>940</v>
      </c>
      <c r="D44" t="s">
        <v>767</v>
      </c>
      <c r="AA44" s="411" t="str">
        <v>PreDay</v>
      </c>
      <c r="DU44" s="971">
        <v>45874</v>
      </c>
      <c r="DV44" s="122">
        <v>500</v>
      </c>
      <c r="DW44" s="164">
        <v>-599.29999999999995</v>
      </c>
    </row>
    <row r="45" spans="1:127">
      <c r="A45" s="87" t="s">
        <v>646</v>
      </c>
      <c r="B45" s="145" t="s">
        <v>768</v>
      </c>
      <c r="C45" t="s">
        <v>686</v>
      </c>
      <c r="D45" t="s">
        <v>769</v>
      </c>
      <c r="AA45" s="411" t="str">
        <v>Gravity</v>
      </c>
      <c r="AC45" t="s">
        <v>1635</v>
      </c>
      <c r="DU45" s="971">
        <v>45888</v>
      </c>
      <c r="DV45" s="1097">
        <v>500</v>
      </c>
      <c r="DW45" s="1092">
        <v>636.70000000000005</v>
      </c>
    </row>
    <row r="46" spans="1:127" ht="92">
      <c r="A46" s="87" t="s">
        <v>659</v>
      </c>
      <c r="B46" s="145" t="s">
        <v>770</v>
      </c>
      <c r="AA46" s="411" t="str">
        <v>Refill1</v>
      </c>
      <c r="AC46" s="410" t="s">
        <v>1636</v>
      </c>
      <c r="DU46" s="971">
        <v>45895</v>
      </c>
      <c r="DV46" s="122">
        <v>500</v>
      </c>
      <c r="DW46" s="164">
        <v>646.20000000000005</v>
      </c>
    </row>
    <row r="47" spans="1:127">
      <c r="A47" s="126" t="s">
        <v>943</v>
      </c>
      <c r="B47" s="145" t="s">
        <v>771</v>
      </c>
      <c r="C47" s="89" t="s">
        <v>729</v>
      </c>
      <c r="AA47" s="411" t="str">
        <v>Refill2</v>
      </c>
      <c r="AC47" t="s">
        <v>1637</v>
      </c>
      <c r="DU47" s="138">
        <v>45902</v>
      </c>
      <c r="DV47" s="1097">
        <v>500</v>
      </c>
      <c r="DW47" s="794">
        <v>-622.20000000000005</v>
      </c>
    </row>
    <row r="48" spans="1:127">
      <c r="A48" s="141" t="s">
        <v>157</v>
      </c>
      <c r="B48" s="145" t="s">
        <v>772</v>
      </c>
      <c r="C48" s="89" t="s">
        <v>730</v>
      </c>
      <c r="AA48" s="411" t="str">
        <v>Resale</v>
      </c>
      <c r="AC48" t="s">
        <v>1638</v>
      </c>
      <c r="DU48" s="138">
        <v>45908</v>
      </c>
      <c r="DV48" s="122">
        <v>200</v>
      </c>
      <c r="DW48" s="794">
        <v>667.2</v>
      </c>
    </row>
    <row r="49" spans="1:29">
      <c r="A49" s="126" t="s">
        <v>165</v>
      </c>
      <c r="B49" s="145" t="s">
        <v>773</v>
      </c>
      <c r="C49" s="89" t="s">
        <v>732</v>
      </c>
      <c r="AA49" s="411" t="str">
        <v>Extran</v>
      </c>
      <c r="AC49" t="s">
        <v>1639</v>
      </c>
    </row>
    <row r="50" spans="1:29">
      <c r="A50" s="141" t="s">
        <v>157</v>
      </c>
      <c r="B50" s="145" t="s">
        <v>772</v>
      </c>
      <c r="C50" t="s">
        <v>731</v>
      </c>
      <c r="AA50" s="411" t="str">
        <v>Repulse</v>
      </c>
      <c r="AC50" t="s">
        <v>1640</v>
      </c>
    </row>
    <row r="51" spans="1:29">
      <c r="A51" t="s">
        <v>649</v>
      </c>
      <c r="B51" s="145" t="s">
        <v>774</v>
      </c>
      <c r="C51" t="s">
        <v>733</v>
      </c>
      <c r="AA51" s="411" t="str">
        <v>Ori_Sold</v>
      </c>
      <c r="AC51" t="s">
        <v>1641</v>
      </c>
    </row>
    <row r="52" spans="1:29">
      <c r="A52" s="89" t="s">
        <v>641</v>
      </c>
      <c r="B52" s="145" t="s">
        <v>641</v>
      </c>
      <c r="C52" t="s">
        <v>1080</v>
      </c>
      <c r="D52" t="s">
        <v>941</v>
      </c>
      <c r="AA52" s="411" t="str">
        <v>V/VA</v>
      </c>
      <c r="AC52" t="s">
        <v>1642</v>
      </c>
    </row>
    <row r="53" spans="1:29">
      <c r="A53" s="142" t="s">
        <v>944</v>
      </c>
      <c r="B53" s="147" t="s">
        <v>175</v>
      </c>
      <c r="C53" s="163" t="str">
        <f>TabCalc[[#Headers],[Cost+Gain]]</f>
        <v>Cost+Gain</v>
      </c>
      <c r="D53" t="s">
        <v>1081</v>
      </c>
      <c r="AA53" s="411" t="str">
        <v>TimeEX</v>
      </c>
      <c r="AC53" t="s">
        <v>1643</v>
      </c>
    </row>
    <row r="54" spans="1:29" ht="230">
      <c r="A54" s="89" t="s">
        <v>158</v>
      </c>
      <c r="B54" s="147" t="s">
        <v>158</v>
      </c>
      <c r="C54" s="163" t="str">
        <f>TabCalc[[#Headers],[S_Income]]</f>
        <v>S_Income</v>
      </c>
      <c r="AA54" s="411" t="str">
        <v>Agiotage</v>
      </c>
      <c r="AC54" s="410" t="s">
        <v>1644</v>
      </c>
    </row>
    <row r="55" spans="1:29" ht="92">
      <c r="A55" s="142" t="s">
        <v>159</v>
      </c>
      <c r="B55" s="147" t="s">
        <v>159</v>
      </c>
      <c r="C55" t="s">
        <v>942</v>
      </c>
      <c r="AA55" s="411" t="str">
        <v>NoT_C</v>
      </c>
      <c r="AC55" s="410" t="s">
        <v>1645</v>
      </c>
    </row>
    <row r="56" spans="1:29">
      <c r="A56" s="89" t="s">
        <v>1028</v>
      </c>
      <c r="B56" s="145" t="s">
        <v>1029</v>
      </c>
      <c r="C56" t="s">
        <v>1030</v>
      </c>
      <c r="D56" t="s">
        <v>1082</v>
      </c>
      <c r="AA56" s="411" t="str">
        <v>NoT_GL</v>
      </c>
      <c r="AC56" t="s">
        <v>1646</v>
      </c>
    </row>
    <row r="57" spans="1:29">
      <c r="A57" t="s">
        <v>643</v>
      </c>
      <c r="B57" s="145" t="s">
        <v>775</v>
      </c>
      <c r="C57" t="s">
        <v>1031</v>
      </c>
      <c r="AA57" s="411" t="str">
        <v>Free</v>
      </c>
    </row>
    <row r="58" spans="1:29">
      <c r="A58" t="s">
        <v>644</v>
      </c>
      <c r="B58" s="145" t="s">
        <v>644</v>
      </c>
      <c r="C58" t="s">
        <v>1032</v>
      </c>
      <c r="D58" t="s">
        <v>776</v>
      </c>
      <c r="AA58" s="411" t="str">
        <v>AddBuys</v>
      </c>
      <c r="AC58" t="s">
        <v>1647</v>
      </c>
    </row>
    <row r="59" spans="1:29">
      <c r="B59" s="148" t="s">
        <v>645</v>
      </c>
      <c r="C59" t="s">
        <v>687</v>
      </c>
      <c r="D59" t="s">
        <v>770</v>
      </c>
      <c r="AA59" s="411" t="str">
        <v>AddCash</v>
      </c>
      <c r="AC59" t="s">
        <v>1648</v>
      </c>
    </row>
    <row r="60" spans="1:29" ht="46">
      <c r="A60" t="s">
        <v>651</v>
      </c>
      <c r="B60" s="145" t="s">
        <v>175</v>
      </c>
      <c r="D60" t="s">
        <v>750</v>
      </c>
      <c r="AA60" s="411" t="str">
        <v>AddValue</v>
      </c>
      <c r="AC60" s="410" t="s">
        <v>1649</v>
      </c>
    </row>
    <row r="61" spans="1:29">
      <c r="B61" s="148" t="s">
        <v>158</v>
      </c>
      <c r="C61" t="s">
        <v>777</v>
      </c>
      <c r="AA61" s="411" t="str">
        <v>Tot_Paid</v>
      </c>
      <c r="AC61" t="s">
        <v>1650</v>
      </c>
    </row>
    <row r="62" spans="1:29">
      <c r="B62" s="145" t="s">
        <v>778</v>
      </c>
      <c r="AA62" s="411" t="str">
        <v>EfCost</v>
      </c>
    </row>
    <row r="63" spans="1:29" ht="115">
      <c r="B63" s="145" t="s">
        <v>779</v>
      </c>
      <c r="D63" t="s">
        <v>780</v>
      </c>
      <c r="AA63" s="411" t="str">
        <v>S_Income</v>
      </c>
      <c r="AC63" s="410" t="s">
        <v>1651</v>
      </c>
    </row>
    <row r="64" spans="1:29">
      <c r="A64" t="s">
        <v>164</v>
      </c>
      <c r="B64" s="145" t="s">
        <v>688</v>
      </c>
      <c r="C64" s="89" t="s">
        <v>688</v>
      </c>
      <c r="D64" t="s">
        <v>781</v>
      </c>
      <c r="AA64" s="411" t="str">
        <v>GL</v>
      </c>
    </row>
    <row r="65" spans="1:29">
      <c r="B65" s="145" t="s">
        <v>945</v>
      </c>
      <c r="C65" s="89" t="s">
        <v>945</v>
      </c>
      <c r="D65" t="s">
        <v>782</v>
      </c>
      <c r="AA65" s="411" t="str">
        <v>Cost+Gain</v>
      </c>
    </row>
    <row r="66" spans="1:29">
      <c r="A66" s="140" t="s">
        <v>647</v>
      </c>
      <c r="B66" s="146" t="s">
        <v>647</v>
      </c>
      <c r="AA66" s="411" t="str">
        <v>SB</v>
      </c>
    </row>
    <row r="67" spans="1:29">
      <c r="B67" s="146" t="s">
        <v>545</v>
      </c>
      <c r="C67" t="s">
        <v>691</v>
      </c>
      <c r="D67" t="s">
        <v>783</v>
      </c>
      <c r="AA67" s="411" t="str">
        <v>SABT</v>
      </c>
    </row>
    <row r="68" spans="1:29">
      <c r="B68" s="145" t="s">
        <v>784</v>
      </c>
      <c r="C68" t="s">
        <v>692</v>
      </c>
      <c r="D68" t="s">
        <v>785</v>
      </c>
      <c r="AA68" s="411" t="str">
        <v>SST</v>
      </c>
    </row>
    <row r="69" spans="1:29">
      <c r="B69" s="145" t="s">
        <v>648</v>
      </c>
      <c r="AA69" s="411" t="str">
        <v>BuyBound</v>
      </c>
    </row>
    <row r="70" spans="1:29">
      <c r="B70" s="145" t="s">
        <v>166</v>
      </c>
      <c r="AA70" s="411" t="str">
        <v>Pile?</v>
      </c>
    </row>
    <row r="71" spans="1:29">
      <c r="B71" s="145" t="s">
        <v>649</v>
      </c>
      <c r="C71" t="s">
        <v>689</v>
      </c>
      <c r="D71" t="s">
        <v>786</v>
      </c>
      <c r="AA71" s="411" t="str">
        <v>L-ExT</v>
      </c>
    </row>
    <row r="72" spans="1:29">
      <c r="B72" s="145" t="s">
        <v>787</v>
      </c>
      <c r="C72" t="s">
        <v>693</v>
      </c>
      <c r="D72" t="s">
        <v>788</v>
      </c>
      <c r="AA72" s="411" t="str">
        <v>CostReduct</v>
      </c>
    </row>
    <row r="73" spans="1:29" ht="23" thickBot="1">
      <c r="B73" s="145" t="s">
        <v>176</v>
      </c>
      <c r="C73" t="s">
        <v>690</v>
      </c>
      <c r="D73" t="s">
        <v>738</v>
      </c>
      <c r="AA73" s="411" t="str">
        <v>L_I1</v>
      </c>
      <c r="AC73" t="s">
        <v>1652</v>
      </c>
    </row>
    <row r="74" spans="1:29">
      <c r="A74" t="s">
        <v>1083</v>
      </c>
      <c r="B74" s="145" t="s">
        <v>650</v>
      </c>
      <c r="C74" s="216" t="s">
        <v>1085</v>
      </c>
      <c r="D74" t="s">
        <v>1084</v>
      </c>
      <c r="AA74" s="411" t="str">
        <v>L_I2</v>
      </c>
    </row>
    <row r="75" spans="1:29" ht="23" thickBot="1">
      <c r="B75" s="143"/>
      <c r="C75" s="217" t="s">
        <v>1086</v>
      </c>
      <c r="AA75" s="411" t="str">
        <v>L_TD</v>
      </c>
    </row>
    <row r="76" spans="1:29">
      <c r="A76" t="s">
        <v>169</v>
      </c>
      <c r="B76" s="145" t="s">
        <v>789</v>
      </c>
      <c r="C76" s="89" t="s">
        <v>1045</v>
      </c>
      <c r="D76" s="175" t="s">
        <v>958</v>
      </c>
      <c r="AA76" s="411" t="str">
        <v>TradeType</v>
      </c>
    </row>
    <row r="77" spans="1:29">
      <c r="B77" s="145" t="s">
        <v>790</v>
      </c>
      <c r="C77" s="89" t="s">
        <v>1046</v>
      </c>
      <c r="D77" s="175" t="s">
        <v>958</v>
      </c>
      <c r="AA77" s="411" t="str">
        <v>L_T#</v>
      </c>
    </row>
    <row r="78" spans="1:29">
      <c r="A78" t="s">
        <v>170</v>
      </c>
      <c r="B78" s="145" t="s">
        <v>791</v>
      </c>
      <c r="C78" s="89" t="s">
        <v>1047</v>
      </c>
      <c r="D78" s="175" t="s">
        <v>958</v>
      </c>
      <c r="AA78" s="411" t="str">
        <v>L_TP</v>
      </c>
    </row>
    <row r="79" spans="1:29">
      <c r="B79" s="145" t="s">
        <v>792</v>
      </c>
      <c r="C79" s="89" t="s">
        <v>1048</v>
      </c>
      <c r="D79" s="175" t="s">
        <v>958</v>
      </c>
      <c r="AA79" s="411" t="str">
        <v>Resale(ME)</v>
      </c>
    </row>
    <row r="80" spans="1:29">
      <c r="A80" t="s">
        <v>171</v>
      </c>
      <c r="B80" s="145" t="s">
        <v>793</v>
      </c>
      <c r="C80" s="89" t="s">
        <v>1041</v>
      </c>
      <c r="D80" s="175" t="s">
        <v>958</v>
      </c>
      <c r="AA80" s="411" t="str">
        <v>Min_SD</v>
      </c>
    </row>
    <row r="81" spans="1:146">
      <c r="B81" s="145" t="s">
        <v>794</v>
      </c>
      <c r="C81" s="89" t="s">
        <v>1040</v>
      </c>
      <c r="D81" s="175" t="s">
        <v>958</v>
      </c>
      <c r="AA81" s="411" t="str">
        <v>Min_Sn</v>
      </c>
    </row>
    <row r="82" spans="1:146" ht="115">
      <c r="A82" t="s">
        <v>172</v>
      </c>
      <c r="B82" s="145" t="s">
        <v>795</v>
      </c>
      <c r="C82" s="89" t="s">
        <v>1044</v>
      </c>
      <c r="D82" s="175" t="s">
        <v>958</v>
      </c>
      <c r="AA82" s="411" t="str">
        <v>Min_SP</v>
      </c>
      <c r="AC82" s="410" t="s">
        <v>1653</v>
      </c>
    </row>
    <row r="83" spans="1:146">
      <c r="B83" s="145" t="s">
        <v>796</v>
      </c>
      <c r="C83" s="89" t="s">
        <v>1043</v>
      </c>
      <c r="D83" s="175" t="s">
        <v>958</v>
      </c>
      <c r="AA83" s="411" t="str">
        <v>Max_SD</v>
      </c>
    </row>
    <row r="84" spans="1:146" ht="115">
      <c r="B84" s="145" t="s">
        <v>637</v>
      </c>
      <c r="C84" t="s">
        <v>723</v>
      </c>
      <c r="D84" t="s">
        <v>797</v>
      </c>
      <c r="AA84" s="411" t="str">
        <v>Max_Sn</v>
      </c>
      <c r="AC84" s="410" t="s">
        <v>1654</v>
      </c>
    </row>
    <row r="85" spans="1:146">
      <c r="B85" s="145" t="s">
        <v>638</v>
      </c>
      <c r="C85" t="s">
        <v>724</v>
      </c>
      <c r="D85" t="s">
        <v>797</v>
      </c>
      <c r="AA85" s="411" t="str">
        <v>Max_SP</v>
      </c>
      <c r="DI85" t="s">
        <v>2506</v>
      </c>
      <c r="DJ85" s="138">
        <v>40544</v>
      </c>
      <c r="DK85" s="1097">
        <v>500</v>
      </c>
      <c r="DL85" s="1092">
        <v>-896.1</v>
      </c>
      <c r="DN85" t="s">
        <v>2504</v>
      </c>
      <c r="DO85" s="583">
        <v>500</v>
      </c>
      <c r="DP85" s="164">
        <v>-599.29999999999995</v>
      </c>
      <c r="DR85" t="s">
        <v>2505</v>
      </c>
      <c r="DS85" s="1093">
        <v>-653.70000000000005</v>
      </c>
      <c r="DT85" s="1094">
        <v>1000</v>
      </c>
      <c r="DV85" s="138" cm="1">
        <f t="array" ref="DV85:DX122">_xlfn.SORTBY(DJ85:DL122, DL85:DL122,-1)</f>
        <v>45476</v>
      </c>
      <c r="DW85" s="1097">
        <v>510</v>
      </c>
      <c r="DX85" s="1092">
        <v>982.8</v>
      </c>
      <c r="DZ85" s="1093" cm="1">
        <f t="array" ref="DZ85:EA122">_xlfn.SORTBY(DS85:DT122, DS85:DS122,-1)</f>
        <v>748.4</v>
      </c>
      <c r="EA85" s="1094">
        <v>0</v>
      </c>
      <c r="EB85" s="1092"/>
      <c r="EC85" s="11" t="s">
        <v>2507</v>
      </c>
      <c r="ED85" s="583">
        <v>500</v>
      </c>
      <c r="EE85" s="164">
        <v>-599.29999999999995</v>
      </c>
      <c r="EF85" s="11" t="s">
        <v>2509</v>
      </c>
      <c r="EG85" s="1093">
        <v>-599.29999999999995</v>
      </c>
      <c r="EH85" s="1094">
        <v>500</v>
      </c>
      <c r="EI85" s="11" t="s">
        <v>2508</v>
      </c>
      <c r="EJ85" s="138">
        <v>45874</v>
      </c>
      <c r="EK85" s="1097">
        <v>500</v>
      </c>
      <c r="EL85" s="1092">
        <v>-599.29999999999995</v>
      </c>
      <c r="EN85" s="138" cm="1">
        <f t="array" ref="EN85:EP122">_xlfn.SORTBY(DJ85:DL122, DJ85:DJ122,-1)</f>
        <v>45908</v>
      </c>
      <c r="EO85" s="1097">
        <v>200</v>
      </c>
      <c r="EP85" s="1092">
        <v>667.2</v>
      </c>
    </row>
    <row r="86" spans="1:146">
      <c r="B86" s="145" t="s">
        <v>639</v>
      </c>
      <c r="C86" t="s">
        <v>725</v>
      </c>
      <c r="D86" t="s">
        <v>798</v>
      </c>
      <c r="AA86" s="411" t="str">
        <v>Min_PD</v>
      </c>
      <c r="DJ86" s="137">
        <v>45453</v>
      </c>
      <c r="DK86" s="122">
        <v>490</v>
      </c>
      <c r="DL86" s="164">
        <v>954.5</v>
      </c>
      <c r="DO86" s="1091">
        <v>300</v>
      </c>
      <c r="DP86" s="1092">
        <v>-602.54999999999995</v>
      </c>
      <c r="DS86" s="1095">
        <v>729.4</v>
      </c>
      <c r="DT86" s="1096"/>
      <c r="DV86" s="138">
        <v>45453</v>
      </c>
      <c r="DW86" s="1097">
        <v>490</v>
      </c>
      <c r="DX86" s="1092">
        <v>954.5</v>
      </c>
      <c r="DZ86" s="1093">
        <v>745.4</v>
      </c>
      <c r="EA86" s="1094">
        <v>0</v>
      </c>
      <c r="EB86" s="1092"/>
      <c r="ED86" s="1091">
        <v>300</v>
      </c>
      <c r="EE86" s="1092">
        <v>-602.54999999999995</v>
      </c>
      <c r="EG86" s="1093">
        <v>-602.54999999999995</v>
      </c>
      <c r="EH86" s="1094">
        <v>300</v>
      </c>
      <c r="EJ86" s="138">
        <v>45860</v>
      </c>
      <c r="EK86" s="1097">
        <v>300</v>
      </c>
      <c r="EL86" s="1092">
        <v>-602.54999999999995</v>
      </c>
      <c r="EN86" s="138">
        <v>45902</v>
      </c>
      <c r="EO86" s="1097">
        <v>500</v>
      </c>
      <c r="EP86" s="1092">
        <v>-622.20000000000005</v>
      </c>
    </row>
    <row r="87" spans="1:146">
      <c r="B87" s="145" t="s">
        <v>640</v>
      </c>
      <c r="C87" t="s">
        <v>722</v>
      </c>
      <c r="D87" t="s">
        <v>798</v>
      </c>
      <c r="AA87" s="411" t="str">
        <v>Min_Pn</v>
      </c>
      <c r="DJ87" s="138">
        <v>45468</v>
      </c>
      <c r="DK87" s="1097">
        <v>500</v>
      </c>
      <c r="DL87" s="1092">
        <v>-945</v>
      </c>
      <c r="DO87" s="583">
        <v>200</v>
      </c>
      <c r="DP87" s="164">
        <v>-603.79999999999995</v>
      </c>
      <c r="DS87" s="1093">
        <v>-706.2</v>
      </c>
      <c r="DT87" s="1094">
        <v>200</v>
      </c>
      <c r="DV87" s="138">
        <v>45523</v>
      </c>
      <c r="DW87" s="1097">
        <v>300</v>
      </c>
      <c r="DX87" s="1092">
        <v>826.52670000000001</v>
      </c>
      <c r="DZ87" s="1093">
        <v>737.1</v>
      </c>
      <c r="EA87" s="1094">
        <v>0</v>
      </c>
      <c r="EB87" s="1092"/>
      <c r="ED87" s="583">
        <v>200</v>
      </c>
      <c r="EE87" s="164">
        <v>-603.79999999999995</v>
      </c>
      <c r="EG87" s="1093">
        <v>-603.79999999999995</v>
      </c>
      <c r="EH87" s="1094">
        <v>200</v>
      </c>
      <c r="EJ87" s="138">
        <v>45749</v>
      </c>
      <c r="EK87" s="1097">
        <v>200</v>
      </c>
      <c r="EL87" s="1092">
        <v>-603.79999999999995</v>
      </c>
      <c r="EN87" s="138">
        <v>45895</v>
      </c>
      <c r="EO87" s="1097">
        <v>500</v>
      </c>
      <c r="EP87" s="1092">
        <v>646.20000000000005</v>
      </c>
    </row>
    <row r="88" spans="1:146">
      <c r="B88" s="145" t="s">
        <v>799</v>
      </c>
      <c r="AA88" s="411" t="str">
        <v>Min_PP</v>
      </c>
      <c r="DJ88" s="124">
        <v>45476</v>
      </c>
      <c r="DK88" s="122">
        <v>510</v>
      </c>
      <c r="DL88" s="164">
        <v>982.8</v>
      </c>
      <c r="DO88" s="1091">
        <v>500</v>
      </c>
      <c r="DP88" s="1092">
        <v>-622.20000000000005</v>
      </c>
      <c r="DS88" s="1095">
        <v>745.4</v>
      </c>
      <c r="DT88" s="1096"/>
      <c r="DV88" s="138">
        <v>45679</v>
      </c>
      <c r="DW88" s="1097">
        <v>200</v>
      </c>
      <c r="DX88" s="1092">
        <v>748.4</v>
      </c>
      <c r="DZ88" s="1093">
        <v>729.4</v>
      </c>
      <c r="EA88" s="1094">
        <v>0</v>
      </c>
      <c r="EB88" s="1092"/>
      <c r="ED88" s="1091">
        <v>500</v>
      </c>
      <c r="EE88" s="1092">
        <v>-622.20000000000005</v>
      </c>
      <c r="EG88" s="1093">
        <v>-622.20000000000005</v>
      </c>
      <c r="EH88" s="1094">
        <v>500</v>
      </c>
      <c r="EJ88" s="138">
        <v>45902</v>
      </c>
      <c r="EK88" s="1097">
        <v>500</v>
      </c>
      <c r="EL88" s="1092">
        <v>-622.20000000000005</v>
      </c>
      <c r="EN88" s="138">
        <v>45888</v>
      </c>
      <c r="EO88" s="1097">
        <v>500</v>
      </c>
      <c r="EP88" s="1092">
        <v>636.70000000000005</v>
      </c>
    </row>
    <row r="89" spans="1:146">
      <c r="B89" s="145" t="s">
        <v>800</v>
      </c>
      <c r="AA89" s="411" t="str">
        <v>Max_PD</v>
      </c>
      <c r="DJ89" s="169">
        <v>45490</v>
      </c>
      <c r="DK89" s="1097">
        <v>500</v>
      </c>
      <c r="DL89" s="1092">
        <v>-879.74199999999996</v>
      </c>
      <c r="DO89" s="583">
        <v>300</v>
      </c>
      <c r="DP89" s="164">
        <v>-632.79999999999995</v>
      </c>
      <c r="DS89" s="1093">
        <v>748.4</v>
      </c>
      <c r="DT89" s="1094"/>
      <c r="DV89" s="138">
        <v>45677</v>
      </c>
      <c r="DW89" s="1097">
        <v>500</v>
      </c>
      <c r="DX89" s="1092">
        <v>745.4</v>
      </c>
      <c r="DZ89" s="1093">
        <v>667.6</v>
      </c>
      <c r="EA89" s="1094">
        <v>0</v>
      </c>
      <c r="EB89" s="1092"/>
      <c r="ED89" s="583">
        <v>300</v>
      </c>
      <c r="EE89" s="164">
        <v>-632.79999999999995</v>
      </c>
      <c r="EG89" s="1093">
        <v>-632.79999999999995</v>
      </c>
      <c r="EH89" s="1094">
        <v>300</v>
      </c>
      <c r="EJ89" s="138">
        <v>45726</v>
      </c>
      <c r="EK89" s="1097">
        <v>300</v>
      </c>
      <c r="EL89" s="1092">
        <v>-632.79999999999995</v>
      </c>
      <c r="EN89" s="138">
        <v>45874</v>
      </c>
      <c r="EO89" s="1097">
        <v>500</v>
      </c>
      <c r="EP89" s="1092">
        <v>-599.29999999999995</v>
      </c>
    </row>
    <row r="90" spans="1:146">
      <c r="B90" s="145" t="s">
        <v>801</v>
      </c>
      <c r="AA90" s="411" t="str">
        <v>Max_Pn</v>
      </c>
      <c r="DJ90" s="169">
        <v>45491</v>
      </c>
      <c r="DK90" s="122">
        <v>500</v>
      </c>
      <c r="DL90" s="164">
        <v>-860.48699999999997</v>
      </c>
      <c r="DO90" s="1091">
        <v>100</v>
      </c>
      <c r="DP90" s="1092">
        <v>-632.95000000000005</v>
      </c>
      <c r="DS90" s="1095">
        <v>-715.55</v>
      </c>
      <c r="DT90" s="1096">
        <v>200</v>
      </c>
      <c r="DV90" s="138">
        <v>45701</v>
      </c>
      <c r="DW90" s="1097">
        <v>100</v>
      </c>
      <c r="DX90" s="1092">
        <v>737.1</v>
      </c>
      <c r="DZ90" s="1093">
        <v>667.2</v>
      </c>
      <c r="EA90" s="1094">
        <v>0</v>
      </c>
      <c r="EB90" s="1092"/>
      <c r="ED90" s="1091">
        <v>100</v>
      </c>
      <c r="EE90" s="1092">
        <v>-632.95000000000005</v>
      </c>
      <c r="EG90" s="1093">
        <v>-632.95000000000005</v>
      </c>
      <c r="EH90" s="1094">
        <v>100</v>
      </c>
      <c r="EJ90" s="138">
        <v>45856</v>
      </c>
      <c r="EK90" s="1097">
        <v>100</v>
      </c>
      <c r="EL90" s="1092">
        <v>-632.95000000000005</v>
      </c>
      <c r="EN90" s="138">
        <v>45860</v>
      </c>
      <c r="EO90" s="1097">
        <v>300</v>
      </c>
      <c r="EP90" s="1092">
        <v>-602.54999999999995</v>
      </c>
    </row>
    <row r="91" spans="1:146">
      <c r="B91" s="145" t="s">
        <v>802</v>
      </c>
      <c r="AA91" s="411" t="str">
        <v>Max_PP</v>
      </c>
      <c r="DJ91" s="169">
        <v>45495</v>
      </c>
      <c r="DK91" s="1097">
        <v>500</v>
      </c>
      <c r="DL91" s="1092">
        <v>-857.1</v>
      </c>
      <c r="DO91" s="583">
        <v>200</v>
      </c>
      <c r="DP91" s="164">
        <v>-645.5</v>
      </c>
      <c r="DS91" s="1093">
        <v>-701.05</v>
      </c>
      <c r="DT91" s="1094">
        <v>500</v>
      </c>
      <c r="DV91" s="138">
        <v>45663</v>
      </c>
      <c r="DW91" s="1097">
        <v>200</v>
      </c>
      <c r="DX91" s="1092">
        <v>729.4</v>
      </c>
      <c r="DZ91" s="1093">
        <v>646.20000000000005</v>
      </c>
      <c r="EA91" s="1094">
        <v>0</v>
      </c>
      <c r="EB91" s="1092"/>
      <c r="ED91" s="583">
        <v>200</v>
      </c>
      <c r="EE91" s="164">
        <v>-645.5</v>
      </c>
      <c r="EG91" s="1093">
        <v>-645.5</v>
      </c>
      <c r="EH91" s="1094">
        <v>200</v>
      </c>
      <c r="EJ91" s="138">
        <v>45856</v>
      </c>
      <c r="EK91" s="1097">
        <v>200</v>
      </c>
      <c r="EL91" s="1092">
        <v>-645.5</v>
      </c>
      <c r="EN91" s="138">
        <v>45856</v>
      </c>
      <c r="EO91" s="1097">
        <v>100</v>
      </c>
      <c r="EP91" s="1092">
        <v>-632.95000000000005</v>
      </c>
    </row>
    <row r="92" spans="1:146">
      <c r="B92" s="143"/>
      <c r="AA92" s="411" t="str">
        <v>BS2D</v>
      </c>
      <c r="DJ92" s="169">
        <v>45506</v>
      </c>
      <c r="DK92" s="122">
        <v>300</v>
      </c>
      <c r="DL92" s="164">
        <v>-763.5</v>
      </c>
      <c r="DO92" s="1091">
        <v>200</v>
      </c>
      <c r="DP92" s="1092">
        <v>-647.1</v>
      </c>
      <c r="DS92" s="1095">
        <v>-647.1</v>
      </c>
      <c r="DT92" s="1096">
        <v>200</v>
      </c>
      <c r="DV92" s="138">
        <v>45735</v>
      </c>
      <c r="DW92" s="1097">
        <v>300</v>
      </c>
      <c r="DX92" s="1092">
        <v>667.6</v>
      </c>
      <c r="DZ92" s="1093">
        <v>636.70000000000005</v>
      </c>
      <c r="EA92" s="1094">
        <v>0</v>
      </c>
      <c r="EB92" s="1092"/>
      <c r="ED92" s="1091">
        <v>200</v>
      </c>
      <c r="EE92" s="1092">
        <v>-647.1</v>
      </c>
      <c r="EG92" s="1093">
        <v>-647.1</v>
      </c>
      <c r="EH92" s="1094">
        <v>200</v>
      </c>
      <c r="EJ92" s="138">
        <v>45684</v>
      </c>
      <c r="EK92" s="1097">
        <v>200</v>
      </c>
      <c r="EL92" s="1092">
        <v>-647.1</v>
      </c>
      <c r="EN92" s="138">
        <v>45856</v>
      </c>
      <c r="EO92" s="1097">
        <v>200</v>
      </c>
      <c r="EP92" s="1092">
        <v>-645.5</v>
      </c>
    </row>
    <row r="93" spans="1:146">
      <c r="B93" s="149" t="s">
        <v>803</v>
      </c>
      <c r="C93" t="s">
        <v>696</v>
      </c>
      <c r="D93" t="s">
        <v>702</v>
      </c>
      <c r="AA93" s="411" t="str">
        <v>BS2n</v>
      </c>
      <c r="DJ93" s="169">
        <v>45523</v>
      </c>
      <c r="DK93" s="1097">
        <v>300</v>
      </c>
      <c r="DL93" s="1092">
        <v>826.52670000000001</v>
      </c>
      <c r="DO93" s="583">
        <v>300</v>
      </c>
      <c r="DP93" s="164">
        <v>-647.29999999999995</v>
      </c>
      <c r="DS93" s="1093">
        <v>737.1</v>
      </c>
      <c r="DT93" s="1094"/>
      <c r="DV93" s="138">
        <v>45908</v>
      </c>
      <c r="DW93" s="1097">
        <v>200</v>
      </c>
      <c r="DX93" s="1092">
        <v>667.2</v>
      </c>
      <c r="DZ93" s="1093">
        <v>-599.29999999999995</v>
      </c>
      <c r="EA93" s="1094">
        <v>500</v>
      </c>
      <c r="EB93" s="1092"/>
      <c r="ED93" s="583">
        <v>300</v>
      </c>
      <c r="EE93" s="164">
        <v>-647.29999999999995</v>
      </c>
      <c r="EG93" s="1093">
        <v>-647.29999999999995</v>
      </c>
      <c r="EH93" s="1094">
        <v>300</v>
      </c>
      <c r="EJ93" s="138">
        <v>45743</v>
      </c>
      <c r="EK93" s="1097">
        <v>300</v>
      </c>
      <c r="EL93" s="1092">
        <v>-647.29999999999995</v>
      </c>
      <c r="EN93" s="138">
        <v>45833</v>
      </c>
      <c r="EO93" s="1097">
        <v>200</v>
      </c>
      <c r="EP93" s="1092">
        <v>-695.5</v>
      </c>
    </row>
    <row r="94" spans="1:146">
      <c r="B94" s="149" t="s">
        <v>804</v>
      </c>
      <c r="C94" t="s">
        <v>700</v>
      </c>
      <c r="D94" t="s">
        <v>805</v>
      </c>
      <c r="AA94" s="411" t="str">
        <v>BS2P</v>
      </c>
      <c r="DJ94" s="169">
        <v>45531</v>
      </c>
      <c r="DK94" s="122">
        <v>300</v>
      </c>
      <c r="DL94" s="164">
        <v>-791.4</v>
      </c>
      <c r="DO94" s="1091">
        <v>1000</v>
      </c>
      <c r="DP94" s="1092">
        <v>-653.1</v>
      </c>
      <c r="DS94" s="1095">
        <v>-724.24</v>
      </c>
      <c r="DT94" s="1096">
        <v>100</v>
      </c>
      <c r="DV94" s="138">
        <v>45895</v>
      </c>
      <c r="DW94" s="1097">
        <v>500</v>
      </c>
      <c r="DX94" s="1092">
        <v>646.20000000000005</v>
      </c>
      <c r="DZ94" s="1093">
        <v>-602.54999999999995</v>
      </c>
      <c r="EA94" s="1094">
        <v>300</v>
      </c>
      <c r="EB94" s="1092"/>
      <c r="ED94" s="1091">
        <v>1000</v>
      </c>
      <c r="EE94" s="1092">
        <v>-653.1</v>
      </c>
      <c r="EG94" s="1093">
        <v>-653.70000000000005</v>
      </c>
      <c r="EH94" s="1094">
        <v>1000</v>
      </c>
      <c r="EJ94" s="138">
        <v>45583</v>
      </c>
      <c r="EK94" s="1097">
        <v>500</v>
      </c>
      <c r="EL94" s="1092">
        <v>-653.1</v>
      </c>
      <c r="EN94" s="138">
        <v>45749</v>
      </c>
      <c r="EO94" s="1097">
        <v>200</v>
      </c>
      <c r="EP94" s="1092">
        <v>-603.79999999999995</v>
      </c>
    </row>
    <row r="95" spans="1:146">
      <c r="B95" s="149" t="s">
        <v>806</v>
      </c>
      <c r="C95" t="s">
        <v>701</v>
      </c>
      <c r="D95" t="s">
        <v>807</v>
      </c>
      <c r="AA95" s="411" t="str">
        <v>WB2D</v>
      </c>
      <c r="DJ95" s="169">
        <v>45575</v>
      </c>
      <c r="DK95" s="1097">
        <v>200</v>
      </c>
      <c r="DL95" s="1092">
        <v>-761.4</v>
      </c>
      <c r="DO95" s="583">
        <v>300</v>
      </c>
      <c r="DP95" s="164">
        <v>-653.70000000000005</v>
      </c>
      <c r="DS95" s="1093">
        <v>-717.1</v>
      </c>
      <c r="DT95" s="1094">
        <v>100</v>
      </c>
      <c r="DV95" s="138">
        <v>45888</v>
      </c>
      <c r="DW95" s="1097">
        <v>500</v>
      </c>
      <c r="DX95" s="1092">
        <v>636.70000000000005</v>
      </c>
      <c r="DZ95" s="1093">
        <v>-603.79999999999995</v>
      </c>
      <c r="EA95" s="1094">
        <v>200</v>
      </c>
      <c r="EB95" s="1092"/>
      <c r="ED95" s="583">
        <v>300</v>
      </c>
      <c r="EE95" s="164">
        <v>-653.70000000000005</v>
      </c>
      <c r="EG95" s="1098">
        <v>-690.9</v>
      </c>
      <c r="EH95" s="1099">
        <v>300</v>
      </c>
      <c r="EJ95" s="138">
        <v>45593</v>
      </c>
      <c r="EK95" s="1097">
        <v>1000</v>
      </c>
      <c r="EL95" s="1092">
        <v>-653.70000000000005</v>
      </c>
      <c r="EN95" s="138">
        <v>45743</v>
      </c>
      <c r="EO95" s="1097">
        <v>300</v>
      </c>
      <c r="EP95" s="1092">
        <v>-647.29999999999995</v>
      </c>
    </row>
    <row r="96" spans="1:146">
      <c r="B96" s="150" t="s">
        <v>808</v>
      </c>
      <c r="C96" t="s">
        <v>703</v>
      </c>
      <c r="AA96" s="411" t="str">
        <v>WB2n</v>
      </c>
      <c r="DJ96" s="169">
        <v>45583</v>
      </c>
      <c r="DK96" s="122">
        <v>500</v>
      </c>
      <c r="DL96" s="164">
        <v>-653.1</v>
      </c>
      <c r="DO96" s="1091">
        <v>200</v>
      </c>
      <c r="DP96" s="1092">
        <v>-690.9</v>
      </c>
      <c r="DS96" s="1095">
        <v>-706.6</v>
      </c>
      <c r="DT96" s="1096">
        <v>100</v>
      </c>
      <c r="DV96" s="138">
        <v>45874</v>
      </c>
      <c r="DW96" s="1097">
        <v>500</v>
      </c>
      <c r="DX96" s="1092">
        <v>-599.29999999999995</v>
      </c>
      <c r="DZ96" s="1093">
        <v>-622.20000000000005</v>
      </c>
      <c r="EA96" s="1094">
        <v>500</v>
      </c>
      <c r="EB96" s="1092"/>
      <c r="ED96" s="1091">
        <v>200</v>
      </c>
      <c r="EE96" s="1092">
        <v>-690.9</v>
      </c>
      <c r="EG96" s="1098">
        <v>-695.5</v>
      </c>
      <c r="EH96" s="1099">
        <v>200</v>
      </c>
      <c r="EJ96" s="138">
        <v>45713</v>
      </c>
      <c r="EK96" s="1097">
        <v>300</v>
      </c>
      <c r="EL96" s="1092">
        <v>-690.9</v>
      </c>
      <c r="EN96" s="138">
        <v>45735</v>
      </c>
      <c r="EO96" s="1097">
        <v>300</v>
      </c>
      <c r="EP96" s="1092">
        <v>667.6</v>
      </c>
    </row>
    <row r="97" spans="1:146">
      <c r="B97" s="149" t="s">
        <v>809</v>
      </c>
      <c r="C97" t="s">
        <v>704</v>
      </c>
      <c r="AA97" s="411" t="str">
        <v>WB2P</v>
      </c>
      <c r="DJ97" s="169">
        <v>45593</v>
      </c>
      <c r="DK97" s="1097">
        <v>1000</v>
      </c>
      <c r="DL97" s="1092">
        <v>-653.70000000000005</v>
      </c>
      <c r="DO97" s="583">
        <v>500</v>
      </c>
      <c r="DP97" s="164">
        <v>-695.5</v>
      </c>
      <c r="DS97" s="1093">
        <v>-690.9</v>
      </c>
      <c r="DT97" s="1094">
        <v>300</v>
      </c>
      <c r="DV97" s="138">
        <v>45860</v>
      </c>
      <c r="DW97" s="1097">
        <v>300</v>
      </c>
      <c r="DX97" s="1092">
        <v>-602.54999999999995</v>
      </c>
      <c r="DZ97" s="1093">
        <v>-632.79999999999995</v>
      </c>
      <c r="EA97" s="1094">
        <v>300</v>
      </c>
      <c r="EB97" s="1092"/>
      <c r="ED97" s="583">
        <v>500</v>
      </c>
      <c r="EE97" s="164">
        <v>-695.5</v>
      </c>
      <c r="EG97" s="1098">
        <v>-701.05</v>
      </c>
      <c r="EH97" s="1099">
        <v>500</v>
      </c>
      <c r="EJ97" s="138">
        <v>45833</v>
      </c>
      <c r="EK97" s="1097">
        <v>200</v>
      </c>
      <c r="EL97" s="1092">
        <v>-695.5</v>
      </c>
      <c r="EN97" s="138">
        <v>45726</v>
      </c>
      <c r="EO97" s="1097">
        <v>300</v>
      </c>
      <c r="EP97" s="1092">
        <v>-632.79999999999995</v>
      </c>
    </row>
    <row r="98" spans="1:146">
      <c r="B98" s="149" t="s">
        <v>810</v>
      </c>
      <c r="C98" t="s">
        <v>698</v>
      </c>
      <c r="AA98" s="411" t="str">
        <v>ntoBuy</v>
      </c>
      <c r="DJ98" s="169">
        <v>45663</v>
      </c>
      <c r="DK98" s="122">
        <v>200</v>
      </c>
      <c r="DL98" s="164">
        <v>729.4</v>
      </c>
      <c r="DO98" s="1091">
        <v>200</v>
      </c>
      <c r="DP98" s="1092">
        <v>-701.05</v>
      </c>
      <c r="DS98" s="1095">
        <v>-632.79999999999995</v>
      </c>
      <c r="DT98" s="1096">
        <v>300</v>
      </c>
      <c r="DV98" s="138">
        <v>45749</v>
      </c>
      <c r="DW98" s="1097">
        <v>200</v>
      </c>
      <c r="DX98" s="1092">
        <v>-603.79999999999995</v>
      </c>
      <c r="DZ98" s="1093">
        <v>-632.95000000000005</v>
      </c>
      <c r="EA98" s="1094">
        <v>100</v>
      </c>
      <c r="EB98" s="1092"/>
      <c r="ED98" s="1091">
        <v>200</v>
      </c>
      <c r="EE98" s="1092">
        <v>-701.05</v>
      </c>
      <c r="EG98" s="1098">
        <v>-706.2</v>
      </c>
      <c r="EH98" s="1099">
        <v>200</v>
      </c>
      <c r="EJ98" s="138">
        <v>45681</v>
      </c>
      <c r="EK98" s="1097">
        <v>500</v>
      </c>
      <c r="EL98" s="1092">
        <v>-701.05</v>
      </c>
      <c r="EN98" s="138">
        <v>45713</v>
      </c>
      <c r="EO98" s="1097">
        <v>100</v>
      </c>
      <c r="EP98" s="1092">
        <v>-706.6</v>
      </c>
    </row>
    <row r="99" spans="1:146">
      <c r="B99" s="149" t="s">
        <v>811</v>
      </c>
      <c r="C99" t="s">
        <v>699</v>
      </c>
      <c r="AA99" s="411" t="str">
        <v>BuyCost</v>
      </c>
      <c r="DJ99" s="169">
        <v>45670</v>
      </c>
      <c r="DK99" s="1097">
        <v>200</v>
      </c>
      <c r="DL99" s="1092">
        <v>-706.2</v>
      </c>
      <c r="DO99" s="583">
        <v>100</v>
      </c>
      <c r="DP99" s="164">
        <v>-706.2</v>
      </c>
      <c r="DS99" s="1093">
        <v>667.6</v>
      </c>
      <c r="DT99" s="1094"/>
      <c r="DV99" s="138">
        <v>45902</v>
      </c>
      <c r="DW99" s="1097">
        <v>500</v>
      </c>
      <c r="DX99" s="1092">
        <v>-622.20000000000005</v>
      </c>
      <c r="DZ99" s="1093">
        <v>-645.5</v>
      </c>
      <c r="EA99" s="1094">
        <v>200</v>
      </c>
      <c r="EB99" s="1092"/>
      <c r="ED99" s="583">
        <v>100</v>
      </c>
      <c r="EE99" s="164">
        <v>-706.2</v>
      </c>
      <c r="EG99" s="1098">
        <v>-706.6</v>
      </c>
      <c r="EH99" s="1099">
        <v>100</v>
      </c>
      <c r="EJ99" s="138">
        <v>45670</v>
      </c>
      <c r="EK99" s="1097">
        <v>200</v>
      </c>
      <c r="EL99" s="1092">
        <v>-706.2</v>
      </c>
      <c r="EN99" s="138">
        <v>45713</v>
      </c>
      <c r="EO99" s="1097">
        <v>300</v>
      </c>
      <c r="EP99" s="1092">
        <v>-690.9</v>
      </c>
    </row>
    <row r="100" spans="1:146">
      <c r="B100" s="150" t="s">
        <v>662</v>
      </c>
      <c r="AA100" s="411" t="str">
        <v>ntoSell</v>
      </c>
      <c r="DJ100" s="169">
        <v>45677</v>
      </c>
      <c r="DK100" s="122">
        <v>500</v>
      </c>
      <c r="DL100" s="164">
        <v>745.4</v>
      </c>
      <c r="DO100" s="1091">
        <v>200</v>
      </c>
      <c r="DP100" s="1092">
        <v>-706.6</v>
      </c>
      <c r="DS100" s="1095">
        <v>-647.29999999999995</v>
      </c>
      <c r="DT100" s="1096">
        <v>300</v>
      </c>
      <c r="DV100" s="138">
        <v>45726</v>
      </c>
      <c r="DW100" s="1097">
        <v>300</v>
      </c>
      <c r="DX100" s="1092">
        <v>-632.79999999999995</v>
      </c>
      <c r="DZ100" s="1093">
        <v>-647.1</v>
      </c>
      <c r="EA100" s="1094">
        <v>200</v>
      </c>
      <c r="EB100" s="1092"/>
      <c r="ED100" s="1091">
        <v>200</v>
      </c>
      <c r="EE100" s="1092">
        <v>-706.6</v>
      </c>
      <c r="EG100" s="1098">
        <v>-715.55</v>
      </c>
      <c r="EH100" s="1099">
        <v>200</v>
      </c>
      <c r="EJ100" s="138">
        <v>45713</v>
      </c>
      <c r="EK100" s="1097">
        <v>100</v>
      </c>
      <c r="EL100" s="1092">
        <v>-706.6</v>
      </c>
      <c r="EN100" s="138">
        <v>45706</v>
      </c>
      <c r="EO100" s="1097">
        <v>100</v>
      </c>
      <c r="EP100" s="1092">
        <v>-724.24</v>
      </c>
    </row>
    <row r="101" spans="1:146">
      <c r="B101" s="150" t="s">
        <v>812</v>
      </c>
      <c r="C101" t="s">
        <v>705</v>
      </c>
      <c r="D101" t="s">
        <v>813</v>
      </c>
      <c r="AA101" s="411" t="str">
        <v>vReverse</v>
      </c>
      <c r="DJ101" s="169">
        <v>45679</v>
      </c>
      <c r="DK101" s="1097">
        <v>200</v>
      </c>
      <c r="DL101" s="1092">
        <v>748.4</v>
      </c>
      <c r="DO101" s="583">
        <v>100</v>
      </c>
      <c r="DP101" s="164">
        <v>-715.55</v>
      </c>
      <c r="DS101" s="1093">
        <v>-603.79999999999995</v>
      </c>
      <c r="DT101" s="1094">
        <v>200</v>
      </c>
      <c r="DV101" s="138">
        <v>45856</v>
      </c>
      <c r="DW101" s="1097">
        <v>100</v>
      </c>
      <c r="DX101" s="1092">
        <v>-632.95000000000005</v>
      </c>
      <c r="DZ101" s="1093">
        <v>-647.29999999999995</v>
      </c>
      <c r="EA101" s="1094">
        <v>300</v>
      </c>
      <c r="EB101" s="1092"/>
      <c r="ED101" s="583">
        <v>100</v>
      </c>
      <c r="EE101" s="164">
        <v>-715.55</v>
      </c>
      <c r="EG101" s="1098">
        <v>-717.1</v>
      </c>
      <c r="EH101" s="1099">
        <v>100</v>
      </c>
      <c r="EJ101" s="138">
        <v>45680</v>
      </c>
      <c r="EK101" s="1097">
        <v>200</v>
      </c>
      <c r="EL101" s="1092">
        <v>-715.55</v>
      </c>
      <c r="EN101" s="138">
        <v>45706</v>
      </c>
      <c r="EO101" s="1097">
        <v>100</v>
      </c>
      <c r="EP101" s="1092">
        <v>-717.1</v>
      </c>
    </row>
    <row r="102" spans="1:146">
      <c r="B102" s="150" t="s">
        <v>814</v>
      </c>
      <c r="C102" t="s">
        <v>706</v>
      </c>
      <c r="AA102" s="411" t="str">
        <v>NMA</v>
      </c>
      <c r="DJ102" s="169">
        <v>45680</v>
      </c>
      <c r="DK102" s="122">
        <v>200</v>
      </c>
      <c r="DL102" s="164">
        <v>-715.55</v>
      </c>
      <c r="DO102" s="1091">
        <v>100</v>
      </c>
      <c r="DP102" s="1092">
        <v>-717.1</v>
      </c>
      <c r="DS102" s="1095">
        <v>-695.5</v>
      </c>
      <c r="DT102" s="1096">
        <v>200</v>
      </c>
      <c r="DV102" s="138">
        <v>45856</v>
      </c>
      <c r="DW102" s="1097">
        <v>200</v>
      </c>
      <c r="DX102" s="1092">
        <v>-645.5</v>
      </c>
      <c r="DZ102" s="1093">
        <v>-653.70000000000005</v>
      </c>
      <c r="EA102" s="1094">
        <v>1000</v>
      </c>
      <c r="EB102" s="1092"/>
      <c r="ED102" s="1091">
        <v>100</v>
      </c>
      <c r="EE102" s="1092">
        <v>-717.1</v>
      </c>
      <c r="EG102" s="1098">
        <v>-724.24</v>
      </c>
      <c r="EH102" s="1099">
        <v>100</v>
      </c>
      <c r="EJ102" s="138">
        <v>45706</v>
      </c>
      <c r="EK102" s="1097">
        <v>100</v>
      </c>
      <c r="EL102" s="1092">
        <v>-717.1</v>
      </c>
      <c r="EN102" s="138">
        <v>45701</v>
      </c>
      <c r="EO102" s="1097">
        <v>100</v>
      </c>
      <c r="EP102" s="1092">
        <v>737.1</v>
      </c>
    </row>
    <row r="103" spans="1:146">
      <c r="B103" s="150" t="s">
        <v>815</v>
      </c>
      <c r="C103" t="s">
        <v>707</v>
      </c>
      <c r="AA103" s="411" t="str">
        <v>Revenue</v>
      </c>
      <c r="DJ103" s="169">
        <v>45681</v>
      </c>
      <c r="DK103" s="1097">
        <v>500</v>
      </c>
      <c r="DL103" s="1092">
        <v>-701.05</v>
      </c>
      <c r="DS103" s="1093">
        <v>-632.95000000000005</v>
      </c>
      <c r="DT103" s="1094">
        <v>100</v>
      </c>
      <c r="DV103" s="138">
        <v>45684</v>
      </c>
      <c r="DW103" s="1097">
        <v>200</v>
      </c>
      <c r="DX103" s="1092">
        <v>-647.1</v>
      </c>
      <c r="DZ103" s="1093">
        <v>-690.9</v>
      </c>
      <c r="EA103" s="1094">
        <v>300</v>
      </c>
      <c r="EB103" s="1092"/>
      <c r="ED103" s="82">
        <f>SUM(ED85:ED94)</f>
        <v>3600</v>
      </c>
      <c r="EG103" s="88">
        <f>SUM(EG85:EG94)</f>
        <v>-6287.2</v>
      </c>
      <c r="EH103" s="88">
        <f>SUM(EH85:EH94)</f>
        <v>3600</v>
      </c>
      <c r="EJ103" s="138">
        <v>45706</v>
      </c>
      <c r="EK103" s="1097">
        <v>100</v>
      </c>
      <c r="EL103" s="1092">
        <v>-724.24</v>
      </c>
      <c r="EN103" s="138">
        <v>45684</v>
      </c>
      <c r="EO103" s="1097">
        <v>200</v>
      </c>
      <c r="EP103" s="1092">
        <v>-647.1</v>
      </c>
    </row>
    <row r="104" spans="1:146">
      <c r="B104" s="150" t="s">
        <v>816</v>
      </c>
      <c r="C104" t="s">
        <v>708</v>
      </c>
      <c r="AA104" s="411" t="str">
        <v>GLMore@A</v>
      </c>
      <c r="DJ104" s="169">
        <v>45684</v>
      </c>
      <c r="DK104" s="122">
        <v>200</v>
      </c>
      <c r="DL104" s="164">
        <v>-647.1</v>
      </c>
      <c r="DS104" s="1095">
        <v>-645.5</v>
      </c>
      <c r="DT104" s="1096">
        <v>200</v>
      </c>
      <c r="DV104" s="138">
        <v>45743</v>
      </c>
      <c r="DW104" s="1097">
        <v>300</v>
      </c>
      <c r="DX104" s="1092">
        <v>-647.29999999999995</v>
      </c>
      <c r="DZ104" s="1093">
        <v>-695.5</v>
      </c>
      <c r="EA104" s="1094">
        <v>200</v>
      </c>
      <c r="EB104" s="1092"/>
      <c r="EJ104" s="138">
        <v>45575</v>
      </c>
      <c r="EK104" s="1097">
        <v>200</v>
      </c>
      <c r="EL104" s="1092">
        <v>-761.4</v>
      </c>
      <c r="EN104" s="138">
        <v>45681</v>
      </c>
      <c r="EO104" s="1097">
        <v>500</v>
      </c>
      <c r="EP104" s="1092">
        <v>-701.05</v>
      </c>
    </row>
    <row r="105" spans="1:146">
      <c r="A105" s="92"/>
      <c r="B105" s="151" t="s">
        <v>714</v>
      </c>
      <c r="AA105" s="411" t="str">
        <v>Ann%RevLB</v>
      </c>
      <c r="DJ105" s="169">
        <v>45701</v>
      </c>
      <c r="DK105" s="1097">
        <v>100</v>
      </c>
      <c r="DL105" s="1092">
        <v>737.1</v>
      </c>
      <c r="DS105" s="1093">
        <v>-602.54999999999995</v>
      </c>
      <c r="DT105" s="1094">
        <v>300</v>
      </c>
      <c r="DV105" s="138">
        <v>45583</v>
      </c>
      <c r="DW105" s="1097">
        <v>500</v>
      </c>
      <c r="DX105" s="1092">
        <v>-653.1</v>
      </c>
      <c r="DZ105" s="1093">
        <v>-701.05</v>
      </c>
      <c r="EA105" s="1094">
        <v>500</v>
      </c>
      <c r="EB105" s="1092"/>
      <c r="EJ105" s="138">
        <v>45506</v>
      </c>
      <c r="EK105" s="1097">
        <v>300</v>
      </c>
      <c r="EL105" s="1092">
        <v>-763.5</v>
      </c>
      <c r="EN105" s="138">
        <v>45680</v>
      </c>
      <c r="EO105" s="1097">
        <v>200</v>
      </c>
      <c r="EP105" s="1092">
        <v>-715.55</v>
      </c>
    </row>
    <row r="106" spans="1:146">
      <c r="A106" s="92"/>
      <c r="B106" s="151" t="s">
        <v>709</v>
      </c>
      <c r="D106" t="s">
        <v>817</v>
      </c>
      <c r="AA106" s="411" t="str">
        <v>Median</v>
      </c>
      <c r="DJ106" s="169">
        <v>45706</v>
      </c>
      <c r="DK106" s="122">
        <v>100</v>
      </c>
      <c r="DL106" s="164">
        <v>-724.24</v>
      </c>
      <c r="DS106" s="1095">
        <v>-599.29999999999995</v>
      </c>
      <c r="DT106" s="1096">
        <v>500</v>
      </c>
      <c r="DV106" s="138">
        <v>45593</v>
      </c>
      <c r="DW106" s="1097">
        <v>1000</v>
      </c>
      <c r="DX106" s="1092">
        <v>-653.70000000000005</v>
      </c>
      <c r="DZ106" s="1093">
        <v>-706.2</v>
      </c>
      <c r="EA106" s="1094">
        <v>200</v>
      </c>
      <c r="EB106" s="1092"/>
      <c r="EJ106" s="138">
        <v>45531</v>
      </c>
      <c r="EK106" s="1097">
        <v>300</v>
      </c>
      <c r="EL106" s="1092">
        <v>-791.4</v>
      </c>
      <c r="EN106" s="138">
        <v>45679</v>
      </c>
      <c r="EO106" s="1097">
        <v>200</v>
      </c>
      <c r="EP106" s="1092">
        <v>748.4</v>
      </c>
    </row>
    <row r="107" spans="1:146">
      <c r="B107" s="150" t="s">
        <v>818</v>
      </c>
      <c r="AA107" s="411" t="str">
        <v>Ag:Ch</v>
      </c>
      <c r="DJ107" s="169">
        <v>45706</v>
      </c>
      <c r="DK107" s="1097">
        <v>100</v>
      </c>
      <c r="DL107" s="1092">
        <v>-717.1</v>
      </c>
      <c r="DS107" s="1093">
        <v>636.70000000000005</v>
      </c>
      <c r="DT107" s="1094"/>
      <c r="DV107" s="138">
        <v>45713</v>
      </c>
      <c r="DW107" s="1097">
        <v>300</v>
      </c>
      <c r="DX107" s="1092">
        <v>-690.9</v>
      </c>
      <c r="DZ107" s="1093">
        <v>-706.6</v>
      </c>
      <c r="EA107" s="1094">
        <v>100</v>
      </c>
      <c r="EB107" s="1092"/>
      <c r="EJ107" s="138">
        <v>45495</v>
      </c>
      <c r="EK107" s="1097">
        <v>500</v>
      </c>
      <c r="EL107" s="1092">
        <v>-857.1</v>
      </c>
      <c r="EN107" s="138">
        <v>45677</v>
      </c>
      <c r="EO107" s="1097">
        <v>500</v>
      </c>
      <c r="EP107" s="1092">
        <v>745.4</v>
      </c>
    </row>
    <row r="108" spans="1:146">
      <c r="B108" s="150" t="s">
        <v>819</v>
      </c>
      <c r="C108" t="s">
        <v>711</v>
      </c>
      <c r="D108" t="s">
        <v>820</v>
      </c>
      <c r="DJ108" s="971">
        <v>45713</v>
      </c>
      <c r="DK108" s="122">
        <v>100</v>
      </c>
      <c r="DL108" s="164">
        <v>-706.6</v>
      </c>
      <c r="DS108" s="1095">
        <v>646.20000000000005</v>
      </c>
      <c r="DT108" s="1096"/>
      <c r="DV108" s="138">
        <v>45833</v>
      </c>
      <c r="DW108" s="1097">
        <v>200</v>
      </c>
      <c r="DX108" s="1092">
        <v>-695.5</v>
      </c>
      <c r="DZ108" s="1093">
        <v>-715.55</v>
      </c>
      <c r="EA108" s="1094">
        <v>200</v>
      </c>
      <c r="EB108" s="1092"/>
      <c r="EJ108" s="138">
        <v>45491</v>
      </c>
      <c r="EK108" s="1097">
        <v>500</v>
      </c>
      <c r="EL108" s="1092">
        <v>-860.48699999999997</v>
      </c>
      <c r="EN108" s="138">
        <v>45670</v>
      </c>
      <c r="EO108" s="1097">
        <v>200</v>
      </c>
      <c r="EP108" s="1092">
        <v>-706.2</v>
      </c>
    </row>
    <row r="109" spans="1:146">
      <c r="B109" s="150" t="s">
        <v>712</v>
      </c>
      <c r="DJ109" s="971">
        <v>45713</v>
      </c>
      <c r="DK109" s="1097">
        <v>300</v>
      </c>
      <c r="DL109" s="1092">
        <v>-690.9</v>
      </c>
      <c r="DS109" s="1093">
        <v>-622.20000000000005</v>
      </c>
      <c r="DT109" s="1094">
        <v>500</v>
      </c>
      <c r="DV109" s="138">
        <v>45681</v>
      </c>
      <c r="DW109" s="1097">
        <v>500</v>
      </c>
      <c r="DX109" s="1092">
        <v>-701.05</v>
      </c>
      <c r="DZ109" s="1093">
        <v>-717.1</v>
      </c>
      <c r="EA109" s="1094">
        <v>100</v>
      </c>
      <c r="EB109" s="1092"/>
      <c r="EJ109" s="138">
        <v>45490</v>
      </c>
      <c r="EK109" s="1097">
        <v>500</v>
      </c>
      <c r="EL109" s="1092">
        <v>-879.74199999999996</v>
      </c>
      <c r="EN109" s="138">
        <v>45663</v>
      </c>
      <c r="EO109" s="1097">
        <v>200</v>
      </c>
      <c r="EP109" s="1092">
        <v>729.4</v>
      </c>
    </row>
    <row r="110" spans="1:146">
      <c r="B110" s="150" t="s">
        <v>821</v>
      </c>
      <c r="C110" t="s">
        <v>710</v>
      </c>
      <c r="DJ110" s="971">
        <v>45726</v>
      </c>
      <c r="DK110" s="122">
        <v>300</v>
      </c>
      <c r="DL110" s="164">
        <v>-632.79999999999995</v>
      </c>
      <c r="DS110" s="1095">
        <v>667.2</v>
      </c>
      <c r="DT110" s="1096"/>
      <c r="DV110" s="138">
        <v>45670</v>
      </c>
      <c r="DW110" s="1097">
        <v>200</v>
      </c>
      <c r="DX110" s="1092">
        <v>-706.2</v>
      </c>
      <c r="DZ110" s="1093">
        <v>-724.24</v>
      </c>
      <c r="EA110" s="1094">
        <v>100</v>
      </c>
      <c r="EB110" s="1092"/>
      <c r="EJ110" s="138">
        <v>40544</v>
      </c>
      <c r="EK110" s="1097">
        <v>500</v>
      </c>
      <c r="EL110" s="1092">
        <v>-896.1</v>
      </c>
      <c r="EN110" s="138">
        <v>45593</v>
      </c>
      <c r="EO110" s="1097">
        <v>1000</v>
      </c>
      <c r="EP110" s="1092">
        <v>-653.70000000000005</v>
      </c>
    </row>
    <row r="111" spans="1:146">
      <c r="B111" s="150" t="s">
        <v>822</v>
      </c>
      <c r="C111" t="s">
        <v>713</v>
      </c>
      <c r="DJ111" s="971">
        <v>45735</v>
      </c>
      <c r="DK111" s="1097">
        <v>300</v>
      </c>
      <c r="DL111" s="1092">
        <v>667.6</v>
      </c>
      <c r="DV111" s="138">
        <v>45713</v>
      </c>
      <c r="DW111" s="1097">
        <v>100</v>
      </c>
      <c r="DX111" s="1092">
        <v>-706.6</v>
      </c>
      <c r="DZ111" s="1093">
        <v>0</v>
      </c>
      <c r="EA111" s="1094">
        <v>0</v>
      </c>
      <c r="EB111" s="1092"/>
      <c r="EJ111" s="138">
        <v>45468</v>
      </c>
      <c r="EK111" s="1097">
        <v>500</v>
      </c>
      <c r="EL111" s="1092">
        <v>-945</v>
      </c>
      <c r="EN111" s="138">
        <v>45583</v>
      </c>
      <c r="EO111" s="1097">
        <v>500</v>
      </c>
      <c r="EP111" s="1092">
        <v>-653.1</v>
      </c>
    </row>
    <row r="112" spans="1:146">
      <c r="B112" s="150" t="s">
        <v>823</v>
      </c>
      <c r="DJ112" s="971">
        <v>45743</v>
      </c>
      <c r="DK112" s="122">
        <v>300</v>
      </c>
      <c r="DL112" s="164">
        <v>-647.29999999999995</v>
      </c>
      <c r="DV112" s="138">
        <v>45680</v>
      </c>
      <c r="DW112" s="1097">
        <v>200</v>
      </c>
      <c r="DX112" s="1092">
        <v>-715.55</v>
      </c>
      <c r="DZ112" s="1093">
        <v>0</v>
      </c>
      <c r="EA112" s="1094">
        <v>0</v>
      </c>
      <c r="EB112" s="1092"/>
      <c r="EK112">
        <f>SUMIF(EK85:EK94,"&gt;"&amp;$EG$95,EK85:EK94)</f>
        <v>3100</v>
      </c>
      <c r="EN112" s="138">
        <v>45575</v>
      </c>
      <c r="EO112" s="1097">
        <v>200</v>
      </c>
      <c r="EP112" s="1092">
        <v>-761.4</v>
      </c>
    </row>
    <row r="113" spans="1:146">
      <c r="B113" s="150" t="s">
        <v>824</v>
      </c>
      <c r="DJ113" s="971">
        <v>45749</v>
      </c>
      <c r="DK113" s="1097">
        <v>200</v>
      </c>
      <c r="DL113" s="1092">
        <v>-603.79999999999995</v>
      </c>
      <c r="DV113" s="138">
        <v>45706</v>
      </c>
      <c r="DW113" s="1097">
        <v>100</v>
      </c>
      <c r="DX113" s="1092">
        <v>-717.1</v>
      </c>
      <c r="DZ113" s="1093">
        <v>0</v>
      </c>
      <c r="EA113" s="1094">
        <v>0</v>
      </c>
      <c r="EB113" s="1092"/>
      <c r="EN113" s="138">
        <v>45531</v>
      </c>
      <c r="EO113" s="1097">
        <v>300</v>
      </c>
      <c r="EP113" s="1092">
        <v>-791.4</v>
      </c>
    </row>
    <row r="114" spans="1:146">
      <c r="B114" s="150" t="s">
        <v>825</v>
      </c>
      <c r="C114" t="s">
        <v>715</v>
      </c>
      <c r="DJ114" s="971">
        <v>45833</v>
      </c>
      <c r="DK114" s="122">
        <v>200</v>
      </c>
      <c r="DL114" s="164">
        <v>-695.5</v>
      </c>
      <c r="DV114" s="138">
        <v>45706</v>
      </c>
      <c r="DW114" s="1097">
        <v>100</v>
      </c>
      <c r="DX114" s="1092">
        <v>-724.24</v>
      </c>
      <c r="DZ114" s="1093">
        <v>0</v>
      </c>
      <c r="EA114" s="1094">
        <v>0</v>
      </c>
      <c r="EB114" s="1092"/>
      <c r="EN114" s="138">
        <v>45523</v>
      </c>
      <c r="EO114" s="1097">
        <v>300</v>
      </c>
      <c r="EP114" s="1092">
        <v>826.52670000000001</v>
      </c>
    </row>
    <row r="115" spans="1:146">
      <c r="B115" s="150" t="s">
        <v>826</v>
      </c>
      <c r="C115" t="s">
        <v>716</v>
      </c>
      <c r="DJ115" s="971">
        <v>45856</v>
      </c>
      <c r="DK115" s="1097">
        <v>100</v>
      </c>
      <c r="DL115" s="1092">
        <v>-632.95000000000005</v>
      </c>
      <c r="DV115" s="138">
        <v>45575</v>
      </c>
      <c r="DW115" s="1097">
        <v>200</v>
      </c>
      <c r="DX115" s="1092">
        <v>-761.4</v>
      </c>
      <c r="DZ115" s="1093">
        <v>0</v>
      </c>
      <c r="EA115" s="1094">
        <v>0</v>
      </c>
      <c r="EB115" s="1092"/>
      <c r="EN115" s="138">
        <v>45506</v>
      </c>
      <c r="EO115" s="1097">
        <v>300</v>
      </c>
      <c r="EP115" s="1092">
        <v>-763.5</v>
      </c>
    </row>
    <row r="116" spans="1:146">
      <c r="B116" s="150" t="s">
        <v>827</v>
      </c>
      <c r="C116" t="s">
        <v>717</v>
      </c>
      <c r="D116" t="s">
        <v>828</v>
      </c>
      <c r="DJ116" s="971">
        <v>45856</v>
      </c>
      <c r="DK116" s="122">
        <v>200</v>
      </c>
      <c r="DL116" s="164">
        <v>-645.5</v>
      </c>
      <c r="DV116" s="138">
        <v>45506</v>
      </c>
      <c r="DW116" s="1097">
        <v>300</v>
      </c>
      <c r="DX116" s="1092">
        <v>-763.5</v>
      </c>
      <c r="DZ116" s="1093">
        <v>0</v>
      </c>
      <c r="EA116" s="1094">
        <v>0</v>
      </c>
      <c r="EB116" s="1092"/>
      <c r="EN116" s="138">
        <v>45495</v>
      </c>
      <c r="EO116" s="1097">
        <v>500</v>
      </c>
      <c r="EP116" s="1092">
        <v>-857.1</v>
      </c>
    </row>
    <row r="117" spans="1:146">
      <c r="B117" s="150" t="s">
        <v>829</v>
      </c>
      <c r="C117" t="s">
        <v>718</v>
      </c>
      <c r="D117" t="s">
        <v>830</v>
      </c>
      <c r="DJ117" s="971">
        <v>45860</v>
      </c>
      <c r="DK117" s="1097">
        <v>300</v>
      </c>
      <c r="DL117" s="1092">
        <v>-602.54999999999995</v>
      </c>
      <c r="DV117" s="138">
        <v>45531</v>
      </c>
      <c r="DW117" s="1097">
        <v>300</v>
      </c>
      <c r="DX117" s="1092">
        <v>-791.4</v>
      </c>
      <c r="DZ117" s="1093">
        <v>0</v>
      </c>
      <c r="EA117" s="1094">
        <v>0</v>
      </c>
      <c r="EN117" s="138">
        <v>45491</v>
      </c>
      <c r="EO117" s="1097">
        <v>500</v>
      </c>
      <c r="EP117" s="1092">
        <v>-860.48699999999997</v>
      </c>
    </row>
    <row r="118" spans="1:146">
      <c r="B118" s="150" t="s">
        <v>831</v>
      </c>
      <c r="C118" t="s">
        <v>719</v>
      </c>
      <c r="D118" t="s">
        <v>832</v>
      </c>
      <c r="DJ118" s="971">
        <v>45874</v>
      </c>
      <c r="DK118" s="122">
        <v>500</v>
      </c>
      <c r="DL118" s="164">
        <v>-599.29999999999995</v>
      </c>
      <c r="DV118" s="138">
        <v>45495</v>
      </c>
      <c r="DW118" s="1097">
        <v>500</v>
      </c>
      <c r="DX118" s="1092">
        <v>-857.1</v>
      </c>
      <c r="DZ118" s="1093">
        <v>0</v>
      </c>
      <c r="EA118" s="1094">
        <v>0</v>
      </c>
      <c r="EN118" s="138">
        <v>45490</v>
      </c>
      <c r="EO118" s="1097">
        <v>500</v>
      </c>
      <c r="EP118" s="1092">
        <v>-879.74199999999996</v>
      </c>
    </row>
    <row r="119" spans="1:146">
      <c r="B119" s="150" t="s">
        <v>721</v>
      </c>
      <c r="D119" t="s">
        <v>833</v>
      </c>
      <c r="DJ119" s="971">
        <v>45888</v>
      </c>
      <c r="DK119" s="1097">
        <v>500</v>
      </c>
      <c r="DL119" s="1092">
        <v>636.70000000000005</v>
      </c>
      <c r="DV119" s="138">
        <v>45491</v>
      </c>
      <c r="DW119" s="1097">
        <v>500</v>
      </c>
      <c r="DX119" s="1092">
        <v>-860.48699999999997</v>
      </c>
      <c r="DZ119" s="1093">
        <v>0</v>
      </c>
      <c r="EA119" s="1094">
        <v>0</v>
      </c>
      <c r="EN119" s="138">
        <v>45476</v>
      </c>
      <c r="EO119" s="1097">
        <v>510</v>
      </c>
      <c r="EP119" s="1092">
        <v>982.8</v>
      </c>
    </row>
    <row r="120" spans="1:146">
      <c r="B120" s="150" t="s">
        <v>834</v>
      </c>
      <c r="C120" t="s">
        <v>1018</v>
      </c>
      <c r="DJ120" s="971">
        <v>45895</v>
      </c>
      <c r="DK120" s="122">
        <v>500</v>
      </c>
      <c r="DL120" s="164">
        <v>646.20000000000005</v>
      </c>
      <c r="DV120" s="138">
        <v>45490</v>
      </c>
      <c r="DW120" s="1097">
        <v>500</v>
      </c>
      <c r="DX120" s="1092">
        <v>-879.74199999999996</v>
      </c>
      <c r="DZ120" s="1093">
        <v>0</v>
      </c>
      <c r="EA120" s="1094">
        <v>0</v>
      </c>
      <c r="EN120" s="138">
        <v>45468</v>
      </c>
      <c r="EO120" s="1097">
        <v>500</v>
      </c>
      <c r="EP120" s="1092">
        <v>-945</v>
      </c>
    </row>
    <row r="121" spans="1:146">
      <c r="B121" s="150" t="s">
        <v>835</v>
      </c>
      <c r="DJ121" s="138">
        <v>45902</v>
      </c>
      <c r="DK121" s="1097">
        <v>500</v>
      </c>
      <c r="DL121" s="794">
        <v>-622.20000000000005</v>
      </c>
      <c r="DV121" s="138">
        <v>40544</v>
      </c>
      <c r="DW121" s="1097">
        <v>500</v>
      </c>
      <c r="DX121" s="1092">
        <v>-896.1</v>
      </c>
      <c r="DZ121" s="1093">
        <v>0</v>
      </c>
      <c r="EA121" s="1094">
        <v>0</v>
      </c>
      <c r="EN121" s="138">
        <v>45453</v>
      </c>
      <c r="EO121" s="1097">
        <v>490</v>
      </c>
      <c r="EP121" s="1092">
        <v>954.5</v>
      </c>
    </row>
    <row r="122" spans="1:146">
      <c r="B122" s="150" t="s">
        <v>836</v>
      </c>
      <c r="DJ122" s="138">
        <v>45908</v>
      </c>
      <c r="DK122" s="122">
        <v>200</v>
      </c>
      <c r="DL122" s="794">
        <v>667.2</v>
      </c>
      <c r="DV122" s="138">
        <v>45468</v>
      </c>
      <c r="DW122" s="1097">
        <v>500</v>
      </c>
      <c r="DX122" s="1092">
        <v>-945</v>
      </c>
      <c r="DZ122" s="1093">
        <v>0</v>
      </c>
      <c r="EA122" s="1094">
        <v>0</v>
      </c>
      <c r="EN122" s="138">
        <v>40544</v>
      </c>
      <c r="EO122" s="1097">
        <v>500</v>
      </c>
      <c r="EP122" s="1092">
        <v>-896.1</v>
      </c>
    </row>
    <row r="123" spans="1:146">
      <c r="B123" s="150" t="s">
        <v>837</v>
      </c>
    </row>
    <row r="124" spans="1:146">
      <c r="B124" s="150" t="s">
        <v>838</v>
      </c>
    </row>
    <row r="126" spans="1:146">
      <c r="A126" t="s">
        <v>1663</v>
      </c>
    </row>
    <row r="127" spans="1:146">
      <c r="A127" s="447" t="s">
        <v>1664</v>
      </c>
      <c r="B127" s="447"/>
    </row>
    <row r="128" spans="1:146">
      <c r="A128" t="s">
        <v>2536</v>
      </c>
      <c r="B128" t="s">
        <v>2535</v>
      </c>
    </row>
    <row r="131" spans="1:2">
      <c r="A131" t="s">
        <v>2715</v>
      </c>
    </row>
    <row r="132" spans="1:2">
      <c r="B132" t="s">
        <v>2716</v>
      </c>
    </row>
    <row r="133" spans="1:2">
      <c r="B133" t="s">
        <v>2722</v>
      </c>
    </row>
    <row r="134" spans="1:2">
      <c r="B134" t="s">
        <v>2739</v>
      </c>
    </row>
    <row r="135" spans="1:2">
      <c r="B135" t="s">
        <v>2740</v>
      </c>
    </row>
  </sheetData>
  <pageMargins left="0.7" right="0.7" top="0.75" bottom="0.75" header="0.3" footer="0.3"/>
  <pageSetup paperSize="9" orientation="portrait" horizontalDpi="0" verticalDpi="0"/>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61B8D-C13C-0942-83C6-A7C4DBCB0E26}">
  <sheetPr codeName="Sheet9"/>
  <dimension ref="A1:J95"/>
  <sheetViews>
    <sheetView workbookViewId="0">
      <selection activeCell="B3" sqref="B3"/>
    </sheetView>
  </sheetViews>
  <sheetFormatPr baseColWidth="10" defaultRowHeight="22"/>
  <cols>
    <col min="7" max="7" width="13" customWidth="1"/>
    <col min="8" max="8" width="13.875" customWidth="1"/>
  </cols>
  <sheetData>
    <row r="1" spans="1:10">
      <c r="A1" t="s">
        <v>697</v>
      </c>
    </row>
    <row r="2" spans="1:10">
      <c r="A2" t="s">
        <v>188</v>
      </c>
      <c r="B2" t="s">
        <v>661</v>
      </c>
      <c r="C2" t="s">
        <v>195</v>
      </c>
      <c r="D2" t="s">
        <v>702</v>
      </c>
      <c r="E2" t="s">
        <v>177</v>
      </c>
      <c r="F2" t="s">
        <v>694</v>
      </c>
      <c r="G2" t="s">
        <v>1305</v>
      </c>
      <c r="H2" t="s">
        <v>1306</v>
      </c>
      <c r="I2" t="s">
        <v>1307</v>
      </c>
    </row>
    <row r="3" spans="1:10">
      <c r="A3" t="str">
        <f ca="1">TabCalc[[#This Row],[Ticker]]</f>
        <v>AAPL</v>
      </c>
      <c r="B3">
        <f>_xlfn.RANK.EQ(DataShift!AU105,DataShift!AB105:AU105)</f>
        <v>10</v>
      </c>
      <c r="C3">
        <f>_xlfn.RANK.EQ(DataShift!Y704,DataShift!F704:Y704)</f>
        <v>3</v>
      </c>
      <c r="D3" t="e">
        <f>_xlfn.RANK.EQ(DataShift!AU605,DataShift!AB605:AU605)</f>
        <v>#N/A</v>
      </c>
      <c r="G3">
        <f>_xlfn.RANK.EQ(DataShift!Y205,DataShift!F205:Y205)</f>
        <v>1</v>
      </c>
      <c r="H3">
        <f>_xlfn.RANK.AVG(DataShift!Y205,DataShift!F205:Y205)</f>
        <v>1</v>
      </c>
      <c r="I3" s="90">
        <f>_xlfn.PERCENTRANK.INC(DataShift!F205:Y205,DataShift!Y205)</f>
        <v>1</v>
      </c>
      <c r="J3" s="90"/>
    </row>
    <row r="4" spans="1:10">
      <c r="A4" t="str">
        <f ca="1">TabCalc[[#This Row],[Ticker]]</f>
        <v>ADEA</v>
      </c>
      <c r="B4">
        <f>_xlfn.RANK.EQ(DataShift!AU106,DataShift!AB106:AU106)</f>
        <v>15</v>
      </c>
      <c r="C4">
        <f>_xlfn.RANK.EQ(DataShift!Y705,DataShift!F705:Y705)</f>
        <v>3</v>
      </c>
      <c r="D4" t="e">
        <f>_xlfn.RANK.EQ(DataShift!AU606,DataShift!AB606:AU606)</f>
        <v>#N/A</v>
      </c>
      <c r="G4">
        <f>_xlfn.RANK.EQ(DataShift!Y206,DataShift!F206:Y206)</f>
        <v>4</v>
      </c>
      <c r="H4">
        <f>_xlfn.RANK.AVG(DataShift!Y206,DataShift!F206:Y206)</f>
        <v>4</v>
      </c>
      <c r="I4" s="90">
        <f>_xlfn.PERCENTRANK.INC(DataShift!F206:Y206,DataShift!Y206)</f>
        <v>0.84199999999999997</v>
      </c>
    </row>
    <row r="5" spans="1:10">
      <c r="A5" t="str">
        <f ca="1">TabCalc[[#This Row],[Ticker]]</f>
        <v>AET</v>
      </c>
      <c r="B5">
        <f>_xlfn.RANK.EQ(DataShift!AU107,DataShift!AB107:AU107)</f>
        <v>19</v>
      </c>
      <c r="C5">
        <f>_xlfn.RANK.EQ(DataShift!Y706,DataShift!F706:Y706)</f>
        <v>2</v>
      </c>
      <c r="D5" t="e">
        <f>_xlfn.RANK.EQ(DataShift!AU607,DataShift!AB607:AU607)</f>
        <v>#N/A</v>
      </c>
      <c r="G5">
        <f>_xlfn.RANK.EQ(DataShift!Y207,DataShift!F207:Y207)</f>
        <v>8</v>
      </c>
      <c r="H5">
        <f>_xlfn.RANK.AVG(DataShift!Y207,DataShift!F207:Y207)</f>
        <v>8</v>
      </c>
      <c r="I5" s="90">
        <f>_xlfn.PERCENTRANK.INC(DataShift!F207:Y207,DataShift!Y207)</f>
        <v>0.63100000000000001</v>
      </c>
    </row>
    <row r="6" spans="1:10">
      <c r="A6" t="str">
        <f ca="1">TabCalc[[#This Row],[Ticker]]</f>
        <v>AMZN</v>
      </c>
      <c r="B6">
        <f>_xlfn.RANK.EQ(DataShift!AU108,DataShift!AB108:AU108)</f>
        <v>13</v>
      </c>
      <c r="C6">
        <f>_xlfn.RANK.EQ(DataShift!Y707,DataShift!F707:Y707)</f>
        <v>6</v>
      </c>
      <c r="D6" t="e">
        <f>_xlfn.RANK.EQ(DataShift!AU608,DataShift!AB608:AU608)</f>
        <v>#N/A</v>
      </c>
      <c r="G6">
        <f>_xlfn.RANK.EQ(DataShift!Y208,DataShift!F208:Y208)</f>
        <v>4</v>
      </c>
      <c r="H6">
        <f>_xlfn.RANK.AVG(DataShift!Y208,DataShift!F208:Y208)</f>
        <v>4</v>
      </c>
      <c r="I6" s="90">
        <f>_xlfn.PERCENTRANK.INC(DataShift!F208:Y208,DataShift!Y208)</f>
        <v>0.84199999999999997</v>
      </c>
    </row>
    <row r="7" spans="1:10">
      <c r="A7" t="str">
        <f ca="1">TabCalc[[#This Row],[Ticker]]</f>
        <v>ALDNE</v>
      </c>
      <c r="B7">
        <f>_xlfn.RANK.EQ(DataShift!AU109,DataShift!AB109:AU109)</f>
        <v>5</v>
      </c>
      <c r="C7">
        <f>_xlfn.RANK.EQ(DataShift!Y708,DataShift!F708:Y708)</f>
        <v>19</v>
      </c>
      <c r="D7" t="e">
        <f>_xlfn.RANK.EQ(DataShift!AU609,DataShift!AB609:AU609)</f>
        <v>#N/A</v>
      </c>
      <c r="G7">
        <f>_xlfn.RANK.EQ(DataShift!Y209,DataShift!F209:Y209)</f>
        <v>16</v>
      </c>
      <c r="H7">
        <f>_xlfn.RANK.AVG(DataShift!Y209,DataShift!F209:Y209)</f>
        <v>16</v>
      </c>
      <c r="I7" s="90">
        <f>_xlfn.PERCENTRANK.INC(DataShift!F209:Y209,DataShift!Y209)</f>
        <v>0.21</v>
      </c>
    </row>
    <row r="8" spans="1:10">
      <c r="A8" t="str">
        <f ca="1">TabCalc[[#This Row],[Ticker]]</f>
        <v>ASML</v>
      </c>
      <c r="B8">
        <f>_xlfn.RANK.EQ(DataShift!AU110,DataShift!AB110:AU110)</f>
        <v>17</v>
      </c>
      <c r="C8">
        <f>_xlfn.RANK.EQ(DataShift!Y709,DataShift!F709:Y709)</f>
        <v>8</v>
      </c>
      <c r="D8" t="e">
        <f>_xlfn.RANK.EQ(DataShift!AU610,DataShift!AB610:AU610)</f>
        <v>#N/A</v>
      </c>
      <c r="G8">
        <f>_xlfn.RANK.EQ(DataShift!Y210,DataShift!F210:Y210)</f>
        <v>2</v>
      </c>
      <c r="H8">
        <f>_xlfn.RANK.AVG(DataShift!Y210,DataShift!F210:Y210)</f>
        <v>2</v>
      </c>
      <c r="I8" s="90">
        <f>_xlfn.PERCENTRANK.INC(DataShift!F210:Y210,DataShift!Y210)</f>
        <v>0.94699999999999995</v>
      </c>
    </row>
    <row r="9" spans="1:10" hidden="1">
      <c r="A9" t="str">
        <f ca="1">TabCalc[[#This Row],[Ticker]]</f>
        <v>AZN</v>
      </c>
      <c r="B9">
        <f>_xlfn.RANK.EQ(DataShift!AU112,DataShift!AB112:AU112)</f>
        <v>18</v>
      </c>
      <c r="C9">
        <f>_xlfn.RANK.EQ(DataShift!Y711,DataShift!F711:Y711)</f>
        <v>12</v>
      </c>
      <c r="D9" t="e">
        <f>_xlfn.RANK.EQ(DataShift!AU612,DataShift!AB612:AU612)</f>
        <v>#N/A</v>
      </c>
      <c r="G9">
        <f>_xlfn.RANK.EQ(DataShift!Y212,DataShift!F212:Y212)</f>
        <v>17</v>
      </c>
      <c r="H9">
        <f>_xlfn.RANK.AVG(DataShift!Y212,DataShift!F212:Y212)</f>
        <v>17</v>
      </c>
      <c r="I9" s="90">
        <f>_xlfn.PERCENTRANK.INC(DataShift!F212:Y212,DataShift!Y212)</f>
        <v>0.157</v>
      </c>
    </row>
    <row r="10" spans="1:10" hidden="1">
      <c r="A10" t="str">
        <f ca="1">TabCalc[[#This Row],[Ticker]]</f>
        <v>BLDP</v>
      </c>
      <c r="B10">
        <f>_xlfn.RANK.EQ(DataShift!AU113,DataShift!AB113:AU113)</f>
        <v>18</v>
      </c>
      <c r="C10">
        <f>_xlfn.RANK.EQ(DataShift!Y712,DataShift!F712:Y712)</f>
        <v>5</v>
      </c>
      <c r="D10" t="e">
        <f>_xlfn.RANK.EQ(DataShift!AU613,DataShift!AB613:AU613)</f>
        <v>#N/A</v>
      </c>
      <c r="G10">
        <f>_xlfn.RANK.EQ(DataShift!Y213,DataShift!F213:Y213)</f>
        <v>12</v>
      </c>
      <c r="H10">
        <f>_xlfn.RANK.AVG(DataShift!Y213,DataShift!F213:Y213)</f>
        <v>12</v>
      </c>
      <c r="I10" s="90">
        <f>_xlfn.PERCENTRANK.INC(DataShift!F213:Y213,DataShift!Y213)</f>
        <v>0.42099999999999999</v>
      </c>
    </row>
    <row r="11" spans="1:10" hidden="1">
      <c r="A11" t="str">
        <f ca="1">TabCalc[[#This Row],[Ticker]]</f>
        <v>BMRA</v>
      </c>
      <c r="B11">
        <f>_xlfn.RANK.EQ(DataShift!AU114,DataShift!AB114:AU114)</f>
        <v>13</v>
      </c>
      <c r="C11">
        <f>_xlfn.RANK.EQ(DataShift!Y713,DataShift!F713:Y713)</f>
        <v>7</v>
      </c>
      <c r="D11" t="e">
        <f>_xlfn.RANK.EQ(DataShift!AU614,DataShift!AB614:AU614)</f>
        <v>#N/A</v>
      </c>
      <c r="G11">
        <f>_xlfn.RANK.EQ(DataShift!Y214,DataShift!F214:Y214)</f>
        <v>5</v>
      </c>
      <c r="H11">
        <f>_xlfn.RANK.AVG(DataShift!Y214,DataShift!F214:Y214)</f>
        <v>5</v>
      </c>
      <c r="I11" s="90">
        <f>_xlfn.PERCENTRANK.INC(DataShift!F214:Y214,DataShift!Y214)</f>
        <v>0.78900000000000003</v>
      </c>
    </row>
    <row r="12" spans="1:10" hidden="1">
      <c r="A12" t="str">
        <f ca="1">TabCalc[[#This Row],[Ticker]]</f>
        <v>C</v>
      </c>
      <c r="B12">
        <f>_xlfn.RANK.EQ(DataShift!AU115,DataShift!AB115:AU115)</f>
        <v>13</v>
      </c>
      <c r="C12">
        <f>_xlfn.RANK.EQ(DataShift!Y714,DataShift!F714:Y714)</f>
        <v>4</v>
      </c>
      <c r="D12" t="e">
        <f>_xlfn.RANK.EQ(DataShift!AU615,DataShift!AB615:AU615)</f>
        <v>#N/A</v>
      </c>
      <c r="G12">
        <f>_xlfn.RANK.EQ(DataShift!Y215,DataShift!F215:Y215)</f>
        <v>6</v>
      </c>
      <c r="H12">
        <f>_xlfn.RANK.AVG(DataShift!Y215,DataShift!F215:Y215)</f>
        <v>6</v>
      </c>
      <c r="I12" s="90">
        <f>_xlfn.PERCENTRANK.INC(DataShift!F215:Y215,DataShift!Y215)</f>
        <v>0.73599999999999999</v>
      </c>
    </row>
    <row r="13" spans="1:10" hidden="1">
      <c r="A13" t="str">
        <f ca="1">TabCalc[[#This Row],[Ticker]]</f>
        <v>CSCO</v>
      </c>
      <c r="B13">
        <f>_xlfn.RANK.EQ(DataShift!AU116,DataShift!AB116:AU116)</f>
        <v>15</v>
      </c>
      <c r="C13">
        <f>_xlfn.RANK.EQ(DataShift!Y715,DataShift!F715:Y715)</f>
        <v>7</v>
      </c>
      <c r="D13" t="e">
        <f>_xlfn.RANK.EQ(DataShift!AU616,DataShift!AB616:AU616)</f>
        <v>#N/A</v>
      </c>
      <c r="G13">
        <f>_xlfn.RANK.EQ(DataShift!Y216,DataShift!F216:Y216)</f>
        <v>5</v>
      </c>
      <c r="H13">
        <f>_xlfn.RANK.AVG(DataShift!Y216,DataShift!F216:Y216)</f>
        <v>5</v>
      </c>
      <c r="I13" s="90">
        <f>_xlfn.PERCENTRANK.INC(DataShift!F216:Y216,DataShift!Y216)</f>
        <v>0.78900000000000003</v>
      </c>
    </row>
    <row r="14" spans="1:10" hidden="1">
      <c r="A14" t="str">
        <f ca="1">TabCalc[[#This Row],[Ticker]]</f>
        <v>CVS</v>
      </c>
      <c r="B14">
        <f>_xlfn.RANK.EQ(DataShift!AU117,DataShift!AB117:AU117)</f>
        <v>14</v>
      </c>
      <c r="C14">
        <f>_xlfn.RANK.EQ(DataShift!Y716,DataShift!F716:Y716)</f>
        <v>5</v>
      </c>
      <c r="D14" t="e">
        <f>_xlfn.RANK.EQ(DataShift!AU617,DataShift!AB617:AU617)</f>
        <v>#N/A</v>
      </c>
      <c r="G14">
        <f>_xlfn.RANK.EQ(DataShift!Y217,DataShift!F217:Y217)</f>
        <v>6</v>
      </c>
      <c r="H14">
        <f>_xlfn.RANK.AVG(DataShift!Y217,DataShift!F217:Y217)</f>
        <v>6</v>
      </c>
      <c r="I14" s="90">
        <f>_xlfn.PERCENTRANK.INC(DataShift!F217:Y217,DataShift!Y217)</f>
        <v>0.73599999999999999</v>
      </c>
    </row>
    <row r="15" spans="1:10" hidden="1">
      <c r="A15" t="str">
        <f ca="1">TabCalc[[#This Row],[Ticker]]</f>
        <v>DDD</v>
      </c>
      <c r="B15">
        <f>_xlfn.RANK.EQ(DataShift!AU118,DataShift!AB118:AU118)</f>
        <v>16</v>
      </c>
      <c r="C15">
        <f>_xlfn.RANK.EQ(DataShift!Y717,DataShift!F717:Y717)</f>
        <v>8</v>
      </c>
      <c r="D15" t="e">
        <f>_xlfn.RANK.EQ(DataShift!AU618,DataShift!AB618:AU618)</f>
        <v>#N/A</v>
      </c>
      <c r="G15">
        <f>_xlfn.RANK.EQ(DataShift!Y218,DataShift!F218:Y218)</f>
        <v>9</v>
      </c>
      <c r="H15">
        <f>_xlfn.RANK.AVG(DataShift!Y218,DataShift!F218:Y218)</f>
        <v>9</v>
      </c>
      <c r="I15" s="90">
        <f>_xlfn.PERCENTRANK.INC(DataShift!F218:Y218,DataShift!Y218)</f>
        <v>0.57799999999999996</v>
      </c>
    </row>
    <row r="16" spans="1:10" hidden="1">
      <c r="A16" t="str">
        <f ca="1">TabCalc[[#This Row],[Ticker]]</f>
        <v>DIS</v>
      </c>
      <c r="B16">
        <f>_xlfn.RANK.EQ(DataShift!AU119,DataShift!AB119:AU119)</f>
        <v>16</v>
      </c>
      <c r="C16">
        <f>_xlfn.RANK.EQ(DataShift!Y718,DataShift!F718:Y718)</f>
        <v>18</v>
      </c>
      <c r="D16" t="e">
        <f>_xlfn.RANK.EQ(DataShift!AU619,DataShift!AB619:AU619)</f>
        <v>#N/A</v>
      </c>
      <c r="G16">
        <f>_xlfn.RANK.EQ(DataShift!Y219,DataShift!F219:Y219)</f>
        <v>14</v>
      </c>
      <c r="H16">
        <f>_xlfn.RANK.AVG(DataShift!Y219,DataShift!F219:Y219)</f>
        <v>14</v>
      </c>
      <c r="I16" s="90">
        <f>_xlfn.PERCENTRANK.INC(DataShift!F219:Y219,DataShift!Y219)</f>
        <v>0.315</v>
      </c>
    </row>
    <row r="17" spans="1:9" hidden="1">
      <c r="A17" t="str">
        <f ca="1">TabCalc[[#This Row],[Ticker]]</f>
        <v>DSY</v>
      </c>
      <c r="B17">
        <f>_xlfn.RANK.EQ(DataShift!AU120,DataShift!AB120:AU120)</f>
        <v>2</v>
      </c>
      <c r="C17">
        <f>_xlfn.RANK.EQ(DataShift!Y719,DataShift!F719:Y719)</f>
        <v>19</v>
      </c>
      <c r="D17" t="e">
        <f>_xlfn.RANK.EQ(DataShift!AU620,DataShift!AB620:AU620)</f>
        <v>#N/A</v>
      </c>
      <c r="G17">
        <f>_xlfn.RANK.EQ(DataShift!Y220,DataShift!F220:Y220)</f>
        <v>20</v>
      </c>
      <c r="H17">
        <f>_xlfn.RANK.AVG(DataShift!Y220,DataShift!F220:Y220)</f>
        <v>20</v>
      </c>
      <c r="I17" s="90">
        <f>_xlfn.PERCENTRANK.INC(DataShift!F220:Y220,DataShift!Y220)</f>
        <v>0</v>
      </c>
    </row>
    <row r="18" spans="1:9" hidden="1">
      <c r="A18" t="str">
        <f ca="1">TabCalc[[#This Row],[Ticker]]</f>
        <v>DVA</v>
      </c>
      <c r="B18">
        <f>_xlfn.RANK.EQ(DataShift!AU121,DataShift!AB121:AU121)</f>
        <v>1</v>
      </c>
      <c r="C18">
        <f>_xlfn.RANK.EQ(DataShift!Y720,DataShift!F720:Y720)</f>
        <v>5</v>
      </c>
      <c r="D18" t="e">
        <f>_xlfn.RANK.EQ(DataShift!AU621,DataShift!AB621:AU621)</f>
        <v>#N/A</v>
      </c>
      <c r="G18">
        <f>_xlfn.RANK.EQ(DataShift!Y221,DataShift!F221:Y221)</f>
        <v>7</v>
      </c>
      <c r="H18">
        <f>_xlfn.RANK.AVG(DataShift!Y221,DataShift!F221:Y221)</f>
        <v>7</v>
      </c>
      <c r="I18" s="90">
        <f>_xlfn.PERCENTRANK.INC(DataShift!F221:Y221,DataShift!Y221)</f>
        <v>0.68400000000000005</v>
      </c>
    </row>
    <row r="19" spans="1:9" hidden="1">
      <c r="A19" t="str">
        <f ca="1">TabCalc[[#This Row],[Ticker]]</f>
        <v>DXC</v>
      </c>
      <c r="B19">
        <f>_xlfn.RANK.EQ(DataShift!AU122,DataShift!AB122:AU122)</f>
        <v>12</v>
      </c>
      <c r="C19">
        <f>_xlfn.RANK.EQ(DataShift!Y721,DataShift!F721:Y721)</f>
        <v>6</v>
      </c>
      <c r="D19" t="e">
        <f>_xlfn.RANK.EQ(DataShift!AU622,DataShift!AB622:AU622)</f>
        <v>#N/A</v>
      </c>
      <c r="G19">
        <f>_xlfn.RANK.EQ(DataShift!Y222,DataShift!F222:Y222)</f>
        <v>8</v>
      </c>
      <c r="H19">
        <f>_xlfn.RANK.AVG(DataShift!Y222,DataShift!F222:Y222)</f>
        <v>8</v>
      </c>
      <c r="I19" s="90">
        <f>_xlfn.PERCENTRANK.INC(DataShift!F222:Y222,DataShift!Y222)</f>
        <v>0.63100000000000001</v>
      </c>
    </row>
    <row r="20" spans="1:9" hidden="1">
      <c r="A20" t="str">
        <f ca="1">TabCalc[[#This Row],[Ticker]]</f>
        <v>EOAN</v>
      </c>
      <c r="B20">
        <f>_xlfn.RANK.EQ(DataShift!AU123,DataShift!AB123:AU123)</f>
        <v>16</v>
      </c>
      <c r="C20">
        <f>_xlfn.RANK.EQ(DataShift!Y722,DataShift!F722:Y722)</f>
        <v>6</v>
      </c>
      <c r="D20" t="e">
        <f>_xlfn.RANK.EQ(DataShift!AU623,DataShift!AB623:AU623)</f>
        <v>#N/A</v>
      </c>
      <c r="G20">
        <f>_xlfn.RANK.EQ(DataShift!Y223,DataShift!F223:Y223)</f>
        <v>17</v>
      </c>
      <c r="H20">
        <f>_xlfn.RANK.AVG(DataShift!Y223,DataShift!F223:Y223)</f>
        <v>17</v>
      </c>
      <c r="I20" s="90">
        <f>_xlfn.PERCENTRANK.INC(DataShift!F223:Y223,DataShift!Y223)</f>
        <v>0.157</v>
      </c>
    </row>
    <row r="21" spans="1:9" hidden="1">
      <c r="A21" t="str">
        <f ca="1">TabCalc[[#This Row],[Ticker]]</f>
        <v>EPIX</v>
      </c>
      <c r="B21">
        <f>_xlfn.RANK.EQ(DataShift!AU124,DataShift!AB124:AU124)</f>
        <v>2</v>
      </c>
      <c r="C21">
        <f>_xlfn.RANK.EQ(DataShift!Y723,DataShift!F723:Y723)</f>
        <v>4</v>
      </c>
      <c r="D21" t="e">
        <f>_xlfn.RANK.EQ(DataShift!AU624,DataShift!AB624:AU624)</f>
        <v>#N/A</v>
      </c>
      <c r="G21">
        <f>_xlfn.RANK.EQ(DataShift!Y224,DataShift!F224:Y224)</f>
        <v>5</v>
      </c>
      <c r="H21">
        <f>_xlfn.RANK.AVG(DataShift!Y224,DataShift!F224:Y224)</f>
        <v>11.5</v>
      </c>
      <c r="I21" s="90">
        <f>_xlfn.PERCENTRANK.INC(DataShift!F224:Y224,DataShift!Y224)</f>
        <v>0.105</v>
      </c>
    </row>
    <row r="22" spans="1:9" hidden="1">
      <c r="A22" t="str">
        <f ca="1">TabCalc[[#This Row],[Ticker]]</f>
        <v>GM</v>
      </c>
      <c r="B22">
        <f>_xlfn.RANK.EQ(DataShift!AU125,DataShift!AB125:AU125)</f>
        <v>9</v>
      </c>
      <c r="C22">
        <f>_xlfn.RANK.EQ(DataShift!Y724,DataShift!F724:Y724)</f>
        <v>2</v>
      </c>
      <c r="D22" t="e">
        <f>_xlfn.RANK.EQ(DataShift!AU625,DataShift!AB625:AU625)</f>
        <v>#N/A</v>
      </c>
      <c r="G22">
        <f>_xlfn.RANK.EQ(DataShift!Y225,DataShift!F225:Y225)</f>
        <v>1</v>
      </c>
      <c r="H22">
        <f>_xlfn.RANK.AVG(DataShift!Y225,DataShift!F225:Y225)</f>
        <v>1</v>
      </c>
      <c r="I22" s="90">
        <f>_xlfn.PERCENTRANK.INC(DataShift!F225:Y225,DataShift!Y225)</f>
        <v>1</v>
      </c>
    </row>
    <row r="23" spans="1:9" hidden="1">
      <c r="A23" t="str">
        <f ca="1">TabCalc[[#This Row],[Ticker]]</f>
        <v>HPE</v>
      </c>
      <c r="B23">
        <f>_xlfn.RANK.EQ(DataShift!AU126,DataShift!AB126:AU126)</f>
        <v>18</v>
      </c>
      <c r="C23">
        <f>_xlfn.RANK.EQ(DataShift!Y725,DataShift!F725:Y725)</f>
        <v>8</v>
      </c>
      <c r="D23" t="e">
        <f>_xlfn.RANK.EQ(DataShift!AU626,DataShift!AB626:AU626)</f>
        <v>#N/A</v>
      </c>
      <c r="G23">
        <f>_xlfn.RANK.EQ(DataShift!Y226,DataShift!F226:Y226)</f>
        <v>13</v>
      </c>
      <c r="H23">
        <f>_xlfn.RANK.AVG(DataShift!Y226,DataShift!F226:Y226)</f>
        <v>13</v>
      </c>
      <c r="I23" s="90">
        <f>_xlfn.PERCENTRANK.INC(DataShift!F226:Y226,DataShift!Y226)</f>
        <v>0.36799999999999999</v>
      </c>
    </row>
    <row r="24" spans="1:9" hidden="1">
      <c r="A24" t="str">
        <f ca="1">TabCalc[[#This Row],[Ticker]]</f>
        <v>HPQ</v>
      </c>
      <c r="B24">
        <f>_xlfn.RANK.EQ(DataShift!AU127,DataShift!AB127:AU127)</f>
        <v>16</v>
      </c>
      <c r="C24">
        <f>_xlfn.RANK.EQ(DataShift!Y726,DataShift!F726:Y726)</f>
        <v>15</v>
      </c>
      <c r="D24" t="e">
        <f>_xlfn.RANK.EQ(DataShift!AU627,DataShift!AB627:AU627)</f>
        <v>#N/A</v>
      </c>
      <c r="G24">
        <f>_xlfn.RANK.EQ(DataShift!Y227,DataShift!F227:Y227)</f>
        <v>5</v>
      </c>
      <c r="H24">
        <f>_xlfn.RANK.AVG(DataShift!Y227,DataShift!F227:Y227)</f>
        <v>6</v>
      </c>
      <c r="I24" s="90">
        <f>_xlfn.PERCENTRANK.INC(DataShift!F227:Y227,DataShift!Y227)</f>
        <v>0.68400000000000005</v>
      </c>
    </row>
    <row r="25" spans="1:9" hidden="1">
      <c r="A25" t="str">
        <f ca="1">TabCalc[[#This Row],[Ticker]]</f>
        <v>IAG</v>
      </c>
      <c r="B25">
        <f>_xlfn.RANK.EQ(DataShift!AU128,DataShift!AB128:AU128)</f>
        <v>5</v>
      </c>
      <c r="C25">
        <f>_xlfn.RANK.EQ(DataShift!Y727,DataShift!F727:Y727)</f>
        <v>6</v>
      </c>
      <c r="D25" t="e">
        <f>_xlfn.RANK.EQ(DataShift!AU628,DataShift!AB628:AU628)</f>
        <v>#N/A</v>
      </c>
      <c r="G25">
        <f>_xlfn.RANK.EQ(DataShift!Y228,DataShift!F228:Y228)</f>
        <v>2</v>
      </c>
      <c r="H25">
        <f>_xlfn.RANK.AVG(DataShift!Y228,DataShift!F228:Y228)</f>
        <v>2</v>
      </c>
      <c r="I25" s="90">
        <f>_xlfn.PERCENTRANK.INC(DataShift!F228:Y228,DataShift!Y228)</f>
        <v>0.94699999999999995</v>
      </c>
    </row>
    <row r="26" spans="1:9" hidden="1">
      <c r="A26" t="str">
        <f ca="1">TabCalc[[#This Row],[Ticker]]</f>
        <v>KR</v>
      </c>
      <c r="B26">
        <f>_xlfn.RANK.EQ(DataShift!AU129,DataShift!AB129:AU129)</f>
        <v>5</v>
      </c>
      <c r="C26">
        <f>_xlfn.RANK.EQ(DataShift!Y728,DataShift!F728:Y728)</f>
        <v>20</v>
      </c>
      <c r="D26" t="e">
        <f>_xlfn.RANK.EQ(DataShift!AU629,DataShift!AB629:AU629)</f>
        <v>#N/A</v>
      </c>
      <c r="G26">
        <f>_xlfn.RANK.EQ(DataShift!Y229,DataShift!F229:Y229)</f>
        <v>15</v>
      </c>
      <c r="H26">
        <f>_xlfn.RANK.AVG(DataShift!Y229,DataShift!F229:Y229)</f>
        <v>15</v>
      </c>
      <c r="I26" s="90">
        <f>_xlfn.PERCENTRANK.INC(DataShift!F229:Y229,DataShift!Y229)</f>
        <v>0.26300000000000001</v>
      </c>
    </row>
    <row r="27" spans="1:9" hidden="1">
      <c r="A27" t="str">
        <f ca="1">TabCalc[[#This Row],[Ticker]]</f>
        <v>LNSR</v>
      </c>
      <c r="B27">
        <f>_xlfn.RANK.EQ(DataShift!AU130,DataShift!AB130:AU130)</f>
        <v>8</v>
      </c>
      <c r="C27">
        <f>_xlfn.RANK.EQ(DataShift!Y729,DataShift!F729:Y729)</f>
        <v>9</v>
      </c>
      <c r="D27" t="e">
        <f>_xlfn.RANK.EQ(DataShift!AU630,DataShift!AB630:AU630)</f>
        <v>#N/A</v>
      </c>
      <c r="G27">
        <f>_xlfn.RANK.EQ(DataShift!Y230,DataShift!F230:Y230)</f>
        <v>16</v>
      </c>
      <c r="H27">
        <f>_xlfn.RANK.AVG(DataShift!Y230,DataShift!F230:Y230)</f>
        <v>16.5</v>
      </c>
      <c r="I27" s="90">
        <f>_xlfn.PERCENTRANK.INC(DataShift!F230:Y230,DataShift!Y230)</f>
        <v>0.157</v>
      </c>
    </row>
    <row r="28" spans="1:9" hidden="1">
      <c r="A28" t="str">
        <f ca="1">TabCalc[[#This Row],[Ticker]]</f>
        <v>LUMN</v>
      </c>
      <c r="B28">
        <f>_xlfn.RANK.EQ(DataShift!AU131,DataShift!AB131:AU131)</f>
        <v>2</v>
      </c>
      <c r="C28">
        <f>_xlfn.RANK.EQ(DataShift!Y730,DataShift!F730:Y730)</f>
        <v>5</v>
      </c>
      <c r="D28" t="e">
        <f>_xlfn.RANK.EQ(DataShift!AU631,DataShift!AB631:AU631)</f>
        <v>#N/A</v>
      </c>
      <c r="G28">
        <f>_xlfn.RANK.EQ(DataShift!Y231,DataShift!F231:Y231)</f>
        <v>1</v>
      </c>
      <c r="H28">
        <f>_xlfn.RANK.AVG(DataShift!Y231,DataShift!F231:Y231)</f>
        <v>1</v>
      </c>
      <c r="I28" s="90">
        <f>_xlfn.PERCENTRANK.INC(DataShift!F231:Y231,DataShift!Y231)</f>
        <v>1</v>
      </c>
    </row>
    <row r="29" spans="1:9" hidden="1">
      <c r="A29" t="str">
        <f ca="1">TabCalc[[#This Row],[Ticker]]</f>
        <v>MRNA</v>
      </c>
      <c r="B29">
        <f>_xlfn.RANK.EQ(DataShift!AU132,DataShift!AB132:AU132)</f>
        <v>13</v>
      </c>
      <c r="C29">
        <f>_xlfn.RANK.EQ(DataShift!Y731,DataShift!F731:Y731)</f>
        <v>8</v>
      </c>
      <c r="D29" t="e">
        <f>_xlfn.RANK.EQ(DataShift!AU632,DataShift!AB632:AU632)</f>
        <v>#N/A</v>
      </c>
      <c r="G29">
        <f>_xlfn.RANK.EQ(DataShift!Y232,DataShift!F232:Y232)</f>
        <v>14</v>
      </c>
      <c r="H29">
        <f>_xlfn.RANK.AVG(DataShift!Y232,DataShift!F232:Y232)</f>
        <v>14.5</v>
      </c>
      <c r="I29" s="90">
        <f>_xlfn.PERCENTRANK.INC(DataShift!F232:Y232,DataShift!Y232)</f>
        <v>0.26300000000000001</v>
      </c>
    </row>
    <row r="30" spans="1:9" hidden="1">
      <c r="A30" t="str">
        <f ca="1">TabCalc[[#This Row],[Ticker]]</f>
        <v>MSFT</v>
      </c>
      <c r="B30">
        <f>_xlfn.RANK.EQ(DataShift!AU133,DataShift!AB133:AU133)</f>
        <v>8</v>
      </c>
      <c r="C30">
        <f>_xlfn.RANK.EQ(DataShift!Y732,DataShift!F732:Y732)</f>
        <v>5</v>
      </c>
      <c r="D30" t="e">
        <f>_xlfn.RANK.EQ(DataShift!AU633,DataShift!AB633:AU633)</f>
        <v>#N/A</v>
      </c>
      <c r="G30">
        <f>_xlfn.RANK.EQ(DataShift!Y233,DataShift!F233:Y233)</f>
        <v>3</v>
      </c>
      <c r="H30">
        <f>_xlfn.RANK.AVG(DataShift!Y233,DataShift!F233:Y233)</f>
        <v>3</v>
      </c>
      <c r="I30" s="90">
        <f>_xlfn.PERCENTRANK.INC(DataShift!F233:Y233,DataShift!Y233)</f>
        <v>0.89400000000000002</v>
      </c>
    </row>
    <row r="31" spans="1:9" hidden="1">
      <c r="A31" t="str">
        <f ca="1">TabCalc[[#This Row],[Ticker]]</f>
        <v>NEE</v>
      </c>
      <c r="B31">
        <f>_xlfn.RANK.EQ(DataShift!AU134,DataShift!AB134:AU134)</f>
        <v>16</v>
      </c>
      <c r="C31">
        <f>_xlfn.RANK.EQ(DataShift!Y733,DataShift!F733:Y733)</f>
        <v>4</v>
      </c>
      <c r="D31" t="e">
        <f>_xlfn.RANK.EQ(DataShift!AU634,DataShift!AB634:AU634)</f>
        <v>#N/A</v>
      </c>
      <c r="G31">
        <f>_xlfn.RANK.EQ(DataShift!Y234,DataShift!F234:Y234)</f>
        <v>6</v>
      </c>
      <c r="H31">
        <f>_xlfn.RANK.AVG(DataShift!Y234,DataShift!F234:Y234)</f>
        <v>6</v>
      </c>
      <c r="I31" s="90">
        <f>_xlfn.PERCENTRANK.INC(DataShift!F234:Y234,DataShift!Y234)</f>
        <v>0.73599999999999999</v>
      </c>
    </row>
    <row r="32" spans="1:9" hidden="1">
      <c r="A32" t="str">
        <f ca="1">TabCalc[[#This Row],[Ticker]]</f>
        <v>NEM</v>
      </c>
      <c r="B32">
        <f>_xlfn.RANK.EQ(DataShift!AU135,DataShift!AB135:AU135)</f>
        <v>2</v>
      </c>
      <c r="C32">
        <f>_xlfn.RANK.EQ(DataShift!Y734,DataShift!F734:Y734)</f>
        <v>18</v>
      </c>
      <c r="D32" t="e">
        <f>_xlfn.RANK.EQ(DataShift!AU635,DataShift!AB635:AU635)</f>
        <v>#N/A</v>
      </c>
      <c r="G32">
        <f>_xlfn.RANK.EQ(DataShift!Y235,DataShift!F235:Y235)</f>
        <v>20</v>
      </c>
      <c r="H32">
        <f>_xlfn.RANK.AVG(DataShift!Y235,DataShift!F235:Y235)</f>
        <v>20</v>
      </c>
      <c r="I32" s="90">
        <f>_xlfn.PERCENTRANK.INC(DataShift!F235:Y235,DataShift!Y235)</f>
        <v>0</v>
      </c>
    </row>
    <row r="33" spans="1:9" hidden="1">
      <c r="A33" t="str">
        <f ca="1">TabCalc[[#This Row],[Ticker]]</f>
        <v>NFLX</v>
      </c>
      <c r="B33">
        <f>_xlfn.RANK.EQ(DataShift!AU136,DataShift!AB136:AU136)</f>
        <v>6</v>
      </c>
      <c r="C33">
        <f>_xlfn.RANK.EQ(DataShift!Y735,DataShift!F735:Y735)</f>
        <v>17</v>
      </c>
      <c r="D33" t="e">
        <f>_xlfn.RANK.EQ(DataShift!AU636,DataShift!AB636:AU636)</f>
        <v>#N/A</v>
      </c>
      <c r="G33">
        <f>_xlfn.RANK.EQ(DataShift!Y236,DataShift!F236:Y236)</f>
        <v>20</v>
      </c>
      <c r="H33">
        <f>_xlfn.RANK.AVG(DataShift!Y236,DataShift!F236:Y236)</f>
        <v>20</v>
      </c>
      <c r="I33" s="90">
        <f>_xlfn.PERCENTRANK.INC(DataShift!F236:Y236,DataShift!Y236)</f>
        <v>0</v>
      </c>
    </row>
    <row r="34" spans="1:9" hidden="1">
      <c r="A34" t="str">
        <f ca="1">TabCalc[[#This Row],[Ticker]]</f>
        <v>NOTE</v>
      </c>
      <c r="B34">
        <f>_xlfn.RANK.EQ(DataShift!AU137,DataShift!AB137:AU137)</f>
        <v>11</v>
      </c>
      <c r="C34">
        <f>_xlfn.RANK.EQ(DataShift!Y736,DataShift!F736:Y736)</f>
        <v>14</v>
      </c>
      <c r="D34" t="e">
        <f>_xlfn.RANK.EQ(DataShift!AU637,DataShift!AB637:AU637)</f>
        <v>#N/A</v>
      </c>
      <c r="G34">
        <f>_xlfn.RANK.EQ(DataShift!Y237,DataShift!F237:Y237)</f>
        <v>17</v>
      </c>
      <c r="H34">
        <f>_xlfn.RANK.AVG(DataShift!Y237,DataShift!F237:Y237)</f>
        <v>17</v>
      </c>
      <c r="I34" s="90">
        <f>_xlfn.PERCENTRANK.INC(DataShift!F237:Y237,DataShift!Y237)</f>
        <v>0.157</v>
      </c>
    </row>
    <row r="35" spans="1:9" hidden="1">
      <c r="A35" t="str">
        <f ca="1">TabCalc[[#This Row],[Ticker]]</f>
        <v>PAAS</v>
      </c>
      <c r="B35">
        <f>_xlfn.RANK.EQ(DataShift!AU138,DataShift!AB138:AU138)</f>
        <v>17</v>
      </c>
      <c r="C35">
        <f>_xlfn.RANK.EQ(DataShift!Y737,DataShift!F737:Y737)</f>
        <v>11</v>
      </c>
      <c r="D35" t="e">
        <f>_xlfn.RANK.EQ(DataShift!AU638,DataShift!AB638:AU638)</f>
        <v>#N/A</v>
      </c>
      <c r="G35">
        <f>_xlfn.RANK.EQ(DataShift!Y238,DataShift!F238:Y238)</f>
        <v>16</v>
      </c>
      <c r="H35">
        <f>_xlfn.RANK.AVG(DataShift!Y238,DataShift!F238:Y238)</f>
        <v>16</v>
      </c>
      <c r="I35" s="90">
        <f>_xlfn.PERCENTRANK.INC(DataShift!F238:Y238,DataShift!Y238)</f>
        <v>0.21</v>
      </c>
    </row>
    <row r="36" spans="1:9" hidden="1">
      <c r="A36" t="str">
        <f ca="1">TabCalc[[#This Row],[Ticker]]</f>
        <v>PROF</v>
      </c>
      <c r="B36">
        <f>_xlfn.RANK.EQ(DataShift!AU139,DataShift!AB139:AU139)</f>
        <v>6</v>
      </c>
      <c r="C36">
        <f>_xlfn.RANK.EQ(DataShift!Y738,DataShift!F738:Y738)</f>
        <v>6</v>
      </c>
      <c r="D36" t="e">
        <f>_xlfn.RANK.EQ(DataShift!AU639,DataShift!AB639:AU639)</f>
        <v>#N/A</v>
      </c>
      <c r="G36">
        <f>_xlfn.RANK.EQ(DataShift!Y239,DataShift!F239:Y239)</f>
        <v>13</v>
      </c>
      <c r="H36">
        <f>_xlfn.RANK.AVG(DataShift!Y239,DataShift!F239:Y239)</f>
        <v>13</v>
      </c>
      <c r="I36" s="90">
        <f>_xlfn.PERCENTRANK.INC(DataShift!F239:Y239,DataShift!Y239)</f>
        <v>0.36799999999999999</v>
      </c>
    </row>
    <row r="37" spans="1:9" hidden="1">
      <c r="A37" t="str">
        <f ca="1">TabCalc[[#This Row],[Ticker]]</f>
        <v>POET</v>
      </c>
      <c r="B37">
        <f>_xlfn.RANK.EQ(DataShift!AU140,DataShift!AB140:AU140)</f>
        <v>14</v>
      </c>
      <c r="C37">
        <f>_xlfn.RANK.EQ(DataShift!Y739,DataShift!F739:Y739)</f>
        <v>3</v>
      </c>
      <c r="D37" t="e">
        <f>_xlfn.RANK.EQ(DataShift!AU640,DataShift!AB640:AU640)</f>
        <v>#N/A</v>
      </c>
      <c r="G37">
        <f>_xlfn.RANK.EQ(DataShift!Y240,DataShift!F240:Y240)</f>
        <v>7</v>
      </c>
      <c r="H37">
        <f>_xlfn.RANK.AVG(DataShift!Y240,DataShift!F240:Y240)</f>
        <v>7</v>
      </c>
      <c r="I37" s="90">
        <f>_xlfn.PERCENTRANK.INC(DataShift!F240:Y240,DataShift!Y240)</f>
        <v>0.68400000000000005</v>
      </c>
    </row>
    <row r="38" spans="1:9" hidden="1">
      <c r="A38" t="str">
        <f ca="1">TabCalc[[#This Row],[Ticker]]</f>
        <v>PW</v>
      </c>
      <c r="B38">
        <f>_xlfn.RANK.EQ(DataShift!AU141,DataShift!AB141:AU141)</f>
        <v>1</v>
      </c>
      <c r="C38">
        <f>_xlfn.RANK.EQ(DataShift!Y740,DataShift!F740:Y740)</f>
        <v>2</v>
      </c>
      <c r="D38" t="e">
        <f>_xlfn.RANK.EQ(DataShift!AU641,DataShift!AB641:AU641)</f>
        <v>#N/A</v>
      </c>
      <c r="G38">
        <f>_xlfn.RANK.EQ(DataShift!Y241,DataShift!F241:Y241)</f>
        <v>17</v>
      </c>
      <c r="H38">
        <f>_xlfn.RANK.AVG(DataShift!Y241,DataShift!F241:Y241)</f>
        <v>17</v>
      </c>
      <c r="I38" s="90">
        <f>_xlfn.PERCENTRANK.INC(DataShift!F241:Y241,DataShift!Y241)</f>
        <v>0.157</v>
      </c>
    </row>
    <row r="39" spans="1:9" hidden="1">
      <c r="A39" t="str">
        <f ca="1">TabCalc[[#This Row],[Ticker]]</f>
        <v>RIGL</v>
      </c>
      <c r="B39">
        <f>_xlfn.RANK.EQ(DataShift!AU142,DataShift!AB142:AU142)</f>
        <v>17</v>
      </c>
      <c r="C39">
        <f>_xlfn.RANK.EQ(DataShift!Y741,DataShift!F741:Y741)</f>
        <v>6</v>
      </c>
      <c r="D39" t="e">
        <f>_xlfn.RANK.EQ(DataShift!AU642,DataShift!AB642:AU642)</f>
        <v>#N/A</v>
      </c>
      <c r="G39">
        <f>_xlfn.RANK.EQ(DataShift!Y242,DataShift!F242:Y242)</f>
        <v>4</v>
      </c>
      <c r="H39">
        <f>_xlfn.RANK.AVG(DataShift!Y242,DataShift!F242:Y242)</f>
        <v>4</v>
      </c>
      <c r="I39" s="90">
        <f>_xlfn.PERCENTRANK.INC(DataShift!F242:Y242,DataShift!Y242)</f>
        <v>0.84199999999999997</v>
      </c>
    </row>
    <row r="40" spans="1:9" hidden="1">
      <c r="A40" t="str">
        <f ca="1">TabCalc[[#This Row],[Ticker]]</f>
        <v>RWE</v>
      </c>
      <c r="B40">
        <f>_xlfn.RANK.EQ(DataShift!AU143,DataShift!AB143:AU143)</f>
        <v>19</v>
      </c>
      <c r="C40">
        <f>_xlfn.RANK.EQ(DataShift!Y742,DataShift!F742:Y742)</f>
        <v>5</v>
      </c>
      <c r="D40" t="e">
        <f>_xlfn.RANK.EQ(DataShift!AU643,DataShift!AB643:AU643)</f>
        <v>#N/A</v>
      </c>
      <c r="G40">
        <f>_xlfn.RANK.EQ(DataShift!Y243,DataShift!F243:Y243)</f>
        <v>9</v>
      </c>
      <c r="H40">
        <f>_xlfn.RANK.AVG(DataShift!Y243,DataShift!F243:Y243)</f>
        <v>9</v>
      </c>
      <c r="I40" s="90">
        <f>_xlfn.PERCENTRANK.INC(DataShift!F243:Y243,DataShift!Y243)</f>
        <v>0.57799999999999996</v>
      </c>
    </row>
    <row r="41" spans="1:9" hidden="1">
      <c r="A41" t="str">
        <f ca="1">TabCalc[[#This Row],[Ticker]]</f>
        <v>SAP</v>
      </c>
      <c r="B41">
        <f>_xlfn.RANK.EQ(DataShift!AU144,DataShift!AB144:AU144)</f>
        <v>2</v>
      </c>
      <c r="C41">
        <f>_xlfn.RANK.EQ(DataShift!Y743,DataShift!F743:Y743)</f>
        <v>20</v>
      </c>
      <c r="D41" t="e">
        <f>_xlfn.RANK.EQ(DataShift!AU644,DataShift!AB644:AU644)</f>
        <v>#N/A</v>
      </c>
      <c r="G41">
        <f>_xlfn.RANK.EQ(DataShift!Y244,DataShift!F244:Y244)</f>
        <v>11</v>
      </c>
      <c r="H41">
        <f>_xlfn.RANK.AVG(DataShift!Y244,DataShift!F244:Y244)</f>
        <v>11</v>
      </c>
      <c r="I41" s="90">
        <f>_xlfn.PERCENTRANK.INC(DataShift!F244:Y244,DataShift!Y244)</f>
        <v>0.47299999999999998</v>
      </c>
    </row>
    <row r="42" spans="1:9" hidden="1">
      <c r="A42" t="str">
        <f ca="1">TabCalc[[#This Row],[Ticker]]</f>
        <v>SHECY</v>
      </c>
      <c r="B42">
        <f>_xlfn.RANK.EQ(DataShift!AU145,DataShift!AB145:AU145)</f>
        <v>11</v>
      </c>
      <c r="C42">
        <f>_xlfn.RANK.EQ(DataShift!Y744,DataShift!F744:Y744)</f>
        <v>20</v>
      </c>
      <c r="D42" t="e">
        <f>_xlfn.RANK.EQ(DataShift!AU645,DataShift!AB645:AU645)</f>
        <v>#N/A</v>
      </c>
      <c r="G42">
        <f>_xlfn.RANK.EQ(DataShift!Y245,DataShift!F245:Y245)</f>
        <v>20</v>
      </c>
      <c r="H42">
        <f>_xlfn.RANK.AVG(DataShift!Y245,DataShift!F245:Y245)</f>
        <v>20</v>
      </c>
      <c r="I42" s="90">
        <f>_xlfn.PERCENTRANK.INC(DataShift!F245:Y245,DataShift!Y245)</f>
        <v>0</v>
      </c>
    </row>
    <row r="43" spans="1:9" hidden="1">
      <c r="A43" t="str">
        <f ca="1">TabCalc[[#This Row],[Ticker]]</f>
        <v>SSYS</v>
      </c>
      <c r="B43">
        <f>_xlfn.RANK.EQ(DataShift!AU146,DataShift!AB146:AU146)</f>
        <v>7</v>
      </c>
      <c r="C43">
        <f>_xlfn.RANK.EQ(DataShift!Y745,DataShift!F745:Y745)</f>
        <v>6</v>
      </c>
      <c r="D43" t="e">
        <f>_xlfn.RANK.EQ(DataShift!AU646,DataShift!AB646:AU646)</f>
        <v>#N/A</v>
      </c>
      <c r="G43">
        <f>_xlfn.RANK.EQ(DataShift!Y246,DataShift!F246:Y246)</f>
        <v>3</v>
      </c>
      <c r="H43">
        <f>_xlfn.RANK.AVG(DataShift!Y246,DataShift!F246:Y246)</f>
        <v>3</v>
      </c>
      <c r="I43" s="90">
        <f>_xlfn.PERCENTRANK.INC(DataShift!F246:Y246,DataShift!Y246)</f>
        <v>0.89400000000000002</v>
      </c>
    </row>
    <row r="44" spans="1:9" hidden="1">
      <c r="A44" t="str">
        <f ca="1">TabCalc[[#This Row],[Ticker]]</f>
        <v>TSLA</v>
      </c>
      <c r="B44">
        <f>_xlfn.RANK.EQ(DataShift!AU147,DataShift!AB147:AU147)</f>
        <v>6</v>
      </c>
      <c r="C44">
        <f>_xlfn.RANK.EQ(DataShift!Y746,DataShift!F746:Y746)</f>
        <v>18</v>
      </c>
      <c r="D44" t="e">
        <f>_xlfn.RANK.EQ(DataShift!AU647,DataShift!AB647:AU647)</f>
        <v>#N/A</v>
      </c>
      <c r="G44">
        <f>_xlfn.RANK.EQ(DataShift!Y247,DataShift!F247:Y247)</f>
        <v>15</v>
      </c>
      <c r="H44">
        <f>_xlfn.RANK.AVG(DataShift!Y247,DataShift!F247:Y247)</f>
        <v>15</v>
      </c>
      <c r="I44" s="90">
        <f>_xlfn.PERCENTRANK.INC(DataShift!F247:Y247,DataShift!Y247)</f>
        <v>0.26300000000000001</v>
      </c>
    </row>
    <row r="45" spans="1:9" hidden="1">
      <c r="A45" t="str">
        <f ca="1">TabCalc[[#This Row],[Ticker]]</f>
        <v>TSM</v>
      </c>
      <c r="B45">
        <f>_xlfn.RANK.EQ(DataShift!AU148,DataShift!AB148:AU148)</f>
        <v>18</v>
      </c>
      <c r="C45">
        <f>_xlfn.RANK.EQ(DataShift!Y747,DataShift!F747:Y747)</f>
        <v>6</v>
      </c>
      <c r="D45" t="e">
        <f>_xlfn.RANK.EQ(DataShift!AU648,DataShift!AB648:AU648)</f>
        <v>#N/A</v>
      </c>
      <c r="G45">
        <f>_xlfn.RANK.EQ(DataShift!Y248,DataShift!F248:Y248)</f>
        <v>10</v>
      </c>
      <c r="H45">
        <f>_xlfn.RANK.AVG(DataShift!Y248,DataShift!F248:Y248)</f>
        <v>10</v>
      </c>
      <c r="I45" s="90">
        <f>_xlfn.PERCENTRANK.INC(DataShift!F248:Y248,DataShift!Y248)</f>
        <v>0.52600000000000002</v>
      </c>
    </row>
    <row r="46" spans="1:9" hidden="1">
      <c r="A46" t="str">
        <f ca="1">TabCalc[[#This Row],[Ticker]]</f>
        <v>UN0</v>
      </c>
      <c r="B46">
        <f>_xlfn.RANK.EQ(DataShift!AU149,DataShift!AB149:AU149)</f>
        <v>10</v>
      </c>
      <c r="C46">
        <f>_xlfn.RANK.EQ(DataShift!Y748,DataShift!F748:Y748)</f>
        <v>17</v>
      </c>
      <c r="D46" t="e">
        <f>_xlfn.RANK.EQ(DataShift!AU649,DataShift!AB649:AU649)</f>
        <v>#N/A</v>
      </c>
      <c r="G46">
        <f>_xlfn.RANK.EQ(DataShift!Y249,DataShift!F249:Y249)</f>
        <v>20</v>
      </c>
      <c r="H46">
        <f>_xlfn.RANK.AVG(DataShift!Y249,DataShift!F249:Y249)</f>
        <v>20</v>
      </c>
      <c r="I46" s="90">
        <f>_xlfn.PERCENTRANK.INC(DataShift!F249:Y249,DataShift!Y249)</f>
        <v>0</v>
      </c>
    </row>
    <row r="47" spans="1:9" hidden="1">
      <c r="A47" t="str">
        <f ca="1">TabCalc[[#This Row],[Ticker]]</f>
        <v>UNIT</v>
      </c>
      <c r="B47">
        <f>_xlfn.RANK.EQ(DataShift!AU150,DataShift!AB150:AU150)</f>
        <v>7</v>
      </c>
      <c r="C47">
        <f>_xlfn.RANK.EQ(DataShift!Y749,DataShift!F749:Y749)</f>
        <v>3</v>
      </c>
      <c r="D47" t="e">
        <f>_xlfn.RANK.EQ(DataShift!AU650,DataShift!AB650:AU650)</f>
        <v>#N/A</v>
      </c>
      <c r="G47">
        <f>_xlfn.RANK.EQ(DataShift!Y250,DataShift!F250:Y250)</f>
        <v>8</v>
      </c>
      <c r="H47">
        <f>_xlfn.RANK.AVG(DataShift!Y250,DataShift!F250:Y250)</f>
        <v>8</v>
      </c>
      <c r="I47" s="90">
        <f>_xlfn.PERCENTRANK.INC(DataShift!F250:Y250,DataShift!Y250)</f>
        <v>0.63100000000000001</v>
      </c>
    </row>
    <row r="48" spans="1:9" hidden="1">
      <c r="A48" t="str">
        <f ca="1">TabCalc[[#This Row],[Ticker]]</f>
        <v>AVGO</v>
      </c>
      <c r="B48" t="e">
        <f>_xlfn.RANK.EQ(DataShift!#REF!,DataShift!#REF!)</f>
        <v>#REF!</v>
      </c>
      <c r="C48" t="e">
        <f>_xlfn.RANK.EQ(DataShift!#REF!,DataShift!#REF!)</f>
        <v>#REF!</v>
      </c>
      <c r="D48" t="e">
        <f>_xlfn.RANK.EQ(DataShift!#REF!,DataShift!#REF!)</f>
        <v>#REF!</v>
      </c>
      <c r="G48" t="e">
        <f>_xlfn.RANK.EQ(DataShift!#REF!,DataShift!#REF!)</f>
        <v>#REF!</v>
      </c>
      <c r="H48" t="e">
        <f>_xlfn.RANK.AVG(DataShift!#REF!,DataShift!#REF!)</f>
        <v>#REF!</v>
      </c>
      <c r="I48" s="90" t="e">
        <f>_xlfn.PERCENTRANK.INC(DataShift!#REF!,DataShift!#REF!)</f>
        <v>#REF!</v>
      </c>
    </row>
    <row r="49" spans="1:9" hidden="1">
      <c r="A49" t="str">
        <f ca="1">TabCalc[[#This Row],[Ticker]]</f>
        <v>VLVLY</v>
      </c>
      <c r="B49">
        <f>_xlfn.RANK.EQ(DataShift!AU151,DataShift!AB151:AU151)</f>
        <v>16</v>
      </c>
      <c r="C49">
        <f>_xlfn.RANK.EQ(DataShift!Y750,DataShift!F750:Y750)</f>
        <v>7</v>
      </c>
      <c r="D49" t="e">
        <f>_xlfn.RANK.EQ(DataShift!AU651,DataShift!AB651:AU651)</f>
        <v>#N/A</v>
      </c>
      <c r="G49">
        <f>_xlfn.RANK.EQ(DataShift!Y251,DataShift!F251:Y251)</f>
        <v>14</v>
      </c>
      <c r="H49">
        <f>_xlfn.RANK.AVG(DataShift!Y251,DataShift!F251:Y251)</f>
        <v>14</v>
      </c>
      <c r="I49" s="90">
        <f>_xlfn.PERCENTRANK.INC(DataShift!F251:Y251,DataShift!Y251)</f>
        <v>0.315</v>
      </c>
    </row>
    <row r="50" spans="1:9" hidden="1">
      <c r="A50" t="str">
        <f ca="1">TabCalc[[#This Row],[Ticker]]</f>
        <v>VONN</v>
      </c>
      <c r="B50">
        <f>_xlfn.RANK.EQ(DataShift!AU152,DataShift!AB152:AU152)</f>
        <v>10</v>
      </c>
      <c r="C50">
        <f>_xlfn.RANK.EQ(DataShift!Y751,DataShift!F751:Y751)</f>
        <v>10</v>
      </c>
      <c r="D50" t="e">
        <f>_xlfn.RANK.EQ(DataShift!AU652,DataShift!AB652:AU652)</f>
        <v>#N/A</v>
      </c>
      <c r="G50">
        <f>_xlfn.RANK.EQ(DataShift!Y252,DataShift!F252:Y252)</f>
        <v>2</v>
      </c>
      <c r="H50">
        <f>_xlfn.RANK.AVG(DataShift!Y252,DataShift!F252:Y252)</f>
        <v>2</v>
      </c>
      <c r="I50" s="90">
        <f>_xlfn.PERCENTRANK.INC(DataShift!F252:Y252,DataShift!Y252)</f>
        <v>0.94699999999999995</v>
      </c>
    </row>
    <row r="51" spans="1:9" hidden="1">
      <c r="A51" t="str">
        <f ca="1">TabCalc[[#This Row],[Ticker]]</f>
        <v>VTRS</v>
      </c>
      <c r="B51">
        <f>_xlfn.RANK.EQ(DataShift!AU153,DataShift!AB153:AU153)</f>
        <v>16</v>
      </c>
      <c r="C51">
        <f>_xlfn.RANK.EQ(DataShift!Y752,DataShift!F752:Y752)</f>
        <v>11</v>
      </c>
      <c r="D51" t="e">
        <f>_xlfn.RANK.EQ(DataShift!AU653,DataShift!AB653:AU653)</f>
        <v>#N/A</v>
      </c>
      <c r="G51">
        <f>_xlfn.RANK.EQ(DataShift!Y253,DataShift!F253:Y253)</f>
        <v>4</v>
      </c>
      <c r="H51">
        <f>_xlfn.RANK.AVG(DataShift!Y253,DataShift!F253:Y253)</f>
        <v>4</v>
      </c>
      <c r="I51" s="90">
        <f>_xlfn.PERCENTRANK.INC(DataShift!F253:Y253,DataShift!Y253)</f>
        <v>0.84199999999999997</v>
      </c>
    </row>
    <row r="52" spans="1:9" hidden="1">
      <c r="A52" t="str">
        <f ca="1">TabCalc[[#This Row],[Ticker]]</f>
        <v>WBA</v>
      </c>
      <c r="B52">
        <f>_xlfn.RANK.EQ(DataShift!AU154,DataShift!AB154:AU154)</f>
        <v>1</v>
      </c>
      <c r="C52">
        <f>_xlfn.RANK.EQ(DataShift!Y753,DataShift!F753:Y753)</f>
        <v>1</v>
      </c>
      <c r="D52" t="e">
        <f>_xlfn.RANK.EQ(DataShift!AU654,DataShift!AB654:AU654)</f>
        <v>#N/A</v>
      </c>
      <c r="G52">
        <f>_xlfn.RANK.EQ(DataShift!Y254,DataShift!F254:Y254)</f>
        <v>1</v>
      </c>
      <c r="H52">
        <f>_xlfn.RANK.AVG(DataShift!Y254,DataShift!F254:Y254)</f>
        <v>10.5</v>
      </c>
      <c r="I52" s="90">
        <f>_xlfn.PERCENTRANK.INC(DataShift!F254:Y254,DataShift!Y254)</f>
        <v>0</v>
      </c>
    </row>
    <row r="53" spans="1:9" hidden="1">
      <c r="A53" t="str">
        <f ca="1">TabCalc[[#This Row],[Ticker]]</f>
        <v>XOM</v>
      </c>
      <c r="B53">
        <f>_xlfn.RANK.EQ(DataShift!AU155,DataShift!AB155:AU155)</f>
        <v>13</v>
      </c>
      <c r="C53">
        <f>_xlfn.RANK.EQ(DataShift!Y754,DataShift!F754:Y754)</f>
        <v>13</v>
      </c>
      <c r="D53" t="e">
        <f>_xlfn.RANK.EQ(DataShift!AU655,DataShift!AB655:AU655)</f>
        <v>#N/A</v>
      </c>
      <c r="G53">
        <f>_xlfn.RANK.EQ(DataShift!Y255,DataShift!F255:Y255)</f>
        <v>2</v>
      </c>
      <c r="H53">
        <f>_xlfn.RANK.AVG(DataShift!Y255,DataShift!F255:Y255)</f>
        <v>2</v>
      </c>
      <c r="I53" s="90">
        <f>_xlfn.PERCENTRANK.INC(DataShift!F255:Y255,DataShift!Y255)</f>
        <v>0.94699999999999995</v>
      </c>
    </row>
    <row r="54" spans="1:9" hidden="1">
      <c r="A54" t="str">
        <f ca="1">TabCalc[[#This Row],[Ticker]]</f>
        <v>XPER</v>
      </c>
      <c r="B54">
        <f>_xlfn.RANK.EQ(DataShift!AU156,DataShift!AB156:AU156)</f>
        <v>19</v>
      </c>
      <c r="C54">
        <f>_xlfn.RANK.EQ(DataShift!Y755,DataShift!F755:Y755)</f>
        <v>7</v>
      </c>
      <c r="D54" t="e">
        <f>_xlfn.RANK.EQ(DataShift!AU656,DataShift!AB656:AU656)</f>
        <v>#N/A</v>
      </c>
      <c r="G54">
        <f>_xlfn.RANK.EQ(DataShift!Y256,DataShift!F256:Y256)</f>
        <v>10</v>
      </c>
      <c r="H54">
        <f>_xlfn.RANK.AVG(DataShift!Y256,DataShift!F256:Y256)</f>
        <v>10</v>
      </c>
      <c r="I54" s="90">
        <f>_xlfn.PERCENTRANK.INC(DataShift!F256:Y256,DataShift!Y256)</f>
        <v>0.52600000000000002</v>
      </c>
    </row>
    <row r="55" spans="1:9" hidden="1">
      <c r="A55" t="str">
        <f ca="1">TabCalc[[#This Row],[Ticker]]</f>
        <v>MVEALDNE</v>
      </c>
      <c r="B55">
        <f>_xlfn.RANK.EQ(DataShift!AU157,DataShift!AB157:AU157)</f>
        <v>5</v>
      </c>
      <c r="C55">
        <f>_xlfn.RANK.EQ(DataShift!Y756,DataShift!F756:Y756)</f>
        <v>19</v>
      </c>
      <c r="D55" t="e">
        <f>_xlfn.RANK.EQ(DataShift!AU657,DataShift!AB657:AU657)</f>
        <v>#N/A</v>
      </c>
      <c r="G55">
        <f>_xlfn.RANK.EQ(DataShift!Y257,DataShift!F257:Y257)</f>
        <v>16</v>
      </c>
      <c r="H55">
        <f>_xlfn.RANK.AVG(DataShift!Y257,DataShift!F257:Y257)</f>
        <v>16</v>
      </c>
      <c r="I55" s="90">
        <f>_xlfn.PERCENTRANK.INC(DataShift!F257:Y257,DataShift!Y257)</f>
        <v>0.21</v>
      </c>
    </row>
    <row r="56" spans="1:9" hidden="1">
      <c r="A56" t="str">
        <f ca="1">TabCalc[[#This Row],[Ticker]]</f>
        <v>MVEDDD</v>
      </c>
      <c r="B56">
        <f>_xlfn.RANK.EQ(DataShift!AU158,DataShift!AB158:AU158)</f>
        <v>16</v>
      </c>
      <c r="C56">
        <f>_xlfn.RANK.EQ(DataShift!Y757,DataShift!F757:Y757)</f>
        <v>8</v>
      </c>
      <c r="D56" t="e">
        <f>_xlfn.RANK.EQ(DataShift!AU658,DataShift!AB658:AU658)</f>
        <v>#N/A</v>
      </c>
      <c r="G56">
        <f>_xlfn.RANK.EQ(DataShift!Y258,DataShift!F258:Y258)</f>
        <v>9</v>
      </c>
      <c r="H56">
        <f>_xlfn.RANK.AVG(DataShift!Y258,DataShift!F258:Y258)</f>
        <v>9</v>
      </c>
      <c r="I56" s="90">
        <f>_xlfn.PERCENTRANK.INC(DataShift!F258:Y258,DataShift!Y258)</f>
        <v>0.57799999999999996</v>
      </c>
    </row>
    <row r="57" spans="1:9" hidden="1">
      <c r="A57" t="str">
        <f ca="1">TabCalc[[#This Row],[Ticker]]</f>
        <v>MVEDSY</v>
      </c>
      <c r="B57">
        <f>_xlfn.RANK.EQ(DataShift!AU159,DataShift!AB159:AU159)</f>
        <v>2</v>
      </c>
      <c r="C57">
        <f>_xlfn.RANK.EQ(DataShift!Y758,DataShift!F758:Y758)</f>
        <v>17</v>
      </c>
      <c r="D57" t="e">
        <f>_xlfn.RANK.EQ(DataShift!AU659,DataShift!AB659:AU659)</f>
        <v>#N/A</v>
      </c>
      <c r="G57">
        <f>_xlfn.RANK.EQ(DataShift!Y259,DataShift!F259:Y259)</f>
        <v>15</v>
      </c>
      <c r="H57">
        <f>_xlfn.RANK.AVG(DataShift!Y259,DataShift!F259:Y259)</f>
        <v>15</v>
      </c>
      <c r="I57" s="90">
        <f>_xlfn.PERCENTRANK.INC(DataShift!F259:Y259,DataShift!Y259)</f>
        <v>0.26300000000000001</v>
      </c>
    </row>
    <row r="58" spans="1:9" hidden="1">
      <c r="A58" t="str">
        <f ca="1">TabCalc[[#This Row],[Ticker]]</f>
        <v>MVEEOAN</v>
      </c>
      <c r="B58">
        <f>_xlfn.RANK.EQ(DataShift!AU160,DataShift!AB160:AU160)</f>
        <v>16</v>
      </c>
      <c r="C58">
        <f>_xlfn.RANK.EQ(DataShift!Y759,DataShift!F759:Y759)</f>
        <v>6</v>
      </c>
      <c r="D58" t="e">
        <f>_xlfn.RANK.EQ(DataShift!AU660,DataShift!AB660:AU660)</f>
        <v>#N/A</v>
      </c>
      <c r="G58">
        <f>_xlfn.RANK.EQ(DataShift!Y260,DataShift!F260:Y260)</f>
        <v>17</v>
      </c>
      <c r="H58">
        <f>_xlfn.RANK.AVG(DataShift!Y260,DataShift!F260:Y260)</f>
        <v>17</v>
      </c>
      <c r="I58" s="90">
        <f>_xlfn.PERCENTRANK.INC(DataShift!F260:Y260,DataShift!Y260)</f>
        <v>0.157</v>
      </c>
    </row>
    <row r="59" spans="1:9" hidden="1">
      <c r="A59" t="str">
        <f ca="1">TabCalc[[#This Row],[Ticker]]</f>
        <v>MVEENI</v>
      </c>
      <c r="B59">
        <f>_xlfn.RANK.EQ(DataShift!AU161,DataShift!AB161:AU161)</f>
        <v>2</v>
      </c>
      <c r="C59">
        <f>_xlfn.RANK.EQ(DataShift!Y760,DataShift!F760:Y760)</f>
        <v>2</v>
      </c>
      <c r="D59" t="e">
        <f>_xlfn.RANK.EQ(DataShift!AU661,DataShift!AB661:AU661)</f>
        <v>#N/A</v>
      </c>
      <c r="G59">
        <f>_xlfn.RANK.EQ(DataShift!Y261,DataShift!F261:Y261)</f>
        <v>1</v>
      </c>
      <c r="H59">
        <f>_xlfn.RANK.AVG(DataShift!Y261,DataShift!F261:Y261)</f>
        <v>1</v>
      </c>
      <c r="I59" s="90">
        <f>_xlfn.PERCENTRANK.INC(DataShift!F261:Y261,DataShift!Y261)</f>
        <v>1</v>
      </c>
    </row>
    <row r="60" spans="1:9" hidden="1">
      <c r="A60" t="str">
        <f ca="1">TabCalc[[#This Row],[Ticker]]</f>
        <v>MVEEPIX</v>
      </c>
      <c r="B60">
        <f>_xlfn.RANK.EQ(DataShift!AU162,DataShift!AB162:AU162)</f>
        <v>2</v>
      </c>
      <c r="C60">
        <f>_xlfn.RANK.EQ(DataShift!Y761,DataShift!F761:Y761)</f>
        <v>4</v>
      </c>
      <c r="D60" t="e">
        <f>_xlfn.RANK.EQ(DataShift!AU662,DataShift!AB662:AU662)</f>
        <v>#N/A</v>
      </c>
      <c r="G60">
        <f>_xlfn.RANK.EQ(DataShift!Y262,DataShift!F262:Y262)</f>
        <v>5</v>
      </c>
      <c r="H60">
        <f>_xlfn.RANK.AVG(DataShift!Y262,DataShift!F262:Y262)</f>
        <v>11.5</v>
      </c>
      <c r="I60" s="90">
        <f>_xlfn.PERCENTRANK.INC(DataShift!F262:Y262,DataShift!Y262)</f>
        <v>0.105</v>
      </c>
    </row>
    <row r="61" spans="1:9" hidden="1">
      <c r="A61" t="str">
        <f ca="1">TabCalc[[#This Row],[Ticker]]</f>
        <v>MVEGLE</v>
      </c>
      <c r="B61">
        <f>_xlfn.RANK.EQ(DataShift!AU163,DataShift!AB163:AU163)</f>
        <v>16</v>
      </c>
      <c r="C61">
        <f>_xlfn.RANK.EQ(DataShift!Y762,DataShift!F762:Y762)</f>
        <v>8</v>
      </c>
      <c r="D61" t="e">
        <f>_xlfn.RANK.EQ(DataShift!AU663,DataShift!AB663:AU663)</f>
        <v>#N/A</v>
      </c>
      <c r="G61">
        <f>_xlfn.RANK.EQ(DataShift!Y263,DataShift!F263:Y263)</f>
        <v>13</v>
      </c>
      <c r="H61">
        <f>_xlfn.RANK.AVG(DataShift!Y263,DataShift!F263:Y263)</f>
        <v>13</v>
      </c>
      <c r="I61" s="90">
        <f>_xlfn.PERCENTRANK.INC(DataShift!F263:Y263,DataShift!Y263)</f>
        <v>0.36799999999999999</v>
      </c>
    </row>
    <row r="62" spans="1:9" hidden="1">
      <c r="A62" t="str">
        <f ca="1">TabCalc[[#This Row],[Ticker]]</f>
        <v>MVEORA</v>
      </c>
      <c r="B62">
        <f>_xlfn.RANK.EQ(DataShift!AU164,DataShift!AB164:AU164)</f>
        <v>11</v>
      </c>
      <c r="C62">
        <f>_xlfn.RANK.EQ(DataShift!Y763,DataShift!F763:Y763)</f>
        <v>20</v>
      </c>
      <c r="D62" t="e">
        <f>_xlfn.RANK.EQ(DataShift!AU664,DataShift!AB664:AU664)</f>
        <v>#N/A</v>
      </c>
      <c r="G62">
        <f>_xlfn.RANK.EQ(DataShift!Y264,DataShift!F264:Y264)</f>
        <v>10</v>
      </c>
      <c r="H62">
        <f>_xlfn.RANK.AVG(DataShift!Y264,DataShift!F264:Y264)</f>
        <v>10</v>
      </c>
      <c r="I62" s="90">
        <f>_xlfn.PERCENTRANK.INC(DataShift!F264:Y264,DataShift!Y264)</f>
        <v>0.52600000000000002</v>
      </c>
    </row>
    <row r="63" spans="1:9" hidden="1">
      <c r="A63" t="str">
        <f ca="1">TabCalc[[#This Row],[Ticker]]</f>
        <v>MVERWE</v>
      </c>
      <c r="B63">
        <f>_xlfn.RANK.EQ(DataShift!AU165,DataShift!AB165:AU165)</f>
        <v>19</v>
      </c>
      <c r="C63">
        <f>_xlfn.RANK.EQ(DataShift!Y764,DataShift!F764:Y764)</f>
        <v>5</v>
      </c>
      <c r="D63" t="e">
        <f>_xlfn.RANK.EQ(DataShift!AU665,DataShift!AB665:AU665)</f>
        <v>#N/A</v>
      </c>
      <c r="G63">
        <f>_xlfn.RANK.EQ(DataShift!Y265,DataShift!F265:Y265)</f>
        <v>9</v>
      </c>
      <c r="H63">
        <f>_xlfn.RANK.AVG(DataShift!Y265,DataShift!F265:Y265)</f>
        <v>9</v>
      </c>
      <c r="I63" s="90">
        <f>_xlfn.PERCENTRANK.INC(DataShift!F265:Y265,DataShift!Y265)</f>
        <v>0.57799999999999996</v>
      </c>
    </row>
    <row r="64" spans="1:9" hidden="1">
      <c r="A64" t="str">
        <f ca="1">TabCalc[[#This Row],[Ticker]]</f>
        <v>MVESAP</v>
      </c>
      <c r="B64">
        <f>_xlfn.RANK.EQ(DataShift!AU166,DataShift!AB166:AU166)</f>
        <v>2</v>
      </c>
      <c r="C64">
        <f>_xlfn.RANK.EQ(DataShift!Y765,DataShift!F765:Y765)</f>
        <v>20</v>
      </c>
      <c r="D64" t="e">
        <f>_xlfn.RANK.EQ(DataShift!AU666,DataShift!AB666:AU666)</f>
        <v>#N/A</v>
      </c>
      <c r="G64">
        <f>_xlfn.RANK.EQ(DataShift!Y266,DataShift!F266:Y266)</f>
        <v>11</v>
      </c>
      <c r="H64">
        <f>_xlfn.RANK.AVG(DataShift!Y266,DataShift!F266:Y266)</f>
        <v>11</v>
      </c>
      <c r="I64" s="90">
        <f>_xlfn.PERCENTRANK.INC(DataShift!F266:Y266,DataShift!Y266)</f>
        <v>0.47299999999999998</v>
      </c>
    </row>
    <row r="65" spans="1:9" hidden="1">
      <c r="A65" t="str">
        <f ca="1">TabCalc[[#This Row],[Ticker]]</f>
        <v>MVEUN0</v>
      </c>
      <c r="B65">
        <f>_xlfn.RANK.EQ(DataShift!AU167,DataShift!AB167:AU167)</f>
        <v>10</v>
      </c>
      <c r="C65">
        <f>_xlfn.RANK.EQ(DataShift!Y766,DataShift!F766:Y766)</f>
        <v>17</v>
      </c>
      <c r="D65" t="e">
        <f>_xlfn.RANK.EQ(DataShift!AU667,DataShift!AB667:AU667)</f>
        <v>#N/A</v>
      </c>
      <c r="G65">
        <f>_xlfn.RANK.EQ(DataShift!Y267,DataShift!F267:Y267)</f>
        <v>20</v>
      </c>
      <c r="H65">
        <f>_xlfn.RANK.AVG(DataShift!Y267,DataShift!F267:Y267)</f>
        <v>20</v>
      </c>
      <c r="I65" s="90">
        <f>_xlfn.PERCENTRANK.INC(DataShift!F267:Y267,DataShift!Y267)</f>
        <v>0</v>
      </c>
    </row>
    <row r="66" spans="1:9" hidden="1">
      <c r="A66" t="str">
        <f ca="1">TabCalc[[#This Row],[Ticker]]</f>
        <v>SAFAAPL</v>
      </c>
      <c r="B66">
        <f>_xlfn.RANK.EQ(DataShift!AU168,DataShift!AB168:AU168)</f>
        <v>10</v>
      </c>
      <c r="C66">
        <f>_xlfn.RANK.EQ(DataShift!Y767,DataShift!F767:Y767)</f>
        <v>3</v>
      </c>
      <c r="D66" t="e">
        <f>_xlfn.RANK.EQ(DataShift!AU668,DataShift!AB668:AU668)</f>
        <v>#N/A</v>
      </c>
      <c r="G66">
        <f>_xlfn.RANK.EQ(DataShift!Y268,DataShift!F268:Y268)</f>
        <v>1</v>
      </c>
      <c r="H66">
        <f>_xlfn.RANK.AVG(DataShift!Y268,DataShift!F268:Y268)</f>
        <v>1</v>
      </c>
      <c r="I66" s="90">
        <f>_xlfn.PERCENTRANK.INC(DataShift!F268:Y268,DataShift!Y268)</f>
        <v>1</v>
      </c>
    </row>
    <row r="67" spans="1:9" hidden="1">
      <c r="A67" t="str">
        <f ca="1">TabCalc[[#This Row],[Ticker]]</f>
        <v>SAFAMZN</v>
      </c>
      <c r="B67">
        <f>_xlfn.RANK.EQ(DataShift!AU169,DataShift!AB169:AU169)</f>
        <v>13</v>
      </c>
      <c r="C67">
        <f>_xlfn.RANK.EQ(DataShift!Y768,DataShift!F768:Y768)</f>
        <v>6</v>
      </c>
      <c r="D67" t="e">
        <f>_xlfn.RANK.EQ(DataShift!AU669,DataShift!AB669:AU669)</f>
        <v>#N/A</v>
      </c>
      <c r="G67">
        <f>_xlfn.RANK.EQ(DataShift!Y269,DataShift!F269:Y269)</f>
        <v>4</v>
      </c>
      <c r="H67">
        <f>_xlfn.RANK.AVG(DataShift!Y269,DataShift!F269:Y269)</f>
        <v>4</v>
      </c>
      <c r="I67" s="90">
        <f>_xlfn.PERCENTRANK.INC(DataShift!F269:Y269,DataShift!Y269)</f>
        <v>0.84199999999999997</v>
      </c>
    </row>
    <row r="68" spans="1:9" hidden="1">
      <c r="A68" t="str">
        <f ca="1">TabCalc[[#This Row],[Ticker]]</f>
        <v>SAFASML</v>
      </c>
      <c r="B68">
        <f>_xlfn.RANK.EQ(DataShift!AU170,DataShift!AB170:AU170)</f>
        <v>17</v>
      </c>
      <c r="C68">
        <f>_xlfn.RANK.EQ(DataShift!Y769,DataShift!F769:Y769)</f>
        <v>8</v>
      </c>
      <c r="D68" t="e">
        <f>_xlfn.RANK.EQ(DataShift!AU670,DataShift!AB670:AU670)</f>
        <v>#N/A</v>
      </c>
      <c r="G68">
        <f>_xlfn.RANK.EQ(DataShift!Y270,DataShift!F270:Y270)</f>
        <v>6</v>
      </c>
      <c r="H68">
        <f>_xlfn.RANK.AVG(DataShift!Y270,DataShift!F270:Y270)</f>
        <v>6</v>
      </c>
      <c r="I68" s="90">
        <f>_xlfn.PERCENTRANK.INC(DataShift!F270:Y270,DataShift!Y270)</f>
        <v>0.73599999999999999</v>
      </c>
    </row>
    <row r="69" spans="1:9" hidden="1">
      <c r="A69" t="str">
        <f ca="1">TabCalc[[#This Row],[Ticker]]</f>
        <v>SAFDDD</v>
      </c>
      <c r="B69">
        <f>_xlfn.RANK.EQ(DataShift!AU171,DataShift!AB171:AU171)</f>
        <v>16</v>
      </c>
      <c r="C69">
        <f>_xlfn.RANK.EQ(DataShift!Y770,DataShift!F770:Y770)</f>
        <v>8</v>
      </c>
      <c r="D69" t="e">
        <f>_xlfn.RANK.EQ(DataShift!AU671,DataShift!AB671:AU671)</f>
        <v>#N/A</v>
      </c>
      <c r="G69">
        <f>_xlfn.RANK.EQ(DataShift!Y271,DataShift!F271:Y271)</f>
        <v>9</v>
      </c>
      <c r="H69">
        <f>_xlfn.RANK.AVG(DataShift!Y271,DataShift!F271:Y271)</f>
        <v>9</v>
      </c>
      <c r="I69" s="90">
        <f>_xlfn.PERCENTRANK.INC(DataShift!F271:Y271,DataShift!Y271)</f>
        <v>0.57799999999999996</v>
      </c>
    </row>
    <row r="70" spans="1:9" hidden="1">
      <c r="A70" t="str">
        <f ca="1">TabCalc[[#This Row],[Ticker]]</f>
        <v>SAFDIS</v>
      </c>
      <c r="B70">
        <f>_xlfn.RANK.EQ(DataShift!AU172,DataShift!AB172:AU172)</f>
        <v>16</v>
      </c>
      <c r="C70">
        <f>_xlfn.RANK.EQ(DataShift!Y771,DataShift!F771:Y771)</f>
        <v>18</v>
      </c>
      <c r="D70" t="e">
        <f>_xlfn.RANK.EQ(DataShift!AU672,DataShift!AB672:AU672)</f>
        <v>#N/A</v>
      </c>
      <c r="G70">
        <f>_xlfn.RANK.EQ(DataShift!Y272,DataShift!F272:Y272)</f>
        <v>14</v>
      </c>
      <c r="H70">
        <f>_xlfn.RANK.AVG(DataShift!Y272,DataShift!F272:Y272)</f>
        <v>14</v>
      </c>
      <c r="I70" s="90">
        <f>_xlfn.PERCENTRANK.INC(DataShift!F272:Y272,DataShift!Y272)</f>
        <v>0.315</v>
      </c>
    </row>
    <row r="71" spans="1:9" hidden="1">
      <c r="A71" t="str">
        <f ca="1">TabCalc[[#This Row],[Ticker]]</f>
        <v>SAFGM</v>
      </c>
      <c r="B71">
        <f>_xlfn.RANK.EQ(DataShift!AU173,DataShift!AB173:AU173)</f>
        <v>9</v>
      </c>
      <c r="C71">
        <f>_xlfn.RANK.EQ(DataShift!Y772,DataShift!F772:Y772)</f>
        <v>2</v>
      </c>
      <c r="D71" t="e">
        <f>_xlfn.RANK.EQ(DataShift!AU673,DataShift!AB673:AU673)</f>
        <v>#N/A</v>
      </c>
      <c r="G71">
        <f>_xlfn.RANK.EQ(DataShift!Y273,DataShift!F273:Y273)</f>
        <v>1</v>
      </c>
      <c r="H71">
        <f>_xlfn.RANK.AVG(DataShift!Y273,DataShift!F273:Y273)</f>
        <v>1</v>
      </c>
      <c r="I71" s="90">
        <f>_xlfn.PERCENTRANK.INC(DataShift!F273:Y273,DataShift!Y273)</f>
        <v>1</v>
      </c>
    </row>
    <row r="72" spans="1:9" hidden="1">
      <c r="A72" t="str">
        <f ca="1">TabCalc[[#This Row],[Ticker]]</f>
        <v>SAFIAG</v>
      </c>
      <c r="B72">
        <f>_xlfn.RANK.EQ(DataShift!AU174,DataShift!AB174:AU174)</f>
        <v>5</v>
      </c>
      <c r="C72">
        <f>_xlfn.RANK.EQ(DataShift!Y773,DataShift!F773:Y773)</f>
        <v>6</v>
      </c>
      <c r="D72" t="e">
        <f>_xlfn.RANK.EQ(DataShift!AU674,DataShift!AB674:AU674)</f>
        <v>#N/A</v>
      </c>
      <c r="G72">
        <f>_xlfn.RANK.EQ(DataShift!Y274,DataShift!F274:Y274)</f>
        <v>2</v>
      </c>
      <c r="H72">
        <f>_xlfn.RANK.AVG(DataShift!Y274,DataShift!F274:Y274)</f>
        <v>2</v>
      </c>
      <c r="I72" s="90">
        <f>_xlfn.PERCENTRANK.INC(DataShift!F274:Y274,DataShift!Y274)</f>
        <v>0.94699999999999995</v>
      </c>
    </row>
    <row r="73" spans="1:9" hidden="1">
      <c r="A73" t="str">
        <f ca="1">TabCalc[[#This Row],[Ticker]]</f>
        <v>SAFMRNA</v>
      </c>
      <c r="B73">
        <f>_xlfn.RANK.EQ(DataShift!AU175,DataShift!AB175:AU175)</f>
        <v>13</v>
      </c>
      <c r="C73">
        <f>_xlfn.RANK.EQ(DataShift!Y774,DataShift!F774:Y774)</f>
        <v>8</v>
      </c>
      <c r="D73" t="e">
        <f>_xlfn.RANK.EQ(DataShift!AU675,DataShift!AB675:AU675)</f>
        <v>#N/A</v>
      </c>
      <c r="G73">
        <f>_xlfn.RANK.EQ(DataShift!Y275,DataShift!F275:Y275)</f>
        <v>14</v>
      </c>
      <c r="H73">
        <f>_xlfn.RANK.AVG(DataShift!Y275,DataShift!F275:Y275)</f>
        <v>14.5</v>
      </c>
      <c r="I73" s="90">
        <f>_xlfn.PERCENTRANK.INC(DataShift!F275:Y275,DataShift!Y275)</f>
        <v>0.26300000000000001</v>
      </c>
    </row>
    <row r="74" spans="1:9" hidden="1">
      <c r="A74" t="str">
        <f ca="1">TabCalc[[#This Row],[Ticker]]</f>
        <v>BLNK</v>
      </c>
      <c r="B74">
        <f>_xlfn.RANK.EQ(DataShift!AU176,DataShift!AB176:AU176)</f>
        <v>13</v>
      </c>
      <c r="C74">
        <f>_xlfn.RANK.EQ(DataShift!Y775,DataShift!F775:Y775)</f>
        <v>5</v>
      </c>
      <c r="D74" t="e">
        <f>_xlfn.RANK.EQ(DataShift!AU676,DataShift!AB676:AU676)</f>
        <v>#N/A</v>
      </c>
      <c r="G74">
        <f>_xlfn.RANK.EQ(DataShift!Y276,DataShift!F276:Y276)</f>
        <v>9</v>
      </c>
      <c r="H74">
        <f>_xlfn.RANK.AVG(DataShift!Y276,DataShift!F276:Y276)</f>
        <v>9</v>
      </c>
      <c r="I74" s="90">
        <f>_xlfn.PERCENTRANK.INC(DataShift!F276:Y276,DataShift!Y276)</f>
        <v>0.57799999999999996</v>
      </c>
    </row>
    <row r="75" spans="1:9" hidden="1">
      <c r="A75" t="str">
        <f ca="1">TabCalc[[#This Row],[Ticker]]</f>
        <v>ENI</v>
      </c>
      <c r="B75">
        <f>_xlfn.RANK.EQ(DataShift!AU177,DataShift!AB177:AU177)</f>
        <v>2</v>
      </c>
      <c r="C75">
        <f>_xlfn.RANK.EQ(DataShift!Y776,DataShift!F776:Y776)</f>
        <v>2</v>
      </c>
      <c r="D75" t="e">
        <f>_xlfn.RANK.EQ(DataShift!AU677,DataShift!AB677:AU677)</f>
        <v>#N/A</v>
      </c>
      <c r="G75">
        <f>_xlfn.RANK.EQ(DataShift!Y277,DataShift!F277:Y277)</f>
        <v>1</v>
      </c>
      <c r="H75">
        <f>_xlfn.RANK.AVG(DataShift!Y277,DataShift!F277:Y277)</f>
        <v>1</v>
      </c>
      <c r="I75" s="90">
        <f>_xlfn.PERCENTRANK.INC(DataShift!F277:Y277,DataShift!Y277)</f>
        <v>1</v>
      </c>
    </row>
    <row r="76" spans="1:9" hidden="1">
      <c r="A76" t="str">
        <f ca="1">TabCalc[[#This Row],[Ticker]]</f>
        <v>EZJ</v>
      </c>
      <c r="B76">
        <f>_xlfn.RANK.EQ(DataShift!AU178,DataShift!AB178:AU178)</f>
        <v>15</v>
      </c>
      <c r="C76">
        <f>_xlfn.RANK.EQ(DataShift!Y777,DataShift!F777:Y777)</f>
        <v>6</v>
      </c>
      <c r="D76" t="e">
        <f>_xlfn.RANK.EQ(DataShift!AU678,DataShift!AB678:AU678)</f>
        <v>#N/A</v>
      </c>
      <c r="G76">
        <f>_xlfn.RANK.EQ(DataShift!Y278,DataShift!F278:Y278)</f>
        <v>6</v>
      </c>
      <c r="H76">
        <f>_xlfn.RANK.AVG(DataShift!Y278,DataShift!F278:Y278)</f>
        <v>6</v>
      </c>
      <c r="I76" s="90">
        <f>_xlfn.PERCENTRANK.INC(DataShift!F278:Y278,DataShift!Y278)</f>
        <v>0.73599999999999999</v>
      </c>
    </row>
    <row r="77" spans="1:9" hidden="1">
      <c r="A77" t="str">
        <f ca="1">TabCalc[[#This Row],[Ticker]]</f>
        <v>F</v>
      </c>
      <c r="B77">
        <f>_xlfn.RANK.EQ(DataShift!AU179,DataShift!AB179:AU179)</f>
        <v>5</v>
      </c>
      <c r="C77">
        <f>_xlfn.RANK.EQ(DataShift!Y778,DataShift!F778:Y778)</f>
        <v>1</v>
      </c>
      <c r="D77" t="e">
        <f>_xlfn.RANK.EQ(DataShift!AU679,DataShift!AB679:AU679)</f>
        <v>#N/A</v>
      </c>
      <c r="G77">
        <f>_xlfn.RANK.EQ(DataShift!Y279,DataShift!F279:Y279)</f>
        <v>1</v>
      </c>
      <c r="H77">
        <f>_xlfn.RANK.AVG(DataShift!Y279,DataShift!F279:Y279)</f>
        <v>1</v>
      </c>
      <c r="I77" s="90">
        <f>_xlfn.PERCENTRANK.INC(DataShift!F279:Y279,DataShift!Y279)</f>
        <v>1</v>
      </c>
    </row>
    <row r="78" spans="1:9" hidden="1">
      <c r="A78" t="str">
        <f ca="1">TabCalc[[#This Row],[Ticker]]</f>
        <v>GLE</v>
      </c>
      <c r="B78">
        <f>_xlfn.RANK.EQ(DataShift!AU180,DataShift!AB180:AU180)</f>
        <v>16</v>
      </c>
      <c r="C78">
        <f>_xlfn.RANK.EQ(DataShift!Y779,DataShift!F779:Y779)</f>
        <v>8</v>
      </c>
      <c r="D78" t="e">
        <f>_xlfn.RANK.EQ(DataShift!AU680,DataShift!AB680:AU680)</f>
        <v>#N/A</v>
      </c>
      <c r="G78">
        <f>_xlfn.RANK.EQ(DataShift!Y280,DataShift!F280:Y280)</f>
        <v>13</v>
      </c>
      <c r="H78">
        <f>_xlfn.RANK.AVG(DataShift!Y280,DataShift!F280:Y280)</f>
        <v>13</v>
      </c>
      <c r="I78" s="90">
        <f>_xlfn.PERCENTRANK.INC(DataShift!F280:Y280,DataShift!Y280)</f>
        <v>0.36799999999999999</v>
      </c>
    </row>
    <row r="79" spans="1:9" hidden="1">
      <c r="A79" t="str">
        <f ca="1">TabCalc[[#This Row],[Ticker]]</f>
        <v>GNRC</v>
      </c>
      <c r="B79">
        <f>_xlfn.RANK.EQ(DataShift!AU181,DataShift!AB181:AU181)</f>
        <v>12</v>
      </c>
      <c r="C79">
        <f>_xlfn.RANK.EQ(DataShift!Y780,DataShift!F780:Y780)</f>
        <v>8</v>
      </c>
      <c r="D79" t="e">
        <f>_xlfn.RANK.EQ(DataShift!AU681,DataShift!AB681:AU681)</f>
        <v>#N/A</v>
      </c>
      <c r="G79">
        <f>_xlfn.RANK.EQ(DataShift!Y281,DataShift!F281:Y281)</f>
        <v>5</v>
      </c>
      <c r="H79">
        <f>_xlfn.RANK.AVG(DataShift!Y281,DataShift!F281:Y281)</f>
        <v>5</v>
      </c>
      <c r="I79" s="90">
        <f>_xlfn.PERCENTRANK.INC(DataShift!F281:Y281,DataShift!Y281)</f>
        <v>0.78900000000000003</v>
      </c>
    </row>
    <row r="80" spans="1:9" hidden="1">
      <c r="A80" t="str">
        <f ca="1">TabCalc[[#This Row],[Ticker]]</f>
        <v>GS</v>
      </c>
      <c r="B80">
        <f>_xlfn.RANK.EQ(DataShift!AU182,DataShift!AB182:AU182)</f>
        <v>7</v>
      </c>
      <c r="C80">
        <f>_xlfn.RANK.EQ(DataShift!Y781,DataShift!F781:Y781)</f>
        <v>1</v>
      </c>
      <c r="D80" t="e">
        <f>_xlfn.RANK.EQ(DataShift!AU682,DataShift!AB682:AU682)</f>
        <v>#N/A</v>
      </c>
      <c r="G80">
        <f>_xlfn.RANK.EQ(DataShift!Y282,DataShift!F282:Y282)</f>
        <v>7</v>
      </c>
      <c r="H80">
        <f>_xlfn.RANK.AVG(DataShift!Y282,DataShift!F282:Y282)</f>
        <v>7</v>
      </c>
      <c r="I80" s="90">
        <f>_xlfn.PERCENTRANK.INC(DataShift!F282:Y282,DataShift!Y282)</f>
        <v>0.68400000000000005</v>
      </c>
    </row>
    <row r="81" spans="1:9" hidden="1">
      <c r="A81" t="str">
        <f ca="1">TabCalc[[#This Row],[Ticker]]</f>
        <v>LAZR</v>
      </c>
      <c r="B81">
        <f>_xlfn.RANK.EQ(DataShift!AU183,DataShift!AB183:AU183)</f>
        <v>1</v>
      </c>
      <c r="C81">
        <f>_xlfn.RANK.EQ(DataShift!Y782,DataShift!F782:Y782)</f>
        <v>1</v>
      </c>
      <c r="D81" t="e">
        <f>_xlfn.RANK.EQ(DataShift!AU683,DataShift!AB683:AU683)</f>
        <v>#N/A</v>
      </c>
      <c r="G81">
        <f>_xlfn.RANK.EQ(DataShift!Y283,DataShift!F283:Y283)</f>
        <v>2</v>
      </c>
      <c r="H81">
        <f>_xlfn.RANK.AVG(DataShift!Y283,DataShift!F283:Y283)</f>
        <v>2</v>
      </c>
      <c r="I81" s="90">
        <f>_xlfn.PERCENTRANK.INC(DataShift!F283:Y283,DataShift!Y283)</f>
        <v>0.94699999999999995</v>
      </c>
    </row>
    <row r="82" spans="1:9" hidden="1">
      <c r="A82" t="str">
        <f ca="1">TabCalc[[#This Row],[Ticker]]</f>
        <v>LUV</v>
      </c>
      <c r="B82">
        <f>_xlfn.RANK.EQ(DataShift!AU184,DataShift!AB184:AU184)</f>
        <v>2</v>
      </c>
      <c r="C82">
        <f>_xlfn.RANK.EQ(DataShift!Y783,DataShift!F783:Y783)</f>
        <v>4</v>
      </c>
      <c r="D82" t="e">
        <f>_xlfn.RANK.EQ(DataShift!AU684,DataShift!AB684:AU684)</f>
        <v>#N/A</v>
      </c>
      <c r="G82">
        <f>_xlfn.RANK.EQ(DataShift!Y284,DataShift!F284:Y284)</f>
        <v>15</v>
      </c>
      <c r="H82">
        <f>_xlfn.RANK.AVG(DataShift!Y284,DataShift!F284:Y284)</f>
        <v>15</v>
      </c>
      <c r="I82" s="90">
        <f>_xlfn.PERCENTRANK.INC(DataShift!F284:Y284,DataShift!Y284)</f>
        <v>0.26300000000000001</v>
      </c>
    </row>
    <row r="83" spans="1:9" hidden="1">
      <c r="A83" t="str">
        <f ca="1">TabCalc[[#This Row],[Ticker]]</f>
        <v>MA</v>
      </c>
      <c r="B83">
        <f>_xlfn.RANK.EQ(DataShift!AU185,DataShift!AB185:AU185)</f>
        <v>15</v>
      </c>
      <c r="C83">
        <f>_xlfn.RANK.EQ(DataShift!Y784,DataShift!F784:Y784)</f>
        <v>13</v>
      </c>
      <c r="D83" t="e">
        <f>_xlfn.RANK.EQ(DataShift!AU685,DataShift!AB685:AU685)</f>
        <v>#N/A</v>
      </c>
      <c r="G83">
        <f>_xlfn.RANK.EQ(DataShift!Y285,DataShift!F285:Y285)</f>
        <v>5</v>
      </c>
      <c r="H83">
        <f>_xlfn.RANK.AVG(DataShift!Y285,DataShift!F285:Y285)</f>
        <v>5</v>
      </c>
      <c r="I83" s="90">
        <f>_xlfn.PERCENTRANK.INC(DataShift!F285:Y285,DataShift!Y285)</f>
        <v>0.78900000000000003</v>
      </c>
    </row>
    <row r="84" spans="1:9" hidden="1">
      <c r="A84" t="str">
        <f ca="1">TabCalc[[#This Row],[Ticker]]</f>
        <v>NVAX</v>
      </c>
      <c r="B84">
        <f>_xlfn.RANK.EQ(DataShift!AU186,DataShift!AB186:AU186)</f>
        <v>18</v>
      </c>
      <c r="C84">
        <f>_xlfn.RANK.EQ(DataShift!Y785,DataShift!F785:Y785)</f>
        <v>5</v>
      </c>
      <c r="D84" t="e">
        <f>_xlfn.RANK.EQ(DataShift!AU686,DataShift!AB686:AU686)</f>
        <v>#N/A</v>
      </c>
      <c r="G84">
        <f>_xlfn.RANK.EQ(DataShift!Y286,DataShift!F286:Y286)</f>
        <v>15</v>
      </c>
      <c r="H84">
        <f>_xlfn.RANK.AVG(DataShift!Y286,DataShift!F286:Y286)</f>
        <v>15</v>
      </c>
      <c r="I84" s="90">
        <f>_xlfn.PERCENTRANK.INC(DataShift!F286:Y286,DataShift!Y286)</f>
        <v>0.26300000000000001</v>
      </c>
    </row>
    <row r="85" spans="1:9" hidden="1">
      <c r="A85" t="str">
        <f ca="1">TabCalc[[#This Row],[Ticker]]</f>
        <v>NVS</v>
      </c>
      <c r="B85">
        <f>_xlfn.RANK.EQ(DataShift!AU187,DataShift!AB187:AU187)</f>
        <v>12</v>
      </c>
      <c r="C85">
        <f>_xlfn.RANK.EQ(DataShift!Y786,DataShift!F786:Y786)</f>
        <v>20</v>
      </c>
      <c r="D85" t="e">
        <f>_xlfn.RANK.EQ(DataShift!AU687,DataShift!AB687:AU687)</f>
        <v>#N/A</v>
      </c>
      <c r="G85">
        <f>_xlfn.RANK.EQ(DataShift!Y287,DataShift!F287:Y287)</f>
        <v>15</v>
      </c>
      <c r="H85">
        <f>_xlfn.RANK.AVG(DataShift!Y287,DataShift!F287:Y287)</f>
        <v>15</v>
      </c>
      <c r="I85" s="90">
        <f>_xlfn.PERCENTRANK.INC(DataShift!F287:Y287,DataShift!Y287)</f>
        <v>0.26300000000000001</v>
      </c>
    </row>
    <row r="86" spans="1:9" hidden="1">
      <c r="A86" t="str">
        <f ca="1">TabCalc[[#This Row],[Ticker]]</f>
        <v>ORA</v>
      </c>
      <c r="B86">
        <f>_xlfn.RANK.EQ(DataShift!AU188,DataShift!AB188:AU188)</f>
        <v>10</v>
      </c>
      <c r="C86">
        <f>_xlfn.RANK.EQ(DataShift!Y787,DataShift!F787:Y787)</f>
        <v>20</v>
      </c>
      <c r="D86" t="e">
        <f>_xlfn.RANK.EQ(DataShift!AU688,DataShift!AB688:AU688)</f>
        <v>#N/A</v>
      </c>
      <c r="G86">
        <f>_xlfn.RANK.EQ(DataShift!Y288,DataShift!F288:Y288)</f>
        <v>9</v>
      </c>
      <c r="H86">
        <f>_xlfn.RANK.AVG(DataShift!Y288,DataShift!F288:Y288)</f>
        <v>9</v>
      </c>
      <c r="I86" s="90">
        <f>_xlfn.PERCENTRANK.INC(DataShift!F288:Y288,DataShift!Y288)</f>
        <v>0.57799999999999996</v>
      </c>
    </row>
    <row r="87" spans="1:9" hidden="1">
      <c r="A87" t="str">
        <f ca="1">TabCalc[[#This Row],[Ticker]]</f>
        <v>OXY</v>
      </c>
      <c r="B87">
        <f>_xlfn.RANK.EQ(DataShift!AU189,DataShift!AB189:AU189)</f>
        <v>18</v>
      </c>
      <c r="C87">
        <f>_xlfn.RANK.EQ(DataShift!Y788,DataShift!F788:Y788)</f>
        <v>14</v>
      </c>
      <c r="D87" t="e">
        <f>_xlfn.RANK.EQ(DataShift!AU689,DataShift!AB689:AU689)</f>
        <v>#N/A</v>
      </c>
      <c r="G87">
        <f>_xlfn.RANK.EQ(DataShift!Y289,DataShift!F289:Y289)</f>
        <v>11</v>
      </c>
      <c r="H87">
        <f>_xlfn.RANK.AVG(DataShift!Y289,DataShift!F289:Y289)</f>
        <v>11</v>
      </c>
      <c r="I87" s="90">
        <f>_xlfn.PERCENTRANK.INC(DataShift!F289:Y289,DataShift!Y289)</f>
        <v>0.47299999999999998</v>
      </c>
    </row>
    <row r="88" spans="1:9" hidden="1">
      <c r="A88" t="str">
        <f ca="1">TabCalc[[#This Row],[Ticker]]</f>
        <v>PFE</v>
      </c>
      <c r="B88">
        <f>_xlfn.RANK.EQ(DataShift!AU190,DataShift!AB190:AU190)</f>
        <v>19</v>
      </c>
      <c r="C88">
        <f>_xlfn.RANK.EQ(DataShift!Y789,DataShift!F789:Y789)</f>
        <v>7</v>
      </c>
      <c r="D88" t="e">
        <f>_xlfn.RANK.EQ(DataShift!AU690,DataShift!AB690:AU690)</f>
        <v>#N/A</v>
      </c>
      <c r="G88">
        <f>_xlfn.RANK.EQ(DataShift!Y290,DataShift!F290:Y290)</f>
        <v>10</v>
      </c>
      <c r="H88">
        <f>_xlfn.RANK.AVG(DataShift!Y290,DataShift!F290:Y290)</f>
        <v>10</v>
      </c>
      <c r="I88" s="90">
        <f>_xlfn.PERCENTRANK.INC(DataShift!F290:Y290,DataShift!Y290)</f>
        <v>0.52600000000000002</v>
      </c>
    </row>
    <row r="89" spans="1:9" hidden="1">
      <c r="A89" t="str">
        <f ca="1">TabCalc[[#This Row],[Ticker]]</f>
        <v>RIG</v>
      </c>
      <c r="B89">
        <f>_xlfn.RANK.EQ(DataShift!AU191,DataShift!AB191:AU191)</f>
        <v>6</v>
      </c>
      <c r="C89">
        <f>_xlfn.RANK.EQ(DataShift!Y790,DataShift!F790:Y790)</f>
        <v>14</v>
      </c>
      <c r="D89" t="e">
        <f>_xlfn.RANK.EQ(DataShift!AU691,DataShift!AB691:AU691)</f>
        <v>#N/A</v>
      </c>
      <c r="G89">
        <f>_xlfn.RANK.EQ(DataShift!Y291,DataShift!F291:Y291)</f>
        <v>1</v>
      </c>
      <c r="H89">
        <f>_xlfn.RANK.AVG(DataShift!Y291,DataShift!F291:Y291)</f>
        <v>1</v>
      </c>
      <c r="I89" s="90">
        <f>_xlfn.PERCENTRANK.INC(DataShift!F291:Y291,DataShift!Y291)</f>
        <v>1</v>
      </c>
    </row>
    <row r="90" spans="1:9">
      <c r="A90" t="str">
        <f ca="1">TabCalc[[#This Row],[Ticker]]</f>
        <v>RRC</v>
      </c>
      <c r="B90">
        <f>_xlfn.RANK.EQ(DataShift!AU192,DataShift!AB192:AU192)</f>
        <v>11</v>
      </c>
      <c r="C90">
        <f>_xlfn.RANK.EQ(DataShift!Y791,DataShift!F791:Y791)</f>
        <v>10</v>
      </c>
      <c r="D90" t="e">
        <f>_xlfn.RANK.EQ(DataShift!AU692,DataShift!AB692:AU692)</f>
        <v>#N/A</v>
      </c>
      <c r="G90">
        <f>_xlfn.RANK.EQ(DataShift!Y292,DataShift!F292:Y292)</f>
        <v>9</v>
      </c>
      <c r="H90">
        <f>_xlfn.RANK.AVG(DataShift!Y292,DataShift!F292:Y292)</f>
        <v>9</v>
      </c>
      <c r="I90" s="90">
        <f>_xlfn.PERCENTRANK.INC(DataShift!F292:Y292,DataShift!Y292)</f>
        <v>0.57799999999999996</v>
      </c>
    </row>
    <row r="91" spans="1:9">
      <c r="A91" t="str">
        <f ca="1">TabCalc[[#This Row],[Ticker]]</f>
        <v>XYZ</v>
      </c>
      <c r="B91">
        <f>_xlfn.RANK.EQ(DataShift!AU193,DataShift!AB193:AU193)</f>
        <v>17</v>
      </c>
      <c r="C91">
        <f>_xlfn.RANK.EQ(DataShift!Y792,DataShift!F792:Y792)</f>
        <v>10</v>
      </c>
      <c r="D91" t="e">
        <f>_xlfn.RANK.EQ(DataShift!AU693,DataShift!AB693:AU693)</f>
        <v>#N/A</v>
      </c>
      <c r="G91">
        <f>_xlfn.RANK.EQ(DataShift!Y293,DataShift!F293:Y293)</f>
        <v>4</v>
      </c>
      <c r="H91">
        <f>_xlfn.RANK.AVG(DataShift!Y293,DataShift!F293:Y293)</f>
        <v>4</v>
      </c>
      <c r="I91" s="90">
        <f>_xlfn.PERCENTRANK.INC(DataShift!F293:Y293,DataShift!Y293)</f>
        <v>0.84199999999999997</v>
      </c>
    </row>
    <row r="92" spans="1:9">
      <c r="A92" t="str">
        <f ca="1">TabCalc[[#This Row],[Ticker]]</f>
        <v>THC</v>
      </c>
      <c r="B92">
        <f>_xlfn.RANK.EQ(DataShift!AU194,DataShift!AB194:AU194)</f>
        <v>1</v>
      </c>
      <c r="C92">
        <f>_xlfn.RANK.EQ(DataShift!Y793,DataShift!F793:Y793)</f>
        <v>3</v>
      </c>
      <c r="D92" t="e">
        <f>_xlfn.RANK.EQ(DataShift!AU694,DataShift!AB694:AU694)</f>
        <v>#N/A</v>
      </c>
      <c r="G92">
        <f>_xlfn.RANK.EQ(DataShift!Y294,DataShift!F294:Y294)</f>
        <v>1</v>
      </c>
      <c r="H92">
        <f>_xlfn.RANK.AVG(DataShift!Y294,DataShift!F294:Y294)</f>
        <v>1</v>
      </c>
      <c r="I92" s="90">
        <f>_xlfn.PERCENTRANK.INC(DataShift!F294:Y294,DataShift!Y294)</f>
        <v>1</v>
      </c>
    </row>
    <row r="93" spans="1:9">
      <c r="A93" t="str">
        <f ca="1">TabCalc[[#This Row],[Ticker]]</f>
        <v>X</v>
      </c>
      <c r="B93">
        <f>_xlfn.RANK.EQ(DataShift!AU195,DataShift!AB195:AU195)</f>
        <v>1</v>
      </c>
      <c r="C93">
        <f>_xlfn.RANK.EQ(DataShift!Y794,DataShift!F794:Y794)</f>
        <v>1</v>
      </c>
      <c r="D93" t="e">
        <f>_xlfn.RANK.EQ(DataShift!AU695,DataShift!AB695:AU695)</f>
        <v>#N/A</v>
      </c>
      <c r="G93">
        <f>_xlfn.RANK.EQ(DataShift!Y295,DataShift!F295:Y295)</f>
        <v>1</v>
      </c>
      <c r="H93">
        <f>_xlfn.RANK.AVG(DataShift!Y295,DataShift!F295:Y295)</f>
        <v>10.5</v>
      </c>
      <c r="I93" s="90">
        <f>_xlfn.PERCENTRANK.INC(DataShift!F295:Y295,DataShift!Y295)</f>
        <v>0</v>
      </c>
    </row>
    <row r="94" spans="1:9">
      <c r="A94" t="str">
        <f ca="1">TabCalc[[#This Row],[Ticker]]</f>
        <v>JBEOAN</v>
      </c>
      <c r="B94">
        <f>_xlfn.RANK.EQ(DataShift!AU198,DataShift!AB198:AU198)</f>
        <v>16</v>
      </c>
      <c r="C94">
        <f>_xlfn.RANK.EQ(DataShift!Y797,DataShift!F797:Y797)</f>
        <v>6</v>
      </c>
      <c r="D94" t="e">
        <f>_xlfn.RANK.EQ(DataShift!AU698,DataShift!AB698:AU698)</f>
        <v>#N/A</v>
      </c>
      <c r="G94">
        <f>_xlfn.RANK.EQ(DataShift!Y298,DataShift!F298:Y298)</f>
        <v>17</v>
      </c>
      <c r="H94">
        <f>_xlfn.RANK.AVG(DataShift!Y298,DataShift!F298:Y298)</f>
        <v>17</v>
      </c>
      <c r="I94" s="90">
        <f>_xlfn.PERCENTRANK.INC(DataShift!F298:Y298,DataShift!Y298)</f>
        <v>0.157</v>
      </c>
    </row>
    <row r="95" spans="1:9">
      <c r="A95" t="str">
        <f>TabCalc[[#This Row],[Ticker]]</f>
        <v>LOCK</v>
      </c>
      <c r="B95">
        <f>_xlfn.RANK.EQ(DataShift!AU196,DataShift!AB196:AU196)</f>
        <v>1</v>
      </c>
      <c r="C95">
        <f>_xlfn.RANK.EQ(DataShift!Y795,DataShift!F795:Y795)</f>
        <v>2</v>
      </c>
      <c r="D95" t="e">
        <f>_xlfn.RANK.EQ(DataShift!AU696,DataShift!AB696:AU696)</f>
        <v>#N/A</v>
      </c>
      <c r="G95">
        <f>_xlfn.RANK.EQ(DataShift!Y296,DataShift!F296:Y296)</f>
        <v>1</v>
      </c>
      <c r="H95">
        <f>_xlfn.RANK.AVG(DataShift!Y296,DataShift!F296:Y296)</f>
        <v>1</v>
      </c>
      <c r="I95" s="90">
        <f>_xlfn.PERCENTRANK.INC(DataShift!F296:Y296,DataShift!Y296)</f>
        <v>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DDA4D-41AE-5847-8B48-FCB73AF02A89}">
  <sheetPr codeName="Sheet22"/>
  <dimension ref="A1:E41"/>
  <sheetViews>
    <sheetView workbookViewId="0"/>
  </sheetViews>
  <sheetFormatPr baseColWidth="10" defaultRowHeight="22"/>
  <sheetData>
    <row r="1" spans="1:5">
      <c r="A1" t="s">
        <v>1798</v>
      </c>
      <c r="B1" t="s">
        <v>1799</v>
      </c>
      <c r="C1" t="s">
        <v>1800</v>
      </c>
      <c r="D1" t="s">
        <v>1801</v>
      </c>
      <c r="E1" t="s">
        <v>1802</v>
      </c>
    </row>
    <row r="2" spans="1:5">
      <c r="A2" t="s">
        <v>1803</v>
      </c>
      <c r="B2">
        <v>-54116.19</v>
      </c>
      <c r="C2">
        <v>1033766.19</v>
      </c>
      <c r="D2">
        <v>-5.2348577970034019E-2</v>
      </c>
      <c r="E2">
        <v>16000</v>
      </c>
    </row>
    <row r="3" spans="1:5">
      <c r="A3" t="s">
        <v>1803</v>
      </c>
      <c r="B3">
        <v>6124569.2999999989</v>
      </c>
      <c r="C3">
        <v>20995230.700000003</v>
      </c>
      <c r="D3">
        <v>0.29171240780888386</v>
      </c>
      <c r="E3">
        <v>490000</v>
      </c>
    </row>
    <row r="4" spans="1:5">
      <c r="A4" t="s">
        <v>1803</v>
      </c>
      <c r="B4">
        <v>99033.309999999969</v>
      </c>
      <c r="C4">
        <v>2329211.79</v>
      </c>
      <c r="D4">
        <v>4.2517949816834807E-2</v>
      </c>
      <c r="E4">
        <v>41990</v>
      </c>
    </row>
    <row r="5" spans="1:5">
      <c r="A5" t="s">
        <v>1803</v>
      </c>
      <c r="B5">
        <v>3081.0360000000001</v>
      </c>
      <c r="C5">
        <v>544768.66400000011</v>
      </c>
      <c r="D5">
        <v>5.6556777281888586E-3</v>
      </c>
      <c r="E5">
        <v>38000</v>
      </c>
    </row>
    <row r="6" spans="1:5">
      <c r="A6" t="s">
        <v>1803</v>
      </c>
      <c r="B6">
        <v>-34900</v>
      </c>
      <c r="C6">
        <v>453330</v>
      </c>
      <c r="D6">
        <v>-7.6985860190148456E-2</v>
      </c>
      <c r="E6">
        <v>36000</v>
      </c>
    </row>
    <row r="7" spans="1:5">
      <c r="A7" t="s">
        <v>1803</v>
      </c>
      <c r="B7">
        <v>59969.281259999952</v>
      </c>
      <c r="C7">
        <v>645297.84874000004</v>
      </c>
      <c r="D7">
        <v>9.2932715298981963E-2</v>
      </c>
      <c r="E7">
        <v>18680</v>
      </c>
    </row>
    <row r="8" spans="1:5">
      <c r="A8" t="s">
        <v>1803</v>
      </c>
      <c r="B8">
        <v>11510.414999999997</v>
      </c>
      <c r="C8">
        <v>104759.08499999999</v>
      </c>
      <c r="D8">
        <v>0.10987510057003647</v>
      </c>
      <c r="E8">
        <v>25000</v>
      </c>
    </row>
    <row r="9" spans="1:5">
      <c r="A9" t="s">
        <v>1803</v>
      </c>
      <c r="B9">
        <v>31603.5</v>
      </c>
      <c r="C9">
        <v>1785342.5</v>
      </c>
      <c r="D9">
        <v>1.7701645482589474E-2</v>
      </c>
      <c r="E9">
        <v>52000</v>
      </c>
    </row>
    <row r="10" spans="1:5">
      <c r="A10" t="s">
        <v>1803</v>
      </c>
      <c r="B10">
        <v>37333.049999999996</v>
      </c>
      <c r="C10">
        <v>394360.05000000005</v>
      </c>
      <c r="D10">
        <v>9.4667423842754839E-2</v>
      </c>
      <c r="E10">
        <v>37600</v>
      </c>
    </row>
    <row r="11" spans="1:5">
      <c r="A11" t="s">
        <v>1803</v>
      </c>
      <c r="B11">
        <v>31977.599564000029</v>
      </c>
      <c r="C11">
        <v>251380.26943599997</v>
      </c>
      <c r="D11">
        <v>0.12720807259752481</v>
      </c>
      <c r="E11">
        <v>21970</v>
      </c>
    </row>
    <row r="12" spans="1:5">
      <c r="A12" t="s">
        <v>1803</v>
      </c>
      <c r="B12">
        <v>46542.069999999978</v>
      </c>
      <c r="C12">
        <v>505010.93000000005</v>
      </c>
      <c r="D12">
        <v>9.2160520169335694E-2</v>
      </c>
      <c r="E12">
        <v>4800</v>
      </c>
    </row>
    <row r="13" spans="1:5">
      <c r="A13" t="s">
        <v>1803</v>
      </c>
      <c r="B13">
        <v>0</v>
      </c>
      <c r="C13">
        <v>0</v>
      </c>
    </row>
    <row r="14" spans="1:5">
      <c r="A14" t="s">
        <v>1803</v>
      </c>
      <c r="B14">
        <v>12535.499999999993</v>
      </c>
      <c r="C14">
        <v>109435</v>
      </c>
      <c r="D14">
        <v>0.11454744825695612</v>
      </c>
      <c r="E14">
        <v>25000</v>
      </c>
    </row>
    <row r="15" spans="1:5">
      <c r="A15" t="s">
        <v>1803</v>
      </c>
      <c r="B15">
        <v>46542.069999999978</v>
      </c>
      <c r="C15">
        <v>505010.93000000005</v>
      </c>
      <c r="D15">
        <v>9.2160520169335694E-2</v>
      </c>
      <c r="E15">
        <v>4800</v>
      </c>
    </row>
    <row r="16" spans="1:5">
      <c r="A16" t="s">
        <v>1803</v>
      </c>
      <c r="B16">
        <v>-161482.90000000002</v>
      </c>
      <c r="C16">
        <v>712651.9</v>
      </c>
      <c r="D16">
        <v>-0.22659435833960453</v>
      </c>
      <c r="E16">
        <v>7900</v>
      </c>
    </row>
    <row r="17" spans="1:5">
      <c r="A17" t="s">
        <v>1803</v>
      </c>
      <c r="B17">
        <v>-161482.90000000002</v>
      </c>
      <c r="C17">
        <v>712651.9</v>
      </c>
      <c r="D17">
        <v>-0.22659435833960453</v>
      </c>
      <c r="E17">
        <v>7900</v>
      </c>
    </row>
    <row r="18" spans="1:5">
      <c r="A18" t="s">
        <v>1803</v>
      </c>
      <c r="B18">
        <v>1077203.75</v>
      </c>
      <c r="C18">
        <v>3438571.25</v>
      </c>
      <c r="D18">
        <v>0.31327073708302539</v>
      </c>
      <c r="E18">
        <v>372250</v>
      </c>
    </row>
    <row r="19" spans="1:5">
      <c r="A19" t="s">
        <v>1803</v>
      </c>
      <c r="B19">
        <v>86742.999999999985</v>
      </c>
      <c r="C19">
        <v>484018.6</v>
      </c>
      <c r="D19">
        <v>0.17921418722338353</v>
      </c>
      <c r="E19">
        <v>1990</v>
      </c>
    </row>
    <row r="20" spans="1:5">
      <c r="A20" t="s">
        <v>1803</v>
      </c>
      <c r="B20">
        <v>27017.407999999967</v>
      </c>
      <c r="C20">
        <v>581307.59199999995</v>
      </c>
      <c r="D20">
        <v>4.6476957073700094E-2</v>
      </c>
      <c r="E20">
        <v>16300</v>
      </c>
    </row>
    <row r="21" spans="1:5">
      <c r="A21" t="s">
        <v>1803</v>
      </c>
      <c r="B21">
        <v>12112.487999999979</v>
      </c>
      <c r="C21">
        <v>313257.52</v>
      </c>
      <c r="D21">
        <v>3.8666232178560245E-2</v>
      </c>
      <c r="E21">
        <v>2840</v>
      </c>
    </row>
    <row r="22" spans="1:5">
      <c r="A22" t="s">
        <v>1803</v>
      </c>
      <c r="B22">
        <v>-136423.48999999996</v>
      </c>
      <c r="C22">
        <v>2295564.5</v>
      </c>
      <c r="D22">
        <v>-5.9429168729521635E-2</v>
      </c>
      <c r="E22">
        <v>2600</v>
      </c>
    </row>
    <row r="23" spans="1:5">
      <c r="A23" t="s">
        <v>1803</v>
      </c>
      <c r="B23">
        <v>122025.74800000005</v>
      </c>
      <c r="C23">
        <v>1563720.6</v>
      </c>
      <c r="D23">
        <v>7.8035518621421274E-2</v>
      </c>
      <c r="E23">
        <v>1906</v>
      </c>
    </row>
    <row r="24" spans="1:5">
      <c r="A24" t="s">
        <v>1803</v>
      </c>
      <c r="B24">
        <v>1277421.0260000001</v>
      </c>
      <c r="C24">
        <v>2246666.054</v>
      </c>
      <c r="D24">
        <v>0.56858518146284331</v>
      </c>
      <c r="E24">
        <v>5100</v>
      </c>
    </row>
    <row r="25" spans="1:5">
      <c r="A25" t="s">
        <v>1803</v>
      </c>
      <c r="B25">
        <v>37709740.100000001</v>
      </c>
      <c r="C25">
        <v>84249000</v>
      </c>
      <c r="D25">
        <v>0.44759866704649315</v>
      </c>
      <c r="E25">
        <v>540000</v>
      </c>
    </row>
    <row r="26" spans="1:5">
      <c r="A26" t="s">
        <v>1803</v>
      </c>
      <c r="B26">
        <v>404559</v>
      </c>
      <c r="C26">
        <v>408348</v>
      </c>
      <c r="D26">
        <v>0.99072114960768753</v>
      </c>
      <c r="E26">
        <v>3800</v>
      </c>
    </row>
    <row r="27" spans="1:5">
      <c r="A27" t="s">
        <v>1803</v>
      </c>
      <c r="B27">
        <v>31977.599564000029</v>
      </c>
      <c r="C27">
        <v>251380.26943599997</v>
      </c>
      <c r="D27">
        <v>0.12720807259752481</v>
      </c>
      <c r="E27">
        <v>21970</v>
      </c>
    </row>
    <row r="28" spans="1:5">
      <c r="A28" t="s">
        <v>1803</v>
      </c>
      <c r="B28">
        <v>6124569.2999999989</v>
      </c>
      <c r="C28">
        <v>20995230.700000003</v>
      </c>
      <c r="D28">
        <v>0.29171240780888386</v>
      </c>
      <c r="E28">
        <v>490000</v>
      </c>
    </row>
    <row r="29" spans="1:5">
      <c r="A29" t="s">
        <v>1803</v>
      </c>
      <c r="B29">
        <v>466731</v>
      </c>
      <c r="C29">
        <v>1605515</v>
      </c>
      <c r="D29">
        <v>0.29070485171424748</v>
      </c>
      <c r="E29">
        <v>11000</v>
      </c>
    </row>
    <row r="30" spans="1:5">
      <c r="A30" t="s">
        <v>1803</v>
      </c>
      <c r="B30">
        <v>12535.499999999993</v>
      </c>
      <c r="C30">
        <v>109435</v>
      </c>
      <c r="D30">
        <v>0.11454744825695612</v>
      </c>
      <c r="E30">
        <v>25000</v>
      </c>
    </row>
    <row r="31" spans="1:5">
      <c r="A31" t="s">
        <v>1803</v>
      </c>
      <c r="B31">
        <v>116352.39999999998</v>
      </c>
      <c r="C31">
        <v>408705.6</v>
      </c>
      <c r="D31">
        <v>0.28468511319639367</v>
      </c>
      <c r="E31">
        <v>6900</v>
      </c>
    </row>
    <row r="32" spans="1:5">
      <c r="A32" t="s">
        <v>1803</v>
      </c>
      <c r="B32">
        <v>127413.432</v>
      </c>
      <c r="C32">
        <v>376986.2</v>
      </c>
      <c r="D32">
        <v>0.33797903477633928</v>
      </c>
      <c r="E32">
        <v>25500</v>
      </c>
    </row>
    <row r="33" spans="1:5">
      <c r="A33" t="s">
        <v>1803</v>
      </c>
      <c r="B33">
        <v>26759.200000000026</v>
      </c>
      <c r="C33">
        <v>432997.8</v>
      </c>
      <c r="D33">
        <v>6.1799852100865242E-2</v>
      </c>
      <c r="E33">
        <v>14400</v>
      </c>
    </row>
    <row r="34" spans="1:5">
      <c r="A34" t="s">
        <v>1803</v>
      </c>
      <c r="B34">
        <v>-136423.48999999996</v>
      </c>
      <c r="C34">
        <v>2295564.5</v>
      </c>
      <c r="D34">
        <v>-5.9429168729521635E-2</v>
      </c>
      <c r="E34">
        <v>2600</v>
      </c>
    </row>
    <row r="35" spans="1:5">
      <c r="A35" t="s">
        <v>1803</v>
      </c>
      <c r="B35">
        <v>2315.5849999999973</v>
      </c>
      <c r="C35">
        <v>46914.3</v>
      </c>
      <c r="D35">
        <v>4.9357765116393025E-2</v>
      </c>
      <c r="E35">
        <v>19990</v>
      </c>
    </row>
    <row r="36" spans="1:5">
      <c r="A36" t="s">
        <v>1803</v>
      </c>
      <c r="B36">
        <v>-79659.5</v>
      </c>
      <c r="C36">
        <v>186809.5</v>
      </c>
      <c r="D36">
        <v>-0.42642103319156682</v>
      </c>
      <c r="E36">
        <v>7700</v>
      </c>
    </row>
    <row r="37" spans="1:5">
      <c r="A37" t="s">
        <v>1803</v>
      </c>
      <c r="B37">
        <v>-79659.5</v>
      </c>
      <c r="C37">
        <v>186809.5</v>
      </c>
      <c r="D37">
        <v>-0.42642103319156682</v>
      </c>
      <c r="E37">
        <v>7700</v>
      </c>
    </row>
    <row r="38" spans="1:5">
      <c r="A38" t="s">
        <v>1803</v>
      </c>
      <c r="B38">
        <v>-79659.5</v>
      </c>
      <c r="C38">
        <v>186809.5</v>
      </c>
      <c r="D38">
        <v>-0.42642103319156682</v>
      </c>
      <c r="E38">
        <v>7700</v>
      </c>
    </row>
    <row r="39" spans="1:5">
      <c r="A39" t="s">
        <v>1803</v>
      </c>
      <c r="B39">
        <v>-79659.5</v>
      </c>
      <c r="C39">
        <v>186809.5</v>
      </c>
      <c r="D39">
        <v>-0.42642103319156682</v>
      </c>
      <c r="E39">
        <v>7700</v>
      </c>
    </row>
    <row r="40" spans="1:5">
      <c r="A40" t="s">
        <v>1803</v>
      </c>
      <c r="B40">
        <v>108050.74999999999</v>
      </c>
      <c r="C40">
        <v>759795.95</v>
      </c>
      <c r="D40">
        <v>0.14221022104684816</v>
      </c>
      <c r="E40">
        <v>15990</v>
      </c>
    </row>
    <row r="41" spans="1:5">
      <c r="A41" t="s">
        <v>1803</v>
      </c>
      <c r="B41">
        <v>14427.602500000077</v>
      </c>
      <c r="C41">
        <v>2595563.9099999997</v>
      </c>
      <c r="D41">
        <v>5.5585618386873314E-3</v>
      </c>
      <c r="E41">
        <v>79164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1CAA9-319C-2046-8912-FDC48FBFCE93}">
  <sheetPr codeName="Sheet14"/>
  <dimension ref="B1:BW208"/>
  <sheetViews>
    <sheetView showZeros="0" topLeftCell="AM27" zoomScale="180" zoomScaleNormal="120" workbookViewId="0">
      <selection activeCell="AQ40" sqref="AQ40"/>
    </sheetView>
  </sheetViews>
  <sheetFormatPr baseColWidth="10" defaultRowHeight="22"/>
  <cols>
    <col min="1" max="4" width="10.625" style="898"/>
    <col min="5" max="6" width="10.625" style="898" customWidth="1"/>
    <col min="7" max="7" width="10.625" style="898"/>
    <col min="8" max="22" width="10.625" style="898" customWidth="1"/>
    <col min="23" max="23" width="13.5" style="898" customWidth="1"/>
    <col min="24" max="24" width="19.375" style="898" customWidth="1"/>
    <col min="25" max="26" width="10.625" style="898" customWidth="1"/>
    <col min="27" max="27" width="14.5" style="898" customWidth="1"/>
    <col min="28" max="28" width="18.375" style="898" customWidth="1"/>
    <col min="29" max="39" width="10.625" style="898" customWidth="1"/>
    <col min="40" max="40" width="7.5" style="898" customWidth="1"/>
    <col min="41" max="41" width="10.625" style="898" customWidth="1"/>
    <col min="42" max="42" width="10.625" style="902"/>
    <col min="43" max="43" width="5.375" style="898" bestFit="1" customWidth="1"/>
    <col min="44" max="44" width="5.25" style="898" customWidth="1"/>
    <col min="45" max="45" width="4.5" style="898" bestFit="1" customWidth="1"/>
    <col min="46" max="46" width="5.5" style="898" bestFit="1" customWidth="1"/>
    <col min="47" max="47" width="4.5" style="898" bestFit="1" customWidth="1"/>
    <col min="48" max="51" width="5.375" style="898" bestFit="1" customWidth="1"/>
    <col min="52" max="53" width="4.5" style="898" bestFit="1" customWidth="1"/>
    <col min="54" max="54" width="5.375" style="898" bestFit="1" customWidth="1"/>
    <col min="55" max="55" width="4.5" style="898" bestFit="1" customWidth="1"/>
    <col min="56" max="56" width="5.375" style="898" bestFit="1" customWidth="1"/>
    <col min="57" max="57" width="4.5" style="898" bestFit="1" customWidth="1"/>
    <col min="58" max="61" width="5.375" style="898" bestFit="1" customWidth="1"/>
    <col min="62" max="62" width="4.5" style="898" bestFit="1" customWidth="1"/>
    <col min="63" max="69" width="5.375" style="898" bestFit="1" customWidth="1"/>
    <col min="70" max="75" width="4.125" style="898" bestFit="1" customWidth="1"/>
    <col min="76" max="16384" width="10.625" style="898"/>
  </cols>
  <sheetData>
    <row r="1" spans="2:71" ht="23" thickBot="1"/>
    <row r="2" spans="2:71" ht="23" thickBot="1">
      <c r="J2" s="899" t="s">
        <v>2301</v>
      </c>
      <c r="K2" s="900" t="s">
        <v>2302</v>
      </c>
      <c r="L2" s="901" t="s">
        <v>2303</v>
      </c>
      <c r="T2" s="902" t="s">
        <v>2304</v>
      </c>
      <c r="AJ2" s="898" t="str">
        <f>TEXT(AJ3,"dd/mm/yyyy")</f>
        <v>01/01/2025</v>
      </c>
      <c r="AK2" s="898" t="str">
        <f ca="1">TEXT(TODAY(),"dd/mm/yyyy")</f>
        <v>26/10/2025</v>
      </c>
      <c r="AL2" s="902" t="s">
        <v>2305</v>
      </c>
    </row>
    <row r="3" spans="2:71" ht="23" thickBot="1">
      <c r="B3" s="959" t="str">
        <f>W6</f>
        <v>NFLX</v>
      </c>
      <c r="C3" s="903"/>
      <c r="D3" s="903"/>
      <c r="E3" s="1311">
        <v>5.0000000000000001E-3</v>
      </c>
      <c r="K3" s="898" t="s">
        <v>2306</v>
      </c>
      <c r="AH3" s="1057" t="s">
        <v>2462</v>
      </c>
      <c r="AI3" s="959" t="str">
        <f>W6</f>
        <v>NFLX</v>
      </c>
      <c r="AJ3" s="1263">
        <v>45658</v>
      </c>
      <c r="AK3" s="1263">
        <f ca="1">TODAY()</f>
        <v>45956</v>
      </c>
      <c r="AL3" s="898">
        <f ca="1">MATCH(MAX(AI5:AI201),AI5:AI201,0)</f>
        <v>197</v>
      </c>
    </row>
    <row r="4" spans="2:71" ht="23" thickBot="1">
      <c r="B4" s="89" t="s">
        <v>156</v>
      </c>
      <c r="C4" s="89" t="s">
        <v>2307</v>
      </c>
      <c r="D4" s="89" t="s">
        <v>196</v>
      </c>
      <c r="E4" s="296" t="s">
        <v>2686</v>
      </c>
      <c r="F4" s="296"/>
      <c r="G4" s="296" t="s">
        <v>2685</v>
      </c>
      <c r="J4" s="902"/>
      <c r="K4" s="902" t="s">
        <v>2301</v>
      </c>
      <c r="L4" s="902" t="s">
        <v>2303</v>
      </c>
      <c r="M4" s="902" t="s">
        <v>2302</v>
      </c>
      <c r="T4" s="904">
        <f ca="1">MAX(T5:T147)</f>
        <v>15</v>
      </c>
      <c r="U4" s="905">
        <f ca="1">MAX(U5:U147)</f>
        <v>18</v>
      </c>
      <c r="AH4" s="1057" t="s">
        <v>2463</v>
      </c>
      <c r="AI4" s="89" t="str" cm="1">
        <f t="array" aca="1" ref="AI4:AJ208" ca="1">_xlfn.STOCKHISTORY(AI3,AJ3,AK3)</f>
        <v>Date</v>
      </c>
      <c r="AJ4" s="89" t="str">
        <f ca="1"/>
        <v>Close</v>
      </c>
    </row>
    <row r="5" spans="2:71" ht="28" thickBot="1">
      <c r="B5" s="89" cm="1" vm="1">
        <f t="array" aca="1" ref="B5:C201" ca="1">_xlfn.LET(
  _xlpm.r, AI5:AJ365,
  _xlpm.d, _xlfn.TAKE(_xlpm.r,,1),
  _xlpm.kept, _xlfn._xlws.FILTER(_xlpm.r, _xlpm.d&lt;&gt;""),
  _xlpm.sorted, _xlfn._xlws.SORT(_xlpm.kept, 1, -1),
  _xlpm.n, MIN(AL3, ROWS(_xlpm.sorted)),
  _xlfn.TAKE(_xlpm.sorted, _xlpm.n)
)</f>
        <v>45954</v>
      </c>
      <c r="C5" s="89" vm="2">
        <f ca="1"/>
        <v>1094.69</v>
      </c>
      <c r="D5" s="1335">
        <f t="shared" ref="D5:D68" ca="1" si="0">IFERROR((C5-C6)/C6,0)</f>
        <v>-1.6972135166443542E-2</v>
      </c>
      <c r="E5" s="296" t="str" cm="1">
        <f t="array" aca="1" ref="E5" ca="1">_xlfn.IFS(D5&gt;0.5%,"U",D5&lt;=-0.5%,"D",TRUE,"Z")</f>
        <v>D</v>
      </c>
      <c r="F5" s="296" t="str">
        <f ca="1">_xlfn.CONCAT(E6,E5)</f>
        <v>ZD</v>
      </c>
      <c r="G5" s="296" t="str">
        <f ca="1">_xlfn.CONCAT(E7,E6,E5)</f>
        <v>DZD</v>
      </c>
      <c r="H5" s="898" t="str">
        <f ca="1">IF(LEFT(G5,2)="DD","DD","")</f>
        <v/>
      </c>
      <c r="J5" s="902" t="s">
        <v>2301</v>
      </c>
      <c r="K5" s="906">
        <v>0.01</v>
      </c>
      <c r="L5" s="906">
        <v>0.5</v>
      </c>
      <c r="M5" s="906">
        <v>0.49</v>
      </c>
      <c r="T5" s="898">
        <f t="shared" ref="T5:T48" ca="1" si="1">COUNTIF(D5:D26,"&lt;0")</f>
        <v>13</v>
      </c>
      <c r="U5" s="898">
        <f t="shared" ref="U5:U36" ca="1" si="2">COUNTIF(D5:D26,"&gt;0")</f>
        <v>9</v>
      </c>
      <c r="W5" s="1005" t="s">
        <v>2326</v>
      </c>
      <c r="X5" s="920"/>
      <c r="Y5" s="898" t="s">
        <v>2588</v>
      </c>
      <c r="AI5" s="89" vm="3">
        <f ca="1"/>
        <v>45659</v>
      </c>
      <c r="AJ5" s="89" vm="4">
        <f ca="1"/>
        <v>886.73</v>
      </c>
      <c r="AR5" s="898" t="str" cm="1">
        <f t="array" aca="1" ref="AR5:BS5" ca="1">TRANSPOSE(AQ6:AQ33)</f>
        <v>DZD</v>
      </c>
      <c r="AS5" s="898" t="str">
        <f ca="1"/>
        <v>ZDZ</v>
      </c>
      <c r="AT5" s="898" t="str">
        <f ca="1"/>
        <v>UZD</v>
      </c>
      <c r="AU5" s="898" t="str">
        <f ca="1"/>
        <v>UUZ</v>
      </c>
      <c r="AV5" s="898" t="str">
        <f ca="1"/>
        <v>DUU</v>
      </c>
      <c r="AW5" s="898" t="str">
        <f ca="1"/>
        <v>DDU</v>
      </c>
      <c r="AX5" s="898" t="str">
        <f ca="1"/>
        <v>ZDD</v>
      </c>
      <c r="AY5" s="898" t="str">
        <f ca="1"/>
        <v>ZZD</v>
      </c>
      <c r="AZ5" s="898" t="str">
        <f ca="1"/>
        <v>DZZ</v>
      </c>
      <c r="BA5" s="898" t="str">
        <f ca="1"/>
        <v>UDZ</v>
      </c>
      <c r="BB5" s="898" t="str">
        <f ca="1"/>
        <v>UUD</v>
      </c>
      <c r="BC5" s="898" t="str">
        <f ca="1"/>
        <v>UUU</v>
      </c>
      <c r="BD5" s="898" t="str">
        <f ca="1"/>
        <v>DDD</v>
      </c>
      <c r="BE5" s="898" t="str">
        <f ca="1"/>
        <v>ZZZ</v>
      </c>
      <c r="BF5" s="898" t="str">
        <f ca="1"/>
        <v>DDZ</v>
      </c>
      <c r="BG5" s="898" t="str">
        <f ca="1"/>
        <v>DUZ</v>
      </c>
      <c r="BH5" s="898" t="str">
        <f ca="1"/>
        <v>UDU</v>
      </c>
      <c r="BI5" s="898" t="str">
        <f ca="1"/>
        <v>ZUD</v>
      </c>
      <c r="BJ5" s="898" t="str">
        <f ca="1"/>
        <v>UZU</v>
      </c>
      <c r="BK5" s="898" t="str">
        <f ca="1"/>
        <v>UDD</v>
      </c>
      <c r="BL5" s="898" t="str">
        <f ca="1"/>
        <v>DZU</v>
      </c>
      <c r="BM5" s="898" t="str">
        <f ca="1"/>
        <v>ZUU</v>
      </c>
      <c r="BN5" s="898" t="str">
        <f ca="1"/>
        <v>ZZU</v>
      </c>
      <c r="BO5" s="898" t="str">
        <f ca="1"/>
        <v>DUD</v>
      </c>
      <c r="BP5" s="898" t="str">
        <f ca="1"/>
        <v>ZDU</v>
      </c>
      <c r="BQ5" s="898" t="str">
        <f ca="1"/>
        <v>ZUZ</v>
      </c>
      <c r="BR5" s="898" t="str">
        <f ca="1"/>
        <v>UZZ</v>
      </c>
      <c r="BS5" s="898" t="str">
        <f ca="1"/>
        <v>Max</v>
      </c>
    </row>
    <row r="6" spans="2:71" ht="22" customHeight="1" thickBot="1">
      <c r="B6" s="89" vm="5">
        <f ca="1"/>
        <v>45953</v>
      </c>
      <c r="C6" s="89" vm="6">
        <f ca="1"/>
        <v>1113.5899999999999</v>
      </c>
      <c r="D6" s="1335">
        <f t="shared" ca="1" si="0"/>
        <v>-2.4902138179993846E-3</v>
      </c>
      <c r="E6" s="296" t="str" cm="1">
        <f t="array" aca="1" ref="E6" ca="1">_xlfn.IFS(D6&gt;0.5%,"U",D6&lt;=-0.5%,"D",TRUE,"Z")</f>
        <v>Z</v>
      </c>
      <c r="F6" s="296" t="str">
        <f t="shared" ref="F6:F69" ca="1" si="3">_xlfn.CONCAT(E7,E6)</f>
        <v>DZ</v>
      </c>
      <c r="G6" s="296" t="str">
        <f t="shared" ref="G6:G69" ca="1" si="4">_xlfn.CONCAT(E8,E7,E6)</f>
        <v>ZDZ</v>
      </c>
      <c r="H6" s="898" t="str">
        <f t="shared" ref="H6:H69" ca="1" si="5">IF(LEFT(G6,2)="DD","DD","")</f>
        <v/>
      </c>
      <c r="J6" s="902" t="s">
        <v>2303</v>
      </c>
      <c r="K6" s="906">
        <v>0.01</v>
      </c>
      <c r="L6" s="906">
        <v>0.69</v>
      </c>
      <c r="M6" s="906">
        <v>0.3</v>
      </c>
      <c r="T6" s="898">
        <f t="shared" ca="1" si="1"/>
        <v>13</v>
      </c>
      <c r="U6" s="898">
        <f t="shared" ca="1" si="2"/>
        <v>9</v>
      </c>
      <c r="W6" s="1401" t="str" cm="1">
        <f t="array" ref="W6">_xlfn.LET(_xlpm.Tick,[0]!IDTICKER,_xlfn.IFS(OR(LEFT(_xlpm.Tick,3)="SAF",LEFT(_xlpm.Tick,3)="MVE"),RIGHT(_xlpm.Tick, LEN(_xlpm.Tick)-3),LEFT(_xlpm.Tick,2)="JB",RIGHT(_xlpm.Tick, LEN(_xlpm.Tick)-2),TRUE,_xlpm.Tick))</f>
        <v>NFLX</v>
      </c>
      <c r="X6" s="921" t="s">
        <v>189</v>
      </c>
      <c r="AI6" s="89" vm="7">
        <f ca="1"/>
        <v>45660</v>
      </c>
      <c r="AJ6" s="89" vm="8">
        <f ca="1"/>
        <v>881.05</v>
      </c>
      <c r="AQ6" s="898" t="str" cm="1">
        <f t="array" aca="1" ref="AQ6:AQ32" ca="1">_xlfn.UNIQUE(G5:G157)</f>
        <v>DZD</v>
      </c>
      <c r="AR6" s="898" cm="1">
        <f t="array" aca="1" ref="AR6" ca="1">SUM( ($G$7:$G$155=$AQ6) * ($G$6:$G$154=AR$5) )</f>
        <v>0</v>
      </c>
      <c r="AS6" s="898" cm="1">
        <f t="array" aca="1" ref="AS6" ca="1">SUM( ($G$7:$G$155=$AQ6) * ($G$6:$G$154=AS$5) )</f>
        <v>1</v>
      </c>
      <c r="AT6" s="898" cm="1">
        <f t="array" aca="1" ref="AT6" ca="1">SUM( ($G$7:$G$155=$AQ6) * ($G$6:$G$154=AT$5) )</f>
        <v>0</v>
      </c>
      <c r="AU6" s="898" cm="1">
        <f t="array" aca="1" ref="AU6" ca="1">SUM( ($G$7:$G$155=$AQ6) * ($G$6:$G$154=AU$5) )</f>
        <v>0</v>
      </c>
      <c r="AV6" s="898" cm="1">
        <f t="array" aca="1" ref="AV6" ca="1">SUM( ($G$7:$G$155=$AQ6) * ($G$6:$G$154=AV$5) )</f>
        <v>0</v>
      </c>
      <c r="AW6" s="898" cm="1">
        <f t="array" aca="1" ref="AW6" ca="1">SUM( ($G$7:$G$155=$AQ6) * ($G$6:$G$154=AW$5) )</f>
        <v>0</v>
      </c>
      <c r="AX6" s="898" cm="1">
        <f t="array" aca="1" ref="AX6" ca="1">SUM( ($G$7:$G$155=$AQ6) * ($G$6:$G$154=AX$5) )</f>
        <v>0</v>
      </c>
      <c r="AY6" s="898" cm="1">
        <f t="array" aca="1" ref="AY6" ca="1">SUM( ($G$7:$G$155=$AQ6) * ($G$6:$G$154=AY$5) )</f>
        <v>0</v>
      </c>
      <c r="AZ6" s="898" cm="1">
        <f t="array" aca="1" ref="AZ6" ca="1">SUM( ($G$7:$G$155=$AQ6) * ($G$6:$G$154=AZ$5) )</f>
        <v>0</v>
      </c>
      <c r="BA6" s="898" cm="1">
        <f t="array" aca="1" ref="BA6" ca="1">SUM( ($G$7:$G$155=$AQ6) * ($G$6:$G$154=BA$5) )</f>
        <v>0</v>
      </c>
      <c r="BB6" s="898" cm="1">
        <f t="array" aca="1" ref="BB6" ca="1">SUM( ($G$7:$G$155=$AQ6) * ($G$6:$G$154=BB$5) )</f>
        <v>0</v>
      </c>
      <c r="BC6" s="898" cm="1">
        <f t="array" aca="1" ref="BC6" ca="1">SUM( ($G$7:$G$155=$AQ6) * ($G$6:$G$154=BC$5) )</f>
        <v>0</v>
      </c>
      <c r="BD6" s="898" cm="1">
        <f t="array" aca="1" ref="BD6" ca="1">SUM( ($G$7:$G$155=$AQ6) * ($G$6:$G$154=BD$5) )</f>
        <v>0</v>
      </c>
      <c r="BE6" s="898" cm="1">
        <f t="array" aca="1" ref="BE6" ca="1">SUM( ($G$7:$G$155=$AQ6) * ($G$6:$G$154=BE$5) )</f>
        <v>0</v>
      </c>
      <c r="BF6" s="898" cm="1">
        <f t="array" aca="1" ref="BF6" ca="1">SUM( ($G$7:$G$155=$AQ6) * ($G$6:$G$154=BF$5) )</f>
        <v>0</v>
      </c>
      <c r="BG6" s="898" cm="1">
        <f t="array" aca="1" ref="BG6" ca="1">SUM( ($G$7:$G$155=$AQ6) * ($G$6:$G$154=BG$5) )</f>
        <v>0</v>
      </c>
      <c r="BH6" s="898" cm="1">
        <f t="array" aca="1" ref="BH6" ca="1">SUM( ($G$7:$G$155=$AQ6) * ($G$6:$G$154=BH$5) )</f>
        <v>0</v>
      </c>
      <c r="BI6" s="898" cm="1">
        <f t="array" aca="1" ref="BI6" ca="1">SUM( ($G$7:$G$155=$AQ6) * ($G$6:$G$154=BI$5) )</f>
        <v>0</v>
      </c>
      <c r="BJ6" s="898" cm="1">
        <f t="array" aca="1" ref="BJ6" ca="1">SUM( ($G$7:$G$155=$AQ6) * ($G$6:$G$154=BJ$5) )</f>
        <v>0</v>
      </c>
      <c r="BK6" s="898" cm="1">
        <f t="array" aca="1" ref="BK6" ca="1">SUM( ($G$7:$G$155=$AQ6) * ($G$6:$G$154=BK$5) )</f>
        <v>0</v>
      </c>
      <c r="BL6" s="898" cm="1">
        <f t="array" aca="1" ref="BL6" ca="1">SUM( ($G$7:$G$155=$AQ6) * ($G$6:$G$154=BL$5) )</f>
        <v>0</v>
      </c>
      <c r="BM6" s="898" cm="1">
        <f t="array" aca="1" ref="BM6" ca="1">SUM( ($G$7:$G$155=$AQ6) * ($G$6:$G$154=BM$5) )</f>
        <v>0</v>
      </c>
      <c r="BN6" s="898" cm="1">
        <f t="array" aca="1" ref="BN6" ca="1">SUM( ($G$7:$G$155=$AQ6) * ($G$6:$G$154=BN$5) )</f>
        <v>0</v>
      </c>
      <c r="BO6" s="898" cm="1">
        <f t="array" aca="1" ref="BO6" ca="1">SUM( ($G$7:$G$155=$AQ6) * ($G$6:$G$154=BO$5) )</f>
        <v>0</v>
      </c>
      <c r="BP6" s="898" cm="1">
        <f t="array" aca="1" ref="BP6" ca="1">SUM( ($G$7:$G$155=$AQ6) * ($G$6:$G$154=BP$5) )</f>
        <v>1</v>
      </c>
      <c r="BQ6" s="898" cm="1">
        <f t="array" aca="1" ref="BQ6" ca="1">SUM( ($G$7:$G$155=$AQ6) * ($G$6:$G$154=BQ$5) )</f>
        <v>0</v>
      </c>
    </row>
    <row r="7" spans="2:71" ht="22" customHeight="1" thickBot="1">
      <c r="B7" s="89" vm="9">
        <f ca="1"/>
        <v>45952</v>
      </c>
      <c r="C7" s="89" vm="10">
        <f ca="1"/>
        <v>1116.3699999999999</v>
      </c>
      <c r="D7" s="1335">
        <f t="shared" ca="1" si="0"/>
        <v>-0.10068071051677611</v>
      </c>
      <c r="E7" s="296" t="str" cm="1">
        <f t="array" aca="1" ref="E7" ca="1">_xlfn.IFS(D7&gt;0.5%,"U",D7&lt;=-0.5%,"D",TRUE,"Z")</f>
        <v>D</v>
      </c>
      <c r="F7" s="296" t="str">
        <f t="shared" ca="1" si="3"/>
        <v>ZD</v>
      </c>
      <c r="G7" s="296" t="str">
        <f t="shared" ca="1" si="4"/>
        <v>UZD</v>
      </c>
      <c r="H7" s="898" t="str">
        <f t="shared" ca="1" si="5"/>
        <v/>
      </c>
      <c r="J7" s="902" t="s">
        <v>2302</v>
      </c>
      <c r="K7" s="906">
        <v>0.01</v>
      </c>
      <c r="L7" s="906">
        <v>0.59</v>
      </c>
      <c r="M7" s="906">
        <v>0.4</v>
      </c>
      <c r="T7" s="898">
        <f t="shared" ca="1" si="1"/>
        <v>13</v>
      </c>
      <c r="U7" s="898">
        <f t="shared" ca="1" si="2"/>
        <v>9</v>
      </c>
      <c r="W7" s="1402"/>
      <c r="X7" s="922" t="str" cm="1">
        <f t="array" aca="1" ref="X7:AD7" ca="1">TRANSPOSE(G5:G11)</f>
        <v>DZD</v>
      </c>
      <c r="Y7" s="923" t="str">
        <f ca="1"/>
        <v>ZDZ</v>
      </c>
      <c r="Z7" s="923" t="str">
        <f ca="1"/>
        <v>UZD</v>
      </c>
      <c r="AA7" s="923" t="str">
        <f ca="1"/>
        <v>UUZ</v>
      </c>
      <c r="AB7" s="923" t="str">
        <f ca="1"/>
        <v>DUU</v>
      </c>
      <c r="AC7" s="923" t="str">
        <f ca="1"/>
        <v>DDU</v>
      </c>
      <c r="AD7" s="924" t="str">
        <f ca="1"/>
        <v>ZDD</v>
      </c>
      <c r="AI7" s="89" vm="11">
        <f ca="1"/>
        <v>45663</v>
      </c>
      <c r="AJ7" s="89" vm="12">
        <f ca="1"/>
        <v>881.79</v>
      </c>
      <c r="AQ7" s="898" t="str">
        <f ca="1"/>
        <v>ZDZ</v>
      </c>
      <c r="AR7" s="898" cm="1">
        <f t="array" aca="1" ref="AR7" ca="1">SUM( ($G$7:$G$155=$AQ7) * ($G$6:$G$154=AR$5) )</f>
        <v>1</v>
      </c>
      <c r="AS7" s="898" cm="1">
        <f t="array" aca="1" ref="AS7" ca="1">SUM( ($G$7:$G$155=$AQ7) * ($G$6:$G$154=AS$5) )</f>
        <v>0</v>
      </c>
      <c r="AT7" s="898" cm="1">
        <f t="array" aca="1" ref="AT7" ca="1">SUM( ($G$7:$G$155=$AQ7) * ($G$6:$G$154=AT$5) )</f>
        <v>0</v>
      </c>
      <c r="AU7" s="898" cm="1">
        <f t="array" aca="1" ref="AU7" ca="1">SUM( ($G$7:$G$155=$AQ7) * ($G$6:$G$154=AU$5) )</f>
        <v>0</v>
      </c>
      <c r="AV7" s="898" cm="1">
        <f t="array" aca="1" ref="AV7" ca="1">SUM( ($G$7:$G$155=$AQ7) * ($G$6:$G$154=AV$5) )</f>
        <v>0</v>
      </c>
      <c r="AW7" s="898" cm="1">
        <f t="array" aca="1" ref="AW7" ca="1">SUM( ($G$7:$G$155=$AQ7) * ($G$6:$G$154=AW$5) )</f>
        <v>0</v>
      </c>
      <c r="AX7" s="898" cm="1">
        <f t="array" aca="1" ref="AX7" ca="1">SUM( ($G$7:$G$155=$AQ7) * ($G$6:$G$154=AX$5) )</f>
        <v>0</v>
      </c>
      <c r="AY7" s="898" cm="1">
        <f t="array" aca="1" ref="AY7" ca="1">SUM( ($G$7:$G$155=$AQ7) * ($G$6:$G$154=AY$5) )</f>
        <v>0</v>
      </c>
      <c r="AZ7" s="898" cm="1">
        <f t="array" aca="1" ref="AZ7" ca="1">SUM( ($G$7:$G$155=$AQ7) * ($G$6:$G$154=AZ$5) )</f>
        <v>0</v>
      </c>
      <c r="BA7" s="898" cm="1">
        <f t="array" aca="1" ref="BA7" ca="1">SUM( ($G$7:$G$155=$AQ7) * ($G$6:$G$154=BA$5) )</f>
        <v>0</v>
      </c>
      <c r="BB7" s="898" cm="1">
        <f t="array" aca="1" ref="BB7" ca="1">SUM( ($G$7:$G$155=$AQ7) * ($G$6:$G$154=BB$5) )</f>
        <v>0</v>
      </c>
      <c r="BC7" s="898" cm="1">
        <f t="array" aca="1" ref="BC7" ca="1">SUM( ($G$7:$G$155=$AQ7) * ($G$6:$G$154=BC$5) )</f>
        <v>0</v>
      </c>
      <c r="BD7" s="898" cm="1">
        <f t="array" aca="1" ref="BD7" ca="1">SUM( ($G$7:$G$155=$AQ7) * ($G$6:$G$154=BD$5) )</f>
        <v>0</v>
      </c>
      <c r="BE7" s="898" cm="1">
        <f t="array" aca="1" ref="BE7" ca="1">SUM( ($G$7:$G$155=$AQ7) * ($G$6:$G$154=BE$5) )</f>
        <v>0</v>
      </c>
      <c r="BF7" s="898" cm="1">
        <f t="array" aca="1" ref="BF7" ca="1">SUM( ($G$7:$G$155=$AQ7) * ($G$6:$G$154=BF$5) )</f>
        <v>0</v>
      </c>
      <c r="BG7" s="898" cm="1">
        <f t="array" aca="1" ref="BG7" ca="1">SUM( ($G$7:$G$155=$AQ7) * ($G$6:$G$154=BG$5) )</f>
        <v>0</v>
      </c>
      <c r="BH7" s="898" cm="1">
        <f t="array" aca="1" ref="BH7" ca="1">SUM( ($G$7:$G$155=$AQ7) * ($G$6:$G$154=BH$5) )</f>
        <v>0</v>
      </c>
      <c r="BI7" s="898" cm="1">
        <f t="array" aca="1" ref="BI7" ca="1">SUM( ($G$7:$G$155=$AQ7) * ($G$6:$G$154=BI$5) )</f>
        <v>0</v>
      </c>
      <c r="BJ7" s="898" cm="1">
        <f t="array" aca="1" ref="BJ7" ca="1">SUM( ($G$7:$G$155=$AQ7) * ($G$6:$G$154=BJ$5) )</f>
        <v>0</v>
      </c>
      <c r="BK7" s="898" cm="1">
        <f t="array" aca="1" ref="BK7" ca="1">SUM( ($G$7:$G$155=$AQ7) * ($G$6:$G$154=BK$5) )</f>
        <v>0</v>
      </c>
      <c r="BL7" s="898" cm="1">
        <f t="array" aca="1" ref="BL7" ca="1">SUM( ($G$7:$G$155=$AQ7) * ($G$6:$G$154=BL$5) )</f>
        <v>2</v>
      </c>
      <c r="BM7" s="898" cm="1">
        <f t="array" aca="1" ref="BM7" ca="1">SUM( ($G$7:$G$155=$AQ7) * ($G$6:$G$154=BM$5) )</f>
        <v>0</v>
      </c>
      <c r="BN7" s="898" cm="1">
        <f t="array" aca="1" ref="BN7" ca="1">SUM( ($G$7:$G$155=$AQ7) * ($G$6:$G$154=BN$5) )</f>
        <v>0</v>
      </c>
      <c r="BO7" s="898" cm="1">
        <f t="array" aca="1" ref="BO7" ca="1">SUM( ($G$7:$G$155=$AQ7) * ($G$6:$G$154=BO$5) )</f>
        <v>0</v>
      </c>
      <c r="BP7" s="898" cm="1">
        <f t="array" aca="1" ref="BP7" ca="1">SUM( ($G$7:$G$155=$AQ7) * ($G$6:$G$154=BP$5) )</f>
        <v>0</v>
      </c>
      <c r="BQ7" s="898" cm="1">
        <f t="array" aca="1" ref="BQ7" ca="1">SUM( ($G$7:$G$155=$AQ7) * ($G$6:$G$154=BQ$5) )</f>
        <v>0</v>
      </c>
    </row>
    <row r="8" spans="2:71" ht="22" customHeight="1" thickBot="1">
      <c r="B8" s="89" vm="13">
        <f ca="1"/>
        <v>45951</v>
      </c>
      <c r="C8" s="89" vm="14">
        <f ca="1"/>
        <v>1241.3499999999999</v>
      </c>
      <c r="D8" s="1335">
        <f t="shared" ca="1" si="0"/>
        <v>2.2526159410928529E-3</v>
      </c>
      <c r="E8" s="296" t="str" cm="1">
        <f t="array" aca="1" ref="E8" ca="1">_xlfn.IFS(D8&gt;0.5%,"U",D8&lt;=-0.5%,"D",TRUE,"Z")</f>
        <v>Z</v>
      </c>
      <c r="F8" s="296" t="str">
        <f t="shared" ca="1" si="3"/>
        <v>UZ</v>
      </c>
      <c r="G8" s="296" t="str">
        <f t="shared" ca="1" si="4"/>
        <v>UUZ</v>
      </c>
      <c r="H8" s="898" t="str">
        <f t="shared" ca="1" si="5"/>
        <v/>
      </c>
      <c r="T8" s="898">
        <f t="shared" ca="1" si="1"/>
        <v>12</v>
      </c>
      <c r="U8" s="898">
        <f t="shared" ca="1" si="2"/>
        <v>10</v>
      </c>
      <c r="W8" s="997" t="s">
        <v>195</v>
      </c>
      <c r="X8" s="925" cm="1">
        <f t="array" aca="1" ref="X8:AD8" ca="1">TRANSPOSE(D5:D11)</f>
        <v>-1.6972135166443542E-2</v>
      </c>
      <c r="Y8" s="926">
        <f ca="1"/>
        <v>-2.4902138179993846E-3</v>
      </c>
      <c r="Z8" s="926">
        <f ca="1"/>
        <v>-0.10068071051677611</v>
      </c>
      <c r="AA8" s="926">
        <f ca="1"/>
        <v>2.2526159410928529E-3</v>
      </c>
      <c r="AB8" s="926">
        <f ca="1"/>
        <v>3.2684098185699083E-2</v>
      </c>
      <c r="AC8" s="926">
        <f ca="1"/>
        <v>1.3323870597081745E-2</v>
      </c>
      <c r="AD8" s="927">
        <f ca="1"/>
        <v>-1.6371780701244128E-2</v>
      </c>
      <c r="AI8" s="89" vm="15">
        <f ca="1"/>
        <v>45664</v>
      </c>
      <c r="AJ8" s="89" vm="16">
        <f ca="1"/>
        <v>879.19</v>
      </c>
      <c r="AQ8" s="898" t="str">
        <f ca="1"/>
        <v>UZD</v>
      </c>
      <c r="AR8" s="898" cm="1">
        <f t="array" aca="1" ref="AR8" ca="1">SUM( ($G$7:$G$155=$AQ8) * ($G$6:$G$154=AR$5) )</f>
        <v>0</v>
      </c>
      <c r="AS8" s="898" cm="1">
        <f t="array" aca="1" ref="AS8" ca="1">SUM( ($G$7:$G$155=$AQ8) * ($G$6:$G$154=AS$5) )</f>
        <v>2</v>
      </c>
      <c r="AT8" s="898" cm="1">
        <f t="array" aca="1" ref="AT8" ca="1">SUM( ($G$7:$G$155=$AQ8) * ($G$6:$G$154=AT$5) )</f>
        <v>0</v>
      </c>
      <c r="AU8" s="898" cm="1">
        <f t="array" aca="1" ref="AU8" ca="1">SUM( ($G$7:$G$155=$AQ8) * ($G$6:$G$154=AU$5) )</f>
        <v>0</v>
      </c>
      <c r="AV8" s="898" cm="1">
        <f t="array" aca="1" ref="AV8" ca="1">SUM( ($G$7:$G$155=$AQ8) * ($G$6:$G$154=AV$5) )</f>
        <v>0</v>
      </c>
      <c r="AW8" s="898" cm="1">
        <f t="array" aca="1" ref="AW8" ca="1">SUM( ($G$7:$G$155=$AQ8) * ($G$6:$G$154=AW$5) )</f>
        <v>0</v>
      </c>
      <c r="AX8" s="898" cm="1">
        <f t="array" aca="1" ref="AX8" ca="1">SUM( ($G$7:$G$155=$AQ8) * ($G$6:$G$154=AX$5) )</f>
        <v>1</v>
      </c>
      <c r="AY8" s="898" cm="1">
        <f t="array" aca="1" ref="AY8" ca="1">SUM( ($G$7:$G$155=$AQ8) * ($G$6:$G$154=AY$5) )</f>
        <v>0</v>
      </c>
      <c r="AZ8" s="898" cm="1">
        <f t="array" aca="1" ref="AZ8" ca="1">SUM( ($G$7:$G$155=$AQ8) * ($G$6:$G$154=AZ$5) )</f>
        <v>0</v>
      </c>
      <c r="BA8" s="898" cm="1">
        <f t="array" aca="1" ref="BA8" ca="1">SUM( ($G$7:$G$155=$AQ8) * ($G$6:$G$154=BA$5) )</f>
        <v>0</v>
      </c>
      <c r="BB8" s="898" cm="1">
        <f t="array" aca="1" ref="BB8" ca="1">SUM( ($G$7:$G$155=$AQ8) * ($G$6:$G$154=BB$5) )</f>
        <v>0</v>
      </c>
      <c r="BC8" s="898" cm="1">
        <f t="array" aca="1" ref="BC8" ca="1">SUM( ($G$7:$G$155=$AQ8) * ($G$6:$G$154=BC$5) )</f>
        <v>0</v>
      </c>
      <c r="BD8" s="898" cm="1">
        <f t="array" aca="1" ref="BD8" ca="1">SUM( ($G$7:$G$155=$AQ8) * ($G$6:$G$154=BD$5) )</f>
        <v>0</v>
      </c>
      <c r="BE8" s="898" cm="1">
        <f t="array" aca="1" ref="BE8" ca="1">SUM( ($G$7:$G$155=$AQ8) * ($G$6:$G$154=BE$5) )</f>
        <v>0</v>
      </c>
      <c r="BF8" s="898" cm="1">
        <f t="array" aca="1" ref="BF8" ca="1">SUM( ($G$7:$G$155=$AQ8) * ($G$6:$G$154=BF$5) )</f>
        <v>0</v>
      </c>
      <c r="BG8" s="898" cm="1">
        <f t="array" aca="1" ref="BG8" ca="1">SUM( ($G$7:$G$155=$AQ8) * ($G$6:$G$154=BG$5) )</f>
        <v>0</v>
      </c>
      <c r="BH8" s="898" cm="1">
        <f t="array" aca="1" ref="BH8" ca="1">SUM( ($G$7:$G$155=$AQ8) * ($G$6:$G$154=BH$5) )</f>
        <v>0</v>
      </c>
      <c r="BI8" s="898" cm="1">
        <f t="array" aca="1" ref="BI8" ca="1">SUM( ($G$7:$G$155=$AQ8) * ($G$6:$G$154=BI$5) )</f>
        <v>0</v>
      </c>
      <c r="BJ8" s="898" cm="1">
        <f t="array" aca="1" ref="BJ8" ca="1">SUM( ($G$7:$G$155=$AQ8) * ($G$6:$G$154=BJ$5) )</f>
        <v>0</v>
      </c>
      <c r="BK8" s="898" cm="1">
        <f t="array" aca="1" ref="BK8" ca="1">SUM( ($G$7:$G$155=$AQ8) * ($G$6:$G$154=BK$5) )</f>
        <v>0</v>
      </c>
      <c r="BL8" s="898" cm="1">
        <f t="array" aca="1" ref="BL8" ca="1">SUM( ($G$7:$G$155=$AQ8) * ($G$6:$G$154=BL$5) )</f>
        <v>0</v>
      </c>
      <c r="BM8" s="898" cm="1">
        <f t="array" aca="1" ref="BM8" ca="1">SUM( ($G$7:$G$155=$AQ8) * ($G$6:$G$154=BM$5) )</f>
        <v>0</v>
      </c>
      <c r="BN8" s="898" cm="1">
        <f t="array" aca="1" ref="BN8" ca="1">SUM( ($G$7:$G$155=$AQ8) * ($G$6:$G$154=BN$5) )</f>
        <v>0</v>
      </c>
      <c r="BO8" s="898" cm="1">
        <f t="array" aca="1" ref="BO8" ca="1">SUM( ($G$7:$G$155=$AQ8) * ($G$6:$G$154=BO$5) )</f>
        <v>0</v>
      </c>
      <c r="BP8" s="898" cm="1">
        <f t="array" aca="1" ref="BP8" ca="1">SUM( ($G$7:$G$155=$AQ8) * ($G$6:$G$154=BP$5) )</f>
        <v>2</v>
      </c>
      <c r="BQ8" s="898" cm="1">
        <f t="array" aca="1" ref="BQ8" ca="1">SUM( ($G$7:$G$155=$AQ8) * ($G$6:$G$154=BQ$5) )</f>
        <v>0</v>
      </c>
    </row>
    <row r="9" spans="2:71" ht="23" thickBot="1">
      <c r="B9" s="89" vm="17">
        <f ca="1"/>
        <v>45950</v>
      </c>
      <c r="C9" s="89" vm="18">
        <f ca="1"/>
        <v>1238.56</v>
      </c>
      <c r="D9" s="1335">
        <f t="shared" ca="1" si="0"/>
        <v>3.2684098185699083E-2</v>
      </c>
      <c r="E9" s="296" t="str" cm="1">
        <f t="array" aca="1" ref="E9" ca="1">_xlfn.IFS(D9&gt;0.5%,"U",D9&lt;=-0.5%,"D",TRUE,"Z")</f>
        <v>U</v>
      </c>
      <c r="F9" s="296" t="str">
        <f t="shared" ca="1" si="3"/>
        <v>UU</v>
      </c>
      <c r="G9" s="296" t="str">
        <f t="shared" ca="1" si="4"/>
        <v>DUU</v>
      </c>
      <c r="H9" s="898" t="str">
        <f t="shared" ca="1" si="5"/>
        <v/>
      </c>
      <c r="J9" s="902">
        <f ca="1">COUNTIF(D5:D147,"=0")</f>
        <v>0</v>
      </c>
      <c r="K9" s="902">
        <f ca="1">COUNTIF(D5:D147,"&lt;0")</f>
        <v>66</v>
      </c>
      <c r="L9" s="902">
        <f ca="1">COUNTIF(D5:D147,"&gt;0")</f>
        <v>77</v>
      </c>
      <c r="T9" s="898">
        <f t="shared" ca="1" si="1"/>
        <v>12</v>
      </c>
      <c r="U9" s="898">
        <f t="shared" ca="1" si="2"/>
        <v>10</v>
      </c>
      <c r="AI9" s="89" vm="19">
        <f ca="1"/>
        <v>45665</v>
      </c>
      <c r="AJ9" s="89" vm="20">
        <f ca="1"/>
        <v>875</v>
      </c>
      <c r="AQ9" s="898" t="str">
        <f ca="1"/>
        <v>UUZ</v>
      </c>
      <c r="AR9" s="898" cm="1">
        <f t="array" aca="1" ref="AR9" ca="1">SUM( ($G$7:$G$155=$AQ9) * ($G$6:$G$154=AR$5) )</f>
        <v>0</v>
      </c>
      <c r="AS9" s="898" cm="1">
        <f t="array" aca="1" ref="AS9" ca="1">SUM( ($G$7:$G$155=$AQ9) * ($G$6:$G$154=AS$5) )</f>
        <v>0</v>
      </c>
      <c r="AT9" s="898" cm="1">
        <f t="array" aca="1" ref="AT9" ca="1">SUM( ($G$7:$G$155=$AQ9) * ($G$6:$G$154=AT$5) )</f>
        <v>2</v>
      </c>
      <c r="AU9" s="898" cm="1">
        <f t="array" aca="1" ref="AU9" ca="1">SUM( ($G$7:$G$155=$AQ9) * ($G$6:$G$154=AU$5) )</f>
        <v>0</v>
      </c>
      <c r="AV9" s="898" cm="1">
        <f t="array" aca="1" ref="AV9" ca="1">SUM( ($G$7:$G$155=$AQ9) * ($G$6:$G$154=AV$5) )</f>
        <v>0</v>
      </c>
      <c r="AW9" s="898" cm="1">
        <f t="array" aca="1" ref="AW9" ca="1">SUM( ($G$7:$G$155=$AQ9) * ($G$6:$G$154=AW$5) )</f>
        <v>0</v>
      </c>
      <c r="AX9" s="898" cm="1">
        <f t="array" aca="1" ref="AX9" ca="1">SUM( ($G$7:$G$155=$AQ9) * ($G$6:$G$154=AX$5) )</f>
        <v>0</v>
      </c>
      <c r="AY9" s="898" cm="1">
        <f t="array" aca="1" ref="AY9" ca="1">SUM( ($G$7:$G$155=$AQ9) * ($G$6:$G$154=AY$5) )</f>
        <v>0</v>
      </c>
      <c r="AZ9" s="898" cm="1">
        <f t="array" aca="1" ref="AZ9" ca="1">SUM( ($G$7:$G$155=$AQ9) * ($G$6:$G$154=AZ$5) )</f>
        <v>0</v>
      </c>
      <c r="BA9" s="898" cm="1">
        <f t="array" aca="1" ref="BA9" ca="1">SUM( ($G$7:$G$155=$AQ9) * ($G$6:$G$154=BA$5) )</f>
        <v>0</v>
      </c>
      <c r="BB9" s="898" cm="1">
        <f t="array" aca="1" ref="BB9" ca="1">SUM( ($G$7:$G$155=$AQ9) * ($G$6:$G$154=BB$5) )</f>
        <v>0</v>
      </c>
      <c r="BC9" s="898" cm="1">
        <f t="array" aca="1" ref="BC9" ca="1">SUM( ($G$7:$G$155=$AQ9) * ($G$6:$G$154=BC$5) )</f>
        <v>0</v>
      </c>
      <c r="BD9" s="898" cm="1">
        <f t="array" aca="1" ref="BD9" ca="1">SUM( ($G$7:$G$155=$AQ9) * ($G$6:$G$154=BD$5) )</f>
        <v>0</v>
      </c>
      <c r="BE9" s="898" cm="1">
        <f t="array" aca="1" ref="BE9" ca="1">SUM( ($G$7:$G$155=$AQ9) * ($G$6:$G$154=BE$5) )</f>
        <v>0</v>
      </c>
      <c r="BF9" s="898" cm="1">
        <f t="array" aca="1" ref="BF9" ca="1">SUM( ($G$7:$G$155=$AQ9) * ($G$6:$G$154=BF$5) )</f>
        <v>0</v>
      </c>
      <c r="BG9" s="898" cm="1">
        <f t="array" aca="1" ref="BG9" ca="1">SUM( ($G$7:$G$155=$AQ9) * ($G$6:$G$154=BG$5) )</f>
        <v>0</v>
      </c>
      <c r="BH9" s="898" cm="1">
        <f t="array" aca="1" ref="BH9" ca="1">SUM( ($G$7:$G$155=$AQ9) * ($G$6:$G$154=BH$5) )</f>
        <v>0</v>
      </c>
      <c r="BI9" s="898" cm="1">
        <f t="array" aca="1" ref="BI9" ca="1">SUM( ($G$7:$G$155=$AQ9) * ($G$6:$G$154=BI$5) )</f>
        <v>0</v>
      </c>
      <c r="BJ9" s="898" cm="1">
        <f t="array" aca="1" ref="BJ9" ca="1">SUM( ($G$7:$G$155=$AQ9) * ($G$6:$G$154=BJ$5) )</f>
        <v>5</v>
      </c>
      <c r="BK9" s="898" cm="1">
        <f t="array" aca="1" ref="BK9" ca="1">SUM( ($G$7:$G$155=$AQ9) * ($G$6:$G$154=BK$5) )</f>
        <v>0</v>
      </c>
      <c r="BL9" s="898" cm="1">
        <f t="array" aca="1" ref="BL9" ca="1">SUM( ($G$7:$G$155=$AQ9) * ($G$6:$G$154=BL$5) )</f>
        <v>0</v>
      </c>
      <c r="BM9" s="898" cm="1">
        <f t="array" aca="1" ref="BM9" ca="1">SUM( ($G$7:$G$155=$AQ9) * ($G$6:$G$154=BM$5) )</f>
        <v>0</v>
      </c>
      <c r="BN9" s="898" cm="1">
        <f t="array" aca="1" ref="BN9" ca="1">SUM( ($G$7:$G$155=$AQ9) * ($G$6:$G$154=BN$5) )</f>
        <v>0</v>
      </c>
      <c r="BO9" s="898" cm="1">
        <f t="array" aca="1" ref="BO9" ca="1">SUM( ($G$7:$G$155=$AQ9) * ($G$6:$G$154=BO$5) )</f>
        <v>0</v>
      </c>
      <c r="BP9" s="898" cm="1">
        <f t="array" aca="1" ref="BP9" ca="1">SUM( ($G$7:$G$155=$AQ9) * ($G$6:$G$154=BP$5) )</f>
        <v>0</v>
      </c>
      <c r="BQ9" s="898" cm="1">
        <f t="array" aca="1" ref="BQ9" ca="1">SUM( ($G$7:$G$155=$AQ9) * ($G$6:$G$154=BQ$5) )</f>
        <v>0</v>
      </c>
    </row>
    <row r="10" spans="2:71" ht="23" thickBot="1">
      <c r="B10" s="89" vm="21">
        <f ca="1"/>
        <v>45947</v>
      </c>
      <c r="C10" s="89" vm="22">
        <f ca="1"/>
        <v>1199.3599999999999</v>
      </c>
      <c r="D10" s="1335">
        <f t="shared" ca="1" si="0"/>
        <v>1.3323870597081745E-2</v>
      </c>
      <c r="E10" s="296" t="str" cm="1">
        <f t="array" aca="1" ref="E10" ca="1">_xlfn.IFS(D10&gt;0.5%,"U",D10&lt;=-0.5%,"D",TRUE,"Z")</f>
        <v>U</v>
      </c>
      <c r="F10" s="296" t="str">
        <f t="shared" ca="1" si="3"/>
        <v>DU</v>
      </c>
      <c r="G10" s="296" t="str">
        <f t="shared" ca="1" si="4"/>
        <v>DDU</v>
      </c>
      <c r="H10" s="898" t="str">
        <f t="shared" ca="1" si="5"/>
        <v>DD</v>
      </c>
      <c r="J10" s="902">
        <f ca="1">COUNTIF($E5:$E147,J2)</f>
        <v>40</v>
      </c>
      <c r="K10" s="902">
        <f t="shared" ref="K10:L10" ca="1" si="6">COUNTIF($E5:$E147,K2)</f>
        <v>43</v>
      </c>
      <c r="L10" s="902">
        <f t="shared" ca="1" si="6"/>
        <v>60</v>
      </c>
      <c r="T10" s="898">
        <f t="shared" ca="1" si="1"/>
        <v>13</v>
      </c>
      <c r="U10" s="898">
        <f t="shared" ca="1" si="2"/>
        <v>9</v>
      </c>
      <c r="W10" s="998" t="s">
        <v>11</v>
      </c>
      <c r="X10" s="999" t="s">
        <v>2318</v>
      </c>
      <c r="Y10" s="999" t="s">
        <v>2319</v>
      </c>
      <c r="Z10" s="999" t="s">
        <v>2320</v>
      </c>
      <c r="AA10" s="999" t="s">
        <v>2321</v>
      </c>
      <c r="AB10" s="999" t="s">
        <v>2322</v>
      </c>
      <c r="AC10" s="999" t="s">
        <v>2323</v>
      </c>
      <c r="AD10" s="1000" t="s">
        <v>2324</v>
      </c>
      <c r="AE10" s="1001" t="s">
        <v>2388</v>
      </c>
      <c r="AF10" s="905"/>
      <c r="AI10" s="89" vm="23">
        <f ca="1"/>
        <v>45667</v>
      </c>
      <c r="AJ10" s="89" vm="24">
        <f ca="1"/>
        <v>837.69</v>
      </c>
      <c r="AQ10" s="898" t="str">
        <f ca="1"/>
        <v>DUU</v>
      </c>
      <c r="AR10" s="898" cm="1">
        <f t="array" aca="1" ref="AR10" ca="1">SUM( ($G$7:$G$155=$AQ10) * ($G$6:$G$154=AR$5) )</f>
        <v>0</v>
      </c>
      <c r="AS10" s="898" cm="1">
        <f t="array" aca="1" ref="AS10" ca="1">SUM( ($G$7:$G$155=$AQ10) * ($G$6:$G$154=AS$5) )</f>
        <v>0</v>
      </c>
      <c r="AT10" s="898" cm="1">
        <f t="array" aca="1" ref="AT10" ca="1">SUM( ($G$7:$G$155=$AQ10) * ($G$6:$G$154=AT$5) )</f>
        <v>0</v>
      </c>
      <c r="AU10" s="898" cm="1">
        <f t="array" aca="1" ref="AU10" ca="1">SUM( ($G$7:$G$155=$AQ10) * ($G$6:$G$154=AU$5) )</f>
        <v>3</v>
      </c>
      <c r="AV10" s="898" cm="1">
        <f t="array" aca="1" ref="AV10" ca="1">SUM( ($G$7:$G$155=$AQ10) * ($G$6:$G$154=AV$5) )</f>
        <v>0</v>
      </c>
      <c r="AW10" s="898" cm="1">
        <f t="array" aca="1" ref="AW10" ca="1">SUM( ($G$7:$G$155=$AQ10) * ($G$6:$G$154=AW$5) )</f>
        <v>0</v>
      </c>
      <c r="AX10" s="898" cm="1">
        <f t="array" aca="1" ref="AX10" ca="1">SUM( ($G$7:$G$155=$AQ10) * ($G$6:$G$154=AX$5) )</f>
        <v>0</v>
      </c>
      <c r="AY10" s="898" cm="1">
        <f t="array" aca="1" ref="AY10" ca="1">SUM( ($G$7:$G$155=$AQ10) * ($G$6:$G$154=AY$5) )</f>
        <v>0</v>
      </c>
      <c r="AZ10" s="898" cm="1">
        <f t="array" aca="1" ref="AZ10" ca="1">SUM( ($G$7:$G$155=$AQ10) * ($G$6:$G$154=AZ$5) )</f>
        <v>0</v>
      </c>
      <c r="BA10" s="898" cm="1">
        <f t="array" aca="1" ref="BA10" ca="1">SUM( ($G$7:$G$155=$AQ10) * ($G$6:$G$154=BA$5) )</f>
        <v>0</v>
      </c>
      <c r="BB10" s="898" cm="1">
        <f t="array" aca="1" ref="BB10" ca="1">SUM( ($G$7:$G$155=$AQ10) * ($G$6:$G$154=BB$5) )</f>
        <v>0</v>
      </c>
      <c r="BC10" s="898" cm="1">
        <f t="array" aca="1" ref="BC10" ca="1">SUM( ($G$7:$G$155=$AQ10) * ($G$6:$G$154=BC$5) )</f>
        <v>4</v>
      </c>
      <c r="BD10" s="898" cm="1">
        <f t="array" aca="1" ref="BD10" ca="1">SUM( ($G$7:$G$155=$AQ10) * ($G$6:$G$154=BD$5) )</f>
        <v>0</v>
      </c>
      <c r="BE10" s="898" cm="1">
        <f t="array" aca="1" ref="BE10" ca="1">SUM( ($G$7:$G$155=$AQ10) * ($G$6:$G$154=BE$5) )</f>
        <v>0</v>
      </c>
      <c r="BF10" s="898" cm="1">
        <f t="array" aca="1" ref="BF10" ca="1">SUM( ($G$7:$G$155=$AQ10) * ($G$6:$G$154=BF$5) )</f>
        <v>0</v>
      </c>
      <c r="BG10" s="898" cm="1">
        <f t="array" aca="1" ref="BG10" ca="1">SUM( ($G$7:$G$155=$AQ10) * ($G$6:$G$154=BG$5) )</f>
        <v>0</v>
      </c>
      <c r="BH10" s="898" cm="1">
        <f t="array" aca="1" ref="BH10" ca="1">SUM( ($G$7:$G$155=$AQ10) * ($G$6:$G$154=BH$5) )</f>
        <v>0</v>
      </c>
      <c r="BI10" s="898" cm="1">
        <f t="array" aca="1" ref="BI10" ca="1">SUM( ($G$7:$G$155=$AQ10) * ($G$6:$G$154=BI$5) )</f>
        <v>0</v>
      </c>
      <c r="BJ10" s="898" cm="1">
        <f t="array" aca="1" ref="BJ10" ca="1">SUM( ($G$7:$G$155=$AQ10) * ($G$6:$G$154=BJ$5) )</f>
        <v>0</v>
      </c>
      <c r="BK10" s="898" cm="1">
        <f t="array" aca="1" ref="BK10" ca="1">SUM( ($G$7:$G$155=$AQ10) * ($G$6:$G$154=BK$5) )</f>
        <v>0</v>
      </c>
      <c r="BL10" s="898" cm="1">
        <f t="array" aca="1" ref="BL10" ca="1">SUM( ($G$7:$G$155=$AQ10) * ($G$6:$G$154=BL$5) )</f>
        <v>0</v>
      </c>
      <c r="BM10" s="898" cm="1">
        <f t="array" aca="1" ref="BM10" ca="1">SUM( ($G$7:$G$155=$AQ10) * ($G$6:$G$154=BM$5) )</f>
        <v>0</v>
      </c>
      <c r="BN10" s="898" cm="1">
        <f t="array" aca="1" ref="BN10" ca="1">SUM( ($G$7:$G$155=$AQ10) * ($G$6:$G$154=BN$5) )</f>
        <v>0</v>
      </c>
      <c r="BO10" s="898" cm="1">
        <f t="array" aca="1" ref="BO10" ca="1">SUM( ($G$7:$G$155=$AQ10) * ($G$6:$G$154=BO$5) )</f>
        <v>0</v>
      </c>
      <c r="BP10" s="898" cm="1">
        <f t="array" aca="1" ref="BP10" ca="1">SUM( ($G$7:$G$155=$AQ10) * ($G$6:$G$154=BP$5) )</f>
        <v>0</v>
      </c>
      <c r="BQ10" s="898" cm="1">
        <f t="array" aca="1" ref="BQ10" ca="1">SUM( ($G$7:$G$155=$AQ10) * ($G$6:$G$154=BQ$5) )</f>
        <v>0</v>
      </c>
    </row>
    <row r="11" spans="2:71">
      <c r="B11" s="89" vm="25">
        <f ca="1"/>
        <v>45946</v>
      </c>
      <c r="C11" s="89" vm="26">
        <f ca="1"/>
        <v>1183.5899999999999</v>
      </c>
      <c r="D11" s="1335">
        <f t="shared" ca="1" si="0"/>
        <v>-1.6371780701244128E-2</v>
      </c>
      <c r="E11" s="296" t="str" cm="1">
        <f t="array" aca="1" ref="E11" ca="1">_xlfn.IFS(D11&gt;0.5%,"U",D11&lt;=-0.5%,"D",TRUE,"Z")</f>
        <v>D</v>
      </c>
      <c r="F11" s="296" t="str">
        <f t="shared" ca="1" si="3"/>
        <v>DD</v>
      </c>
      <c r="G11" s="296" t="str">
        <f t="shared" ca="1" si="4"/>
        <v>ZDD</v>
      </c>
      <c r="H11" s="898" t="str">
        <f t="shared" ca="1" si="5"/>
        <v/>
      </c>
      <c r="T11" s="898">
        <f t="shared" ca="1" si="1"/>
        <v>13</v>
      </c>
      <c r="U11" s="898">
        <f t="shared" ca="1" si="2"/>
        <v>9</v>
      </c>
      <c r="W11" s="906" cm="1">
        <f t="array" aca="1" ref="W11:AD11" ca="1">_xlfn.LET(
  _xlpm.n, ROWS(QQQQQ),
  _xlpm.v0, (0*_xlfn.TAKE(QQQQQ,1,)+1)/_xlpm.n,
  _xlfn.REDUCE(_xlpm.v0, _xlfn.SEQUENCE(100), _xlfn.LAMBDA(_xlpm.v,_xlpm._, _xlfn.LET(_xlpm.next, MMULT(_xlpm.v, QQQQQ), _xlpm.next/SUM(_xlpm.next))))
)</f>
        <v>6.3745019920318724E-2</v>
      </c>
      <c r="X11" s="906">
        <f ca="1"/>
        <v>0.1195219123505976</v>
      </c>
      <c r="Y11" s="906">
        <f ca="1"/>
        <v>8.9641434262948211E-2</v>
      </c>
      <c r="Z11" s="906">
        <f ca="1"/>
        <v>0.1195219123505976</v>
      </c>
      <c r="AA11" s="906">
        <f ca="1"/>
        <v>0.1195219123505976</v>
      </c>
      <c r="AB11" s="906">
        <f ca="1"/>
        <v>8.9641434262948197E-2</v>
      </c>
      <c r="AC11" s="906">
        <f ca="1"/>
        <v>0.11952191235059759</v>
      </c>
      <c r="AD11" s="906">
        <f ca="1"/>
        <v>0.2788844621513944</v>
      </c>
      <c r="AI11" s="89" vm="27">
        <f ca="1"/>
        <v>45670</v>
      </c>
      <c r="AJ11" s="89" vm="28">
        <f ca="1"/>
        <v>840.29</v>
      </c>
      <c r="AQ11" s="898" t="str">
        <f ca="1"/>
        <v>DDU</v>
      </c>
      <c r="AR11" s="898" cm="1">
        <f t="array" aca="1" ref="AR11" ca="1">SUM( ($G$7:$G$155=$AQ11) * ($G$6:$G$154=AR$5) )</f>
        <v>0</v>
      </c>
      <c r="AS11" s="898" cm="1">
        <f t="array" aca="1" ref="AS11" ca="1">SUM( ($G$7:$G$155=$AQ11) * ($G$6:$G$154=AS$5) )</f>
        <v>0</v>
      </c>
      <c r="AT11" s="898" cm="1">
        <f t="array" aca="1" ref="AT11" ca="1">SUM( ($G$7:$G$155=$AQ11) * ($G$6:$G$154=AT$5) )</f>
        <v>0</v>
      </c>
      <c r="AU11" s="898" cm="1">
        <f t="array" aca="1" ref="AU11" ca="1">SUM( ($G$7:$G$155=$AQ11) * ($G$6:$G$154=AU$5) )</f>
        <v>0</v>
      </c>
      <c r="AV11" s="898" cm="1">
        <f t="array" aca="1" ref="AV11" ca="1">SUM( ($G$7:$G$155=$AQ11) * ($G$6:$G$154=AV$5) )</f>
        <v>2</v>
      </c>
      <c r="AW11" s="898" cm="1">
        <f t="array" aca="1" ref="AW11" ca="1">SUM( ($G$7:$G$155=$AQ11) * ($G$6:$G$154=AW$5) )</f>
        <v>0</v>
      </c>
      <c r="AX11" s="898" cm="1">
        <f t="array" aca="1" ref="AX11" ca="1">SUM( ($G$7:$G$155=$AQ11) * ($G$6:$G$154=AX$5) )</f>
        <v>0</v>
      </c>
      <c r="AY11" s="898" cm="1">
        <f t="array" aca="1" ref="AY11" ca="1">SUM( ($G$7:$G$155=$AQ11) * ($G$6:$G$154=AY$5) )</f>
        <v>0</v>
      </c>
      <c r="AZ11" s="898" cm="1">
        <f t="array" aca="1" ref="AZ11" ca="1">SUM( ($G$7:$G$155=$AQ11) * ($G$6:$G$154=AZ$5) )</f>
        <v>0</v>
      </c>
      <c r="BA11" s="898" cm="1">
        <f t="array" aca="1" ref="BA11" ca="1">SUM( ($G$7:$G$155=$AQ11) * ($G$6:$G$154=BA$5) )</f>
        <v>0</v>
      </c>
      <c r="BB11" s="898" cm="1">
        <f t="array" aca="1" ref="BB11" ca="1">SUM( ($G$7:$G$155=$AQ11) * ($G$6:$G$154=BB$5) )</f>
        <v>0</v>
      </c>
      <c r="BC11" s="898" cm="1">
        <f t="array" aca="1" ref="BC11" ca="1">SUM( ($G$7:$G$155=$AQ11) * ($G$6:$G$154=BC$5) )</f>
        <v>0</v>
      </c>
      <c r="BD11" s="898" cm="1">
        <f t="array" aca="1" ref="BD11" ca="1">SUM( ($G$7:$G$155=$AQ11) * ($G$6:$G$154=BD$5) )</f>
        <v>0</v>
      </c>
      <c r="BE11" s="898" cm="1">
        <f t="array" aca="1" ref="BE11" ca="1">SUM( ($G$7:$G$155=$AQ11) * ($G$6:$G$154=BE$5) )</f>
        <v>0</v>
      </c>
      <c r="BF11" s="898" cm="1">
        <f t="array" aca="1" ref="BF11" ca="1">SUM( ($G$7:$G$155=$AQ11) * ($G$6:$G$154=BF$5) )</f>
        <v>0</v>
      </c>
      <c r="BG11" s="898" cm="1">
        <f t="array" aca="1" ref="BG11" ca="1">SUM( ($G$7:$G$155=$AQ11) * ($G$6:$G$154=BG$5) )</f>
        <v>3</v>
      </c>
      <c r="BH11" s="898" cm="1">
        <f t="array" aca="1" ref="BH11" ca="1">SUM( ($G$7:$G$155=$AQ11) * ($G$6:$G$154=BH$5) )</f>
        <v>0</v>
      </c>
      <c r="BI11" s="898" cm="1">
        <f t="array" aca="1" ref="BI11" ca="1">SUM( ($G$7:$G$155=$AQ11) * ($G$6:$G$154=BI$5) )</f>
        <v>0</v>
      </c>
      <c r="BJ11" s="898" cm="1">
        <f t="array" aca="1" ref="BJ11" ca="1">SUM( ($G$7:$G$155=$AQ11) * ($G$6:$G$154=BJ$5) )</f>
        <v>0</v>
      </c>
      <c r="BK11" s="898" cm="1">
        <f t="array" aca="1" ref="BK11" ca="1">SUM( ($G$7:$G$155=$AQ11) * ($G$6:$G$154=BK$5) )</f>
        <v>0</v>
      </c>
      <c r="BL11" s="898" cm="1">
        <f t="array" aca="1" ref="BL11" ca="1">SUM( ($G$7:$G$155=$AQ11) * ($G$6:$G$154=BL$5) )</f>
        <v>0</v>
      </c>
      <c r="BM11" s="898" cm="1">
        <f t="array" aca="1" ref="BM11" ca="1">SUM( ($G$7:$G$155=$AQ11) * ($G$6:$G$154=BM$5) )</f>
        <v>0</v>
      </c>
      <c r="BN11" s="898" cm="1">
        <f t="array" aca="1" ref="BN11" ca="1">SUM( ($G$7:$G$155=$AQ11) * ($G$6:$G$154=BN$5) )</f>
        <v>0</v>
      </c>
      <c r="BO11" s="898" cm="1">
        <f t="array" aca="1" ref="BO11" ca="1">SUM( ($G$7:$G$155=$AQ11) * ($G$6:$G$154=BO$5) )</f>
        <v>2</v>
      </c>
      <c r="BP11" s="898" cm="1">
        <f t="array" aca="1" ref="BP11" ca="1">SUM( ($G$7:$G$155=$AQ11) * ($G$6:$G$154=BP$5) )</f>
        <v>0</v>
      </c>
      <c r="BQ11" s="898" cm="1">
        <f t="array" aca="1" ref="BQ11" ca="1">SUM( ($G$7:$G$155=$AQ11) * ($G$6:$G$154=BQ$5) )</f>
        <v>0</v>
      </c>
    </row>
    <row r="12" spans="2:71" ht="23" thickBot="1">
      <c r="B12" s="89" vm="29">
        <f ca="1"/>
        <v>45945</v>
      </c>
      <c r="C12" s="89" vm="30">
        <f ca="1"/>
        <v>1203.29</v>
      </c>
      <c r="D12" s="1335">
        <f t="shared" ca="1" si="0"/>
        <v>-9.9230674291355958E-3</v>
      </c>
      <c r="E12" s="296" t="str" cm="1">
        <f t="array" aca="1" ref="E12" ca="1">_xlfn.IFS(D12&gt;0.5%,"U",D12&lt;=-0.5%,"D",TRUE,"Z")</f>
        <v>D</v>
      </c>
      <c r="F12" s="296" t="str">
        <f t="shared" ca="1" si="3"/>
        <v>ZD</v>
      </c>
      <c r="G12" s="296" t="str">
        <f t="shared" ca="1" si="4"/>
        <v>ZZD</v>
      </c>
      <c r="H12" s="898" t="str">
        <f t="shared" ca="1" si="5"/>
        <v/>
      </c>
      <c r="T12" s="898">
        <f t="shared" ca="1" si="1"/>
        <v>13</v>
      </c>
      <c r="U12" s="898">
        <f t="shared" ca="1" si="2"/>
        <v>9</v>
      </c>
      <c r="AI12" s="89" vm="31">
        <f ca="1"/>
        <v>45671</v>
      </c>
      <c r="AJ12" s="89" vm="32">
        <f ca="1"/>
        <v>828.4</v>
      </c>
      <c r="AQ12" s="898" t="str">
        <f ca="1"/>
        <v>ZDD</v>
      </c>
      <c r="AR12" s="898" cm="1">
        <f t="array" aca="1" ref="AR12" ca="1">SUM( ($G$7:$G$155=$AQ12) * ($G$6:$G$154=AR$5) )</f>
        <v>0</v>
      </c>
      <c r="AS12" s="898" cm="1">
        <f t="array" aca="1" ref="AS12" ca="1">SUM( ($G$7:$G$155=$AQ12) * ($G$6:$G$154=AS$5) )</f>
        <v>0</v>
      </c>
      <c r="AT12" s="898" cm="1">
        <f t="array" aca="1" ref="AT12" ca="1">SUM( ($G$7:$G$155=$AQ12) * ($G$6:$G$154=AT$5) )</f>
        <v>0</v>
      </c>
      <c r="AU12" s="898" cm="1">
        <f t="array" aca="1" ref="AU12" ca="1">SUM( ($G$7:$G$155=$AQ12) * ($G$6:$G$154=AU$5) )</f>
        <v>0</v>
      </c>
      <c r="AV12" s="898" cm="1">
        <f t="array" aca="1" ref="AV12" ca="1">SUM( ($G$7:$G$155=$AQ12) * ($G$6:$G$154=AV$5) )</f>
        <v>0</v>
      </c>
      <c r="AW12" s="898" cm="1">
        <f t="array" aca="1" ref="AW12" ca="1">SUM( ($G$7:$G$155=$AQ12) * ($G$6:$G$154=AW$5) )</f>
        <v>1</v>
      </c>
      <c r="AX12" s="898" cm="1">
        <f t="array" aca="1" ref="AX12" ca="1">SUM( ($G$7:$G$155=$AQ12) * ($G$6:$G$154=AX$5) )</f>
        <v>0</v>
      </c>
      <c r="AY12" s="898" cm="1">
        <f t="array" aca="1" ref="AY12" ca="1">SUM( ($G$7:$G$155=$AQ12) * ($G$6:$G$154=AY$5) )</f>
        <v>0</v>
      </c>
      <c r="AZ12" s="898" cm="1">
        <f t="array" aca="1" ref="AZ12" ca="1">SUM( ($G$7:$G$155=$AQ12) * ($G$6:$G$154=AZ$5) )</f>
        <v>0</v>
      </c>
      <c r="BA12" s="898" cm="1">
        <f t="array" aca="1" ref="BA12" ca="1">SUM( ($G$7:$G$155=$AQ12) * ($G$6:$G$154=BA$5) )</f>
        <v>0</v>
      </c>
      <c r="BB12" s="898" cm="1">
        <f t="array" aca="1" ref="BB12" ca="1">SUM( ($G$7:$G$155=$AQ12) * ($G$6:$G$154=BB$5) )</f>
        <v>0</v>
      </c>
      <c r="BC12" s="898" cm="1">
        <f t="array" aca="1" ref="BC12" ca="1">SUM( ($G$7:$G$155=$AQ12) * ($G$6:$G$154=BC$5) )</f>
        <v>0</v>
      </c>
      <c r="BD12" s="898" cm="1">
        <f t="array" aca="1" ref="BD12" ca="1">SUM( ($G$7:$G$155=$AQ12) * ($G$6:$G$154=BD$5) )</f>
        <v>1</v>
      </c>
      <c r="BE12" s="898" cm="1">
        <f t="array" aca="1" ref="BE12" ca="1">SUM( ($G$7:$G$155=$AQ12) * ($G$6:$G$154=BE$5) )</f>
        <v>0</v>
      </c>
      <c r="BF12" s="898" cm="1">
        <f t="array" aca="1" ref="BF12" ca="1">SUM( ($G$7:$G$155=$AQ12) * ($G$6:$G$154=BF$5) )</f>
        <v>1</v>
      </c>
      <c r="BG12" s="898" cm="1">
        <f t="array" aca="1" ref="BG12" ca="1">SUM( ($G$7:$G$155=$AQ12) * ($G$6:$G$154=BG$5) )</f>
        <v>0</v>
      </c>
      <c r="BH12" s="898" cm="1">
        <f t="array" aca="1" ref="BH12" ca="1">SUM( ($G$7:$G$155=$AQ12) * ($G$6:$G$154=BH$5) )</f>
        <v>0</v>
      </c>
      <c r="BI12" s="898" cm="1">
        <f t="array" aca="1" ref="BI12" ca="1">SUM( ($G$7:$G$155=$AQ12) * ($G$6:$G$154=BI$5) )</f>
        <v>0</v>
      </c>
      <c r="BJ12" s="898" cm="1">
        <f t="array" aca="1" ref="BJ12" ca="1">SUM( ($G$7:$G$155=$AQ12) * ($G$6:$G$154=BJ$5) )</f>
        <v>0</v>
      </c>
      <c r="BK12" s="898" cm="1">
        <f t="array" aca="1" ref="BK12" ca="1">SUM( ($G$7:$G$155=$AQ12) * ($G$6:$G$154=BK$5) )</f>
        <v>0</v>
      </c>
      <c r="BL12" s="898" cm="1">
        <f t="array" aca="1" ref="BL12" ca="1">SUM( ($G$7:$G$155=$AQ12) * ($G$6:$G$154=BL$5) )</f>
        <v>0</v>
      </c>
      <c r="BM12" s="898" cm="1">
        <f t="array" aca="1" ref="BM12" ca="1">SUM( ($G$7:$G$155=$AQ12) * ($G$6:$G$154=BM$5) )</f>
        <v>0</v>
      </c>
      <c r="BN12" s="898" cm="1">
        <f t="array" aca="1" ref="BN12" ca="1">SUM( ($G$7:$G$155=$AQ12) * ($G$6:$G$154=BN$5) )</f>
        <v>0</v>
      </c>
      <c r="BO12" s="898" cm="1">
        <f t="array" aca="1" ref="BO12" ca="1">SUM( ($G$7:$G$155=$AQ12) * ($G$6:$G$154=BO$5) )</f>
        <v>0</v>
      </c>
      <c r="BP12" s="898" cm="1">
        <f t="array" aca="1" ref="BP12" ca="1">SUM( ($G$7:$G$155=$AQ12) * ($G$6:$G$154=BP$5) )</f>
        <v>0</v>
      </c>
      <c r="BQ12" s="898" cm="1">
        <f t="array" aca="1" ref="BQ12" ca="1">SUM( ($G$7:$G$155=$AQ12) * ($G$6:$G$154=BQ$5) )</f>
        <v>0</v>
      </c>
    </row>
    <row r="13" spans="2:71" ht="23" thickBot="1">
      <c r="B13" s="89" vm="33">
        <f ca="1"/>
        <v>45944</v>
      </c>
      <c r="C13" s="89" vm="34">
        <f ca="1"/>
        <v>1215.3499999999999</v>
      </c>
      <c r="D13" s="1335">
        <f t="shared" ca="1" si="0"/>
        <v>-3.0187936310017505E-3</v>
      </c>
      <c r="E13" s="296" t="str" cm="1">
        <f t="array" aca="1" ref="E13" ca="1">_xlfn.IFS(D13&gt;0.5%,"U",D13&lt;=-0.5%,"D",TRUE,"Z")</f>
        <v>Z</v>
      </c>
      <c r="F13" s="296" t="str">
        <f t="shared" ca="1" si="3"/>
        <v>ZZ</v>
      </c>
      <c r="G13" s="296" t="str">
        <f t="shared" ca="1" si="4"/>
        <v>DZZ</v>
      </c>
      <c r="H13" s="898" t="str">
        <f t="shared" ca="1" si="5"/>
        <v/>
      </c>
      <c r="T13" s="898">
        <f t="shared" ca="1" si="1"/>
        <v>12</v>
      </c>
      <c r="U13" s="898">
        <f t="shared" ca="1" si="2"/>
        <v>10</v>
      </c>
      <c r="W13" s="904" t="s">
        <v>2327</v>
      </c>
      <c r="X13" s="988" t="str">
        <f ca="1">G5</f>
        <v>DZD</v>
      </c>
      <c r="Y13" s="928" t="e">
        <f ca="1">_xlfn.XLOOKUP(X13,W10:AD10,W11:AD11)</f>
        <v>#N/A</v>
      </c>
      <c r="Z13" s="902"/>
      <c r="AI13" s="89" vm="35">
        <f ca="1"/>
        <v>45672</v>
      </c>
      <c r="AJ13" s="89" vm="36">
        <f ca="1"/>
        <v>848.26</v>
      </c>
      <c r="AQ13" s="898" t="str">
        <f ca="1"/>
        <v>ZZD</v>
      </c>
      <c r="AR13" s="898" cm="1">
        <f t="array" aca="1" ref="AR13" ca="1">SUM( ($G$7:$G$155=$AQ13) * ($G$6:$G$154=AR$5) )</f>
        <v>0</v>
      </c>
      <c r="AS13" s="898" cm="1">
        <f t="array" aca="1" ref="AS13" ca="1">SUM( ($G$7:$G$155=$AQ13) * ($G$6:$G$154=AS$5) )</f>
        <v>1</v>
      </c>
      <c r="AT13" s="898" cm="1">
        <f t="array" aca="1" ref="AT13" ca="1">SUM( ($G$7:$G$155=$AQ13) * ($G$6:$G$154=AT$5) )</f>
        <v>0</v>
      </c>
      <c r="AU13" s="898" cm="1">
        <f t="array" aca="1" ref="AU13" ca="1">SUM( ($G$7:$G$155=$AQ13) * ($G$6:$G$154=AU$5) )</f>
        <v>0</v>
      </c>
      <c r="AV13" s="898" cm="1">
        <f t="array" aca="1" ref="AV13" ca="1">SUM( ($G$7:$G$155=$AQ13) * ($G$6:$G$154=AV$5) )</f>
        <v>0</v>
      </c>
      <c r="AW13" s="898" cm="1">
        <f t="array" aca="1" ref="AW13" ca="1">SUM( ($G$7:$G$155=$AQ13) * ($G$6:$G$154=AW$5) )</f>
        <v>0</v>
      </c>
      <c r="AX13" s="898" cm="1">
        <f t="array" aca="1" ref="AX13" ca="1">SUM( ($G$7:$G$155=$AQ13) * ($G$6:$G$154=AX$5) )</f>
        <v>2</v>
      </c>
      <c r="AY13" s="898" cm="1">
        <f t="array" aca="1" ref="AY13" ca="1">SUM( ($G$7:$G$155=$AQ13) * ($G$6:$G$154=AY$5) )</f>
        <v>0</v>
      </c>
      <c r="AZ13" s="898" cm="1">
        <f t="array" aca="1" ref="AZ13" ca="1">SUM( ($G$7:$G$155=$AQ13) * ($G$6:$G$154=AZ$5) )</f>
        <v>0</v>
      </c>
      <c r="BA13" s="898" cm="1">
        <f t="array" aca="1" ref="BA13" ca="1">SUM( ($G$7:$G$155=$AQ13) * ($G$6:$G$154=BA$5) )</f>
        <v>0</v>
      </c>
      <c r="BB13" s="898" cm="1">
        <f t="array" aca="1" ref="BB13" ca="1">SUM( ($G$7:$G$155=$AQ13) * ($G$6:$G$154=BB$5) )</f>
        <v>0</v>
      </c>
      <c r="BC13" s="898" cm="1">
        <f t="array" aca="1" ref="BC13" ca="1">SUM( ($G$7:$G$155=$AQ13) * ($G$6:$G$154=BC$5) )</f>
        <v>0</v>
      </c>
      <c r="BD13" s="898" cm="1">
        <f t="array" aca="1" ref="BD13" ca="1">SUM( ($G$7:$G$155=$AQ13) * ($G$6:$G$154=BD$5) )</f>
        <v>0</v>
      </c>
      <c r="BE13" s="898" cm="1">
        <f t="array" aca="1" ref="BE13" ca="1">SUM( ($G$7:$G$155=$AQ13) * ($G$6:$G$154=BE$5) )</f>
        <v>0</v>
      </c>
      <c r="BF13" s="898" cm="1">
        <f t="array" aca="1" ref="BF13" ca="1">SUM( ($G$7:$G$155=$AQ13) * ($G$6:$G$154=BF$5) )</f>
        <v>0</v>
      </c>
      <c r="BG13" s="898" cm="1">
        <f t="array" aca="1" ref="BG13" ca="1">SUM( ($G$7:$G$155=$AQ13) * ($G$6:$G$154=BG$5) )</f>
        <v>0</v>
      </c>
      <c r="BH13" s="898" cm="1">
        <f t="array" aca="1" ref="BH13" ca="1">SUM( ($G$7:$G$155=$AQ13) * ($G$6:$G$154=BH$5) )</f>
        <v>0</v>
      </c>
      <c r="BI13" s="898" cm="1">
        <f t="array" aca="1" ref="BI13" ca="1">SUM( ($G$7:$G$155=$AQ13) * ($G$6:$G$154=BI$5) )</f>
        <v>0</v>
      </c>
      <c r="BJ13" s="898" cm="1">
        <f t="array" aca="1" ref="BJ13" ca="1">SUM( ($G$7:$G$155=$AQ13) * ($G$6:$G$154=BJ$5) )</f>
        <v>0</v>
      </c>
      <c r="BK13" s="898" cm="1">
        <f t="array" aca="1" ref="BK13" ca="1">SUM( ($G$7:$G$155=$AQ13) * ($G$6:$G$154=BK$5) )</f>
        <v>0</v>
      </c>
      <c r="BL13" s="898" cm="1">
        <f t="array" aca="1" ref="BL13" ca="1">SUM( ($G$7:$G$155=$AQ13) * ($G$6:$G$154=BL$5) )</f>
        <v>0</v>
      </c>
      <c r="BM13" s="898" cm="1">
        <f t="array" aca="1" ref="BM13" ca="1">SUM( ($G$7:$G$155=$AQ13) * ($G$6:$G$154=BM$5) )</f>
        <v>0</v>
      </c>
      <c r="BN13" s="898" cm="1">
        <f t="array" aca="1" ref="BN13" ca="1">SUM( ($G$7:$G$155=$AQ13) * ($G$6:$G$154=BN$5) )</f>
        <v>0</v>
      </c>
      <c r="BO13" s="898" cm="1">
        <f t="array" aca="1" ref="BO13" ca="1">SUM( ($G$7:$G$155=$AQ13) * ($G$6:$G$154=BO$5) )</f>
        <v>0</v>
      </c>
      <c r="BP13" s="898" cm="1">
        <f t="array" aca="1" ref="BP13" ca="1">SUM( ($G$7:$G$155=$AQ13) * ($G$6:$G$154=BP$5) )</f>
        <v>0</v>
      </c>
      <c r="BQ13" s="898" cm="1">
        <f t="array" aca="1" ref="BQ13" ca="1">SUM( ($G$7:$G$155=$AQ13) * ($G$6:$G$154=BQ$5) )</f>
        <v>0</v>
      </c>
    </row>
    <row r="14" spans="2:71">
      <c r="B14" s="89" vm="37">
        <f ca="1"/>
        <v>45943</v>
      </c>
      <c r="C14" s="89" vm="38">
        <f ca="1"/>
        <v>1219.03</v>
      </c>
      <c r="D14" s="1335">
        <f t="shared" ca="1" si="0"/>
        <v>-8.6059930496357173E-4</v>
      </c>
      <c r="E14" s="296" t="str" cm="1">
        <f t="array" aca="1" ref="E14" ca="1">_xlfn.IFS(D14&gt;0.5%,"U",D14&lt;=-0.5%,"D",TRUE,"Z")</f>
        <v>Z</v>
      </c>
      <c r="F14" s="296" t="str">
        <f t="shared" ca="1" si="3"/>
        <v>DZ</v>
      </c>
      <c r="G14" s="296" t="str">
        <f t="shared" ca="1" si="4"/>
        <v>UDZ</v>
      </c>
      <c r="H14" s="898" t="str">
        <f t="shared" ca="1" si="5"/>
        <v/>
      </c>
      <c r="T14" s="898">
        <f t="shared" ca="1" si="1"/>
        <v>12</v>
      </c>
      <c r="U14" s="898">
        <f t="shared" ca="1" si="2"/>
        <v>10</v>
      </c>
      <c r="W14" s="929" t="s">
        <v>2392</v>
      </c>
      <c r="X14" s="930" t="str">
        <f ca="1">"Sum "&amp;Last2Days</f>
        <v>Sum ZD</v>
      </c>
      <c r="Y14" s="931" t="e" cm="1" vm="39">
        <f t="array" aca="1" ref="Y14" ca="1">SUM( _xlfn._xlws.FILTER(W11:AD11, LEFT(W10:AD10,2)=Last2Days) )</f>
        <v>#VALUE!</v>
      </c>
      <c r="Z14" s="932"/>
      <c r="AI14" s="89" vm="40">
        <f ca="1"/>
        <v>45673</v>
      </c>
      <c r="AJ14" s="89" vm="41">
        <f ca="1"/>
        <v>842.37</v>
      </c>
      <c r="AQ14" s="898" t="str">
        <f ca="1"/>
        <v>DZZ</v>
      </c>
      <c r="AR14" s="898" cm="1">
        <f t="array" aca="1" ref="AR14" ca="1">SUM( ($G$7:$G$155=$AQ14) * ($G$6:$G$154=AR$5) )</f>
        <v>0</v>
      </c>
      <c r="AS14" s="898" cm="1">
        <f t="array" aca="1" ref="AS14" ca="1">SUM( ($G$7:$G$155=$AQ14) * ($G$6:$G$154=AS$5) )</f>
        <v>0</v>
      </c>
      <c r="AT14" s="898" cm="1">
        <f t="array" aca="1" ref="AT14" ca="1">SUM( ($G$7:$G$155=$AQ14) * ($G$6:$G$154=AT$5) )</f>
        <v>0</v>
      </c>
      <c r="AU14" s="898" cm="1">
        <f t="array" aca="1" ref="AU14" ca="1">SUM( ($G$7:$G$155=$AQ14) * ($G$6:$G$154=AU$5) )</f>
        <v>0</v>
      </c>
      <c r="AV14" s="898" cm="1">
        <f t="array" aca="1" ref="AV14" ca="1">SUM( ($G$7:$G$155=$AQ14) * ($G$6:$G$154=AV$5) )</f>
        <v>0</v>
      </c>
      <c r="AW14" s="898" cm="1">
        <f t="array" aca="1" ref="AW14" ca="1">SUM( ($G$7:$G$155=$AQ14) * ($G$6:$G$154=AW$5) )</f>
        <v>0</v>
      </c>
      <c r="AX14" s="898" cm="1">
        <f t="array" aca="1" ref="AX14" ca="1">SUM( ($G$7:$G$155=$AQ14) * ($G$6:$G$154=AX$5) )</f>
        <v>0</v>
      </c>
      <c r="AY14" s="898" cm="1">
        <f t="array" aca="1" ref="AY14" ca="1">SUM( ($G$7:$G$155=$AQ14) * ($G$6:$G$154=AY$5) )</f>
        <v>1</v>
      </c>
      <c r="AZ14" s="898" cm="1">
        <f t="array" aca="1" ref="AZ14" ca="1">SUM( ($G$7:$G$155=$AQ14) * ($G$6:$G$154=AZ$5) )</f>
        <v>0</v>
      </c>
      <c r="BA14" s="898" cm="1">
        <f t="array" aca="1" ref="BA14" ca="1">SUM( ($G$7:$G$155=$AQ14) * ($G$6:$G$154=BA$5) )</f>
        <v>0</v>
      </c>
      <c r="BB14" s="898" cm="1">
        <f t="array" aca="1" ref="BB14" ca="1">SUM( ($G$7:$G$155=$AQ14) * ($G$6:$G$154=BB$5) )</f>
        <v>0</v>
      </c>
      <c r="BC14" s="898" cm="1">
        <f t="array" aca="1" ref="BC14" ca="1">SUM( ($G$7:$G$155=$AQ14) * ($G$6:$G$154=BC$5) )</f>
        <v>0</v>
      </c>
      <c r="BD14" s="898" cm="1">
        <f t="array" aca="1" ref="BD14" ca="1">SUM( ($G$7:$G$155=$AQ14) * ($G$6:$G$154=BD$5) )</f>
        <v>0</v>
      </c>
      <c r="BE14" s="898" cm="1">
        <f t="array" aca="1" ref="BE14" ca="1">SUM( ($G$7:$G$155=$AQ14) * ($G$6:$G$154=BE$5) )</f>
        <v>2</v>
      </c>
      <c r="BF14" s="898" cm="1">
        <f t="array" aca="1" ref="BF14" ca="1">SUM( ($G$7:$G$155=$AQ14) * ($G$6:$G$154=BF$5) )</f>
        <v>0</v>
      </c>
      <c r="BG14" s="898" cm="1">
        <f t="array" aca="1" ref="BG14" ca="1">SUM( ($G$7:$G$155=$AQ14) * ($G$6:$G$154=BG$5) )</f>
        <v>0</v>
      </c>
      <c r="BH14" s="898" cm="1">
        <f t="array" aca="1" ref="BH14" ca="1">SUM( ($G$7:$G$155=$AQ14) * ($G$6:$G$154=BH$5) )</f>
        <v>0</v>
      </c>
      <c r="BI14" s="898" cm="1">
        <f t="array" aca="1" ref="BI14" ca="1">SUM( ($G$7:$G$155=$AQ14) * ($G$6:$G$154=BI$5) )</f>
        <v>0</v>
      </c>
      <c r="BJ14" s="898" cm="1">
        <f t="array" aca="1" ref="BJ14" ca="1">SUM( ($G$7:$G$155=$AQ14) * ($G$6:$G$154=BJ$5) )</f>
        <v>0</v>
      </c>
      <c r="BK14" s="898" cm="1">
        <f t="array" aca="1" ref="BK14" ca="1">SUM( ($G$7:$G$155=$AQ14) * ($G$6:$G$154=BK$5) )</f>
        <v>0</v>
      </c>
      <c r="BL14" s="898" cm="1">
        <f t="array" aca="1" ref="BL14" ca="1">SUM( ($G$7:$G$155=$AQ14) * ($G$6:$G$154=BL$5) )</f>
        <v>0</v>
      </c>
      <c r="BM14" s="898" cm="1">
        <f t="array" aca="1" ref="BM14" ca="1">SUM( ($G$7:$G$155=$AQ14) * ($G$6:$G$154=BM$5) )</f>
        <v>0</v>
      </c>
      <c r="BN14" s="898" cm="1">
        <f t="array" aca="1" ref="BN14" ca="1">SUM( ($G$7:$G$155=$AQ14) * ($G$6:$G$154=BN$5) )</f>
        <v>1</v>
      </c>
      <c r="BO14" s="898" cm="1">
        <f t="array" aca="1" ref="BO14" ca="1">SUM( ($G$7:$G$155=$AQ14) * ($G$6:$G$154=BO$5) )</f>
        <v>0</v>
      </c>
      <c r="BP14" s="898" cm="1">
        <f t="array" aca="1" ref="BP14" ca="1">SUM( ($G$7:$G$155=$AQ14) * ($G$6:$G$154=BP$5) )</f>
        <v>0</v>
      </c>
      <c r="BQ14" s="898" cm="1">
        <f t="array" aca="1" ref="BQ14" ca="1">SUM( ($G$7:$G$155=$AQ14) * ($G$6:$G$154=BQ$5) )</f>
        <v>0</v>
      </c>
    </row>
    <row r="15" spans="2:71" ht="23" thickBot="1">
      <c r="B15" s="89" vm="42">
        <f ca="1"/>
        <v>45940</v>
      </c>
      <c r="C15" s="89" vm="43">
        <f ca="1"/>
        <v>1220.08</v>
      </c>
      <c r="D15" s="1335">
        <f t="shared" ca="1" si="0"/>
        <v>-8.9271934171087017E-3</v>
      </c>
      <c r="E15" s="296" t="str" cm="1">
        <f t="array" aca="1" ref="E15" ca="1">_xlfn.IFS(D15&gt;0.5%,"U",D15&lt;=-0.5%,"D",TRUE,"Z")</f>
        <v>D</v>
      </c>
      <c r="F15" s="296" t="str">
        <f t="shared" ca="1" si="3"/>
        <v>UD</v>
      </c>
      <c r="G15" s="296" t="str">
        <f t="shared" ca="1" si="4"/>
        <v>UUD</v>
      </c>
      <c r="H15" s="898" t="str">
        <f t="shared" ca="1" si="5"/>
        <v/>
      </c>
      <c r="T15" s="898">
        <f t="shared" ca="1" si="1"/>
        <v>12</v>
      </c>
      <c r="U15" s="898">
        <f t="shared" ca="1" si="2"/>
        <v>10</v>
      </c>
      <c r="W15" s="933" t="str">
        <f ca="1">RIGHT(X13,2)</f>
        <v>ZD</v>
      </c>
      <c r="X15" s="934" t="s">
        <v>2328</v>
      </c>
      <c r="Y15" s="935" cm="1">
        <f t="array" aca="1" ref="Y15" ca="1">SUMPRODUCT( (LEFT(W10:AD10,2)=W15) * W11:AD11 )</f>
        <v>0</v>
      </c>
      <c r="AI15" s="89" vm="44">
        <f ca="1"/>
        <v>45674</v>
      </c>
      <c r="AJ15" s="89" vm="45">
        <f ca="1"/>
        <v>858.1</v>
      </c>
      <c r="AQ15" s="898" t="str">
        <f ca="1"/>
        <v>UDZ</v>
      </c>
      <c r="AR15" s="898" cm="1">
        <f t="array" aca="1" ref="AR15" ca="1">SUM( ($G$7:$G$155=$AQ15) * ($G$6:$G$154=AR$5) )</f>
        <v>1</v>
      </c>
      <c r="AS15" s="898" cm="1">
        <f t="array" aca="1" ref="AS15" ca="1">SUM( ($G$7:$G$155=$AQ15) * ($G$6:$G$154=AS$5) )</f>
        <v>0</v>
      </c>
      <c r="AT15" s="898" cm="1">
        <f t="array" aca="1" ref="AT15" ca="1">SUM( ($G$7:$G$155=$AQ15) * ($G$6:$G$154=AT$5) )</f>
        <v>0</v>
      </c>
      <c r="AU15" s="898" cm="1">
        <f t="array" aca="1" ref="AU15" ca="1">SUM( ($G$7:$G$155=$AQ15) * ($G$6:$G$154=AU$5) )</f>
        <v>0</v>
      </c>
      <c r="AV15" s="898" cm="1">
        <f t="array" aca="1" ref="AV15" ca="1">SUM( ($G$7:$G$155=$AQ15) * ($G$6:$G$154=AV$5) )</f>
        <v>0</v>
      </c>
      <c r="AW15" s="898" cm="1">
        <f t="array" aca="1" ref="AW15" ca="1">SUM( ($G$7:$G$155=$AQ15) * ($G$6:$G$154=AW$5) )</f>
        <v>0</v>
      </c>
      <c r="AX15" s="898" cm="1">
        <f t="array" aca="1" ref="AX15" ca="1">SUM( ($G$7:$G$155=$AQ15) * ($G$6:$G$154=AX$5) )</f>
        <v>0</v>
      </c>
      <c r="AY15" s="898" cm="1">
        <f t="array" aca="1" ref="AY15" ca="1">SUM( ($G$7:$G$155=$AQ15) * ($G$6:$G$154=AY$5) )</f>
        <v>0</v>
      </c>
      <c r="AZ15" s="898" cm="1">
        <f t="array" aca="1" ref="AZ15" ca="1">SUM( ($G$7:$G$155=$AQ15) * ($G$6:$G$154=AZ$5) )</f>
        <v>2</v>
      </c>
      <c r="BA15" s="898" cm="1">
        <f t="array" aca="1" ref="BA15" ca="1">SUM( ($G$7:$G$155=$AQ15) * ($G$6:$G$154=BA$5) )</f>
        <v>0</v>
      </c>
      <c r="BB15" s="898" cm="1">
        <f t="array" aca="1" ref="BB15" ca="1">SUM( ($G$7:$G$155=$AQ15) * ($G$6:$G$154=BB$5) )</f>
        <v>0</v>
      </c>
      <c r="BC15" s="898" cm="1">
        <f t="array" aca="1" ref="BC15" ca="1">SUM( ($G$7:$G$155=$AQ15) * ($G$6:$G$154=BC$5) )</f>
        <v>0</v>
      </c>
      <c r="BD15" s="898" cm="1">
        <f t="array" aca="1" ref="BD15" ca="1">SUM( ($G$7:$G$155=$AQ15) * ($G$6:$G$154=BD$5) )</f>
        <v>0</v>
      </c>
      <c r="BE15" s="898" cm="1">
        <f t="array" aca="1" ref="BE15" ca="1">SUM( ($G$7:$G$155=$AQ15) * ($G$6:$G$154=BE$5) )</f>
        <v>0</v>
      </c>
      <c r="BF15" s="898" cm="1">
        <f t="array" aca="1" ref="BF15" ca="1">SUM( ($G$7:$G$155=$AQ15) * ($G$6:$G$154=BF$5) )</f>
        <v>0</v>
      </c>
      <c r="BG15" s="898" cm="1">
        <f t="array" aca="1" ref="BG15" ca="1">SUM( ($G$7:$G$155=$AQ15) * ($G$6:$G$154=BG$5) )</f>
        <v>0</v>
      </c>
      <c r="BH15" s="898" cm="1">
        <f t="array" aca="1" ref="BH15" ca="1">SUM( ($G$7:$G$155=$AQ15) * ($G$6:$G$154=BH$5) )</f>
        <v>0</v>
      </c>
      <c r="BI15" s="898" cm="1">
        <f t="array" aca="1" ref="BI15" ca="1">SUM( ($G$7:$G$155=$AQ15) * ($G$6:$G$154=BI$5) )</f>
        <v>0</v>
      </c>
      <c r="BJ15" s="898" cm="1">
        <f t="array" aca="1" ref="BJ15" ca="1">SUM( ($G$7:$G$155=$AQ15) * ($G$6:$G$154=BJ$5) )</f>
        <v>0</v>
      </c>
      <c r="BK15" s="898" cm="1">
        <f t="array" aca="1" ref="BK15" ca="1">SUM( ($G$7:$G$155=$AQ15) * ($G$6:$G$154=BK$5) )</f>
        <v>0</v>
      </c>
      <c r="BL15" s="898" cm="1">
        <f t="array" aca="1" ref="BL15" ca="1">SUM( ($G$7:$G$155=$AQ15) * ($G$6:$G$154=BL$5) )</f>
        <v>6</v>
      </c>
      <c r="BM15" s="898" cm="1">
        <f t="array" aca="1" ref="BM15" ca="1">SUM( ($G$7:$G$155=$AQ15) * ($G$6:$G$154=BM$5) )</f>
        <v>0</v>
      </c>
      <c r="BN15" s="898" cm="1">
        <f t="array" aca="1" ref="BN15" ca="1">SUM( ($G$7:$G$155=$AQ15) * ($G$6:$G$154=BN$5) )</f>
        <v>0</v>
      </c>
      <c r="BO15" s="898" cm="1">
        <f t="array" aca="1" ref="BO15" ca="1">SUM( ($G$7:$G$155=$AQ15) * ($G$6:$G$154=BO$5) )</f>
        <v>0</v>
      </c>
      <c r="BP15" s="898" cm="1">
        <f t="array" aca="1" ref="BP15" ca="1">SUM( ($G$7:$G$155=$AQ15) * ($G$6:$G$154=BP$5) )</f>
        <v>0</v>
      </c>
      <c r="BQ15" s="898" cm="1">
        <f t="array" aca="1" ref="BQ15" ca="1">SUM( ($G$7:$G$155=$AQ15) * ($G$6:$G$154=BQ$5) )</f>
        <v>0</v>
      </c>
    </row>
    <row r="16" spans="2:71" ht="23" thickBot="1">
      <c r="B16" s="89" vm="46">
        <f ca="1"/>
        <v>45939</v>
      </c>
      <c r="C16" s="89" vm="47">
        <f ca="1"/>
        <v>1231.07</v>
      </c>
      <c r="D16" s="1335">
        <f t="shared" ca="1" si="0"/>
        <v>1.3852172122709439E-2</v>
      </c>
      <c r="E16" s="296" t="str" cm="1">
        <f t="array" aca="1" ref="E16" ca="1">_xlfn.IFS(D16&gt;0.5%,"U",D16&lt;=-0.5%,"D",TRUE,"Z")</f>
        <v>U</v>
      </c>
      <c r="F16" s="296" t="str">
        <f t="shared" ca="1" si="3"/>
        <v>UU</v>
      </c>
      <c r="G16" s="296" t="str">
        <f t="shared" ca="1" si="4"/>
        <v>UUU</v>
      </c>
      <c r="H16" s="898" t="str">
        <f t="shared" ca="1" si="5"/>
        <v/>
      </c>
      <c r="J16" s="902" t="s">
        <v>2308</v>
      </c>
      <c r="K16" s="902" t="s">
        <v>2309</v>
      </c>
      <c r="L16" s="902" t="s">
        <v>2310</v>
      </c>
      <c r="M16" s="902" t="s">
        <v>2311</v>
      </c>
      <c r="T16" s="898">
        <f t="shared" ca="1" si="1"/>
        <v>12</v>
      </c>
      <c r="U16" s="898">
        <f t="shared" ca="1" si="2"/>
        <v>10</v>
      </c>
      <c r="AI16" s="89" vm="48">
        <f ca="1"/>
        <v>45678</v>
      </c>
      <c r="AJ16" s="89" vm="49">
        <f ca="1"/>
        <v>869.68</v>
      </c>
      <c r="AQ16" s="898" t="str">
        <f ca="1"/>
        <v>UUD</v>
      </c>
      <c r="AR16" s="898" cm="1">
        <f t="array" aca="1" ref="AR16" ca="1">SUM( ($G$7:$G$155=$AQ16) * ($G$6:$G$154=AR$5) )</f>
        <v>0</v>
      </c>
      <c r="AS16" s="898" cm="1">
        <f t="array" aca="1" ref="AS16" ca="1">SUM( ($G$7:$G$155=$AQ16) * ($G$6:$G$154=AS$5) )</f>
        <v>0</v>
      </c>
      <c r="AT16" s="898" cm="1">
        <f t="array" aca="1" ref="AT16" ca="1">SUM( ($G$7:$G$155=$AQ16) * ($G$6:$G$154=AT$5) )</f>
        <v>0</v>
      </c>
      <c r="AU16" s="898" cm="1">
        <f t="array" aca="1" ref="AU16" ca="1">SUM( ($G$7:$G$155=$AQ16) * ($G$6:$G$154=AU$5) )</f>
        <v>0</v>
      </c>
      <c r="AV16" s="898" cm="1">
        <f t="array" aca="1" ref="AV16" ca="1">SUM( ($G$7:$G$155=$AQ16) * ($G$6:$G$154=AV$5) )</f>
        <v>0</v>
      </c>
      <c r="AW16" s="898" cm="1">
        <f t="array" aca="1" ref="AW16" ca="1">SUM( ($G$7:$G$155=$AQ16) * ($G$6:$G$154=AW$5) )</f>
        <v>0</v>
      </c>
      <c r="AX16" s="898" cm="1">
        <f t="array" aca="1" ref="AX16" ca="1">SUM( ($G$7:$G$155=$AQ16) * ($G$6:$G$154=AX$5) )</f>
        <v>0</v>
      </c>
      <c r="AY16" s="898" cm="1">
        <f t="array" aca="1" ref="AY16" ca="1">SUM( ($G$7:$G$155=$AQ16) * ($G$6:$G$154=AY$5) )</f>
        <v>0</v>
      </c>
      <c r="AZ16" s="898" cm="1">
        <f t="array" aca="1" ref="AZ16" ca="1">SUM( ($G$7:$G$155=$AQ16) * ($G$6:$G$154=AZ$5) )</f>
        <v>0</v>
      </c>
      <c r="BA16" s="898" cm="1">
        <f t="array" aca="1" ref="BA16" ca="1">SUM( ($G$7:$G$155=$AQ16) * ($G$6:$G$154=BA$5) )</f>
        <v>2</v>
      </c>
      <c r="BB16" s="898" cm="1">
        <f t="array" aca="1" ref="BB16" ca="1">SUM( ($G$7:$G$155=$AQ16) * ($G$6:$G$154=BB$5) )</f>
        <v>0</v>
      </c>
      <c r="BC16" s="898" cm="1">
        <f t="array" aca="1" ref="BC16" ca="1">SUM( ($G$7:$G$155=$AQ16) * ($G$6:$G$154=BC$5) )</f>
        <v>0</v>
      </c>
      <c r="BD16" s="898" cm="1">
        <f t="array" aca="1" ref="BD16" ca="1">SUM( ($G$7:$G$155=$AQ16) * ($G$6:$G$154=BD$5) )</f>
        <v>0</v>
      </c>
      <c r="BE16" s="898" cm="1">
        <f t="array" aca="1" ref="BE16" ca="1">SUM( ($G$7:$G$155=$AQ16) * ($G$6:$G$154=BE$5) )</f>
        <v>0</v>
      </c>
      <c r="BF16" s="898" cm="1">
        <f t="array" aca="1" ref="BF16" ca="1">SUM( ($G$7:$G$155=$AQ16) * ($G$6:$G$154=BF$5) )</f>
        <v>0</v>
      </c>
      <c r="BG16" s="898" cm="1">
        <f t="array" aca="1" ref="BG16" ca="1">SUM( ($G$7:$G$155=$AQ16) * ($G$6:$G$154=BG$5) )</f>
        <v>0</v>
      </c>
      <c r="BH16" s="898" cm="1">
        <f t="array" aca="1" ref="BH16" ca="1">SUM( ($G$7:$G$155=$AQ16) * ($G$6:$G$154=BH$5) )</f>
        <v>3</v>
      </c>
      <c r="BI16" s="898" cm="1">
        <f t="array" aca="1" ref="BI16" ca="1">SUM( ($G$7:$G$155=$AQ16) * ($G$6:$G$154=BI$5) )</f>
        <v>0</v>
      </c>
      <c r="BJ16" s="898" cm="1">
        <f t="array" aca="1" ref="BJ16" ca="1">SUM( ($G$7:$G$155=$AQ16) * ($G$6:$G$154=BJ$5) )</f>
        <v>0</v>
      </c>
      <c r="BK16" s="898" cm="1">
        <f t="array" aca="1" ref="BK16" ca="1">SUM( ($G$7:$G$155=$AQ16) * ($G$6:$G$154=BK$5) )</f>
        <v>2</v>
      </c>
      <c r="BL16" s="898" cm="1">
        <f t="array" aca="1" ref="BL16" ca="1">SUM( ($G$7:$G$155=$AQ16) * ($G$6:$G$154=BL$5) )</f>
        <v>0</v>
      </c>
      <c r="BM16" s="898" cm="1">
        <f t="array" aca="1" ref="BM16" ca="1">SUM( ($G$7:$G$155=$AQ16) * ($G$6:$G$154=BM$5) )</f>
        <v>0</v>
      </c>
      <c r="BN16" s="898" cm="1">
        <f t="array" aca="1" ref="BN16" ca="1">SUM( ($G$7:$G$155=$AQ16) * ($G$6:$G$154=BN$5) )</f>
        <v>0</v>
      </c>
      <c r="BO16" s="898" cm="1">
        <f t="array" aca="1" ref="BO16" ca="1">SUM( ($G$7:$G$155=$AQ16) * ($G$6:$G$154=BO$5) )</f>
        <v>0</v>
      </c>
      <c r="BP16" s="898" cm="1">
        <f t="array" aca="1" ref="BP16" ca="1">SUM( ($G$7:$G$155=$AQ16) * ($G$6:$G$154=BP$5) )</f>
        <v>0</v>
      </c>
      <c r="BQ16" s="898" cm="1">
        <f t="array" aca="1" ref="BQ16" ca="1">SUM( ($G$7:$G$155=$AQ16) * ($G$6:$G$154=BQ$5) )</f>
        <v>0</v>
      </c>
    </row>
    <row r="17" spans="2:69" ht="23" thickBot="1">
      <c r="B17" s="89" vm="50">
        <f ca="1"/>
        <v>45938</v>
      </c>
      <c r="C17" s="89" vm="51">
        <f ca="1"/>
        <v>1214.25</v>
      </c>
      <c r="D17" s="1335">
        <f t="shared" ca="1" si="0"/>
        <v>1.947005188655488E-2</v>
      </c>
      <c r="E17" s="296" t="str" cm="1">
        <f t="array" aca="1" ref="E17" ca="1">_xlfn.IFS(D17&gt;0.5%,"U",D17&lt;=-0.5%,"D",TRUE,"Z")</f>
        <v>U</v>
      </c>
      <c r="F17" s="296" t="str">
        <f t="shared" ca="1" si="3"/>
        <v>UU</v>
      </c>
      <c r="G17" s="296" t="str">
        <f t="shared" ca="1" si="4"/>
        <v>UUU</v>
      </c>
      <c r="H17" s="898" t="str">
        <f t="shared" ca="1" si="5"/>
        <v/>
      </c>
      <c r="J17" s="902">
        <v>11</v>
      </c>
      <c r="K17" s="902">
        <v>12</v>
      </c>
      <c r="L17" s="902">
        <v>21</v>
      </c>
      <c r="M17" s="902">
        <v>22</v>
      </c>
      <c r="T17" s="898">
        <f t="shared" ca="1" si="1"/>
        <v>12</v>
      </c>
      <c r="U17" s="898">
        <f t="shared" ca="1" si="2"/>
        <v>10</v>
      </c>
      <c r="W17" s="936" t="str">
        <f ca="1">"For "&amp;W15&amp;"+U"</f>
        <v>For ZD+U</v>
      </c>
      <c r="X17" s="937" t="s">
        <v>2329</v>
      </c>
      <c r="Y17" s="938" t="e" cm="1">
        <f t="array" aca="1" ref="Y17" ca="1">_xlfn.XLOOKUP(Last2Days&amp;"U",W10:AD10,_xlfn.ANCHORARRAY(W11))</f>
        <v>#N/A</v>
      </c>
      <c r="AI17" s="89" vm="52">
        <f ca="1"/>
        <v>45679</v>
      </c>
      <c r="AJ17" s="89" vm="53">
        <f ca="1"/>
        <v>953.99</v>
      </c>
      <c r="AQ17" s="898" t="str">
        <f ca="1"/>
        <v>UUU</v>
      </c>
      <c r="AR17" s="898" cm="1">
        <f t="array" aca="1" ref="AR17" ca="1">SUM( ($G$7:$G$155=$AQ17) * ($G$6:$G$154=AR$5) )</f>
        <v>0</v>
      </c>
      <c r="AS17" s="898" cm="1">
        <f t="array" aca="1" ref="AS17" ca="1">SUM( ($G$7:$G$155=$AQ17) * ($G$6:$G$154=AS$5) )</f>
        <v>0</v>
      </c>
      <c r="AT17" s="898" cm="1">
        <f t="array" aca="1" ref="AT17" ca="1">SUM( ($G$7:$G$155=$AQ17) * ($G$6:$G$154=AT$5) )</f>
        <v>0</v>
      </c>
      <c r="AU17" s="898" cm="1">
        <f t="array" aca="1" ref="AU17" ca="1">SUM( ($G$7:$G$155=$AQ17) * ($G$6:$G$154=AU$5) )</f>
        <v>4</v>
      </c>
      <c r="AV17" s="898" cm="1">
        <f t="array" aca="1" ref="AV17" ca="1">SUM( ($G$7:$G$155=$AQ17) * ($G$6:$G$154=AV$5) )</f>
        <v>0</v>
      </c>
      <c r="AW17" s="898" cm="1">
        <f t="array" aca="1" ref="AW17" ca="1">SUM( ($G$7:$G$155=$AQ17) * ($G$6:$G$154=AW$5) )</f>
        <v>0</v>
      </c>
      <c r="AX17" s="898" cm="1">
        <f t="array" aca="1" ref="AX17" ca="1">SUM( ($G$7:$G$155=$AQ17) * ($G$6:$G$154=AX$5) )</f>
        <v>0</v>
      </c>
      <c r="AY17" s="898" cm="1">
        <f t="array" aca="1" ref="AY17" ca="1">SUM( ($G$7:$G$155=$AQ17) * ($G$6:$G$154=AY$5) )</f>
        <v>0</v>
      </c>
      <c r="AZ17" s="898" cm="1">
        <f t="array" aca="1" ref="AZ17" ca="1">SUM( ($G$7:$G$155=$AQ17) * ($G$6:$G$154=AZ$5) )</f>
        <v>0</v>
      </c>
      <c r="BA17" s="898" cm="1">
        <f t="array" aca="1" ref="BA17" ca="1">SUM( ($G$7:$G$155=$AQ17) * ($G$6:$G$154=BA$5) )</f>
        <v>0</v>
      </c>
      <c r="BB17" s="898" cm="1">
        <f t="array" aca="1" ref="BB17" ca="1">SUM( ($G$7:$G$155=$AQ17) * ($G$6:$G$154=BB$5) )</f>
        <v>4</v>
      </c>
      <c r="BC17" s="898" cm="1">
        <f t="array" aca="1" ref="BC17" ca="1">SUM( ($G$7:$G$155=$AQ17) * ($G$6:$G$154=BC$5) )</f>
        <v>4</v>
      </c>
      <c r="BD17" s="898" cm="1">
        <f t="array" aca="1" ref="BD17" ca="1">SUM( ($G$7:$G$155=$AQ17) * ($G$6:$G$154=BD$5) )</f>
        <v>0</v>
      </c>
      <c r="BE17" s="898" cm="1">
        <f t="array" aca="1" ref="BE17" ca="1">SUM( ($G$7:$G$155=$AQ17) * ($G$6:$G$154=BE$5) )</f>
        <v>0</v>
      </c>
      <c r="BF17" s="898" cm="1">
        <f t="array" aca="1" ref="BF17" ca="1">SUM( ($G$7:$G$155=$AQ17) * ($G$6:$G$154=BF$5) )</f>
        <v>0</v>
      </c>
      <c r="BG17" s="898" cm="1">
        <f t="array" aca="1" ref="BG17" ca="1">SUM( ($G$7:$G$155=$AQ17) * ($G$6:$G$154=BG$5) )</f>
        <v>0</v>
      </c>
      <c r="BH17" s="898" cm="1">
        <f t="array" aca="1" ref="BH17" ca="1">SUM( ($G$7:$G$155=$AQ17) * ($G$6:$G$154=BH$5) )</f>
        <v>0</v>
      </c>
      <c r="BI17" s="898" cm="1">
        <f t="array" aca="1" ref="BI17" ca="1">SUM( ($G$7:$G$155=$AQ17) * ($G$6:$G$154=BI$5) )</f>
        <v>0</v>
      </c>
      <c r="BJ17" s="898" cm="1">
        <f t="array" aca="1" ref="BJ17" ca="1">SUM( ($G$7:$G$155=$AQ17) * ($G$6:$G$154=BJ$5) )</f>
        <v>0</v>
      </c>
      <c r="BK17" s="898" cm="1">
        <f t="array" aca="1" ref="BK17" ca="1">SUM( ($G$7:$G$155=$AQ17) * ($G$6:$G$154=BK$5) )</f>
        <v>0</v>
      </c>
      <c r="BL17" s="898" cm="1">
        <f t="array" aca="1" ref="BL17" ca="1">SUM( ($G$7:$G$155=$AQ17) * ($G$6:$G$154=BL$5) )</f>
        <v>0</v>
      </c>
      <c r="BM17" s="898" cm="1">
        <f t="array" aca="1" ref="BM17" ca="1">SUM( ($G$7:$G$155=$AQ17) * ($G$6:$G$154=BM$5) )</f>
        <v>0</v>
      </c>
      <c r="BN17" s="898" cm="1">
        <f t="array" aca="1" ref="BN17" ca="1">SUM( ($G$7:$G$155=$AQ17) * ($G$6:$G$154=BN$5) )</f>
        <v>0</v>
      </c>
      <c r="BO17" s="898" cm="1">
        <f t="array" aca="1" ref="BO17" ca="1">SUM( ($G$7:$G$155=$AQ17) * ($G$6:$G$154=BO$5) )</f>
        <v>0</v>
      </c>
      <c r="BP17" s="898" cm="1">
        <f t="array" aca="1" ref="BP17" ca="1">SUM( ($G$7:$G$155=$AQ17) * ($G$6:$G$154=BP$5) )</f>
        <v>0</v>
      </c>
      <c r="BQ17" s="898" cm="1">
        <f t="array" aca="1" ref="BQ17" ca="1">SUM( ($G$7:$G$155=$AQ17) * ($G$6:$G$154=BQ$5) )</f>
        <v>0</v>
      </c>
    </row>
    <row r="18" spans="2:69">
      <c r="B18" s="89" vm="54">
        <f ca="1"/>
        <v>45937</v>
      </c>
      <c r="C18" s="89" vm="55">
        <f ca="1"/>
        <v>1191.06</v>
      </c>
      <c r="D18" s="1335">
        <f t="shared" ca="1" si="0"/>
        <v>2.3854346648786651E-2</v>
      </c>
      <c r="E18" s="296" t="str" cm="1">
        <f t="array" aca="1" ref="E18" ca="1">_xlfn.IFS(D18&gt;0.5%,"U",D18&lt;=-0.5%,"D",TRUE,"Z")</f>
        <v>U</v>
      </c>
      <c r="F18" s="296" t="str">
        <f t="shared" ca="1" si="3"/>
        <v>UU</v>
      </c>
      <c r="G18" s="296" t="str">
        <f t="shared" ca="1" si="4"/>
        <v>DUU</v>
      </c>
      <c r="H18" s="898" t="str">
        <f t="shared" ca="1" si="5"/>
        <v/>
      </c>
      <c r="J18" s="902" t="s">
        <v>2312</v>
      </c>
      <c r="K18" s="902" t="s">
        <v>2313</v>
      </c>
      <c r="L18" s="902" t="s">
        <v>2314</v>
      </c>
      <c r="M18" s="902" t="s">
        <v>2315</v>
      </c>
      <c r="T18" s="898">
        <f t="shared" ca="1" si="1"/>
        <v>12</v>
      </c>
      <c r="U18" s="898">
        <f t="shared" ca="1" si="2"/>
        <v>10</v>
      </c>
      <c r="W18" s="902" t="s">
        <v>2330</v>
      </c>
      <c r="X18" s="898" t="s">
        <v>2354</v>
      </c>
      <c r="Y18" s="902" t="s">
        <v>1898</v>
      </c>
      <c r="AI18" s="89" vm="56">
        <f ca="1"/>
        <v>45680</v>
      </c>
      <c r="AJ18" s="89" vm="57">
        <f ca="1"/>
        <v>984.86</v>
      </c>
      <c r="AQ18" s="898" t="str">
        <f ca="1"/>
        <v>DDD</v>
      </c>
      <c r="AR18" s="898" cm="1">
        <f t="array" aca="1" ref="AR18" ca="1">SUM( ($G$7:$G$155=$AQ18) * ($G$6:$G$154=AR$5) )</f>
        <v>0</v>
      </c>
      <c r="AS18" s="898" cm="1">
        <f t="array" aca="1" ref="AS18" ca="1">SUM( ($G$7:$G$155=$AQ18) * ($G$6:$G$154=AS$5) )</f>
        <v>0</v>
      </c>
      <c r="AT18" s="898" cm="1">
        <f t="array" aca="1" ref="AT18" ca="1">SUM( ($G$7:$G$155=$AQ18) * ($G$6:$G$154=AT$5) )</f>
        <v>0</v>
      </c>
      <c r="AU18" s="898" cm="1">
        <f t="array" aca="1" ref="AU18" ca="1">SUM( ($G$7:$G$155=$AQ18) * ($G$6:$G$154=AU$5) )</f>
        <v>0</v>
      </c>
      <c r="AV18" s="898" cm="1">
        <f t="array" aca="1" ref="AV18" ca="1">SUM( ($G$7:$G$155=$AQ18) * ($G$6:$G$154=AV$5) )</f>
        <v>0</v>
      </c>
      <c r="AW18" s="898" cm="1">
        <f t="array" aca="1" ref="AW18" ca="1">SUM( ($G$7:$G$155=$AQ18) * ($G$6:$G$154=AW$5) )</f>
        <v>3</v>
      </c>
      <c r="AX18" s="898" cm="1">
        <f t="array" aca="1" ref="AX18" ca="1">SUM( ($G$7:$G$155=$AQ18) * ($G$6:$G$154=AX$5) )</f>
        <v>0</v>
      </c>
      <c r="AY18" s="898" cm="1">
        <f t="array" aca="1" ref="AY18" ca="1">SUM( ($G$7:$G$155=$AQ18) * ($G$6:$G$154=AY$5) )</f>
        <v>0</v>
      </c>
      <c r="AZ18" s="898" cm="1">
        <f t="array" aca="1" ref="AZ18" ca="1">SUM( ($G$7:$G$155=$AQ18) * ($G$6:$G$154=AZ$5) )</f>
        <v>0</v>
      </c>
      <c r="BA18" s="898" cm="1">
        <f t="array" aca="1" ref="BA18" ca="1">SUM( ($G$7:$G$155=$AQ18) * ($G$6:$G$154=BA$5) )</f>
        <v>0</v>
      </c>
      <c r="BB18" s="898" cm="1">
        <f t="array" aca="1" ref="BB18" ca="1">SUM( ($G$7:$G$155=$AQ18) * ($G$6:$G$154=BB$5) )</f>
        <v>0</v>
      </c>
      <c r="BC18" s="898" cm="1">
        <f t="array" aca="1" ref="BC18" ca="1">SUM( ($G$7:$G$155=$AQ18) * ($G$6:$G$154=BC$5) )</f>
        <v>0</v>
      </c>
      <c r="BD18" s="898" cm="1">
        <f t="array" aca="1" ref="BD18" ca="1">SUM( ($G$7:$G$155=$AQ18) * ($G$6:$G$154=BD$5) )</f>
        <v>1</v>
      </c>
      <c r="BE18" s="898" cm="1">
        <f t="array" aca="1" ref="BE18" ca="1">SUM( ($G$7:$G$155=$AQ18) * ($G$6:$G$154=BE$5) )</f>
        <v>0</v>
      </c>
      <c r="BF18" s="898" cm="1">
        <f t="array" aca="1" ref="BF18" ca="1">SUM( ($G$7:$G$155=$AQ18) * ($G$6:$G$154=BF$5) )</f>
        <v>0</v>
      </c>
      <c r="BG18" s="898" cm="1">
        <f t="array" aca="1" ref="BG18" ca="1">SUM( ($G$7:$G$155=$AQ18) * ($G$6:$G$154=BG$5) )</f>
        <v>0</v>
      </c>
      <c r="BH18" s="898" cm="1">
        <f t="array" aca="1" ref="BH18" ca="1">SUM( ($G$7:$G$155=$AQ18) * ($G$6:$G$154=BH$5) )</f>
        <v>0</v>
      </c>
      <c r="BI18" s="898" cm="1">
        <f t="array" aca="1" ref="BI18" ca="1">SUM( ($G$7:$G$155=$AQ18) * ($G$6:$G$154=BI$5) )</f>
        <v>0</v>
      </c>
      <c r="BJ18" s="898" cm="1">
        <f t="array" aca="1" ref="BJ18" ca="1">SUM( ($G$7:$G$155=$AQ18) * ($G$6:$G$154=BJ$5) )</f>
        <v>0</v>
      </c>
      <c r="BK18" s="898" cm="1">
        <f t="array" aca="1" ref="BK18" ca="1">SUM( ($G$7:$G$155=$AQ18) * ($G$6:$G$154=BK$5) )</f>
        <v>0</v>
      </c>
      <c r="BL18" s="898" cm="1">
        <f t="array" aca="1" ref="BL18" ca="1">SUM( ($G$7:$G$155=$AQ18) * ($G$6:$G$154=BL$5) )</f>
        <v>0</v>
      </c>
      <c r="BM18" s="898" cm="1">
        <f t="array" aca="1" ref="BM18" ca="1">SUM( ($G$7:$G$155=$AQ18) * ($G$6:$G$154=BM$5) )</f>
        <v>0</v>
      </c>
      <c r="BN18" s="898" cm="1">
        <f t="array" aca="1" ref="BN18" ca="1">SUM( ($G$7:$G$155=$AQ18) * ($G$6:$G$154=BN$5) )</f>
        <v>0</v>
      </c>
      <c r="BO18" s="898" cm="1">
        <f t="array" aca="1" ref="BO18" ca="1">SUM( ($G$7:$G$155=$AQ18) * ($G$6:$G$154=BO$5) )</f>
        <v>0</v>
      </c>
      <c r="BP18" s="898" cm="1">
        <f t="array" aca="1" ref="BP18" ca="1">SUM( ($G$7:$G$155=$AQ18) * ($G$6:$G$154=BP$5) )</f>
        <v>0</v>
      </c>
      <c r="BQ18" s="898" cm="1">
        <f t="array" aca="1" ref="BQ18" ca="1">SUM( ($G$7:$G$155=$AQ18) * ($G$6:$G$154=BQ$5) )</f>
        <v>0</v>
      </c>
    </row>
    <row r="19" spans="2:69" ht="23" thickBot="1">
      <c r="B19" s="89" vm="58">
        <f ca="1"/>
        <v>45936</v>
      </c>
      <c r="C19" s="89" vm="59">
        <f ca="1"/>
        <v>1163.31</v>
      </c>
      <c r="D19" s="1335">
        <f t="shared" ca="1" si="0"/>
        <v>8.6619498491312119E-3</v>
      </c>
      <c r="E19" s="296" t="str" cm="1">
        <f t="array" aca="1" ref="E19" ca="1">_xlfn.IFS(D19&gt;0.5%,"U",D19&lt;=-0.5%,"D",TRUE,"Z")</f>
        <v>U</v>
      </c>
      <c r="F19" s="296" t="str">
        <f t="shared" ca="1" si="3"/>
        <v>DU</v>
      </c>
      <c r="G19" s="296" t="str">
        <f t="shared" ca="1" si="4"/>
        <v>DDU</v>
      </c>
      <c r="H19" s="898" t="str">
        <f t="shared" ca="1" si="5"/>
        <v>DD</v>
      </c>
      <c r="J19" s="902" t="e">
        <f>COUNTIF(#REF!,J17)</f>
        <v>#REF!</v>
      </c>
      <c r="K19" s="902" t="e">
        <f>COUNTIF(#REF!,K17)</f>
        <v>#REF!</v>
      </c>
      <c r="L19" s="902" t="e">
        <f>COUNTIF(#REF!,L17)</f>
        <v>#REF!</v>
      </c>
      <c r="M19" s="902" t="e">
        <f>COUNTIF(#REF!,M17)</f>
        <v>#REF!</v>
      </c>
      <c r="N19" s="898" t="e">
        <f>SUM($J$19:$M$19)</f>
        <v>#REF!</v>
      </c>
      <c r="T19" s="898">
        <f t="shared" ca="1" si="1"/>
        <v>13</v>
      </c>
      <c r="U19" s="898">
        <f t="shared" ca="1" si="2"/>
        <v>9</v>
      </c>
      <c r="W19" s="906" t="e">
        <f ca="1">Y17*$Y$14</f>
        <v>#N/A</v>
      </c>
      <c r="X19" s="902">
        <f ca="1">COUNTIF(G5:G155,"??U")</f>
        <v>64</v>
      </c>
      <c r="Y19" s="906">
        <f ca="1">X19/(X19+X22)</f>
        <v>0.58715596330275233</v>
      </c>
      <c r="AI19" s="89" vm="60">
        <f ca="1"/>
        <v>45681</v>
      </c>
      <c r="AJ19" s="89" vm="61">
        <f ca="1"/>
        <v>977.59</v>
      </c>
      <c r="AQ19" s="898" t="str">
        <f ca="1"/>
        <v>ZZZ</v>
      </c>
      <c r="AR19" s="898" cm="1">
        <f t="array" aca="1" ref="AR19" ca="1">SUM( ($G$7:$G$155=$AQ19) * ($G$6:$G$154=AR$5) )</f>
        <v>0</v>
      </c>
      <c r="AS19" s="898" cm="1">
        <f t="array" aca="1" ref="AS19" ca="1">SUM( ($G$7:$G$155=$AQ19) * ($G$6:$G$154=AS$5) )</f>
        <v>0</v>
      </c>
      <c r="AT19" s="898" cm="1">
        <f t="array" aca="1" ref="AT19" ca="1">SUM( ($G$7:$G$155=$AQ19) * ($G$6:$G$154=AT$5) )</f>
        <v>0</v>
      </c>
      <c r="AU19" s="898" cm="1">
        <f t="array" aca="1" ref="AU19" ca="1">SUM( ($G$7:$G$155=$AQ19) * ($G$6:$G$154=AU$5) )</f>
        <v>0</v>
      </c>
      <c r="AV19" s="898" cm="1">
        <f t="array" aca="1" ref="AV19" ca="1">SUM( ($G$7:$G$155=$AQ19) * ($G$6:$G$154=AV$5) )</f>
        <v>0</v>
      </c>
      <c r="AW19" s="898" cm="1">
        <f t="array" aca="1" ref="AW19" ca="1">SUM( ($G$7:$G$155=$AQ19) * ($G$6:$G$154=AW$5) )</f>
        <v>0</v>
      </c>
      <c r="AX19" s="898" cm="1">
        <f t="array" aca="1" ref="AX19" ca="1">SUM( ($G$7:$G$155=$AQ19) * ($G$6:$G$154=AX$5) )</f>
        <v>0</v>
      </c>
      <c r="AY19" s="898" cm="1">
        <f t="array" aca="1" ref="AY19" ca="1">SUM( ($G$7:$G$155=$AQ19) * ($G$6:$G$154=AY$5) )</f>
        <v>2</v>
      </c>
      <c r="AZ19" s="898" cm="1">
        <f t="array" aca="1" ref="AZ19" ca="1">SUM( ($G$7:$G$155=$AQ19) * ($G$6:$G$154=AZ$5) )</f>
        <v>0</v>
      </c>
      <c r="BA19" s="898" cm="1">
        <f t="array" aca="1" ref="BA19" ca="1">SUM( ($G$7:$G$155=$AQ19) * ($G$6:$G$154=BA$5) )</f>
        <v>0</v>
      </c>
      <c r="BB19" s="898" cm="1">
        <f t="array" aca="1" ref="BB19" ca="1">SUM( ($G$7:$G$155=$AQ19) * ($G$6:$G$154=BB$5) )</f>
        <v>0</v>
      </c>
      <c r="BC19" s="898" cm="1">
        <f t="array" aca="1" ref="BC19" ca="1">SUM( ($G$7:$G$155=$AQ19) * ($G$6:$G$154=BC$5) )</f>
        <v>0</v>
      </c>
      <c r="BD19" s="898" cm="1">
        <f t="array" aca="1" ref="BD19" ca="1">SUM( ($G$7:$G$155=$AQ19) * ($G$6:$G$154=BD$5) )</f>
        <v>0</v>
      </c>
      <c r="BE19" s="898" cm="1">
        <f t="array" aca="1" ref="BE19" ca="1">SUM( ($G$7:$G$155=$AQ19) * ($G$6:$G$154=BE$5) )</f>
        <v>1</v>
      </c>
      <c r="BF19" s="898" cm="1">
        <f t="array" aca="1" ref="BF19" ca="1">SUM( ($G$7:$G$155=$AQ19) * ($G$6:$G$154=BF$5) )</f>
        <v>0</v>
      </c>
      <c r="BG19" s="898" cm="1">
        <f t="array" aca="1" ref="BG19" ca="1">SUM( ($G$7:$G$155=$AQ19) * ($G$6:$G$154=BG$5) )</f>
        <v>0</v>
      </c>
      <c r="BH19" s="898" cm="1">
        <f t="array" aca="1" ref="BH19" ca="1">SUM( ($G$7:$G$155=$AQ19) * ($G$6:$G$154=BH$5) )</f>
        <v>0</v>
      </c>
      <c r="BI19" s="898" cm="1">
        <f t="array" aca="1" ref="BI19" ca="1">SUM( ($G$7:$G$155=$AQ19) * ($G$6:$G$154=BI$5) )</f>
        <v>0</v>
      </c>
      <c r="BJ19" s="898" cm="1">
        <f t="array" aca="1" ref="BJ19" ca="1">SUM( ($G$7:$G$155=$AQ19) * ($G$6:$G$154=BJ$5) )</f>
        <v>0</v>
      </c>
      <c r="BK19" s="898" cm="1">
        <f t="array" aca="1" ref="BK19" ca="1">SUM( ($G$7:$G$155=$AQ19) * ($G$6:$G$154=BK$5) )</f>
        <v>0</v>
      </c>
      <c r="BL19" s="898" cm="1">
        <f t="array" aca="1" ref="BL19" ca="1">SUM( ($G$7:$G$155=$AQ19) * ($G$6:$G$154=BL$5) )</f>
        <v>0</v>
      </c>
      <c r="BM19" s="898" cm="1">
        <f t="array" aca="1" ref="BM19" ca="1">SUM( ($G$7:$G$155=$AQ19) * ($G$6:$G$154=BM$5) )</f>
        <v>0</v>
      </c>
      <c r="BN19" s="898" cm="1">
        <f t="array" aca="1" ref="BN19" ca="1">SUM( ($G$7:$G$155=$AQ19) * ($G$6:$G$154=BN$5) )</f>
        <v>1</v>
      </c>
      <c r="BO19" s="898" cm="1">
        <f t="array" aca="1" ref="BO19" ca="1">SUM( ($G$7:$G$155=$AQ19) * ($G$6:$G$154=BO$5) )</f>
        <v>0</v>
      </c>
      <c r="BP19" s="898" cm="1">
        <f t="array" aca="1" ref="BP19" ca="1">SUM( ($G$7:$G$155=$AQ19) * ($G$6:$G$154=BP$5) )</f>
        <v>0</v>
      </c>
      <c r="BQ19" s="898" cm="1">
        <f t="array" aca="1" ref="BQ19" ca="1">SUM( ($G$7:$G$155=$AQ19) * ($G$6:$G$154=BQ$5) )</f>
        <v>0</v>
      </c>
    </row>
    <row r="20" spans="2:69" ht="23" thickBot="1">
      <c r="B20" s="89" vm="62">
        <f ca="1"/>
        <v>45933</v>
      </c>
      <c r="C20" s="89" vm="63">
        <f ca="1"/>
        <v>1153.32</v>
      </c>
      <c r="D20" s="1335">
        <f t="shared" ca="1" si="0"/>
        <v>-7.9223761967433422E-3</v>
      </c>
      <c r="E20" s="296" t="str" cm="1">
        <f t="array" aca="1" ref="E20" ca="1">_xlfn.IFS(D20&gt;0.5%,"U",D20&lt;=-0.5%,"D",TRUE,"Z")</f>
        <v>D</v>
      </c>
      <c r="F20" s="296" t="str">
        <f t="shared" ca="1" si="3"/>
        <v>DD</v>
      </c>
      <c r="G20" s="296" t="str">
        <f t="shared" ca="1" si="4"/>
        <v>DDD</v>
      </c>
      <c r="H20" s="898" t="str">
        <f t="shared" ca="1" si="5"/>
        <v>DD</v>
      </c>
      <c r="I20" s="898" t="s">
        <v>2316</v>
      </c>
      <c r="J20" s="902">
        <f ca="1">COUNTIF($F5:$F147,J16)</f>
        <v>13</v>
      </c>
      <c r="K20" s="902">
        <f t="shared" ref="K20:M20" ca="1" si="7">COUNTIF($F5:$F147,K16)</f>
        <v>15</v>
      </c>
      <c r="L20" s="902">
        <f t="shared" ca="1" si="7"/>
        <v>19</v>
      </c>
      <c r="M20" s="902">
        <f t="shared" ca="1" si="7"/>
        <v>25</v>
      </c>
      <c r="N20" s="898">
        <f ca="1">SUM($J$20:$M$20)</f>
        <v>72</v>
      </c>
      <c r="T20" s="898">
        <f t="shared" ca="1" si="1"/>
        <v>13</v>
      </c>
      <c r="U20" s="898">
        <f t="shared" ca="1" si="2"/>
        <v>9</v>
      </c>
      <c r="W20" s="936" t="str">
        <f ca="1">"For "&amp;$W$15&amp;"+D"</f>
        <v>For ZD+D</v>
      </c>
      <c r="X20" s="937" t="s">
        <v>2387</v>
      </c>
      <c r="Y20" s="938" t="e" cm="1">
        <f t="array" aca="1" ref="Y20" ca="1">_xlfn.XLOOKUP(Last2Days&amp;"D",W10:AD10,_xlfn.ANCHORARRAY(W11))</f>
        <v>#N/A</v>
      </c>
      <c r="AI20" s="89" vm="64">
        <f ca="1"/>
        <v>45684</v>
      </c>
      <c r="AJ20" s="89" vm="65">
        <f ca="1"/>
        <v>971.89</v>
      </c>
      <c r="AQ20" s="898" t="str">
        <f ca="1"/>
        <v>DDZ</v>
      </c>
      <c r="AR20" s="898" cm="1">
        <f t="array" aca="1" ref="AR20" ca="1">SUM( ($G$7:$G$155=$AQ20) * ($G$6:$G$154=AR$5) )</f>
        <v>0</v>
      </c>
      <c r="AS20" s="898" cm="1">
        <f t="array" aca="1" ref="AS20" ca="1">SUM( ($G$7:$G$155=$AQ20) * ($G$6:$G$154=AS$5) )</f>
        <v>0</v>
      </c>
      <c r="AT20" s="898" cm="1">
        <f t="array" aca="1" ref="AT20" ca="1">SUM( ($G$7:$G$155=$AQ20) * ($G$6:$G$154=AT$5) )</f>
        <v>0</v>
      </c>
      <c r="AU20" s="898" cm="1">
        <f t="array" aca="1" ref="AU20" ca="1">SUM( ($G$7:$G$155=$AQ20) * ($G$6:$G$154=AU$5) )</f>
        <v>0</v>
      </c>
      <c r="AV20" s="898" cm="1">
        <f t="array" aca="1" ref="AV20" ca="1">SUM( ($G$7:$G$155=$AQ20) * ($G$6:$G$154=AV$5) )</f>
        <v>0</v>
      </c>
      <c r="AW20" s="898" cm="1">
        <f t="array" aca="1" ref="AW20" ca="1">SUM( ($G$7:$G$155=$AQ20) * ($G$6:$G$154=AW$5) )</f>
        <v>0</v>
      </c>
      <c r="AX20" s="898" cm="1">
        <f t="array" aca="1" ref="AX20" ca="1">SUM( ($G$7:$G$155=$AQ20) * ($G$6:$G$154=AX$5) )</f>
        <v>0</v>
      </c>
      <c r="AY20" s="898" cm="1">
        <f t="array" aca="1" ref="AY20" ca="1">SUM( ($G$7:$G$155=$AQ20) * ($G$6:$G$154=AY$5) )</f>
        <v>0</v>
      </c>
      <c r="AZ20" s="898" cm="1">
        <f t="array" aca="1" ref="AZ20" ca="1">SUM( ($G$7:$G$155=$AQ20) * ($G$6:$G$154=AZ$5) )</f>
        <v>2</v>
      </c>
      <c r="BA20" s="898" cm="1">
        <f t="array" aca="1" ref="BA20" ca="1">SUM( ($G$7:$G$155=$AQ20) * ($G$6:$G$154=BA$5) )</f>
        <v>0</v>
      </c>
      <c r="BB20" s="898" cm="1">
        <f t="array" aca="1" ref="BB20" ca="1">SUM( ($G$7:$G$155=$AQ20) * ($G$6:$G$154=BB$5) )</f>
        <v>0</v>
      </c>
      <c r="BC20" s="898" cm="1">
        <f t="array" aca="1" ref="BC20" ca="1">SUM( ($G$7:$G$155=$AQ20) * ($G$6:$G$154=BC$5) )</f>
        <v>0</v>
      </c>
      <c r="BD20" s="898" cm="1">
        <f t="array" aca="1" ref="BD20" ca="1">SUM( ($G$7:$G$155=$AQ20) * ($G$6:$G$154=BD$5) )</f>
        <v>0</v>
      </c>
      <c r="BE20" s="898" cm="1">
        <f t="array" aca="1" ref="BE20" ca="1">SUM( ($G$7:$G$155=$AQ20) * ($G$6:$G$154=BE$5) )</f>
        <v>0</v>
      </c>
      <c r="BF20" s="898" cm="1">
        <f t="array" aca="1" ref="BF20" ca="1">SUM( ($G$7:$G$155=$AQ20) * ($G$6:$G$154=BF$5) )</f>
        <v>0</v>
      </c>
      <c r="BG20" s="898" cm="1">
        <f t="array" aca="1" ref="BG20" ca="1">SUM( ($G$7:$G$155=$AQ20) * ($G$6:$G$154=BG$5) )</f>
        <v>0</v>
      </c>
      <c r="BH20" s="898" cm="1">
        <f t="array" aca="1" ref="BH20" ca="1">SUM( ($G$7:$G$155=$AQ20) * ($G$6:$G$154=BH$5) )</f>
        <v>0</v>
      </c>
      <c r="BI20" s="898" cm="1">
        <f t="array" aca="1" ref="BI20" ca="1">SUM( ($G$7:$G$155=$AQ20) * ($G$6:$G$154=BI$5) )</f>
        <v>0</v>
      </c>
      <c r="BJ20" s="898" cm="1">
        <f t="array" aca="1" ref="BJ20" ca="1">SUM( ($G$7:$G$155=$AQ20) * ($G$6:$G$154=BJ$5) )</f>
        <v>0</v>
      </c>
      <c r="BK20" s="898" cm="1">
        <f t="array" aca="1" ref="BK20" ca="1">SUM( ($G$7:$G$155=$AQ20) * ($G$6:$G$154=BK$5) )</f>
        <v>0</v>
      </c>
      <c r="BL20" s="898" cm="1">
        <f t="array" aca="1" ref="BL20" ca="1">SUM( ($G$7:$G$155=$AQ20) * ($G$6:$G$154=BL$5) )</f>
        <v>0</v>
      </c>
      <c r="BM20" s="898" cm="1">
        <f t="array" aca="1" ref="BM20" ca="1">SUM( ($G$7:$G$155=$AQ20) * ($G$6:$G$154=BM$5) )</f>
        <v>0</v>
      </c>
      <c r="BN20" s="898" cm="1">
        <f t="array" aca="1" ref="BN20" ca="1">SUM( ($G$7:$G$155=$AQ20) * ($G$6:$G$154=BN$5) )</f>
        <v>0</v>
      </c>
      <c r="BO20" s="898" cm="1">
        <f t="array" aca="1" ref="BO20" ca="1">SUM( ($G$7:$G$155=$AQ20) * ($G$6:$G$154=BO$5) )</f>
        <v>0</v>
      </c>
      <c r="BP20" s="898" cm="1">
        <f t="array" aca="1" ref="BP20" ca="1">SUM( ($G$7:$G$155=$AQ20) * ($G$6:$G$154=BP$5) )</f>
        <v>0</v>
      </c>
      <c r="BQ20" s="898" cm="1">
        <f t="array" aca="1" ref="BQ20" ca="1">SUM( ($G$7:$G$155=$AQ20) * ($G$6:$G$154=BQ$5) )</f>
        <v>0</v>
      </c>
    </row>
    <row r="21" spans="2:69">
      <c r="B21" s="89" vm="66">
        <f ca="1"/>
        <v>45932</v>
      </c>
      <c r="C21" s="89" vm="67">
        <f ca="1"/>
        <v>1162.53</v>
      </c>
      <c r="D21" s="1335">
        <f t="shared" ca="1" si="0"/>
        <v>-7.1483474250577488E-3</v>
      </c>
      <c r="E21" s="296" t="str" cm="1">
        <f t="array" aca="1" ref="E21" ca="1">_xlfn.IFS(D21&gt;0.5%,"U",D21&lt;=-0.5%,"D",TRUE,"Z")</f>
        <v>D</v>
      </c>
      <c r="F21" s="296" t="str">
        <f t="shared" ca="1" si="3"/>
        <v>DD</v>
      </c>
      <c r="G21" s="296" t="str">
        <f t="shared" ca="1" si="4"/>
        <v>DDD</v>
      </c>
      <c r="H21" s="898" t="str">
        <f t="shared" ca="1" si="5"/>
        <v>DD</v>
      </c>
      <c r="T21" s="898">
        <f t="shared" ca="1" si="1"/>
        <v>12</v>
      </c>
      <c r="U21" s="898">
        <f t="shared" ca="1" si="2"/>
        <v>10</v>
      </c>
      <c r="W21" s="898" t="s">
        <v>2332</v>
      </c>
      <c r="X21" s="898" t="s">
        <v>2333</v>
      </c>
      <c r="AI21" s="89" vm="68">
        <f ca="1"/>
        <v>45685</v>
      </c>
      <c r="AJ21" s="89" vm="69">
        <f ca="1"/>
        <v>971.83</v>
      </c>
      <c r="AQ21" s="898" t="str">
        <f ca="1"/>
        <v>DUZ</v>
      </c>
      <c r="AR21" s="898" cm="1">
        <f t="array" aca="1" ref="AR21" ca="1">SUM( ($G$7:$G$155=$AQ21) * ($G$6:$G$154=AR$5) )</f>
        <v>0</v>
      </c>
      <c r="AS21" s="898" cm="1">
        <f t="array" aca="1" ref="AS21" ca="1">SUM( ($G$7:$G$155=$AQ21) * ($G$6:$G$154=AS$5) )</f>
        <v>0</v>
      </c>
      <c r="AT21" s="898" cm="1">
        <f t="array" aca="1" ref="AT21" ca="1">SUM( ($G$7:$G$155=$AQ21) * ($G$6:$G$154=AT$5) )</f>
        <v>1</v>
      </c>
      <c r="AU21" s="898" cm="1">
        <f t="array" aca="1" ref="AU21" ca="1">SUM( ($G$7:$G$155=$AQ21) * ($G$6:$G$154=AU$5) )</f>
        <v>0</v>
      </c>
      <c r="AV21" s="898" cm="1">
        <f t="array" aca="1" ref="AV21" ca="1">SUM( ($G$7:$G$155=$AQ21) * ($G$6:$G$154=AV$5) )</f>
        <v>0</v>
      </c>
      <c r="AW21" s="898" cm="1">
        <f t="array" aca="1" ref="AW21" ca="1">SUM( ($G$7:$G$155=$AQ21) * ($G$6:$G$154=AW$5) )</f>
        <v>0</v>
      </c>
      <c r="AX21" s="898" cm="1">
        <f t="array" aca="1" ref="AX21" ca="1">SUM( ($G$7:$G$155=$AQ21) * ($G$6:$G$154=AX$5) )</f>
        <v>0</v>
      </c>
      <c r="AY21" s="898" cm="1">
        <f t="array" aca="1" ref="AY21" ca="1">SUM( ($G$7:$G$155=$AQ21) * ($G$6:$G$154=AY$5) )</f>
        <v>0</v>
      </c>
      <c r="AZ21" s="898" cm="1">
        <f t="array" aca="1" ref="AZ21" ca="1">SUM( ($G$7:$G$155=$AQ21) * ($G$6:$G$154=AZ$5) )</f>
        <v>0</v>
      </c>
      <c r="BA21" s="898" cm="1">
        <f t="array" aca="1" ref="BA21" ca="1">SUM( ($G$7:$G$155=$AQ21) * ($G$6:$G$154=BA$5) )</f>
        <v>0</v>
      </c>
      <c r="BB21" s="898" cm="1">
        <f t="array" aca="1" ref="BB21" ca="1">SUM( ($G$7:$G$155=$AQ21) * ($G$6:$G$154=BB$5) )</f>
        <v>0</v>
      </c>
      <c r="BC21" s="898" cm="1">
        <f t="array" aca="1" ref="BC21" ca="1">SUM( ($G$7:$G$155=$AQ21) * ($G$6:$G$154=BC$5) )</f>
        <v>0</v>
      </c>
      <c r="BD21" s="898" cm="1">
        <f t="array" aca="1" ref="BD21" ca="1">SUM( ($G$7:$G$155=$AQ21) * ($G$6:$G$154=BD$5) )</f>
        <v>0</v>
      </c>
      <c r="BE21" s="898" cm="1">
        <f t="array" aca="1" ref="BE21" ca="1">SUM( ($G$7:$G$155=$AQ21) * ($G$6:$G$154=BE$5) )</f>
        <v>0</v>
      </c>
      <c r="BF21" s="898" cm="1">
        <f t="array" aca="1" ref="BF21" ca="1">SUM( ($G$7:$G$155=$AQ21) * ($G$6:$G$154=BF$5) )</f>
        <v>0</v>
      </c>
      <c r="BG21" s="898" cm="1">
        <f t="array" aca="1" ref="BG21" ca="1">SUM( ($G$7:$G$155=$AQ21) * ($G$6:$G$154=BG$5) )</f>
        <v>0</v>
      </c>
      <c r="BH21" s="898" cm="1">
        <f t="array" aca="1" ref="BH21" ca="1">SUM( ($G$7:$G$155=$AQ21) * ($G$6:$G$154=BH$5) )</f>
        <v>0</v>
      </c>
      <c r="BI21" s="898" cm="1">
        <f t="array" aca="1" ref="BI21" ca="1">SUM( ($G$7:$G$155=$AQ21) * ($G$6:$G$154=BI$5) )</f>
        <v>0</v>
      </c>
      <c r="BJ21" s="898" cm="1">
        <f t="array" aca="1" ref="BJ21" ca="1">SUM( ($G$7:$G$155=$AQ21) * ($G$6:$G$154=BJ$5) )</f>
        <v>3</v>
      </c>
      <c r="BK21" s="898" cm="1">
        <f t="array" aca="1" ref="BK21" ca="1">SUM( ($G$7:$G$155=$AQ21) * ($G$6:$G$154=BK$5) )</f>
        <v>0</v>
      </c>
      <c r="BL21" s="898" cm="1">
        <f t="array" aca="1" ref="BL21" ca="1">SUM( ($G$7:$G$155=$AQ21) * ($G$6:$G$154=BL$5) )</f>
        <v>0</v>
      </c>
      <c r="BM21" s="898" cm="1">
        <f t="array" aca="1" ref="BM21" ca="1">SUM( ($G$7:$G$155=$AQ21) * ($G$6:$G$154=BM$5) )</f>
        <v>0</v>
      </c>
      <c r="BN21" s="898" cm="1">
        <f t="array" aca="1" ref="BN21" ca="1">SUM( ($G$7:$G$155=$AQ21) * ($G$6:$G$154=BN$5) )</f>
        <v>0</v>
      </c>
      <c r="BO21" s="898" cm="1">
        <f t="array" aca="1" ref="BO21" ca="1">SUM( ($G$7:$G$155=$AQ21) * ($G$6:$G$154=BO$5) )</f>
        <v>0</v>
      </c>
      <c r="BP21" s="898" cm="1">
        <f t="array" aca="1" ref="BP21" ca="1">SUM( ($G$7:$G$155=$AQ21) * ($G$6:$G$154=BP$5) )</f>
        <v>0</v>
      </c>
      <c r="BQ21" s="898" cm="1">
        <f t="array" aca="1" ref="BQ21" ca="1">SUM( ($G$7:$G$155=$AQ21) * ($G$6:$G$154=BQ$5) )</f>
        <v>0</v>
      </c>
    </row>
    <row r="22" spans="2:69" ht="23" customHeight="1">
      <c r="B22" s="89" vm="70">
        <f ca="1"/>
        <v>45931</v>
      </c>
      <c r="C22" s="89" vm="71">
        <f ca="1"/>
        <v>1170.9000000000001</v>
      </c>
      <c r="D22" s="1335">
        <f t="shared" ca="1" si="0"/>
        <v>-2.3371033930537466E-2</v>
      </c>
      <c r="E22" s="296" t="str" cm="1">
        <f t="array" aca="1" ref="E22" ca="1">_xlfn.IFS(D22&gt;0.5%,"U",D22&lt;=-0.5%,"D",TRUE,"Z")</f>
        <v>D</v>
      </c>
      <c r="F22" s="296" t="str">
        <f t="shared" ca="1" si="3"/>
        <v>DD</v>
      </c>
      <c r="G22" s="296" t="str">
        <f t="shared" ca="1" si="4"/>
        <v>ZDD</v>
      </c>
      <c r="H22" s="898" t="str">
        <f t="shared" ca="1" si="5"/>
        <v/>
      </c>
      <c r="J22" s="902">
        <f ca="1">COUNTIF($F6:$F148,J17)</f>
        <v>0</v>
      </c>
      <c r="K22" s="907" t="s">
        <v>2301</v>
      </c>
      <c r="L22" s="907" t="s">
        <v>2303</v>
      </c>
      <c r="M22" s="907" t="s">
        <v>2302</v>
      </c>
      <c r="T22" s="898">
        <f t="shared" ca="1" si="1"/>
        <v>11</v>
      </c>
      <c r="U22" s="898">
        <f t="shared" ca="1" si="2"/>
        <v>11</v>
      </c>
      <c r="W22" s="906" t="e">
        <f ca="1">Y20*$Y$14</f>
        <v>#N/A</v>
      </c>
      <c r="X22" s="902">
        <f ca="1">COUNTIF(G5:G155,"??D")</f>
        <v>45</v>
      </c>
      <c r="Y22" s="906">
        <f ca="1">X22/(X19+X22)</f>
        <v>0.41284403669724773</v>
      </c>
      <c r="AI22" s="89" vm="72">
        <f ca="1"/>
        <v>45686</v>
      </c>
      <c r="AJ22" s="89" vm="73">
        <f ca="1"/>
        <v>978.15</v>
      </c>
      <c r="AQ22" s="898" t="str">
        <f ca="1"/>
        <v>UDU</v>
      </c>
      <c r="AR22" s="898" cm="1">
        <f t="array" aca="1" ref="AR22" ca="1">SUM( ($G$7:$G$155=$AQ22) * ($G$6:$G$154=AR$5) )</f>
        <v>0</v>
      </c>
      <c r="AS22" s="898" cm="1">
        <f t="array" aca="1" ref="AS22" ca="1">SUM( ($G$7:$G$155=$AQ22) * ($G$6:$G$154=AS$5) )</f>
        <v>0</v>
      </c>
      <c r="AT22" s="898" cm="1">
        <f t="array" aca="1" ref="AT22" ca="1">SUM( ($G$7:$G$155=$AQ22) * ($G$6:$G$154=AT$5) )</f>
        <v>0</v>
      </c>
      <c r="AU22" s="898" cm="1">
        <f t="array" aca="1" ref="AU22" ca="1">SUM( ($G$7:$G$155=$AQ22) * ($G$6:$G$154=AU$5) )</f>
        <v>0</v>
      </c>
      <c r="AV22" s="898" cm="1">
        <f t="array" aca="1" ref="AV22" ca="1">SUM( ($G$7:$G$155=$AQ22) * ($G$6:$G$154=AV$5) )</f>
        <v>3</v>
      </c>
      <c r="AW22" s="898" cm="1">
        <f t="array" aca="1" ref="AW22" ca="1">SUM( ($G$7:$G$155=$AQ22) * ($G$6:$G$154=AW$5) )</f>
        <v>0</v>
      </c>
      <c r="AX22" s="898" cm="1">
        <f t="array" aca="1" ref="AX22" ca="1">SUM( ($G$7:$G$155=$AQ22) * ($G$6:$G$154=AX$5) )</f>
        <v>0</v>
      </c>
      <c r="AY22" s="898" cm="1">
        <f t="array" aca="1" ref="AY22" ca="1">SUM( ($G$7:$G$155=$AQ22) * ($G$6:$G$154=AY$5) )</f>
        <v>0</v>
      </c>
      <c r="AZ22" s="898" cm="1">
        <f t="array" aca="1" ref="AZ22" ca="1">SUM( ($G$7:$G$155=$AQ22) * ($G$6:$G$154=AZ$5) )</f>
        <v>0</v>
      </c>
      <c r="BA22" s="898" cm="1">
        <f t="array" aca="1" ref="BA22" ca="1">SUM( ($G$7:$G$155=$AQ22) * ($G$6:$G$154=BA$5) )</f>
        <v>0</v>
      </c>
      <c r="BB22" s="898" cm="1">
        <f t="array" aca="1" ref="BB22" ca="1">SUM( ($G$7:$G$155=$AQ22) * ($G$6:$G$154=BB$5) )</f>
        <v>0</v>
      </c>
      <c r="BC22" s="898" cm="1">
        <f t="array" aca="1" ref="BC22" ca="1">SUM( ($G$7:$G$155=$AQ22) * ($G$6:$G$154=BC$5) )</f>
        <v>0</v>
      </c>
      <c r="BD22" s="898" cm="1">
        <f t="array" aca="1" ref="BD22" ca="1">SUM( ($G$7:$G$155=$AQ22) * ($G$6:$G$154=BD$5) )</f>
        <v>0</v>
      </c>
      <c r="BE22" s="898" cm="1">
        <f t="array" aca="1" ref="BE22" ca="1">SUM( ($G$7:$G$155=$AQ22) * ($G$6:$G$154=BE$5) )</f>
        <v>0</v>
      </c>
      <c r="BF22" s="898" cm="1">
        <f t="array" aca="1" ref="BF22" ca="1">SUM( ($G$7:$G$155=$AQ22) * ($G$6:$G$154=BF$5) )</f>
        <v>0</v>
      </c>
      <c r="BG22" s="898" cm="1">
        <f t="array" aca="1" ref="BG22" ca="1">SUM( ($G$7:$G$155=$AQ22) * ($G$6:$G$154=BG$5) )</f>
        <v>2</v>
      </c>
      <c r="BH22" s="898" cm="1">
        <f t="array" aca="1" ref="BH22" ca="1">SUM( ($G$7:$G$155=$AQ22) * ($G$6:$G$154=BH$5) )</f>
        <v>0</v>
      </c>
      <c r="BI22" s="898" cm="1">
        <f t="array" aca="1" ref="BI22" ca="1">SUM( ($G$7:$G$155=$AQ22) * ($G$6:$G$154=BI$5) )</f>
        <v>0</v>
      </c>
      <c r="BJ22" s="898" cm="1">
        <f t="array" aca="1" ref="BJ22" ca="1">SUM( ($G$7:$G$155=$AQ22) * ($G$6:$G$154=BJ$5) )</f>
        <v>0</v>
      </c>
      <c r="BK22" s="898" cm="1">
        <f t="array" aca="1" ref="BK22" ca="1">SUM( ($G$7:$G$155=$AQ22) * ($G$6:$G$154=BK$5) )</f>
        <v>0</v>
      </c>
      <c r="BL22" s="898" cm="1">
        <f t="array" aca="1" ref="BL22" ca="1">SUM( ($G$7:$G$155=$AQ22) * ($G$6:$G$154=BL$5) )</f>
        <v>0</v>
      </c>
      <c r="BM22" s="898" cm="1">
        <f t="array" aca="1" ref="BM22" ca="1">SUM( ($G$7:$G$155=$AQ22) * ($G$6:$G$154=BM$5) )</f>
        <v>0</v>
      </c>
      <c r="BN22" s="898" cm="1">
        <f t="array" aca="1" ref="BN22" ca="1">SUM( ($G$7:$G$155=$AQ22) * ($G$6:$G$154=BN$5) )</f>
        <v>0</v>
      </c>
      <c r="BO22" s="898" cm="1">
        <f t="array" aca="1" ref="BO22" ca="1">SUM( ($G$7:$G$155=$AQ22) * ($G$6:$G$154=BO$5) )</f>
        <v>2</v>
      </c>
      <c r="BP22" s="898" cm="1">
        <f t="array" aca="1" ref="BP22" ca="1">SUM( ($G$7:$G$155=$AQ22) * ($G$6:$G$154=BP$5) )</f>
        <v>0</v>
      </c>
      <c r="BQ22" s="898" cm="1">
        <f t="array" aca="1" ref="BQ22" ca="1">SUM( ($G$7:$G$155=$AQ22) * ($G$6:$G$154=BQ$5) )</f>
        <v>0</v>
      </c>
    </row>
    <row r="23" spans="2:69">
      <c r="B23" s="89" vm="74">
        <f ca="1"/>
        <v>45930</v>
      </c>
      <c r="C23" s="89" vm="75">
        <f ca="1"/>
        <v>1198.92</v>
      </c>
      <c r="D23" s="1335">
        <f t="shared" ca="1" si="0"/>
        <v>-6.2085029136031769E-3</v>
      </c>
      <c r="E23" s="296" t="str" cm="1">
        <f t="array" aca="1" ref="E23" ca="1">_xlfn.IFS(D23&gt;0.5%,"U",D23&lt;=-0.5%,"D",TRUE,"Z")</f>
        <v>D</v>
      </c>
      <c r="F23" s="296" t="str">
        <f t="shared" ca="1" si="3"/>
        <v>ZD</v>
      </c>
      <c r="G23" s="296" t="str">
        <f t="shared" ca="1" si="4"/>
        <v>ZZD</v>
      </c>
      <c r="H23" s="898" t="str">
        <f t="shared" ca="1" si="5"/>
        <v/>
      </c>
      <c r="J23" s="907" t="s">
        <v>2301</v>
      </c>
      <c r="K23" s="906">
        <v>0.01</v>
      </c>
      <c r="L23" s="906">
        <v>0.5</v>
      </c>
      <c r="M23" s="906">
        <v>0.49</v>
      </c>
      <c r="T23" s="898">
        <f t="shared" ca="1" si="1"/>
        <v>11</v>
      </c>
      <c r="U23" s="898">
        <f t="shared" ca="1" si="2"/>
        <v>11</v>
      </c>
      <c r="AI23" s="89" vm="76">
        <f ca="1"/>
        <v>45687</v>
      </c>
      <c r="AJ23" s="89" vm="77">
        <f ca="1"/>
        <v>973.24</v>
      </c>
      <c r="AQ23" s="898" t="str">
        <f ca="1"/>
        <v>ZUD</v>
      </c>
      <c r="AR23" s="898" cm="1">
        <f t="array" aca="1" ref="AR23" ca="1">SUM( ($G$7:$G$155=$AQ23) * ($G$6:$G$154=AR$5) )</f>
        <v>0</v>
      </c>
      <c r="AS23" s="898" cm="1">
        <f t="array" aca="1" ref="AS23" ca="1">SUM( ($G$7:$G$155=$AQ23) * ($G$6:$G$154=AS$5) )</f>
        <v>0</v>
      </c>
      <c r="AT23" s="898" cm="1">
        <f t="array" aca="1" ref="AT23" ca="1">SUM( ($G$7:$G$155=$AQ23) * ($G$6:$G$154=AT$5) )</f>
        <v>0</v>
      </c>
      <c r="AU23" s="898" cm="1">
        <f t="array" aca="1" ref="AU23" ca="1">SUM( ($G$7:$G$155=$AQ23) * ($G$6:$G$154=AU$5) )</f>
        <v>0</v>
      </c>
      <c r="AV23" s="898" cm="1">
        <f t="array" aca="1" ref="AV23" ca="1">SUM( ($G$7:$G$155=$AQ23) * ($G$6:$G$154=AV$5) )</f>
        <v>0</v>
      </c>
      <c r="AW23" s="898" cm="1">
        <f t="array" aca="1" ref="AW23" ca="1">SUM( ($G$7:$G$155=$AQ23) * ($G$6:$G$154=AW$5) )</f>
        <v>0</v>
      </c>
      <c r="AX23" s="898" cm="1">
        <f t="array" aca="1" ref="AX23" ca="1">SUM( ($G$7:$G$155=$AQ23) * ($G$6:$G$154=AX$5) )</f>
        <v>0</v>
      </c>
      <c r="AY23" s="898" cm="1">
        <f t="array" aca="1" ref="AY23" ca="1">SUM( ($G$7:$G$155=$AQ23) * ($G$6:$G$154=AY$5) )</f>
        <v>0</v>
      </c>
      <c r="AZ23" s="898" cm="1">
        <f t="array" aca="1" ref="AZ23" ca="1">SUM( ($G$7:$G$155=$AQ23) * ($G$6:$G$154=AZ$5) )</f>
        <v>0</v>
      </c>
      <c r="BA23" s="898" cm="1">
        <f t="array" aca="1" ref="BA23" ca="1">SUM( ($G$7:$G$155=$AQ23) * ($G$6:$G$154=BA$5) )</f>
        <v>5</v>
      </c>
      <c r="BB23" s="898" cm="1">
        <f t="array" aca="1" ref="BB23" ca="1">SUM( ($G$7:$G$155=$AQ23) * ($G$6:$G$154=BB$5) )</f>
        <v>0</v>
      </c>
      <c r="BC23" s="898" cm="1">
        <f t="array" aca="1" ref="BC23" ca="1">SUM( ($G$7:$G$155=$AQ23) * ($G$6:$G$154=BC$5) )</f>
        <v>0</v>
      </c>
      <c r="BD23" s="898" cm="1">
        <f t="array" aca="1" ref="BD23" ca="1">SUM( ($G$7:$G$155=$AQ23) * ($G$6:$G$154=BD$5) )</f>
        <v>0</v>
      </c>
      <c r="BE23" s="898" cm="1">
        <f t="array" aca="1" ref="BE23" ca="1">SUM( ($G$7:$G$155=$AQ23) * ($G$6:$G$154=BE$5) )</f>
        <v>0</v>
      </c>
      <c r="BF23" s="898" cm="1">
        <f t="array" aca="1" ref="BF23" ca="1">SUM( ($G$7:$G$155=$AQ23) * ($G$6:$G$154=BF$5) )</f>
        <v>0</v>
      </c>
      <c r="BG23" s="898" cm="1">
        <f t="array" aca="1" ref="BG23" ca="1">SUM( ($G$7:$G$155=$AQ23) * ($G$6:$G$154=BG$5) )</f>
        <v>0</v>
      </c>
      <c r="BH23" s="898" cm="1">
        <f t="array" aca="1" ref="BH23" ca="1">SUM( ($G$7:$G$155=$AQ23) * ($G$6:$G$154=BH$5) )</f>
        <v>2</v>
      </c>
      <c r="BI23" s="898" cm="1">
        <f t="array" aca="1" ref="BI23" ca="1">SUM( ($G$7:$G$155=$AQ23) * ($G$6:$G$154=BI$5) )</f>
        <v>0</v>
      </c>
      <c r="BJ23" s="898" cm="1">
        <f t="array" aca="1" ref="BJ23" ca="1">SUM( ($G$7:$G$155=$AQ23) * ($G$6:$G$154=BJ$5) )</f>
        <v>0</v>
      </c>
      <c r="BK23" s="898" cm="1">
        <f t="array" aca="1" ref="BK23" ca="1">SUM( ($G$7:$G$155=$AQ23) * ($G$6:$G$154=BK$5) )</f>
        <v>2</v>
      </c>
      <c r="BL23" s="898" cm="1">
        <f t="array" aca="1" ref="BL23" ca="1">SUM( ($G$7:$G$155=$AQ23) * ($G$6:$G$154=BL$5) )</f>
        <v>0</v>
      </c>
      <c r="BM23" s="898" cm="1">
        <f t="array" aca="1" ref="BM23" ca="1">SUM( ($G$7:$G$155=$AQ23) * ($G$6:$G$154=BM$5) )</f>
        <v>0</v>
      </c>
      <c r="BN23" s="898" cm="1">
        <f t="array" aca="1" ref="BN23" ca="1">SUM( ($G$7:$G$155=$AQ23) * ($G$6:$G$154=BN$5) )</f>
        <v>0</v>
      </c>
      <c r="BO23" s="898" cm="1">
        <f t="array" aca="1" ref="BO23" ca="1">SUM( ($G$7:$G$155=$AQ23) * ($G$6:$G$154=BO$5) )</f>
        <v>0</v>
      </c>
      <c r="BP23" s="898" cm="1">
        <f t="array" aca="1" ref="BP23" ca="1">SUM( ($G$7:$G$155=$AQ23) * ($G$6:$G$154=BP$5) )</f>
        <v>0</v>
      </c>
      <c r="BQ23" s="898" cm="1">
        <f t="array" aca="1" ref="BQ23" ca="1">SUM( ($G$7:$G$155=$AQ23) * ($G$6:$G$154=BQ$5) )</f>
        <v>0</v>
      </c>
    </row>
    <row r="24" spans="2:69" ht="28" thickBot="1">
      <c r="B24" s="89" vm="78">
        <f ca="1"/>
        <v>45929</v>
      </c>
      <c r="C24" s="89" vm="79">
        <f ca="1"/>
        <v>1206.4100000000001</v>
      </c>
      <c r="D24" s="1335">
        <f t="shared" ca="1" si="0"/>
        <v>-3.4693253814191347E-3</v>
      </c>
      <c r="E24" s="296" t="str" cm="1">
        <f t="array" aca="1" ref="E24" ca="1">_xlfn.IFS(D24&gt;0.5%,"U",D24&lt;=-0.5%,"D",TRUE,"Z")</f>
        <v>Z</v>
      </c>
      <c r="F24" s="296" t="str">
        <f t="shared" ca="1" si="3"/>
        <v>ZZ</v>
      </c>
      <c r="G24" s="296" t="str">
        <f t="shared" ca="1" si="4"/>
        <v>ZZZ</v>
      </c>
      <c r="H24" s="898" t="str">
        <f t="shared" ca="1" si="5"/>
        <v/>
      </c>
      <c r="J24" s="907" t="s">
        <v>2303</v>
      </c>
      <c r="K24" s="906">
        <v>0.01</v>
      </c>
      <c r="L24" s="906" t="e">
        <f>M19/(L19+M19)-K24</f>
        <v>#REF!</v>
      </c>
      <c r="M24" s="906" t="e">
        <f>L19/(M19+L19)</f>
        <v>#REF!</v>
      </c>
      <c r="T24" s="898">
        <f t="shared" ca="1" si="1"/>
        <v>10</v>
      </c>
      <c r="U24" s="898">
        <f t="shared" ca="1" si="2"/>
        <v>12</v>
      </c>
      <c r="W24" s="1005" t="s">
        <v>2334</v>
      </c>
      <c r="X24" s="1005"/>
      <c r="Y24" s="898" t="s">
        <v>2317</v>
      </c>
      <c r="AI24" s="89" vm="80">
        <f ca="1"/>
        <v>45688</v>
      </c>
      <c r="AJ24" s="89" vm="81">
        <f ca="1"/>
        <v>976.76</v>
      </c>
      <c r="AQ24" s="898" t="str">
        <f ca="1"/>
        <v>UZU</v>
      </c>
      <c r="AR24" s="898" cm="1">
        <f t="array" aca="1" ref="AR24" ca="1">SUM( ($G$7:$G$155=$AQ24) * ($G$6:$G$154=AR$5) )</f>
        <v>0</v>
      </c>
      <c r="AS24" s="898" cm="1">
        <f t="array" aca="1" ref="AS24" ca="1">SUM( ($G$7:$G$155=$AQ24) * ($G$6:$G$154=AS$5) )</f>
        <v>0</v>
      </c>
      <c r="AT24" s="898" cm="1">
        <f t="array" aca="1" ref="AT24" ca="1">SUM( ($G$7:$G$155=$AQ24) * ($G$6:$G$154=AT$5) )</f>
        <v>0</v>
      </c>
      <c r="AU24" s="898" cm="1">
        <f t="array" aca="1" ref="AU24" ca="1">SUM( ($G$7:$G$155=$AQ24) * ($G$6:$G$154=AU$5) )</f>
        <v>0</v>
      </c>
      <c r="AV24" s="898" cm="1">
        <f t="array" aca="1" ref="AV24" ca="1">SUM( ($G$7:$G$155=$AQ24) * ($G$6:$G$154=AV$5) )</f>
        <v>0</v>
      </c>
      <c r="AW24" s="898" cm="1">
        <f t="array" aca="1" ref="AW24" ca="1">SUM( ($G$7:$G$155=$AQ24) * ($G$6:$G$154=AW$5) )</f>
        <v>0</v>
      </c>
      <c r="AX24" s="898" cm="1">
        <f t="array" aca="1" ref="AX24" ca="1">SUM( ($G$7:$G$155=$AQ24) * ($G$6:$G$154=AX$5) )</f>
        <v>0</v>
      </c>
      <c r="AY24" s="898" cm="1">
        <f t="array" aca="1" ref="AY24" ca="1">SUM( ($G$7:$G$155=$AQ24) * ($G$6:$G$154=AY$5) )</f>
        <v>0</v>
      </c>
      <c r="AZ24" s="898" cm="1">
        <f t="array" aca="1" ref="AZ24" ca="1">SUM( ($G$7:$G$155=$AQ24) * ($G$6:$G$154=AZ$5) )</f>
        <v>0</v>
      </c>
      <c r="BA24" s="898" cm="1">
        <f t="array" aca="1" ref="BA24" ca="1">SUM( ($G$7:$G$155=$AQ24) * ($G$6:$G$154=BA$5) )</f>
        <v>0</v>
      </c>
      <c r="BB24" s="898" cm="1">
        <f t="array" aca="1" ref="BB24" ca="1">SUM( ($G$7:$G$155=$AQ24) * ($G$6:$G$154=BB$5) )</f>
        <v>0</v>
      </c>
      <c r="BC24" s="898" cm="1">
        <f t="array" aca="1" ref="BC24" ca="1">SUM( ($G$7:$G$155=$AQ24) * ($G$6:$G$154=BC$5) )</f>
        <v>0</v>
      </c>
      <c r="BD24" s="898" cm="1">
        <f t="array" aca="1" ref="BD24" ca="1">SUM( ($G$7:$G$155=$AQ24) * ($G$6:$G$154=BD$5) )</f>
        <v>0</v>
      </c>
      <c r="BE24" s="898" cm="1">
        <f t="array" aca="1" ref="BE24" ca="1">SUM( ($G$7:$G$155=$AQ24) * ($G$6:$G$154=BE$5) )</f>
        <v>0</v>
      </c>
      <c r="BF24" s="898" cm="1">
        <f t="array" aca="1" ref="BF24" ca="1">SUM( ($G$7:$G$155=$AQ24) * ($G$6:$G$154=BF$5) )</f>
        <v>0</v>
      </c>
      <c r="BG24" s="898" cm="1">
        <f t="array" aca="1" ref="BG24" ca="1">SUM( ($G$7:$G$155=$AQ24) * ($G$6:$G$154=BG$5) )</f>
        <v>0</v>
      </c>
      <c r="BH24" s="898" cm="1">
        <f t="array" aca="1" ref="BH24" ca="1">SUM( ($G$7:$G$155=$AQ24) * ($G$6:$G$154=BH$5) )</f>
        <v>0</v>
      </c>
      <c r="BI24" s="898" cm="1">
        <f t="array" aca="1" ref="BI24" ca="1">SUM( ($G$7:$G$155=$AQ24) * ($G$6:$G$154=BI$5) )</f>
        <v>4</v>
      </c>
      <c r="BJ24" s="898" cm="1">
        <f t="array" aca="1" ref="BJ24" ca="1">SUM( ($G$7:$G$155=$AQ24) * ($G$6:$G$154=BJ$5) )</f>
        <v>0</v>
      </c>
      <c r="BK24" s="898" cm="1">
        <f t="array" aca="1" ref="BK24" ca="1">SUM( ($G$7:$G$155=$AQ24) * ($G$6:$G$154=BK$5) )</f>
        <v>0</v>
      </c>
      <c r="BL24" s="898" cm="1">
        <f t="array" aca="1" ref="BL24" ca="1">SUM( ($G$7:$G$155=$AQ24) * ($G$6:$G$154=BL$5) )</f>
        <v>0</v>
      </c>
      <c r="BM24" s="898" cm="1">
        <f t="array" aca="1" ref="BM24" ca="1">SUM( ($G$7:$G$155=$AQ24) * ($G$6:$G$154=BM$5) )</f>
        <v>4</v>
      </c>
      <c r="BN24" s="898" cm="1">
        <f t="array" aca="1" ref="BN24" ca="1">SUM( ($G$7:$G$155=$AQ24) * ($G$6:$G$154=BN$5) )</f>
        <v>0</v>
      </c>
      <c r="BO24" s="898" cm="1">
        <f t="array" aca="1" ref="BO24" ca="1">SUM( ($G$7:$G$155=$AQ24) * ($G$6:$G$154=BO$5) )</f>
        <v>0</v>
      </c>
      <c r="BP24" s="898" cm="1">
        <f t="array" aca="1" ref="BP24" ca="1">SUM( ($G$7:$G$155=$AQ24) * ($G$6:$G$154=BP$5) )</f>
        <v>0</v>
      </c>
      <c r="BQ24" s="898" cm="1">
        <f t="array" aca="1" ref="BQ24" ca="1">SUM( ($G$7:$G$155=$AQ24) * ($G$6:$G$154=BQ$5) )</f>
        <v>0</v>
      </c>
    </row>
    <row r="25" spans="2:69" ht="21" customHeight="1" thickBot="1">
      <c r="B25" s="89" vm="82">
        <f ca="1"/>
        <v>45926</v>
      </c>
      <c r="C25" s="89" vm="83">
        <f ca="1"/>
        <v>1210.6099999999999</v>
      </c>
      <c r="D25" s="1335">
        <f t="shared" ca="1" si="0"/>
        <v>1.9615308216909644E-3</v>
      </c>
      <c r="E25" s="296" t="str" cm="1">
        <f t="array" aca="1" ref="E25" ca="1">_xlfn.IFS(D25&gt;0.5%,"U",D25&lt;=-0.5%,"D",TRUE,"Z")</f>
        <v>Z</v>
      </c>
      <c r="F25" s="296" t="str">
        <f t="shared" ca="1" si="3"/>
        <v>ZZ</v>
      </c>
      <c r="G25" s="296" t="str">
        <f t="shared" ca="1" si="4"/>
        <v>DZZ</v>
      </c>
      <c r="H25" s="898" t="str">
        <f t="shared" ca="1" si="5"/>
        <v/>
      </c>
      <c r="J25" s="907" t="s">
        <v>2302</v>
      </c>
      <c r="K25" s="906">
        <v>0.01</v>
      </c>
      <c r="L25" s="906" t="e">
        <f ca="1">K19/(J20+K19)-K25</f>
        <v>#REF!</v>
      </c>
      <c r="M25" s="906" t="e">
        <f ca="1">J20/(J20+K19)</f>
        <v>#REF!</v>
      </c>
      <c r="T25" s="898">
        <f t="shared" ca="1" si="1"/>
        <v>10</v>
      </c>
      <c r="U25" s="898">
        <f t="shared" ca="1" si="2"/>
        <v>12</v>
      </c>
      <c r="W25" s="1403" t="str">
        <f>W6</f>
        <v>NFLX</v>
      </c>
      <c r="X25" s="995" t="s">
        <v>189</v>
      </c>
      <c r="AI25" s="89" vm="84">
        <f ca="1"/>
        <v>45691</v>
      </c>
      <c r="AJ25" s="89" vm="85">
        <f ca="1"/>
        <v>978.94</v>
      </c>
      <c r="AQ25" s="898" t="str">
        <f ca="1"/>
        <v>UDD</v>
      </c>
      <c r="AR25" s="898" cm="1">
        <f t="array" aca="1" ref="AR25" ca="1">SUM( ($G$7:$G$155=$AQ25) * ($G$6:$G$154=AR$5) )</f>
        <v>0</v>
      </c>
      <c r="AS25" s="898" cm="1">
        <f t="array" aca="1" ref="AS25" ca="1">SUM( ($G$7:$G$155=$AQ25) * ($G$6:$G$154=AS$5) )</f>
        <v>0</v>
      </c>
      <c r="AT25" s="898" cm="1">
        <f t="array" aca="1" ref="AT25" ca="1">SUM( ($G$7:$G$155=$AQ25) * ($G$6:$G$154=AT$5) )</f>
        <v>0</v>
      </c>
      <c r="AU25" s="898" cm="1">
        <f t="array" aca="1" ref="AU25" ca="1">SUM( ($G$7:$G$155=$AQ25) * ($G$6:$G$154=AU$5) )</f>
        <v>0</v>
      </c>
      <c r="AV25" s="898" cm="1">
        <f t="array" aca="1" ref="AV25" ca="1">SUM( ($G$7:$G$155=$AQ25) * ($G$6:$G$154=AV$5) )</f>
        <v>0</v>
      </c>
      <c r="AW25" s="898" cm="1">
        <f t="array" aca="1" ref="AW25" ca="1">SUM( ($G$7:$G$155=$AQ25) * ($G$6:$G$154=AW$5) )</f>
        <v>3</v>
      </c>
      <c r="AX25" s="898" cm="1">
        <f t="array" aca="1" ref="AX25" ca="1">SUM( ($G$7:$G$155=$AQ25) * ($G$6:$G$154=AX$5) )</f>
        <v>0</v>
      </c>
      <c r="AY25" s="898" cm="1">
        <f t="array" aca="1" ref="AY25" ca="1">SUM( ($G$7:$G$155=$AQ25) * ($G$6:$G$154=AY$5) )</f>
        <v>0</v>
      </c>
      <c r="AZ25" s="898" cm="1">
        <f t="array" aca="1" ref="AZ25" ca="1">SUM( ($G$7:$G$155=$AQ25) * ($G$6:$G$154=AZ$5) )</f>
        <v>0</v>
      </c>
      <c r="BA25" s="898" cm="1">
        <f t="array" aca="1" ref="BA25" ca="1">SUM( ($G$7:$G$155=$AQ25) * ($G$6:$G$154=BA$5) )</f>
        <v>0</v>
      </c>
      <c r="BB25" s="898" cm="1">
        <f t="array" aca="1" ref="BB25" ca="1">SUM( ($G$7:$G$155=$AQ25) * ($G$6:$G$154=BB$5) )</f>
        <v>0</v>
      </c>
      <c r="BC25" s="898" cm="1">
        <f t="array" aca="1" ref="BC25" ca="1">SUM( ($G$7:$G$155=$AQ25) * ($G$6:$G$154=BC$5) )</f>
        <v>0</v>
      </c>
      <c r="BD25" s="898" cm="1">
        <f t="array" aca="1" ref="BD25" ca="1">SUM( ($G$7:$G$155=$AQ25) * ($G$6:$G$154=BD$5) )</f>
        <v>2</v>
      </c>
      <c r="BE25" s="898" cm="1">
        <f t="array" aca="1" ref="BE25" ca="1">SUM( ($G$7:$G$155=$AQ25) * ($G$6:$G$154=BE$5) )</f>
        <v>0</v>
      </c>
      <c r="BF25" s="898" cm="1">
        <f t="array" aca="1" ref="BF25" ca="1">SUM( ($G$7:$G$155=$AQ25) * ($G$6:$G$154=BF$5) )</f>
        <v>1</v>
      </c>
      <c r="BG25" s="898" cm="1">
        <f t="array" aca="1" ref="BG25" ca="1">SUM( ($G$7:$G$155=$AQ25) * ($G$6:$G$154=BG$5) )</f>
        <v>0</v>
      </c>
      <c r="BH25" s="898" cm="1">
        <f t="array" aca="1" ref="BH25" ca="1">SUM( ($G$7:$G$155=$AQ25) * ($G$6:$G$154=BH$5) )</f>
        <v>0</v>
      </c>
      <c r="BI25" s="898" cm="1">
        <f t="array" aca="1" ref="BI25" ca="1">SUM( ($G$7:$G$155=$AQ25) * ($G$6:$G$154=BI$5) )</f>
        <v>0</v>
      </c>
      <c r="BJ25" s="898" cm="1">
        <f t="array" aca="1" ref="BJ25" ca="1">SUM( ($G$7:$G$155=$AQ25) * ($G$6:$G$154=BJ$5) )</f>
        <v>0</v>
      </c>
      <c r="BK25" s="898" cm="1">
        <f t="array" aca="1" ref="BK25" ca="1">SUM( ($G$7:$G$155=$AQ25) * ($G$6:$G$154=BK$5) )</f>
        <v>0</v>
      </c>
      <c r="BL25" s="898" cm="1">
        <f t="array" aca="1" ref="BL25" ca="1">SUM( ($G$7:$G$155=$AQ25) * ($G$6:$G$154=BL$5) )</f>
        <v>0</v>
      </c>
      <c r="BM25" s="898" cm="1">
        <f t="array" aca="1" ref="BM25" ca="1">SUM( ($G$7:$G$155=$AQ25) * ($G$6:$G$154=BM$5) )</f>
        <v>0</v>
      </c>
      <c r="BN25" s="898" cm="1">
        <f t="array" aca="1" ref="BN25" ca="1">SUM( ($G$7:$G$155=$AQ25) * ($G$6:$G$154=BN$5) )</f>
        <v>0</v>
      </c>
      <c r="BO25" s="898" cm="1">
        <f t="array" aca="1" ref="BO25" ca="1">SUM( ($G$7:$G$155=$AQ25) * ($G$6:$G$154=BO$5) )</f>
        <v>0</v>
      </c>
      <c r="BP25" s="898" cm="1">
        <f t="array" aca="1" ref="BP25" ca="1">SUM( ($G$7:$G$155=$AQ25) * ($G$6:$G$154=BP$5) )</f>
        <v>0</v>
      </c>
      <c r="BQ25" s="898" cm="1">
        <f t="array" aca="1" ref="BQ25" ca="1">SUM( ($G$7:$G$155=$AQ25) * ($G$6:$G$154=BQ$5) )</f>
        <v>0</v>
      </c>
    </row>
    <row r="26" spans="2:69" ht="21" customHeight="1" thickBot="1">
      <c r="B26" s="89" vm="86">
        <f ca="1"/>
        <v>45925</v>
      </c>
      <c r="C26" s="89" vm="87">
        <f ca="1"/>
        <v>1208.24</v>
      </c>
      <c r="D26" s="1335">
        <f t="shared" ca="1" si="0"/>
        <v>3.5632708999542868E-3</v>
      </c>
      <c r="E26" s="296" t="str" cm="1">
        <f t="array" aca="1" ref="E26" ca="1">_xlfn.IFS(D26&gt;0.5%,"U",D26&lt;=-0.5%,"D",TRUE,"Z")</f>
        <v>Z</v>
      </c>
      <c r="F26" s="296" t="str">
        <f t="shared" ca="1" si="3"/>
        <v>DZ</v>
      </c>
      <c r="G26" s="296" t="str">
        <f t="shared" ca="1" si="4"/>
        <v>DDZ</v>
      </c>
      <c r="H26" s="898" t="str">
        <f t="shared" ca="1" si="5"/>
        <v>DD</v>
      </c>
      <c r="J26" s="908">
        <v>11</v>
      </c>
      <c r="K26" s="908">
        <v>12</v>
      </c>
      <c r="L26" s="908">
        <v>21</v>
      </c>
      <c r="M26" s="908">
        <v>22</v>
      </c>
      <c r="T26" s="898">
        <f t="shared" ca="1" si="1"/>
        <v>10</v>
      </c>
      <c r="U26" s="898">
        <f t="shared" ca="1" si="2"/>
        <v>12</v>
      </c>
      <c r="W26" s="1404"/>
      <c r="X26" s="996" t="str" cm="1">
        <f t="array" aca="1" ref="X26:AD26" ca="1">TRANSPOSE(G5:G11)</f>
        <v>DZD</v>
      </c>
      <c r="Y26" s="922" t="str">
        <f ca="1"/>
        <v>ZDZ</v>
      </c>
      <c r="Z26" s="923" t="str">
        <f ca="1"/>
        <v>UZD</v>
      </c>
      <c r="AA26" s="923" t="str">
        <f ca="1"/>
        <v>UUZ</v>
      </c>
      <c r="AB26" s="923" t="str">
        <f ca="1"/>
        <v>DUU</v>
      </c>
      <c r="AC26" s="923" t="str">
        <f ca="1"/>
        <v>DDU</v>
      </c>
      <c r="AD26" s="924" t="str">
        <f ca="1"/>
        <v>ZDD</v>
      </c>
      <c r="AI26" s="89" vm="88">
        <f ca="1"/>
        <v>45692</v>
      </c>
      <c r="AJ26" s="89" vm="89">
        <f ca="1"/>
        <v>994.87</v>
      </c>
      <c r="AQ26" s="898" t="str">
        <f ca="1"/>
        <v>DZU</v>
      </c>
      <c r="AR26" s="898" cm="1">
        <f t="array" aca="1" ref="AR26" ca="1">SUM( ($G$7:$G$155=$AQ26) * ($G$6:$G$154=AR$5) )</f>
        <v>0</v>
      </c>
      <c r="AS26" s="898" cm="1">
        <f t="array" aca="1" ref="AS26" ca="1">SUM( ($G$7:$G$155=$AQ26) * ($G$6:$G$154=AS$5) )</f>
        <v>0</v>
      </c>
      <c r="AT26" s="898" cm="1">
        <f t="array" aca="1" ref="AT26" ca="1">SUM( ($G$7:$G$155=$AQ26) * ($G$6:$G$154=AT$5) )</f>
        <v>0</v>
      </c>
      <c r="AU26" s="898" cm="1">
        <f t="array" aca="1" ref="AU26" ca="1">SUM( ($G$7:$G$155=$AQ26) * ($G$6:$G$154=AU$5) )</f>
        <v>0</v>
      </c>
      <c r="AV26" s="898" cm="1">
        <f t="array" aca="1" ref="AV26" ca="1">SUM( ($G$7:$G$155=$AQ26) * ($G$6:$G$154=AV$5) )</f>
        <v>0</v>
      </c>
      <c r="AW26" s="898" cm="1">
        <f t="array" aca="1" ref="AW26" ca="1">SUM( ($G$7:$G$155=$AQ26) * ($G$6:$G$154=AW$5) )</f>
        <v>0</v>
      </c>
      <c r="AX26" s="898" cm="1">
        <f t="array" aca="1" ref="AX26" ca="1">SUM( ($G$7:$G$155=$AQ26) * ($G$6:$G$154=AX$5) )</f>
        <v>0</v>
      </c>
      <c r="AY26" s="898" cm="1">
        <f t="array" aca="1" ref="AY26" ca="1">SUM( ($G$7:$G$155=$AQ26) * ($G$6:$G$154=AY$5) )</f>
        <v>0</v>
      </c>
      <c r="AZ26" s="898" cm="1">
        <f t="array" aca="1" ref="AZ26" ca="1">SUM( ($G$7:$G$155=$AQ26) * ($G$6:$G$154=AZ$5) )</f>
        <v>0</v>
      </c>
      <c r="BA26" s="898" cm="1">
        <f t="array" aca="1" ref="BA26" ca="1">SUM( ($G$7:$G$155=$AQ26) * ($G$6:$G$154=BA$5) )</f>
        <v>0</v>
      </c>
      <c r="BB26" s="898" cm="1">
        <f t="array" aca="1" ref="BB26" ca="1">SUM( ($G$7:$G$155=$AQ26) * ($G$6:$G$154=BB$5) )</f>
        <v>0</v>
      </c>
      <c r="BC26" s="898" cm="1">
        <f t="array" aca="1" ref="BC26" ca="1">SUM( ($G$7:$G$155=$AQ26) * ($G$6:$G$154=BC$5) )</f>
        <v>0</v>
      </c>
      <c r="BD26" s="898" cm="1">
        <f t="array" aca="1" ref="BD26" ca="1">SUM( ($G$7:$G$155=$AQ26) * ($G$6:$G$154=BD$5) )</f>
        <v>0</v>
      </c>
      <c r="BE26" s="898" cm="1">
        <f t="array" aca="1" ref="BE26" ca="1">SUM( ($G$7:$G$155=$AQ26) * ($G$6:$G$154=BE$5) )</f>
        <v>0</v>
      </c>
      <c r="BF26" s="898" cm="1">
        <f t="array" aca="1" ref="BF26" ca="1">SUM( ($G$7:$G$155=$AQ26) * ($G$6:$G$154=BF$5) )</f>
        <v>0</v>
      </c>
      <c r="BG26" s="898" cm="1">
        <f t="array" aca="1" ref="BG26" ca="1">SUM( ($G$7:$G$155=$AQ26) * ($G$6:$G$154=BG$5) )</f>
        <v>0</v>
      </c>
      <c r="BH26" s="898" cm="1">
        <f t="array" aca="1" ref="BH26" ca="1">SUM( ($G$7:$G$155=$AQ26) * ($G$6:$G$154=BH$5) )</f>
        <v>0</v>
      </c>
      <c r="BI26" s="898" cm="1">
        <f t="array" aca="1" ref="BI26" ca="1">SUM( ($G$7:$G$155=$AQ26) * ($G$6:$G$154=BI$5) )</f>
        <v>3</v>
      </c>
      <c r="BJ26" s="898" cm="1">
        <f t="array" aca="1" ref="BJ26" ca="1">SUM( ($G$7:$G$155=$AQ26) * ($G$6:$G$154=BJ$5) )</f>
        <v>0</v>
      </c>
      <c r="BK26" s="898" cm="1">
        <f t="array" aca="1" ref="BK26" ca="1">SUM( ($G$7:$G$155=$AQ26) * ($G$6:$G$154=BK$5) )</f>
        <v>0</v>
      </c>
      <c r="BL26" s="898" cm="1">
        <f t="array" aca="1" ref="BL26" ca="1">SUM( ($G$7:$G$155=$AQ26) * ($G$6:$G$154=BL$5) )</f>
        <v>0</v>
      </c>
      <c r="BM26" s="898" cm="1">
        <f t="array" aca="1" ref="BM26" ca="1">SUM( ($G$7:$G$155=$AQ26) * ($G$6:$G$154=BM$5) )</f>
        <v>3</v>
      </c>
      <c r="BN26" s="898" cm="1">
        <f t="array" aca="1" ref="BN26" ca="1">SUM( ($G$7:$G$155=$AQ26) * ($G$6:$G$154=BN$5) )</f>
        <v>0</v>
      </c>
      <c r="BO26" s="898" cm="1">
        <f t="array" aca="1" ref="BO26" ca="1">SUM( ($G$7:$G$155=$AQ26) * ($G$6:$G$154=BO$5) )</f>
        <v>0</v>
      </c>
      <c r="BP26" s="898" cm="1">
        <f t="array" aca="1" ref="BP26" ca="1">SUM( ($G$7:$G$155=$AQ26) * ($G$6:$G$154=BP$5) )</f>
        <v>0</v>
      </c>
      <c r="BQ26" s="898" cm="1">
        <f t="array" aca="1" ref="BQ26" ca="1">SUM( ($G$7:$G$155=$AQ26) * ($G$6:$G$154=BQ$5) )</f>
        <v>2</v>
      </c>
    </row>
    <row r="27" spans="2:69" ht="21" customHeight="1" thickBot="1">
      <c r="B27" s="89" vm="90">
        <f ca="1"/>
        <v>45924</v>
      </c>
      <c r="C27" s="89" vm="91">
        <f ca="1"/>
        <v>1203.95</v>
      </c>
      <c r="D27" s="1335">
        <f t="shared" ca="1" si="0"/>
        <v>-1.1916583912611703E-2</v>
      </c>
      <c r="E27" s="296" t="str" cm="1">
        <f t="array" aca="1" ref="E27" ca="1">_xlfn.IFS(D27&gt;0.5%,"U",D27&lt;=-0.5%,"D",TRUE,"Z")</f>
        <v>D</v>
      </c>
      <c r="F27" s="296" t="str">
        <f t="shared" ca="1" si="3"/>
        <v>DD</v>
      </c>
      <c r="G27" s="296" t="str">
        <f t="shared" ca="1" si="4"/>
        <v>ZDD</v>
      </c>
      <c r="H27" s="898" t="str">
        <f t="shared" ca="1" si="5"/>
        <v/>
      </c>
      <c r="I27" s="909">
        <v>11</v>
      </c>
      <c r="J27" s="898" t="e">
        <f>COUNTIF(#REF!,"1111")</f>
        <v>#REF!</v>
      </c>
      <c r="K27" s="898" t="e">
        <f>COUNTIF(#REF!,"1112")</f>
        <v>#REF!</v>
      </c>
      <c r="L27" s="898" t="e">
        <f>COUNTIF(#REF!,"1121")</f>
        <v>#REF!</v>
      </c>
      <c r="M27" s="898" t="e">
        <f>COUNTIF(#REF!,"1122")</f>
        <v>#REF!</v>
      </c>
      <c r="T27" s="898">
        <f t="shared" ca="1" si="1"/>
        <v>10</v>
      </c>
      <c r="U27" s="898">
        <f t="shared" ca="1" si="2"/>
        <v>12</v>
      </c>
      <c r="W27" s="997" t="str">
        <f t="shared" ref="W27:AD27" si="8">W8</f>
        <v>Change</v>
      </c>
      <c r="X27" s="925">
        <f t="shared" ca="1" si="8"/>
        <v>-1.6972135166443542E-2</v>
      </c>
      <c r="Y27" s="925">
        <f t="shared" ca="1" si="8"/>
        <v>-2.4902138179993846E-3</v>
      </c>
      <c r="Z27" s="926">
        <f t="shared" ca="1" si="8"/>
        <v>-0.10068071051677611</v>
      </c>
      <c r="AA27" s="926">
        <f t="shared" ca="1" si="8"/>
        <v>2.2526159410928529E-3</v>
      </c>
      <c r="AB27" s="926">
        <f t="shared" ca="1" si="8"/>
        <v>3.2684098185699083E-2</v>
      </c>
      <c r="AC27" s="926">
        <f t="shared" ca="1" si="8"/>
        <v>1.3323870597081745E-2</v>
      </c>
      <c r="AD27" s="927">
        <f t="shared" ca="1" si="8"/>
        <v>-1.6371780701244128E-2</v>
      </c>
      <c r="AI27" s="89" vm="92">
        <f ca="1"/>
        <v>45693</v>
      </c>
      <c r="AJ27" s="89" vm="93">
        <f ca="1"/>
        <v>1011.11</v>
      </c>
      <c r="AQ27" s="898" t="str">
        <f ca="1"/>
        <v>ZUU</v>
      </c>
      <c r="AR27" s="898" cm="1">
        <f t="array" aca="1" ref="AR27" ca="1">SUM( ($G$7:$G$155=$AQ27) * ($G$6:$G$154=AR$5) )</f>
        <v>0</v>
      </c>
      <c r="AS27" s="898" cm="1">
        <f t="array" aca="1" ref="AS27" ca="1">SUM( ($G$7:$G$155=$AQ27) * ($G$6:$G$154=AS$5) )</f>
        <v>0</v>
      </c>
      <c r="AT27" s="898" cm="1">
        <f t="array" aca="1" ref="AT27" ca="1">SUM( ($G$7:$G$155=$AQ27) * ($G$6:$G$154=AT$5) )</f>
        <v>0</v>
      </c>
      <c r="AU27" s="898" cm="1">
        <f t="array" aca="1" ref="AU27" ca="1">SUM( ($G$7:$G$155=$AQ27) * ($G$6:$G$154=AU$5) )</f>
        <v>1</v>
      </c>
      <c r="AV27" s="898" cm="1">
        <f t="array" aca="1" ref="AV27" ca="1">SUM( ($G$7:$G$155=$AQ27) * ($G$6:$G$154=AV$5) )</f>
        <v>0</v>
      </c>
      <c r="AW27" s="898" cm="1">
        <f t="array" aca="1" ref="AW27" ca="1">SUM( ($G$7:$G$155=$AQ27) * ($G$6:$G$154=AW$5) )</f>
        <v>0</v>
      </c>
      <c r="AX27" s="898" cm="1">
        <f t="array" aca="1" ref="AX27" ca="1">SUM( ($G$7:$G$155=$AQ27) * ($G$6:$G$154=AX$5) )</f>
        <v>0</v>
      </c>
      <c r="AY27" s="898" cm="1">
        <f t="array" aca="1" ref="AY27" ca="1">SUM( ($G$7:$G$155=$AQ27) * ($G$6:$G$154=AY$5) )</f>
        <v>0</v>
      </c>
      <c r="AZ27" s="898" cm="1">
        <f t="array" aca="1" ref="AZ27" ca="1">SUM( ($G$7:$G$155=$AQ27) * ($G$6:$G$154=AZ$5) )</f>
        <v>0</v>
      </c>
      <c r="BA27" s="898" cm="1">
        <f t="array" aca="1" ref="BA27" ca="1">SUM( ($G$7:$G$155=$AQ27) * ($G$6:$G$154=BA$5) )</f>
        <v>0</v>
      </c>
      <c r="BB27" s="898" cm="1">
        <f t="array" aca="1" ref="BB27" ca="1">SUM( ($G$7:$G$155=$AQ27) * ($G$6:$G$154=BB$5) )</f>
        <v>3</v>
      </c>
      <c r="BC27" s="898" cm="1">
        <f t="array" aca="1" ref="BC27" ca="1">SUM( ($G$7:$G$155=$AQ27) * ($G$6:$G$154=BC$5) )</f>
        <v>4</v>
      </c>
      <c r="BD27" s="898" cm="1">
        <f t="array" aca="1" ref="BD27" ca="1">SUM( ($G$7:$G$155=$AQ27) * ($G$6:$G$154=BD$5) )</f>
        <v>0</v>
      </c>
      <c r="BE27" s="898" cm="1">
        <f t="array" aca="1" ref="BE27" ca="1">SUM( ($G$7:$G$155=$AQ27) * ($G$6:$G$154=BE$5) )</f>
        <v>0</v>
      </c>
      <c r="BF27" s="898" cm="1">
        <f t="array" aca="1" ref="BF27" ca="1">SUM( ($G$7:$G$155=$AQ27) * ($G$6:$G$154=BF$5) )</f>
        <v>0</v>
      </c>
      <c r="BG27" s="898" cm="1">
        <f t="array" aca="1" ref="BG27" ca="1">SUM( ($G$7:$G$155=$AQ27) * ($G$6:$G$154=BG$5) )</f>
        <v>0</v>
      </c>
      <c r="BH27" s="898" cm="1">
        <f t="array" aca="1" ref="BH27" ca="1">SUM( ($G$7:$G$155=$AQ27) * ($G$6:$G$154=BH$5) )</f>
        <v>0</v>
      </c>
      <c r="BI27" s="898" cm="1">
        <f t="array" aca="1" ref="BI27" ca="1">SUM( ($G$7:$G$155=$AQ27) * ($G$6:$G$154=BI$5) )</f>
        <v>0</v>
      </c>
      <c r="BJ27" s="898" cm="1">
        <f t="array" aca="1" ref="BJ27" ca="1">SUM( ($G$7:$G$155=$AQ27) * ($G$6:$G$154=BJ$5) )</f>
        <v>0</v>
      </c>
      <c r="BK27" s="898" cm="1">
        <f t="array" aca="1" ref="BK27" ca="1">SUM( ($G$7:$G$155=$AQ27) * ($G$6:$G$154=BK$5) )</f>
        <v>0</v>
      </c>
      <c r="BL27" s="898" cm="1">
        <f t="array" aca="1" ref="BL27" ca="1">SUM( ($G$7:$G$155=$AQ27) * ($G$6:$G$154=BL$5) )</f>
        <v>0</v>
      </c>
      <c r="BM27" s="898" cm="1">
        <f t="array" aca="1" ref="BM27" ca="1">SUM( ($G$7:$G$155=$AQ27) * ($G$6:$G$154=BM$5) )</f>
        <v>0</v>
      </c>
      <c r="BN27" s="898" cm="1">
        <f t="array" aca="1" ref="BN27" ca="1">SUM( ($G$7:$G$155=$AQ27) * ($G$6:$G$154=BN$5) )</f>
        <v>0</v>
      </c>
      <c r="BO27" s="898" cm="1">
        <f t="array" aca="1" ref="BO27" ca="1">SUM( ($G$7:$G$155=$AQ27) * ($G$6:$G$154=BO$5) )</f>
        <v>0</v>
      </c>
      <c r="BP27" s="898" cm="1">
        <f t="array" aca="1" ref="BP27" ca="1">SUM( ($G$7:$G$155=$AQ27) * ($G$6:$G$154=BP$5) )</f>
        <v>0</v>
      </c>
      <c r="BQ27" s="898" cm="1">
        <f t="array" aca="1" ref="BQ27" ca="1">SUM( ($G$7:$G$155=$AQ27) * ($G$6:$G$154=BQ$5) )</f>
        <v>0</v>
      </c>
    </row>
    <row r="28" spans="2:69" ht="23" thickBot="1">
      <c r="B28" s="89" vm="94">
        <f ca="1"/>
        <v>45923</v>
      </c>
      <c r="C28" s="89" vm="95">
        <f ca="1"/>
        <v>1218.47</v>
      </c>
      <c r="D28" s="1335">
        <f t="shared" ca="1" si="0"/>
        <v>-7.2512771209984478E-3</v>
      </c>
      <c r="E28" s="296" t="str" cm="1">
        <f t="array" aca="1" ref="E28" ca="1">_xlfn.IFS(D28&gt;0.5%,"U",D28&lt;=-0.5%,"D",TRUE,"Z")</f>
        <v>D</v>
      </c>
      <c r="F28" s="296" t="str">
        <f t="shared" ca="1" si="3"/>
        <v>ZD</v>
      </c>
      <c r="G28" s="296" t="str">
        <f t="shared" ca="1" si="4"/>
        <v>UZD</v>
      </c>
      <c r="H28" s="898" t="str">
        <f t="shared" ca="1" si="5"/>
        <v/>
      </c>
      <c r="I28" s="909">
        <v>12</v>
      </c>
      <c r="J28" s="898" t="e">
        <f>COUNTIF(#REF!,"1211")</f>
        <v>#REF!</v>
      </c>
      <c r="K28" s="898" t="e">
        <f>COUNTIF(#REF!,"1212")</f>
        <v>#REF!</v>
      </c>
      <c r="L28" s="898" t="e">
        <f>COUNTIF(#REF!,"1221")</f>
        <v>#REF!</v>
      </c>
      <c r="M28" s="898" t="e">
        <f>COUNTIF(#REF!,"1222")</f>
        <v>#REF!</v>
      </c>
      <c r="T28" s="898">
        <f t="shared" ca="1" si="1"/>
        <v>10</v>
      </c>
      <c r="U28" s="898">
        <f t="shared" ca="1" si="2"/>
        <v>12</v>
      </c>
      <c r="AI28" s="89" vm="96">
        <f ca="1"/>
        <v>45694</v>
      </c>
      <c r="AJ28" s="89" vm="97">
        <f ca="1"/>
        <v>1015.68</v>
      </c>
      <c r="AQ28" s="898" t="str">
        <f ca="1"/>
        <v>ZZU</v>
      </c>
      <c r="AR28" s="898" cm="1">
        <f t="array" aca="1" ref="AR28" ca="1">SUM( ($G$7:$G$155=$AQ28) * ($G$6:$G$154=AR$5) )</f>
        <v>0</v>
      </c>
      <c r="AS28" s="898" cm="1">
        <f t="array" aca="1" ref="AS28" ca="1">SUM( ($G$7:$G$155=$AQ28) * ($G$6:$G$154=AS$5) )</f>
        <v>0</v>
      </c>
      <c r="AT28" s="898" cm="1">
        <f t="array" aca="1" ref="AT28" ca="1">SUM( ($G$7:$G$155=$AQ28) * ($G$6:$G$154=AT$5) )</f>
        <v>0</v>
      </c>
      <c r="AU28" s="898" cm="1">
        <f t="array" aca="1" ref="AU28" ca="1">SUM( ($G$7:$G$155=$AQ28) * ($G$6:$G$154=AU$5) )</f>
        <v>0</v>
      </c>
      <c r="AV28" s="898" cm="1">
        <f t="array" aca="1" ref="AV28" ca="1">SUM( ($G$7:$G$155=$AQ28) * ($G$6:$G$154=AV$5) )</f>
        <v>0</v>
      </c>
      <c r="AW28" s="898" cm="1">
        <f t="array" aca="1" ref="AW28" ca="1">SUM( ($G$7:$G$155=$AQ28) * ($G$6:$G$154=AW$5) )</f>
        <v>0</v>
      </c>
      <c r="AX28" s="898" cm="1">
        <f t="array" aca="1" ref="AX28" ca="1">SUM( ($G$7:$G$155=$AQ28) * ($G$6:$G$154=AX$5) )</f>
        <v>0</v>
      </c>
      <c r="AY28" s="898" cm="1">
        <f t="array" aca="1" ref="AY28" ca="1">SUM( ($G$7:$G$155=$AQ28) * ($G$6:$G$154=AY$5) )</f>
        <v>0</v>
      </c>
      <c r="AZ28" s="898" cm="1">
        <f t="array" aca="1" ref="AZ28" ca="1">SUM( ($G$7:$G$155=$AQ28) * ($G$6:$G$154=AZ$5) )</f>
        <v>0</v>
      </c>
      <c r="BA28" s="898" cm="1">
        <f t="array" aca="1" ref="BA28" ca="1">SUM( ($G$7:$G$155=$AQ28) * ($G$6:$G$154=BA$5) )</f>
        <v>0</v>
      </c>
      <c r="BB28" s="898" cm="1">
        <f t="array" aca="1" ref="BB28" ca="1">SUM( ($G$7:$G$155=$AQ28) * ($G$6:$G$154=BB$5) )</f>
        <v>0</v>
      </c>
      <c r="BC28" s="898" cm="1">
        <f t="array" aca="1" ref="BC28" ca="1">SUM( ($G$7:$G$155=$AQ28) * ($G$6:$G$154=BC$5) )</f>
        <v>0</v>
      </c>
      <c r="BD28" s="898" cm="1">
        <f t="array" aca="1" ref="BD28" ca="1">SUM( ($G$7:$G$155=$AQ28) * ($G$6:$G$154=BD$5) )</f>
        <v>0</v>
      </c>
      <c r="BE28" s="898" cm="1">
        <f t="array" aca="1" ref="BE28" ca="1">SUM( ($G$7:$G$155=$AQ28) * ($G$6:$G$154=BE$5) )</f>
        <v>0</v>
      </c>
      <c r="BF28" s="898" cm="1">
        <f t="array" aca="1" ref="BF28" ca="1">SUM( ($G$7:$G$155=$AQ28) * ($G$6:$G$154=BF$5) )</f>
        <v>0</v>
      </c>
      <c r="BG28" s="898" cm="1">
        <f t="array" aca="1" ref="BG28" ca="1">SUM( ($G$7:$G$155=$AQ28) * ($G$6:$G$154=BG$5) )</f>
        <v>0</v>
      </c>
      <c r="BH28" s="898" cm="1">
        <f t="array" aca="1" ref="BH28" ca="1">SUM( ($G$7:$G$155=$AQ28) * ($G$6:$G$154=BH$5) )</f>
        <v>0</v>
      </c>
      <c r="BI28" s="898" cm="1">
        <f t="array" aca="1" ref="BI28" ca="1">SUM( ($G$7:$G$155=$AQ28) * ($G$6:$G$154=BI$5) )</f>
        <v>2</v>
      </c>
      <c r="BJ28" s="898" cm="1">
        <f t="array" aca="1" ref="BJ28" ca="1">SUM( ($G$7:$G$155=$AQ28) * ($G$6:$G$154=BJ$5) )</f>
        <v>0</v>
      </c>
      <c r="BK28" s="898" cm="1">
        <f t="array" aca="1" ref="BK28" ca="1">SUM( ($G$7:$G$155=$AQ28) * ($G$6:$G$154=BK$5) )</f>
        <v>0</v>
      </c>
      <c r="BL28" s="898" cm="1">
        <f t="array" aca="1" ref="BL28" ca="1">SUM( ($G$7:$G$155=$AQ28) * ($G$6:$G$154=BL$5) )</f>
        <v>0</v>
      </c>
      <c r="BM28" s="898" cm="1">
        <f t="array" aca="1" ref="BM28" ca="1">SUM( ($G$7:$G$155=$AQ28) * ($G$6:$G$154=BM$5) )</f>
        <v>1</v>
      </c>
      <c r="BN28" s="898" cm="1">
        <f t="array" aca="1" ref="BN28" ca="1">SUM( ($G$7:$G$155=$AQ28) * ($G$6:$G$154=BN$5) )</f>
        <v>0</v>
      </c>
      <c r="BO28" s="898" cm="1">
        <f t="array" aca="1" ref="BO28" ca="1">SUM( ($G$7:$G$155=$AQ28) * ($G$6:$G$154=BO$5) )</f>
        <v>0</v>
      </c>
      <c r="BP28" s="898" cm="1">
        <f t="array" aca="1" ref="BP28" ca="1">SUM( ($G$7:$G$155=$AQ28) * ($G$6:$G$154=BP$5) )</f>
        <v>0</v>
      </c>
      <c r="BQ28" s="898" cm="1">
        <f t="array" aca="1" ref="BQ28" ca="1">SUM( ($G$7:$G$155=$AQ28) * ($G$6:$G$154=BQ$5) )</f>
        <v>1</v>
      </c>
    </row>
    <row r="29" spans="2:69" ht="23" thickBot="1">
      <c r="B29" s="89" vm="98">
        <f ca="1"/>
        <v>45922</v>
      </c>
      <c r="C29" s="89" vm="99">
        <f ca="1"/>
        <v>1227.3699999999999</v>
      </c>
      <c r="D29" s="1335">
        <f t="shared" ca="1" si="0"/>
        <v>3.2600634082321784E-4</v>
      </c>
      <c r="E29" s="296" t="str" cm="1">
        <f t="array" aca="1" ref="E29" ca="1">_xlfn.IFS(D29&gt;0.5%,"U",D29&lt;=-0.5%,"D",TRUE,"Z")</f>
        <v>Z</v>
      </c>
      <c r="F29" s="296" t="str">
        <f t="shared" ca="1" si="3"/>
        <v>UZ</v>
      </c>
      <c r="G29" s="296" t="str">
        <f t="shared" ca="1" si="4"/>
        <v>DUZ</v>
      </c>
      <c r="H29" s="898" t="str">
        <f t="shared" ca="1" si="5"/>
        <v/>
      </c>
      <c r="I29" s="909">
        <v>21</v>
      </c>
      <c r="J29" s="898" t="e">
        <f>COUNTIF(#REF!,"2111")</f>
        <v>#REF!</v>
      </c>
      <c r="K29" s="898" t="e">
        <f>COUNTIF(#REF!,"2112")</f>
        <v>#REF!</v>
      </c>
      <c r="L29" s="898" t="e">
        <f>COUNTIF(#REF!,"2121")</f>
        <v>#REF!</v>
      </c>
      <c r="M29" s="898" t="e">
        <f>COUNTIF(#REF!,"2122")</f>
        <v>#REF!</v>
      </c>
      <c r="T29" s="898">
        <f t="shared" ca="1" si="1"/>
        <v>10</v>
      </c>
      <c r="U29" s="898">
        <f t="shared" ca="1" si="2"/>
        <v>12</v>
      </c>
      <c r="W29" s="998" t="s">
        <v>11</v>
      </c>
      <c r="X29" s="999" t="s">
        <v>2318</v>
      </c>
      <c r="Y29" s="999" t="s">
        <v>2319</v>
      </c>
      <c r="Z29" s="999" t="s">
        <v>2320</v>
      </c>
      <c r="AA29" s="999" t="s">
        <v>2321</v>
      </c>
      <c r="AB29" s="999" t="s">
        <v>2322</v>
      </c>
      <c r="AC29" s="999" t="s">
        <v>2323</v>
      </c>
      <c r="AD29" s="1000" t="s">
        <v>2324</v>
      </c>
      <c r="AE29" s="1001" t="s">
        <v>2388</v>
      </c>
      <c r="AF29" s="905"/>
      <c r="AI29" s="89" vm="100">
        <f ca="1"/>
        <v>45695</v>
      </c>
      <c r="AJ29" s="89" vm="101">
        <f ca="1"/>
        <v>1013.93</v>
      </c>
      <c r="AQ29" s="898" t="str">
        <f ca="1"/>
        <v>DUD</v>
      </c>
      <c r="AR29" s="898" cm="1">
        <f t="array" aca="1" ref="AR29" ca="1">SUM( ($G$7:$G$155=$AQ29) * ($G$6:$G$154=AR$5) )</f>
        <v>0</v>
      </c>
      <c r="AS29" s="898" cm="1">
        <f t="array" aca="1" ref="AS29" ca="1">SUM( ($G$7:$G$155=$AQ29) * ($G$6:$G$154=AS$5) )</f>
        <v>0</v>
      </c>
      <c r="AT29" s="898" cm="1">
        <f t="array" aca="1" ref="AT29" ca="1">SUM( ($G$7:$G$155=$AQ29) * ($G$6:$G$154=AT$5) )</f>
        <v>0</v>
      </c>
      <c r="AU29" s="898" cm="1">
        <f t="array" aca="1" ref="AU29" ca="1">SUM( ($G$7:$G$155=$AQ29) * ($G$6:$G$154=AU$5) )</f>
        <v>0</v>
      </c>
      <c r="AV29" s="898" cm="1">
        <f t="array" aca="1" ref="AV29" ca="1">SUM( ($G$7:$G$155=$AQ29) * ($G$6:$G$154=AV$5) )</f>
        <v>0</v>
      </c>
      <c r="AW29" s="898" cm="1">
        <f t="array" aca="1" ref="AW29" ca="1">SUM( ($G$7:$G$155=$AQ29) * ($G$6:$G$154=AW$5) )</f>
        <v>0</v>
      </c>
      <c r="AX29" s="898" cm="1">
        <f t="array" aca="1" ref="AX29" ca="1">SUM( ($G$7:$G$155=$AQ29) * ($G$6:$G$154=AX$5) )</f>
        <v>0</v>
      </c>
      <c r="AY29" s="898" cm="1">
        <f t="array" aca="1" ref="AY29" ca="1">SUM( ($G$7:$G$155=$AQ29) * ($G$6:$G$154=AY$5) )</f>
        <v>0</v>
      </c>
      <c r="AZ29" s="898" cm="1">
        <f t="array" aca="1" ref="AZ29" ca="1">SUM( ($G$7:$G$155=$AQ29) * ($G$6:$G$154=AZ$5) )</f>
        <v>0</v>
      </c>
      <c r="BA29" s="898" cm="1">
        <f t="array" aca="1" ref="BA29" ca="1">SUM( ($G$7:$G$155=$AQ29) * ($G$6:$G$154=BA$5) )</f>
        <v>2</v>
      </c>
      <c r="BB29" s="898" cm="1">
        <f t="array" aca="1" ref="BB29" ca="1">SUM( ($G$7:$G$155=$AQ29) * ($G$6:$G$154=BB$5) )</f>
        <v>0</v>
      </c>
      <c r="BC29" s="898" cm="1">
        <f t="array" aca="1" ref="BC29" ca="1">SUM( ($G$7:$G$155=$AQ29) * ($G$6:$G$154=BC$5) )</f>
        <v>0</v>
      </c>
      <c r="BD29" s="898" cm="1">
        <f t="array" aca="1" ref="BD29" ca="1">SUM( ($G$7:$G$155=$AQ29) * ($G$6:$G$154=BD$5) )</f>
        <v>0</v>
      </c>
      <c r="BE29" s="898" cm="1">
        <f t="array" aca="1" ref="BE29" ca="1">SUM( ($G$7:$G$155=$AQ29) * ($G$6:$G$154=BE$5) )</f>
        <v>0</v>
      </c>
      <c r="BF29" s="898" cm="1">
        <f t="array" aca="1" ref="BF29" ca="1">SUM( ($G$7:$G$155=$AQ29) * ($G$6:$G$154=BF$5) )</f>
        <v>0</v>
      </c>
      <c r="BG29" s="898" cm="1">
        <f t="array" aca="1" ref="BG29" ca="1">SUM( ($G$7:$G$155=$AQ29) * ($G$6:$G$154=BG$5) )</f>
        <v>0</v>
      </c>
      <c r="BH29" s="898" cm="1">
        <f t="array" aca="1" ref="BH29" ca="1">SUM( ($G$7:$G$155=$AQ29) * ($G$6:$G$154=BH$5) )</f>
        <v>1</v>
      </c>
      <c r="BI29" s="898" cm="1">
        <f t="array" aca="1" ref="BI29" ca="1">SUM( ($G$7:$G$155=$AQ29) * ($G$6:$G$154=BI$5) )</f>
        <v>0</v>
      </c>
      <c r="BJ29" s="898" cm="1">
        <f t="array" aca="1" ref="BJ29" ca="1">SUM( ($G$7:$G$155=$AQ29) * ($G$6:$G$154=BJ$5) )</f>
        <v>0</v>
      </c>
      <c r="BK29" s="898" cm="1">
        <f t="array" aca="1" ref="BK29" ca="1">SUM( ($G$7:$G$155=$AQ29) * ($G$6:$G$154=BK$5) )</f>
        <v>2</v>
      </c>
      <c r="BL29" s="898" cm="1">
        <f t="array" aca="1" ref="BL29" ca="1">SUM( ($G$7:$G$155=$AQ29) * ($G$6:$G$154=BL$5) )</f>
        <v>0</v>
      </c>
      <c r="BM29" s="898" cm="1">
        <f t="array" aca="1" ref="BM29" ca="1">SUM( ($G$7:$G$155=$AQ29) * ($G$6:$G$154=BM$5) )</f>
        <v>0</v>
      </c>
      <c r="BN29" s="898" cm="1">
        <f t="array" aca="1" ref="BN29" ca="1">SUM( ($G$7:$G$155=$AQ29) * ($G$6:$G$154=BN$5) )</f>
        <v>0</v>
      </c>
      <c r="BO29" s="898" cm="1">
        <f t="array" aca="1" ref="BO29" ca="1">SUM( ($G$7:$G$155=$AQ29) * ($G$6:$G$154=BO$5) )</f>
        <v>0</v>
      </c>
      <c r="BP29" s="898" cm="1">
        <f t="array" aca="1" ref="BP29" ca="1">SUM( ($G$7:$G$155=$AQ29) * ($G$6:$G$154=BP$5) )</f>
        <v>0</v>
      </c>
      <c r="BQ29" s="898" cm="1">
        <f t="array" aca="1" ref="BQ29" ca="1">SUM( ($G$7:$G$155=$AQ29) * ($G$6:$G$154=BQ$5) )</f>
        <v>0</v>
      </c>
    </row>
    <row r="30" spans="2:69">
      <c r="B30" s="89" vm="102">
        <f ca="1"/>
        <v>45919</v>
      </c>
      <c r="C30" s="89" vm="103">
        <f ca="1"/>
        <v>1226.97</v>
      </c>
      <c r="D30" s="1335">
        <f t="shared" ca="1" si="0"/>
        <v>1.5888655218665698E-2</v>
      </c>
      <c r="E30" s="296" t="str" cm="1">
        <f t="array" aca="1" ref="E30" ca="1">_xlfn.IFS(D30&gt;0.5%,"U",D30&lt;=-0.5%,"D",TRUE,"Z")</f>
        <v>U</v>
      </c>
      <c r="F30" s="296" t="str">
        <f t="shared" ca="1" si="3"/>
        <v>DU</v>
      </c>
      <c r="G30" s="296" t="str">
        <f t="shared" ca="1" si="4"/>
        <v>UDU</v>
      </c>
      <c r="H30" s="898" t="str">
        <f t="shared" ca="1" si="5"/>
        <v/>
      </c>
      <c r="I30" s="909">
        <v>22</v>
      </c>
      <c r="J30" s="898" t="e">
        <f>COUNTIF(#REF!,"2211")</f>
        <v>#REF!</v>
      </c>
      <c r="K30" s="898" t="e">
        <f>COUNTIF(#REF!,"2212")</f>
        <v>#REF!</v>
      </c>
      <c r="L30" s="898" t="e">
        <f>COUNTIF(#REF!,"2221")</f>
        <v>#REF!</v>
      </c>
      <c r="M30" s="898" t="e">
        <f>COUNTIF(#REF!,"2222")</f>
        <v>#REF!</v>
      </c>
      <c r="T30" s="898">
        <f t="shared" ca="1" si="1"/>
        <v>11</v>
      </c>
      <c r="U30" s="898">
        <f t="shared" ca="1" si="2"/>
        <v>11</v>
      </c>
      <c r="W30" s="939" cm="1">
        <f t="array" aca="1" ref="W30:AD30" ca="1">_xlfn.LET(
  _xlpm.n, ROWS(YYYY),
  _xlpm.v0, (0*_xlfn.TAKE(YYYY,1,)+1)/_xlpm.n,
  _xlfn.REDUCE(_xlpm.v0, _xlfn.SEQUENCE(100), _xlfn.LAMBDA(_xlpm.v,_xlpm._, _xlfn.LET(_xlpm.next, MMULT(_xlpm.v, YYYY), _xlpm.next/SUM(_xlpm.next))))
)</f>
        <v>1.2531328320802006E-3</v>
      </c>
      <c r="X30" s="939">
        <f ca="1"/>
        <v>1.2531328320802006E-3</v>
      </c>
      <c r="Y30" s="939">
        <f ca="1"/>
        <v>0</v>
      </c>
      <c r="Z30" s="939">
        <f ca="1"/>
        <v>2.5062656641604013E-3</v>
      </c>
      <c r="AA30" s="939">
        <f ca="1"/>
        <v>0</v>
      </c>
      <c r="AB30" s="939">
        <f ca="1"/>
        <v>0</v>
      </c>
      <c r="AC30" s="939">
        <f ca="1"/>
        <v>0.4949874686716792</v>
      </c>
      <c r="AD30" s="939">
        <f ca="1"/>
        <v>0.5</v>
      </c>
      <c r="AI30" s="89" vm="104">
        <f ca="1"/>
        <v>45698</v>
      </c>
      <c r="AJ30" s="89" vm="105">
        <f ca="1"/>
        <v>1027.5999999999999</v>
      </c>
      <c r="AQ30" s="898" t="str">
        <f ca="1"/>
        <v>ZDU</v>
      </c>
      <c r="AR30" s="898" cm="1">
        <f t="array" aca="1" ref="AR30" ca="1">SUM( ($G$7:$G$155=$AQ30) * ($G$6:$G$154=AR$5) )</f>
        <v>0</v>
      </c>
      <c r="AS30" s="898" cm="1">
        <f t="array" aca="1" ref="AS30" ca="1">SUM( ($G$7:$G$155=$AQ30) * ($G$6:$G$154=AS$5) )</f>
        <v>0</v>
      </c>
      <c r="AT30" s="898" cm="1">
        <f t="array" aca="1" ref="AT30" ca="1">SUM( ($G$7:$G$155=$AQ30) * ($G$6:$G$154=AT$5) )</f>
        <v>0</v>
      </c>
      <c r="AU30" s="898" cm="1">
        <f t="array" aca="1" ref="AU30" ca="1">SUM( ($G$7:$G$155=$AQ30) * ($G$6:$G$154=AU$5) )</f>
        <v>0</v>
      </c>
      <c r="AV30" s="898" cm="1">
        <f t="array" aca="1" ref="AV30" ca="1">SUM( ($G$7:$G$155=$AQ30) * ($G$6:$G$154=AV$5) )</f>
        <v>2</v>
      </c>
      <c r="AW30" s="898" cm="1">
        <f t="array" aca="1" ref="AW30" ca="1">SUM( ($G$7:$G$155=$AQ30) * ($G$6:$G$154=AW$5) )</f>
        <v>0</v>
      </c>
      <c r="AX30" s="898" cm="1">
        <f t="array" aca="1" ref="AX30" ca="1">SUM( ($G$7:$G$155=$AQ30) * ($G$6:$G$154=AX$5) )</f>
        <v>0</v>
      </c>
      <c r="AY30" s="898" cm="1">
        <f t="array" aca="1" ref="AY30" ca="1">SUM( ($G$7:$G$155=$AQ30) * ($G$6:$G$154=AY$5) )</f>
        <v>0</v>
      </c>
      <c r="AZ30" s="898" cm="1">
        <f t="array" aca="1" ref="AZ30" ca="1">SUM( ($G$7:$G$155=$AQ30) * ($G$6:$G$154=AZ$5) )</f>
        <v>0</v>
      </c>
      <c r="BA30" s="898" cm="1">
        <f t="array" aca="1" ref="BA30" ca="1">SUM( ($G$7:$G$155=$AQ30) * ($G$6:$G$154=BA$5) )</f>
        <v>0</v>
      </c>
      <c r="BB30" s="898" cm="1">
        <f t="array" aca="1" ref="BB30" ca="1">SUM( ($G$7:$G$155=$AQ30) * ($G$6:$G$154=BB$5) )</f>
        <v>0</v>
      </c>
      <c r="BC30" s="898" cm="1">
        <f t="array" aca="1" ref="BC30" ca="1">SUM( ($G$7:$G$155=$AQ30) * ($G$6:$G$154=BC$5) )</f>
        <v>0</v>
      </c>
      <c r="BD30" s="898" cm="1">
        <f t="array" aca="1" ref="BD30" ca="1">SUM( ($G$7:$G$155=$AQ30) * ($G$6:$G$154=BD$5) )</f>
        <v>0</v>
      </c>
      <c r="BE30" s="898" cm="1">
        <f t="array" aca="1" ref="BE30" ca="1">SUM( ($G$7:$G$155=$AQ30) * ($G$6:$G$154=BE$5) )</f>
        <v>0</v>
      </c>
      <c r="BF30" s="898" cm="1">
        <f t="array" aca="1" ref="BF30" ca="1">SUM( ($G$7:$G$155=$AQ30) * ($G$6:$G$154=BF$5) )</f>
        <v>0</v>
      </c>
      <c r="BG30" s="898" cm="1">
        <f t="array" aca="1" ref="BG30" ca="1">SUM( ($G$7:$G$155=$AQ30) * ($G$6:$G$154=BG$5) )</f>
        <v>0</v>
      </c>
      <c r="BH30" s="898" cm="1">
        <f t="array" aca="1" ref="BH30" ca="1">SUM( ($G$7:$G$155=$AQ30) * ($G$6:$G$154=BH$5) )</f>
        <v>0</v>
      </c>
      <c r="BI30" s="898" cm="1">
        <f t="array" aca="1" ref="BI30" ca="1">SUM( ($G$7:$G$155=$AQ30) * ($G$6:$G$154=BI$5) )</f>
        <v>0</v>
      </c>
      <c r="BJ30" s="898" cm="1">
        <f t="array" aca="1" ref="BJ30" ca="1">SUM( ($G$7:$G$155=$AQ30) * ($G$6:$G$154=BJ$5) )</f>
        <v>0</v>
      </c>
      <c r="BK30" s="898" cm="1">
        <f t="array" aca="1" ref="BK30" ca="1">SUM( ($G$7:$G$155=$AQ30) * ($G$6:$G$154=BK$5) )</f>
        <v>0</v>
      </c>
      <c r="BL30" s="898" cm="1">
        <f t="array" aca="1" ref="BL30" ca="1">SUM( ($G$7:$G$155=$AQ30) * ($G$6:$G$154=BL$5) )</f>
        <v>0</v>
      </c>
      <c r="BM30" s="898" cm="1">
        <f t="array" aca="1" ref="BM30" ca="1">SUM( ($G$7:$G$155=$AQ30) * ($G$6:$G$154=BM$5) )</f>
        <v>0</v>
      </c>
      <c r="BN30" s="898" cm="1">
        <f t="array" aca="1" ref="BN30" ca="1">SUM( ($G$7:$G$155=$AQ30) * ($G$6:$G$154=BN$5) )</f>
        <v>0</v>
      </c>
      <c r="BO30" s="898" cm="1">
        <f t="array" aca="1" ref="BO30" ca="1">SUM( ($G$7:$G$155=$AQ30) * ($G$6:$G$154=BO$5) )</f>
        <v>1</v>
      </c>
      <c r="BP30" s="898" cm="1">
        <f t="array" aca="1" ref="BP30" ca="1">SUM( ($G$7:$G$155=$AQ30) * ($G$6:$G$154=BP$5) )</f>
        <v>0</v>
      </c>
      <c r="BQ30" s="898" cm="1">
        <f t="array" aca="1" ref="BQ30" ca="1">SUM( ($G$7:$G$155=$AQ30) * ($G$6:$G$154=BQ$5) )</f>
        <v>0</v>
      </c>
    </row>
    <row r="31" spans="2:69" ht="23" thickBot="1">
      <c r="B31" s="89" vm="106">
        <f ca="1"/>
        <v>45918</v>
      </c>
      <c r="C31" s="89" vm="107">
        <f ca="1"/>
        <v>1207.78</v>
      </c>
      <c r="D31" s="1335">
        <f t="shared" ca="1" si="0"/>
        <v>-1.6866096866096889E-2</v>
      </c>
      <c r="E31" s="296" t="str" cm="1">
        <f t="array" aca="1" ref="E31" ca="1">_xlfn.IFS(D31&gt;0.5%,"U",D31&lt;=-0.5%,"D",TRUE,"Z")</f>
        <v>D</v>
      </c>
      <c r="F31" s="296" t="str">
        <f t="shared" ca="1" si="3"/>
        <v>UD</v>
      </c>
      <c r="G31" s="296" t="str">
        <f t="shared" ca="1" si="4"/>
        <v>ZUD</v>
      </c>
      <c r="H31" s="898" t="str">
        <f t="shared" ca="1" si="5"/>
        <v/>
      </c>
      <c r="I31" s="909"/>
      <c r="J31" s="909" t="e">
        <f>SUM(J27:J30)</f>
        <v>#REF!</v>
      </c>
      <c r="K31" s="909" t="e">
        <f>SUM(K27:K30)</f>
        <v>#REF!</v>
      </c>
      <c r="L31" s="909" t="e">
        <f>SUM(L27:L30)</f>
        <v>#REF!</v>
      </c>
      <c r="M31" s="909" t="e">
        <f>SUM(M27:M30)</f>
        <v>#REF!</v>
      </c>
      <c r="N31" s="909" t="e">
        <f>SUM(J27:M30)</f>
        <v>#REF!</v>
      </c>
      <c r="T31" s="898">
        <f t="shared" ca="1" si="1"/>
        <v>12</v>
      </c>
      <c r="U31" s="898">
        <f t="shared" ca="1" si="2"/>
        <v>10</v>
      </c>
      <c r="AC31" s="940"/>
      <c r="AD31" s="940"/>
      <c r="AI31" s="89" vm="108">
        <f ca="1"/>
        <v>45699</v>
      </c>
      <c r="AJ31" s="89" vm="109">
        <f ca="1"/>
        <v>1008.08</v>
      </c>
      <c r="AQ31" s="898" t="str">
        <f ca="1"/>
        <v>ZUZ</v>
      </c>
      <c r="AR31" s="898" cm="1">
        <f t="array" aca="1" ref="AR31" ca="1">SUM( ($G$7:$G$155=$AQ31) * ($G$6:$G$154=AR$5) )</f>
        <v>0</v>
      </c>
      <c r="AS31" s="898" cm="1">
        <f t="array" aca="1" ref="AS31" ca="1">SUM( ($G$7:$G$155=$AQ31) * ($G$6:$G$154=AS$5) )</f>
        <v>0</v>
      </c>
      <c r="AT31" s="898" cm="1">
        <f t="array" aca="1" ref="AT31" ca="1">SUM( ($G$7:$G$155=$AQ31) * ($G$6:$G$154=AT$5) )</f>
        <v>2</v>
      </c>
      <c r="AU31" s="898" cm="1">
        <f t="array" aca="1" ref="AU31" ca="1">SUM( ($G$7:$G$155=$AQ31) * ($G$6:$G$154=AU$5) )</f>
        <v>0</v>
      </c>
      <c r="AV31" s="898" cm="1">
        <f t="array" aca="1" ref="AV31" ca="1">SUM( ($G$7:$G$155=$AQ31) * ($G$6:$G$154=AV$5) )</f>
        <v>0</v>
      </c>
      <c r="AW31" s="898" cm="1">
        <f t="array" aca="1" ref="AW31" ca="1">SUM( ($G$7:$G$155=$AQ31) * ($G$6:$G$154=AW$5) )</f>
        <v>0</v>
      </c>
      <c r="AX31" s="898" cm="1">
        <f t="array" aca="1" ref="AX31" ca="1">SUM( ($G$7:$G$155=$AQ31) * ($G$6:$G$154=AX$5) )</f>
        <v>0</v>
      </c>
      <c r="AY31" s="898" cm="1">
        <f t="array" aca="1" ref="AY31" ca="1">SUM( ($G$7:$G$155=$AQ31) * ($G$6:$G$154=AY$5) )</f>
        <v>0</v>
      </c>
      <c r="AZ31" s="898" cm="1">
        <f t="array" aca="1" ref="AZ31" ca="1">SUM( ($G$7:$G$155=$AQ31) * ($G$6:$G$154=AZ$5) )</f>
        <v>0</v>
      </c>
      <c r="BA31" s="898" cm="1">
        <f t="array" aca="1" ref="BA31" ca="1">SUM( ($G$7:$G$155=$AQ31) * ($G$6:$G$154=BA$5) )</f>
        <v>0</v>
      </c>
      <c r="BB31" s="898" cm="1">
        <f t="array" aca="1" ref="BB31" ca="1">SUM( ($G$7:$G$155=$AQ31) * ($G$6:$G$154=BB$5) )</f>
        <v>0</v>
      </c>
      <c r="BC31" s="898" cm="1">
        <f t="array" aca="1" ref="BC31" ca="1">SUM( ($G$7:$G$155=$AQ31) * ($G$6:$G$154=BC$5) )</f>
        <v>0</v>
      </c>
      <c r="BD31" s="898" cm="1">
        <f t="array" aca="1" ref="BD31" ca="1">SUM( ($G$7:$G$155=$AQ31) * ($G$6:$G$154=BD$5) )</f>
        <v>0</v>
      </c>
      <c r="BE31" s="898" cm="1">
        <f t="array" aca="1" ref="BE31" ca="1">SUM( ($G$7:$G$155=$AQ31) * ($G$6:$G$154=BE$5) )</f>
        <v>0</v>
      </c>
      <c r="BF31" s="898" cm="1">
        <f t="array" aca="1" ref="BF31" ca="1">SUM( ($G$7:$G$155=$AQ31) * ($G$6:$G$154=BF$5) )</f>
        <v>0</v>
      </c>
      <c r="BG31" s="898" cm="1">
        <f t="array" aca="1" ref="BG31" ca="1">SUM( ($G$7:$G$155=$AQ31) * ($G$6:$G$154=BG$5) )</f>
        <v>0</v>
      </c>
      <c r="BH31" s="898" cm="1">
        <f t="array" aca="1" ref="BH31" ca="1">SUM( ($G$7:$G$155=$AQ31) * ($G$6:$G$154=BH$5) )</f>
        <v>0</v>
      </c>
      <c r="BI31" s="898" cm="1">
        <f t="array" aca="1" ref="BI31" ca="1">SUM( ($G$7:$G$155=$AQ31) * ($G$6:$G$154=BI$5) )</f>
        <v>0</v>
      </c>
      <c r="BJ31" s="898" cm="1">
        <f t="array" aca="1" ref="BJ31" ca="1">SUM( ($G$7:$G$155=$AQ31) * ($G$6:$G$154=BJ$5) )</f>
        <v>0</v>
      </c>
      <c r="BK31" s="898" cm="1">
        <f t="array" aca="1" ref="BK31" ca="1">SUM( ($G$7:$G$155=$AQ31) * ($G$6:$G$154=BK$5) )</f>
        <v>0</v>
      </c>
      <c r="BL31" s="898" cm="1">
        <f t="array" aca="1" ref="BL31" ca="1">SUM( ($G$7:$G$155=$AQ31) * ($G$6:$G$154=BL$5) )</f>
        <v>0</v>
      </c>
      <c r="BM31" s="898" cm="1">
        <f t="array" aca="1" ref="BM31" ca="1">SUM( ($G$7:$G$155=$AQ31) * ($G$6:$G$154=BM$5) )</f>
        <v>0</v>
      </c>
      <c r="BN31" s="898" cm="1">
        <f t="array" aca="1" ref="BN31" ca="1">SUM( ($G$7:$G$155=$AQ31) * ($G$6:$G$154=BN$5) )</f>
        <v>0</v>
      </c>
      <c r="BO31" s="898" cm="1">
        <f t="array" aca="1" ref="BO31" ca="1">SUM( ($G$7:$G$155=$AQ31) * ($G$6:$G$154=BO$5) )</f>
        <v>0</v>
      </c>
      <c r="BP31" s="898" cm="1">
        <f t="array" aca="1" ref="BP31" ca="1">SUM( ($G$7:$G$155=$AQ31) * ($G$6:$G$154=BP$5) )</f>
        <v>0</v>
      </c>
      <c r="BQ31" s="898" cm="1">
        <f t="array" aca="1" ref="BQ31" ca="1">SUM( ($G$7:$G$155=$AQ31) * ($G$6:$G$154=BQ$5) )</f>
        <v>0</v>
      </c>
    </row>
    <row r="32" spans="2:69" ht="24" customHeight="1" thickBot="1">
      <c r="B32" s="89" vm="110">
        <f ca="1"/>
        <v>45917</v>
      </c>
      <c r="C32" s="89" vm="111">
        <f ca="1"/>
        <v>1228.5</v>
      </c>
      <c r="D32" s="1335">
        <f t="shared" ca="1" si="0"/>
        <v>2.3315091086288334E-2</v>
      </c>
      <c r="E32" s="296" t="str" cm="1">
        <f t="array" aca="1" ref="E32" ca="1">_xlfn.IFS(D32&gt;0.5%,"U",D32&lt;=-0.5%,"D",TRUE,"Z")</f>
        <v>U</v>
      </c>
      <c r="F32" s="296" t="str">
        <f t="shared" ca="1" si="3"/>
        <v>ZU</v>
      </c>
      <c r="G32" s="296" t="str">
        <f t="shared" ca="1" si="4"/>
        <v>UZU</v>
      </c>
      <c r="H32" s="898" t="str">
        <f t="shared" ca="1" si="5"/>
        <v/>
      </c>
      <c r="I32" s="909"/>
      <c r="J32" s="908">
        <v>11</v>
      </c>
      <c r="K32" s="908">
        <v>12</v>
      </c>
      <c r="L32" s="908">
        <v>21</v>
      </c>
      <c r="M32" s="908">
        <v>22</v>
      </c>
      <c r="N32" s="908"/>
      <c r="T32" s="898">
        <f t="shared" ca="1" si="1"/>
        <v>11</v>
      </c>
      <c r="U32" s="898">
        <f t="shared" ca="1" si="2"/>
        <v>11</v>
      </c>
      <c r="AC32" s="940"/>
      <c r="AD32" s="940"/>
      <c r="AI32" s="89" vm="112">
        <f ca="1"/>
        <v>45700</v>
      </c>
      <c r="AJ32" s="89" vm="113">
        <f ca="1"/>
        <v>1027.31</v>
      </c>
      <c r="AO32" s="959" t="str">
        <f>AI3</f>
        <v>NFLX</v>
      </c>
      <c r="AP32" s="959" t="str">
        <f ca="1">LastMark3</f>
        <v>DZD</v>
      </c>
      <c r="AQ32" s="898" t="str">
        <f ca="1"/>
        <v>UZZ</v>
      </c>
    </row>
    <row r="33" spans="2:75" ht="23" customHeight="1" thickBot="1">
      <c r="B33" s="89" vm="114">
        <f ca="1"/>
        <v>45916</v>
      </c>
      <c r="C33" s="89" vm="115">
        <f ca="1"/>
        <v>1200.51</v>
      </c>
      <c r="D33" s="1335">
        <f t="shared" ca="1" si="0"/>
        <v>-1.4555919684594014E-3</v>
      </c>
      <c r="E33" s="296" t="str" cm="1">
        <f t="array" aca="1" ref="E33" ca="1">_xlfn.IFS(D33&gt;0.5%,"U",D33&lt;=-0.5%,"D",TRUE,"Z")</f>
        <v>Z</v>
      </c>
      <c r="F33" s="296" t="str">
        <f t="shared" ca="1" si="3"/>
        <v>UZ</v>
      </c>
      <c r="G33" s="296" t="str">
        <f t="shared" ca="1" si="4"/>
        <v>DUZ</v>
      </c>
      <c r="H33" s="898" t="str">
        <f t="shared" ca="1" si="5"/>
        <v/>
      </c>
      <c r="I33" s="909">
        <v>11</v>
      </c>
      <c r="J33" s="910" t="e">
        <f>J27/SUM($J27:$M27)</f>
        <v>#REF!</v>
      </c>
      <c r="K33" s="910" t="e">
        <f t="shared" ref="K33:M34" si="9">K27/SUM($J27:$M27)</f>
        <v>#REF!</v>
      </c>
      <c r="L33" s="910" t="e">
        <f t="shared" si="9"/>
        <v>#REF!</v>
      </c>
      <c r="M33" s="910" t="e">
        <f t="shared" si="9"/>
        <v>#REF!</v>
      </c>
      <c r="N33" s="911"/>
      <c r="T33" s="898">
        <f t="shared" ca="1" si="1"/>
        <v>11</v>
      </c>
      <c r="U33" s="898">
        <f t="shared" ca="1" si="2"/>
        <v>11</v>
      </c>
      <c r="W33" s="1008" t="s">
        <v>2390</v>
      </c>
      <c r="X33" s="1008"/>
      <c r="Y33" s="1008"/>
      <c r="AA33" s="1008" t="s">
        <v>2391</v>
      </c>
      <c r="AD33" s="940"/>
      <c r="AI33" s="89" vm="116">
        <f ca="1"/>
        <v>45701</v>
      </c>
      <c r="AJ33" s="89" vm="117">
        <f ca="1"/>
        <v>1043.69</v>
      </c>
      <c r="AO33" s="996" t="s">
        <v>2710</v>
      </c>
      <c r="AP33" s="1318" t="s">
        <v>1670</v>
      </c>
      <c r="AQ33" s="1319" t="s">
        <v>1671</v>
      </c>
    </row>
    <row r="34" spans="2:75" ht="23" customHeight="1" thickBot="1">
      <c r="B34" s="89" vm="118">
        <f ca="1"/>
        <v>45915</v>
      </c>
      <c r="C34" s="89" vm="119">
        <f ca="1"/>
        <v>1202.26</v>
      </c>
      <c r="D34" s="1335">
        <f t="shared" ca="1" si="0"/>
        <v>1.1628689710881438E-2</v>
      </c>
      <c r="E34" s="296" t="str" cm="1">
        <f t="array" aca="1" ref="E34" ca="1">_xlfn.IFS(D34&gt;0.5%,"U",D34&lt;=-0.5%,"D",TRUE,"Z")</f>
        <v>U</v>
      </c>
      <c r="F34" s="296" t="str">
        <f t="shared" ca="1" si="3"/>
        <v>DU</v>
      </c>
      <c r="G34" s="296" t="str">
        <f t="shared" ca="1" si="4"/>
        <v>DDU</v>
      </c>
      <c r="H34" s="898" t="str">
        <f t="shared" ca="1" si="5"/>
        <v>DD</v>
      </c>
      <c r="I34" s="909">
        <v>12</v>
      </c>
      <c r="J34" s="910" t="e">
        <f>J28/SUM($J28:$M28)</f>
        <v>#REF!</v>
      </c>
      <c r="K34" s="910" t="e">
        <f t="shared" si="9"/>
        <v>#REF!</v>
      </c>
      <c r="L34" s="910" t="e">
        <f t="shared" si="9"/>
        <v>#REF!</v>
      </c>
      <c r="M34" s="910" t="e">
        <f t="shared" si="9"/>
        <v>#REF!</v>
      </c>
      <c r="N34" s="911"/>
      <c r="T34" s="898">
        <f t="shared" ca="1" si="1"/>
        <v>10</v>
      </c>
      <c r="U34" s="898">
        <f t="shared" ca="1" si="2"/>
        <v>12</v>
      </c>
      <c r="W34" s="1009" t="s">
        <v>2335</v>
      </c>
      <c r="X34" s="1010"/>
      <c r="Y34" s="1006" t="s">
        <v>2389</v>
      </c>
      <c r="AA34" s="1059" t="s">
        <v>2326</v>
      </c>
      <c r="AB34" s="1060"/>
      <c r="AC34" s="1006" t="s">
        <v>2389</v>
      </c>
      <c r="AD34" s="940"/>
      <c r="AI34" s="89" vm="120">
        <f ca="1"/>
        <v>45702</v>
      </c>
      <c r="AJ34" s="89" vm="121">
        <f ca="1"/>
        <v>1058.5999999999999</v>
      </c>
      <c r="AO34" s="1317" t="str">
        <f ca="1">G5</f>
        <v>DZD</v>
      </c>
      <c r="AP34" s="1315">
        <f ca="1">IFERROR(_xlfn.MINIFS(AR36:BS63, AR36:BS63, "&gt;0", AR36:BS63, "&lt;1"), "")</f>
        <v>0.1111111111111111</v>
      </c>
      <c r="AQ34" s="1316">
        <f ca="1">IFERROR(_xlfn.MAXIFS(AR36:BS63, AR36:BS63, "&gt;0", AR36:BS63, "&lt;1"), "")</f>
        <v>0.75</v>
      </c>
    </row>
    <row r="35" spans="2:75" ht="23" customHeight="1" thickBot="1">
      <c r="B35" s="89" vm="122">
        <f ca="1"/>
        <v>45912</v>
      </c>
      <c r="C35" s="89" vm="123">
        <f ca="1"/>
        <v>1188.44</v>
      </c>
      <c r="D35" s="1335">
        <f t="shared" ca="1" si="0"/>
        <v>-1.2513502285002032E-2</v>
      </c>
      <c r="E35" s="296" t="str" cm="1">
        <f t="array" aca="1" ref="E35" ca="1">_xlfn.IFS(D35&gt;0.5%,"U",D35&lt;=-0.5%,"D",TRUE,"Z")</f>
        <v>D</v>
      </c>
      <c r="F35" s="296" t="str">
        <f t="shared" ca="1" si="3"/>
        <v>DD</v>
      </c>
      <c r="G35" s="296" t="str">
        <f t="shared" ca="1" si="4"/>
        <v>DDD</v>
      </c>
      <c r="H35" s="898" t="str">
        <f t="shared" ca="1" si="5"/>
        <v>DD</v>
      </c>
      <c r="I35" s="909">
        <v>21</v>
      </c>
      <c r="J35" s="910" t="e">
        <f t="shared" ref="J35:M36" si="10">J29/SUM($J29:$M29)</f>
        <v>#REF!</v>
      </c>
      <c r="K35" s="910" t="e">
        <f t="shared" si="10"/>
        <v>#REF!</v>
      </c>
      <c r="L35" s="910" t="e">
        <f t="shared" si="10"/>
        <v>#REF!</v>
      </c>
      <c r="M35" s="910" t="e">
        <f t="shared" si="10"/>
        <v>#REF!</v>
      </c>
      <c r="N35" s="911"/>
      <c r="T35" s="898">
        <f t="shared" ca="1" si="1"/>
        <v>11</v>
      </c>
      <c r="U35" s="898">
        <f t="shared" ca="1" si="2"/>
        <v>11</v>
      </c>
      <c r="W35" s="1011" t="s">
        <v>2327</v>
      </c>
      <c r="X35" s="1012" t="str">
        <f ca="1">AB35</f>
        <v>DZD</v>
      </c>
      <c r="Y35" s="1007" t="e">
        <f ca="1">_xlfn.XLOOKUP(X35,W29:AD29,W30:AD30)</f>
        <v>#N/A</v>
      </c>
      <c r="Z35" s="902"/>
      <c r="AA35" s="1061" t="str">
        <f t="shared" ref="AA35:AC37" si="11">W13</f>
        <v>Last Ttriplet</v>
      </c>
      <c r="AB35" s="1062" t="str">
        <f t="shared" ca="1" si="11"/>
        <v>DZD</v>
      </c>
      <c r="AC35" s="1007" t="e">
        <f t="shared" ca="1" si="11"/>
        <v>#N/A</v>
      </c>
      <c r="AD35" s="940"/>
      <c r="AI35" s="89" vm="124">
        <f ca="1"/>
        <v>45706</v>
      </c>
      <c r="AJ35" s="89" vm="125">
        <f ca="1"/>
        <v>1035.8499999999999</v>
      </c>
      <c r="AO35" s="1320" cm="1">
        <f t="array" aca="1" ref="AO35" ca="1">INDEX(_xlfn._xlws.FILTER(AO36:AO61, ISNUMBER(AO36:AO61)), 1)</f>
        <v>0.5</v>
      </c>
      <c r="AP35" s="1321">
        <f ca="1">SUM(AP36:AP63)</f>
        <v>143</v>
      </c>
      <c r="AQ35" s="1361">
        <f ca="1">ROWS(_xlfn.UNIQUE(G5:G157))</f>
        <v>27</v>
      </c>
      <c r="AR35" s="1362" t="str">
        <f ca="1">AR5</f>
        <v>DZD</v>
      </c>
      <c r="AS35" s="1342" t="str">
        <f t="shared" ref="AS35:BQ35" ca="1" si="12">AS5</f>
        <v>ZDZ</v>
      </c>
      <c r="AT35" s="1342" t="str">
        <f t="shared" ca="1" si="12"/>
        <v>UZD</v>
      </c>
      <c r="AU35" s="1342" t="str">
        <f t="shared" ca="1" si="12"/>
        <v>UUZ</v>
      </c>
      <c r="AV35" s="1342" t="str">
        <f t="shared" ca="1" si="12"/>
        <v>DUU</v>
      </c>
      <c r="AW35" s="1342" t="str">
        <f t="shared" ca="1" si="12"/>
        <v>DDU</v>
      </c>
      <c r="AX35" s="1342" t="str">
        <f t="shared" ca="1" si="12"/>
        <v>ZDD</v>
      </c>
      <c r="AY35" s="1342" t="str">
        <f t="shared" ca="1" si="12"/>
        <v>ZZD</v>
      </c>
      <c r="AZ35" s="1342" t="str">
        <f t="shared" ca="1" si="12"/>
        <v>DZZ</v>
      </c>
      <c r="BA35" s="1342" t="str">
        <f t="shared" ca="1" si="12"/>
        <v>UDZ</v>
      </c>
      <c r="BB35" s="1342" t="str">
        <f t="shared" ca="1" si="12"/>
        <v>UUD</v>
      </c>
      <c r="BC35" s="1342" t="str">
        <f t="shared" ca="1" si="12"/>
        <v>UUU</v>
      </c>
      <c r="BD35" s="1342" t="str">
        <f t="shared" ca="1" si="12"/>
        <v>DDD</v>
      </c>
      <c r="BE35" s="1342" t="str">
        <f t="shared" ca="1" si="12"/>
        <v>ZZZ</v>
      </c>
      <c r="BF35" s="1342" t="str">
        <f t="shared" ca="1" si="12"/>
        <v>DDZ</v>
      </c>
      <c r="BG35" s="1342" t="str">
        <f t="shared" ca="1" si="12"/>
        <v>DUZ</v>
      </c>
      <c r="BH35" s="1342" t="str">
        <f t="shared" ca="1" si="12"/>
        <v>UDU</v>
      </c>
      <c r="BI35" s="1342" t="str">
        <f t="shared" ca="1" si="12"/>
        <v>ZUD</v>
      </c>
      <c r="BJ35" s="1342" t="str">
        <f t="shared" ca="1" si="12"/>
        <v>UZU</v>
      </c>
      <c r="BK35" s="1342" t="str">
        <f t="shared" ca="1" si="12"/>
        <v>UDD</v>
      </c>
      <c r="BL35" s="1342" t="str">
        <f t="shared" ca="1" si="12"/>
        <v>DZU</v>
      </c>
      <c r="BM35" s="1342" t="str">
        <f t="shared" ca="1" si="12"/>
        <v>ZUU</v>
      </c>
      <c r="BN35" s="1342" t="str">
        <f t="shared" ca="1" si="12"/>
        <v>ZZU</v>
      </c>
      <c r="BO35" s="1342" t="str">
        <f t="shared" ca="1" si="12"/>
        <v>DUD</v>
      </c>
      <c r="BP35" s="1342" t="str">
        <f t="shared" ca="1" si="12"/>
        <v>ZDU</v>
      </c>
      <c r="BQ35" s="1342" t="str">
        <f t="shared" ca="1" si="12"/>
        <v>ZUZ</v>
      </c>
      <c r="BR35" s="1342"/>
      <c r="BS35" s="1342"/>
      <c r="BT35" s="1342"/>
      <c r="BU35" s="1342"/>
      <c r="BV35" s="1342"/>
      <c r="BW35" s="1342"/>
    </row>
    <row r="36" spans="2:75" ht="22" customHeight="1">
      <c r="B36" s="89" vm="126">
        <f ca="1"/>
        <v>45911</v>
      </c>
      <c r="C36" s="89" vm="127">
        <f ca="1"/>
        <v>1203.5</v>
      </c>
      <c r="D36" s="1335">
        <f t="shared" ca="1" si="0"/>
        <v>-3.5432913096793354E-2</v>
      </c>
      <c r="E36" s="296" t="str" cm="1">
        <f t="array" aca="1" ref="E36" ca="1">_xlfn.IFS(D36&gt;0.5%,"U",D36&lt;=-0.5%,"D",TRUE,"Z")</f>
        <v>D</v>
      </c>
      <c r="F36" s="296" t="str">
        <f t="shared" ca="1" si="3"/>
        <v>DD</v>
      </c>
      <c r="G36" s="296" t="str">
        <f t="shared" ca="1" si="4"/>
        <v>UDD</v>
      </c>
      <c r="H36" s="898" t="str">
        <f t="shared" ca="1" si="5"/>
        <v/>
      </c>
      <c r="I36" s="909">
        <v>22</v>
      </c>
      <c r="J36" s="910" t="e">
        <f t="shared" si="10"/>
        <v>#REF!</v>
      </c>
      <c r="K36" s="910" t="e">
        <f t="shared" si="10"/>
        <v>#REF!</v>
      </c>
      <c r="L36" s="910" t="e">
        <f t="shared" si="10"/>
        <v>#REF!</v>
      </c>
      <c r="M36" s="910" t="e">
        <f t="shared" si="10"/>
        <v>#REF!</v>
      </c>
      <c r="T36" s="898">
        <f t="shared" ca="1" si="1"/>
        <v>10</v>
      </c>
      <c r="U36" s="898">
        <f t="shared" ca="1" si="2"/>
        <v>12</v>
      </c>
      <c r="W36" s="929" t="str">
        <f>W14</f>
        <v>Last 2 Days</v>
      </c>
      <c r="X36" s="1067" t="str">
        <f ca="1">"Sum "&amp;W37</f>
        <v>Sum ZD</v>
      </c>
      <c r="Y36" s="943" t="e" cm="1" vm="39">
        <f t="array" aca="1" ref="Y36" ca="1">SUM( _xlfn._xlws.FILTER(W30:AD30, LEFT(W29:AD29,2)=Last2Days) )</f>
        <v>#VALUE!</v>
      </c>
      <c r="AA36" s="929" t="str">
        <f t="shared" si="11"/>
        <v>Last 2 Days</v>
      </c>
      <c r="AB36" s="1067" t="str">
        <f ca="1">"Sum "&amp;AA37</f>
        <v>Sum ZD</v>
      </c>
      <c r="AC36" s="943" t="e" vm="128">
        <f t="shared" ca="1" si="11"/>
        <v>#VALUE!</v>
      </c>
      <c r="AD36" s="940"/>
      <c r="AI36" s="89" vm="129">
        <f ca="1"/>
        <v>45707</v>
      </c>
      <c r="AJ36" s="89" vm="130">
        <f ca="1"/>
        <v>1043.33</v>
      </c>
      <c r="AN36" s="1322"/>
      <c r="AO36" s="1312" cm="1">
        <f t="array" aca="1" ref="AO36" ca="1">IFERROR(INDEX($AR36:$BS36,
       MATCH(TRUE,
             (($AQ36=LastMark3)*
              (RIGHT($AR$35:$BS$35,3)=RIGHT(LastMark3,2)&amp;"U")*
              ($AR36:$BS36&gt;0))&gt;0,
       0)),0)</f>
        <v>0.5</v>
      </c>
      <c r="AP36" s="902">
        <f ca="1">SUM(AR6:INDEX(6:6, COLUMN($AR6) +$AQ$35 - 1))</f>
        <v>2</v>
      </c>
      <c r="AQ36" s="1358" t="str">
        <f ca="1">AQ6</f>
        <v>DZD</v>
      </c>
      <c r="AR36" s="1350">
        <f ca="1">IF(AR6=0,0,AR6/$AP36)</f>
        <v>0</v>
      </c>
      <c r="AS36" s="1336">
        <f t="shared" ref="AS36:BR36" ca="1" si="13">IF(AS6=0,0,AS6/$AP36)</f>
        <v>0.5</v>
      </c>
      <c r="AT36" s="1336">
        <f t="shared" ca="1" si="13"/>
        <v>0</v>
      </c>
      <c r="AU36" s="1336">
        <f t="shared" ca="1" si="13"/>
        <v>0</v>
      </c>
      <c r="AV36" s="1336">
        <f t="shared" ca="1" si="13"/>
        <v>0</v>
      </c>
      <c r="AW36" s="1336">
        <f t="shared" ca="1" si="13"/>
        <v>0</v>
      </c>
      <c r="AX36" s="1336">
        <f t="shared" ca="1" si="13"/>
        <v>0</v>
      </c>
      <c r="AY36" s="1336">
        <f t="shared" ca="1" si="13"/>
        <v>0</v>
      </c>
      <c r="AZ36" s="1336">
        <f t="shared" ca="1" si="13"/>
        <v>0</v>
      </c>
      <c r="BA36" s="1336">
        <f t="shared" ca="1" si="13"/>
        <v>0</v>
      </c>
      <c r="BB36" s="1336">
        <f t="shared" ca="1" si="13"/>
        <v>0</v>
      </c>
      <c r="BC36" s="1336">
        <f t="shared" ca="1" si="13"/>
        <v>0</v>
      </c>
      <c r="BD36" s="1336">
        <f t="shared" ca="1" si="13"/>
        <v>0</v>
      </c>
      <c r="BE36" s="1336">
        <f t="shared" ca="1" si="13"/>
        <v>0</v>
      </c>
      <c r="BF36" s="1336">
        <f t="shared" ca="1" si="13"/>
        <v>0</v>
      </c>
      <c r="BG36" s="1336">
        <f t="shared" ca="1" si="13"/>
        <v>0</v>
      </c>
      <c r="BH36" s="1336">
        <f t="shared" ca="1" si="13"/>
        <v>0</v>
      </c>
      <c r="BI36" s="1336">
        <f t="shared" ca="1" si="13"/>
        <v>0</v>
      </c>
      <c r="BJ36" s="1336">
        <f t="shared" ca="1" si="13"/>
        <v>0</v>
      </c>
      <c r="BK36" s="1336">
        <f t="shared" ca="1" si="13"/>
        <v>0</v>
      </c>
      <c r="BL36" s="1336">
        <f t="shared" ca="1" si="13"/>
        <v>0</v>
      </c>
      <c r="BM36" s="1336">
        <f t="shared" ca="1" si="13"/>
        <v>0</v>
      </c>
      <c r="BN36" s="1336">
        <f t="shared" ca="1" si="13"/>
        <v>0</v>
      </c>
      <c r="BO36" s="1336">
        <f t="shared" ca="1" si="13"/>
        <v>0</v>
      </c>
      <c r="BP36" s="1336">
        <f t="shared" ca="1" si="13"/>
        <v>0.5</v>
      </c>
      <c r="BQ36" s="1336">
        <f t="shared" ca="1" si="13"/>
        <v>0</v>
      </c>
      <c r="BR36" s="1336">
        <f t="shared" si="13"/>
        <v>0</v>
      </c>
      <c r="BS36" s="1336">
        <f>IF(BS6=0,0,BS6/#REF!)</f>
        <v>0</v>
      </c>
      <c r="BT36" s="1336"/>
      <c r="BU36" s="1336"/>
      <c r="BV36" s="1336"/>
      <c r="BW36" s="1336"/>
    </row>
    <row r="37" spans="2:75" ht="23" customHeight="1" thickBot="1">
      <c r="B37" s="89" vm="131">
        <f ca="1"/>
        <v>45910</v>
      </c>
      <c r="C37" s="89" vm="132">
        <f ca="1"/>
        <v>1247.71</v>
      </c>
      <c r="D37" s="1335">
        <f t="shared" ca="1" si="0"/>
        <v>-1.2301603008113962E-2</v>
      </c>
      <c r="E37" s="296" t="str" cm="1">
        <f t="array" aca="1" ref="E37" ca="1">_xlfn.IFS(D37&gt;0.5%,"U",D37&lt;=-0.5%,"D",TRUE,"Z")</f>
        <v>D</v>
      </c>
      <c r="F37" s="296" t="str">
        <f t="shared" ca="1" si="3"/>
        <v>UD</v>
      </c>
      <c r="G37" s="296" t="str">
        <f t="shared" ca="1" si="4"/>
        <v>ZUD</v>
      </c>
      <c r="H37" s="898" t="str">
        <f t="shared" ca="1" si="5"/>
        <v/>
      </c>
      <c r="T37" s="898">
        <f t="shared" ca="1" si="1"/>
        <v>9</v>
      </c>
      <c r="U37" s="898">
        <f t="shared" ref="U37:U68" ca="1" si="14">COUNTIF(D37:D58,"&gt;0")</f>
        <v>13</v>
      </c>
      <c r="W37" s="933" t="str">
        <f ca="1">Last2Days</f>
        <v>ZD</v>
      </c>
      <c r="X37" s="1068" t="s">
        <v>2395</v>
      </c>
      <c r="Y37" s="946" cm="1">
        <f t="array" aca="1" ref="Y37" ca="1">SUMPRODUCT( (LEFT(W29:AD29,2)=Last2Days) * W30:AD30 )</f>
        <v>0</v>
      </c>
      <c r="AA37" s="933" t="str">
        <f ca="1">Last2Days</f>
        <v>ZD</v>
      </c>
      <c r="AB37" s="1068" t="s">
        <v>2395</v>
      </c>
      <c r="AC37" s="946">
        <f t="shared" ca="1" si="11"/>
        <v>0</v>
      </c>
      <c r="AD37" s="940"/>
      <c r="AI37" s="89" vm="133">
        <f ca="1"/>
        <v>45708</v>
      </c>
      <c r="AJ37" s="89" vm="134">
        <f ca="1"/>
        <v>1024.54</v>
      </c>
      <c r="AN37" s="1322"/>
      <c r="AO37" s="1312" cm="1">
        <f t="array" aca="1" ref="AO37" ca="1">IFERROR(INDEX($AR37:$BS37,
       MATCH(TRUE,
             (($AQ37=LastMark3)*
              (RIGHT($AR$35:$BS$35,3)=RIGHT(LastMark3,2)&amp;"U")*
              ($AR37:$BS37&gt;0))&gt;0,
       0)),0)</f>
        <v>0</v>
      </c>
      <c r="AP37" s="902">
        <f ca="1">SUM(AR7:INDEX(7:7, COLUMN($AR7) +$AQ$35 - 1))</f>
        <v>3</v>
      </c>
      <c r="AQ37" s="1359" t="str">
        <f t="shared" ref="AQ37:AQ62" ca="1" si="15">AQ7</f>
        <v>ZDZ</v>
      </c>
      <c r="AR37" s="1352">
        <f t="shared" ref="AR37:BR37" ca="1" si="16">IF(AR7=0,0,AR7/$AP37)</f>
        <v>0.33333333333333331</v>
      </c>
      <c r="AS37" s="1353">
        <f t="shared" ca="1" si="16"/>
        <v>0</v>
      </c>
      <c r="AT37" s="1353">
        <f t="shared" ca="1" si="16"/>
        <v>0</v>
      </c>
      <c r="AU37" s="1353">
        <f t="shared" ca="1" si="16"/>
        <v>0</v>
      </c>
      <c r="AV37" s="1353">
        <f t="shared" ca="1" si="16"/>
        <v>0</v>
      </c>
      <c r="AW37" s="1353">
        <f t="shared" ca="1" si="16"/>
        <v>0</v>
      </c>
      <c r="AX37" s="1353">
        <f t="shared" ca="1" si="16"/>
        <v>0</v>
      </c>
      <c r="AY37" s="1353">
        <f t="shared" ca="1" si="16"/>
        <v>0</v>
      </c>
      <c r="AZ37" s="1353">
        <f t="shared" ca="1" si="16"/>
        <v>0</v>
      </c>
      <c r="BA37" s="1353">
        <f t="shared" ca="1" si="16"/>
        <v>0</v>
      </c>
      <c r="BB37" s="1353">
        <f t="shared" ca="1" si="16"/>
        <v>0</v>
      </c>
      <c r="BC37" s="1353">
        <f t="shared" ca="1" si="16"/>
        <v>0</v>
      </c>
      <c r="BD37" s="1353">
        <f t="shared" ca="1" si="16"/>
        <v>0</v>
      </c>
      <c r="BE37" s="1353">
        <f t="shared" ca="1" si="16"/>
        <v>0</v>
      </c>
      <c r="BF37" s="1353">
        <f t="shared" ca="1" si="16"/>
        <v>0</v>
      </c>
      <c r="BG37" s="1353">
        <f t="shared" ca="1" si="16"/>
        <v>0</v>
      </c>
      <c r="BH37" s="1353">
        <f t="shared" ca="1" si="16"/>
        <v>0</v>
      </c>
      <c r="BI37" s="1353">
        <f t="shared" ca="1" si="16"/>
        <v>0</v>
      </c>
      <c r="BJ37" s="1353">
        <f t="shared" ca="1" si="16"/>
        <v>0</v>
      </c>
      <c r="BK37" s="1353">
        <f t="shared" ca="1" si="16"/>
        <v>0</v>
      </c>
      <c r="BL37" s="1353">
        <f t="shared" ca="1" si="16"/>
        <v>0.66666666666666663</v>
      </c>
      <c r="BM37" s="1353">
        <f t="shared" ca="1" si="16"/>
        <v>0</v>
      </c>
      <c r="BN37" s="1353">
        <f t="shared" ca="1" si="16"/>
        <v>0</v>
      </c>
      <c r="BO37" s="1353">
        <f t="shared" ca="1" si="16"/>
        <v>0</v>
      </c>
      <c r="BP37" s="1353">
        <f t="shared" ca="1" si="16"/>
        <v>0</v>
      </c>
      <c r="BQ37" s="1353">
        <f t="shared" ca="1" si="16"/>
        <v>0</v>
      </c>
      <c r="BR37" s="1353">
        <f t="shared" si="16"/>
        <v>0</v>
      </c>
      <c r="BS37" s="1353">
        <f t="shared" ref="BS37" si="17">IF(BS7=0,0,BS7/$AP37)</f>
        <v>0</v>
      </c>
      <c r="BT37" s="1353"/>
      <c r="BU37" s="1353"/>
      <c r="BV37" s="1353"/>
      <c r="BW37" s="1353"/>
    </row>
    <row r="38" spans="2:75" ht="23" thickBot="1">
      <c r="B38" s="89" vm="135">
        <f ca="1"/>
        <v>45909</v>
      </c>
      <c r="C38" s="89" vm="136">
        <f ca="1"/>
        <v>1263.25</v>
      </c>
      <c r="D38" s="1335">
        <f t="shared" ca="1" si="0"/>
        <v>1.4854269096050652E-2</v>
      </c>
      <c r="E38" s="296" t="str" cm="1">
        <f t="array" aca="1" ref="E38" ca="1">_xlfn.IFS(D38&gt;0.5%,"U",D38&lt;=-0.5%,"D",TRUE,"Z")</f>
        <v>U</v>
      </c>
      <c r="F38" s="296" t="str">
        <f t="shared" ca="1" si="3"/>
        <v>ZU</v>
      </c>
      <c r="G38" s="296" t="str">
        <f t="shared" ca="1" si="4"/>
        <v>DZU</v>
      </c>
      <c r="H38" s="898" t="str">
        <f t="shared" ca="1" si="5"/>
        <v/>
      </c>
      <c r="T38" s="898">
        <f t="shared" ca="1" si="1"/>
        <v>8</v>
      </c>
      <c r="U38" s="898">
        <f t="shared" ca="1" si="14"/>
        <v>14</v>
      </c>
      <c r="AD38" s="940"/>
      <c r="AI38" s="89" vm="137">
        <f ca="1"/>
        <v>45709</v>
      </c>
      <c r="AJ38" s="89" vm="138">
        <f ca="1"/>
        <v>1003.15</v>
      </c>
      <c r="AN38" s="1322"/>
      <c r="AO38" s="1312" cm="1">
        <f t="array" aca="1" ref="AO38" ca="1">IFERROR(INDEX($AR38:$BS38,
       MATCH(TRUE,
             (($AQ38=LastMark3)*
              (RIGHT($AR$35:$BS$35,3)=RIGHT(LastMark3,2)&amp;"U")*
              ($AR38:$BS38&gt;0))&gt;0,
       0)),0)</f>
        <v>0</v>
      </c>
      <c r="AP38" s="902">
        <f ca="1">SUM(AR8:INDEX(8:8, COLUMN($AR8) +$AQ$35 - 1))</f>
        <v>5</v>
      </c>
      <c r="AQ38" s="1359" t="str">
        <f t="shared" ca="1" si="15"/>
        <v>UZD</v>
      </c>
      <c r="AR38" s="1352">
        <f t="shared" ref="AR38:BR38" ca="1" si="18">IF(AR8=0,0,AR8/$AP38)</f>
        <v>0</v>
      </c>
      <c r="AS38" s="1353">
        <f t="shared" ca="1" si="18"/>
        <v>0.4</v>
      </c>
      <c r="AT38" s="1353">
        <f t="shared" ca="1" si="18"/>
        <v>0</v>
      </c>
      <c r="AU38" s="1353">
        <f t="shared" ca="1" si="18"/>
        <v>0</v>
      </c>
      <c r="AV38" s="1353">
        <f t="shared" ca="1" si="18"/>
        <v>0</v>
      </c>
      <c r="AW38" s="1353">
        <f t="shared" ca="1" si="18"/>
        <v>0</v>
      </c>
      <c r="AX38" s="1353">
        <f t="shared" ca="1" si="18"/>
        <v>0.2</v>
      </c>
      <c r="AY38" s="1353">
        <f t="shared" ca="1" si="18"/>
        <v>0</v>
      </c>
      <c r="AZ38" s="1353">
        <f t="shared" ca="1" si="18"/>
        <v>0</v>
      </c>
      <c r="BA38" s="1353">
        <f t="shared" ca="1" si="18"/>
        <v>0</v>
      </c>
      <c r="BB38" s="1353">
        <f t="shared" ca="1" si="18"/>
        <v>0</v>
      </c>
      <c r="BC38" s="1353">
        <f t="shared" ca="1" si="18"/>
        <v>0</v>
      </c>
      <c r="BD38" s="1353">
        <f t="shared" ca="1" si="18"/>
        <v>0</v>
      </c>
      <c r="BE38" s="1353">
        <f t="shared" ca="1" si="18"/>
        <v>0</v>
      </c>
      <c r="BF38" s="1353">
        <f t="shared" ca="1" si="18"/>
        <v>0</v>
      </c>
      <c r="BG38" s="1353">
        <f t="shared" ca="1" si="18"/>
        <v>0</v>
      </c>
      <c r="BH38" s="1353">
        <f t="shared" ca="1" si="18"/>
        <v>0</v>
      </c>
      <c r="BI38" s="1353">
        <f t="shared" ca="1" si="18"/>
        <v>0</v>
      </c>
      <c r="BJ38" s="1353">
        <f t="shared" ca="1" si="18"/>
        <v>0</v>
      </c>
      <c r="BK38" s="1353">
        <f t="shared" ca="1" si="18"/>
        <v>0</v>
      </c>
      <c r="BL38" s="1353">
        <f t="shared" ca="1" si="18"/>
        <v>0</v>
      </c>
      <c r="BM38" s="1353">
        <f t="shared" ca="1" si="18"/>
        <v>0</v>
      </c>
      <c r="BN38" s="1353">
        <f t="shared" ca="1" si="18"/>
        <v>0</v>
      </c>
      <c r="BO38" s="1353">
        <f t="shared" ca="1" si="18"/>
        <v>0</v>
      </c>
      <c r="BP38" s="1353">
        <f t="shared" ca="1" si="18"/>
        <v>0.4</v>
      </c>
      <c r="BQ38" s="1353">
        <f t="shared" ca="1" si="18"/>
        <v>0</v>
      </c>
      <c r="BR38" s="1353">
        <f t="shared" si="18"/>
        <v>0</v>
      </c>
      <c r="BS38" s="1353">
        <f t="shared" ref="BS38" si="19">IF(BS8=0,0,BS8/$AP38)</f>
        <v>0</v>
      </c>
      <c r="BT38" s="1353"/>
      <c r="BU38" s="1353"/>
      <c r="BV38" s="1353"/>
      <c r="BW38" s="1353"/>
    </row>
    <row r="39" spans="2:75" ht="23" thickBot="1">
      <c r="B39" s="89" vm="139">
        <f ca="1"/>
        <v>45908</v>
      </c>
      <c r="C39" s="89" vm="140">
        <f ca="1"/>
        <v>1244.76</v>
      </c>
      <c r="D39" s="1335">
        <f t="shared" ca="1" si="0"/>
        <v>7.5573636056668536E-4</v>
      </c>
      <c r="E39" s="296" t="str" cm="1">
        <f t="array" aca="1" ref="E39" ca="1">_xlfn.IFS(D39&gt;0.5%,"U",D39&lt;=-0.5%,"D",TRUE,"Z")</f>
        <v>Z</v>
      </c>
      <c r="F39" s="296" t="str">
        <f t="shared" ca="1" si="3"/>
        <v>DZ</v>
      </c>
      <c r="G39" s="296" t="str">
        <f t="shared" ca="1" si="4"/>
        <v>UDZ</v>
      </c>
      <c r="H39" s="898" t="str">
        <f t="shared" ca="1" si="5"/>
        <v/>
      </c>
      <c r="T39" s="898">
        <f t="shared" ca="1" si="1"/>
        <v>8</v>
      </c>
      <c r="U39" s="898">
        <f t="shared" ca="1" si="14"/>
        <v>14</v>
      </c>
      <c r="W39" s="951" t="s">
        <v>2329</v>
      </c>
      <c r="X39" s="938" t="e" cm="1">
        <f t="array" aca="1" ref="X39" ca="1">_xlfn.XLOOKUP(Last2Days&amp;"U",W29:AD29,_xlfn.ANCHORARRAY(W30))</f>
        <v>#N/A</v>
      </c>
      <c r="AA39" s="951" t="str">
        <f>X17</f>
        <v>Stationary P(U)</v>
      </c>
      <c r="AB39" s="938" t="e">
        <f ca="1">Y17</f>
        <v>#N/A</v>
      </c>
      <c r="AD39" s="940"/>
      <c r="AI39" s="89" vm="141">
        <f ca="1"/>
        <v>45712</v>
      </c>
      <c r="AJ39" s="89" vm="142">
        <f ca="1"/>
        <v>988.47</v>
      </c>
      <c r="AN39" s="1322"/>
      <c r="AO39" s="1312" cm="1">
        <f t="array" aca="1" ref="AO39" ca="1">IFERROR(INDEX($AR39:$BS39,
       MATCH(TRUE,
             (($AQ39=LastMark3)*
              (RIGHT($AR$35:$BS$35,3)=RIGHT(LastMark3,2)&amp;"U")*
              ($AR39:$BS39&gt;0))&gt;0,
       0)),0)</f>
        <v>0</v>
      </c>
      <c r="AP39" s="902">
        <f ca="1">SUM(AR9:INDEX(9:9, COLUMN($AR9) +$AQ$35 - 1))</f>
        <v>7</v>
      </c>
      <c r="AQ39" s="1359" t="str">
        <f t="shared" ca="1" si="15"/>
        <v>UUZ</v>
      </c>
      <c r="AR39" s="1352">
        <f t="shared" ref="AR39:BR39" ca="1" si="20">IF(AR9=0,0,AR9/$AP39)</f>
        <v>0</v>
      </c>
      <c r="AS39" s="1353">
        <f t="shared" ca="1" si="20"/>
        <v>0</v>
      </c>
      <c r="AT39" s="1353">
        <f t="shared" ca="1" si="20"/>
        <v>0.2857142857142857</v>
      </c>
      <c r="AU39" s="1353">
        <f t="shared" ca="1" si="20"/>
        <v>0</v>
      </c>
      <c r="AV39" s="1353">
        <f t="shared" ca="1" si="20"/>
        <v>0</v>
      </c>
      <c r="AW39" s="1353">
        <f t="shared" ca="1" si="20"/>
        <v>0</v>
      </c>
      <c r="AX39" s="1353">
        <f t="shared" ca="1" si="20"/>
        <v>0</v>
      </c>
      <c r="AY39" s="1353">
        <f t="shared" ca="1" si="20"/>
        <v>0</v>
      </c>
      <c r="AZ39" s="1353">
        <f t="shared" ca="1" si="20"/>
        <v>0</v>
      </c>
      <c r="BA39" s="1353">
        <f t="shared" ca="1" si="20"/>
        <v>0</v>
      </c>
      <c r="BB39" s="1353">
        <f t="shared" ca="1" si="20"/>
        <v>0</v>
      </c>
      <c r="BC39" s="1353">
        <f t="shared" ca="1" si="20"/>
        <v>0</v>
      </c>
      <c r="BD39" s="1353">
        <f t="shared" ca="1" si="20"/>
        <v>0</v>
      </c>
      <c r="BE39" s="1353">
        <f t="shared" ca="1" si="20"/>
        <v>0</v>
      </c>
      <c r="BF39" s="1353">
        <f t="shared" ca="1" si="20"/>
        <v>0</v>
      </c>
      <c r="BG39" s="1353">
        <f t="shared" ca="1" si="20"/>
        <v>0</v>
      </c>
      <c r="BH39" s="1353">
        <f t="shared" ca="1" si="20"/>
        <v>0</v>
      </c>
      <c r="BI39" s="1353">
        <f t="shared" ca="1" si="20"/>
        <v>0</v>
      </c>
      <c r="BJ39" s="1353">
        <f t="shared" ca="1" si="20"/>
        <v>0.7142857142857143</v>
      </c>
      <c r="BK39" s="1353">
        <f t="shared" ca="1" si="20"/>
        <v>0</v>
      </c>
      <c r="BL39" s="1353">
        <f t="shared" ca="1" si="20"/>
        <v>0</v>
      </c>
      <c r="BM39" s="1353">
        <f t="shared" ca="1" si="20"/>
        <v>0</v>
      </c>
      <c r="BN39" s="1353">
        <f t="shared" ca="1" si="20"/>
        <v>0</v>
      </c>
      <c r="BO39" s="1353">
        <f t="shared" ca="1" si="20"/>
        <v>0</v>
      </c>
      <c r="BP39" s="1353">
        <f t="shared" ca="1" si="20"/>
        <v>0</v>
      </c>
      <c r="BQ39" s="1353">
        <f t="shared" ca="1" si="20"/>
        <v>0</v>
      </c>
      <c r="BR39" s="1353">
        <f t="shared" si="20"/>
        <v>0</v>
      </c>
      <c r="BS39" s="1353">
        <f t="shared" ref="BS39" si="21">IF(BS9=0,0,BS9/$AP39)</f>
        <v>0</v>
      </c>
      <c r="BT39" s="1353"/>
      <c r="BU39" s="1353"/>
      <c r="BV39" s="1353"/>
      <c r="BW39" s="1353"/>
    </row>
    <row r="40" spans="2:75" ht="23" thickBot="1">
      <c r="B40" s="89" vm="143">
        <f ca="1"/>
        <v>45905</v>
      </c>
      <c r="C40" s="89" vm="144">
        <f ca="1"/>
        <v>1243.82</v>
      </c>
      <c r="D40" s="1335">
        <f t="shared" ca="1" si="0"/>
        <v>-1.0862995832935778E-2</v>
      </c>
      <c r="E40" s="296" t="str" cm="1">
        <f t="array" aca="1" ref="E40" ca="1">_xlfn.IFS(D40&gt;0.5%,"U",D40&lt;=-0.5%,"D",TRUE,"Z")</f>
        <v>D</v>
      </c>
      <c r="F40" s="296" t="str">
        <f t="shared" ca="1" si="3"/>
        <v>UD</v>
      </c>
      <c r="G40" s="296" t="str">
        <f t="shared" ca="1" si="4"/>
        <v>UUD</v>
      </c>
      <c r="H40" s="898" t="str">
        <f t="shared" ca="1" si="5"/>
        <v/>
      </c>
      <c r="I40" s="902">
        <v>120</v>
      </c>
      <c r="J40" s="898" t="s">
        <v>2317</v>
      </c>
      <c r="T40" s="898">
        <f t="shared" ca="1" si="1"/>
        <v>8</v>
      </c>
      <c r="U40" s="898">
        <f t="shared" ca="1" si="14"/>
        <v>14</v>
      </c>
      <c r="W40" s="936" t="str">
        <f ca="1">Last2Days&amp;" ==&gt;Up"</f>
        <v>ZD ==&gt;Up</v>
      </c>
      <c r="AA40" s="936" t="str">
        <f ca="1">W40</f>
        <v>ZD ==&gt;Up</v>
      </c>
      <c r="AD40" s="940"/>
      <c r="AI40" s="89" vm="145">
        <f ca="1"/>
        <v>45713</v>
      </c>
      <c r="AJ40" s="89" vm="146">
        <f ca="1"/>
        <v>977.24</v>
      </c>
      <c r="AN40" s="1322"/>
      <c r="AO40" s="1312" cm="1">
        <f t="array" aca="1" ref="AO40" ca="1">IFERROR(INDEX($AR40:$BS40,
       MATCH(TRUE,
             (($AQ40=LastMark3)*
              (RIGHT($AR$35:$BS$35,3)=RIGHT(LastMark3,2)&amp;"U")*
              ($AR40:$BS40&gt;0))&gt;0,
       0)),0)</f>
        <v>0</v>
      </c>
      <c r="AP40" s="902">
        <f ca="1">SUM(AR10:INDEX(10:10, COLUMN($AR10) +$AQ$35 - 1))</f>
        <v>7</v>
      </c>
      <c r="AQ40" s="1359" t="str">
        <f t="shared" ca="1" si="15"/>
        <v>DUU</v>
      </c>
      <c r="AR40" s="1352">
        <f t="shared" ref="AR40:BR40" ca="1" si="22">IF(AR10=0,0,AR10/$AP40)</f>
        <v>0</v>
      </c>
      <c r="AS40" s="1353">
        <f t="shared" ca="1" si="22"/>
        <v>0</v>
      </c>
      <c r="AT40" s="1353">
        <f t="shared" ca="1" si="22"/>
        <v>0</v>
      </c>
      <c r="AU40" s="1353">
        <f t="shared" ca="1" si="22"/>
        <v>0.42857142857142855</v>
      </c>
      <c r="AV40" s="1353">
        <f t="shared" ca="1" si="22"/>
        <v>0</v>
      </c>
      <c r="AW40" s="1353">
        <f t="shared" ca="1" si="22"/>
        <v>0</v>
      </c>
      <c r="AX40" s="1353">
        <f t="shared" ca="1" si="22"/>
        <v>0</v>
      </c>
      <c r="AY40" s="1353">
        <f t="shared" ca="1" si="22"/>
        <v>0</v>
      </c>
      <c r="AZ40" s="1353">
        <f t="shared" ca="1" si="22"/>
        <v>0</v>
      </c>
      <c r="BA40" s="1353">
        <f t="shared" ca="1" si="22"/>
        <v>0</v>
      </c>
      <c r="BB40" s="1353">
        <f t="shared" ca="1" si="22"/>
        <v>0</v>
      </c>
      <c r="BC40" s="1353">
        <f t="shared" ca="1" si="22"/>
        <v>0.5714285714285714</v>
      </c>
      <c r="BD40" s="1353">
        <f t="shared" ca="1" si="22"/>
        <v>0</v>
      </c>
      <c r="BE40" s="1353">
        <f t="shared" ca="1" si="22"/>
        <v>0</v>
      </c>
      <c r="BF40" s="1353">
        <f t="shared" ca="1" si="22"/>
        <v>0</v>
      </c>
      <c r="BG40" s="1353">
        <f t="shared" ca="1" si="22"/>
        <v>0</v>
      </c>
      <c r="BH40" s="1353">
        <f t="shared" ca="1" si="22"/>
        <v>0</v>
      </c>
      <c r="BI40" s="1353">
        <f t="shared" ca="1" si="22"/>
        <v>0</v>
      </c>
      <c r="BJ40" s="1353">
        <f t="shared" ca="1" si="22"/>
        <v>0</v>
      </c>
      <c r="BK40" s="1353">
        <f t="shared" ca="1" si="22"/>
        <v>0</v>
      </c>
      <c r="BL40" s="1353">
        <f t="shared" ca="1" si="22"/>
        <v>0</v>
      </c>
      <c r="BM40" s="1353">
        <f t="shared" ca="1" si="22"/>
        <v>0</v>
      </c>
      <c r="BN40" s="1353">
        <f t="shared" ca="1" si="22"/>
        <v>0</v>
      </c>
      <c r="BO40" s="1353">
        <f t="shared" ca="1" si="22"/>
        <v>0</v>
      </c>
      <c r="BP40" s="1353">
        <f t="shared" ca="1" si="22"/>
        <v>0</v>
      </c>
      <c r="BQ40" s="1353">
        <f t="shared" ca="1" si="22"/>
        <v>0</v>
      </c>
      <c r="BR40" s="1353">
        <f t="shared" si="22"/>
        <v>0</v>
      </c>
      <c r="BS40" s="1353">
        <f t="shared" ref="BS40" si="23">IF(BS10=0,0,BS10/$AP40)</f>
        <v>0</v>
      </c>
      <c r="BT40" s="1353"/>
      <c r="BU40" s="1353"/>
      <c r="BV40" s="1353"/>
      <c r="BW40" s="1353"/>
    </row>
    <row r="41" spans="2:75">
      <c r="B41" s="89" vm="147">
        <f ca="1"/>
        <v>45904</v>
      </c>
      <c r="C41" s="89" vm="148">
        <f ca="1"/>
        <v>1257.48</v>
      </c>
      <c r="D41" s="1335">
        <f t="shared" ca="1" si="0"/>
        <v>2.5526431682134722E-2</v>
      </c>
      <c r="E41" s="296" t="str" cm="1">
        <f t="array" aca="1" ref="E41" ca="1">_xlfn.IFS(D41&gt;0.5%,"U",D41&lt;=-0.5%,"D",TRUE,"Z")</f>
        <v>U</v>
      </c>
      <c r="F41" s="296" t="str">
        <f t="shared" ca="1" si="3"/>
        <v>UU</v>
      </c>
      <c r="G41" s="296" t="str">
        <f t="shared" ca="1" si="4"/>
        <v>ZUU</v>
      </c>
      <c r="H41" s="898" t="str">
        <f t="shared" ca="1" si="5"/>
        <v/>
      </c>
      <c r="I41" s="909"/>
      <c r="J41" s="912">
        <f ca="1">COUNTIF($G5:$G145,J42)</f>
        <v>4</v>
      </c>
      <c r="K41" s="913">
        <f t="shared" ref="K41:Q41" ca="1" si="24">COUNTIF($G5:$G145,K42)</f>
        <v>7</v>
      </c>
      <c r="L41" s="913">
        <f t="shared" ca="1" si="24"/>
        <v>4</v>
      </c>
      <c r="M41" s="913">
        <f t="shared" ca="1" si="24"/>
        <v>6</v>
      </c>
      <c r="N41" s="913">
        <f t="shared" ca="1" si="24"/>
        <v>6</v>
      </c>
      <c r="O41" s="913">
        <f t="shared" ca="1" si="24"/>
        <v>5</v>
      </c>
      <c r="P41" s="913">
        <f t="shared" ca="1" si="24"/>
        <v>6</v>
      </c>
      <c r="Q41" s="914">
        <f t="shared" ca="1" si="24"/>
        <v>11</v>
      </c>
      <c r="R41" s="915">
        <f ca="1">SUM(J41:Q41)</f>
        <v>49</v>
      </c>
      <c r="T41" s="898">
        <f t="shared" ca="1" si="1"/>
        <v>8</v>
      </c>
      <c r="U41" s="898">
        <f t="shared" ca="1" si="14"/>
        <v>14</v>
      </c>
      <c r="W41" s="952" t="s">
        <v>2330</v>
      </c>
      <c r="X41" s="1071" t="s">
        <v>2354</v>
      </c>
      <c r="Y41" s="1070" t="s">
        <v>1898</v>
      </c>
      <c r="AA41" s="952" t="str">
        <f>W18</f>
        <v>P(Up) [%]</v>
      </c>
      <c r="AB41" s="1071" t="s">
        <v>2354</v>
      </c>
      <c r="AC41" s="1070" t="str">
        <f>Y18</f>
        <v>%</v>
      </c>
      <c r="AI41" s="89" vm="149">
        <f ca="1"/>
        <v>45714</v>
      </c>
      <c r="AJ41" s="89" vm="150">
        <f ca="1"/>
        <v>990.06</v>
      </c>
      <c r="AN41" s="1322"/>
      <c r="AO41" s="1312" cm="1">
        <f t="array" aca="1" ref="AO41" ca="1">IFERROR(INDEX($AR41:$BS41,
       MATCH(TRUE,
             (($AQ41=LastMark3)*
              (RIGHT($AR$35:$BS$35,3)=RIGHT(LastMark3,2)&amp;"U")*
              ($AR41:$BS41&gt;0))&gt;0,
       0)),0)</f>
        <v>0</v>
      </c>
      <c r="AP41" s="902">
        <f ca="1">SUM(AR11:INDEX(11:11, COLUMN($AR11) +$AQ$35 - 1))</f>
        <v>7</v>
      </c>
      <c r="AQ41" s="1359" t="str">
        <f t="shared" ca="1" si="15"/>
        <v>DDU</v>
      </c>
      <c r="AR41" s="1352">
        <f t="shared" ref="AR41:BR41" ca="1" si="25">IF(AR11=0,0,AR11/$AP41)</f>
        <v>0</v>
      </c>
      <c r="AS41" s="1353">
        <f t="shared" ca="1" si="25"/>
        <v>0</v>
      </c>
      <c r="AT41" s="1353">
        <f t="shared" ca="1" si="25"/>
        <v>0</v>
      </c>
      <c r="AU41" s="1353">
        <f t="shared" ca="1" si="25"/>
        <v>0</v>
      </c>
      <c r="AV41" s="1353">
        <f t="shared" ca="1" si="25"/>
        <v>0.2857142857142857</v>
      </c>
      <c r="AW41" s="1353">
        <f t="shared" ca="1" si="25"/>
        <v>0</v>
      </c>
      <c r="AX41" s="1353">
        <f t="shared" ca="1" si="25"/>
        <v>0</v>
      </c>
      <c r="AY41" s="1353">
        <f t="shared" ca="1" si="25"/>
        <v>0</v>
      </c>
      <c r="AZ41" s="1353">
        <f t="shared" ca="1" si="25"/>
        <v>0</v>
      </c>
      <c r="BA41" s="1353">
        <f t="shared" ca="1" si="25"/>
        <v>0</v>
      </c>
      <c r="BB41" s="1353">
        <f t="shared" ca="1" si="25"/>
        <v>0</v>
      </c>
      <c r="BC41" s="1353">
        <f t="shared" ca="1" si="25"/>
        <v>0</v>
      </c>
      <c r="BD41" s="1353">
        <f t="shared" ca="1" si="25"/>
        <v>0</v>
      </c>
      <c r="BE41" s="1353">
        <f t="shared" ca="1" si="25"/>
        <v>0</v>
      </c>
      <c r="BF41" s="1353">
        <f t="shared" ca="1" si="25"/>
        <v>0</v>
      </c>
      <c r="BG41" s="1353">
        <f t="shared" ca="1" si="25"/>
        <v>0.42857142857142855</v>
      </c>
      <c r="BH41" s="1353">
        <f t="shared" ca="1" si="25"/>
        <v>0</v>
      </c>
      <c r="BI41" s="1353">
        <f t="shared" ca="1" si="25"/>
        <v>0</v>
      </c>
      <c r="BJ41" s="1353">
        <f t="shared" ca="1" si="25"/>
        <v>0</v>
      </c>
      <c r="BK41" s="1353">
        <f t="shared" ca="1" si="25"/>
        <v>0</v>
      </c>
      <c r="BL41" s="1353">
        <f t="shared" ca="1" si="25"/>
        <v>0</v>
      </c>
      <c r="BM41" s="1353">
        <f t="shared" ca="1" si="25"/>
        <v>0</v>
      </c>
      <c r="BN41" s="1353">
        <f t="shared" ca="1" si="25"/>
        <v>0</v>
      </c>
      <c r="BO41" s="1353">
        <f t="shared" ca="1" si="25"/>
        <v>0.2857142857142857</v>
      </c>
      <c r="BP41" s="1353">
        <f t="shared" ca="1" si="25"/>
        <v>0</v>
      </c>
      <c r="BQ41" s="1353">
        <f t="shared" ca="1" si="25"/>
        <v>0</v>
      </c>
      <c r="BR41" s="1353">
        <f t="shared" si="25"/>
        <v>0</v>
      </c>
      <c r="BS41" s="1353">
        <f t="shared" ref="BS41" si="26">IF(BS11=0,0,BS11/$AP41)</f>
        <v>0</v>
      </c>
      <c r="BT41" s="1353"/>
      <c r="BU41" s="1353"/>
      <c r="BV41" s="1353"/>
      <c r="BW41" s="1353"/>
    </row>
    <row r="42" spans="2:75" ht="23" thickBot="1">
      <c r="B42" s="89" vm="151">
        <f ca="1"/>
        <v>45903</v>
      </c>
      <c r="C42" s="89" vm="152">
        <f ca="1"/>
        <v>1226.18</v>
      </c>
      <c r="D42" s="1335">
        <f t="shared" ca="1" si="0"/>
        <v>9.9414385846423835E-3</v>
      </c>
      <c r="E42" s="296" t="str" cm="1">
        <f t="array" aca="1" ref="E42" ca="1">_xlfn.IFS(D42&gt;0.5%,"U",D42&lt;=-0.5%,"D",TRUE,"Z")</f>
        <v>U</v>
      </c>
      <c r="F42" s="296" t="str">
        <f t="shared" ca="1" si="3"/>
        <v>ZU</v>
      </c>
      <c r="G42" s="296" t="str">
        <f t="shared" ca="1" si="4"/>
        <v>DZU</v>
      </c>
      <c r="H42" s="898" t="str">
        <f t="shared" ca="1" si="5"/>
        <v/>
      </c>
      <c r="I42" s="916"/>
      <c r="J42" s="917" t="s">
        <v>11</v>
      </c>
      <c r="K42" s="918" t="s">
        <v>2318</v>
      </c>
      <c r="L42" s="918" t="s">
        <v>2319</v>
      </c>
      <c r="M42" s="918" t="s">
        <v>2320</v>
      </c>
      <c r="N42" s="918" t="s">
        <v>2321</v>
      </c>
      <c r="O42" s="918" t="s">
        <v>2322</v>
      </c>
      <c r="P42" s="918" t="s">
        <v>2323</v>
      </c>
      <c r="Q42" s="919" t="s">
        <v>2324</v>
      </c>
      <c r="R42" s="916">
        <f ca="1">SUM(J43:Q50)</f>
        <v>33</v>
      </c>
      <c r="S42" s="898" t="str" cm="1">
        <f t="array" aca="1" ref="S42:S68" ca="1">_xlfn.UNIQUE(G5:G157)</f>
        <v>DZD</v>
      </c>
      <c r="T42" s="898">
        <f t="shared" ca="1" si="1"/>
        <v>8</v>
      </c>
      <c r="U42" s="898">
        <f t="shared" ca="1" si="14"/>
        <v>14</v>
      </c>
      <c r="W42" s="1013" t="e">
        <f ca="1">X39*Y36</f>
        <v>#N/A</v>
      </c>
      <c r="X42" s="1069">
        <f ca="1">COUNTIF(G5:G25,"??U")</f>
        <v>6</v>
      </c>
      <c r="Y42" s="958">
        <f ca="1">X42/(X42+X47)</f>
        <v>0.4</v>
      </c>
      <c r="AA42" s="1013" t="e">
        <f ca="1">W19</f>
        <v>#N/A</v>
      </c>
      <c r="AB42" s="1069">
        <f ca="1">X19</f>
        <v>64</v>
      </c>
      <c r="AC42" s="958">
        <f ca="1">AB42/(AB42+AB47)</f>
        <v>0.58715596330275233</v>
      </c>
      <c r="AI42" s="89" vm="153">
        <f ca="1"/>
        <v>45715</v>
      </c>
      <c r="AJ42" s="89" vm="154">
        <f ca="1"/>
        <v>963.07</v>
      </c>
      <c r="AN42" s="1322"/>
      <c r="AO42" s="1312" cm="1">
        <f t="array" aca="1" ref="AO42" ca="1">IFERROR(INDEX($AR42:$BS42,
       MATCH(TRUE,
             (($AQ42=LastMark3)*
              (RIGHT($AR$35:$BS$35,3)=RIGHT(LastMark3,2)&amp;"U")*
              ($AR42:$BS42&gt;0))&gt;0,
       0)),0)</f>
        <v>0</v>
      </c>
      <c r="AP42" s="902">
        <f ca="1">SUM(AR12:INDEX(12:12, COLUMN($AR12) +$AQ$35 - 1))</f>
        <v>3</v>
      </c>
      <c r="AQ42" s="1359" t="str">
        <f t="shared" ca="1" si="15"/>
        <v>ZDD</v>
      </c>
      <c r="AR42" s="1352">
        <f t="shared" ref="AR42:BR42" ca="1" si="27">IF(AR12=0,0,AR12/$AP42)</f>
        <v>0</v>
      </c>
      <c r="AS42" s="1353">
        <f t="shared" ca="1" si="27"/>
        <v>0</v>
      </c>
      <c r="AT42" s="1353">
        <f t="shared" ca="1" si="27"/>
        <v>0</v>
      </c>
      <c r="AU42" s="1353">
        <f t="shared" ca="1" si="27"/>
        <v>0</v>
      </c>
      <c r="AV42" s="1353">
        <f t="shared" ca="1" si="27"/>
        <v>0</v>
      </c>
      <c r="AW42" s="1353">
        <f t="shared" ca="1" si="27"/>
        <v>0.33333333333333331</v>
      </c>
      <c r="AX42" s="1353">
        <f t="shared" ca="1" si="27"/>
        <v>0</v>
      </c>
      <c r="AY42" s="1353">
        <f t="shared" ca="1" si="27"/>
        <v>0</v>
      </c>
      <c r="AZ42" s="1353">
        <f t="shared" ca="1" si="27"/>
        <v>0</v>
      </c>
      <c r="BA42" s="1353">
        <f t="shared" ca="1" si="27"/>
        <v>0</v>
      </c>
      <c r="BB42" s="1353">
        <f t="shared" ca="1" si="27"/>
        <v>0</v>
      </c>
      <c r="BC42" s="1353">
        <f t="shared" ca="1" si="27"/>
        <v>0</v>
      </c>
      <c r="BD42" s="1353">
        <f t="shared" ca="1" si="27"/>
        <v>0.33333333333333331</v>
      </c>
      <c r="BE42" s="1353">
        <f t="shared" ca="1" si="27"/>
        <v>0</v>
      </c>
      <c r="BF42" s="1353">
        <f t="shared" ca="1" si="27"/>
        <v>0.33333333333333331</v>
      </c>
      <c r="BG42" s="1353">
        <f t="shared" ca="1" si="27"/>
        <v>0</v>
      </c>
      <c r="BH42" s="1353">
        <f t="shared" ca="1" si="27"/>
        <v>0</v>
      </c>
      <c r="BI42" s="1353">
        <f t="shared" ca="1" si="27"/>
        <v>0</v>
      </c>
      <c r="BJ42" s="1353">
        <f t="shared" ca="1" si="27"/>
        <v>0</v>
      </c>
      <c r="BK42" s="1353">
        <f t="shared" ca="1" si="27"/>
        <v>0</v>
      </c>
      <c r="BL42" s="1353">
        <f t="shared" ca="1" si="27"/>
        <v>0</v>
      </c>
      <c r="BM42" s="1353">
        <f t="shared" ca="1" si="27"/>
        <v>0</v>
      </c>
      <c r="BN42" s="1353">
        <f t="shared" ca="1" si="27"/>
        <v>0</v>
      </c>
      <c r="BO42" s="1353">
        <f t="shared" ca="1" si="27"/>
        <v>0</v>
      </c>
      <c r="BP42" s="1353">
        <f t="shared" ca="1" si="27"/>
        <v>0</v>
      </c>
      <c r="BQ42" s="1353">
        <f t="shared" ca="1" si="27"/>
        <v>0</v>
      </c>
      <c r="BR42" s="1353">
        <f t="shared" si="27"/>
        <v>0</v>
      </c>
      <c r="BS42" s="1353">
        <f t="shared" ref="BS42" si="28">IF(BS12=0,0,BS12/$AP42)</f>
        <v>0</v>
      </c>
      <c r="BT42" s="1353"/>
      <c r="BU42" s="1353"/>
      <c r="BV42" s="1353"/>
      <c r="BW42" s="1353"/>
    </row>
    <row r="43" spans="2:75" ht="23" thickBot="1">
      <c r="B43" s="89" vm="155">
        <f ca="1"/>
        <v>45902</v>
      </c>
      <c r="C43" s="89" vm="156">
        <f ca="1"/>
        <v>1214.1099999999999</v>
      </c>
      <c r="D43" s="1335">
        <f t="shared" ca="1" si="0"/>
        <v>4.8499896544588455E-3</v>
      </c>
      <c r="E43" s="296" t="str" cm="1">
        <f t="array" aca="1" ref="E43" ca="1">_xlfn.IFS(D43&gt;0.5%,"U",D43&lt;=-0.5%,"D",TRUE,"Z")</f>
        <v>Z</v>
      </c>
      <c r="F43" s="296" t="str">
        <f t="shared" ca="1" si="3"/>
        <v>DZ</v>
      </c>
      <c r="G43" s="296" t="str">
        <f t="shared" ca="1" si="4"/>
        <v>UDZ</v>
      </c>
      <c r="H43" s="898" t="str">
        <f t="shared" ca="1" si="5"/>
        <v/>
      </c>
      <c r="I43" s="909" t="s">
        <v>11</v>
      </c>
      <c r="J43" s="902" cm="1">
        <f t="array" aca="1" ref="J43" ca="1">SUM( --( ($G$6:$G$155=$I43) * ($G$5:$G$154=J$42) ) )</f>
        <v>1</v>
      </c>
      <c r="K43" s="902" cm="1">
        <f t="array" aca="1" ref="K43" ca="1">SUM( --( ($G$6:$G$155=$I43) * ($G$5:$G$154=K$42) ) )</f>
        <v>3</v>
      </c>
      <c r="L43" s="902" cm="1">
        <f t="array" aca="1" ref="L43" ca="1">SUM( --( ($G$6:$G$155=$I43) * ($G$5:$G$154=L$42) ) )</f>
        <v>0</v>
      </c>
      <c r="M43" s="902" cm="1">
        <f t="array" aca="1" ref="M43" ca="1">SUM( --( ($G$6:$G$155=$I43) * ($G$5:$G$154=M$42) ) )</f>
        <v>0</v>
      </c>
      <c r="N43" s="902" cm="1">
        <f t="array" aca="1" ref="N43" ca="1">SUM( --( ($G$6:$G$155=$I43) * ($G$5:$G$154=N$42) ) )</f>
        <v>0</v>
      </c>
      <c r="O43" s="902" cm="1">
        <f t="array" aca="1" ref="O43" ca="1">SUM( --( ($G$6:$G$155=$I43) * ($G$5:$G$154=O$42) ) )</f>
        <v>0</v>
      </c>
      <c r="P43" s="902" cm="1">
        <f t="array" aca="1" ref="P43" ca="1">SUM( --( ($G$6:$G$155=$I43) * ($G$5:$G$154=P$42) ) )</f>
        <v>0</v>
      </c>
      <c r="Q43" s="902" cm="1">
        <f t="array" aca="1" ref="Q43" ca="1">SUM( --( ($G$6:$G$155=$I43) * ($G$5:$G$154=Q$42) ) )</f>
        <v>0</v>
      </c>
      <c r="R43" s="902">
        <f ca="1">SUM(J43:Q43)</f>
        <v>4</v>
      </c>
      <c r="S43" s="898" t="str">
        <f ca="1"/>
        <v>ZDZ</v>
      </c>
      <c r="T43" s="898">
        <f t="shared" ca="1" si="1"/>
        <v>9</v>
      </c>
      <c r="U43" s="898">
        <f t="shared" ca="1" si="14"/>
        <v>13</v>
      </c>
      <c r="AI43" s="89" vm="157">
        <f ca="1"/>
        <v>45716</v>
      </c>
      <c r="AJ43" s="89" vm="158">
        <f ca="1"/>
        <v>980.56</v>
      </c>
      <c r="AN43" s="1322"/>
      <c r="AO43" s="1312" cm="1">
        <f t="array" aca="1" ref="AO43" ca="1">IFERROR(INDEX($AR43:$BS43,
       MATCH(TRUE,
             (($AQ43=LastMark3)*
              (RIGHT($AR$35:$BS$35,3)=RIGHT(LastMark3,2)&amp;"U")*
              ($AR43:$BS43&gt;0))&gt;0,
       0)),0)</f>
        <v>0</v>
      </c>
      <c r="AP43" s="902">
        <f ca="1">SUM(AR13:INDEX(13:13, COLUMN($AR13) +$AQ$35 - 1))</f>
        <v>3</v>
      </c>
      <c r="AQ43" s="1359" t="str">
        <f t="shared" ca="1" si="15"/>
        <v>ZZD</v>
      </c>
      <c r="AR43" s="1352">
        <f t="shared" ref="AR43:BR43" ca="1" si="29">IF(AR13=0,0,AR13/$AP43)</f>
        <v>0</v>
      </c>
      <c r="AS43" s="1353">
        <f t="shared" ca="1" si="29"/>
        <v>0.33333333333333331</v>
      </c>
      <c r="AT43" s="1353">
        <f t="shared" ca="1" si="29"/>
        <v>0</v>
      </c>
      <c r="AU43" s="1353">
        <f t="shared" ca="1" si="29"/>
        <v>0</v>
      </c>
      <c r="AV43" s="1353">
        <f t="shared" ca="1" si="29"/>
        <v>0</v>
      </c>
      <c r="AW43" s="1353">
        <f t="shared" ca="1" si="29"/>
        <v>0</v>
      </c>
      <c r="AX43" s="1353">
        <f t="shared" ca="1" si="29"/>
        <v>0.66666666666666663</v>
      </c>
      <c r="AY43" s="1353">
        <f t="shared" ca="1" si="29"/>
        <v>0</v>
      </c>
      <c r="AZ43" s="1353">
        <f t="shared" ca="1" si="29"/>
        <v>0</v>
      </c>
      <c r="BA43" s="1353">
        <f t="shared" ca="1" si="29"/>
        <v>0</v>
      </c>
      <c r="BB43" s="1353">
        <f t="shared" ca="1" si="29"/>
        <v>0</v>
      </c>
      <c r="BC43" s="1353">
        <f t="shared" ca="1" si="29"/>
        <v>0</v>
      </c>
      <c r="BD43" s="1353">
        <f t="shared" ca="1" si="29"/>
        <v>0</v>
      </c>
      <c r="BE43" s="1353">
        <f t="shared" ca="1" si="29"/>
        <v>0</v>
      </c>
      <c r="BF43" s="1353">
        <f t="shared" ca="1" si="29"/>
        <v>0</v>
      </c>
      <c r="BG43" s="1353">
        <f t="shared" ca="1" si="29"/>
        <v>0</v>
      </c>
      <c r="BH43" s="1353">
        <f t="shared" ca="1" si="29"/>
        <v>0</v>
      </c>
      <c r="BI43" s="1353">
        <f t="shared" ca="1" si="29"/>
        <v>0</v>
      </c>
      <c r="BJ43" s="1353">
        <f t="shared" ca="1" si="29"/>
        <v>0</v>
      </c>
      <c r="BK43" s="1353">
        <f t="shared" ca="1" si="29"/>
        <v>0</v>
      </c>
      <c r="BL43" s="1353">
        <f t="shared" ca="1" si="29"/>
        <v>0</v>
      </c>
      <c r="BM43" s="1353">
        <f t="shared" ca="1" si="29"/>
        <v>0</v>
      </c>
      <c r="BN43" s="1353">
        <f t="shared" ca="1" si="29"/>
        <v>0</v>
      </c>
      <c r="BO43" s="1353">
        <f t="shared" ca="1" si="29"/>
        <v>0</v>
      </c>
      <c r="BP43" s="1353">
        <f t="shared" ca="1" si="29"/>
        <v>0</v>
      </c>
      <c r="BQ43" s="1353">
        <f t="shared" ca="1" si="29"/>
        <v>0</v>
      </c>
      <c r="BR43" s="1353">
        <f t="shared" si="29"/>
        <v>0</v>
      </c>
      <c r="BS43" s="1353">
        <f t="shared" ref="BS43" si="30">IF(BS13=0,0,BS13/$AP43)</f>
        <v>0</v>
      </c>
      <c r="BT43" s="1353"/>
      <c r="BU43" s="1353"/>
      <c r="BV43" s="1353"/>
      <c r="BW43" s="1353"/>
    </row>
    <row r="44" spans="2:75" ht="23" thickBot="1">
      <c r="B44" s="89" vm="159">
        <f ca="1"/>
        <v>45898</v>
      </c>
      <c r="C44" s="89" vm="160">
        <f ca="1"/>
        <v>1208.25</v>
      </c>
      <c r="D44" s="1335">
        <f t="shared" ca="1" si="0"/>
        <v>-1.8839579357667825E-2</v>
      </c>
      <c r="E44" s="296" t="str" cm="1">
        <f t="array" aca="1" ref="E44" ca="1">_xlfn.IFS(D44&gt;0.5%,"U",D44&lt;=-0.5%,"D",TRUE,"Z")</f>
        <v>D</v>
      </c>
      <c r="F44" s="296" t="str">
        <f t="shared" ca="1" si="3"/>
        <v>UD</v>
      </c>
      <c r="G44" s="296" t="str">
        <f t="shared" ca="1" si="4"/>
        <v>ZUD</v>
      </c>
      <c r="H44" s="898" t="str">
        <f t="shared" ca="1" si="5"/>
        <v/>
      </c>
      <c r="I44" s="909" t="s">
        <v>2318</v>
      </c>
      <c r="J44" s="902" cm="1">
        <f t="array" aca="1" ref="J44" ca="1">SUM( --( ($G$6:$G$155=$I44) * ($G$5:$G$154=J$42) ) )</f>
        <v>0</v>
      </c>
      <c r="K44" s="902" cm="1">
        <f t="array" aca="1" ref="K44" ca="1">SUM( --( ($G$6:$G$145=$I44) * ($G$5:$G$144=K$42) ) )</f>
        <v>0</v>
      </c>
      <c r="L44" s="902" cm="1">
        <f t="array" aca="1" ref="L44" ca="1">SUM( --( ($G$6:$G$145=$I44) * ($G$5:$G$144=L$42) ) )</f>
        <v>2</v>
      </c>
      <c r="M44" s="902" cm="1">
        <f t="array" aca="1" ref="M44" ca="1">SUM( --( ($G$6:$G$145=$I44) * ($G$5:$G$144=M$42) ) )</f>
        <v>2</v>
      </c>
      <c r="N44" s="902" cm="1">
        <f t="array" aca="1" ref="N44" ca="1">SUM( --( ($G$6:$G$145=$I44) * ($G$5:$G$144=N$42) ) )</f>
        <v>0</v>
      </c>
      <c r="O44" s="902" cm="1">
        <f t="array" aca="1" ref="O44" ca="1">SUM( --( ($G$6:$G$145=$I44) * ($G$5:$G$144=O$42) ) )</f>
        <v>0</v>
      </c>
      <c r="P44" s="902" cm="1">
        <f t="array" aca="1" ref="P44" ca="1">SUM( --( ($G$6:$G$145=$I44) * ($G$5:$G$144=P$42) ) )</f>
        <v>0</v>
      </c>
      <c r="Q44" s="902" cm="1">
        <f t="array" aca="1" ref="Q44" ca="1">SUM( --( ($G$6:$G$145=$I44) * ($G$5:$G$144=Q$42) ) )</f>
        <v>0</v>
      </c>
      <c r="R44" s="902">
        <f t="shared" ref="R44:R50" ca="1" si="31">SUM(J44:Q44)</f>
        <v>4</v>
      </c>
      <c r="S44" s="898" t="str">
        <f ca="1"/>
        <v>UZD</v>
      </c>
      <c r="T44" s="898">
        <f t="shared" ca="1" si="1"/>
        <v>10</v>
      </c>
      <c r="U44" s="898">
        <f t="shared" ca="1" si="14"/>
        <v>12</v>
      </c>
      <c r="W44" s="951" t="str">
        <f>X20</f>
        <v>Stationary P(D)</v>
      </c>
      <c r="X44" s="938" t="e" cm="1">
        <f t="array" aca="1" ref="X44" ca="1">_xlfn.XLOOKUP(W37&amp;"D",W29:AD29,_xlfn.ANCHORARRAY(W30))</f>
        <v>#N/A</v>
      </c>
      <c r="AA44" s="951" t="str">
        <f>X20</f>
        <v>Stationary P(D)</v>
      </c>
      <c r="AB44" s="938" t="e">
        <f ca="1">Y20</f>
        <v>#N/A</v>
      </c>
      <c r="AI44" s="89" vm="161">
        <f ca="1"/>
        <v>45719</v>
      </c>
      <c r="AJ44" s="89" vm="162">
        <f ca="1"/>
        <v>973.7</v>
      </c>
      <c r="AN44" s="1322"/>
      <c r="AO44" s="1312" cm="1">
        <f t="array" aca="1" ref="AO44" ca="1">IFERROR(INDEX($AR44:$BS44,
       MATCH(TRUE,
             (($AQ44=LastMark3)*
              (RIGHT($AR$35:$BS$35,3)=RIGHT(LastMark3,2)&amp;"U")*
              ($AR44:$BS44&gt;0))&gt;0,
       0)),0)</f>
        <v>0</v>
      </c>
      <c r="AP44" s="902">
        <f ca="1">SUM(AR14:INDEX(14:14, COLUMN($AR14) +$AQ$35 - 1))</f>
        <v>4</v>
      </c>
      <c r="AQ44" s="1359" t="str">
        <f t="shared" ca="1" si="15"/>
        <v>DZZ</v>
      </c>
      <c r="AR44" s="1352">
        <f t="shared" ref="AR44:BR44" ca="1" si="32">IF(AR14=0,0,AR14/$AP44)</f>
        <v>0</v>
      </c>
      <c r="AS44" s="1353">
        <f t="shared" ca="1" si="32"/>
        <v>0</v>
      </c>
      <c r="AT44" s="1353">
        <f t="shared" ca="1" si="32"/>
        <v>0</v>
      </c>
      <c r="AU44" s="1353">
        <f t="shared" ca="1" si="32"/>
        <v>0</v>
      </c>
      <c r="AV44" s="1353">
        <f t="shared" ca="1" si="32"/>
        <v>0</v>
      </c>
      <c r="AW44" s="1353">
        <f t="shared" ca="1" si="32"/>
        <v>0</v>
      </c>
      <c r="AX44" s="1353">
        <f t="shared" ca="1" si="32"/>
        <v>0</v>
      </c>
      <c r="AY44" s="1353">
        <f t="shared" ca="1" si="32"/>
        <v>0.25</v>
      </c>
      <c r="AZ44" s="1353">
        <f t="shared" ca="1" si="32"/>
        <v>0</v>
      </c>
      <c r="BA44" s="1353">
        <f t="shared" ca="1" si="32"/>
        <v>0</v>
      </c>
      <c r="BB44" s="1353">
        <f t="shared" ca="1" si="32"/>
        <v>0</v>
      </c>
      <c r="BC44" s="1353">
        <f t="shared" ca="1" si="32"/>
        <v>0</v>
      </c>
      <c r="BD44" s="1353">
        <f t="shared" ca="1" si="32"/>
        <v>0</v>
      </c>
      <c r="BE44" s="1353">
        <f t="shared" ca="1" si="32"/>
        <v>0.5</v>
      </c>
      <c r="BF44" s="1353">
        <f t="shared" ca="1" si="32"/>
        <v>0</v>
      </c>
      <c r="BG44" s="1353">
        <f t="shared" ca="1" si="32"/>
        <v>0</v>
      </c>
      <c r="BH44" s="1353">
        <f t="shared" ca="1" si="32"/>
        <v>0</v>
      </c>
      <c r="BI44" s="1353">
        <f t="shared" ca="1" si="32"/>
        <v>0</v>
      </c>
      <c r="BJ44" s="1353">
        <f t="shared" ca="1" si="32"/>
        <v>0</v>
      </c>
      <c r="BK44" s="1353">
        <f t="shared" ca="1" si="32"/>
        <v>0</v>
      </c>
      <c r="BL44" s="1353">
        <f t="shared" ca="1" si="32"/>
        <v>0</v>
      </c>
      <c r="BM44" s="1353">
        <f t="shared" ca="1" si="32"/>
        <v>0</v>
      </c>
      <c r="BN44" s="1353">
        <f t="shared" ca="1" si="32"/>
        <v>0.25</v>
      </c>
      <c r="BO44" s="1353">
        <f t="shared" ca="1" si="32"/>
        <v>0</v>
      </c>
      <c r="BP44" s="1353">
        <f t="shared" ca="1" si="32"/>
        <v>0</v>
      </c>
      <c r="BQ44" s="1353">
        <f t="shared" ca="1" si="32"/>
        <v>0</v>
      </c>
      <c r="BR44" s="1353">
        <f t="shared" si="32"/>
        <v>0</v>
      </c>
      <c r="BS44" s="1353">
        <f t="shared" ref="BS44" si="33">IF(BS14=0,0,BS14/$AP44)</f>
        <v>0</v>
      </c>
      <c r="BT44" s="1353"/>
      <c r="BU44" s="1353"/>
      <c r="BV44" s="1353"/>
      <c r="BW44" s="1353"/>
    </row>
    <row r="45" spans="2:75" ht="23" thickBot="1">
      <c r="B45" s="89" vm="163">
        <f ca="1"/>
        <v>45897</v>
      </c>
      <c r="C45" s="89" vm="164">
        <f ca="1"/>
        <v>1231.45</v>
      </c>
      <c r="D45" s="1335">
        <f t="shared" ca="1" si="0"/>
        <v>6.4977523498161386E-3</v>
      </c>
      <c r="E45" s="296" t="str" cm="1">
        <f t="array" aca="1" ref="E45" ca="1">_xlfn.IFS(D45&gt;0.5%,"U",D45&lt;=-0.5%,"D",TRUE,"Z")</f>
        <v>U</v>
      </c>
      <c r="F45" s="296" t="str">
        <f t="shared" ca="1" si="3"/>
        <v>ZU</v>
      </c>
      <c r="G45" s="296" t="str">
        <f t="shared" ca="1" si="4"/>
        <v>UZU</v>
      </c>
      <c r="H45" s="898" t="str">
        <f t="shared" ca="1" si="5"/>
        <v/>
      </c>
      <c r="I45" s="909" t="s">
        <v>2319</v>
      </c>
      <c r="J45" s="902" cm="1">
        <f t="array" aca="1" ref="J45" ca="1">SUM( --( ($G$6:$G$155=$I45) * ($G$5:$G$154=J$42) ) )</f>
        <v>0</v>
      </c>
      <c r="K45" s="902" cm="1">
        <f t="array" aca="1" ref="K45" ca="1">SUM( --( ($G$6:$G$145=$I45) * ($G$5:$G$144=K$42) ) )</f>
        <v>0</v>
      </c>
      <c r="L45" s="902" cm="1">
        <f t="array" aca="1" ref="L45" ca="1">SUM( --( ($G$6:$G$145=$I45) * ($G$5:$G$144=L$42) ) )</f>
        <v>0</v>
      </c>
      <c r="M45" s="902" cm="1">
        <f t="array" aca="1" ref="M45" ca="1">SUM( --( ($G$6:$G$145=$I45) * ($G$5:$G$144=M$42) ) )</f>
        <v>0</v>
      </c>
      <c r="N45" s="902" cm="1">
        <f t="array" aca="1" ref="N45" ca="1">SUM( --( ($G$6:$G$145=$I45) * ($G$5:$G$144=N$42) ) )</f>
        <v>2</v>
      </c>
      <c r="O45" s="902" cm="1">
        <f t="array" aca="1" ref="O45" ca="1">SUM( --( ($G$6:$G$145=$I45) * ($G$5:$G$144=O$42) ) )</f>
        <v>1</v>
      </c>
      <c r="P45" s="902" cm="1">
        <f t="array" aca="1" ref="P45" ca="1">SUM( --( ($G$6:$G$145=$I45) * ($G$5:$G$144=P$42) ) )</f>
        <v>0</v>
      </c>
      <c r="Q45" s="902" cm="1">
        <f t="array" aca="1" ref="Q45" ca="1">SUM( --( ($G$6:$G$145=$I45) * ($G$5:$G$144=Q$42) ) )</f>
        <v>0</v>
      </c>
      <c r="R45" s="902">
        <f t="shared" ca="1" si="31"/>
        <v>3</v>
      </c>
      <c r="S45" s="898" t="str">
        <f ca="1"/>
        <v>UUZ</v>
      </c>
      <c r="T45" s="898">
        <f t="shared" ca="1" si="1"/>
        <v>9</v>
      </c>
      <c r="U45" s="898">
        <f t="shared" ca="1" si="14"/>
        <v>13</v>
      </c>
      <c r="W45" s="936" t="str">
        <f ca="1">Last2Days&amp;" ==&gt; Dn"</f>
        <v>ZD ==&gt; Dn</v>
      </c>
      <c r="AA45" s="936" t="str">
        <f ca="1">W45</f>
        <v>ZD ==&gt; Dn</v>
      </c>
      <c r="AI45" s="89" vm="165">
        <f ca="1"/>
        <v>45720</v>
      </c>
      <c r="AJ45" s="89" vm="166">
        <f ca="1"/>
        <v>972.58</v>
      </c>
      <c r="AN45" s="1322"/>
      <c r="AO45" s="1312" cm="1">
        <f t="array" aca="1" ref="AO45" ca="1">IFERROR(INDEX($AR45:$BS45,
       MATCH(TRUE,
             (($AQ45=LastMark3)*
              (RIGHT($AR$35:$BS$35,3)=RIGHT(LastMark3,2)&amp;"U")*
              ($AR45:$BS45&gt;0))&gt;0,
       0)),0)</f>
        <v>0</v>
      </c>
      <c r="AP45" s="902">
        <f ca="1">SUM(AR15:INDEX(15:15, COLUMN($AR15) +$AQ$35 - 1))</f>
        <v>9</v>
      </c>
      <c r="AQ45" s="1359" t="str">
        <f t="shared" ca="1" si="15"/>
        <v>UDZ</v>
      </c>
      <c r="AR45" s="1352">
        <f t="shared" ref="AR45:BR45" ca="1" si="34">IF(AR15=0,0,AR15/$AP45)</f>
        <v>0.1111111111111111</v>
      </c>
      <c r="AS45" s="1353">
        <f t="shared" ca="1" si="34"/>
        <v>0</v>
      </c>
      <c r="AT45" s="1353">
        <f t="shared" ca="1" si="34"/>
        <v>0</v>
      </c>
      <c r="AU45" s="1353">
        <f t="shared" ca="1" si="34"/>
        <v>0</v>
      </c>
      <c r="AV45" s="1353">
        <f t="shared" ca="1" si="34"/>
        <v>0</v>
      </c>
      <c r="AW45" s="1353">
        <f t="shared" ca="1" si="34"/>
        <v>0</v>
      </c>
      <c r="AX45" s="1353">
        <f t="shared" ca="1" si="34"/>
        <v>0</v>
      </c>
      <c r="AY45" s="1353">
        <f t="shared" ca="1" si="34"/>
        <v>0</v>
      </c>
      <c r="AZ45" s="1353">
        <f t="shared" ca="1" si="34"/>
        <v>0.22222222222222221</v>
      </c>
      <c r="BA45" s="1353">
        <f t="shared" ca="1" si="34"/>
        <v>0</v>
      </c>
      <c r="BB45" s="1353">
        <f t="shared" ca="1" si="34"/>
        <v>0</v>
      </c>
      <c r="BC45" s="1353">
        <f t="shared" ca="1" si="34"/>
        <v>0</v>
      </c>
      <c r="BD45" s="1353">
        <f t="shared" ca="1" si="34"/>
        <v>0</v>
      </c>
      <c r="BE45" s="1353">
        <f t="shared" ca="1" si="34"/>
        <v>0</v>
      </c>
      <c r="BF45" s="1353">
        <f t="shared" ca="1" si="34"/>
        <v>0</v>
      </c>
      <c r="BG45" s="1353">
        <f t="shared" ca="1" si="34"/>
        <v>0</v>
      </c>
      <c r="BH45" s="1353">
        <f t="shared" ca="1" si="34"/>
        <v>0</v>
      </c>
      <c r="BI45" s="1353">
        <f t="shared" ca="1" si="34"/>
        <v>0</v>
      </c>
      <c r="BJ45" s="1353">
        <f t="shared" ca="1" si="34"/>
        <v>0</v>
      </c>
      <c r="BK45" s="1353">
        <f t="shared" ca="1" si="34"/>
        <v>0</v>
      </c>
      <c r="BL45" s="1353">
        <f t="shared" ca="1" si="34"/>
        <v>0.66666666666666663</v>
      </c>
      <c r="BM45" s="1353">
        <f t="shared" ca="1" si="34"/>
        <v>0</v>
      </c>
      <c r="BN45" s="1353">
        <f t="shared" ca="1" si="34"/>
        <v>0</v>
      </c>
      <c r="BO45" s="1353">
        <f t="shared" ca="1" si="34"/>
        <v>0</v>
      </c>
      <c r="BP45" s="1353">
        <f t="shared" ca="1" si="34"/>
        <v>0</v>
      </c>
      <c r="BQ45" s="1353">
        <f t="shared" ca="1" si="34"/>
        <v>0</v>
      </c>
      <c r="BR45" s="1353">
        <f t="shared" si="34"/>
        <v>0</v>
      </c>
      <c r="BS45" s="1353">
        <f t="shared" ref="BS45" si="35">IF(BS15=0,0,BS15/$AP45)</f>
        <v>0</v>
      </c>
      <c r="BT45" s="1353"/>
      <c r="BU45" s="1353"/>
      <c r="BV45" s="1353"/>
      <c r="BW45" s="1353"/>
    </row>
    <row r="46" spans="2:75">
      <c r="B46" s="89" vm="167">
        <f ca="1"/>
        <v>45896</v>
      </c>
      <c r="C46" s="89" vm="168">
        <f ca="1"/>
        <v>1223.5</v>
      </c>
      <c r="D46" s="1335">
        <f t="shared" ca="1" si="0"/>
        <v>-2.1124061039564128E-3</v>
      </c>
      <c r="E46" s="296" t="str" cm="1">
        <f t="array" aca="1" ref="E46" ca="1">_xlfn.IFS(D46&gt;0.5%,"U",D46&lt;=-0.5%,"D",TRUE,"Z")</f>
        <v>Z</v>
      </c>
      <c r="F46" s="296" t="str">
        <f t="shared" ca="1" si="3"/>
        <v>UZ</v>
      </c>
      <c r="G46" s="296" t="str">
        <f t="shared" ca="1" si="4"/>
        <v>UUZ</v>
      </c>
      <c r="H46" s="898" t="str">
        <f t="shared" ca="1" si="5"/>
        <v/>
      </c>
      <c r="I46" s="909" t="s">
        <v>2320</v>
      </c>
      <c r="J46" s="902" cm="1">
        <f t="array" aca="1" ref="J46" ca="1">SUM( --( ($G$6:$G$155=$I46) * ($G$5:$G$154=J$42) ) )</f>
        <v>0</v>
      </c>
      <c r="K46" s="902" cm="1">
        <f t="array" aca="1" ref="K46" ca="1">SUM( --( ($G$6:$G$145=$I46) * ($G$5:$G$144=K$42) ) )</f>
        <v>0</v>
      </c>
      <c r="L46" s="902" cm="1">
        <f t="array" aca="1" ref="L46" ca="1">SUM( --( ($G$6:$G$145=$I46) * ($G$5:$G$144=L$42) ) )</f>
        <v>0</v>
      </c>
      <c r="M46" s="902" cm="1">
        <f t="array" aca="1" ref="M46" ca="1">SUM( --( ($G$6:$G$145=$I46) * ($G$5:$G$144=M$42) ) )</f>
        <v>0</v>
      </c>
      <c r="N46" s="902" cm="1">
        <f t="array" aca="1" ref="N46" ca="1">SUM( --( ($G$6:$G$145=$I46) * ($G$5:$G$144=N$42) ) )</f>
        <v>0</v>
      </c>
      <c r="O46" s="902" cm="1">
        <f t="array" aca="1" ref="O46" ca="1">SUM( --( ($G$6:$G$145=$I46) * ($G$5:$G$144=O$42) ) )</f>
        <v>0</v>
      </c>
      <c r="P46" s="902" cm="1">
        <f t="array" aca="1" ref="P46" ca="1">SUM( --( ($G$6:$G$145=$I46) * ($G$5:$G$144=P$42) ) )</f>
        <v>0</v>
      </c>
      <c r="Q46" s="902" cm="1">
        <f t="array" aca="1" ref="Q46" ca="1">SUM( --( ($G$6:$G$145=$I46) * ($G$5:$G$144=Q$42) ) )</f>
        <v>3</v>
      </c>
      <c r="R46" s="902">
        <f t="shared" ca="1" si="31"/>
        <v>3</v>
      </c>
      <c r="S46" s="898" t="str">
        <f ca="1"/>
        <v>DUU</v>
      </c>
      <c r="T46" s="898">
        <f t="shared" ca="1" si="1"/>
        <v>10</v>
      </c>
      <c r="U46" s="898">
        <f t="shared" ca="1" si="14"/>
        <v>12</v>
      </c>
      <c r="W46" s="952" t="s">
        <v>2332</v>
      </c>
      <c r="X46" s="1071" t="s">
        <v>2333</v>
      </c>
      <c r="Y46" s="1070" t="s">
        <v>1898</v>
      </c>
      <c r="AA46" s="952" t="str">
        <f>W21</f>
        <v>P(Down)[%]</v>
      </c>
      <c r="AB46" s="1071" t="s">
        <v>2333</v>
      </c>
      <c r="AC46" s="1070" t="s">
        <v>1898</v>
      </c>
      <c r="AI46" s="89" vm="169">
        <f ca="1"/>
        <v>45721</v>
      </c>
      <c r="AJ46" s="89" vm="170">
        <f ca="1"/>
        <v>990.92</v>
      </c>
      <c r="AN46" s="1322"/>
      <c r="AO46" s="1312" cm="1">
        <f t="array" aca="1" ref="AO46" ca="1">IFERROR(INDEX($AR46:$BS46,
       MATCH(TRUE,
             (($AQ46=LastMark3)*
              (RIGHT($AR$35:$BS$35,3)=RIGHT(LastMark3,2)&amp;"U")*
              ($AR46:$BS46&gt;0))&gt;0,
       0)),0)</f>
        <v>0</v>
      </c>
      <c r="AP46" s="902">
        <f ca="1">SUM(AR16:INDEX(16:16, COLUMN($AR16) +$AQ$35 - 1))</f>
        <v>7</v>
      </c>
      <c r="AQ46" s="1359" t="str">
        <f t="shared" ca="1" si="15"/>
        <v>UUD</v>
      </c>
      <c r="AR46" s="1352">
        <f t="shared" ref="AR46:BR46" ca="1" si="36">IF(AR16=0,0,AR16/$AP46)</f>
        <v>0</v>
      </c>
      <c r="AS46" s="1353">
        <f t="shared" ca="1" si="36"/>
        <v>0</v>
      </c>
      <c r="AT46" s="1353">
        <f t="shared" ca="1" si="36"/>
        <v>0</v>
      </c>
      <c r="AU46" s="1353">
        <f t="shared" ca="1" si="36"/>
        <v>0</v>
      </c>
      <c r="AV46" s="1353">
        <f t="shared" ca="1" si="36"/>
        <v>0</v>
      </c>
      <c r="AW46" s="1353">
        <f t="shared" ca="1" si="36"/>
        <v>0</v>
      </c>
      <c r="AX46" s="1353">
        <f t="shared" ca="1" si="36"/>
        <v>0</v>
      </c>
      <c r="AY46" s="1353">
        <f t="shared" ca="1" si="36"/>
        <v>0</v>
      </c>
      <c r="AZ46" s="1353">
        <f t="shared" ca="1" si="36"/>
        <v>0</v>
      </c>
      <c r="BA46" s="1353">
        <f t="shared" ca="1" si="36"/>
        <v>0.2857142857142857</v>
      </c>
      <c r="BB46" s="1353">
        <f t="shared" ca="1" si="36"/>
        <v>0</v>
      </c>
      <c r="BC46" s="1353">
        <f t="shared" ca="1" si="36"/>
        <v>0</v>
      </c>
      <c r="BD46" s="1353">
        <f t="shared" ca="1" si="36"/>
        <v>0</v>
      </c>
      <c r="BE46" s="1353">
        <f t="shared" ca="1" si="36"/>
        <v>0</v>
      </c>
      <c r="BF46" s="1353">
        <f t="shared" ca="1" si="36"/>
        <v>0</v>
      </c>
      <c r="BG46" s="1353">
        <f t="shared" ca="1" si="36"/>
        <v>0</v>
      </c>
      <c r="BH46" s="1353">
        <f t="shared" ca="1" si="36"/>
        <v>0.42857142857142855</v>
      </c>
      <c r="BI46" s="1353">
        <f t="shared" ca="1" si="36"/>
        <v>0</v>
      </c>
      <c r="BJ46" s="1353">
        <f t="shared" ca="1" si="36"/>
        <v>0</v>
      </c>
      <c r="BK46" s="1353">
        <f t="shared" ca="1" si="36"/>
        <v>0.2857142857142857</v>
      </c>
      <c r="BL46" s="1353">
        <f t="shared" ca="1" si="36"/>
        <v>0</v>
      </c>
      <c r="BM46" s="1353">
        <f t="shared" ca="1" si="36"/>
        <v>0</v>
      </c>
      <c r="BN46" s="1353">
        <f t="shared" ca="1" si="36"/>
        <v>0</v>
      </c>
      <c r="BO46" s="1353">
        <f t="shared" ca="1" si="36"/>
        <v>0</v>
      </c>
      <c r="BP46" s="1353">
        <f t="shared" ca="1" si="36"/>
        <v>0</v>
      </c>
      <c r="BQ46" s="1353">
        <f t="shared" ca="1" si="36"/>
        <v>0</v>
      </c>
      <c r="BR46" s="1353">
        <f t="shared" si="36"/>
        <v>0</v>
      </c>
      <c r="BS46" s="1353">
        <f t="shared" ref="BS46" si="37">IF(BS16=0,0,BS16/$AP46)</f>
        <v>0</v>
      </c>
      <c r="BT46" s="1353"/>
      <c r="BU46" s="1353"/>
      <c r="BV46" s="1353"/>
      <c r="BW46" s="1353"/>
    </row>
    <row r="47" spans="2:75" ht="23" thickBot="1">
      <c r="B47" s="89" vm="171">
        <f ca="1"/>
        <v>45895</v>
      </c>
      <c r="C47" s="89" vm="172">
        <f ca="1"/>
        <v>1226.0899999999999</v>
      </c>
      <c r="D47" s="1335">
        <f t="shared" ca="1" si="0"/>
        <v>6.5841864589062877E-3</v>
      </c>
      <c r="E47" s="296" t="str" cm="1">
        <f t="array" aca="1" ref="E47" ca="1">_xlfn.IFS(D47&gt;0.5%,"U",D47&lt;=-0.5%,"D",TRUE,"Z")</f>
        <v>U</v>
      </c>
      <c r="F47" s="296" t="str">
        <f t="shared" ca="1" si="3"/>
        <v>UU</v>
      </c>
      <c r="G47" s="296" t="str">
        <f t="shared" ca="1" si="4"/>
        <v>ZUU</v>
      </c>
      <c r="H47" s="898" t="str">
        <f t="shared" ca="1" si="5"/>
        <v/>
      </c>
      <c r="I47" s="909" t="s">
        <v>2321</v>
      </c>
      <c r="J47" s="902" cm="1">
        <f t="array" aca="1" ref="J47" ca="1">SUM( --( ($G$6:$G$155=$I47) * ($G$5:$G$154=J$42) ) )</f>
        <v>2</v>
      </c>
      <c r="K47" s="902" cm="1">
        <f t="array" aca="1" ref="K47" ca="1">SUM( --( ($G$6:$G$145=$I47) * ($G$5:$G$144=K$42) ) )</f>
        <v>3</v>
      </c>
      <c r="L47" s="902" cm="1">
        <f t="array" aca="1" ref="L47" ca="1">SUM( --( ($G$6:$G$145=$I47) * ($G$5:$G$144=L$42) ) )</f>
        <v>0</v>
      </c>
      <c r="M47" s="902" cm="1">
        <f t="array" aca="1" ref="M47" ca="1">SUM( --( ($G$6:$G$145=$I47) * ($G$5:$G$144=M$42) ) )</f>
        <v>0</v>
      </c>
      <c r="N47" s="902" cm="1">
        <f t="array" aca="1" ref="N47" ca="1">SUM( --( ($G$6:$G$145=$I47) * ($G$5:$G$144=N$42) ) )</f>
        <v>0</v>
      </c>
      <c r="O47" s="902" cm="1">
        <f t="array" aca="1" ref="O47" ca="1">SUM( --( ($G$6:$G$145=$I47) * ($G$5:$G$144=O$42) ) )</f>
        <v>0</v>
      </c>
      <c r="P47" s="902" cm="1">
        <f t="array" aca="1" ref="P47" ca="1">SUM( --( ($G$6:$G$145=$I47) * ($G$5:$G$144=P$42) ) )</f>
        <v>0</v>
      </c>
      <c r="Q47" s="902" cm="1">
        <f t="array" aca="1" ref="Q47" ca="1">SUM( --( ($G$6:$G$145=$I47) * ($G$5:$G$144=Q$42) ) )</f>
        <v>0</v>
      </c>
      <c r="R47" s="902">
        <f t="shared" ca="1" si="31"/>
        <v>5</v>
      </c>
      <c r="S47" s="898" t="str">
        <f ca="1"/>
        <v>DDU</v>
      </c>
      <c r="T47" s="898">
        <f t="shared" ca="1" si="1"/>
        <v>10</v>
      </c>
      <c r="U47" s="898">
        <f t="shared" ca="1" si="14"/>
        <v>12</v>
      </c>
      <c r="W47" s="1013" t="e">
        <f ca="1">X44*Y36</f>
        <v>#N/A</v>
      </c>
      <c r="X47" s="1069">
        <f ca="1">COUNTIF(G5:G25,"??D")</f>
        <v>9</v>
      </c>
      <c r="Y47" s="958">
        <f ca="1">X47/(X42+X47)</f>
        <v>0.6</v>
      </c>
      <c r="AA47" s="1013" t="e">
        <f ca="1">W22</f>
        <v>#N/A</v>
      </c>
      <c r="AB47" s="1069">
        <f ca="1">X22</f>
        <v>45</v>
      </c>
      <c r="AC47" s="958">
        <f ca="1">AB47/(AB42+AB47)</f>
        <v>0.41284403669724773</v>
      </c>
      <c r="AI47" s="89" vm="173">
        <f ca="1"/>
        <v>45722</v>
      </c>
      <c r="AJ47" s="89" vm="174">
        <f ca="1"/>
        <v>906.36</v>
      </c>
      <c r="AN47" s="1322"/>
      <c r="AO47" s="1312" cm="1">
        <f t="array" aca="1" ref="AO47" ca="1">IFERROR(INDEX($AR47:$BS47,
       MATCH(TRUE,
             (($AQ47=LastMark3)*
              (RIGHT($AR$35:$BS$35,3)=RIGHT(LastMark3,2)&amp;"U")*
              ($AR47:$BS47&gt;0))&gt;0,
       0)),0)</f>
        <v>0</v>
      </c>
      <c r="AP47" s="902">
        <f ca="1">SUM(AR17:INDEX(17:17, COLUMN($AR17) +$AQ$35 - 1))</f>
        <v>12</v>
      </c>
      <c r="AQ47" s="1359" t="str">
        <f t="shared" ca="1" si="15"/>
        <v>UUU</v>
      </c>
      <c r="AR47" s="1352">
        <f t="shared" ref="AR47:BR47" ca="1" si="38">IF(AR17=0,0,AR17/$AP47)</f>
        <v>0</v>
      </c>
      <c r="AS47" s="1353">
        <f t="shared" ca="1" si="38"/>
        <v>0</v>
      </c>
      <c r="AT47" s="1353">
        <f t="shared" ca="1" si="38"/>
        <v>0</v>
      </c>
      <c r="AU47" s="1353">
        <f t="shared" ca="1" si="38"/>
        <v>0.33333333333333331</v>
      </c>
      <c r="AV47" s="1353">
        <f t="shared" ca="1" si="38"/>
        <v>0</v>
      </c>
      <c r="AW47" s="1353">
        <f t="shared" ca="1" si="38"/>
        <v>0</v>
      </c>
      <c r="AX47" s="1353">
        <f t="shared" ca="1" si="38"/>
        <v>0</v>
      </c>
      <c r="AY47" s="1353">
        <f t="shared" ca="1" si="38"/>
        <v>0</v>
      </c>
      <c r="AZ47" s="1353">
        <f t="shared" ca="1" si="38"/>
        <v>0</v>
      </c>
      <c r="BA47" s="1353">
        <f t="shared" ca="1" si="38"/>
        <v>0</v>
      </c>
      <c r="BB47" s="1353">
        <f t="shared" ca="1" si="38"/>
        <v>0.33333333333333331</v>
      </c>
      <c r="BC47" s="1353">
        <f t="shared" ca="1" si="38"/>
        <v>0.33333333333333331</v>
      </c>
      <c r="BD47" s="1353">
        <f t="shared" ca="1" si="38"/>
        <v>0</v>
      </c>
      <c r="BE47" s="1353">
        <f t="shared" ca="1" si="38"/>
        <v>0</v>
      </c>
      <c r="BF47" s="1353">
        <f t="shared" ca="1" si="38"/>
        <v>0</v>
      </c>
      <c r="BG47" s="1353">
        <f t="shared" ca="1" si="38"/>
        <v>0</v>
      </c>
      <c r="BH47" s="1353">
        <f t="shared" ca="1" si="38"/>
        <v>0</v>
      </c>
      <c r="BI47" s="1353">
        <f t="shared" ca="1" si="38"/>
        <v>0</v>
      </c>
      <c r="BJ47" s="1353">
        <f t="shared" ca="1" si="38"/>
        <v>0</v>
      </c>
      <c r="BK47" s="1353">
        <f t="shared" ca="1" si="38"/>
        <v>0</v>
      </c>
      <c r="BL47" s="1353">
        <f t="shared" ca="1" si="38"/>
        <v>0</v>
      </c>
      <c r="BM47" s="1353">
        <f t="shared" ca="1" si="38"/>
        <v>0</v>
      </c>
      <c r="BN47" s="1353">
        <f t="shared" ca="1" si="38"/>
        <v>0</v>
      </c>
      <c r="BO47" s="1353">
        <f t="shared" ca="1" si="38"/>
        <v>0</v>
      </c>
      <c r="BP47" s="1353">
        <f t="shared" ca="1" si="38"/>
        <v>0</v>
      </c>
      <c r="BQ47" s="1353">
        <f t="shared" ca="1" si="38"/>
        <v>0</v>
      </c>
      <c r="BR47" s="1353">
        <f t="shared" si="38"/>
        <v>0</v>
      </c>
      <c r="BS47" s="1353">
        <f t="shared" ref="BS47" si="39">IF(BS17=0,0,BS17/$AP47)</f>
        <v>0</v>
      </c>
      <c r="BT47" s="1353"/>
      <c r="BU47" s="1353"/>
      <c r="BV47" s="1353"/>
      <c r="BW47" s="1353"/>
    </row>
    <row r="48" spans="2:75">
      <c r="B48" s="89" vm="175">
        <f ca="1"/>
        <v>45894</v>
      </c>
      <c r="C48" s="89" vm="176">
        <f ca="1"/>
        <v>1218.07</v>
      </c>
      <c r="D48" s="1335">
        <f t="shared" ca="1" si="0"/>
        <v>1.1140165193209517E-2</v>
      </c>
      <c r="E48" s="296" t="str" cm="1">
        <f t="array" aca="1" ref="E48" ca="1">_xlfn.IFS(D48&gt;0.5%,"U",D48&lt;=-0.5%,"D",TRUE,"Z")</f>
        <v>U</v>
      </c>
      <c r="F48" s="296" t="str">
        <f t="shared" ca="1" si="3"/>
        <v>ZU</v>
      </c>
      <c r="G48" s="296" t="str">
        <f t="shared" ca="1" si="4"/>
        <v>DZU</v>
      </c>
      <c r="H48" s="898" t="str">
        <f t="shared" ca="1" si="5"/>
        <v/>
      </c>
      <c r="I48" s="909" t="s">
        <v>2322</v>
      </c>
      <c r="J48" s="902" cm="1">
        <f t="array" aca="1" ref="J48" ca="1">SUM( --( ($G$6:$G$155=$I48) * ($G$5:$G$154=J$42) ) )</f>
        <v>0</v>
      </c>
      <c r="K48" s="902" cm="1">
        <f t="array" aca="1" ref="K48" ca="1">SUM( --( ($G$6:$G$145=$I48) * ($G$5:$G$144=K$42) ) )</f>
        <v>0</v>
      </c>
      <c r="L48" s="902" cm="1">
        <f t="array" aca="1" ref="L48" ca="1">SUM( --( ($G$6:$G$145=$I48) * ($G$5:$G$144=L$42) ) )</f>
        <v>1</v>
      </c>
      <c r="M48" s="902" cm="1">
        <f t="array" aca="1" ref="M48" ca="1">SUM( --( ($G$6:$G$145=$I48) * ($G$5:$G$144=M$42) ) )</f>
        <v>2</v>
      </c>
      <c r="N48" s="902" cm="1">
        <f t="array" aca="1" ref="N48" ca="1">SUM( --( ($G$6:$G$145=$I48) * ($G$5:$G$144=N$42) ) )</f>
        <v>0</v>
      </c>
      <c r="O48" s="902" cm="1">
        <f t="array" aca="1" ref="O48" ca="1">SUM( --( ($G$6:$G$145=$I48) * ($G$5:$G$144=O$42) ) )</f>
        <v>0</v>
      </c>
      <c r="P48" s="902" cm="1">
        <f t="array" aca="1" ref="P48" ca="1">SUM( --( ($G$6:$G$145=$I48) * ($G$5:$G$144=P$42) ) )</f>
        <v>0</v>
      </c>
      <c r="Q48" s="902" cm="1">
        <f t="array" aca="1" ref="Q48" ca="1">SUM( --( ($G$6:$G$145=$I48) * ($G$5:$G$144=Q$42) ) )</f>
        <v>0</v>
      </c>
      <c r="R48" s="902">
        <f t="shared" ca="1" si="31"/>
        <v>3</v>
      </c>
      <c r="S48" s="898" t="str">
        <f ca="1"/>
        <v>ZDD</v>
      </c>
      <c r="T48" s="898">
        <f t="shared" ca="1" si="1"/>
        <v>11</v>
      </c>
      <c r="U48" s="898">
        <f t="shared" ca="1" si="14"/>
        <v>11</v>
      </c>
      <c r="AI48" s="89" vm="177">
        <f ca="1"/>
        <v>45723</v>
      </c>
      <c r="AJ48" s="89" vm="178">
        <f ca="1"/>
        <v>891.11</v>
      </c>
      <c r="AN48" s="1322"/>
      <c r="AO48" s="1312" cm="1">
        <f t="array" aca="1" ref="AO48" ca="1">IFERROR(INDEX($AR48:$BS48,
       MATCH(TRUE,
             (($AQ48=LastMark3)*
              (RIGHT($AR$35:$BS$35,3)=RIGHT(LastMark3,2)&amp;"U")*
              ($AR48:$BS48&gt;0))&gt;0,
       0)),0)</f>
        <v>0</v>
      </c>
      <c r="AP48" s="902">
        <f ca="1">SUM(AR18:INDEX(18:18, COLUMN($AR18) +$AQ$35 - 1))</f>
        <v>4</v>
      </c>
      <c r="AQ48" s="1359" t="str">
        <f t="shared" ca="1" si="15"/>
        <v>DDD</v>
      </c>
      <c r="AR48" s="1352">
        <f t="shared" ref="AR48:BR48" ca="1" si="40">IF(AR18=0,0,AR18/$AP48)</f>
        <v>0</v>
      </c>
      <c r="AS48" s="1353">
        <f t="shared" ca="1" si="40"/>
        <v>0</v>
      </c>
      <c r="AT48" s="1353">
        <f t="shared" ca="1" si="40"/>
        <v>0</v>
      </c>
      <c r="AU48" s="1353">
        <f t="shared" ca="1" si="40"/>
        <v>0</v>
      </c>
      <c r="AV48" s="1353">
        <f t="shared" ca="1" si="40"/>
        <v>0</v>
      </c>
      <c r="AW48" s="1353">
        <f t="shared" ca="1" si="40"/>
        <v>0.75</v>
      </c>
      <c r="AX48" s="1353">
        <f t="shared" ca="1" si="40"/>
        <v>0</v>
      </c>
      <c r="AY48" s="1353">
        <f t="shared" ca="1" si="40"/>
        <v>0</v>
      </c>
      <c r="AZ48" s="1353">
        <f t="shared" ca="1" si="40"/>
        <v>0</v>
      </c>
      <c r="BA48" s="1353">
        <f t="shared" ca="1" si="40"/>
        <v>0</v>
      </c>
      <c r="BB48" s="1353">
        <f t="shared" ca="1" si="40"/>
        <v>0</v>
      </c>
      <c r="BC48" s="1353">
        <f t="shared" ca="1" si="40"/>
        <v>0</v>
      </c>
      <c r="BD48" s="1353">
        <f t="shared" ca="1" si="40"/>
        <v>0.25</v>
      </c>
      <c r="BE48" s="1353">
        <f t="shared" ca="1" si="40"/>
        <v>0</v>
      </c>
      <c r="BF48" s="1353">
        <f t="shared" ca="1" si="40"/>
        <v>0</v>
      </c>
      <c r="BG48" s="1353">
        <f t="shared" ca="1" si="40"/>
        <v>0</v>
      </c>
      <c r="BH48" s="1353">
        <f t="shared" ca="1" si="40"/>
        <v>0</v>
      </c>
      <c r="BI48" s="1353">
        <f t="shared" ca="1" si="40"/>
        <v>0</v>
      </c>
      <c r="BJ48" s="1353">
        <f t="shared" ca="1" si="40"/>
        <v>0</v>
      </c>
      <c r="BK48" s="1353">
        <f t="shared" ca="1" si="40"/>
        <v>0</v>
      </c>
      <c r="BL48" s="1353">
        <f t="shared" ca="1" si="40"/>
        <v>0</v>
      </c>
      <c r="BM48" s="1353">
        <f t="shared" ca="1" si="40"/>
        <v>0</v>
      </c>
      <c r="BN48" s="1353">
        <f t="shared" ca="1" si="40"/>
        <v>0</v>
      </c>
      <c r="BO48" s="1353">
        <f t="shared" ca="1" si="40"/>
        <v>0</v>
      </c>
      <c r="BP48" s="1353">
        <f t="shared" ca="1" si="40"/>
        <v>0</v>
      </c>
      <c r="BQ48" s="1353">
        <f t="shared" ca="1" si="40"/>
        <v>0</v>
      </c>
      <c r="BR48" s="1353">
        <f t="shared" si="40"/>
        <v>0</v>
      </c>
      <c r="BS48" s="1353">
        <f t="shared" ref="BS48" si="41">IF(BS18=0,0,BS18/$AP48)</f>
        <v>0</v>
      </c>
      <c r="BT48" s="1353"/>
      <c r="BU48" s="1353"/>
      <c r="BV48" s="1353"/>
      <c r="BW48" s="1353"/>
    </row>
    <row r="49" spans="2:75">
      <c r="B49" s="89" vm="179">
        <f ca="1"/>
        <v>45891</v>
      </c>
      <c r="C49" s="89" vm="180">
        <f ca="1"/>
        <v>1204.6500000000001</v>
      </c>
      <c r="D49" s="1335">
        <f t="shared" ca="1" si="0"/>
        <v>-1.2933071355733623E-3</v>
      </c>
      <c r="E49" s="296" t="str" cm="1">
        <f t="array" aca="1" ref="E49" ca="1">_xlfn.IFS(D49&gt;0.5%,"U",D49&lt;=-0.5%,"D",TRUE,"Z")</f>
        <v>Z</v>
      </c>
      <c r="F49" s="296" t="str">
        <f t="shared" ca="1" si="3"/>
        <v>DZ</v>
      </c>
      <c r="G49" s="296" t="str">
        <f t="shared" ca="1" si="4"/>
        <v>ZDZ</v>
      </c>
      <c r="H49" s="898" t="str">
        <f t="shared" ca="1" si="5"/>
        <v/>
      </c>
      <c r="I49" s="909" t="s">
        <v>2323</v>
      </c>
      <c r="J49" s="902" cm="1">
        <f t="array" aca="1" ref="J49" ca="1">SUM( --( ($G$6:$G$155=$I49) * ($G$5:$G$154=J$42) ) )</f>
        <v>0</v>
      </c>
      <c r="K49" s="902" cm="1">
        <f t="array" aca="1" ref="K49" ca="1">SUM( --( ($G$6:$G$145=$I49) * ($G$5:$G$144=K$42) ) )</f>
        <v>0</v>
      </c>
      <c r="L49" s="902" cm="1">
        <f t="array" aca="1" ref="L49" ca="1">SUM( --( ($G$6:$G$145=$I49) * ($G$5:$G$144=L$42) ) )</f>
        <v>0</v>
      </c>
      <c r="M49" s="902" cm="1">
        <f t="array" aca="1" ref="M49" ca="1">SUM( --( ($G$6:$G$145=$I49) * ($G$5:$G$144=M$42) ) )</f>
        <v>0</v>
      </c>
      <c r="N49" s="902" cm="1">
        <f t="array" aca="1" ref="N49" ca="1">SUM( --( ($G$6:$G$145=$I49) * ($G$5:$G$144=N$42) ) )</f>
        <v>2</v>
      </c>
      <c r="O49" s="902" cm="1">
        <f t="array" aca="1" ref="O49" ca="1">SUM( --( ($G$6:$G$145=$I49) * ($G$5:$G$144=O$42) ) )</f>
        <v>2</v>
      </c>
      <c r="P49" s="902" cm="1">
        <f t="array" aca="1" ref="P49" ca="1">SUM( --( ($G$6:$G$145=$I49) * ($G$5:$G$144=P$42) ) )</f>
        <v>0</v>
      </c>
      <c r="Q49" s="902" cm="1">
        <f t="array" aca="1" ref="Q49" ca="1">SUM( --( ($G$6:$G$145=$I49) * ($G$5:$G$144=Q$42) ) )</f>
        <v>0</v>
      </c>
      <c r="R49" s="902">
        <f t="shared" ca="1" si="31"/>
        <v>4</v>
      </c>
      <c r="S49" s="898" t="str">
        <f ca="1"/>
        <v>ZZD</v>
      </c>
      <c r="T49" s="898" t="s">
        <v>2325</v>
      </c>
      <c r="U49" s="898">
        <f t="shared" ca="1" si="14"/>
        <v>11</v>
      </c>
      <c r="AI49" s="89" vm="181">
        <f ca="1"/>
        <v>45726</v>
      </c>
      <c r="AJ49" s="89" vm="182">
        <f ca="1"/>
        <v>866.68</v>
      </c>
      <c r="AN49" s="1322"/>
      <c r="AO49" s="1312" cm="1">
        <f t="array" aca="1" ref="AO49" ca="1">IFERROR(INDEX($AR49:$BS49,
       MATCH(TRUE,
             (($AQ49=LastMark3)*
              (RIGHT($AR$35:$BS$35,3)=RIGHT(LastMark3,2)&amp;"U")*
              ($AR49:$BS49&gt;0))&gt;0,
       0)),0)</f>
        <v>0</v>
      </c>
      <c r="AP49" s="902">
        <f ca="1">SUM(AR19:INDEX(19:19, COLUMN($AR19) +$AQ$35 - 1))</f>
        <v>4</v>
      </c>
      <c r="AQ49" s="1359" t="str">
        <f t="shared" ca="1" si="15"/>
        <v>ZZZ</v>
      </c>
      <c r="AR49" s="1352">
        <f t="shared" ref="AR49:BR49" ca="1" si="42">IF(AR19=0,0,AR19/$AP49)</f>
        <v>0</v>
      </c>
      <c r="AS49" s="1353">
        <f t="shared" ca="1" si="42"/>
        <v>0</v>
      </c>
      <c r="AT49" s="1353">
        <f t="shared" ca="1" si="42"/>
        <v>0</v>
      </c>
      <c r="AU49" s="1353">
        <f t="shared" ca="1" si="42"/>
        <v>0</v>
      </c>
      <c r="AV49" s="1353">
        <f t="shared" ca="1" si="42"/>
        <v>0</v>
      </c>
      <c r="AW49" s="1353">
        <f t="shared" ca="1" si="42"/>
        <v>0</v>
      </c>
      <c r="AX49" s="1353">
        <f t="shared" ca="1" si="42"/>
        <v>0</v>
      </c>
      <c r="AY49" s="1353">
        <f t="shared" ca="1" si="42"/>
        <v>0.5</v>
      </c>
      <c r="AZ49" s="1353">
        <f t="shared" ca="1" si="42"/>
        <v>0</v>
      </c>
      <c r="BA49" s="1353">
        <f t="shared" ca="1" si="42"/>
        <v>0</v>
      </c>
      <c r="BB49" s="1353">
        <f t="shared" ca="1" si="42"/>
        <v>0</v>
      </c>
      <c r="BC49" s="1353">
        <f t="shared" ca="1" si="42"/>
        <v>0</v>
      </c>
      <c r="BD49" s="1353">
        <f t="shared" ca="1" si="42"/>
        <v>0</v>
      </c>
      <c r="BE49" s="1353">
        <f t="shared" ca="1" si="42"/>
        <v>0.25</v>
      </c>
      <c r="BF49" s="1353">
        <f t="shared" ca="1" si="42"/>
        <v>0</v>
      </c>
      <c r="BG49" s="1353">
        <f t="shared" ca="1" si="42"/>
        <v>0</v>
      </c>
      <c r="BH49" s="1353">
        <f t="shared" ca="1" si="42"/>
        <v>0</v>
      </c>
      <c r="BI49" s="1353">
        <f t="shared" ca="1" si="42"/>
        <v>0</v>
      </c>
      <c r="BJ49" s="1353">
        <f t="shared" ca="1" si="42"/>
        <v>0</v>
      </c>
      <c r="BK49" s="1353">
        <f t="shared" ca="1" si="42"/>
        <v>0</v>
      </c>
      <c r="BL49" s="1353">
        <f t="shared" ca="1" si="42"/>
        <v>0</v>
      </c>
      <c r="BM49" s="1353">
        <f t="shared" ca="1" si="42"/>
        <v>0</v>
      </c>
      <c r="BN49" s="1353">
        <f t="shared" ca="1" si="42"/>
        <v>0.25</v>
      </c>
      <c r="BO49" s="1353">
        <f t="shared" ca="1" si="42"/>
        <v>0</v>
      </c>
      <c r="BP49" s="1353">
        <f t="shared" ca="1" si="42"/>
        <v>0</v>
      </c>
      <c r="BQ49" s="1353">
        <f t="shared" ca="1" si="42"/>
        <v>0</v>
      </c>
      <c r="BR49" s="1353">
        <f t="shared" si="42"/>
        <v>0</v>
      </c>
      <c r="BS49" s="1353">
        <f t="shared" ref="BS49" si="43">IF(BS19=0,0,BS19/$AP49)</f>
        <v>0</v>
      </c>
      <c r="BT49" s="1353"/>
      <c r="BU49" s="1353"/>
      <c r="BV49" s="1353"/>
      <c r="BW49" s="1353"/>
    </row>
    <row r="50" spans="2:75" ht="23" customHeight="1">
      <c r="B50" s="89" vm="183">
        <f ca="1"/>
        <v>45890</v>
      </c>
      <c r="C50" s="89" vm="184">
        <f ca="1"/>
        <v>1206.21</v>
      </c>
      <c r="D50" s="1335">
        <f t="shared" ca="1" si="0"/>
        <v>-6.3022094805001106E-3</v>
      </c>
      <c r="E50" s="296" t="str" cm="1">
        <f t="array" aca="1" ref="E50" ca="1">_xlfn.IFS(D50&gt;0.5%,"U",D50&lt;=-0.5%,"D",TRUE,"Z")</f>
        <v>D</v>
      </c>
      <c r="F50" s="296" t="str">
        <f t="shared" ca="1" si="3"/>
        <v>ZD</v>
      </c>
      <c r="G50" s="296" t="str">
        <f t="shared" ca="1" si="4"/>
        <v>DZD</v>
      </c>
      <c r="H50" s="898" t="str">
        <f t="shared" ca="1" si="5"/>
        <v/>
      </c>
      <c r="I50" s="909" t="s">
        <v>2324</v>
      </c>
      <c r="J50" s="902" cm="1">
        <f t="array" aca="1" ref="J50" ca="1">SUM( --( ($G$6:$G$155=$I50) * ($G$5:$G$154=J$42) ) )</f>
        <v>0</v>
      </c>
      <c r="K50" s="902" cm="1">
        <f t="array" aca="1" ref="K50" ca="1">SUM( --( ($G$6:$G$145=$I50) * ($G$5:$G$144=K$42) ) )</f>
        <v>0</v>
      </c>
      <c r="L50" s="902" cm="1">
        <f t="array" aca="1" ref="L50" ca="1">SUM( --( ($G$6:$G$145=$I50) * ($G$5:$G$144=L$42) ) )</f>
        <v>0</v>
      </c>
      <c r="M50" s="902" cm="1">
        <f t="array" aca="1" ref="M50" ca="1">SUM( --( ($G$6:$G$145=$I50) * ($G$5:$G$144=M$42) ) )</f>
        <v>0</v>
      </c>
      <c r="N50" s="902" cm="1">
        <f t="array" aca="1" ref="N50" ca="1">SUM( --( ($G$6:$G$145=$I50) * ($G$5:$G$144=N$42) ) )</f>
        <v>0</v>
      </c>
      <c r="O50" s="902" cm="1">
        <f t="array" aca="1" ref="O50" ca="1">SUM( --( ($G$6:$G$145=$I50) * ($G$5:$G$144=O$42) ) )</f>
        <v>0</v>
      </c>
      <c r="P50" s="902" cm="1">
        <f t="array" aca="1" ref="P50" ca="1">SUM( --( ($G$6:$G$145=$I50) * ($G$5:$G$144=P$42) ) )</f>
        <v>3</v>
      </c>
      <c r="Q50" s="902" cm="1">
        <f t="array" aca="1" ref="Q50" ca="1">SUM( --( ($G$6:$G$145=$I50) * ($G$5:$G$144=Q$42) ) )</f>
        <v>4</v>
      </c>
      <c r="R50" s="902">
        <f t="shared" ca="1" si="31"/>
        <v>7</v>
      </c>
      <c r="S50" s="898" t="str">
        <f ca="1"/>
        <v>DZZ</v>
      </c>
      <c r="T50" s="898">
        <f t="shared" ref="T50:T81" ca="1" si="44">COUNTIF(D50:D71,"&lt;0")</f>
        <v>11</v>
      </c>
      <c r="U50" s="898">
        <f t="shared" ca="1" si="14"/>
        <v>11</v>
      </c>
      <c r="AI50" s="89" vm="185">
        <f ca="1"/>
        <v>45727</v>
      </c>
      <c r="AJ50" s="89" vm="186">
        <f ca="1"/>
        <v>895.1</v>
      </c>
      <c r="AN50" s="1322"/>
      <c r="AO50" s="1312" cm="1">
        <f t="array" aca="1" ref="AO50" ca="1">IFERROR(INDEX($AR50:$BS50,
       MATCH(TRUE,
             (($AQ50=LastMark3)*
              (RIGHT($AR$35:$BS$35,3)=RIGHT(LastMark3,2)&amp;"U")*
              ($AR50:$BS50&gt;0))&gt;0,
       0)),0)</f>
        <v>0</v>
      </c>
      <c r="AP50" s="902">
        <f ca="1">SUM(AR20:INDEX(20:20, COLUMN($AR20) +$AQ$35 - 1))</f>
        <v>2</v>
      </c>
      <c r="AQ50" s="1359" t="str">
        <f t="shared" ca="1" si="15"/>
        <v>DDZ</v>
      </c>
      <c r="AR50" s="1352">
        <f t="shared" ref="AR50:BR50" ca="1" si="45">IF(AR20=0,0,AR20/$AP50)</f>
        <v>0</v>
      </c>
      <c r="AS50" s="1353">
        <f t="shared" ca="1" si="45"/>
        <v>0</v>
      </c>
      <c r="AT50" s="1353">
        <f t="shared" ca="1" si="45"/>
        <v>0</v>
      </c>
      <c r="AU50" s="1353">
        <f t="shared" ca="1" si="45"/>
        <v>0</v>
      </c>
      <c r="AV50" s="1353">
        <f t="shared" ca="1" si="45"/>
        <v>0</v>
      </c>
      <c r="AW50" s="1353">
        <f t="shared" ca="1" si="45"/>
        <v>0</v>
      </c>
      <c r="AX50" s="1353">
        <f t="shared" ca="1" si="45"/>
        <v>0</v>
      </c>
      <c r="AY50" s="1353">
        <f t="shared" ca="1" si="45"/>
        <v>0</v>
      </c>
      <c r="AZ50" s="1353">
        <f t="shared" ca="1" si="45"/>
        <v>1</v>
      </c>
      <c r="BA50" s="1353">
        <f t="shared" ca="1" si="45"/>
        <v>0</v>
      </c>
      <c r="BB50" s="1353">
        <f t="shared" ca="1" si="45"/>
        <v>0</v>
      </c>
      <c r="BC50" s="1353">
        <f t="shared" ca="1" si="45"/>
        <v>0</v>
      </c>
      <c r="BD50" s="1353">
        <f t="shared" ca="1" si="45"/>
        <v>0</v>
      </c>
      <c r="BE50" s="1353">
        <f t="shared" ca="1" si="45"/>
        <v>0</v>
      </c>
      <c r="BF50" s="1353">
        <f t="shared" ca="1" si="45"/>
        <v>0</v>
      </c>
      <c r="BG50" s="1353">
        <f t="shared" ca="1" si="45"/>
        <v>0</v>
      </c>
      <c r="BH50" s="1353">
        <f t="shared" ca="1" si="45"/>
        <v>0</v>
      </c>
      <c r="BI50" s="1353">
        <f t="shared" ca="1" si="45"/>
        <v>0</v>
      </c>
      <c r="BJ50" s="1353">
        <f t="shared" ca="1" si="45"/>
        <v>0</v>
      </c>
      <c r="BK50" s="1353">
        <f t="shared" ca="1" si="45"/>
        <v>0</v>
      </c>
      <c r="BL50" s="1353">
        <f t="shared" ca="1" si="45"/>
        <v>0</v>
      </c>
      <c r="BM50" s="1353">
        <f t="shared" ca="1" si="45"/>
        <v>0</v>
      </c>
      <c r="BN50" s="1353">
        <f t="shared" ca="1" si="45"/>
        <v>0</v>
      </c>
      <c r="BO50" s="1353">
        <f t="shared" ca="1" si="45"/>
        <v>0</v>
      </c>
      <c r="BP50" s="1353">
        <f t="shared" ca="1" si="45"/>
        <v>0</v>
      </c>
      <c r="BQ50" s="1353">
        <f t="shared" ca="1" si="45"/>
        <v>0</v>
      </c>
      <c r="BR50" s="1353">
        <f t="shared" si="45"/>
        <v>0</v>
      </c>
      <c r="BS50" s="1353">
        <f t="shared" ref="BS50" si="46">IF(BS20=0,0,BS20/$AP50)</f>
        <v>0</v>
      </c>
      <c r="BT50" s="1353"/>
      <c r="BU50" s="1353"/>
      <c r="BV50" s="1353"/>
      <c r="BW50" s="1353"/>
    </row>
    <row r="51" spans="2:75" ht="22" customHeight="1">
      <c r="B51" s="89" vm="187">
        <f ca="1"/>
        <v>45889</v>
      </c>
      <c r="C51" s="89" vm="188">
        <f ca="1"/>
        <v>1213.8599999999999</v>
      </c>
      <c r="D51" s="1335">
        <f t="shared" ca="1" si="0"/>
        <v>-2.3885022443700612E-4</v>
      </c>
      <c r="E51" s="296" t="str" cm="1">
        <f t="array" aca="1" ref="E51" ca="1">_xlfn.IFS(D51&gt;0.5%,"U",D51&lt;=-0.5%,"D",TRUE,"Z")</f>
        <v>Z</v>
      </c>
      <c r="F51" s="296" t="str">
        <f t="shared" ca="1" si="3"/>
        <v>DZ</v>
      </c>
      <c r="G51" s="296" t="str">
        <f t="shared" ca="1" si="4"/>
        <v>ZDZ</v>
      </c>
      <c r="H51" s="898" t="str">
        <f t="shared" ca="1" si="5"/>
        <v/>
      </c>
      <c r="S51" s="898" t="str">
        <f ca="1"/>
        <v>UDZ</v>
      </c>
      <c r="T51" s="898">
        <f t="shared" ca="1" si="44"/>
        <v>11</v>
      </c>
      <c r="U51" s="898">
        <f t="shared" ca="1" si="14"/>
        <v>11</v>
      </c>
      <c r="AI51" s="89" vm="189">
        <f ca="1"/>
        <v>45728</v>
      </c>
      <c r="AJ51" s="89" vm="190">
        <f ca="1"/>
        <v>919.68</v>
      </c>
      <c r="AN51" s="1322"/>
      <c r="AO51" s="1312" cm="1">
        <f t="array" aca="1" ref="AO51" ca="1">IFERROR(INDEX($AR51:$BS51,
       MATCH(TRUE,
             (($AQ51=LastMark3)*
              (RIGHT($AR$35:$BS$35,3)=RIGHT(LastMark3,2)&amp;"U")*
              ($AR51:$BS51&gt;0))&gt;0,
       0)),0)</f>
        <v>0</v>
      </c>
      <c r="AP51" s="902">
        <f ca="1">SUM(AR21:INDEX(21:21, COLUMN($AR21) +$AQ$35 - 1))</f>
        <v>4</v>
      </c>
      <c r="AQ51" s="1359" t="str">
        <f t="shared" ca="1" si="15"/>
        <v>DUZ</v>
      </c>
      <c r="AR51" s="1352">
        <f t="shared" ref="AR51:BR51" ca="1" si="47">IF(AR21=0,0,AR21/$AP51)</f>
        <v>0</v>
      </c>
      <c r="AS51" s="1353">
        <f t="shared" ca="1" si="47"/>
        <v>0</v>
      </c>
      <c r="AT51" s="1353">
        <f t="shared" ca="1" si="47"/>
        <v>0.25</v>
      </c>
      <c r="AU51" s="1353">
        <f t="shared" ca="1" si="47"/>
        <v>0</v>
      </c>
      <c r="AV51" s="1353">
        <f t="shared" ca="1" si="47"/>
        <v>0</v>
      </c>
      <c r="AW51" s="1353">
        <f t="shared" ca="1" si="47"/>
        <v>0</v>
      </c>
      <c r="AX51" s="1353">
        <f t="shared" ca="1" si="47"/>
        <v>0</v>
      </c>
      <c r="AY51" s="1353">
        <f t="shared" ca="1" si="47"/>
        <v>0</v>
      </c>
      <c r="AZ51" s="1353">
        <f t="shared" ca="1" si="47"/>
        <v>0</v>
      </c>
      <c r="BA51" s="1353">
        <f t="shared" ca="1" si="47"/>
        <v>0</v>
      </c>
      <c r="BB51" s="1353">
        <f t="shared" ca="1" si="47"/>
        <v>0</v>
      </c>
      <c r="BC51" s="1353">
        <f t="shared" ca="1" si="47"/>
        <v>0</v>
      </c>
      <c r="BD51" s="1353">
        <f t="shared" ca="1" si="47"/>
        <v>0</v>
      </c>
      <c r="BE51" s="1353">
        <f t="shared" ca="1" si="47"/>
        <v>0</v>
      </c>
      <c r="BF51" s="1353">
        <f t="shared" ca="1" si="47"/>
        <v>0</v>
      </c>
      <c r="BG51" s="1353">
        <f t="shared" ca="1" si="47"/>
        <v>0</v>
      </c>
      <c r="BH51" s="1353">
        <f t="shared" ca="1" si="47"/>
        <v>0</v>
      </c>
      <c r="BI51" s="1353">
        <f t="shared" ca="1" si="47"/>
        <v>0</v>
      </c>
      <c r="BJ51" s="1353">
        <f t="shared" ca="1" si="47"/>
        <v>0.75</v>
      </c>
      <c r="BK51" s="1353">
        <f t="shared" ca="1" si="47"/>
        <v>0</v>
      </c>
      <c r="BL51" s="1353">
        <f t="shared" ca="1" si="47"/>
        <v>0</v>
      </c>
      <c r="BM51" s="1353">
        <f t="shared" ca="1" si="47"/>
        <v>0</v>
      </c>
      <c r="BN51" s="1353">
        <f t="shared" ca="1" si="47"/>
        <v>0</v>
      </c>
      <c r="BO51" s="1353">
        <f t="shared" ca="1" si="47"/>
        <v>0</v>
      </c>
      <c r="BP51" s="1353">
        <f t="shared" ca="1" si="47"/>
        <v>0</v>
      </c>
      <c r="BQ51" s="1353">
        <f t="shared" ca="1" si="47"/>
        <v>0</v>
      </c>
      <c r="BR51" s="1353">
        <f t="shared" si="47"/>
        <v>0</v>
      </c>
      <c r="BS51" s="1353">
        <f t="shared" ref="BS51" si="48">IF(BS21=0,0,BS21/$AP51)</f>
        <v>0</v>
      </c>
      <c r="BT51" s="1353"/>
      <c r="BU51" s="1353"/>
      <c r="BV51" s="1353"/>
      <c r="BW51" s="1353"/>
    </row>
    <row r="52" spans="2:75" ht="23" customHeight="1">
      <c r="B52" s="89" vm="191">
        <f ca="1"/>
        <v>45888</v>
      </c>
      <c r="C52" s="89" vm="192">
        <f ca="1"/>
        <v>1214.1500000000001</v>
      </c>
      <c r="D52" s="1335">
        <f t="shared" ca="1" si="0"/>
        <v>-2.4849609265193542E-2</v>
      </c>
      <c r="E52" s="296" t="str" cm="1">
        <f t="array" aca="1" ref="E52" ca="1">_xlfn.IFS(D52&gt;0.5%,"U",D52&lt;=-0.5%,"D",TRUE,"Z")</f>
        <v>D</v>
      </c>
      <c r="F52" s="296" t="str">
        <f t="shared" ca="1" si="3"/>
        <v>ZD</v>
      </c>
      <c r="G52" s="296" t="str">
        <f t="shared" ca="1" si="4"/>
        <v>UZD</v>
      </c>
      <c r="H52" s="898" t="str">
        <f t="shared" ca="1" si="5"/>
        <v/>
      </c>
      <c r="S52" s="898" t="str">
        <f ca="1"/>
        <v>UUD</v>
      </c>
      <c r="T52" s="898">
        <f t="shared" ca="1" si="44"/>
        <v>10</v>
      </c>
      <c r="U52" s="898">
        <f t="shared" ca="1" si="14"/>
        <v>12</v>
      </c>
      <c r="X52" s="898">
        <f ca="1">COUNTIF(G5:G25,"??Z")</f>
        <v>6</v>
      </c>
      <c r="AI52" s="89" vm="193">
        <f ca="1"/>
        <v>45729</v>
      </c>
      <c r="AJ52" s="89" vm="194">
        <f ca="1"/>
        <v>890.17</v>
      </c>
      <c r="AN52" s="1322"/>
      <c r="AO52" s="1312" cm="1">
        <f t="array" aca="1" ref="AO52" ca="1">IFERROR(INDEX($AR52:$BS52,
       MATCH(TRUE,
             (($AQ52=LastMark3)*
              (RIGHT($AR$35:$BS$35,3)=RIGHT(LastMark3,2)&amp;"U")*
              ($AR52:$BS52&gt;0))&gt;0,
       0)),0)</f>
        <v>0</v>
      </c>
      <c r="AP52" s="902">
        <f ca="1">SUM(AR22:INDEX(22:22, COLUMN($AR22) +$AQ$35 - 1))</f>
        <v>7</v>
      </c>
      <c r="AQ52" s="1359" t="str">
        <f t="shared" ca="1" si="15"/>
        <v>UDU</v>
      </c>
      <c r="AR52" s="1352">
        <f t="shared" ref="AR52:BR52" ca="1" si="49">IF(AR22=0,0,AR22/$AP52)</f>
        <v>0</v>
      </c>
      <c r="AS52" s="1353">
        <f t="shared" ca="1" si="49"/>
        <v>0</v>
      </c>
      <c r="AT52" s="1353">
        <f t="shared" ca="1" si="49"/>
        <v>0</v>
      </c>
      <c r="AU52" s="1353">
        <f t="shared" ca="1" si="49"/>
        <v>0</v>
      </c>
      <c r="AV52" s="1353">
        <f t="shared" ca="1" si="49"/>
        <v>0.42857142857142855</v>
      </c>
      <c r="AW52" s="1353">
        <f t="shared" ca="1" si="49"/>
        <v>0</v>
      </c>
      <c r="AX52" s="1353">
        <f t="shared" ca="1" si="49"/>
        <v>0</v>
      </c>
      <c r="AY52" s="1353">
        <f t="shared" ca="1" si="49"/>
        <v>0</v>
      </c>
      <c r="AZ52" s="1353">
        <f t="shared" ca="1" si="49"/>
        <v>0</v>
      </c>
      <c r="BA52" s="1353">
        <f t="shared" ca="1" si="49"/>
        <v>0</v>
      </c>
      <c r="BB52" s="1353">
        <f t="shared" ca="1" si="49"/>
        <v>0</v>
      </c>
      <c r="BC52" s="1353">
        <f t="shared" ca="1" si="49"/>
        <v>0</v>
      </c>
      <c r="BD52" s="1353">
        <f t="shared" ca="1" si="49"/>
        <v>0</v>
      </c>
      <c r="BE52" s="1353">
        <f t="shared" ca="1" si="49"/>
        <v>0</v>
      </c>
      <c r="BF52" s="1353">
        <f t="shared" ca="1" si="49"/>
        <v>0</v>
      </c>
      <c r="BG52" s="1353">
        <f t="shared" ca="1" si="49"/>
        <v>0.2857142857142857</v>
      </c>
      <c r="BH52" s="1353">
        <f t="shared" ca="1" si="49"/>
        <v>0</v>
      </c>
      <c r="BI52" s="1353">
        <f t="shared" ca="1" si="49"/>
        <v>0</v>
      </c>
      <c r="BJ52" s="1353">
        <f t="shared" ca="1" si="49"/>
        <v>0</v>
      </c>
      <c r="BK52" s="1353">
        <f t="shared" ca="1" si="49"/>
        <v>0</v>
      </c>
      <c r="BL52" s="1353">
        <f t="shared" ca="1" si="49"/>
        <v>0</v>
      </c>
      <c r="BM52" s="1353">
        <f t="shared" ca="1" si="49"/>
        <v>0</v>
      </c>
      <c r="BN52" s="1353">
        <f t="shared" ca="1" si="49"/>
        <v>0</v>
      </c>
      <c r="BO52" s="1353">
        <f t="shared" ca="1" si="49"/>
        <v>0.2857142857142857</v>
      </c>
      <c r="BP52" s="1353">
        <f t="shared" ca="1" si="49"/>
        <v>0</v>
      </c>
      <c r="BQ52" s="1353">
        <f t="shared" ca="1" si="49"/>
        <v>0</v>
      </c>
      <c r="BR52" s="1353">
        <f t="shared" si="49"/>
        <v>0</v>
      </c>
      <c r="BS52" s="1353">
        <f t="shared" ref="BS52" si="50">IF(BS22=0,0,BS22/$AP52)</f>
        <v>0</v>
      </c>
      <c r="BT52" s="1353"/>
      <c r="BU52" s="1353"/>
      <c r="BV52" s="1353"/>
      <c r="BW52" s="1353"/>
    </row>
    <row r="53" spans="2:75">
      <c r="B53" s="89" vm="195">
        <f ca="1"/>
        <v>45887</v>
      </c>
      <c r="C53" s="89" vm="196">
        <f ca="1"/>
        <v>1245.0899999999999</v>
      </c>
      <c r="D53" s="1335">
        <f t="shared" ca="1" si="0"/>
        <v>4.9558093546954052E-3</v>
      </c>
      <c r="E53" s="296" t="str" cm="1">
        <f t="array" aca="1" ref="E53" ca="1">_xlfn.IFS(D53&gt;0.5%,"U",D53&lt;=-0.5%,"D",TRUE,"Z")</f>
        <v>Z</v>
      </c>
      <c r="F53" s="296" t="str">
        <f t="shared" ca="1" si="3"/>
        <v>UZ</v>
      </c>
      <c r="G53" s="296" t="str">
        <f t="shared" ca="1" si="4"/>
        <v>UUZ</v>
      </c>
      <c r="H53" s="898" t="str">
        <f t="shared" ca="1" si="5"/>
        <v/>
      </c>
      <c r="S53" s="898" t="str">
        <f ca="1"/>
        <v>UUU</v>
      </c>
      <c r="T53" s="898">
        <f t="shared" ca="1" si="44"/>
        <v>10</v>
      </c>
      <c r="U53" s="898">
        <f t="shared" ca="1" si="14"/>
        <v>12</v>
      </c>
      <c r="AI53" s="89" vm="197">
        <f ca="1"/>
        <v>45730</v>
      </c>
      <c r="AJ53" s="89" vm="198">
        <f ca="1"/>
        <v>918</v>
      </c>
      <c r="AN53" s="1322"/>
      <c r="AO53" s="1312" cm="1">
        <f t="array" aca="1" ref="AO53" ca="1">IFERROR(INDEX($AR53:$BS53,
       MATCH(TRUE,
             (($AQ53=LastMark3)*
              (RIGHT($AR$35:$BS$35,3)=RIGHT(LastMark3,2)&amp;"U")*
              ($AR53:$BS53&gt;0))&gt;0,
       0)),0)</f>
        <v>0</v>
      </c>
      <c r="AP53" s="902">
        <f ca="1">SUM(AR23:INDEX(23:23, COLUMN($AR23) +$AQ$35 - 1))</f>
        <v>9</v>
      </c>
      <c r="AQ53" s="1359" t="str">
        <f t="shared" ca="1" si="15"/>
        <v>ZUD</v>
      </c>
      <c r="AR53" s="1352">
        <f t="shared" ref="AR53:BR53" ca="1" si="51">IF(AR23=0,0,AR23/$AP53)</f>
        <v>0</v>
      </c>
      <c r="AS53" s="1353">
        <f t="shared" ca="1" si="51"/>
        <v>0</v>
      </c>
      <c r="AT53" s="1353">
        <f t="shared" ca="1" si="51"/>
        <v>0</v>
      </c>
      <c r="AU53" s="1353">
        <f t="shared" ca="1" si="51"/>
        <v>0</v>
      </c>
      <c r="AV53" s="1353">
        <f t="shared" ca="1" si="51"/>
        <v>0</v>
      </c>
      <c r="AW53" s="1353">
        <f t="shared" ca="1" si="51"/>
        <v>0</v>
      </c>
      <c r="AX53" s="1353">
        <f t="shared" ca="1" si="51"/>
        <v>0</v>
      </c>
      <c r="AY53" s="1353">
        <f t="shared" ca="1" si="51"/>
        <v>0</v>
      </c>
      <c r="AZ53" s="1353">
        <f t="shared" ca="1" si="51"/>
        <v>0</v>
      </c>
      <c r="BA53" s="1353">
        <f t="shared" ca="1" si="51"/>
        <v>0.55555555555555558</v>
      </c>
      <c r="BB53" s="1353">
        <f t="shared" ca="1" si="51"/>
        <v>0</v>
      </c>
      <c r="BC53" s="1353">
        <f t="shared" ca="1" si="51"/>
        <v>0</v>
      </c>
      <c r="BD53" s="1353">
        <f t="shared" ca="1" si="51"/>
        <v>0</v>
      </c>
      <c r="BE53" s="1353">
        <f t="shared" ca="1" si="51"/>
        <v>0</v>
      </c>
      <c r="BF53" s="1353">
        <f t="shared" ca="1" si="51"/>
        <v>0</v>
      </c>
      <c r="BG53" s="1353">
        <f t="shared" ca="1" si="51"/>
        <v>0</v>
      </c>
      <c r="BH53" s="1353">
        <f t="shared" ca="1" si="51"/>
        <v>0.22222222222222221</v>
      </c>
      <c r="BI53" s="1353">
        <f t="shared" ca="1" si="51"/>
        <v>0</v>
      </c>
      <c r="BJ53" s="1353">
        <f t="shared" ca="1" si="51"/>
        <v>0</v>
      </c>
      <c r="BK53" s="1353">
        <f t="shared" ca="1" si="51"/>
        <v>0.22222222222222221</v>
      </c>
      <c r="BL53" s="1353">
        <f t="shared" ca="1" si="51"/>
        <v>0</v>
      </c>
      <c r="BM53" s="1353">
        <f t="shared" ca="1" si="51"/>
        <v>0</v>
      </c>
      <c r="BN53" s="1353">
        <f t="shared" ca="1" si="51"/>
        <v>0</v>
      </c>
      <c r="BO53" s="1353">
        <f t="shared" ca="1" si="51"/>
        <v>0</v>
      </c>
      <c r="BP53" s="1353">
        <f t="shared" ca="1" si="51"/>
        <v>0</v>
      </c>
      <c r="BQ53" s="1353">
        <f t="shared" ca="1" si="51"/>
        <v>0</v>
      </c>
      <c r="BR53" s="1353">
        <f t="shared" si="51"/>
        <v>0</v>
      </c>
      <c r="BS53" s="1353">
        <f t="shared" ref="BS53" si="52">IF(BS23=0,0,BS23/$AP53)</f>
        <v>0</v>
      </c>
      <c r="BT53" s="1353"/>
      <c r="BU53" s="1353"/>
      <c r="BV53" s="1353"/>
      <c r="BW53" s="1353"/>
    </row>
    <row r="54" spans="2:75" ht="23" thickBot="1">
      <c r="B54" s="89" vm="199">
        <f ca="1"/>
        <v>45884</v>
      </c>
      <c r="C54" s="89" vm="200">
        <f ca="1"/>
        <v>1238.95</v>
      </c>
      <c r="D54" s="1335">
        <f t="shared" ca="1" si="0"/>
        <v>6.8180340657912663E-3</v>
      </c>
      <c r="E54" s="296" t="str" cm="1">
        <f t="array" aca="1" ref="E54" ca="1">_xlfn.IFS(D54&gt;0.5%,"U",D54&lt;=-0.5%,"D",TRUE,"Z")</f>
        <v>U</v>
      </c>
      <c r="F54" s="296" t="str">
        <f t="shared" ca="1" si="3"/>
        <v>UU</v>
      </c>
      <c r="G54" s="296" t="str">
        <f t="shared" ca="1" si="4"/>
        <v>DUU</v>
      </c>
      <c r="H54" s="898" t="str">
        <f t="shared" ca="1" si="5"/>
        <v/>
      </c>
      <c r="I54" s="916"/>
      <c r="J54" s="917" t="s">
        <v>11</v>
      </c>
      <c r="K54" s="918" t="s">
        <v>2318</v>
      </c>
      <c r="L54" s="918" t="s">
        <v>2319</v>
      </c>
      <c r="M54" s="918" t="s">
        <v>2320</v>
      </c>
      <c r="N54" s="918" t="s">
        <v>2321</v>
      </c>
      <c r="O54" s="918" t="s">
        <v>2322</v>
      </c>
      <c r="P54" s="918" t="s">
        <v>2323</v>
      </c>
      <c r="Q54" s="919" t="s">
        <v>2324</v>
      </c>
      <c r="S54" s="898" t="str">
        <f ca="1"/>
        <v>DDD</v>
      </c>
      <c r="T54" s="898">
        <f t="shared" ca="1" si="44"/>
        <v>10</v>
      </c>
      <c r="U54" s="898">
        <f t="shared" ca="1" si="14"/>
        <v>12</v>
      </c>
      <c r="AI54" s="89" vm="201">
        <f ca="1"/>
        <v>45733</v>
      </c>
      <c r="AJ54" s="89" vm="202">
        <f ca="1"/>
        <v>950.02</v>
      </c>
      <c r="AN54" s="1322"/>
      <c r="AO54" s="1312" cm="1">
        <f t="array" aca="1" ref="AO54" ca="1">IFERROR(INDEX($AR54:$BS54,
       MATCH(TRUE,
             (($AQ54=LastMark3)*
              (RIGHT($AR$35:$BS$35,3)=RIGHT(LastMark3,2)&amp;"U")*
              ($AR54:$BS54&gt;0))&gt;0,
       0)),0)</f>
        <v>0</v>
      </c>
      <c r="AP54" s="902">
        <f ca="1">SUM(AR24:INDEX(24:24, COLUMN($AR24) +$AQ$35 - 1))</f>
        <v>8</v>
      </c>
      <c r="AQ54" s="1359" t="str">
        <f t="shared" ca="1" si="15"/>
        <v>UZU</v>
      </c>
      <c r="AR54" s="1352">
        <f t="shared" ref="AR54:BR54" ca="1" si="53">IF(AR24=0,0,AR24/$AP54)</f>
        <v>0</v>
      </c>
      <c r="AS54" s="1353">
        <f t="shared" ca="1" si="53"/>
        <v>0</v>
      </c>
      <c r="AT54" s="1353">
        <f t="shared" ca="1" si="53"/>
        <v>0</v>
      </c>
      <c r="AU54" s="1353">
        <f t="shared" ca="1" si="53"/>
        <v>0</v>
      </c>
      <c r="AV54" s="1353">
        <f t="shared" ca="1" si="53"/>
        <v>0</v>
      </c>
      <c r="AW54" s="1353">
        <f t="shared" ca="1" si="53"/>
        <v>0</v>
      </c>
      <c r="AX54" s="1353">
        <f t="shared" ca="1" si="53"/>
        <v>0</v>
      </c>
      <c r="AY54" s="1353">
        <f t="shared" ca="1" si="53"/>
        <v>0</v>
      </c>
      <c r="AZ54" s="1353">
        <f t="shared" ca="1" si="53"/>
        <v>0</v>
      </c>
      <c r="BA54" s="1353">
        <f t="shared" ca="1" si="53"/>
        <v>0</v>
      </c>
      <c r="BB54" s="1353">
        <f t="shared" ca="1" si="53"/>
        <v>0</v>
      </c>
      <c r="BC54" s="1353">
        <f t="shared" ca="1" si="53"/>
        <v>0</v>
      </c>
      <c r="BD54" s="1353">
        <f t="shared" ca="1" si="53"/>
        <v>0</v>
      </c>
      <c r="BE54" s="1353">
        <f t="shared" ca="1" si="53"/>
        <v>0</v>
      </c>
      <c r="BF54" s="1353">
        <f t="shared" ca="1" si="53"/>
        <v>0</v>
      </c>
      <c r="BG54" s="1353">
        <f t="shared" ca="1" si="53"/>
        <v>0</v>
      </c>
      <c r="BH54" s="1353">
        <f t="shared" ca="1" si="53"/>
        <v>0</v>
      </c>
      <c r="BI54" s="1353">
        <f t="shared" ca="1" si="53"/>
        <v>0.5</v>
      </c>
      <c r="BJ54" s="1353">
        <f t="shared" ca="1" si="53"/>
        <v>0</v>
      </c>
      <c r="BK54" s="1353">
        <f t="shared" ca="1" si="53"/>
        <v>0</v>
      </c>
      <c r="BL54" s="1353">
        <f t="shared" ca="1" si="53"/>
        <v>0</v>
      </c>
      <c r="BM54" s="1353">
        <f t="shared" ca="1" si="53"/>
        <v>0.5</v>
      </c>
      <c r="BN54" s="1353">
        <f t="shared" ca="1" si="53"/>
        <v>0</v>
      </c>
      <c r="BO54" s="1353">
        <f t="shared" ca="1" si="53"/>
        <v>0</v>
      </c>
      <c r="BP54" s="1353">
        <f t="shared" ca="1" si="53"/>
        <v>0</v>
      </c>
      <c r="BQ54" s="1353">
        <f t="shared" ca="1" si="53"/>
        <v>0</v>
      </c>
      <c r="BR54" s="1353">
        <f t="shared" si="53"/>
        <v>0</v>
      </c>
      <c r="BS54" s="1353">
        <f t="shared" ref="BS54" si="54">IF(BS24=0,0,BS24/$AP54)</f>
        <v>0</v>
      </c>
      <c r="BT54" s="1353"/>
      <c r="BU54" s="1353"/>
      <c r="BV54" s="1353"/>
      <c r="BW54" s="1353"/>
    </row>
    <row r="55" spans="2:75">
      <c r="B55" s="89" vm="203">
        <f ca="1"/>
        <v>45883</v>
      </c>
      <c r="C55" s="89" vm="204">
        <f ca="1"/>
        <v>1230.56</v>
      </c>
      <c r="D55" s="1335">
        <f t="shared" ca="1" si="0"/>
        <v>2.1686426887183995E-2</v>
      </c>
      <c r="E55" s="296" t="str" cm="1">
        <f t="array" aca="1" ref="E55" ca="1">_xlfn.IFS(D55&gt;0.5%,"U",D55&lt;=-0.5%,"D",TRUE,"Z")</f>
        <v>U</v>
      </c>
      <c r="F55" s="296" t="str">
        <f t="shared" ca="1" si="3"/>
        <v>DU</v>
      </c>
      <c r="G55" s="296" t="str">
        <f t="shared" ca="1" si="4"/>
        <v>UDU</v>
      </c>
      <c r="H55" s="898" t="str">
        <f t="shared" ca="1" si="5"/>
        <v/>
      </c>
      <c r="I55" s="909" t="s">
        <v>11</v>
      </c>
      <c r="J55" s="906">
        <f ca="1">J43/$R55</f>
        <v>0.25</v>
      </c>
      <c r="K55" s="906">
        <f t="shared" ref="K55:Q55" ca="1" si="55">K43/$R55</f>
        <v>0.75</v>
      </c>
      <c r="L55" s="906">
        <f t="shared" ca="1" si="55"/>
        <v>0</v>
      </c>
      <c r="M55" s="906">
        <f t="shared" ca="1" si="55"/>
        <v>0</v>
      </c>
      <c r="N55" s="906">
        <f t="shared" ca="1" si="55"/>
        <v>0</v>
      </c>
      <c r="O55" s="906">
        <f t="shared" ca="1" si="55"/>
        <v>0</v>
      </c>
      <c r="P55" s="906">
        <f t="shared" ca="1" si="55"/>
        <v>0</v>
      </c>
      <c r="Q55" s="906">
        <f t="shared" ca="1" si="55"/>
        <v>0</v>
      </c>
      <c r="R55" s="902">
        <f ca="1">R43</f>
        <v>4</v>
      </c>
      <c r="S55" s="898" t="str">
        <f ca="1"/>
        <v>ZZZ</v>
      </c>
      <c r="T55" s="898">
        <f t="shared" ca="1" si="44"/>
        <v>11</v>
      </c>
      <c r="U55" s="898">
        <f t="shared" ca="1" si="14"/>
        <v>11</v>
      </c>
      <c r="AI55" s="89" vm="205">
        <f ca="1"/>
        <v>45734</v>
      </c>
      <c r="AJ55" s="89" vm="206">
        <f ca="1"/>
        <v>929.98</v>
      </c>
      <c r="AN55" s="1322"/>
      <c r="AO55" s="1312" cm="1">
        <f t="array" aca="1" ref="AO55" ca="1">IFERROR(INDEX($AR55:$BS55,
       MATCH(TRUE,
             (($AQ55=LastMark3)*
              (RIGHT($AR$35:$BS$35,3)=RIGHT(LastMark3,2)&amp;"U")*
              ($AR55:$BS55&gt;0))&gt;0,
       0)),0)</f>
        <v>0</v>
      </c>
      <c r="AP55" s="902">
        <f ca="1">SUM(AR25:INDEX(25:25, COLUMN($AR25) +$AQ$35 - 1))</f>
        <v>6</v>
      </c>
      <c r="AQ55" s="1359" t="str">
        <f t="shared" ca="1" si="15"/>
        <v>UDD</v>
      </c>
      <c r="AR55" s="1352">
        <f t="shared" ref="AR55:BR55" ca="1" si="56">IF(AR25=0,0,AR25/$AP55)</f>
        <v>0</v>
      </c>
      <c r="AS55" s="1353">
        <f t="shared" ca="1" si="56"/>
        <v>0</v>
      </c>
      <c r="AT55" s="1353">
        <f t="shared" ca="1" si="56"/>
        <v>0</v>
      </c>
      <c r="AU55" s="1353">
        <f t="shared" ca="1" si="56"/>
        <v>0</v>
      </c>
      <c r="AV55" s="1353">
        <f t="shared" ca="1" si="56"/>
        <v>0</v>
      </c>
      <c r="AW55" s="1353">
        <f t="shared" ca="1" si="56"/>
        <v>0.5</v>
      </c>
      <c r="AX55" s="1353">
        <f t="shared" ca="1" si="56"/>
        <v>0</v>
      </c>
      <c r="AY55" s="1353">
        <f t="shared" ca="1" si="56"/>
        <v>0</v>
      </c>
      <c r="AZ55" s="1353">
        <f t="shared" ca="1" si="56"/>
        <v>0</v>
      </c>
      <c r="BA55" s="1353">
        <f t="shared" ca="1" si="56"/>
        <v>0</v>
      </c>
      <c r="BB55" s="1353">
        <f t="shared" ca="1" si="56"/>
        <v>0</v>
      </c>
      <c r="BC55" s="1353">
        <f t="shared" ca="1" si="56"/>
        <v>0</v>
      </c>
      <c r="BD55" s="1353">
        <f t="shared" ca="1" si="56"/>
        <v>0.33333333333333331</v>
      </c>
      <c r="BE55" s="1353">
        <f t="shared" ca="1" si="56"/>
        <v>0</v>
      </c>
      <c r="BF55" s="1353">
        <f t="shared" ca="1" si="56"/>
        <v>0.16666666666666666</v>
      </c>
      <c r="BG55" s="1353">
        <f t="shared" ca="1" si="56"/>
        <v>0</v>
      </c>
      <c r="BH55" s="1353">
        <f t="shared" ca="1" si="56"/>
        <v>0</v>
      </c>
      <c r="BI55" s="1353">
        <f t="shared" ca="1" si="56"/>
        <v>0</v>
      </c>
      <c r="BJ55" s="1353">
        <f t="shared" ca="1" si="56"/>
        <v>0</v>
      </c>
      <c r="BK55" s="1353">
        <f t="shared" ca="1" si="56"/>
        <v>0</v>
      </c>
      <c r="BL55" s="1353">
        <f t="shared" ca="1" si="56"/>
        <v>0</v>
      </c>
      <c r="BM55" s="1353">
        <f t="shared" ca="1" si="56"/>
        <v>0</v>
      </c>
      <c r="BN55" s="1353">
        <f t="shared" ca="1" si="56"/>
        <v>0</v>
      </c>
      <c r="BO55" s="1353">
        <f t="shared" ca="1" si="56"/>
        <v>0</v>
      </c>
      <c r="BP55" s="1353">
        <f t="shared" ca="1" si="56"/>
        <v>0</v>
      </c>
      <c r="BQ55" s="1353">
        <f t="shared" ca="1" si="56"/>
        <v>0</v>
      </c>
      <c r="BR55" s="1353">
        <f t="shared" si="56"/>
        <v>0</v>
      </c>
      <c r="BS55" s="1353">
        <f t="shared" ref="BS55" si="57">IF(BS25=0,0,BS25/$AP55)</f>
        <v>0</v>
      </c>
      <c r="BT55" s="1353"/>
      <c r="BU55" s="1353"/>
      <c r="BV55" s="1353"/>
      <c r="BW55" s="1353"/>
    </row>
    <row r="56" spans="2:75">
      <c r="B56" s="89" vm="207">
        <f ca="1"/>
        <v>45882</v>
      </c>
      <c r="C56" s="89" vm="208">
        <f ca="1"/>
        <v>1204.44</v>
      </c>
      <c r="D56" s="1335">
        <f t="shared" ca="1" si="0"/>
        <v>-1.7008357273439474E-2</v>
      </c>
      <c r="E56" s="296" t="str" cm="1">
        <f t="array" aca="1" ref="E56" ca="1">_xlfn.IFS(D56&gt;0.5%,"U",D56&lt;=-0.5%,"D",TRUE,"Z")</f>
        <v>D</v>
      </c>
      <c r="F56" s="296" t="str">
        <f t="shared" ca="1" si="3"/>
        <v>UD</v>
      </c>
      <c r="G56" s="296" t="str">
        <f t="shared" ca="1" si="4"/>
        <v>UUD</v>
      </c>
      <c r="H56" s="898" t="str">
        <f t="shared" ca="1" si="5"/>
        <v/>
      </c>
      <c r="I56" s="909" t="s">
        <v>2318</v>
      </c>
      <c r="J56" s="906">
        <f t="shared" ref="J56:Q62" ca="1" si="58">J44/$R56</f>
        <v>0</v>
      </c>
      <c r="K56" s="906">
        <f t="shared" ca="1" si="58"/>
        <v>0</v>
      </c>
      <c r="L56" s="906">
        <f t="shared" ca="1" si="58"/>
        <v>0.5</v>
      </c>
      <c r="M56" s="906">
        <f t="shared" ca="1" si="58"/>
        <v>0.5</v>
      </c>
      <c r="N56" s="906">
        <f t="shared" ca="1" si="58"/>
        <v>0</v>
      </c>
      <c r="O56" s="906">
        <f t="shared" ca="1" si="58"/>
        <v>0</v>
      </c>
      <c r="P56" s="906">
        <f t="shared" ca="1" si="58"/>
        <v>0</v>
      </c>
      <c r="Q56" s="906">
        <f t="shared" ca="1" si="58"/>
        <v>0</v>
      </c>
      <c r="R56" s="902">
        <f t="shared" ref="R56:R62" ca="1" si="59">R44</f>
        <v>4</v>
      </c>
      <c r="S56" s="898" t="str">
        <f ca="1"/>
        <v>DDZ</v>
      </c>
      <c r="T56" s="898">
        <f t="shared" ca="1" si="44"/>
        <v>12</v>
      </c>
      <c r="U56" s="898">
        <f t="shared" ca="1" si="14"/>
        <v>10</v>
      </c>
      <c r="AI56" s="89" vm="209">
        <f ca="1"/>
        <v>45735</v>
      </c>
      <c r="AJ56" s="89" vm="210">
        <f ca="1"/>
        <v>959.49</v>
      </c>
      <c r="AN56" s="1322"/>
      <c r="AO56" s="1312" cm="1">
        <f t="array" aca="1" ref="AO56" ca="1">IFERROR(INDEX($AR56:$BS56,
       MATCH(TRUE,
             (($AQ56=LastMark3)*
              (RIGHT($AR$35:$BS$35,3)=RIGHT(LastMark3,2)&amp;"U")*
              ($AR56:$BS56&gt;0))&gt;0,
       0)),0)</f>
        <v>0</v>
      </c>
      <c r="AP56" s="902">
        <f ca="1">SUM(AR26:INDEX(26:26, COLUMN($AR26) +$AQ$35 - 1))</f>
        <v>8</v>
      </c>
      <c r="AQ56" s="1359" t="str">
        <f t="shared" ca="1" si="15"/>
        <v>DZU</v>
      </c>
      <c r="AR56" s="1352">
        <f t="shared" ref="AR56:BR56" ca="1" si="60">IF(AR26=0,0,AR26/$AP56)</f>
        <v>0</v>
      </c>
      <c r="AS56" s="1353">
        <f t="shared" ca="1" si="60"/>
        <v>0</v>
      </c>
      <c r="AT56" s="1353">
        <f t="shared" ca="1" si="60"/>
        <v>0</v>
      </c>
      <c r="AU56" s="1353">
        <f t="shared" ca="1" si="60"/>
        <v>0</v>
      </c>
      <c r="AV56" s="1353">
        <f t="shared" ca="1" si="60"/>
        <v>0</v>
      </c>
      <c r="AW56" s="1353">
        <f t="shared" ca="1" si="60"/>
        <v>0</v>
      </c>
      <c r="AX56" s="1353">
        <f t="shared" ca="1" si="60"/>
        <v>0</v>
      </c>
      <c r="AY56" s="1353">
        <f t="shared" ca="1" si="60"/>
        <v>0</v>
      </c>
      <c r="AZ56" s="1353">
        <f t="shared" ca="1" si="60"/>
        <v>0</v>
      </c>
      <c r="BA56" s="1353">
        <f t="shared" ca="1" si="60"/>
        <v>0</v>
      </c>
      <c r="BB56" s="1353">
        <f t="shared" ca="1" si="60"/>
        <v>0</v>
      </c>
      <c r="BC56" s="1353">
        <f t="shared" ca="1" si="60"/>
        <v>0</v>
      </c>
      <c r="BD56" s="1353">
        <f t="shared" ca="1" si="60"/>
        <v>0</v>
      </c>
      <c r="BE56" s="1353">
        <f t="shared" ca="1" si="60"/>
        <v>0</v>
      </c>
      <c r="BF56" s="1353">
        <f t="shared" ca="1" si="60"/>
        <v>0</v>
      </c>
      <c r="BG56" s="1353">
        <f t="shared" ca="1" si="60"/>
        <v>0</v>
      </c>
      <c r="BH56" s="1353">
        <f t="shared" ca="1" si="60"/>
        <v>0</v>
      </c>
      <c r="BI56" s="1353">
        <f t="shared" ca="1" si="60"/>
        <v>0.375</v>
      </c>
      <c r="BJ56" s="1353">
        <f t="shared" ca="1" si="60"/>
        <v>0</v>
      </c>
      <c r="BK56" s="1353">
        <f t="shared" ca="1" si="60"/>
        <v>0</v>
      </c>
      <c r="BL56" s="1353">
        <f t="shared" ca="1" si="60"/>
        <v>0</v>
      </c>
      <c r="BM56" s="1353">
        <f t="shared" ca="1" si="60"/>
        <v>0.375</v>
      </c>
      <c r="BN56" s="1353">
        <f t="shared" ca="1" si="60"/>
        <v>0</v>
      </c>
      <c r="BO56" s="1353">
        <f t="shared" ca="1" si="60"/>
        <v>0</v>
      </c>
      <c r="BP56" s="1353">
        <f t="shared" ca="1" si="60"/>
        <v>0</v>
      </c>
      <c r="BQ56" s="1353">
        <f t="shared" ca="1" si="60"/>
        <v>0.25</v>
      </c>
      <c r="BR56" s="1353">
        <f t="shared" si="60"/>
        <v>0</v>
      </c>
      <c r="BS56" s="1353">
        <f t="shared" ref="BS56" si="61">IF(BS26=0,0,BS26/$AP56)</f>
        <v>0</v>
      </c>
      <c r="BT56" s="1353"/>
      <c r="BU56" s="1353"/>
      <c r="BV56" s="1353"/>
      <c r="BW56" s="1353"/>
    </row>
    <row r="57" spans="2:75">
      <c r="B57" s="89" vm="211">
        <f ca="1"/>
        <v>45881</v>
      </c>
      <c r="C57" s="89" vm="212">
        <f ca="1"/>
        <v>1225.28</v>
      </c>
      <c r="D57" s="1335">
        <f t="shared" ca="1" si="0"/>
        <v>5.7210398010358841E-3</v>
      </c>
      <c r="E57" s="296" t="str" cm="1">
        <f t="array" aca="1" ref="E57" ca="1">_xlfn.IFS(D57&gt;0.5%,"U",D57&lt;=-0.5%,"D",TRUE,"Z")</f>
        <v>U</v>
      </c>
      <c r="F57" s="296" t="str">
        <f t="shared" ca="1" si="3"/>
        <v>UU</v>
      </c>
      <c r="G57" s="296" t="str">
        <f t="shared" ca="1" si="4"/>
        <v>UUU</v>
      </c>
      <c r="H57" s="898" t="str">
        <f t="shared" ca="1" si="5"/>
        <v/>
      </c>
      <c r="I57" s="909" t="s">
        <v>2319</v>
      </c>
      <c r="J57" s="906">
        <f t="shared" ca="1" si="58"/>
        <v>0</v>
      </c>
      <c r="K57" s="906">
        <f t="shared" ca="1" si="58"/>
        <v>0</v>
      </c>
      <c r="L57" s="906">
        <f t="shared" ca="1" si="58"/>
        <v>0</v>
      </c>
      <c r="M57" s="906">
        <f t="shared" ca="1" si="58"/>
        <v>0</v>
      </c>
      <c r="N57" s="906">
        <f t="shared" ca="1" si="58"/>
        <v>0.66666666666666663</v>
      </c>
      <c r="O57" s="906">
        <f t="shared" ca="1" si="58"/>
        <v>0.33333333333333331</v>
      </c>
      <c r="P57" s="906">
        <f t="shared" ca="1" si="58"/>
        <v>0</v>
      </c>
      <c r="Q57" s="906">
        <f t="shared" ca="1" si="58"/>
        <v>0</v>
      </c>
      <c r="R57" s="902">
        <f t="shared" ca="1" si="59"/>
        <v>3</v>
      </c>
      <c r="S57" s="898" t="str">
        <f ca="1"/>
        <v>DUZ</v>
      </c>
      <c r="T57" s="898">
        <f t="shared" ca="1" si="44"/>
        <v>11</v>
      </c>
      <c r="U57" s="898">
        <f t="shared" ca="1" si="14"/>
        <v>11</v>
      </c>
      <c r="AI57" s="89" vm="213">
        <f ca="1"/>
        <v>45736</v>
      </c>
      <c r="AJ57" s="89" vm="214">
        <f ca="1"/>
        <v>950.84</v>
      </c>
      <c r="AN57" s="1322"/>
      <c r="AO57" s="1312" cm="1">
        <f t="array" aca="1" ref="AO57" ca="1">IFERROR(INDEX($AR57:$BS57,
       MATCH(TRUE,
             (($AQ57=LastMark3)*
              (RIGHT($AR$35:$BS$35,3)=RIGHT(LastMark3,2)&amp;"U")*
              ($AR57:$BS57&gt;0))&gt;0,
       0)),0)</f>
        <v>0</v>
      </c>
      <c r="AP57" s="902">
        <f ca="1">SUM(AR27:INDEX(27:27, COLUMN($AR27) +$AQ$35 - 1))</f>
        <v>8</v>
      </c>
      <c r="AQ57" s="1359" t="str">
        <f t="shared" ca="1" si="15"/>
        <v>ZUU</v>
      </c>
      <c r="AR57" s="1352">
        <f t="shared" ref="AR57:BR57" ca="1" si="62">IF(AR27=0,0,AR27/$AP57)</f>
        <v>0</v>
      </c>
      <c r="AS57" s="1353">
        <f t="shared" ca="1" si="62"/>
        <v>0</v>
      </c>
      <c r="AT57" s="1353">
        <f t="shared" ca="1" si="62"/>
        <v>0</v>
      </c>
      <c r="AU57" s="1353">
        <f t="shared" ca="1" si="62"/>
        <v>0.125</v>
      </c>
      <c r="AV57" s="1353">
        <f t="shared" ca="1" si="62"/>
        <v>0</v>
      </c>
      <c r="AW57" s="1353">
        <f t="shared" ca="1" si="62"/>
        <v>0</v>
      </c>
      <c r="AX57" s="1353">
        <f t="shared" ca="1" si="62"/>
        <v>0</v>
      </c>
      <c r="AY57" s="1353">
        <f t="shared" ca="1" si="62"/>
        <v>0</v>
      </c>
      <c r="AZ57" s="1353">
        <f t="shared" ca="1" si="62"/>
        <v>0</v>
      </c>
      <c r="BA57" s="1353">
        <f t="shared" ca="1" si="62"/>
        <v>0</v>
      </c>
      <c r="BB57" s="1353">
        <f t="shared" ca="1" si="62"/>
        <v>0.375</v>
      </c>
      <c r="BC57" s="1353">
        <f t="shared" ca="1" si="62"/>
        <v>0.5</v>
      </c>
      <c r="BD57" s="1353">
        <f t="shared" ca="1" si="62"/>
        <v>0</v>
      </c>
      <c r="BE57" s="1353">
        <f t="shared" ca="1" si="62"/>
        <v>0</v>
      </c>
      <c r="BF57" s="1353">
        <f t="shared" ca="1" si="62"/>
        <v>0</v>
      </c>
      <c r="BG57" s="1353">
        <f t="shared" ca="1" si="62"/>
        <v>0</v>
      </c>
      <c r="BH57" s="1353">
        <f t="shared" ca="1" si="62"/>
        <v>0</v>
      </c>
      <c r="BI57" s="1353">
        <f t="shared" ca="1" si="62"/>
        <v>0</v>
      </c>
      <c r="BJ57" s="1353">
        <f t="shared" ca="1" si="62"/>
        <v>0</v>
      </c>
      <c r="BK57" s="1353">
        <f t="shared" ca="1" si="62"/>
        <v>0</v>
      </c>
      <c r="BL57" s="1353">
        <f t="shared" ca="1" si="62"/>
        <v>0</v>
      </c>
      <c r="BM57" s="1353">
        <f t="shared" ca="1" si="62"/>
        <v>0</v>
      </c>
      <c r="BN57" s="1353">
        <f t="shared" ca="1" si="62"/>
        <v>0</v>
      </c>
      <c r="BO57" s="1353">
        <f t="shared" ca="1" si="62"/>
        <v>0</v>
      </c>
      <c r="BP57" s="1353">
        <f t="shared" ca="1" si="62"/>
        <v>0</v>
      </c>
      <c r="BQ57" s="1353">
        <f t="shared" ca="1" si="62"/>
        <v>0</v>
      </c>
      <c r="BR57" s="1353">
        <f t="shared" si="62"/>
        <v>0</v>
      </c>
      <c r="BS57" s="1353">
        <f t="shared" ref="BS57" si="63">IF(BS27=0,0,BS27/$AP57)</f>
        <v>0</v>
      </c>
      <c r="BT57" s="1353"/>
      <c r="BU57" s="1353"/>
      <c r="BV57" s="1353"/>
      <c r="BW57" s="1353"/>
    </row>
    <row r="58" spans="2:75">
      <c r="B58" s="89" vm="215">
        <f ca="1"/>
        <v>45880</v>
      </c>
      <c r="C58" s="89" vm="216">
        <f ca="1"/>
        <v>1218.31</v>
      </c>
      <c r="D58" s="1335">
        <f t="shared" ca="1" si="0"/>
        <v>5.5049354593772444E-3</v>
      </c>
      <c r="E58" s="296" t="str" cm="1">
        <f t="array" aca="1" ref="E58" ca="1">_xlfn.IFS(D58&gt;0.5%,"U",D58&lt;=-0.5%,"D",TRUE,"Z")</f>
        <v>U</v>
      </c>
      <c r="F58" s="296" t="str">
        <f t="shared" ca="1" si="3"/>
        <v>UU</v>
      </c>
      <c r="G58" s="296" t="str">
        <f t="shared" ca="1" si="4"/>
        <v>ZUU</v>
      </c>
      <c r="H58" s="898" t="str">
        <f t="shared" ca="1" si="5"/>
        <v/>
      </c>
      <c r="I58" s="909" t="s">
        <v>2320</v>
      </c>
      <c r="J58" s="906">
        <f t="shared" ca="1" si="58"/>
        <v>0</v>
      </c>
      <c r="K58" s="906">
        <f t="shared" ca="1" si="58"/>
        <v>0</v>
      </c>
      <c r="L58" s="906">
        <f t="shared" ca="1" si="58"/>
        <v>0</v>
      </c>
      <c r="M58" s="906">
        <f t="shared" ca="1" si="58"/>
        <v>0</v>
      </c>
      <c r="N58" s="906">
        <f t="shared" ca="1" si="58"/>
        <v>0</v>
      </c>
      <c r="O58" s="906">
        <f t="shared" ca="1" si="58"/>
        <v>0</v>
      </c>
      <c r="P58" s="906">
        <f t="shared" ca="1" si="58"/>
        <v>0</v>
      </c>
      <c r="Q58" s="906">
        <f t="shared" ca="1" si="58"/>
        <v>1</v>
      </c>
      <c r="R58" s="902">
        <f t="shared" ca="1" si="59"/>
        <v>3</v>
      </c>
      <c r="S58" s="898" t="str">
        <f ca="1"/>
        <v>UDU</v>
      </c>
      <c r="T58" s="898">
        <f t="shared" ca="1" si="44"/>
        <v>12</v>
      </c>
      <c r="U58" s="898">
        <f t="shared" ca="1" si="14"/>
        <v>10</v>
      </c>
      <c r="AI58" s="89" vm="217">
        <f ca="1"/>
        <v>45737</v>
      </c>
      <c r="AJ58" s="89" vm="218">
        <f ca="1"/>
        <v>960.29</v>
      </c>
      <c r="AN58" s="1322"/>
      <c r="AO58" s="1312" cm="1">
        <f t="array" aca="1" ref="AO58" ca="1">IFERROR(INDEX($AR58:$BS58,
       MATCH(TRUE,
             (($AQ58=LastMark3)*
              (RIGHT($AR$35:$BS$35,3)=RIGHT(LastMark3,2)&amp;"U")*
              ($AR58:$BS58&gt;0))&gt;0,
       0)),0)</f>
        <v>0</v>
      </c>
      <c r="AP58" s="902">
        <f ca="1">SUM(AR28:INDEX(28:28, COLUMN($AR28) +$AQ$35 - 1))</f>
        <v>4</v>
      </c>
      <c r="AQ58" s="1359" t="str">
        <f t="shared" ca="1" si="15"/>
        <v>ZZU</v>
      </c>
      <c r="AR58" s="1352">
        <f t="shared" ref="AR58:BR58" ca="1" si="64">IF(AR28=0,0,AR28/$AP58)</f>
        <v>0</v>
      </c>
      <c r="AS58" s="1353">
        <f t="shared" ca="1" si="64"/>
        <v>0</v>
      </c>
      <c r="AT58" s="1353">
        <f t="shared" ca="1" si="64"/>
        <v>0</v>
      </c>
      <c r="AU58" s="1353">
        <f t="shared" ca="1" si="64"/>
        <v>0</v>
      </c>
      <c r="AV58" s="1353">
        <f t="shared" ca="1" si="64"/>
        <v>0</v>
      </c>
      <c r="AW58" s="1353">
        <f t="shared" ca="1" si="64"/>
        <v>0</v>
      </c>
      <c r="AX58" s="1353">
        <f t="shared" ca="1" si="64"/>
        <v>0</v>
      </c>
      <c r="AY58" s="1353">
        <f t="shared" ca="1" si="64"/>
        <v>0</v>
      </c>
      <c r="AZ58" s="1353">
        <f t="shared" ca="1" si="64"/>
        <v>0</v>
      </c>
      <c r="BA58" s="1353">
        <f t="shared" ca="1" si="64"/>
        <v>0</v>
      </c>
      <c r="BB58" s="1353">
        <f t="shared" ca="1" si="64"/>
        <v>0</v>
      </c>
      <c r="BC58" s="1353">
        <f t="shared" ca="1" si="64"/>
        <v>0</v>
      </c>
      <c r="BD58" s="1353">
        <f t="shared" ca="1" si="64"/>
        <v>0</v>
      </c>
      <c r="BE58" s="1353">
        <f t="shared" ca="1" si="64"/>
        <v>0</v>
      </c>
      <c r="BF58" s="1353">
        <f t="shared" ca="1" si="64"/>
        <v>0</v>
      </c>
      <c r="BG58" s="1353">
        <f t="shared" ca="1" si="64"/>
        <v>0</v>
      </c>
      <c r="BH58" s="1353">
        <f t="shared" ca="1" si="64"/>
        <v>0</v>
      </c>
      <c r="BI58" s="1353">
        <f t="shared" ca="1" si="64"/>
        <v>0.5</v>
      </c>
      <c r="BJ58" s="1353">
        <f t="shared" ca="1" si="64"/>
        <v>0</v>
      </c>
      <c r="BK58" s="1353">
        <f t="shared" ca="1" si="64"/>
        <v>0</v>
      </c>
      <c r="BL58" s="1353">
        <f t="shared" ca="1" si="64"/>
        <v>0</v>
      </c>
      <c r="BM58" s="1353">
        <f t="shared" ca="1" si="64"/>
        <v>0.25</v>
      </c>
      <c r="BN58" s="1353">
        <f t="shared" ca="1" si="64"/>
        <v>0</v>
      </c>
      <c r="BO58" s="1353">
        <f t="shared" ca="1" si="64"/>
        <v>0</v>
      </c>
      <c r="BP58" s="1353">
        <f t="shared" ca="1" si="64"/>
        <v>0</v>
      </c>
      <c r="BQ58" s="1353">
        <f t="shared" ca="1" si="64"/>
        <v>0.25</v>
      </c>
      <c r="BR58" s="1353">
        <f t="shared" si="64"/>
        <v>0</v>
      </c>
      <c r="BS58" s="1353">
        <f t="shared" ref="BS58" si="65">IF(BS28=0,0,BS28/$AP58)</f>
        <v>0</v>
      </c>
      <c r="BT58" s="1353"/>
      <c r="BU58" s="1353"/>
      <c r="BV58" s="1353"/>
      <c r="BW58" s="1353"/>
    </row>
    <row r="59" spans="2:75">
      <c r="B59" s="89" vm="219">
        <f ca="1"/>
        <v>45877</v>
      </c>
      <c r="C59" s="89" vm="220">
        <f ca="1"/>
        <v>1211.6400000000001</v>
      </c>
      <c r="D59" s="1335">
        <f t="shared" ca="1" si="0"/>
        <v>2.6491693282614952E-2</v>
      </c>
      <c r="E59" s="296" t="str" cm="1">
        <f t="array" aca="1" ref="E59" ca="1">_xlfn.IFS(D59&gt;0.5%,"U",D59&lt;=-0.5%,"D",TRUE,"Z")</f>
        <v>U</v>
      </c>
      <c r="F59" s="296" t="str">
        <f t="shared" ca="1" si="3"/>
        <v>ZU</v>
      </c>
      <c r="G59" s="296" t="str">
        <f t="shared" ca="1" si="4"/>
        <v>UZU</v>
      </c>
      <c r="H59" s="898" t="str">
        <f t="shared" ca="1" si="5"/>
        <v/>
      </c>
      <c r="I59" s="909" t="s">
        <v>2321</v>
      </c>
      <c r="J59" s="906">
        <f t="shared" ca="1" si="58"/>
        <v>0.4</v>
      </c>
      <c r="K59" s="906">
        <f t="shared" ca="1" si="58"/>
        <v>0.6</v>
      </c>
      <c r="L59" s="906">
        <f t="shared" ca="1" si="58"/>
        <v>0</v>
      </c>
      <c r="M59" s="906">
        <f t="shared" ca="1" si="58"/>
        <v>0</v>
      </c>
      <c r="N59" s="906">
        <f t="shared" ca="1" si="58"/>
        <v>0</v>
      </c>
      <c r="O59" s="906">
        <f t="shared" ca="1" si="58"/>
        <v>0</v>
      </c>
      <c r="P59" s="906">
        <f t="shared" ca="1" si="58"/>
        <v>0</v>
      </c>
      <c r="Q59" s="906">
        <f t="shared" ca="1" si="58"/>
        <v>0</v>
      </c>
      <c r="R59" s="902">
        <f t="shared" ca="1" si="59"/>
        <v>5</v>
      </c>
      <c r="S59" s="898" t="str">
        <f ca="1"/>
        <v>ZUD</v>
      </c>
      <c r="T59" s="898">
        <f t="shared" ca="1" si="44"/>
        <v>13</v>
      </c>
      <c r="U59" s="898">
        <f t="shared" ca="1" si="14"/>
        <v>9</v>
      </c>
      <c r="AI59" s="89" vm="221">
        <f ca="1"/>
        <v>45740</v>
      </c>
      <c r="AJ59" s="89" vm="222">
        <f ca="1"/>
        <v>971.99</v>
      </c>
      <c r="AN59" s="1322"/>
      <c r="AO59" s="1312" cm="1">
        <f t="array" aca="1" ref="AO59" ca="1">IFERROR(INDEX($AR59:$BS59,
       MATCH(TRUE,
             (($AQ59=LastMark3)*
              (RIGHT($AR$35:$BS$35,3)=RIGHT(LastMark3,2)&amp;"U")*
              ($AR59:$BS59&gt;0))&gt;0,
       0)),0)</f>
        <v>0</v>
      </c>
      <c r="AP59" s="902">
        <f ca="1">SUM(AR29:INDEX(29:29, COLUMN($AR29) +$AQ$35 - 1))</f>
        <v>5</v>
      </c>
      <c r="AQ59" s="1359" t="str">
        <f t="shared" ca="1" si="15"/>
        <v>DUD</v>
      </c>
      <c r="AR59" s="1352">
        <f t="shared" ref="AR59:BR59" ca="1" si="66">IF(AR29=0,0,AR29/$AP59)</f>
        <v>0</v>
      </c>
      <c r="AS59" s="1353">
        <f t="shared" ca="1" si="66"/>
        <v>0</v>
      </c>
      <c r="AT59" s="1353">
        <f t="shared" ca="1" si="66"/>
        <v>0</v>
      </c>
      <c r="AU59" s="1353">
        <f t="shared" ca="1" si="66"/>
        <v>0</v>
      </c>
      <c r="AV59" s="1353">
        <f t="shared" ca="1" si="66"/>
        <v>0</v>
      </c>
      <c r="AW59" s="1353">
        <f t="shared" ca="1" si="66"/>
        <v>0</v>
      </c>
      <c r="AX59" s="1353">
        <f t="shared" ca="1" si="66"/>
        <v>0</v>
      </c>
      <c r="AY59" s="1353">
        <f t="shared" ca="1" si="66"/>
        <v>0</v>
      </c>
      <c r="AZ59" s="1353">
        <f t="shared" ca="1" si="66"/>
        <v>0</v>
      </c>
      <c r="BA59" s="1353">
        <f t="shared" ca="1" si="66"/>
        <v>0.4</v>
      </c>
      <c r="BB59" s="1353">
        <f t="shared" ca="1" si="66"/>
        <v>0</v>
      </c>
      <c r="BC59" s="1353">
        <f t="shared" ca="1" si="66"/>
        <v>0</v>
      </c>
      <c r="BD59" s="1353">
        <f t="shared" ca="1" si="66"/>
        <v>0</v>
      </c>
      <c r="BE59" s="1353">
        <f t="shared" ca="1" si="66"/>
        <v>0</v>
      </c>
      <c r="BF59" s="1353">
        <f t="shared" ca="1" si="66"/>
        <v>0</v>
      </c>
      <c r="BG59" s="1353">
        <f t="shared" ca="1" si="66"/>
        <v>0</v>
      </c>
      <c r="BH59" s="1353">
        <f t="shared" ca="1" si="66"/>
        <v>0.2</v>
      </c>
      <c r="BI59" s="1353">
        <f t="shared" ca="1" si="66"/>
        <v>0</v>
      </c>
      <c r="BJ59" s="1353">
        <f t="shared" ca="1" si="66"/>
        <v>0</v>
      </c>
      <c r="BK59" s="1353">
        <f t="shared" ca="1" si="66"/>
        <v>0.4</v>
      </c>
      <c r="BL59" s="1353">
        <f t="shared" ca="1" si="66"/>
        <v>0</v>
      </c>
      <c r="BM59" s="1353">
        <f t="shared" ca="1" si="66"/>
        <v>0</v>
      </c>
      <c r="BN59" s="1353">
        <f t="shared" ca="1" si="66"/>
        <v>0</v>
      </c>
      <c r="BO59" s="1353">
        <f t="shared" ca="1" si="66"/>
        <v>0</v>
      </c>
      <c r="BP59" s="1353">
        <f t="shared" ca="1" si="66"/>
        <v>0</v>
      </c>
      <c r="BQ59" s="1353">
        <f t="shared" ca="1" si="66"/>
        <v>0</v>
      </c>
      <c r="BR59" s="1353">
        <f t="shared" si="66"/>
        <v>0</v>
      </c>
      <c r="BS59" s="1353">
        <f t="shared" ref="BS59" si="67">IF(BS29=0,0,BS29/$AP59)</f>
        <v>0</v>
      </c>
      <c r="BT59" s="1353"/>
      <c r="BU59" s="1353"/>
      <c r="BV59" s="1353"/>
      <c r="BW59" s="1353"/>
    </row>
    <row r="60" spans="2:75">
      <c r="B60" s="89" vm="223">
        <f ca="1"/>
        <v>45876</v>
      </c>
      <c r="C60" s="89" vm="224">
        <f ca="1"/>
        <v>1180.3699999999999</v>
      </c>
      <c r="D60" s="1335">
        <f t="shared" ca="1" si="0"/>
        <v>1.6037607765934702E-3</v>
      </c>
      <c r="E60" s="296" t="str" cm="1">
        <f t="array" aca="1" ref="E60" ca="1">_xlfn.IFS(D60&gt;0.5%,"U",D60&lt;=-0.5%,"D",TRUE,"Z")</f>
        <v>Z</v>
      </c>
      <c r="F60" s="296" t="str">
        <f t="shared" ca="1" si="3"/>
        <v>UZ</v>
      </c>
      <c r="G60" s="296" t="str">
        <f t="shared" ca="1" si="4"/>
        <v>DUZ</v>
      </c>
      <c r="H60" s="898" t="str">
        <f t="shared" ca="1" si="5"/>
        <v/>
      </c>
      <c r="I60" s="909" t="s">
        <v>2322</v>
      </c>
      <c r="J60" s="906">
        <f t="shared" ca="1" si="58"/>
        <v>0</v>
      </c>
      <c r="K60" s="906">
        <f t="shared" ca="1" si="58"/>
        <v>0</v>
      </c>
      <c r="L60" s="906">
        <f t="shared" ca="1" si="58"/>
        <v>0.33333333333333331</v>
      </c>
      <c r="M60" s="906">
        <f t="shared" ca="1" si="58"/>
        <v>0.66666666666666663</v>
      </c>
      <c r="N60" s="906">
        <f t="shared" ca="1" si="58"/>
        <v>0</v>
      </c>
      <c r="O60" s="906">
        <f t="shared" ca="1" si="58"/>
        <v>0</v>
      </c>
      <c r="P60" s="906">
        <f t="shared" ca="1" si="58"/>
        <v>0</v>
      </c>
      <c r="Q60" s="906">
        <f t="shared" ca="1" si="58"/>
        <v>0</v>
      </c>
      <c r="R60" s="902">
        <f t="shared" ca="1" si="59"/>
        <v>3</v>
      </c>
      <c r="S60" s="898" t="str">
        <f ca="1"/>
        <v>UZU</v>
      </c>
      <c r="T60" s="898">
        <f t="shared" ca="1" si="44"/>
        <v>13</v>
      </c>
      <c r="U60" s="898">
        <f t="shared" ca="1" si="14"/>
        <v>9</v>
      </c>
      <c r="AI60" s="89" vm="225">
        <f ca="1"/>
        <v>45741</v>
      </c>
      <c r="AJ60" s="89" vm="226">
        <f ca="1"/>
        <v>997.28</v>
      </c>
      <c r="AN60" s="1322"/>
      <c r="AO60" s="1312" cm="1">
        <f t="array" aca="1" ref="AO60" ca="1">IFERROR(INDEX($AR60:$BS60,
       MATCH(TRUE,
             (($AQ60=LastMark3)*
              (RIGHT($AR$35:$BS$35,3)=RIGHT(LastMark3,2)&amp;"U")*
              ($AR60:$BS60&gt;0))&gt;0,
       0)),0)</f>
        <v>0</v>
      </c>
      <c r="AP60" s="902">
        <f ca="1">SUM(AR30:INDEX(30:30, COLUMN($AR30) +$AQ$35 - 1))</f>
        <v>3</v>
      </c>
      <c r="AQ60" s="1359" t="str">
        <f t="shared" ca="1" si="15"/>
        <v>ZDU</v>
      </c>
      <c r="AR60" s="1352">
        <f t="shared" ref="AR60:BR60" ca="1" si="68">IF(AR30=0,0,AR30/$AP60)</f>
        <v>0</v>
      </c>
      <c r="AS60" s="1353">
        <f t="shared" ca="1" si="68"/>
        <v>0</v>
      </c>
      <c r="AT60" s="1353">
        <f t="shared" ca="1" si="68"/>
        <v>0</v>
      </c>
      <c r="AU60" s="1353">
        <f t="shared" ca="1" si="68"/>
        <v>0</v>
      </c>
      <c r="AV60" s="1353">
        <f t="shared" ca="1" si="68"/>
        <v>0.66666666666666663</v>
      </c>
      <c r="AW60" s="1353">
        <f t="shared" ca="1" si="68"/>
        <v>0</v>
      </c>
      <c r="AX60" s="1353">
        <f t="shared" ca="1" si="68"/>
        <v>0</v>
      </c>
      <c r="AY60" s="1353">
        <f t="shared" ca="1" si="68"/>
        <v>0</v>
      </c>
      <c r="AZ60" s="1353">
        <f t="shared" ca="1" si="68"/>
        <v>0</v>
      </c>
      <c r="BA60" s="1353">
        <f t="shared" ca="1" si="68"/>
        <v>0</v>
      </c>
      <c r="BB60" s="1353">
        <f t="shared" ca="1" si="68"/>
        <v>0</v>
      </c>
      <c r="BC60" s="1353">
        <f t="shared" ca="1" si="68"/>
        <v>0</v>
      </c>
      <c r="BD60" s="1353">
        <f t="shared" ca="1" si="68"/>
        <v>0</v>
      </c>
      <c r="BE60" s="1353">
        <f t="shared" ca="1" si="68"/>
        <v>0</v>
      </c>
      <c r="BF60" s="1353">
        <f t="shared" ca="1" si="68"/>
        <v>0</v>
      </c>
      <c r="BG60" s="1353">
        <f t="shared" ca="1" si="68"/>
        <v>0</v>
      </c>
      <c r="BH60" s="1353">
        <f t="shared" ca="1" si="68"/>
        <v>0</v>
      </c>
      <c r="BI60" s="1353">
        <f t="shared" ca="1" si="68"/>
        <v>0</v>
      </c>
      <c r="BJ60" s="1353">
        <f t="shared" ca="1" si="68"/>
        <v>0</v>
      </c>
      <c r="BK60" s="1353">
        <f t="shared" ca="1" si="68"/>
        <v>0</v>
      </c>
      <c r="BL60" s="1353">
        <f t="shared" ca="1" si="68"/>
        <v>0</v>
      </c>
      <c r="BM60" s="1353">
        <f t="shared" ca="1" si="68"/>
        <v>0</v>
      </c>
      <c r="BN60" s="1353">
        <f t="shared" ca="1" si="68"/>
        <v>0</v>
      </c>
      <c r="BO60" s="1353">
        <f t="shared" ca="1" si="68"/>
        <v>0.33333333333333331</v>
      </c>
      <c r="BP60" s="1353">
        <f t="shared" ca="1" si="68"/>
        <v>0</v>
      </c>
      <c r="BQ60" s="1353">
        <f t="shared" ca="1" si="68"/>
        <v>0</v>
      </c>
      <c r="BR60" s="1353">
        <f t="shared" si="68"/>
        <v>0</v>
      </c>
      <c r="BS60" s="1353">
        <f t="shared" ref="BS60" si="69">IF(BS30=0,0,BS30/$AP60)</f>
        <v>0</v>
      </c>
      <c r="BT60" s="1353"/>
      <c r="BU60" s="1353"/>
      <c r="BV60" s="1353"/>
      <c r="BW60" s="1353"/>
    </row>
    <row r="61" spans="2:75">
      <c r="B61" s="89" vm="227">
        <f ca="1"/>
        <v>45875</v>
      </c>
      <c r="C61" s="89" vm="228">
        <f ca="1"/>
        <v>1178.48</v>
      </c>
      <c r="D61" s="1335">
        <f t="shared" ca="1" si="0"/>
        <v>2.6666782823839049E-2</v>
      </c>
      <c r="E61" s="296" t="str" cm="1">
        <f t="array" aca="1" ref="E61" ca="1">_xlfn.IFS(D61&gt;0.5%,"U",D61&lt;=-0.5%,"D",TRUE,"Z")</f>
        <v>U</v>
      </c>
      <c r="F61" s="296" t="str">
        <f t="shared" ca="1" si="3"/>
        <v>DU</v>
      </c>
      <c r="G61" s="296" t="str">
        <f t="shared" ca="1" si="4"/>
        <v>UDU</v>
      </c>
      <c r="H61" s="898" t="str">
        <f t="shared" ca="1" si="5"/>
        <v/>
      </c>
      <c r="I61" s="909" t="s">
        <v>2323</v>
      </c>
      <c r="J61" s="906">
        <f t="shared" ca="1" si="58"/>
        <v>0</v>
      </c>
      <c r="K61" s="906">
        <f t="shared" ca="1" si="58"/>
        <v>0</v>
      </c>
      <c r="L61" s="906">
        <f t="shared" ca="1" si="58"/>
        <v>0</v>
      </c>
      <c r="M61" s="906">
        <f t="shared" ca="1" si="58"/>
        <v>0</v>
      </c>
      <c r="N61" s="906">
        <f t="shared" ca="1" si="58"/>
        <v>0.5</v>
      </c>
      <c r="O61" s="906">
        <f t="shared" ca="1" si="58"/>
        <v>0.5</v>
      </c>
      <c r="P61" s="906">
        <f t="shared" ca="1" si="58"/>
        <v>0</v>
      </c>
      <c r="Q61" s="906">
        <f t="shared" ca="1" si="58"/>
        <v>0</v>
      </c>
      <c r="R61" s="902">
        <f t="shared" ca="1" si="59"/>
        <v>4</v>
      </c>
      <c r="S61" s="898" t="str">
        <f ca="1"/>
        <v>UDD</v>
      </c>
      <c r="T61" s="898">
        <f t="shared" ca="1" si="44"/>
        <v>14</v>
      </c>
      <c r="U61" s="898">
        <f t="shared" ca="1" si="14"/>
        <v>8</v>
      </c>
      <c r="AI61" s="89" vm="229">
        <f ca="1"/>
        <v>45742</v>
      </c>
      <c r="AJ61" s="89" vm="230">
        <f ca="1"/>
        <v>970.65</v>
      </c>
      <c r="AN61" s="1322"/>
      <c r="AO61" s="1312" cm="1">
        <f t="array" aca="1" ref="AO61" ca="1">IFERROR(INDEX($AR61:$BS61,
       MATCH(TRUE,
             (($AQ61=LastMark3)*
              (RIGHT($AR$35:$BS$35,3)=RIGHT(LastMark3,2)&amp;"U")*
              ($AR61:$BS61&gt;0))&gt;0,
       0)),0)</f>
        <v>0</v>
      </c>
      <c r="AP61" s="902">
        <f ca="1">SUM(AR31:INDEX(31:31, COLUMN($AR31) +$AQ$35 - 1))</f>
        <v>2</v>
      </c>
      <c r="AQ61" s="1359" t="str">
        <f t="shared" ca="1" si="15"/>
        <v>ZUZ</v>
      </c>
      <c r="AR61" s="1352">
        <f t="shared" ref="AR61:BR61" ca="1" si="70">IF(AR31=0,0,AR31/$AP61)</f>
        <v>0</v>
      </c>
      <c r="AS61" s="1353">
        <f t="shared" ca="1" si="70"/>
        <v>0</v>
      </c>
      <c r="AT61" s="1353">
        <f t="shared" ca="1" si="70"/>
        <v>1</v>
      </c>
      <c r="AU61" s="1353">
        <f t="shared" ca="1" si="70"/>
        <v>0</v>
      </c>
      <c r="AV61" s="1353">
        <f t="shared" ca="1" si="70"/>
        <v>0</v>
      </c>
      <c r="AW61" s="1353">
        <f t="shared" ca="1" si="70"/>
        <v>0</v>
      </c>
      <c r="AX61" s="1353">
        <f t="shared" ca="1" si="70"/>
        <v>0</v>
      </c>
      <c r="AY61" s="1353">
        <f t="shared" ca="1" si="70"/>
        <v>0</v>
      </c>
      <c r="AZ61" s="1353">
        <f t="shared" ca="1" si="70"/>
        <v>0</v>
      </c>
      <c r="BA61" s="1353">
        <f t="shared" ca="1" si="70"/>
        <v>0</v>
      </c>
      <c r="BB61" s="1353">
        <f t="shared" ca="1" si="70"/>
        <v>0</v>
      </c>
      <c r="BC61" s="1353">
        <f t="shared" ca="1" si="70"/>
        <v>0</v>
      </c>
      <c r="BD61" s="1353">
        <f t="shared" ca="1" si="70"/>
        <v>0</v>
      </c>
      <c r="BE61" s="1353">
        <f t="shared" ca="1" si="70"/>
        <v>0</v>
      </c>
      <c r="BF61" s="1353">
        <f t="shared" ca="1" si="70"/>
        <v>0</v>
      </c>
      <c r="BG61" s="1353">
        <f t="shared" ca="1" si="70"/>
        <v>0</v>
      </c>
      <c r="BH61" s="1353">
        <f t="shared" ca="1" si="70"/>
        <v>0</v>
      </c>
      <c r="BI61" s="1353">
        <f t="shared" ca="1" si="70"/>
        <v>0</v>
      </c>
      <c r="BJ61" s="1353">
        <f t="shared" ca="1" si="70"/>
        <v>0</v>
      </c>
      <c r="BK61" s="1353">
        <f t="shared" ca="1" si="70"/>
        <v>0</v>
      </c>
      <c r="BL61" s="1353">
        <f t="shared" ca="1" si="70"/>
        <v>0</v>
      </c>
      <c r="BM61" s="1353">
        <f t="shared" ca="1" si="70"/>
        <v>0</v>
      </c>
      <c r="BN61" s="1353">
        <f t="shared" ca="1" si="70"/>
        <v>0</v>
      </c>
      <c r="BO61" s="1353">
        <f t="shared" ca="1" si="70"/>
        <v>0</v>
      </c>
      <c r="BP61" s="1353">
        <f t="shared" ca="1" si="70"/>
        <v>0</v>
      </c>
      <c r="BQ61" s="1353">
        <f t="shared" ca="1" si="70"/>
        <v>0</v>
      </c>
      <c r="BR61" s="1353">
        <f t="shared" si="70"/>
        <v>0</v>
      </c>
      <c r="BS61" s="1353">
        <f t="shared" ref="BS61" si="71">IF(BS31=0,0,BS31/$AP61)</f>
        <v>0</v>
      </c>
      <c r="BT61" s="1353"/>
      <c r="BU61" s="1353"/>
      <c r="BV61" s="1353"/>
      <c r="BW61" s="1353"/>
    </row>
    <row r="62" spans="2:75">
      <c r="B62" s="89" vm="231">
        <f ca="1"/>
        <v>45874</v>
      </c>
      <c r="C62" s="89" vm="232">
        <f ca="1"/>
        <v>1147.8699999999999</v>
      </c>
      <c r="D62" s="1335">
        <f t="shared" ca="1" si="0"/>
        <v>-1.9743977318337574E-2</v>
      </c>
      <c r="E62" s="296" t="str" cm="1">
        <f t="array" aca="1" ref="E62" ca="1">_xlfn.IFS(D62&gt;0.5%,"U",D62&lt;=-0.5%,"D",TRUE,"Z")</f>
        <v>D</v>
      </c>
      <c r="F62" s="296" t="str">
        <f t="shared" ca="1" si="3"/>
        <v>UD</v>
      </c>
      <c r="G62" s="296" t="str">
        <f t="shared" ca="1" si="4"/>
        <v>ZUD</v>
      </c>
      <c r="H62" s="898" t="str">
        <f t="shared" ca="1" si="5"/>
        <v/>
      </c>
      <c r="I62" s="909" t="s">
        <v>2324</v>
      </c>
      <c r="J62" s="906">
        <f t="shared" ca="1" si="58"/>
        <v>0</v>
      </c>
      <c r="K62" s="906">
        <f t="shared" ca="1" si="58"/>
        <v>0</v>
      </c>
      <c r="L62" s="906">
        <f t="shared" ca="1" si="58"/>
        <v>0</v>
      </c>
      <c r="M62" s="906">
        <f t="shared" ca="1" si="58"/>
        <v>0</v>
      </c>
      <c r="N62" s="906">
        <f t="shared" ca="1" si="58"/>
        <v>0</v>
      </c>
      <c r="O62" s="906">
        <f t="shared" ca="1" si="58"/>
        <v>0</v>
      </c>
      <c r="P62" s="906">
        <f t="shared" ca="1" si="58"/>
        <v>0.42857142857142855</v>
      </c>
      <c r="Q62" s="906">
        <f t="shared" ca="1" si="58"/>
        <v>0.5714285714285714</v>
      </c>
      <c r="R62" s="902">
        <f t="shared" ca="1" si="59"/>
        <v>7</v>
      </c>
      <c r="S62" s="898" t="str">
        <f ca="1"/>
        <v>DZU</v>
      </c>
      <c r="T62" s="898">
        <f t="shared" ca="1" si="44"/>
        <v>15</v>
      </c>
      <c r="U62" s="898">
        <f t="shared" ca="1" si="14"/>
        <v>7</v>
      </c>
      <c r="AI62" s="89" vm="233">
        <f ca="1"/>
        <v>45743</v>
      </c>
      <c r="AJ62" s="89" vm="234">
        <f ca="1"/>
        <v>976.72</v>
      </c>
      <c r="AN62" s="1322"/>
      <c r="AO62" s="1312" cm="1">
        <f t="array" aca="1" ref="AO62" ca="1">IFERROR(INDEX($AR62:$BS62,
       MATCH(TRUE,
             (($AQ62=LastMark3)*
              (RIGHT($AR$35:$BS$35,3)=RIGHT(LastMark3,2)&amp;"U")*
              ($AR62:$BS62&gt;0))&gt;0,
       0)),0)</f>
        <v>0</v>
      </c>
      <c r="AP62" s="902">
        <f ca="1">SUM(AR32:INDEX(32:32, COLUMN($AR32) +$AQ$35 - 1))</f>
        <v>0</v>
      </c>
      <c r="AQ62" s="1359" t="str">
        <f t="shared" ca="1" si="15"/>
        <v>UZZ</v>
      </c>
      <c r="AR62" s="1352">
        <f t="shared" ref="AR62:BR62" si="72">IF(AR32=0,0,AR32/$AP62)</f>
        <v>0</v>
      </c>
      <c r="AS62" s="1353">
        <f t="shared" si="72"/>
        <v>0</v>
      </c>
      <c r="AT62" s="1353">
        <f t="shared" si="72"/>
        <v>0</v>
      </c>
      <c r="AU62" s="1353">
        <f t="shared" si="72"/>
        <v>0</v>
      </c>
      <c r="AV62" s="1353">
        <f t="shared" si="72"/>
        <v>0</v>
      </c>
      <c r="AW62" s="1353">
        <f t="shared" si="72"/>
        <v>0</v>
      </c>
      <c r="AX62" s="1353">
        <f t="shared" si="72"/>
        <v>0</v>
      </c>
      <c r="AY62" s="1353">
        <f t="shared" si="72"/>
        <v>0</v>
      </c>
      <c r="AZ62" s="1353">
        <f t="shared" si="72"/>
        <v>0</v>
      </c>
      <c r="BA62" s="1353">
        <f t="shared" si="72"/>
        <v>0</v>
      </c>
      <c r="BB62" s="1353">
        <f t="shared" si="72"/>
        <v>0</v>
      </c>
      <c r="BC62" s="1353">
        <f t="shared" si="72"/>
        <v>0</v>
      </c>
      <c r="BD62" s="1353">
        <f t="shared" si="72"/>
        <v>0</v>
      </c>
      <c r="BE62" s="1353">
        <f t="shared" si="72"/>
        <v>0</v>
      </c>
      <c r="BF62" s="1353">
        <f t="shared" si="72"/>
        <v>0</v>
      </c>
      <c r="BG62" s="1353">
        <f t="shared" si="72"/>
        <v>0</v>
      </c>
      <c r="BH62" s="1353">
        <f t="shared" si="72"/>
        <v>0</v>
      </c>
      <c r="BI62" s="1353">
        <f t="shared" si="72"/>
        <v>0</v>
      </c>
      <c r="BJ62" s="1353">
        <f t="shared" si="72"/>
        <v>0</v>
      </c>
      <c r="BK62" s="1353">
        <f t="shared" si="72"/>
        <v>0</v>
      </c>
      <c r="BL62" s="1353">
        <f t="shared" si="72"/>
        <v>0</v>
      </c>
      <c r="BM62" s="1353">
        <f t="shared" si="72"/>
        <v>0</v>
      </c>
      <c r="BN62" s="1353">
        <f t="shared" si="72"/>
        <v>0</v>
      </c>
      <c r="BO62" s="1353">
        <f t="shared" si="72"/>
        <v>0</v>
      </c>
      <c r="BP62" s="1353">
        <f t="shared" si="72"/>
        <v>0</v>
      </c>
      <c r="BQ62" s="1353">
        <f t="shared" si="72"/>
        <v>0</v>
      </c>
      <c r="BR62" s="1353">
        <f t="shared" si="72"/>
        <v>0</v>
      </c>
      <c r="BS62" s="1353">
        <f t="shared" ref="BS62" si="73">IF(BS32=0,0,BS32/$AP62)</f>
        <v>0</v>
      </c>
      <c r="BT62" s="1353"/>
      <c r="BU62" s="1353"/>
      <c r="BV62" s="1353"/>
      <c r="BW62" s="1353"/>
    </row>
    <row r="63" spans="2:75" ht="23" thickBot="1">
      <c r="B63" s="89" vm="235">
        <f ca="1"/>
        <v>45873</v>
      </c>
      <c r="C63" s="89" vm="236">
        <f ca="1"/>
        <v>1170.99</v>
      </c>
      <c r="D63" s="1335">
        <f t="shared" ca="1" si="0"/>
        <v>1.0693940963231573E-2</v>
      </c>
      <c r="E63" s="296" t="str" cm="1">
        <f t="array" aca="1" ref="E63" ca="1">_xlfn.IFS(D63&gt;0.5%,"U",D63&lt;=-0.5%,"D",TRUE,"Z")</f>
        <v>U</v>
      </c>
      <c r="F63" s="296" t="str">
        <f t="shared" ca="1" si="3"/>
        <v>ZU</v>
      </c>
      <c r="G63" s="296" t="str">
        <f t="shared" ca="1" si="4"/>
        <v>DZU</v>
      </c>
      <c r="H63" s="898" t="str">
        <f t="shared" ca="1" si="5"/>
        <v/>
      </c>
      <c r="S63" s="898" t="str">
        <f ca="1"/>
        <v>ZUU</v>
      </c>
      <c r="T63" s="898">
        <f t="shared" ca="1" si="44"/>
        <v>14</v>
      </c>
      <c r="U63" s="898">
        <f t="shared" ca="1" si="14"/>
        <v>8</v>
      </c>
      <c r="AI63" s="89" vm="237">
        <f ca="1"/>
        <v>45744</v>
      </c>
      <c r="AJ63" s="89" vm="238">
        <f ca="1"/>
        <v>933.85</v>
      </c>
      <c r="AO63" s="1312" cm="1">
        <f t="array" aca="1" ref="AO63" ca="1">IFERROR(INDEX($AR63:$BS63,
       MATCH(TRUE,
             (($AQ63=LastMark3)*
              (RIGHT($AR$35:$BS$35,3)=RIGHT(LastMark3,2)&amp;"U")*
              ($AR63:$BS63&gt;0))&gt;0,
       0)),0)</f>
        <v>0</v>
      </c>
      <c r="AP63" s="902">
        <f t="shared" ref="AP63" si="74">SUM($AR33:$BS33)</f>
        <v>0</v>
      </c>
      <c r="AQ63" s="1360"/>
      <c r="AR63" s="1355">
        <f t="shared" ref="AR63:BS63" si="75">IF(AR33=0,0,AR33/$AP63)</f>
        <v>0</v>
      </c>
      <c r="AS63" s="1356">
        <f t="shared" si="75"/>
        <v>0</v>
      </c>
      <c r="AT63" s="1356">
        <f t="shared" si="75"/>
        <v>0</v>
      </c>
      <c r="AU63" s="1356">
        <f t="shared" si="75"/>
        <v>0</v>
      </c>
      <c r="AV63" s="1356">
        <f t="shared" si="75"/>
        <v>0</v>
      </c>
      <c r="AW63" s="1356">
        <f t="shared" si="75"/>
        <v>0</v>
      </c>
      <c r="AX63" s="1356">
        <f t="shared" si="75"/>
        <v>0</v>
      </c>
      <c r="AY63" s="1356">
        <f t="shared" si="75"/>
        <v>0</v>
      </c>
      <c r="AZ63" s="1356">
        <f t="shared" si="75"/>
        <v>0</v>
      </c>
      <c r="BA63" s="1356">
        <f t="shared" si="75"/>
        <v>0</v>
      </c>
      <c r="BB63" s="1356">
        <f t="shared" si="75"/>
        <v>0</v>
      </c>
      <c r="BC63" s="1356">
        <f t="shared" si="75"/>
        <v>0</v>
      </c>
      <c r="BD63" s="1356">
        <f t="shared" si="75"/>
        <v>0</v>
      </c>
      <c r="BE63" s="1356">
        <f t="shared" si="75"/>
        <v>0</v>
      </c>
      <c r="BF63" s="1356">
        <f t="shared" si="75"/>
        <v>0</v>
      </c>
      <c r="BG63" s="1356">
        <f t="shared" si="75"/>
        <v>0</v>
      </c>
      <c r="BH63" s="1356">
        <f t="shared" si="75"/>
        <v>0</v>
      </c>
      <c r="BI63" s="1356">
        <f t="shared" si="75"/>
        <v>0</v>
      </c>
      <c r="BJ63" s="1356">
        <f t="shared" si="75"/>
        <v>0</v>
      </c>
      <c r="BK63" s="1356">
        <f t="shared" si="75"/>
        <v>0</v>
      </c>
      <c r="BL63" s="1356">
        <f t="shared" si="75"/>
        <v>0</v>
      </c>
      <c r="BM63" s="1356">
        <f t="shared" si="75"/>
        <v>0</v>
      </c>
      <c r="BN63" s="1356">
        <f t="shared" si="75"/>
        <v>0</v>
      </c>
      <c r="BO63" s="1356">
        <f t="shared" si="75"/>
        <v>0</v>
      </c>
      <c r="BP63" s="1356">
        <f t="shared" si="75"/>
        <v>0</v>
      </c>
      <c r="BQ63" s="1356">
        <f t="shared" si="75"/>
        <v>0</v>
      </c>
      <c r="BR63" s="1356">
        <f t="shared" si="75"/>
        <v>0</v>
      </c>
      <c r="BS63" s="1356">
        <f t="shared" si="75"/>
        <v>0</v>
      </c>
      <c r="BT63" s="1356"/>
      <c r="BU63" s="1356"/>
      <c r="BV63" s="1356"/>
      <c r="BW63" s="1356"/>
    </row>
    <row r="64" spans="2:75">
      <c r="B64" s="89" vm="239">
        <f ca="1"/>
        <v>45870</v>
      </c>
      <c r="C64" s="89" vm="240">
        <f ca="1"/>
        <v>1158.5999999999999</v>
      </c>
      <c r="D64" s="1335">
        <f t="shared" ca="1" si="0"/>
        <v>-6.9001207521147306E-4</v>
      </c>
      <c r="E64" s="296" t="str" cm="1">
        <f t="array" aca="1" ref="E64" ca="1">_xlfn.IFS(D64&gt;0.5%,"U",D64&lt;=-0.5%,"D",TRUE,"Z")</f>
        <v>Z</v>
      </c>
      <c r="F64" s="296" t="str">
        <f t="shared" ca="1" si="3"/>
        <v>DZ</v>
      </c>
      <c r="G64" s="296" t="str">
        <f t="shared" ca="1" si="4"/>
        <v>UDZ</v>
      </c>
      <c r="H64" s="898" t="str">
        <f t="shared" ca="1" si="5"/>
        <v/>
      </c>
      <c r="I64" s="920"/>
      <c r="J64" s="920" t="s">
        <v>2331</v>
      </c>
      <c r="K64" s="909"/>
      <c r="L64" s="909"/>
      <c r="M64" s="909"/>
      <c r="N64" s="909"/>
      <c r="O64" s="909"/>
      <c r="P64" s="909"/>
      <c r="Q64" s="909"/>
      <c r="R64" s="909"/>
      <c r="S64" s="909" t="str">
        <f ca="1"/>
        <v>ZZU</v>
      </c>
      <c r="T64" s="898">
        <f t="shared" ca="1" si="44"/>
        <v>15</v>
      </c>
      <c r="U64" s="898">
        <f t="shared" ca="1" si="14"/>
        <v>7</v>
      </c>
      <c r="AI64" s="89" vm="241">
        <f ca="1"/>
        <v>45747</v>
      </c>
      <c r="AJ64" s="89" vm="242">
        <f ca="1"/>
        <v>932.53</v>
      </c>
      <c r="BP64" s="1312">
        <f t="shared" ref="BP64" si="76">IF(BP34=0,0,BP34/SUM(BP34:CQ34))</f>
        <v>0</v>
      </c>
      <c r="BQ64" s="1312">
        <f t="shared" ref="BQ64" si="77">IF(BQ34=0,0,BQ34/SUM(BQ34:CR34))</f>
        <v>0</v>
      </c>
      <c r="BR64" s="1312">
        <f t="shared" ref="BR64" si="78">IF(BR34=0,0,BR34/SUM(BR34:CS34))</f>
        <v>0</v>
      </c>
      <c r="BS64" s="1312">
        <f t="shared" ref="BS64" si="79">IF(BS34=0,0,BS34/SUM(BS34:CT34))</f>
        <v>0</v>
      </c>
      <c r="BT64" s="1312"/>
      <c r="BU64" s="1312"/>
      <c r="BV64" s="1312"/>
      <c r="BW64" s="1312"/>
    </row>
    <row r="65" spans="2:65">
      <c r="B65" s="89" vm="243">
        <f ca="1"/>
        <v>45869</v>
      </c>
      <c r="C65" s="89" vm="244">
        <f ca="1"/>
        <v>1159.4000000000001</v>
      </c>
      <c r="D65" s="1335">
        <f t="shared" ca="1" si="0"/>
        <v>-2.094240837696331E-2</v>
      </c>
      <c r="E65" s="296" t="str" cm="1">
        <f t="array" aca="1" ref="E65" ca="1">_xlfn.IFS(D65&gt;0.5%,"U",D65&lt;=-0.5%,"D",TRUE,"Z")</f>
        <v>D</v>
      </c>
      <c r="F65" s="296" t="str">
        <f t="shared" ca="1" si="3"/>
        <v>UD</v>
      </c>
      <c r="G65" s="296" t="str">
        <f t="shared" ca="1" si="4"/>
        <v>ZUD</v>
      </c>
      <c r="H65" s="898" t="str">
        <f t="shared" ca="1" si="5"/>
        <v/>
      </c>
      <c r="I65" s="897"/>
      <c r="J65" s="898" t="s">
        <v>2317</v>
      </c>
      <c r="S65" s="898" t="str">
        <f ca="1"/>
        <v>DUD</v>
      </c>
      <c r="T65" s="898">
        <f t="shared" ca="1" si="44"/>
        <v>15</v>
      </c>
      <c r="U65" s="898">
        <f t="shared" ca="1" si="14"/>
        <v>7</v>
      </c>
      <c r="AI65" s="89" vm="245">
        <f ca="1"/>
        <v>45748</v>
      </c>
      <c r="AJ65" s="89" vm="246">
        <f ca="1"/>
        <v>928.38</v>
      </c>
    </row>
    <row r="66" spans="2:65" ht="23" thickBot="1">
      <c r="B66" s="89" vm="247">
        <f ca="1"/>
        <v>45868</v>
      </c>
      <c r="C66" s="89" vm="248">
        <f ca="1"/>
        <v>1184.2</v>
      </c>
      <c r="D66" s="1335">
        <f t="shared" ca="1" si="0"/>
        <v>1.3227920666700923E-2</v>
      </c>
      <c r="E66" s="296" t="str" cm="1">
        <f t="array" aca="1" ref="E66" ca="1">_xlfn.IFS(D66&gt;0.5%,"U",D66&lt;=-0.5%,"D",TRUE,"Z")</f>
        <v>U</v>
      </c>
      <c r="F66" s="296" t="str">
        <f t="shared" ca="1" si="3"/>
        <v>ZU</v>
      </c>
      <c r="G66" s="296" t="str">
        <f t="shared" ca="1" si="4"/>
        <v>ZZU</v>
      </c>
      <c r="H66" s="898" t="str">
        <f t="shared" ca="1" si="5"/>
        <v/>
      </c>
      <c r="J66" s="898">
        <f ca="1">COUNTIF(G$5:$G25,J67)</f>
        <v>2</v>
      </c>
      <c r="K66" s="898">
        <f ca="1">COUNTIF($G$5:I25,K67)</f>
        <v>2</v>
      </c>
      <c r="L66" s="898">
        <f ca="1">COUNTIF($G$5:J25,L67)</f>
        <v>0</v>
      </c>
      <c r="M66" s="898">
        <f ca="1">COUNTIF($G$5:K25,M67)</f>
        <v>2</v>
      </c>
      <c r="N66" s="898">
        <f ca="1">COUNTIF($G$5:L25,N67)</f>
        <v>0</v>
      </c>
      <c r="O66" s="898">
        <f ca="1">COUNTIF($G$5:M25,O67)</f>
        <v>0</v>
      </c>
      <c r="P66" s="898">
        <f ca="1">COUNTIF($G$5:N25,P67)</f>
        <v>1</v>
      </c>
      <c r="Q66" s="898">
        <f ca="1">COUNTIF($G$5:O25,Q67)</f>
        <v>2</v>
      </c>
      <c r="R66" s="898">
        <f ca="1">SUM(J66:Q66)</f>
        <v>9</v>
      </c>
      <c r="S66" s="898" t="str">
        <f ca="1"/>
        <v>ZDU</v>
      </c>
      <c r="T66" s="898">
        <f t="shared" ca="1" si="44"/>
        <v>14</v>
      </c>
      <c r="U66" s="898">
        <f t="shared" ca="1" si="14"/>
        <v>8</v>
      </c>
      <c r="AI66" s="89" vm="249">
        <f ca="1"/>
        <v>45749</v>
      </c>
      <c r="AJ66" s="89" vm="250">
        <f ca="1"/>
        <v>935.52</v>
      </c>
    </row>
    <row r="67" spans="2:65" ht="23" thickBot="1">
      <c r="B67" s="89" vm="251">
        <f ca="1"/>
        <v>45867</v>
      </c>
      <c r="C67" s="89" vm="252">
        <f ca="1"/>
        <v>1168.74</v>
      </c>
      <c r="D67" s="1335">
        <f t="shared" ca="1" si="0"/>
        <v>-4.9889324025199216E-3</v>
      </c>
      <c r="E67" s="296" t="str" cm="1">
        <f t="array" aca="1" ref="E67" ca="1">_xlfn.IFS(D67&gt;0.5%,"U",D67&lt;=-0.5%,"D",TRUE,"Z")</f>
        <v>Z</v>
      </c>
      <c r="F67" s="296" t="str">
        <f t="shared" ca="1" si="3"/>
        <v>ZZ</v>
      </c>
      <c r="G67" s="296" t="str">
        <f t="shared" ca="1" si="4"/>
        <v>ZZZ</v>
      </c>
      <c r="H67" s="898" t="str">
        <f t="shared" ca="1" si="5"/>
        <v/>
      </c>
      <c r="I67" s="1274" t="s">
        <v>2589</v>
      </c>
      <c r="J67" s="898" t="s">
        <v>11</v>
      </c>
      <c r="K67" s="898" t="s">
        <v>2318</v>
      </c>
      <c r="L67" s="898" t="s">
        <v>2319</v>
      </c>
      <c r="M67" s="898" t="s">
        <v>2320</v>
      </c>
      <c r="N67" s="898" t="s">
        <v>2321</v>
      </c>
      <c r="O67" s="898" t="s">
        <v>2322</v>
      </c>
      <c r="P67" s="898" t="s">
        <v>2323</v>
      </c>
      <c r="Q67" s="898" t="s">
        <v>2324</v>
      </c>
      <c r="S67" s="898" t="str">
        <f ca="1"/>
        <v>ZUZ</v>
      </c>
      <c r="T67" s="898">
        <f t="shared" ca="1" si="44"/>
        <v>14</v>
      </c>
      <c r="U67" s="898">
        <f t="shared" ca="1" si="14"/>
        <v>8</v>
      </c>
      <c r="AI67" s="89" vm="253">
        <f ca="1"/>
        <v>45750</v>
      </c>
      <c r="AJ67" s="89" vm="254">
        <f ca="1"/>
        <v>917.05</v>
      </c>
    </row>
    <row r="68" spans="2:65">
      <c r="B68" s="89" vm="255">
        <f ca="1"/>
        <v>45866</v>
      </c>
      <c r="C68" s="89" vm="256">
        <f ca="1"/>
        <v>1174.5999999999999</v>
      </c>
      <c r="D68" s="1335">
        <f t="shared" ca="1" si="0"/>
        <v>-4.9894535320079798E-3</v>
      </c>
      <c r="E68" s="296" t="str" cm="1">
        <f t="array" aca="1" ref="E68" ca="1">_xlfn.IFS(D68&gt;0.5%,"U",D68&lt;=-0.5%,"D",TRUE,"Z")</f>
        <v>Z</v>
      </c>
      <c r="F68" s="296" t="str">
        <f t="shared" ca="1" si="3"/>
        <v>ZZ</v>
      </c>
      <c r="G68" s="296" t="str">
        <f t="shared" ca="1" si="4"/>
        <v>ZZZ</v>
      </c>
      <c r="H68" s="898" t="str">
        <f t="shared" ca="1" si="5"/>
        <v/>
      </c>
      <c r="I68" s="898" t="s">
        <v>11</v>
      </c>
      <c r="J68" s="898" cm="1">
        <f t="array" aca="1" ref="J68" ca="1">SUM( --( ($G$6:$G$25=$I68) * ($G$5:$G$24=J$67) ) )</f>
        <v>1</v>
      </c>
      <c r="K68" s="898" cm="1">
        <f t="array" aca="1" ref="K68" ca="1">SUM( --( ($G$6:$G$25=$I68) * ($G$5:$G$24=K$67) ) )</f>
        <v>1</v>
      </c>
      <c r="L68" s="898" cm="1">
        <f t="array" aca="1" ref="L68" ca="1">SUM( --( ($G$6:$G$25=$I68) * ($G$5:$G$24=L$67) ) )</f>
        <v>0</v>
      </c>
      <c r="M68" s="898" cm="1">
        <f t="array" aca="1" ref="M68" ca="1">SUM( --( ($G$6:$G$25=$I68) * ($G$5:$G$24=M$67) ) )</f>
        <v>0</v>
      </c>
      <c r="N68" s="898" cm="1">
        <f t="array" aca="1" ref="N68" ca="1">SUM( --( ($G$6:$G$25=$I68) * ($G$5:$G$24=N$67) ) )</f>
        <v>0</v>
      </c>
      <c r="O68" s="898" cm="1">
        <f t="array" aca="1" ref="O68" ca="1">SUM( --( ($G$6:$G$25=$I68) * ($G$5:$G$24=O$67) ) )</f>
        <v>0</v>
      </c>
      <c r="P68" s="898" cm="1">
        <f t="array" aca="1" ref="P68" ca="1">SUM( --( ($G$6:$G$25=$I68) * ($G$5:$G$24=P$67) ) )</f>
        <v>0</v>
      </c>
      <c r="Q68" s="898" cm="1">
        <f t="array" aca="1" ref="Q68" ca="1">SUM( --( ($G$6:$G$25=$I68) * ($G$5:$G$24=Q$67) ) )</f>
        <v>0</v>
      </c>
      <c r="R68" s="898">
        <f ca="1">SUM(J68:Q68)</f>
        <v>2</v>
      </c>
      <c r="S68" s="898" t="str">
        <f ca="1"/>
        <v>UZZ</v>
      </c>
      <c r="T68" s="898">
        <f t="shared" ca="1" si="44"/>
        <v>13</v>
      </c>
      <c r="U68" s="898">
        <f t="shared" ca="1" si="14"/>
        <v>9</v>
      </c>
      <c r="AI68" s="89" vm="257">
        <f ca="1"/>
        <v>45751</v>
      </c>
      <c r="AJ68" s="89" vm="258">
        <f ca="1"/>
        <v>855.86</v>
      </c>
    </row>
    <row r="69" spans="2:65">
      <c r="B69" s="89" vm="259">
        <f ca="1"/>
        <v>45863</v>
      </c>
      <c r="C69" s="89" vm="260">
        <f ca="1"/>
        <v>1180.49</v>
      </c>
      <c r="D69" s="1335">
        <f t="shared" ref="D69:D132" ca="1" si="80">IFERROR((C69-C70)/C70,0)</f>
        <v>-2.2866628273313951E-4</v>
      </c>
      <c r="E69" s="296" t="str" cm="1">
        <f t="array" aca="1" ref="E69" ca="1">_xlfn.IFS(D69&gt;0.5%,"U",D69&lt;=-0.5%,"D",TRUE,"Z")</f>
        <v>Z</v>
      </c>
      <c r="F69" s="296" t="str">
        <f t="shared" ca="1" si="3"/>
        <v>ZZ</v>
      </c>
      <c r="G69" s="296" t="str">
        <f t="shared" ca="1" si="4"/>
        <v>DZZ</v>
      </c>
      <c r="H69" s="898" t="str">
        <f t="shared" ca="1" si="5"/>
        <v/>
      </c>
      <c r="I69" s="898" t="s">
        <v>2318</v>
      </c>
      <c r="J69" s="898" cm="1">
        <f t="array" aca="1" ref="J69" ca="1">SUM( --( ($G$6:$G$25=$I69) * ($G$5:$G$24=J$67) ) )</f>
        <v>0</v>
      </c>
      <c r="K69" s="898" cm="1">
        <f t="array" aca="1" ref="K69" ca="1">SUM( --( ($G$6:$G$25=$I69) * ($G$5:$G$24=K$67) ) )</f>
        <v>0</v>
      </c>
      <c r="L69" s="898" cm="1">
        <f t="array" aca="1" ref="L69" ca="1">SUM( --( ($G$6:$G$25=$I69) * ($G$5:$G$24=L$67) ) )</f>
        <v>0</v>
      </c>
      <c r="M69" s="898" cm="1">
        <f t="array" aca="1" ref="M69" ca="1">SUM( --( ($G$6:$G$25=$I69) * ($G$5:$G$24=M$67) ) )</f>
        <v>2</v>
      </c>
      <c r="N69" s="898" cm="1">
        <f t="array" aca="1" ref="N69" ca="1">SUM( --( ($G$6:$G$25=$I69) * ($G$5:$G$24=N$67) ) )</f>
        <v>0</v>
      </c>
      <c r="O69" s="898" cm="1">
        <f t="array" aca="1" ref="O69" ca="1">SUM( --( ($G$6:$G$25=$I69) * ($G$5:$G$24=O$67) ) )</f>
        <v>0</v>
      </c>
      <c r="P69" s="898" cm="1">
        <f t="array" aca="1" ref="P69" ca="1">SUM( --( ($G$6:$G$25=$I69) * ($G$5:$G$24=P$67) ) )</f>
        <v>0</v>
      </c>
      <c r="Q69" s="898" cm="1">
        <f t="array" aca="1" ref="Q69" ca="1">SUM( --( ($G$6:$G$25=$I69) * ($G$5:$G$24=Q$67) ) )</f>
        <v>0</v>
      </c>
      <c r="R69" s="898">
        <f t="shared" ref="R69:R75" ca="1" si="81">SUM(J69:Q69)</f>
        <v>2</v>
      </c>
      <c r="T69" s="898">
        <f t="shared" ca="1" si="44"/>
        <v>13</v>
      </c>
      <c r="U69" s="898">
        <f t="shared" ref="U69:U100" ca="1" si="82">COUNTIF(D69:D90,"&gt;0")</f>
        <v>9</v>
      </c>
      <c r="AI69" s="89" vm="261">
        <f ca="1"/>
        <v>45754</v>
      </c>
      <c r="AJ69" s="89" vm="262">
        <f ca="1"/>
        <v>867.83</v>
      </c>
    </row>
    <row r="70" spans="2:65">
      <c r="B70" s="89" vm="263">
        <f ca="1"/>
        <v>45862</v>
      </c>
      <c r="C70" s="89" vm="264">
        <f ca="1"/>
        <v>1180.76</v>
      </c>
      <c r="D70" s="1335">
        <f t="shared" ca="1" si="80"/>
        <v>3.3821105049372168E-3</v>
      </c>
      <c r="E70" s="296" t="str" cm="1">
        <f t="array" aca="1" ref="E70" ca="1">_xlfn.IFS(D70&gt;0.5%,"U",D70&lt;=-0.5%,"D",TRUE,"Z")</f>
        <v>Z</v>
      </c>
      <c r="F70" s="296" t="str">
        <f t="shared" ref="F70:F133" ca="1" si="83">_xlfn.CONCAT(E71,E70)</f>
        <v>DZ</v>
      </c>
      <c r="G70" s="296" t="str">
        <f t="shared" ref="G70:G133" ca="1" si="84">_xlfn.CONCAT(E72,E71,E70)</f>
        <v>DDZ</v>
      </c>
      <c r="H70" s="898" t="str">
        <f t="shared" ref="H70:H133" ca="1" si="85">IF(LEFT(G70,2)="DD","DD","")</f>
        <v>DD</v>
      </c>
      <c r="I70" s="898" t="s">
        <v>2319</v>
      </c>
      <c r="J70" s="898" cm="1">
        <f t="array" aca="1" ref="J70" ca="1">SUM( --( ($G$6:$G$25=$I70) * ($G$5:$G$24=J$67) ) )</f>
        <v>0</v>
      </c>
      <c r="K70" s="898" cm="1">
        <f t="array" aca="1" ref="K70" ca="1">SUM( --( ($G$6:$G$25=$I70) * ($G$5:$G$24=K$67) ) )</f>
        <v>0</v>
      </c>
      <c r="L70" s="898" cm="1">
        <f t="array" aca="1" ref="L70" ca="1">SUM( --( ($G$6:$G$25=$I70) * ($G$5:$G$24=L$67) ) )</f>
        <v>0</v>
      </c>
      <c r="M70" s="898" cm="1">
        <f t="array" aca="1" ref="M70" ca="1">SUM( --( ($G$6:$G$25=$I70) * ($G$5:$G$24=M$67) ) )</f>
        <v>0</v>
      </c>
      <c r="N70" s="898" cm="1">
        <f t="array" aca="1" ref="N70" ca="1">SUM( --( ($G$6:$G$25=$I70) * ($G$5:$G$24=N$67) ) )</f>
        <v>0</v>
      </c>
      <c r="O70" s="898" cm="1">
        <f t="array" aca="1" ref="O70" ca="1">SUM( --( ($G$6:$G$25=$I70) * ($G$5:$G$24=O$67) ) )</f>
        <v>0</v>
      </c>
      <c r="P70" s="898" cm="1">
        <f t="array" aca="1" ref="P70" ca="1">SUM( --( ($G$6:$G$25=$I70) * ($G$5:$G$24=P$67) ) )</f>
        <v>0</v>
      </c>
      <c r="Q70" s="898" cm="1">
        <f t="array" aca="1" ref="Q70" ca="1">SUM( --( ($G$6:$G$25=$I70) * ($G$5:$G$24=Q$67) ) )</f>
        <v>0</v>
      </c>
      <c r="R70" s="898">
        <f t="shared" ca="1" si="81"/>
        <v>0</v>
      </c>
      <c r="T70" s="898">
        <f t="shared" ca="1" si="44"/>
        <v>12</v>
      </c>
      <c r="U70" s="898">
        <f t="shared" ca="1" si="82"/>
        <v>10</v>
      </c>
      <c r="AI70" s="89" vm="265">
        <f ca="1"/>
        <v>45755</v>
      </c>
      <c r="AJ70" s="89" vm="266">
        <f ca="1"/>
        <v>870.4</v>
      </c>
    </row>
    <row r="71" spans="2:65">
      <c r="B71" s="89" vm="267">
        <f ca="1"/>
        <v>45861</v>
      </c>
      <c r="C71" s="89" vm="268">
        <f ca="1"/>
        <v>1176.78</v>
      </c>
      <c r="D71" s="1335">
        <f t="shared" ca="1" si="80"/>
        <v>-1.1175719279376139E-2</v>
      </c>
      <c r="E71" s="296" t="str" cm="1">
        <f t="array" aca="1" ref="E71" ca="1">_xlfn.IFS(D71&gt;0.5%,"U",D71&lt;=-0.5%,"D",TRUE,"Z")</f>
        <v>D</v>
      </c>
      <c r="F71" s="296" t="str">
        <f t="shared" ca="1" si="83"/>
        <v>DD</v>
      </c>
      <c r="G71" s="296" t="str">
        <f t="shared" ca="1" si="84"/>
        <v>UDD</v>
      </c>
      <c r="H71" s="898" t="str">
        <f t="shared" ca="1" si="85"/>
        <v/>
      </c>
      <c r="I71" s="898" t="s">
        <v>2320</v>
      </c>
      <c r="J71" s="898" cm="1">
        <f t="array" aca="1" ref="J71" ca="1">SUM( --( ($G$6:$G$25=$I71) * ($G$5:$G$24=J$67) ) )</f>
        <v>0</v>
      </c>
      <c r="K71" s="898" cm="1">
        <f t="array" aca="1" ref="K71" ca="1">SUM( --( ($G$6:$G$25=$I71) * ($G$5:$G$24=K$67) ) )</f>
        <v>0</v>
      </c>
      <c r="L71" s="898" cm="1">
        <f t="array" aca="1" ref="L71" ca="1">SUM( --( ($G$6:$G$25=$I71) * ($G$5:$G$24=L$67) ) )</f>
        <v>0</v>
      </c>
      <c r="M71" s="898" cm="1">
        <f t="array" aca="1" ref="M71" ca="1">SUM( --( ($G$6:$G$25=$I71) * ($G$5:$G$24=M$67) ) )</f>
        <v>0</v>
      </c>
      <c r="N71" s="898" cm="1">
        <f t="array" aca="1" ref="N71" ca="1">SUM( --( ($G$6:$G$25=$I71) * ($G$5:$G$24=N$67) ) )</f>
        <v>0</v>
      </c>
      <c r="O71" s="898" cm="1">
        <f t="array" aca="1" ref="O71" ca="1">SUM( --( ($G$6:$G$25=$I71) * ($G$5:$G$24=O$67) ) )</f>
        <v>0</v>
      </c>
      <c r="P71" s="898" cm="1">
        <f t="array" aca="1" ref="P71" ca="1">SUM( --( ($G$6:$G$25=$I71) * ($G$5:$G$24=P$67) ) )</f>
        <v>0</v>
      </c>
      <c r="Q71" s="898" cm="1">
        <f t="array" aca="1" ref="Q71" ca="1">SUM( --( ($G$6:$G$25=$I71) * ($G$5:$G$24=Q$67) ) )</f>
        <v>1</v>
      </c>
      <c r="R71" s="898">
        <f t="shared" ca="1" si="81"/>
        <v>1</v>
      </c>
      <c r="T71" s="898">
        <f t="shared" ca="1" si="44"/>
        <v>12</v>
      </c>
      <c r="U71" s="898">
        <f t="shared" ca="1" si="82"/>
        <v>10</v>
      </c>
      <c r="AI71" s="89" vm="269">
        <f ca="1"/>
        <v>45756</v>
      </c>
      <c r="AJ71" s="89" vm="270">
        <f ca="1"/>
        <v>945.47</v>
      </c>
    </row>
    <row r="72" spans="2:65">
      <c r="B72" s="89" vm="271">
        <f ca="1"/>
        <v>45860</v>
      </c>
      <c r="C72" s="89" vm="272">
        <f ca="1"/>
        <v>1190.08</v>
      </c>
      <c r="D72" s="1335">
        <f t="shared" ca="1" si="80"/>
        <v>-3.5020717280076587E-2</v>
      </c>
      <c r="E72" s="296" t="str" cm="1">
        <f t="array" aca="1" ref="E72" ca="1">_xlfn.IFS(D72&gt;0.5%,"U",D72&lt;=-0.5%,"D",TRUE,"Z")</f>
        <v>D</v>
      </c>
      <c r="F72" s="296" t="str">
        <f t="shared" ca="1" si="83"/>
        <v>UD</v>
      </c>
      <c r="G72" s="296" t="str">
        <f t="shared" ca="1" si="84"/>
        <v>DUD</v>
      </c>
      <c r="H72" s="898" t="str">
        <f t="shared" ca="1" si="85"/>
        <v/>
      </c>
      <c r="I72" s="898" t="s">
        <v>2321</v>
      </c>
      <c r="J72" s="898" cm="1">
        <f t="array" aca="1" ref="J72" ca="1">SUM( --( ($G$6:$G$25=$I72) * ($G$5:$G$24=J$67) ) )</f>
        <v>0</v>
      </c>
      <c r="K72" s="898" cm="1">
        <f t="array" aca="1" ref="K72" ca="1">SUM( --( ($G$6:$G$25=$I72) * ($G$5:$G$24=K$67) ) )</f>
        <v>0</v>
      </c>
      <c r="L72" s="898" cm="1">
        <f t="array" aca="1" ref="L72" ca="1">SUM( --( ($G$6:$G$25=$I72) * ($G$5:$G$24=L$67) ) )</f>
        <v>0</v>
      </c>
      <c r="M72" s="898" cm="1">
        <f t="array" aca="1" ref="M72" ca="1">SUM( --( ($G$6:$G$25=$I72) * ($G$5:$G$24=M$67) ) )</f>
        <v>0</v>
      </c>
      <c r="N72" s="898" cm="1">
        <f t="array" aca="1" ref="N72" ca="1">SUM( --( ($G$6:$G$25=$I72) * ($G$5:$G$24=N$67) ) )</f>
        <v>0</v>
      </c>
      <c r="O72" s="898" cm="1">
        <f t="array" aca="1" ref="O72" ca="1">SUM( --( ($G$6:$G$25=$I72) * ($G$5:$G$24=O$67) ) )</f>
        <v>0</v>
      </c>
      <c r="P72" s="898" cm="1">
        <f t="array" aca="1" ref="P72" ca="1">SUM( --( ($G$6:$G$25=$I72) * ($G$5:$G$24=P$67) ) )</f>
        <v>0</v>
      </c>
      <c r="Q72" s="898" cm="1">
        <f t="array" aca="1" ref="Q72" ca="1">SUM( --( ($G$6:$G$25=$I72) * ($G$5:$G$24=Q$67) ) )</f>
        <v>0</v>
      </c>
      <c r="R72" s="898">
        <f t="shared" ca="1" si="81"/>
        <v>0</v>
      </c>
      <c r="T72" s="898">
        <f t="shared" ca="1" si="44"/>
        <v>11</v>
      </c>
      <c r="U72" s="898">
        <f t="shared" ca="1" si="82"/>
        <v>11</v>
      </c>
      <c r="AI72" s="89" vm="273">
        <f ca="1"/>
        <v>45757</v>
      </c>
      <c r="AJ72" s="89" vm="274">
        <f ca="1"/>
        <v>921.17</v>
      </c>
    </row>
    <row r="73" spans="2:65">
      <c r="B73" s="89" vm="275">
        <f ca="1"/>
        <v>45859</v>
      </c>
      <c r="C73" s="89" vm="276">
        <f ca="1"/>
        <v>1233.27</v>
      </c>
      <c r="D73" s="1335">
        <f t="shared" ca="1" si="80"/>
        <v>1.9871985710032725E-2</v>
      </c>
      <c r="E73" s="296" t="str" cm="1">
        <f t="array" aca="1" ref="E73" ca="1">_xlfn.IFS(D73&gt;0.5%,"U",D73&lt;=-0.5%,"D",TRUE,"Z")</f>
        <v>U</v>
      </c>
      <c r="F73" s="296" t="str">
        <f t="shared" ca="1" si="83"/>
        <v>DU</v>
      </c>
      <c r="G73" s="296" t="str">
        <f t="shared" ca="1" si="84"/>
        <v>UDU</v>
      </c>
      <c r="H73" s="898" t="str">
        <f t="shared" ca="1" si="85"/>
        <v/>
      </c>
      <c r="I73" s="898" t="s">
        <v>2322</v>
      </c>
      <c r="J73" s="898" cm="1">
        <f t="array" aca="1" ref="J73" ca="1">SUM( --( ($G$6:$G$25=$I73) * ($G$5:$G$24=J$67) ) )</f>
        <v>0</v>
      </c>
      <c r="K73" s="898" cm="1">
        <f t="array" aca="1" ref="K73" ca="1">SUM( --( ($G$6:$G$25=$I73) * ($G$5:$G$24=K$67) ) )</f>
        <v>0</v>
      </c>
      <c r="L73" s="898" cm="1">
        <f t="array" aca="1" ref="L73" ca="1">SUM( --( ($G$6:$G$25=$I73) * ($G$5:$G$24=L$67) ) )</f>
        <v>0</v>
      </c>
      <c r="M73" s="898" cm="1">
        <f t="array" aca="1" ref="M73" ca="1">SUM( --( ($G$6:$G$25=$I73) * ($G$5:$G$24=M$67) ) )</f>
        <v>0</v>
      </c>
      <c r="N73" s="898" cm="1">
        <f t="array" aca="1" ref="N73" ca="1">SUM( --( ($G$6:$G$25=$I73) * ($G$5:$G$24=N$67) ) )</f>
        <v>0</v>
      </c>
      <c r="O73" s="898" cm="1">
        <f t="array" aca="1" ref="O73" ca="1">SUM( --( ($G$6:$G$25=$I73) * ($G$5:$G$24=O$67) ) )</f>
        <v>0</v>
      </c>
      <c r="P73" s="898" cm="1">
        <f t="array" aca="1" ref="P73" ca="1">SUM( --( ($G$6:$G$25=$I73) * ($G$5:$G$24=P$67) ) )</f>
        <v>0</v>
      </c>
      <c r="Q73" s="898" cm="1">
        <f t="array" aca="1" ref="Q73" ca="1">SUM( --( ($G$6:$G$25=$I73) * ($G$5:$G$24=Q$67) ) )</f>
        <v>0</v>
      </c>
      <c r="R73" s="898">
        <f t="shared" ca="1" si="81"/>
        <v>0</v>
      </c>
      <c r="T73" s="898">
        <f t="shared" ca="1" si="44"/>
        <v>10</v>
      </c>
      <c r="U73" s="898">
        <f t="shared" ca="1" si="82"/>
        <v>12</v>
      </c>
      <c r="AI73" s="89" vm="277">
        <f ca="1"/>
        <v>45758</v>
      </c>
      <c r="AJ73" s="89" vm="278">
        <f ca="1"/>
        <v>918.29</v>
      </c>
    </row>
    <row r="74" spans="2:65">
      <c r="B74" s="89" vm="279">
        <f ca="1"/>
        <v>45856</v>
      </c>
      <c r="C74" s="89" vm="280">
        <f ca="1"/>
        <v>1209.24</v>
      </c>
      <c r="D74" s="1335">
        <f t="shared" ca="1" si="80"/>
        <v>-5.0958663286688639E-2</v>
      </c>
      <c r="E74" s="296" t="str" cm="1">
        <f t="array" aca="1" ref="E74" ca="1">_xlfn.IFS(D74&gt;0.5%,"U",D74&lt;=-0.5%,"D",TRUE,"Z")</f>
        <v>D</v>
      </c>
      <c r="F74" s="296" t="str">
        <f t="shared" ca="1" si="83"/>
        <v>UD</v>
      </c>
      <c r="G74" s="296" t="str">
        <f t="shared" ca="1" si="84"/>
        <v>DUD</v>
      </c>
      <c r="H74" s="898" t="str">
        <f t="shared" ca="1" si="85"/>
        <v/>
      </c>
      <c r="I74" s="898" t="s">
        <v>2323</v>
      </c>
      <c r="J74" s="898" cm="1">
        <f t="array" aca="1" ref="J74" ca="1">SUM( --( ($G$6:$G$25=$I74) * ($G$5:$G$24=J$67) ) )</f>
        <v>0</v>
      </c>
      <c r="K74" s="898" cm="1">
        <f t="array" aca="1" ref="K74" ca="1">SUM( --( ($G$6:$G$25=$I74) * ($G$5:$G$24=K$67) ) )</f>
        <v>0</v>
      </c>
      <c r="L74" s="898" cm="1">
        <f t="array" aca="1" ref="L74" ca="1">SUM( --( ($G$6:$G$25=$I74) * ($G$5:$G$24=L$67) ) )</f>
        <v>0</v>
      </c>
      <c r="M74" s="898" cm="1">
        <f t="array" aca="1" ref="M74" ca="1">SUM( --( ($G$6:$G$25=$I74) * ($G$5:$G$24=M$67) ) )</f>
        <v>0</v>
      </c>
      <c r="N74" s="898" cm="1">
        <f t="array" aca="1" ref="N74" ca="1">SUM( --( ($G$6:$G$25=$I74) * ($G$5:$G$24=N$67) ) )</f>
        <v>0</v>
      </c>
      <c r="O74" s="898" cm="1">
        <f t="array" aca="1" ref="O74" ca="1">SUM( --( ($G$6:$G$25=$I74) * ($G$5:$G$24=O$67) ) )</f>
        <v>0</v>
      </c>
      <c r="P74" s="898" cm="1">
        <f t="array" aca="1" ref="P74" ca="1">SUM( --( ($G$6:$G$25=$I74) * ($G$5:$G$24=P$67) ) )</f>
        <v>0</v>
      </c>
      <c r="Q74" s="898" cm="1">
        <f t="array" aca="1" ref="Q74" ca="1">SUM( --( ($G$6:$G$25=$I74) * ($G$5:$G$24=Q$67) ) )</f>
        <v>0</v>
      </c>
      <c r="R74" s="898">
        <f t="shared" ca="1" si="81"/>
        <v>0</v>
      </c>
      <c r="T74" s="898">
        <f t="shared" ca="1" si="44"/>
        <v>11</v>
      </c>
      <c r="U74" s="898">
        <f t="shared" ca="1" si="82"/>
        <v>11</v>
      </c>
      <c r="AI74" s="89" vm="281">
        <f ca="1"/>
        <v>45761</v>
      </c>
      <c r="AJ74" s="89" vm="282">
        <f ca="1"/>
        <v>931.28</v>
      </c>
    </row>
    <row r="75" spans="2:65">
      <c r="B75" s="89" vm="283">
        <f ca="1"/>
        <v>45855</v>
      </c>
      <c r="C75" s="89" vm="284">
        <f ca="1"/>
        <v>1274.17</v>
      </c>
      <c r="D75" s="1335">
        <f t="shared" ca="1" si="80"/>
        <v>1.9083267349697376E-2</v>
      </c>
      <c r="E75" s="296" t="str" cm="1">
        <f t="array" aca="1" ref="E75" ca="1">_xlfn.IFS(D75&gt;0.5%,"U",D75&lt;=-0.5%,"D",TRUE,"Z")</f>
        <v>U</v>
      </c>
      <c r="F75" s="296" t="str">
        <f t="shared" ca="1" si="83"/>
        <v>DU</v>
      </c>
      <c r="G75" s="296" t="str">
        <f t="shared" ca="1" si="84"/>
        <v>ZDU</v>
      </c>
      <c r="H75" s="898" t="str">
        <f t="shared" ca="1" si="85"/>
        <v/>
      </c>
      <c r="I75" s="898" t="s">
        <v>2324</v>
      </c>
      <c r="J75" s="898" cm="1">
        <f t="array" aca="1" ref="J75" ca="1">SUM( --( ($G$6:$G$25=$I75) * ($G$5:$G$24=J$67) ) )</f>
        <v>0</v>
      </c>
      <c r="K75" s="898" cm="1">
        <f t="array" aca="1" ref="K75" ca="1">SUM( --( ($G$6:$G$25=$I75) * ($G$5:$G$24=K$67) ) )</f>
        <v>0</v>
      </c>
      <c r="L75" s="898" cm="1">
        <f t="array" aca="1" ref="L75" ca="1">SUM( --( ($G$6:$G$25=$I75) * ($G$5:$G$24=L$67) ) )</f>
        <v>0</v>
      </c>
      <c r="M75" s="898" cm="1">
        <f t="array" aca="1" ref="M75" ca="1">SUM( --( ($G$6:$G$25=$I75) * ($G$5:$G$24=M$67) ) )</f>
        <v>0</v>
      </c>
      <c r="N75" s="898" cm="1">
        <f t="array" aca="1" ref="N75" ca="1">SUM( --( ($G$6:$G$25=$I75) * ($G$5:$G$24=N$67) ) )</f>
        <v>0</v>
      </c>
      <c r="O75" s="898" cm="1">
        <f t="array" aca="1" ref="O75" ca="1">SUM( --( ($G$6:$G$25=$I75) * ($G$5:$G$24=O$67) ) )</f>
        <v>0</v>
      </c>
      <c r="P75" s="898" cm="1">
        <f t="array" aca="1" ref="P75" ca="1">SUM( --( ($G$6:$G$25=$I75) * ($G$5:$G$24=P$67) ) )</f>
        <v>1</v>
      </c>
      <c r="Q75" s="898" cm="1">
        <f t="array" aca="1" ref="Q75" ca="1">SUM( --( ($G$6:$G$25=$I75) * ($G$5:$G$24=Q$67) ) )</f>
        <v>1</v>
      </c>
      <c r="R75" s="898">
        <f t="shared" ca="1" si="81"/>
        <v>2</v>
      </c>
      <c r="T75" s="898">
        <f t="shared" ca="1" si="44"/>
        <v>10</v>
      </c>
      <c r="U75" s="898">
        <f t="shared" ca="1" si="82"/>
        <v>12</v>
      </c>
      <c r="AI75" s="89" vm="285">
        <f ca="1"/>
        <v>45762</v>
      </c>
      <c r="AJ75" s="89" vm="286">
        <f ca="1"/>
        <v>976.28</v>
      </c>
    </row>
    <row r="76" spans="2:65">
      <c r="B76" s="89" vm="287">
        <f ca="1"/>
        <v>45854</v>
      </c>
      <c r="C76" s="89" vm="288">
        <f ca="1"/>
        <v>1250.31</v>
      </c>
      <c r="D76" s="1335">
        <f t="shared" ca="1" si="80"/>
        <v>-7.9030683901069113E-3</v>
      </c>
      <c r="E76" s="296" t="str" cm="1">
        <f t="array" aca="1" ref="E76" ca="1">_xlfn.IFS(D76&gt;0.5%,"U",D76&lt;=-0.5%,"D",TRUE,"Z")</f>
        <v>D</v>
      </c>
      <c r="F76" s="296" t="str">
        <f t="shared" ca="1" si="83"/>
        <v>ZD</v>
      </c>
      <c r="G76" s="296" t="str">
        <f t="shared" ca="1" si="84"/>
        <v>UZD</v>
      </c>
      <c r="H76" s="898" t="str">
        <f t="shared" ca="1" si="85"/>
        <v/>
      </c>
      <c r="T76" s="898">
        <f t="shared" ca="1" si="44"/>
        <v>11</v>
      </c>
      <c r="U76" s="898">
        <f t="shared" ca="1" si="82"/>
        <v>11</v>
      </c>
      <c r="AI76" s="89" vm="289">
        <f ca="1"/>
        <v>45763</v>
      </c>
      <c r="AJ76" s="89" vm="290">
        <f ca="1"/>
        <v>961.63</v>
      </c>
    </row>
    <row r="77" spans="2:65" ht="23" thickBot="1">
      <c r="B77" s="89" vm="291">
        <f ca="1"/>
        <v>45853</v>
      </c>
      <c r="C77" s="89" vm="292">
        <f ca="1"/>
        <v>1260.27</v>
      </c>
      <c r="D77" s="1335">
        <f t="shared" ca="1" si="80"/>
        <v>-1.3312730298348299E-3</v>
      </c>
      <c r="E77" s="296" t="str" cm="1">
        <f t="array" aca="1" ref="E77" ca="1">_xlfn.IFS(D77&gt;0.5%,"U",D77&lt;=-0.5%,"D",TRUE,"Z")</f>
        <v>Z</v>
      </c>
      <c r="F77" s="296" t="str">
        <f t="shared" ca="1" si="83"/>
        <v>UZ</v>
      </c>
      <c r="G77" s="296" t="str">
        <f t="shared" ca="1" si="84"/>
        <v>ZUZ</v>
      </c>
      <c r="H77" s="898" t="str">
        <f t="shared" ca="1" si="85"/>
        <v/>
      </c>
      <c r="T77" s="898">
        <f t="shared" ca="1" si="44"/>
        <v>11</v>
      </c>
      <c r="U77" s="898">
        <f t="shared" ca="1" si="82"/>
        <v>11</v>
      </c>
      <c r="AI77" s="89" vm="293">
        <f ca="1"/>
        <v>45764</v>
      </c>
      <c r="AJ77" s="89" vm="294">
        <f ca="1"/>
        <v>973.03</v>
      </c>
      <c r="AP77" s="902" t="s">
        <v>1670</v>
      </c>
      <c r="AQ77" s="898" t="s">
        <v>1671</v>
      </c>
    </row>
    <row r="78" spans="2:65" ht="23" thickBot="1">
      <c r="B78" s="89" vm="295">
        <f ca="1"/>
        <v>45852</v>
      </c>
      <c r="C78" s="89" vm="296">
        <f ca="1"/>
        <v>1261.95</v>
      </c>
      <c r="D78" s="1335">
        <f t="shared" ca="1" si="80"/>
        <v>1.3524909445751899E-2</v>
      </c>
      <c r="E78" s="296" t="str" cm="1">
        <f t="array" aca="1" ref="E78" ca="1">_xlfn.IFS(D78&gt;0.5%,"U",D78&lt;=-0.5%,"D",TRUE,"Z")</f>
        <v>U</v>
      </c>
      <c r="F78" s="296" t="str">
        <f t="shared" ca="1" si="83"/>
        <v>ZU</v>
      </c>
      <c r="G78" s="296" t="str">
        <f t="shared" ca="1" si="84"/>
        <v>DZU</v>
      </c>
      <c r="H78" s="898" t="str">
        <f t="shared" ca="1" si="85"/>
        <v/>
      </c>
      <c r="T78" s="898">
        <f t="shared" ca="1" si="44"/>
        <v>10</v>
      </c>
      <c r="U78" s="898">
        <f t="shared" ca="1" si="82"/>
        <v>12</v>
      </c>
      <c r="AI78" s="89" vm="297">
        <f ca="1"/>
        <v>45768</v>
      </c>
      <c r="AJ78" s="89" vm="298">
        <f ca="1"/>
        <v>987.91</v>
      </c>
      <c r="AP78" s="1313">
        <f ca="1">IFERROR(_xlfn.MINIFS(AR81:AZ89, AR81:AZ89, "&gt;0", AR81:AZ89, "&lt;1"), "")</f>
        <v>0.14285714285714285</v>
      </c>
      <c r="AQ78" s="1314">
        <f ca="1">IFERROR(_xlfn.MAXIFS(AR81:AZ89, AR81:AZ89, "&gt;0", AR81:AZ89, "&lt;1"), "")</f>
        <v>0.5714285714285714</v>
      </c>
    </row>
    <row r="79" spans="2:65" ht="23" thickBot="1">
      <c r="B79" s="89" vm="299">
        <f ca="1"/>
        <v>45849</v>
      </c>
      <c r="C79" s="89" vm="300">
        <f ca="1"/>
        <v>1245.1099999999999</v>
      </c>
      <c r="D79" s="1335">
        <f t="shared" ca="1" si="80"/>
        <v>-4.3819317282242929E-3</v>
      </c>
      <c r="E79" s="296" t="str" cm="1">
        <f t="array" aca="1" ref="E79" ca="1">_xlfn.IFS(D79&gt;0.5%,"U",D79&lt;=-0.5%,"D",TRUE,"Z")</f>
        <v>Z</v>
      </c>
      <c r="F79" s="296" t="str">
        <f t="shared" ca="1" si="83"/>
        <v>DZ</v>
      </c>
      <c r="G79" s="296" t="str">
        <f t="shared" ca="1" si="84"/>
        <v>UDZ</v>
      </c>
      <c r="H79" s="898" t="str">
        <f t="shared" ca="1" si="85"/>
        <v/>
      </c>
      <c r="J79" s="898" t="s">
        <v>11</v>
      </c>
      <c r="K79" s="898" t="s">
        <v>2318</v>
      </c>
      <c r="L79" s="898" t="s">
        <v>2319</v>
      </c>
      <c r="M79" s="898" t="s">
        <v>2320</v>
      </c>
      <c r="N79" s="898" t="s">
        <v>2321</v>
      </c>
      <c r="O79" s="898" t="s">
        <v>2322</v>
      </c>
      <c r="P79" s="898" t="s">
        <v>2323</v>
      </c>
      <c r="Q79" s="898" t="s">
        <v>2324</v>
      </c>
      <c r="R79" s="898">
        <f ca="1">SUM(R80:R87)</f>
        <v>7</v>
      </c>
      <c r="T79" s="898">
        <f t="shared" ca="1" si="44"/>
        <v>11</v>
      </c>
      <c r="U79" s="898">
        <f t="shared" ca="1" si="82"/>
        <v>11</v>
      </c>
      <c r="AI79" s="89" vm="301">
        <f ca="1"/>
        <v>45769</v>
      </c>
      <c r="AJ79" s="89" vm="302">
        <f ca="1"/>
        <v>1040.3399999999999</v>
      </c>
      <c r="AP79" s="959" t="str">
        <f>AI3</f>
        <v>NFLX</v>
      </c>
      <c r="AQ79" s="959" t="str">
        <f ca="1">F5</f>
        <v>ZD</v>
      </c>
    </row>
    <row r="80" spans="2:65" ht="23" thickBot="1">
      <c r="B80" s="89" vm="303">
        <f ca="1"/>
        <v>45848</v>
      </c>
      <c r="C80" s="89" vm="304">
        <f ca="1"/>
        <v>1250.5899999999999</v>
      </c>
      <c r="D80" s="1335">
        <f t="shared" ca="1" si="80"/>
        <v>-2.925606234669486E-2</v>
      </c>
      <c r="E80" s="296" t="str" cm="1">
        <f t="array" aca="1" ref="E80" ca="1">_xlfn.IFS(D80&gt;0.5%,"U",D80&lt;=-0.5%,"D",TRUE,"Z")</f>
        <v>D</v>
      </c>
      <c r="F80" s="296" t="str">
        <f t="shared" ca="1" si="83"/>
        <v>UD</v>
      </c>
      <c r="G80" s="296" t="str">
        <f t="shared" ca="1" si="84"/>
        <v>DUD</v>
      </c>
      <c r="H80" s="898" t="str">
        <f t="shared" ca="1" si="85"/>
        <v/>
      </c>
      <c r="I80" s="898" t="s">
        <v>11</v>
      </c>
      <c r="J80" s="949">
        <f ca="1">IF($R80=0,0,J68/$R80)</f>
        <v>0.5</v>
      </c>
      <c r="K80" s="949">
        <f t="shared" ref="K80:Q80" ca="1" si="86">IF($R80=0,0,K68/$R80)</f>
        <v>0.5</v>
      </c>
      <c r="L80" s="949">
        <f t="shared" ca="1" si="86"/>
        <v>0</v>
      </c>
      <c r="M80" s="949">
        <f t="shared" ca="1" si="86"/>
        <v>0</v>
      </c>
      <c r="N80" s="949">
        <f t="shared" ca="1" si="86"/>
        <v>0</v>
      </c>
      <c r="O80" s="949">
        <f t="shared" ca="1" si="86"/>
        <v>0</v>
      </c>
      <c r="P80" s="949">
        <f t="shared" ca="1" si="86"/>
        <v>0</v>
      </c>
      <c r="Q80" s="949">
        <f t="shared" ca="1" si="86"/>
        <v>0</v>
      </c>
      <c r="R80" s="898">
        <f ca="1">R68</f>
        <v>2</v>
      </c>
      <c r="T80" s="898">
        <f t="shared" ca="1" si="44"/>
        <v>11</v>
      </c>
      <c r="U80" s="898">
        <f t="shared" ca="1" si="82"/>
        <v>11</v>
      </c>
      <c r="AI80" s="89" vm="305">
        <f ca="1"/>
        <v>45770</v>
      </c>
      <c r="AJ80" s="89" vm="306">
        <f ca="1"/>
        <v>1049.5899999999999</v>
      </c>
      <c r="AQ80" s="1341">
        <f t="shared" ref="AQ80:AZ80" ca="1" si="87">BD80</f>
        <v>8</v>
      </c>
      <c r="AR80" s="1349" t="str">
        <f t="shared" ca="1" si="87"/>
        <v>ZD</v>
      </c>
      <c r="AS80" s="1342" t="str">
        <f t="shared" ca="1" si="87"/>
        <v>DZ</v>
      </c>
      <c r="AT80" s="1342" t="str">
        <f t="shared" ca="1" si="87"/>
        <v>UZ</v>
      </c>
      <c r="AU80" s="1342" t="str">
        <f t="shared" ca="1" si="87"/>
        <v>UU</v>
      </c>
      <c r="AV80" s="1342" t="str">
        <f t="shared" ca="1" si="87"/>
        <v>DU</v>
      </c>
      <c r="AW80" s="1342" t="str">
        <f t="shared" ca="1" si="87"/>
        <v>DD</v>
      </c>
      <c r="AX80" s="1342" t="str">
        <f t="shared" ca="1" si="87"/>
        <v>ZZ</v>
      </c>
      <c r="AY80" s="1342" t="str">
        <f t="shared" ca="1" si="87"/>
        <v>UD</v>
      </c>
      <c r="AZ80" s="1343" t="str">
        <f t="shared" ca="1" si="87"/>
        <v>ZU</v>
      </c>
      <c r="BD80" s="1341">
        <f ca="1">ROWS(_xlfn.UNIQUE(G66:G75))</f>
        <v>8</v>
      </c>
      <c r="BE80" s="1346" t="str" cm="1">
        <f t="array" aca="1" ref="BE80:BM80" ca="1">TRANSPOSE(_xlfn.ANCHORARRAY(BD81))</f>
        <v>ZD</v>
      </c>
      <c r="BF80" s="1347" t="str">
        <f ca="1"/>
        <v>DZ</v>
      </c>
      <c r="BG80" s="1347" t="str">
        <f ca="1"/>
        <v>UZ</v>
      </c>
      <c r="BH80" s="1347" t="str">
        <f ca="1"/>
        <v>UU</v>
      </c>
      <c r="BI80" s="1347" t="str">
        <f ca="1"/>
        <v>DU</v>
      </c>
      <c r="BJ80" s="1347" t="str">
        <f ca="1"/>
        <v>DD</v>
      </c>
      <c r="BK80" s="1347" t="str">
        <f ca="1"/>
        <v>ZZ</v>
      </c>
      <c r="BL80" s="1347" t="str">
        <f ca="1"/>
        <v>UD</v>
      </c>
      <c r="BM80" s="1348" t="str">
        <f ca="1"/>
        <v>ZU</v>
      </c>
    </row>
    <row r="81" spans="2:65" ht="23" thickTop="1">
      <c r="B81" s="89" vm="307">
        <f ca="1"/>
        <v>45847</v>
      </c>
      <c r="C81" s="89" vm="308">
        <f ca="1"/>
        <v>1288.28</v>
      </c>
      <c r="D81" s="1335">
        <f t="shared" ca="1" si="80"/>
        <v>1.0170076295175313E-2</v>
      </c>
      <c r="E81" s="296" t="str" cm="1">
        <f t="array" aca="1" ref="E81" ca="1">_xlfn.IFS(D81&gt;0.5%,"U",D81&lt;=-0.5%,"D",TRUE,"Z")</f>
        <v>U</v>
      </c>
      <c r="F81" s="296" t="str">
        <f t="shared" ca="1" si="83"/>
        <v>DU</v>
      </c>
      <c r="G81" s="296" t="str">
        <f t="shared" ca="1" si="84"/>
        <v>DDU</v>
      </c>
      <c r="H81" s="898" t="str">
        <f t="shared" ca="1" si="85"/>
        <v>DD</v>
      </c>
      <c r="I81" s="898" t="s">
        <v>2318</v>
      </c>
      <c r="J81" s="949">
        <f ca="1">IF($R81&lt;&gt;0,J69/$R81,IF(J80&lt;&gt;0,1-J80,0))</f>
        <v>0</v>
      </c>
      <c r="K81" s="949">
        <f t="shared" ref="K81:Q81" ca="1" si="88">IF($R81&lt;&gt;0,K69/$R81,IF(K80&lt;&gt;0,1-K80,0))</f>
        <v>0</v>
      </c>
      <c r="L81" s="949">
        <f t="shared" ca="1" si="88"/>
        <v>0</v>
      </c>
      <c r="M81" s="949">
        <f t="shared" ca="1" si="88"/>
        <v>1</v>
      </c>
      <c r="N81" s="949">
        <f t="shared" ca="1" si="88"/>
        <v>0</v>
      </c>
      <c r="O81" s="949">
        <f t="shared" ca="1" si="88"/>
        <v>0</v>
      </c>
      <c r="P81" s="949">
        <f t="shared" ca="1" si="88"/>
        <v>0</v>
      </c>
      <c r="Q81" s="949">
        <f t="shared" ca="1" si="88"/>
        <v>0</v>
      </c>
      <c r="R81" s="898">
        <f t="shared" ref="R81:R87" ca="1" si="89">R69</f>
        <v>2</v>
      </c>
      <c r="T81" s="898">
        <f t="shared" ca="1" si="44"/>
        <v>11</v>
      </c>
      <c r="U81" s="898">
        <f t="shared" ca="1" si="82"/>
        <v>11</v>
      </c>
      <c r="AI81" s="89" vm="309">
        <f ca="1"/>
        <v>45771</v>
      </c>
      <c r="AJ81" s="89" vm="310">
        <f ca="1"/>
        <v>1096.8699999999999</v>
      </c>
      <c r="AP81" s="902">
        <f t="shared" ref="AP81:AP89" ca="1" si="90">SUM(BE81:BM81)</f>
        <v>10</v>
      </c>
      <c r="AQ81" s="1344" t="str">
        <f t="shared" ref="AQ81:AQ89" ca="1" si="91">BD81</f>
        <v>ZD</v>
      </c>
      <c r="AR81" s="1350">
        <f t="shared" ref="AR81:AR89" ca="1" si="92">IF(BE81=0,0,BE81/$AP81)</f>
        <v>0</v>
      </c>
      <c r="AS81" s="1336">
        <f t="shared" ref="AS81:AS89" ca="1" si="93">IF(BF81=0,0,BF81/$AP81)</f>
        <v>0.4</v>
      </c>
      <c r="AT81" s="1336">
        <f t="shared" ref="AT81:AT89" ca="1" si="94">IF(BG81=0,0,BG81/$AP81)</f>
        <v>0</v>
      </c>
      <c r="AU81" s="1336">
        <f t="shared" ref="AU81:AU89" ca="1" si="95">IF(BH81=0,0,BH81/$AP81)</f>
        <v>0</v>
      </c>
      <c r="AV81" s="1336">
        <f t="shared" ref="AV81:AV89" ca="1" si="96">IF(BI81=0,0,BI81/$AP81)</f>
        <v>0.3</v>
      </c>
      <c r="AW81" s="1336">
        <f t="shared" ref="AW81:AW89" ca="1" si="97">IF(BJ81=0,0,BJ81/$AP81)</f>
        <v>0.3</v>
      </c>
      <c r="AX81" s="1336">
        <f t="shared" ref="AX81:AX89" ca="1" si="98">IF(BK81=0,0,BK81/$AP81)</f>
        <v>0</v>
      </c>
      <c r="AY81" s="1336">
        <f t="shared" ref="AY81:AY89" ca="1" si="99">IF(BL81=0,0,BL81/$AP81)</f>
        <v>0</v>
      </c>
      <c r="AZ81" s="1351">
        <f t="shared" ref="AZ81:AZ89" ca="1" si="100">IF(BM81=0,0,BM81/$AP81)</f>
        <v>0</v>
      </c>
      <c r="BA81" s="1312"/>
      <c r="BB81" s="1312"/>
      <c r="BD81" s="1344" t="str" cm="1">
        <f t="array" aca="1" ref="BD81:BD89" ca="1">_xlfn.UNIQUE(F5:F158)</f>
        <v>ZD</v>
      </c>
      <c r="BE81" s="1337" cm="1">
        <f t="array" aca="1" ref="BE81" ca="1">SUM( ($F$7:$F$155=$BD81) * ($F$6:$F$154=BE$80) )</f>
        <v>0</v>
      </c>
      <c r="BF81" s="898" cm="1">
        <f t="array" aca="1" ref="BF81" ca="1">SUM( ($F$7:$F$155=$BD81) * ($F$6:$F$154=BF$80) )</f>
        <v>4</v>
      </c>
      <c r="BG81" s="898" cm="1">
        <f t="array" aca="1" ref="BG81" ca="1">SUM( ($F$7:$F$155=$BD81) * ($F$6:$F$154=BG$80) )</f>
        <v>0</v>
      </c>
      <c r="BH81" s="898" cm="1">
        <f t="array" aca="1" ref="BH81" ca="1">SUM( ($F$7:$F$155=$BD81) * ($F$6:$F$154=BH$80) )</f>
        <v>0</v>
      </c>
      <c r="BI81" s="898" cm="1">
        <f t="array" aca="1" ref="BI81" ca="1">SUM( ($F$7:$F$155=$BD81) * ($F$6:$F$154=BI$80) )</f>
        <v>3</v>
      </c>
      <c r="BJ81" s="898" cm="1">
        <f t="array" aca="1" ref="BJ81" ca="1">SUM( ($F$7:$F$155=$BD81) * ($F$6:$F$154=BJ$80) )</f>
        <v>3</v>
      </c>
      <c r="BK81" s="898" cm="1">
        <f t="array" aca="1" ref="BK81" ca="1">SUM( ($F$7:$F$155=$BD81) * ($F$6:$F$154=BK$80) )</f>
        <v>0</v>
      </c>
      <c r="BL81" s="898" cm="1">
        <f t="array" aca="1" ref="BL81" ca="1">SUM( ($F$7:$F$155=$BD81) * ($F$6:$F$154=BL$80) )</f>
        <v>0</v>
      </c>
      <c r="BM81" s="1338" cm="1">
        <f t="array" aca="1" ref="BM81" ca="1">SUM( ($F$7:$F$155=$BD81) * ($F$6:$F$154=BM$80) )</f>
        <v>0</v>
      </c>
    </row>
    <row r="82" spans="2:65">
      <c r="B82" s="89" vm="311">
        <f ca="1"/>
        <v>45846</v>
      </c>
      <c r="C82" s="89" vm="312">
        <f ca="1"/>
        <v>1275.31</v>
      </c>
      <c r="D82" s="1335">
        <f t="shared" ca="1" si="80"/>
        <v>-1.1096291930956364E-2</v>
      </c>
      <c r="E82" s="296" t="str" cm="1">
        <f t="array" aca="1" ref="E82" ca="1">_xlfn.IFS(D82&gt;0.5%,"U",D82&lt;=-0.5%,"D",TRUE,"Z")</f>
        <v>D</v>
      </c>
      <c r="F82" s="296" t="str">
        <f t="shared" ca="1" si="83"/>
        <v>DD</v>
      </c>
      <c r="G82" s="296" t="str">
        <f t="shared" ca="1" si="84"/>
        <v>UDD</v>
      </c>
      <c r="H82" s="898" t="str">
        <f t="shared" ca="1" si="85"/>
        <v/>
      </c>
      <c r="I82" s="898" t="s">
        <v>2319</v>
      </c>
      <c r="J82" s="949">
        <f ca="1">IF($R82=0,0,J70/$R82)</f>
        <v>0</v>
      </c>
      <c r="K82" s="949">
        <f t="shared" ref="K82:Q82" ca="1" si="101">IF($R82=0,0,K70/$R82)</f>
        <v>0</v>
      </c>
      <c r="L82" s="949">
        <f t="shared" ca="1" si="101"/>
        <v>0</v>
      </c>
      <c r="M82" s="949">
        <f t="shared" ca="1" si="101"/>
        <v>0</v>
      </c>
      <c r="N82" s="949">
        <f t="shared" ca="1" si="101"/>
        <v>0</v>
      </c>
      <c r="O82" s="949">
        <f t="shared" ca="1" si="101"/>
        <v>0</v>
      </c>
      <c r="P82" s="949">
        <f t="shared" ca="1" si="101"/>
        <v>0</v>
      </c>
      <c r="Q82" s="949">
        <f t="shared" ca="1" si="101"/>
        <v>0</v>
      </c>
      <c r="R82" s="898">
        <f t="shared" ca="1" si="89"/>
        <v>0</v>
      </c>
      <c r="T82" s="898">
        <f t="shared" ref="T82:T113" ca="1" si="102">COUNTIF(D82:D103,"&lt;0")</f>
        <v>11</v>
      </c>
      <c r="U82" s="898">
        <f t="shared" ca="1" si="82"/>
        <v>11</v>
      </c>
      <c r="AI82" s="89" vm="313">
        <f ca="1"/>
        <v>45772</v>
      </c>
      <c r="AJ82" s="89" vm="314">
        <f ca="1"/>
        <v>1101.53</v>
      </c>
      <c r="AP82" s="902">
        <f t="shared" ca="1" si="90"/>
        <v>14</v>
      </c>
      <c r="AQ82" s="1344" t="str">
        <f t="shared" ca="1" si="91"/>
        <v>DZ</v>
      </c>
      <c r="AR82" s="1352">
        <f t="shared" ca="1" si="92"/>
        <v>0.14285714285714285</v>
      </c>
      <c r="AS82" s="1353">
        <f t="shared" ca="1" si="93"/>
        <v>0</v>
      </c>
      <c r="AT82" s="1353">
        <f t="shared" ca="1" si="94"/>
        <v>0</v>
      </c>
      <c r="AU82" s="1353">
        <f t="shared" ca="1" si="95"/>
        <v>0</v>
      </c>
      <c r="AV82" s="1353">
        <f t="shared" ca="1" si="96"/>
        <v>0</v>
      </c>
      <c r="AW82" s="1353">
        <f t="shared" ca="1" si="97"/>
        <v>0</v>
      </c>
      <c r="AX82" s="1353">
        <f t="shared" ca="1" si="98"/>
        <v>0.2857142857142857</v>
      </c>
      <c r="AY82" s="1353">
        <f t="shared" ca="1" si="99"/>
        <v>0</v>
      </c>
      <c r="AZ82" s="1354">
        <f t="shared" ca="1" si="100"/>
        <v>0.5714285714285714</v>
      </c>
      <c r="BA82" s="1312"/>
      <c r="BB82" s="1312"/>
      <c r="BD82" s="1344" t="str">
        <f ca="1"/>
        <v>DZ</v>
      </c>
      <c r="BE82" s="1337" cm="1">
        <f t="array" aca="1" ref="BE82" ca="1">SUM( ($F$7:$F$155=$BD82) * ($F$6:$F$154=BE$80) )</f>
        <v>2</v>
      </c>
      <c r="BF82" s="898" cm="1">
        <f t="array" aca="1" ref="BF82" ca="1">SUM( ($F$7:$F$155=$BD82) * ($F$6:$F$154=BF$80) )</f>
        <v>0</v>
      </c>
      <c r="BG82" s="898" cm="1">
        <f t="array" aca="1" ref="BG82" ca="1">SUM( ($F$7:$F$155=$BD82) * ($F$6:$F$154=BG$80) )</f>
        <v>0</v>
      </c>
      <c r="BH82" s="898" cm="1">
        <f t="array" aca="1" ref="BH82" ca="1">SUM( ($F$7:$F$155=$BD82) * ($F$6:$F$154=BH$80) )</f>
        <v>0</v>
      </c>
      <c r="BI82" s="898" cm="1">
        <f t="array" aca="1" ref="BI82" ca="1">SUM( ($F$7:$F$155=$BD82) * ($F$6:$F$154=BI$80) )</f>
        <v>0</v>
      </c>
      <c r="BJ82" s="898" cm="1">
        <f t="array" aca="1" ref="BJ82" ca="1">SUM( ($F$7:$F$155=$BD82) * ($F$6:$F$154=BJ$80) )</f>
        <v>0</v>
      </c>
      <c r="BK82" s="898" cm="1">
        <f t="array" aca="1" ref="BK82" ca="1">SUM( ($F$7:$F$155=$BD82) * ($F$6:$F$154=BK$80) )</f>
        <v>4</v>
      </c>
      <c r="BL82" s="898" cm="1">
        <f t="array" aca="1" ref="BL82" ca="1">SUM( ($F$7:$F$155=$BD82) * ($F$6:$F$154=BL$80) )</f>
        <v>0</v>
      </c>
      <c r="BM82" s="1338" cm="1">
        <f t="array" aca="1" ref="BM82" ca="1">SUM( ($F$7:$F$155=$BD82) * ($F$6:$F$154=BM$80) )</f>
        <v>8</v>
      </c>
    </row>
    <row r="83" spans="2:65">
      <c r="B83" s="89" vm="315">
        <f ca="1"/>
        <v>45845</v>
      </c>
      <c r="C83" s="89" vm="316">
        <f ca="1"/>
        <v>1289.6199999999999</v>
      </c>
      <c r="D83" s="1335">
        <f t="shared" ca="1" si="80"/>
        <v>-5.8280269507702646E-3</v>
      </c>
      <c r="E83" s="296" t="str" cm="1">
        <f t="array" aca="1" ref="E83" ca="1">_xlfn.IFS(D83&gt;0.5%,"U",D83&lt;=-0.5%,"D",TRUE,"Z")</f>
        <v>D</v>
      </c>
      <c r="F83" s="296" t="str">
        <f t="shared" ca="1" si="83"/>
        <v>UD</v>
      </c>
      <c r="G83" s="296" t="str">
        <f t="shared" ca="1" si="84"/>
        <v>DUD</v>
      </c>
      <c r="H83" s="898" t="str">
        <f t="shared" ca="1" si="85"/>
        <v/>
      </c>
      <c r="I83" s="898" t="s">
        <v>2320</v>
      </c>
      <c r="J83" s="949">
        <f ca="1">IF($R83&lt;&gt;0,J71/$R83,IF(J82&lt;&gt;0,1-J82,0))</f>
        <v>0</v>
      </c>
      <c r="K83" s="949">
        <f t="shared" ref="K83:Q83" ca="1" si="103">IF($R83&lt;&gt;0,K71/$R83,IF(K82&lt;&gt;0,1-K82,0))</f>
        <v>0</v>
      </c>
      <c r="L83" s="949">
        <f t="shared" ca="1" si="103"/>
        <v>0</v>
      </c>
      <c r="M83" s="949">
        <f t="shared" ca="1" si="103"/>
        <v>0</v>
      </c>
      <c r="N83" s="949">
        <f t="shared" ca="1" si="103"/>
        <v>0</v>
      </c>
      <c r="O83" s="949">
        <f t="shared" ca="1" si="103"/>
        <v>0</v>
      </c>
      <c r="P83" s="949">
        <f t="shared" ca="1" si="103"/>
        <v>0</v>
      </c>
      <c r="Q83" s="949">
        <f t="shared" ca="1" si="103"/>
        <v>1</v>
      </c>
      <c r="R83" s="898">
        <f t="shared" ca="1" si="89"/>
        <v>1</v>
      </c>
      <c r="T83" s="898">
        <f t="shared" ca="1" si="102"/>
        <v>10</v>
      </c>
      <c r="U83" s="898">
        <f t="shared" ca="1" si="82"/>
        <v>12</v>
      </c>
      <c r="AI83" s="89" vm="317">
        <f ca="1"/>
        <v>45775</v>
      </c>
      <c r="AJ83" s="89" vm="318">
        <f ca="1"/>
        <v>1110.3800000000001</v>
      </c>
      <c r="AP83" s="902">
        <f t="shared" ca="1" si="90"/>
        <v>16</v>
      </c>
      <c r="AQ83" s="1344" t="str">
        <f t="shared" ca="1" si="91"/>
        <v>UZ</v>
      </c>
      <c r="AR83" s="1352">
        <f t="shared" ca="1" si="92"/>
        <v>0.3125</v>
      </c>
      <c r="AS83" s="1353">
        <f t="shared" ca="1" si="93"/>
        <v>0</v>
      </c>
      <c r="AT83" s="1353">
        <f t="shared" ca="1" si="94"/>
        <v>0</v>
      </c>
      <c r="AU83" s="1353">
        <f t="shared" ca="1" si="95"/>
        <v>0</v>
      </c>
      <c r="AV83" s="1353">
        <f t="shared" ca="1" si="96"/>
        <v>0</v>
      </c>
      <c r="AW83" s="1353">
        <f t="shared" ca="1" si="97"/>
        <v>0</v>
      </c>
      <c r="AX83" s="1353">
        <f t="shared" ca="1" si="98"/>
        <v>0.1875</v>
      </c>
      <c r="AY83" s="1353">
        <f t="shared" ca="1" si="99"/>
        <v>0</v>
      </c>
      <c r="AZ83" s="1354">
        <f t="shared" ca="1" si="100"/>
        <v>0.5</v>
      </c>
      <c r="BA83" s="1312"/>
      <c r="BB83" s="1312"/>
      <c r="BD83" s="1344" t="str">
        <f ca="1"/>
        <v>UZ</v>
      </c>
      <c r="BE83" s="1337" cm="1">
        <f t="array" aca="1" ref="BE83" ca="1">SUM( ($F$7:$F$155=$BD83) * ($F$6:$F$154=BE$80) )</f>
        <v>5</v>
      </c>
      <c r="BF83" s="898" cm="1">
        <f t="array" aca="1" ref="BF83" ca="1">SUM( ($F$7:$F$155=$BD83) * ($F$6:$F$154=BF$80) )</f>
        <v>0</v>
      </c>
      <c r="BG83" s="898" cm="1">
        <f t="array" aca="1" ref="BG83" ca="1">SUM( ($F$7:$F$155=$BD83) * ($F$6:$F$154=BG$80) )</f>
        <v>0</v>
      </c>
      <c r="BH83" s="898" cm="1">
        <f t="array" aca="1" ref="BH83" ca="1">SUM( ($F$7:$F$155=$BD83) * ($F$6:$F$154=BH$80) )</f>
        <v>0</v>
      </c>
      <c r="BI83" s="898" cm="1">
        <f t="array" aca="1" ref="BI83" ca="1">SUM( ($F$7:$F$155=$BD83) * ($F$6:$F$154=BI$80) )</f>
        <v>0</v>
      </c>
      <c r="BJ83" s="898" cm="1">
        <f t="array" aca="1" ref="BJ83" ca="1">SUM( ($F$7:$F$155=$BD83) * ($F$6:$F$154=BJ$80) )</f>
        <v>0</v>
      </c>
      <c r="BK83" s="898" cm="1">
        <f t="array" aca="1" ref="BK83" ca="1">SUM( ($F$7:$F$155=$BD83) * ($F$6:$F$154=BK$80) )</f>
        <v>3</v>
      </c>
      <c r="BL83" s="898" cm="1">
        <f t="array" aca="1" ref="BL83" ca="1">SUM( ($F$7:$F$155=$BD83) * ($F$6:$F$154=BL$80) )</f>
        <v>0</v>
      </c>
      <c r="BM83" s="1338" cm="1">
        <f t="array" aca="1" ref="BM83" ca="1">SUM( ($F$7:$F$155=$BD83) * ($F$6:$F$154=BM$80) )</f>
        <v>8</v>
      </c>
    </row>
    <row r="84" spans="2:65">
      <c r="B84" s="89" vm="319">
        <f ca="1"/>
        <v>45841</v>
      </c>
      <c r="C84" s="89" vm="320">
        <f ca="1"/>
        <v>1297.18</v>
      </c>
      <c r="D84" s="1335">
        <f t="shared" ca="1" si="80"/>
        <v>9.588593309777068E-3</v>
      </c>
      <c r="E84" s="296" t="str" cm="1">
        <f t="array" aca="1" ref="E84" ca="1">_xlfn.IFS(D84&gt;0.5%,"U",D84&lt;=-0.5%,"D",TRUE,"Z")</f>
        <v>U</v>
      </c>
      <c r="F84" s="296" t="str">
        <f t="shared" ca="1" si="83"/>
        <v>DU</v>
      </c>
      <c r="G84" s="296" t="str">
        <f t="shared" ca="1" si="84"/>
        <v>DDU</v>
      </c>
      <c r="H84" s="898" t="str">
        <f t="shared" ca="1" si="85"/>
        <v>DD</v>
      </c>
      <c r="I84" s="898" t="s">
        <v>2321</v>
      </c>
      <c r="J84" s="949">
        <f ca="1">IF($R84=0,0,J72/$R84)</f>
        <v>0</v>
      </c>
      <c r="K84" s="949">
        <f t="shared" ref="K84:Q84" ca="1" si="104">IF($R84=0,0,K72/$R84)</f>
        <v>0</v>
      </c>
      <c r="L84" s="949">
        <f t="shared" ca="1" si="104"/>
        <v>0</v>
      </c>
      <c r="M84" s="949">
        <f t="shared" ca="1" si="104"/>
        <v>0</v>
      </c>
      <c r="N84" s="949">
        <f t="shared" ca="1" si="104"/>
        <v>0</v>
      </c>
      <c r="O84" s="949">
        <f t="shared" ca="1" si="104"/>
        <v>0</v>
      </c>
      <c r="P84" s="949">
        <f t="shared" ca="1" si="104"/>
        <v>0</v>
      </c>
      <c r="Q84" s="949">
        <f t="shared" ca="1" si="104"/>
        <v>0</v>
      </c>
      <c r="R84" s="898">
        <f t="shared" ca="1" si="89"/>
        <v>0</v>
      </c>
      <c r="T84" s="898">
        <f t="shared" ca="1" si="102"/>
        <v>10</v>
      </c>
      <c r="U84" s="898">
        <f t="shared" ca="1" si="82"/>
        <v>12</v>
      </c>
      <c r="AI84" s="89" vm="321">
        <f ca="1"/>
        <v>45776</v>
      </c>
      <c r="AJ84" s="89" vm="322">
        <f ca="1"/>
        <v>1125.6400000000001</v>
      </c>
      <c r="AP84" s="902">
        <f t="shared" ca="1" si="90"/>
        <v>27</v>
      </c>
      <c r="AQ84" s="1344" t="str">
        <f t="shared" ca="1" si="91"/>
        <v>UU</v>
      </c>
      <c r="AR84" s="1352">
        <f t="shared" ca="1" si="92"/>
        <v>0</v>
      </c>
      <c r="AS84" s="1353">
        <f t="shared" ca="1" si="93"/>
        <v>0</v>
      </c>
      <c r="AT84" s="1353">
        <f t="shared" ca="1" si="94"/>
        <v>0.29629629629629628</v>
      </c>
      <c r="AU84" s="1353">
        <f t="shared" ca="1" si="95"/>
        <v>0.44444444444444442</v>
      </c>
      <c r="AV84" s="1353">
        <f t="shared" ca="1" si="96"/>
        <v>0</v>
      </c>
      <c r="AW84" s="1353">
        <f t="shared" ca="1" si="97"/>
        <v>0</v>
      </c>
      <c r="AX84" s="1353">
        <f t="shared" ca="1" si="98"/>
        <v>0</v>
      </c>
      <c r="AY84" s="1353">
        <f t="shared" ca="1" si="99"/>
        <v>0.25925925925925924</v>
      </c>
      <c r="AZ84" s="1354">
        <f t="shared" ca="1" si="100"/>
        <v>0</v>
      </c>
      <c r="BA84" s="1312"/>
      <c r="BB84" s="1312"/>
      <c r="BD84" s="1344" t="str">
        <f ca="1"/>
        <v>UU</v>
      </c>
      <c r="BE84" s="1337" cm="1">
        <f t="array" aca="1" ref="BE84" ca="1">SUM( ($F$7:$F$155=$BD84) * ($F$6:$F$154=BE$80) )</f>
        <v>0</v>
      </c>
      <c r="BF84" s="898" cm="1">
        <f t="array" aca="1" ref="BF84" ca="1">SUM( ($F$7:$F$155=$BD84) * ($F$6:$F$154=BF$80) )</f>
        <v>0</v>
      </c>
      <c r="BG84" s="898" cm="1">
        <f t="array" aca="1" ref="BG84" ca="1">SUM( ($F$7:$F$155=$BD84) * ($F$6:$F$154=BG$80) )</f>
        <v>8</v>
      </c>
      <c r="BH84" s="898" cm="1">
        <f t="array" aca="1" ref="BH84" ca="1">SUM( ($F$7:$F$155=$BD84) * ($F$6:$F$154=BH$80) )</f>
        <v>12</v>
      </c>
      <c r="BI84" s="898" cm="1">
        <f t="array" aca="1" ref="BI84" ca="1">SUM( ($F$7:$F$155=$BD84) * ($F$6:$F$154=BI$80) )</f>
        <v>0</v>
      </c>
      <c r="BJ84" s="898" cm="1">
        <f t="array" aca="1" ref="BJ84" ca="1">SUM( ($F$7:$F$155=$BD84) * ($F$6:$F$154=BJ$80) )</f>
        <v>0</v>
      </c>
      <c r="BK84" s="898" cm="1">
        <f t="array" aca="1" ref="BK84" ca="1">SUM( ($F$7:$F$155=$BD84) * ($F$6:$F$154=BK$80) )</f>
        <v>0</v>
      </c>
      <c r="BL84" s="898" cm="1">
        <f t="array" aca="1" ref="BL84" ca="1">SUM( ($F$7:$F$155=$BD84) * ($F$6:$F$154=BL$80) )</f>
        <v>7</v>
      </c>
      <c r="BM84" s="1338" cm="1">
        <f t="array" aca="1" ref="BM84" ca="1">SUM( ($F$7:$F$155=$BD84) * ($F$6:$F$154=BM$80) )</f>
        <v>0</v>
      </c>
    </row>
    <row r="85" spans="2:65">
      <c r="B85" s="89" vm="323">
        <f ca="1"/>
        <v>45840</v>
      </c>
      <c r="C85" s="89" vm="324">
        <f ca="1"/>
        <v>1284.8599999999999</v>
      </c>
      <c r="D85" s="1335">
        <f t="shared" ca="1" si="80"/>
        <v>-6.7563388991960498E-3</v>
      </c>
      <c r="E85" s="296" t="str" cm="1">
        <f t="array" aca="1" ref="E85" ca="1">_xlfn.IFS(D85&gt;0.5%,"U",D85&lt;=-0.5%,"D",TRUE,"Z")</f>
        <v>D</v>
      </c>
      <c r="F85" s="296" t="str">
        <f t="shared" ca="1" si="83"/>
        <v>DD</v>
      </c>
      <c r="G85" s="296" t="str">
        <f t="shared" ca="1" si="84"/>
        <v>UDD</v>
      </c>
      <c r="H85" s="898" t="str">
        <f t="shared" ca="1" si="85"/>
        <v/>
      </c>
      <c r="I85" s="898" t="s">
        <v>2322</v>
      </c>
      <c r="J85" s="949">
        <f ca="1">IF($R85&lt;&gt;0,J73/$R85,IF(J84&lt;&gt;0,1-J84,0))</f>
        <v>0</v>
      </c>
      <c r="K85" s="949">
        <f t="shared" ref="K85:Q85" ca="1" si="105">IF($R85&lt;&gt;0,K73/$R85,IF(K84&lt;&gt;0,1-K84,0))</f>
        <v>0</v>
      </c>
      <c r="L85" s="949">
        <f t="shared" ca="1" si="105"/>
        <v>0</v>
      </c>
      <c r="M85" s="949">
        <f t="shared" ca="1" si="105"/>
        <v>0</v>
      </c>
      <c r="N85" s="949">
        <f t="shared" ca="1" si="105"/>
        <v>0</v>
      </c>
      <c r="O85" s="949">
        <f t="shared" ca="1" si="105"/>
        <v>0</v>
      </c>
      <c r="P85" s="949">
        <f t="shared" ca="1" si="105"/>
        <v>0</v>
      </c>
      <c r="Q85" s="949">
        <f t="shared" ca="1" si="105"/>
        <v>0</v>
      </c>
      <c r="R85" s="898">
        <f t="shared" ca="1" si="89"/>
        <v>0</v>
      </c>
      <c r="T85" s="898">
        <f t="shared" ca="1" si="102"/>
        <v>10</v>
      </c>
      <c r="U85" s="898">
        <f t="shared" ca="1" si="82"/>
        <v>12</v>
      </c>
      <c r="AI85" s="89" vm="325">
        <f ca="1"/>
        <v>45777</v>
      </c>
      <c r="AJ85" s="89" vm="326">
        <f ca="1"/>
        <v>1131.72</v>
      </c>
      <c r="AP85" s="902">
        <f t="shared" ca="1" si="90"/>
        <v>17</v>
      </c>
      <c r="AQ85" s="1344" t="str">
        <f t="shared" ca="1" si="91"/>
        <v>DU</v>
      </c>
      <c r="AR85" s="1352">
        <f t="shared" ca="1" si="92"/>
        <v>0</v>
      </c>
      <c r="AS85" s="1353">
        <f t="shared" ca="1" si="93"/>
        <v>0</v>
      </c>
      <c r="AT85" s="1353">
        <f t="shared" ca="1" si="94"/>
        <v>0.29411764705882354</v>
      </c>
      <c r="AU85" s="1353">
        <f t="shared" ca="1" si="95"/>
        <v>0.41176470588235292</v>
      </c>
      <c r="AV85" s="1353">
        <f t="shared" ca="1" si="96"/>
        <v>0</v>
      </c>
      <c r="AW85" s="1353">
        <f t="shared" ca="1" si="97"/>
        <v>0</v>
      </c>
      <c r="AX85" s="1353">
        <f t="shared" ca="1" si="98"/>
        <v>0</v>
      </c>
      <c r="AY85" s="1353">
        <f t="shared" ca="1" si="99"/>
        <v>0.29411764705882354</v>
      </c>
      <c r="AZ85" s="1354">
        <f t="shared" ca="1" si="100"/>
        <v>0</v>
      </c>
      <c r="BA85" s="1312"/>
      <c r="BB85" s="1312"/>
      <c r="BD85" s="1344" t="str">
        <f ca="1"/>
        <v>DU</v>
      </c>
      <c r="BE85" s="1337" cm="1">
        <f t="array" aca="1" ref="BE85" ca="1">SUM( ($F$7:$F$155=$BD85) * ($F$6:$F$154=BE$80) )</f>
        <v>0</v>
      </c>
      <c r="BF85" s="898" cm="1">
        <f t="array" aca="1" ref="BF85" ca="1">SUM( ($F$7:$F$155=$BD85) * ($F$6:$F$154=BF$80) )</f>
        <v>0</v>
      </c>
      <c r="BG85" s="898" cm="1">
        <f t="array" aca="1" ref="BG85" ca="1">SUM( ($F$7:$F$155=$BD85) * ($F$6:$F$154=BG$80) )</f>
        <v>5</v>
      </c>
      <c r="BH85" s="898" cm="1">
        <f t="array" aca="1" ref="BH85" ca="1">SUM( ($F$7:$F$155=$BD85) * ($F$6:$F$154=BH$80) )</f>
        <v>7</v>
      </c>
      <c r="BI85" s="898" cm="1">
        <f t="array" aca="1" ref="BI85" ca="1">SUM( ($F$7:$F$155=$BD85) * ($F$6:$F$154=BI$80) )</f>
        <v>0</v>
      </c>
      <c r="BJ85" s="898" cm="1">
        <f t="array" aca="1" ref="BJ85" ca="1">SUM( ($F$7:$F$155=$BD85) * ($F$6:$F$154=BJ$80) )</f>
        <v>0</v>
      </c>
      <c r="BK85" s="898" cm="1">
        <f t="array" aca="1" ref="BK85" ca="1">SUM( ($F$7:$F$155=$BD85) * ($F$6:$F$154=BK$80) )</f>
        <v>0</v>
      </c>
      <c r="BL85" s="898" cm="1">
        <f t="array" aca="1" ref="BL85" ca="1">SUM( ($F$7:$F$155=$BD85) * ($F$6:$F$154=BL$80) )</f>
        <v>5</v>
      </c>
      <c r="BM85" s="1338" cm="1">
        <f t="array" aca="1" ref="BM85" ca="1">SUM( ($F$7:$F$155=$BD85) * ($F$6:$F$154=BM$80) )</f>
        <v>0</v>
      </c>
    </row>
    <row r="86" spans="2:65">
      <c r="B86" s="89" vm="327">
        <f ca="1"/>
        <v>45839</v>
      </c>
      <c r="C86" s="89" vm="328">
        <f ca="1"/>
        <v>1293.5999999999999</v>
      </c>
      <c r="D86" s="1335">
        <f t="shared" ca="1" si="80"/>
        <v>-3.3999686363534683E-2</v>
      </c>
      <c r="E86" s="296" t="str" cm="1">
        <f t="array" aca="1" ref="E86" ca="1">_xlfn.IFS(D86&gt;0.5%,"U",D86&lt;=-0.5%,"D",TRUE,"Z")</f>
        <v>D</v>
      </c>
      <c r="F86" s="296" t="str">
        <f t="shared" ca="1" si="83"/>
        <v>UD</v>
      </c>
      <c r="G86" s="296" t="str">
        <f t="shared" ca="1" si="84"/>
        <v>UUD</v>
      </c>
      <c r="H86" s="898" t="str">
        <f t="shared" ca="1" si="85"/>
        <v/>
      </c>
      <c r="I86" s="898" t="s">
        <v>2323</v>
      </c>
      <c r="J86" s="949">
        <f ca="1">IF($R86=0,0,J74/$R86)</f>
        <v>0</v>
      </c>
      <c r="K86" s="949">
        <f t="shared" ref="K86:Q86" ca="1" si="106">IF($R86=0,0,K74/$R86)</f>
        <v>0</v>
      </c>
      <c r="L86" s="949">
        <f t="shared" ca="1" si="106"/>
        <v>0</v>
      </c>
      <c r="M86" s="949">
        <f t="shared" ca="1" si="106"/>
        <v>0</v>
      </c>
      <c r="N86" s="949">
        <f t="shared" ca="1" si="106"/>
        <v>0</v>
      </c>
      <c r="O86" s="949">
        <f t="shared" ca="1" si="106"/>
        <v>0</v>
      </c>
      <c r="P86" s="949">
        <f t="shared" ca="1" si="106"/>
        <v>0</v>
      </c>
      <c r="Q86" s="949">
        <f t="shared" ca="1" si="106"/>
        <v>0</v>
      </c>
      <c r="R86" s="898">
        <f t="shared" ca="1" si="89"/>
        <v>0</v>
      </c>
      <c r="T86" s="898">
        <f t="shared" ca="1" si="102"/>
        <v>9</v>
      </c>
      <c r="U86" s="898">
        <f t="shared" ca="1" si="82"/>
        <v>13</v>
      </c>
      <c r="AI86" s="89" vm="329">
        <f ca="1"/>
        <v>45778</v>
      </c>
      <c r="AJ86" s="89" vm="330">
        <f ca="1"/>
        <v>1133.47</v>
      </c>
      <c r="AP86" s="902">
        <f t="shared" ca="1" si="90"/>
        <v>13</v>
      </c>
      <c r="AQ86" s="1344" t="str">
        <f t="shared" ca="1" si="91"/>
        <v>DD</v>
      </c>
      <c r="AR86" s="1352">
        <f t="shared" ca="1" si="92"/>
        <v>0</v>
      </c>
      <c r="AS86" s="1353">
        <f t="shared" ca="1" si="93"/>
        <v>0.15384615384615385</v>
      </c>
      <c r="AT86" s="1353">
        <f t="shared" ca="1" si="94"/>
        <v>0</v>
      </c>
      <c r="AU86" s="1353">
        <f t="shared" ca="1" si="95"/>
        <v>0</v>
      </c>
      <c r="AV86" s="1353">
        <f t="shared" ca="1" si="96"/>
        <v>0.53846153846153844</v>
      </c>
      <c r="AW86" s="1353">
        <f t="shared" ca="1" si="97"/>
        <v>0.30769230769230771</v>
      </c>
      <c r="AX86" s="1353">
        <f t="shared" ca="1" si="98"/>
        <v>0</v>
      </c>
      <c r="AY86" s="1353">
        <f t="shared" ca="1" si="99"/>
        <v>0</v>
      </c>
      <c r="AZ86" s="1354">
        <f t="shared" ca="1" si="100"/>
        <v>0</v>
      </c>
      <c r="BA86" s="1312"/>
      <c r="BB86" s="1312"/>
      <c r="BD86" s="1344" t="str">
        <f ca="1"/>
        <v>DD</v>
      </c>
      <c r="BE86" s="1337" cm="1">
        <f t="array" aca="1" ref="BE86" ca="1">SUM( ($F$7:$F$155=$BD86) * ($F$6:$F$154=BE$80) )</f>
        <v>0</v>
      </c>
      <c r="BF86" s="898" cm="1">
        <f t="array" aca="1" ref="BF86" ca="1">SUM( ($F$7:$F$155=$BD86) * ($F$6:$F$154=BF$80) )</f>
        <v>2</v>
      </c>
      <c r="BG86" s="898" cm="1">
        <f t="array" aca="1" ref="BG86" ca="1">SUM( ($F$7:$F$155=$BD86) * ($F$6:$F$154=BG$80) )</f>
        <v>0</v>
      </c>
      <c r="BH86" s="898" cm="1">
        <f t="array" aca="1" ref="BH86" ca="1">SUM( ($F$7:$F$155=$BD86) * ($F$6:$F$154=BH$80) )</f>
        <v>0</v>
      </c>
      <c r="BI86" s="898" cm="1">
        <f t="array" aca="1" ref="BI86" ca="1">SUM( ($F$7:$F$155=$BD86) * ($F$6:$F$154=BI$80) )</f>
        <v>7</v>
      </c>
      <c r="BJ86" s="898" cm="1">
        <f t="array" aca="1" ref="BJ86" ca="1">SUM( ($F$7:$F$155=$BD86) * ($F$6:$F$154=BJ$80) )</f>
        <v>4</v>
      </c>
      <c r="BK86" s="898" cm="1">
        <f t="array" aca="1" ref="BK86" ca="1">SUM( ($F$7:$F$155=$BD86) * ($F$6:$F$154=BK$80) )</f>
        <v>0</v>
      </c>
      <c r="BL86" s="898" cm="1">
        <f t="array" aca="1" ref="BL86" ca="1">SUM( ($F$7:$F$155=$BD86) * ($F$6:$F$154=BL$80) )</f>
        <v>0</v>
      </c>
      <c r="BM86" s="1338" cm="1">
        <f t="array" aca="1" ref="BM86" ca="1">SUM( ($F$7:$F$155=$BD86) * ($F$6:$F$154=BM$80) )</f>
        <v>0</v>
      </c>
    </row>
    <row r="87" spans="2:65">
      <c r="B87" s="89" vm="331">
        <f ca="1"/>
        <v>45838</v>
      </c>
      <c r="C87" s="89" vm="332">
        <f ca="1"/>
        <v>1339.13</v>
      </c>
      <c r="D87" s="1335">
        <f t="shared" ca="1" si="80"/>
        <v>1.2100187435758072E-2</v>
      </c>
      <c r="E87" s="296" t="str" cm="1">
        <f t="array" aca="1" ref="E87" ca="1">_xlfn.IFS(D87&gt;0.5%,"U",D87&lt;=-0.5%,"D",TRUE,"Z")</f>
        <v>U</v>
      </c>
      <c r="F87" s="296" t="str">
        <f t="shared" ca="1" si="83"/>
        <v>UU</v>
      </c>
      <c r="G87" s="296" t="str">
        <f t="shared" ca="1" si="84"/>
        <v>UUU</v>
      </c>
      <c r="H87" s="898" t="str">
        <f t="shared" ca="1" si="85"/>
        <v/>
      </c>
      <c r="I87" s="898" t="s">
        <v>2324</v>
      </c>
      <c r="J87" s="949">
        <f ca="1">IF($R87&lt;&gt;0,J75/$R87,IF(J86&lt;&gt;0,1-J86,0))</f>
        <v>0</v>
      </c>
      <c r="K87" s="949">
        <f t="shared" ref="K87:Q87" ca="1" si="107">IF($R87&lt;&gt;0,K75/$R87,IF(K86&lt;&gt;0,1-K86,0))</f>
        <v>0</v>
      </c>
      <c r="L87" s="949">
        <f t="shared" ca="1" si="107"/>
        <v>0</v>
      </c>
      <c r="M87" s="949">
        <f t="shared" ca="1" si="107"/>
        <v>0</v>
      </c>
      <c r="N87" s="949">
        <f t="shared" ca="1" si="107"/>
        <v>0</v>
      </c>
      <c r="O87" s="949">
        <f t="shared" ca="1" si="107"/>
        <v>0</v>
      </c>
      <c r="P87" s="949">
        <f t="shared" ca="1" si="107"/>
        <v>0.5</v>
      </c>
      <c r="Q87" s="949">
        <f t="shared" ca="1" si="107"/>
        <v>0.5</v>
      </c>
      <c r="R87" s="898">
        <f t="shared" ca="1" si="89"/>
        <v>2</v>
      </c>
      <c r="T87" s="898">
        <f t="shared" ca="1" si="102"/>
        <v>9</v>
      </c>
      <c r="U87" s="898">
        <f t="shared" ca="1" si="82"/>
        <v>13</v>
      </c>
      <c r="AI87" s="89" vm="333">
        <f ca="1"/>
        <v>45779</v>
      </c>
      <c r="AJ87" s="89" vm="334">
        <f ca="1"/>
        <v>1156.49</v>
      </c>
      <c r="AP87" s="902">
        <f t="shared" ca="1" si="90"/>
        <v>11</v>
      </c>
      <c r="AQ87" s="1344" t="str">
        <f t="shared" ca="1" si="91"/>
        <v>ZZ</v>
      </c>
      <c r="AR87" s="1352">
        <f t="shared" ca="1" si="92"/>
        <v>0.27272727272727271</v>
      </c>
      <c r="AS87" s="1353">
        <f t="shared" ca="1" si="93"/>
        <v>0</v>
      </c>
      <c r="AT87" s="1353">
        <f t="shared" ca="1" si="94"/>
        <v>0</v>
      </c>
      <c r="AU87" s="1353">
        <f t="shared" ca="1" si="95"/>
        <v>0</v>
      </c>
      <c r="AV87" s="1353">
        <f t="shared" ca="1" si="96"/>
        <v>0</v>
      </c>
      <c r="AW87" s="1353">
        <f t="shared" ca="1" si="97"/>
        <v>0</v>
      </c>
      <c r="AX87" s="1353">
        <f t="shared" ca="1" si="98"/>
        <v>0.36363636363636365</v>
      </c>
      <c r="AY87" s="1353">
        <f t="shared" ca="1" si="99"/>
        <v>0</v>
      </c>
      <c r="AZ87" s="1354">
        <f t="shared" ca="1" si="100"/>
        <v>0.36363636363636365</v>
      </c>
      <c r="BA87" s="1312"/>
      <c r="BB87" s="1312"/>
      <c r="BD87" s="1344" t="str">
        <f ca="1"/>
        <v>ZZ</v>
      </c>
      <c r="BE87" s="1337" cm="1">
        <f t="array" aca="1" ref="BE87" ca="1">SUM( ($F$7:$F$155=$BD87) * ($F$6:$F$154=BE$80) )</f>
        <v>3</v>
      </c>
      <c r="BF87" s="898" cm="1">
        <f t="array" aca="1" ref="BF87" ca="1">SUM( ($F$7:$F$155=$BD87) * ($F$6:$F$154=BF$80) )</f>
        <v>0</v>
      </c>
      <c r="BG87" s="898" cm="1">
        <f t="array" aca="1" ref="BG87" ca="1">SUM( ($F$7:$F$155=$BD87) * ($F$6:$F$154=BG$80) )</f>
        <v>0</v>
      </c>
      <c r="BH87" s="898" cm="1">
        <f t="array" aca="1" ref="BH87" ca="1">SUM( ($F$7:$F$155=$BD87) * ($F$6:$F$154=BH$80) )</f>
        <v>0</v>
      </c>
      <c r="BI87" s="898" cm="1">
        <f t="array" aca="1" ref="BI87" ca="1">SUM( ($F$7:$F$155=$BD87) * ($F$6:$F$154=BI$80) )</f>
        <v>0</v>
      </c>
      <c r="BJ87" s="898" cm="1">
        <f t="array" aca="1" ref="BJ87" ca="1">SUM( ($F$7:$F$155=$BD87) * ($F$6:$F$154=BJ$80) )</f>
        <v>0</v>
      </c>
      <c r="BK87" s="898" cm="1">
        <f t="array" aca="1" ref="BK87" ca="1">SUM( ($F$7:$F$155=$BD87) * ($F$6:$F$154=BK$80) )</f>
        <v>4</v>
      </c>
      <c r="BL87" s="898" cm="1">
        <f t="array" aca="1" ref="BL87" ca="1">SUM( ($F$7:$F$155=$BD87) * ($F$6:$F$154=BL$80) )</f>
        <v>0</v>
      </c>
      <c r="BM87" s="1338" cm="1">
        <f t="array" aca="1" ref="BM87" ca="1">SUM( ($F$7:$F$155=$BD87) * ($F$6:$F$154=BM$80) )</f>
        <v>4</v>
      </c>
    </row>
    <row r="88" spans="2:65">
      <c r="B88" s="89" vm="335">
        <f ca="1"/>
        <v>45835</v>
      </c>
      <c r="C88" s="89" vm="336">
        <f ca="1"/>
        <v>1323.12</v>
      </c>
      <c r="D88" s="1335">
        <f t="shared" ca="1" si="80"/>
        <v>1.258925359884272E-2</v>
      </c>
      <c r="E88" s="296" t="str" cm="1">
        <f t="array" aca="1" ref="E88" ca="1">_xlfn.IFS(D88&gt;0.5%,"U",D88&lt;=-0.5%,"D",TRUE,"Z")</f>
        <v>U</v>
      </c>
      <c r="F88" s="296" t="str">
        <f t="shared" ca="1" si="83"/>
        <v>UU</v>
      </c>
      <c r="G88" s="296" t="str">
        <f t="shared" ca="1" si="84"/>
        <v>ZUU</v>
      </c>
      <c r="H88" s="898" t="str">
        <f t="shared" ca="1" si="85"/>
        <v/>
      </c>
      <c r="T88" s="898">
        <f t="shared" ca="1" si="102"/>
        <v>10</v>
      </c>
      <c r="U88" s="898">
        <f t="shared" ca="1" si="82"/>
        <v>12</v>
      </c>
      <c r="AI88" s="89" vm="337">
        <f ca="1"/>
        <v>45782</v>
      </c>
      <c r="AJ88" s="89" vm="338">
        <f ca="1"/>
        <v>1134.06</v>
      </c>
      <c r="AP88" s="902">
        <f t="shared" ca="1" si="90"/>
        <v>21</v>
      </c>
      <c r="AQ88" s="1344" t="str">
        <f t="shared" ca="1" si="91"/>
        <v>UD</v>
      </c>
      <c r="AR88" s="1352">
        <f t="shared" ca="1" si="92"/>
        <v>0</v>
      </c>
      <c r="AS88" s="1353">
        <f t="shared" ca="1" si="93"/>
        <v>0.42857142857142855</v>
      </c>
      <c r="AT88" s="1353">
        <f t="shared" ca="1" si="94"/>
        <v>0</v>
      </c>
      <c r="AU88" s="1353">
        <f t="shared" ca="1" si="95"/>
        <v>0</v>
      </c>
      <c r="AV88" s="1353">
        <f t="shared" ca="1" si="96"/>
        <v>0.2857142857142857</v>
      </c>
      <c r="AW88" s="1353">
        <f t="shared" ca="1" si="97"/>
        <v>0.2857142857142857</v>
      </c>
      <c r="AX88" s="1353">
        <f t="shared" ca="1" si="98"/>
        <v>0</v>
      </c>
      <c r="AY88" s="1353">
        <f t="shared" ca="1" si="99"/>
        <v>0</v>
      </c>
      <c r="AZ88" s="1354">
        <f t="shared" ca="1" si="100"/>
        <v>0</v>
      </c>
      <c r="BA88" s="1312"/>
      <c r="BB88" s="1312"/>
      <c r="BD88" s="1344" t="str">
        <f ca="1"/>
        <v>UD</v>
      </c>
      <c r="BE88" s="1337" cm="1">
        <f t="array" aca="1" ref="BE88" ca="1">SUM( ($F$7:$F$155=$BD88) * ($F$6:$F$154=BE$80) )</f>
        <v>0</v>
      </c>
      <c r="BF88" s="898" cm="1">
        <f t="array" aca="1" ref="BF88" ca="1">SUM( ($F$7:$F$155=$BD88) * ($F$6:$F$154=BF$80) )</f>
        <v>9</v>
      </c>
      <c r="BG88" s="898" cm="1">
        <f t="array" aca="1" ref="BG88" ca="1">SUM( ($F$7:$F$155=$BD88) * ($F$6:$F$154=BG$80) )</f>
        <v>0</v>
      </c>
      <c r="BH88" s="898" cm="1">
        <f t="array" aca="1" ref="BH88" ca="1">SUM( ($F$7:$F$155=$BD88) * ($F$6:$F$154=BH$80) )</f>
        <v>0</v>
      </c>
      <c r="BI88" s="898" cm="1">
        <f t="array" aca="1" ref="BI88" ca="1">SUM( ($F$7:$F$155=$BD88) * ($F$6:$F$154=BI$80) )</f>
        <v>6</v>
      </c>
      <c r="BJ88" s="898" cm="1">
        <f t="array" aca="1" ref="BJ88" ca="1">SUM( ($F$7:$F$155=$BD88) * ($F$6:$F$154=BJ$80) )</f>
        <v>6</v>
      </c>
      <c r="BK88" s="898" cm="1">
        <f t="array" aca="1" ref="BK88" ca="1">SUM( ($F$7:$F$155=$BD88) * ($F$6:$F$154=BK$80) )</f>
        <v>0</v>
      </c>
      <c r="BL88" s="898" cm="1">
        <f t="array" aca="1" ref="BL88" ca="1">SUM( ($F$7:$F$155=$BD88) * ($F$6:$F$154=BL$80) )</f>
        <v>0</v>
      </c>
      <c r="BM88" s="1338" cm="1">
        <f t="array" aca="1" ref="BM88" ca="1">SUM( ($F$7:$F$155=$BD88) * ($F$6:$F$154=BM$80) )</f>
        <v>0</v>
      </c>
    </row>
    <row r="89" spans="2:65" ht="23" thickBot="1">
      <c r="B89" s="89" vm="339">
        <f ca="1"/>
        <v>45834</v>
      </c>
      <c r="C89" s="89" vm="340">
        <f ca="1"/>
        <v>1306.67</v>
      </c>
      <c r="D89" s="1335">
        <f t="shared" ca="1" si="80"/>
        <v>2.4638306214467807E-2</v>
      </c>
      <c r="E89" s="296" t="str" cm="1">
        <f t="array" aca="1" ref="E89" ca="1">_xlfn.IFS(D89&gt;0.5%,"U",D89&lt;=-0.5%,"D",TRUE,"Z")</f>
        <v>U</v>
      </c>
      <c r="F89" s="296" t="str">
        <f t="shared" ca="1" si="83"/>
        <v>ZU</v>
      </c>
      <c r="G89" s="296" t="str">
        <f t="shared" ca="1" si="84"/>
        <v>UZU</v>
      </c>
      <c r="H89" s="898" t="str">
        <f t="shared" ca="1" si="85"/>
        <v/>
      </c>
      <c r="T89" s="898">
        <f t="shared" ca="1" si="102"/>
        <v>10</v>
      </c>
      <c r="U89" s="898">
        <f t="shared" ca="1" si="82"/>
        <v>12</v>
      </c>
      <c r="AI89" s="89" vm="341">
        <f ca="1"/>
        <v>45783</v>
      </c>
      <c r="AJ89" s="89" vm="342">
        <f ca="1"/>
        <v>1137.69</v>
      </c>
      <c r="AP89" s="902">
        <f t="shared" ca="1" si="90"/>
        <v>20</v>
      </c>
      <c r="AQ89" s="1345" t="str">
        <f t="shared" ca="1" si="91"/>
        <v>ZU</v>
      </c>
      <c r="AR89" s="1355">
        <f t="shared" ca="1" si="92"/>
        <v>0</v>
      </c>
      <c r="AS89" s="1356">
        <f t="shared" ca="1" si="93"/>
        <v>0</v>
      </c>
      <c r="AT89" s="1356">
        <f t="shared" ca="1" si="94"/>
        <v>0.15</v>
      </c>
      <c r="AU89" s="1356">
        <f t="shared" ca="1" si="95"/>
        <v>0.4</v>
      </c>
      <c r="AV89" s="1356">
        <f t="shared" ca="1" si="96"/>
        <v>0</v>
      </c>
      <c r="AW89" s="1356">
        <f t="shared" ca="1" si="97"/>
        <v>0</v>
      </c>
      <c r="AX89" s="1356">
        <f t="shared" ca="1" si="98"/>
        <v>0</v>
      </c>
      <c r="AY89" s="1356">
        <f t="shared" ca="1" si="99"/>
        <v>0.45</v>
      </c>
      <c r="AZ89" s="1357">
        <f t="shared" ca="1" si="100"/>
        <v>0</v>
      </c>
      <c r="BA89" s="1312"/>
      <c r="BB89" s="1312"/>
      <c r="BD89" s="1345" t="str">
        <f ca="1"/>
        <v>ZU</v>
      </c>
      <c r="BE89" s="934" cm="1">
        <f t="array" aca="1" ref="BE89" ca="1">SUM( ($F$7:$F$155=$BD89) * ($F$6:$F$154=BE$80) )</f>
        <v>0</v>
      </c>
      <c r="BF89" s="1339" cm="1">
        <f t="array" aca="1" ref="BF89" ca="1">SUM( ($F$7:$F$155=$BD89) * ($F$6:$F$154=BF$80) )</f>
        <v>0</v>
      </c>
      <c r="BG89" s="1339" cm="1">
        <f t="array" aca="1" ref="BG89" ca="1">SUM( ($F$7:$F$155=$BD89) * ($F$6:$F$154=BG$80) )</f>
        <v>3</v>
      </c>
      <c r="BH89" s="1339" cm="1">
        <f t="array" aca="1" ref="BH89" ca="1">SUM( ($F$7:$F$155=$BD89) * ($F$6:$F$154=BH$80) )</f>
        <v>8</v>
      </c>
      <c r="BI89" s="1339" cm="1">
        <f t="array" aca="1" ref="BI89" ca="1">SUM( ($F$7:$F$155=$BD89) * ($F$6:$F$154=BI$80) )</f>
        <v>0</v>
      </c>
      <c r="BJ89" s="1339" cm="1">
        <f t="array" aca="1" ref="BJ89" ca="1">SUM( ($F$7:$F$155=$BD89) * ($F$6:$F$154=BJ$80) )</f>
        <v>0</v>
      </c>
      <c r="BK89" s="1339" cm="1">
        <f t="array" aca="1" ref="BK89" ca="1">SUM( ($F$7:$F$155=$BD89) * ($F$6:$F$154=BK$80) )</f>
        <v>0</v>
      </c>
      <c r="BL89" s="1339" cm="1">
        <f t="array" aca="1" ref="BL89" ca="1">SUM( ($F$7:$F$155=$BD89) * ($F$6:$F$154=BL$80) )</f>
        <v>9</v>
      </c>
      <c r="BM89" s="1340" cm="1">
        <f t="array" aca="1" ref="BM89" ca="1">SUM( ($F$7:$F$155=$BD89) * ($F$6:$F$154=BM$80) )</f>
        <v>0</v>
      </c>
    </row>
    <row r="90" spans="2:65">
      <c r="B90" s="89" vm="343">
        <f ca="1"/>
        <v>45833</v>
      </c>
      <c r="C90" s="89" vm="344">
        <f ca="1"/>
        <v>1275.25</v>
      </c>
      <c r="D90" s="1335">
        <f t="shared" ca="1" si="80"/>
        <v>-3.0177232607046306E-3</v>
      </c>
      <c r="E90" s="296" t="str" cm="1">
        <f t="array" aca="1" ref="E90" ca="1">_xlfn.IFS(D90&gt;0.5%,"U",D90&lt;=-0.5%,"D",TRUE,"Z")</f>
        <v>Z</v>
      </c>
      <c r="F90" s="296" t="str">
        <f t="shared" ca="1" si="83"/>
        <v>UZ</v>
      </c>
      <c r="G90" s="296" t="str">
        <f t="shared" ca="1" si="84"/>
        <v>UUZ</v>
      </c>
      <c r="H90" s="898" t="str">
        <f t="shared" ca="1" si="85"/>
        <v/>
      </c>
      <c r="T90" s="898">
        <f t="shared" ca="1" si="102"/>
        <v>11</v>
      </c>
      <c r="U90" s="898">
        <f t="shared" ca="1" si="82"/>
        <v>11</v>
      </c>
      <c r="AI90" s="89" vm="345">
        <f ca="1"/>
        <v>45784</v>
      </c>
      <c r="AJ90" s="89" vm="346">
        <f ca="1"/>
        <v>1155.4100000000001</v>
      </c>
      <c r="AQ90" s="898">
        <f t="shared" ref="AQ90" si="108">AQ75</f>
        <v>0</v>
      </c>
      <c r="AR90" s="1312"/>
      <c r="AS90" s="1312"/>
      <c r="AT90" s="1312"/>
      <c r="AU90" s="1312"/>
      <c r="AV90" s="1312"/>
      <c r="AW90" s="1312"/>
      <c r="AX90" s="1312"/>
      <c r="AY90" s="1312"/>
      <c r="AZ90" s="1312"/>
      <c r="BA90" s="1312"/>
      <c r="BB90" s="1312"/>
    </row>
    <row r="91" spans="2:65">
      <c r="B91" s="89" vm="347">
        <f ca="1"/>
        <v>45832</v>
      </c>
      <c r="C91" s="89" vm="348">
        <f ca="1"/>
        <v>1279.1099999999999</v>
      </c>
      <c r="D91" s="1335">
        <f t="shared" ca="1" si="80"/>
        <v>2.0398232206391448E-2</v>
      </c>
      <c r="E91" s="296" t="str" cm="1">
        <f t="array" aca="1" ref="E91" ca="1">_xlfn.IFS(D91&gt;0.5%,"U",D91&lt;=-0.5%,"D",TRUE,"Z")</f>
        <v>U</v>
      </c>
      <c r="F91" s="296" t="str">
        <f t="shared" ca="1" si="83"/>
        <v>UU</v>
      </c>
      <c r="G91" s="296" t="str">
        <f t="shared" ca="1" si="84"/>
        <v>UUU</v>
      </c>
      <c r="H91" s="898" t="str">
        <f t="shared" ca="1" si="85"/>
        <v/>
      </c>
      <c r="T91" s="898">
        <f t="shared" ca="1" si="102"/>
        <v>11</v>
      </c>
      <c r="U91" s="898">
        <f t="shared" ca="1" si="82"/>
        <v>11</v>
      </c>
      <c r="AI91" s="89" vm="349">
        <f ca="1"/>
        <v>45785</v>
      </c>
      <c r="AJ91" s="89" vm="350">
        <f ca="1"/>
        <v>1144.43</v>
      </c>
    </row>
    <row r="92" spans="2:65" ht="23" thickBot="1">
      <c r="B92" s="89" vm="351">
        <f ca="1"/>
        <v>45831</v>
      </c>
      <c r="C92" s="89" vm="352">
        <f ca="1"/>
        <v>1253.54</v>
      </c>
      <c r="D92" s="1335">
        <f t="shared" ca="1" si="80"/>
        <v>1.7971268708228683E-2</v>
      </c>
      <c r="E92" s="296" t="str" cm="1">
        <f t="array" aca="1" ref="E92" ca="1">_xlfn.IFS(D92&gt;0.5%,"U",D92&lt;=-0.5%,"D",TRUE,"Z")</f>
        <v>U</v>
      </c>
      <c r="F92" s="296" t="str">
        <f t="shared" ca="1" si="83"/>
        <v>UU</v>
      </c>
      <c r="G92" s="296" t="str">
        <f t="shared" ca="1" si="84"/>
        <v>ZUU</v>
      </c>
      <c r="H92" s="898" t="str">
        <f t="shared" ca="1" si="85"/>
        <v/>
      </c>
      <c r="T92" s="898">
        <f t="shared" ca="1" si="102"/>
        <v>11</v>
      </c>
      <c r="U92" s="898">
        <f t="shared" ca="1" si="82"/>
        <v>11</v>
      </c>
      <c r="AI92" s="89" vm="353">
        <f ca="1"/>
        <v>45786</v>
      </c>
      <c r="AJ92" s="89" vm="354">
        <f ca="1"/>
        <v>1140.22</v>
      </c>
    </row>
    <row r="93" spans="2:65" ht="23" thickBot="1">
      <c r="B93" s="89" vm="355">
        <f ca="1"/>
        <v>45828</v>
      </c>
      <c r="C93" s="89" vm="356">
        <f ca="1"/>
        <v>1231.4100000000001</v>
      </c>
      <c r="D93" s="1335">
        <f t="shared" ca="1" si="80"/>
        <v>7.4614044130281018E-3</v>
      </c>
      <c r="E93" s="296" t="str" cm="1">
        <f t="array" aca="1" ref="E93" ca="1">_xlfn.IFS(D93&gt;0.5%,"U",D93&lt;=-0.5%,"D",TRUE,"Z")</f>
        <v>U</v>
      </c>
      <c r="F93" s="296" t="str">
        <f t="shared" ca="1" si="83"/>
        <v>ZU</v>
      </c>
      <c r="G93" s="296" t="str">
        <f t="shared" ca="1" si="84"/>
        <v>ZZU</v>
      </c>
      <c r="H93" s="898" t="str">
        <f t="shared" ca="1" si="85"/>
        <v/>
      </c>
      <c r="T93" s="898">
        <f t="shared" ca="1" si="102"/>
        <v>11</v>
      </c>
      <c r="U93" s="898">
        <f t="shared" ca="1" si="82"/>
        <v>11</v>
      </c>
      <c r="AI93" s="89" vm="357">
        <f ca="1"/>
        <v>45789</v>
      </c>
      <c r="AJ93" s="89" vm="358">
        <f ca="1"/>
        <v>1110</v>
      </c>
      <c r="AO93" s="959" t="str">
        <f>AI3</f>
        <v>NFLX</v>
      </c>
      <c r="AP93" s="959" t="str">
        <f ca="1">E5</f>
        <v>D</v>
      </c>
    </row>
    <row r="94" spans="2:65" ht="23" thickBot="1">
      <c r="B94" s="89" vm="359">
        <f ca="1"/>
        <v>45826</v>
      </c>
      <c r="C94" s="89" vm="360">
        <f ca="1"/>
        <v>1222.29</v>
      </c>
      <c r="D94" s="1335">
        <f t="shared" ca="1" si="80"/>
        <v>1.3271400132713106E-3</v>
      </c>
      <c r="E94" s="296" t="str" cm="1">
        <f t="array" aca="1" ref="E94" ca="1">_xlfn.IFS(D94&gt;0.5%,"U",D94&lt;=-0.5%,"D",TRUE,"Z")</f>
        <v>Z</v>
      </c>
      <c r="F94" s="296" t="str">
        <f t="shared" ca="1" si="83"/>
        <v>ZZ</v>
      </c>
      <c r="G94" s="296" t="str">
        <f t="shared" ca="1" si="84"/>
        <v>UZZ</v>
      </c>
      <c r="H94" s="898" t="str">
        <f t="shared" ca="1" si="85"/>
        <v/>
      </c>
      <c r="T94" s="898">
        <f t="shared" ca="1" si="102"/>
        <v>11</v>
      </c>
      <c r="U94" s="898">
        <f t="shared" ca="1" si="82"/>
        <v>11</v>
      </c>
      <c r="AI94" s="89" vm="361">
        <f ca="1"/>
        <v>45790</v>
      </c>
      <c r="AJ94" s="89" vm="362">
        <f ca="1"/>
        <v>1138.44</v>
      </c>
      <c r="AP94" s="1313">
        <f ca="1">IFERROR(_xlfn.MINIFS(AR96:AZ112, AR96:AZ112, "&gt;0", AR96:AZ112, "&lt;1"), "")</f>
        <v>0.24390243902439024</v>
      </c>
      <c r="AQ94" s="1314">
        <f ca="1">IFERROR(_xlfn.MAXIFS(AR96:AZ112, AR96:AZ112, "&gt;0", AR96:AZ112, "&lt;1"), "")</f>
        <v>0.48780487804878048</v>
      </c>
      <c r="AR94" s="1367" t="str">
        <f ca="1">IF($AP$93=AR95,AR95,"")</f>
        <v>D</v>
      </c>
      <c r="AS94" s="1367" t="str">
        <f ca="1">IF($AP$93=AS95,AS95,"")</f>
        <v/>
      </c>
      <c r="AT94" s="1367" t="str">
        <f ca="1">IF($AP$93=AT95,AT95,"")</f>
        <v/>
      </c>
      <c r="AU94" s="1008"/>
      <c r="AX94" s="1008"/>
      <c r="AY94" s="1367" t="str">
        <f ca="1">IF($AP$93=AY95,AY95,"")</f>
        <v>D</v>
      </c>
      <c r="AZ94" s="1367" t="str">
        <f ca="1">IF($AP$93=AZ95,AZ95,"")</f>
        <v/>
      </c>
      <c r="BA94" s="1367" t="str">
        <f ca="1">IF($AP$93=BA95,BA95,"")</f>
        <v/>
      </c>
      <c r="BC94" s="902" t="s">
        <v>2718</v>
      </c>
    </row>
    <row r="95" spans="2:65" ht="23" thickBot="1">
      <c r="B95" s="89" vm="363">
        <f ca="1"/>
        <v>45825</v>
      </c>
      <c r="C95" s="89" vm="364">
        <f ca="1"/>
        <v>1220.67</v>
      </c>
      <c r="D95" s="1335">
        <f t="shared" ca="1" si="80"/>
        <v>-3.8193169298566423E-3</v>
      </c>
      <c r="E95" s="296" t="str" cm="1">
        <f t="array" aca="1" ref="E95" ca="1">_xlfn.IFS(D95&gt;0.5%,"U",D95&lt;=-0.5%,"D",TRUE,"Z")</f>
        <v>Z</v>
      </c>
      <c r="F95" s="296" t="str">
        <f t="shared" ca="1" si="83"/>
        <v>UZ</v>
      </c>
      <c r="G95" s="296" t="str">
        <f t="shared" ca="1" si="84"/>
        <v>ZUZ</v>
      </c>
      <c r="H95" s="898" t="str">
        <f t="shared" ca="1" si="85"/>
        <v/>
      </c>
      <c r="T95" s="898">
        <f t="shared" ca="1" si="102"/>
        <v>11</v>
      </c>
      <c r="U95" s="898">
        <f t="shared" ca="1" si="82"/>
        <v>11</v>
      </c>
      <c r="AI95" s="89" vm="365">
        <f ca="1"/>
        <v>45791</v>
      </c>
      <c r="AJ95" s="89" vm="366">
        <f ca="1"/>
        <v>1150.99</v>
      </c>
      <c r="AQ95" s="1341">
        <f ca="1">ROWS(_xlfn.UNIQUE(G103:G105))</f>
        <v>3</v>
      </c>
      <c r="AR95" s="1341" t="str">
        <f ca="1">BE95</f>
        <v>D</v>
      </c>
      <c r="AS95" s="1347" t="str">
        <f ca="1">BF95</f>
        <v>U</v>
      </c>
      <c r="AT95" s="1348" t="str">
        <f ca="1">BG95</f>
        <v>Z</v>
      </c>
      <c r="AU95" s="1323"/>
      <c r="AX95" s="1341"/>
      <c r="AY95" s="1341" t="str">
        <f ca="1">AR95</f>
        <v>D</v>
      </c>
      <c r="AZ95" s="1347" t="str">
        <f ca="1">AS95</f>
        <v>U</v>
      </c>
      <c r="BA95" s="1348" t="str">
        <f ca="1">AT95</f>
        <v>Z</v>
      </c>
      <c r="BD95" s="1341"/>
      <c r="BE95" s="1341" t="str" cm="1">
        <f t="array" aca="1" ref="BE95:BG95" ca="1">TRANSPOSE(BD96:BD98)</f>
        <v>D</v>
      </c>
      <c r="BF95" s="1347" t="str">
        <f ca="1"/>
        <v>U</v>
      </c>
      <c r="BG95" s="1348" t="str">
        <f ca="1"/>
        <v>Z</v>
      </c>
    </row>
    <row r="96" spans="2:65" ht="23" thickTop="1">
      <c r="B96" s="89" vm="367">
        <f ca="1"/>
        <v>45824</v>
      </c>
      <c r="C96" s="89" vm="368">
        <f ca="1"/>
        <v>1225.3499999999999</v>
      </c>
      <c r="D96" s="1335">
        <f t="shared" ca="1" si="80"/>
        <v>1.0889741368642344E-2</v>
      </c>
      <c r="E96" s="296" t="str" cm="1">
        <f t="array" aca="1" ref="E96" ca="1">_xlfn.IFS(D96&gt;0.5%,"U",D96&lt;=-0.5%,"D",TRUE,"Z")</f>
        <v>U</v>
      </c>
      <c r="F96" s="296" t="str">
        <f t="shared" ca="1" si="83"/>
        <v>ZU</v>
      </c>
      <c r="G96" s="296" t="str">
        <f t="shared" ca="1" si="84"/>
        <v>ZZU</v>
      </c>
      <c r="H96" s="898" t="str">
        <f t="shared" ca="1" si="85"/>
        <v/>
      </c>
      <c r="T96" s="898">
        <f t="shared" ca="1" si="102"/>
        <v>10</v>
      </c>
      <c r="U96" s="898">
        <f t="shared" ca="1" si="82"/>
        <v>12</v>
      </c>
      <c r="AI96" s="89" vm="369">
        <f ca="1"/>
        <v>45792</v>
      </c>
      <c r="AJ96" s="89" vm="370">
        <f ca="1"/>
        <v>1177.98</v>
      </c>
      <c r="AP96" s="902">
        <f ca="1">SUM(BE96:BG96)</f>
        <v>44</v>
      </c>
      <c r="AQ96" s="1359" t="str">
        <f ca="1">BD96</f>
        <v>D</v>
      </c>
      <c r="AR96" s="1353">
        <f t="shared" ref="AR96:AT98" ca="1" si="109">BE96/$AP96</f>
        <v>0.29545454545454547</v>
      </c>
      <c r="AS96" s="1353">
        <f t="shared" ca="1" si="109"/>
        <v>0.36363636363636365</v>
      </c>
      <c r="AT96" s="1354">
        <f t="shared" ca="1" si="109"/>
        <v>0.34090909090909088</v>
      </c>
      <c r="AX96" s="1359" t="str">
        <f ca="1">AQ96</f>
        <v>D</v>
      </c>
      <c r="AY96" s="1353">
        <f t="shared" ref="AY96:BA98" ca="1" si="110">AR96/SUM(AR$96:AR$98)</f>
        <v>0.34058868165661571</v>
      </c>
      <c r="AZ96" s="1353">
        <f t="shared" ca="1" si="110"/>
        <v>0.285582129349985</v>
      </c>
      <c r="BA96" s="1354">
        <f t="shared" ca="1" si="110"/>
        <v>0.39677419354838711</v>
      </c>
      <c r="BC96" s="902"/>
      <c r="BD96" s="1359" t="str" cm="1">
        <f t="array" aca="1" ref="BD96:BD98" ca="1">_xlfn.UNIQUE(E35:E188)</f>
        <v>D</v>
      </c>
      <c r="BE96" s="1363" cm="1">
        <f t="array" aca="1" ref="BE96" ca="1">SUM( ($E$7:$E$155=$BD96) * ($E$6:$E$154=BE$95) )</f>
        <v>13</v>
      </c>
      <c r="BF96" s="1363" cm="1">
        <f t="array" aca="1" ref="BF96" ca="1">SUM( ($E$7:$E$155=$BD96) * ($E$6:$E$154=BF$95) )</f>
        <v>16</v>
      </c>
      <c r="BG96" s="1364" cm="1">
        <f t="array" aca="1" ref="BG96" ca="1">SUM( ($E$7:$E$155=$BD96) * ($E$6:$E$154=BG$95) )</f>
        <v>15</v>
      </c>
    </row>
    <row r="97" spans="2:59">
      <c r="B97" s="89" vm="371">
        <f ca="1"/>
        <v>45821</v>
      </c>
      <c r="C97" s="89" vm="372">
        <f ca="1"/>
        <v>1212.1500000000001</v>
      </c>
      <c r="D97" s="1335">
        <f t="shared" ca="1" si="80"/>
        <v>-2.3703118441518989E-3</v>
      </c>
      <c r="E97" s="296" t="str" cm="1">
        <f t="array" aca="1" ref="E97" ca="1">_xlfn.IFS(D97&gt;0.5%,"U",D97&lt;=-0.5%,"D",TRUE,"Z")</f>
        <v>Z</v>
      </c>
      <c r="F97" s="296" t="str">
        <f t="shared" ca="1" si="83"/>
        <v>ZZ</v>
      </c>
      <c r="G97" s="296" t="str">
        <f t="shared" ca="1" si="84"/>
        <v>UZZ</v>
      </c>
      <c r="H97" s="898" t="str">
        <f t="shared" ca="1" si="85"/>
        <v/>
      </c>
      <c r="T97" s="898">
        <f t="shared" ca="1" si="102"/>
        <v>10</v>
      </c>
      <c r="U97" s="898">
        <f t="shared" ca="1" si="82"/>
        <v>12</v>
      </c>
      <c r="AI97" s="89" vm="373">
        <f ca="1"/>
        <v>45793</v>
      </c>
      <c r="AJ97" s="89" vm="374">
        <f ca="1"/>
        <v>1191.53</v>
      </c>
      <c r="AP97" s="902">
        <f ca="1">SUM(BE97:BG97)</f>
        <v>64</v>
      </c>
      <c r="AQ97" s="1359" t="str">
        <f ca="1">BD97</f>
        <v>U</v>
      </c>
      <c r="AR97" s="1353">
        <f t="shared" ca="1" si="109"/>
        <v>0.328125</v>
      </c>
      <c r="AS97" s="1353">
        <f t="shared" ca="1" si="109"/>
        <v>0.421875</v>
      </c>
      <c r="AT97" s="1354">
        <f t="shared" ca="1" si="109"/>
        <v>0.25</v>
      </c>
      <c r="AX97" s="1359" t="str">
        <f ca="1">AQ97</f>
        <v>U</v>
      </c>
      <c r="AY97" s="1353">
        <f t="shared" ca="1" si="110"/>
        <v>0.37824993010902991</v>
      </c>
      <c r="AZ97" s="1353">
        <f t="shared" ca="1" si="110"/>
        <v>0.33131989225369357</v>
      </c>
      <c r="BA97" s="1354">
        <f t="shared" ca="1" si="110"/>
        <v>0.29096774193548391</v>
      </c>
      <c r="BC97" s="902"/>
      <c r="BD97" s="1359" t="str">
        <f ca="1"/>
        <v>U</v>
      </c>
      <c r="BE97" s="1363" cm="1">
        <f t="array" aca="1" ref="BE97" ca="1">SUM( ($E$7:$E$155=$BD97) * ($E$6:$E$154=BE$95) )</f>
        <v>21</v>
      </c>
      <c r="BF97" s="1363" cm="1">
        <f t="array" aca="1" ref="BF97" ca="1">SUM( ($E$7:$E$155=$BD97) * ($E$6:$E$154=BF$95) )</f>
        <v>27</v>
      </c>
      <c r="BG97" s="1364" cm="1">
        <f t="array" aca="1" ref="BG97" ca="1">SUM( ($E$7:$E$155=$BD97) * ($E$6:$E$154=BG$95) )</f>
        <v>16</v>
      </c>
    </row>
    <row r="98" spans="2:59" ht="23" thickBot="1">
      <c r="B98" s="89" vm="375">
        <f ca="1"/>
        <v>45820</v>
      </c>
      <c r="C98" s="89" vm="376">
        <f ca="1"/>
        <v>1215.03</v>
      </c>
      <c r="D98" s="1335">
        <f t="shared" ca="1" si="80"/>
        <v>-3.9758008984491396E-3</v>
      </c>
      <c r="E98" s="296" t="str" cm="1">
        <f t="array" aca="1" ref="E98" ca="1">_xlfn.IFS(D98&gt;0.5%,"U",D98&lt;=-0.5%,"D",TRUE,"Z")</f>
        <v>Z</v>
      </c>
      <c r="F98" s="296" t="str">
        <f t="shared" ca="1" si="83"/>
        <v>UZ</v>
      </c>
      <c r="G98" s="296" t="str">
        <f t="shared" ca="1" si="84"/>
        <v>DUZ</v>
      </c>
      <c r="H98" s="898" t="str">
        <f t="shared" ca="1" si="85"/>
        <v/>
      </c>
      <c r="T98" s="898">
        <f t="shared" ca="1" si="102"/>
        <v>9</v>
      </c>
      <c r="U98" s="898">
        <f t="shared" ca="1" si="82"/>
        <v>13</v>
      </c>
      <c r="AI98" s="89" vm="377">
        <f ca="1"/>
        <v>45796</v>
      </c>
      <c r="AJ98" s="89" vm="378">
        <f ca="1"/>
        <v>1191.6400000000001</v>
      </c>
      <c r="AP98" s="902">
        <f ca="1">SUM(BE98:BG98)</f>
        <v>41</v>
      </c>
      <c r="AQ98" s="1360" t="str">
        <f ca="1">BD98</f>
        <v>Z</v>
      </c>
      <c r="AR98" s="1356">
        <f t="shared" ca="1" si="109"/>
        <v>0.24390243902439024</v>
      </c>
      <c r="AS98" s="1356">
        <f t="shared" ca="1" si="109"/>
        <v>0.48780487804878048</v>
      </c>
      <c r="AT98" s="1357">
        <f t="shared" ca="1" si="109"/>
        <v>0.26829268292682928</v>
      </c>
      <c r="AX98" s="1360" t="str">
        <f ca="1">AQ98</f>
        <v>Z</v>
      </c>
      <c r="AY98" s="1356">
        <f t="shared" ca="1" si="110"/>
        <v>0.28116138823435444</v>
      </c>
      <c r="AZ98" s="1356">
        <f t="shared" ca="1" si="110"/>
        <v>0.38309797839632137</v>
      </c>
      <c r="BA98" s="1357">
        <f t="shared" ca="1" si="110"/>
        <v>0.31225806451612909</v>
      </c>
      <c r="BC98" s="902"/>
      <c r="BD98" s="1360" t="str">
        <f ca="1"/>
        <v>Z</v>
      </c>
      <c r="BE98" s="1365" cm="1">
        <f t="array" aca="1" ref="BE98" ca="1">SUM( ($E$7:$E$155=$BD98) * ($E$6:$E$154=BE$95) )</f>
        <v>10</v>
      </c>
      <c r="BF98" s="1365" cm="1">
        <f t="array" aca="1" ref="BF98" ca="1">SUM( ($E$7:$E$155=$BD98) * ($E$6:$E$154=BF$95) )</f>
        <v>20</v>
      </c>
      <c r="BG98" s="1366" cm="1">
        <f t="array" aca="1" ref="BG98" ca="1">SUM( ($E$7:$E$155=$BD98) * ($E$6:$E$154=BG$95) )</f>
        <v>11</v>
      </c>
    </row>
    <row r="99" spans="2:59">
      <c r="B99" s="89" vm="379">
        <f ca="1"/>
        <v>45819</v>
      </c>
      <c r="C99" s="89" vm="380">
        <f ca="1"/>
        <v>1219.8800000000001</v>
      </c>
      <c r="D99" s="1335">
        <f t="shared" ca="1" si="80"/>
        <v>1.350924710456807E-2</v>
      </c>
      <c r="E99" s="296" t="str" cm="1">
        <f t="array" aca="1" ref="E99" ca="1">_xlfn.IFS(D99&gt;0.5%,"U",D99&lt;=-0.5%,"D",TRUE,"Z")</f>
        <v>U</v>
      </c>
      <c r="F99" s="296" t="str">
        <f t="shared" ca="1" si="83"/>
        <v>DU</v>
      </c>
      <c r="G99" s="296" t="str">
        <f t="shared" ca="1" si="84"/>
        <v>DDU</v>
      </c>
      <c r="H99" s="898" t="str">
        <f t="shared" ca="1" si="85"/>
        <v>DD</v>
      </c>
      <c r="T99" s="898">
        <f t="shared" ca="1" si="102"/>
        <v>9</v>
      </c>
      <c r="U99" s="898">
        <f t="shared" ca="1" si="82"/>
        <v>13</v>
      </c>
      <c r="AI99" s="89" vm="381">
        <f ca="1"/>
        <v>45797</v>
      </c>
      <c r="AJ99" s="89" vm="382">
        <f ca="1"/>
        <v>1192.02</v>
      </c>
    </row>
    <row r="100" spans="2:59">
      <c r="B100" s="89" vm="383">
        <f ca="1"/>
        <v>45818</v>
      </c>
      <c r="C100" s="89" vm="384">
        <f ca="1"/>
        <v>1203.6199999999999</v>
      </c>
      <c r="D100" s="1335">
        <f t="shared" ca="1" si="80"/>
        <v>-1.7019747480522145E-2</v>
      </c>
      <c r="E100" s="296" t="str" cm="1">
        <f t="array" aca="1" ref="E100" ca="1">_xlfn.IFS(D100&gt;0.5%,"U",D100&lt;=-0.5%,"D",TRUE,"Z")</f>
        <v>D</v>
      </c>
      <c r="F100" s="296" t="str">
        <f t="shared" ca="1" si="83"/>
        <v>DD</v>
      </c>
      <c r="G100" s="296" t="str">
        <f t="shared" ca="1" si="84"/>
        <v>DDD</v>
      </c>
      <c r="H100" s="898" t="str">
        <f t="shared" ca="1" si="85"/>
        <v>DD</v>
      </c>
      <c r="T100" s="898">
        <f t="shared" ca="1" si="102"/>
        <v>10</v>
      </c>
      <c r="U100" s="898">
        <f t="shared" ca="1" si="82"/>
        <v>12</v>
      </c>
      <c r="AI100" s="89" vm="385">
        <f ca="1"/>
        <v>45798</v>
      </c>
      <c r="AJ100" s="89" vm="386">
        <f ca="1"/>
        <v>1194.6300000000001</v>
      </c>
    </row>
    <row r="101" spans="2:59">
      <c r="B101" s="89" vm="387">
        <f ca="1"/>
        <v>45817</v>
      </c>
      <c r="C101" s="89" vm="388">
        <f ca="1"/>
        <v>1224.46</v>
      </c>
      <c r="D101" s="1335">
        <f t="shared" ca="1" si="80"/>
        <v>-1.370547131436386E-2</v>
      </c>
      <c r="E101" s="296" t="str" cm="1">
        <f t="array" aca="1" ref="E101" ca="1">_xlfn.IFS(D101&gt;0.5%,"U",D101&lt;=-0.5%,"D",TRUE,"Z")</f>
        <v>D</v>
      </c>
      <c r="F101" s="296" t="str">
        <f t="shared" ca="1" si="83"/>
        <v>DD</v>
      </c>
      <c r="G101" s="296" t="str">
        <f t="shared" ca="1" si="84"/>
        <v>UDD</v>
      </c>
      <c r="H101" s="898" t="str">
        <f t="shared" ca="1" si="85"/>
        <v/>
      </c>
      <c r="T101" s="898">
        <f t="shared" ca="1" si="102"/>
        <v>10</v>
      </c>
      <c r="U101" s="898">
        <f t="shared" ref="U101:U126" ca="1" si="111">COUNTIF(D101:D122,"&gt;0")</f>
        <v>12</v>
      </c>
      <c r="AI101" s="89" vm="389">
        <f ca="1"/>
        <v>45799</v>
      </c>
      <c r="AJ101" s="89" vm="390">
        <f ca="1"/>
        <v>1187.97</v>
      </c>
    </row>
    <row r="102" spans="2:59">
      <c r="B102" s="89" vm="391">
        <f ca="1"/>
        <v>45814</v>
      </c>
      <c r="C102" s="89" vm="392">
        <f ca="1"/>
        <v>1241.4749999999999</v>
      </c>
      <c r="D102" s="1335">
        <f t="shared" ca="1" si="80"/>
        <v>-7.2329910757125615E-3</v>
      </c>
      <c r="E102" s="296" t="str" cm="1">
        <f t="array" aca="1" ref="E102" ca="1">_xlfn.IFS(D102&gt;0.5%,"U",D102&lt;=-0.5%,"D",TRUE,"Z")</f>
        <v>D</v>
      </c>
      <c r="F102" s="296" t="str">
        <f t="shared" ca="1" si="83"/>
        <v>UD</v>
      </c>
      <c r="G102" s="296" t="str">
        <f t="shared" ca="1" si="84"/>
        <v>UUD</v>
      </c>
      <c r="H102" s="898" t="str">
        <f t="shared" ca="1" si="85"/>
        <v/>
      </c>
      <c r="T102" s="898">
        <f t="shared" ca="1" si="102"/>
        <v>9</v>
      </c>
      <c r="U102" s="898">
        <f t="shared" ca="1" si="111"/>
        <v>13</v>
      </c>
      <c r="AI102" s="89" vm="393">
        <f ca="1"/>
        <v>45800</v>
      </c>
      <c r="AJ102" s="89" vm="394">
        <f ca="1"/>
        <v>1185.3900000000001</v>
      </c>
    </row>
    <row r="103" spans="2:59">
      <c r="B103" s="89" vm="395">
        <f ca="1"/>
        <v>45813</v>
      </c>
      <c r="C103" s="89" vm="396">
        <f ca="1"/>
        <v>1250.52</v>
      </c>
      <c r="D103" s="1335">
        <f t="shared" ca="1" si="80"/>
        <v>8.7604665795459231E-3</v>
      </c>
      <c r="E103" s="296" t="str" cm="1">
        <f t="array" aca="1" ref="E103" ca="1">_xlfn.IFS(D103&gt;0.5%,"U",D103&lt;=-0.5%,"D",TRUE,"Z")</f>
        <v>U</v>
      </c>
      <c r="F103" s="296" t="str">
        <f t="shared" ca="1" si="83"/>
        <v>UU</v>
      </c>
      <c r="G103" s="296" t="str">
        <f t="shared" ca="1" si="84"/>
        <v>ZUU</v>
      </c>
      <c r="H103" s="898" t="str">
        <f t="shared" ca="1" si="85"/>
        <v/>
      </c>
      <c r="T103" s="898">
        <f t="shared" ca="1" si="102"/>
        <v>8</v>
      </c>
      <c r="U103" s="898">
        <f t="shared" ca="1" si="111"/>
        <v>14</v>
      </c>
      <c r="AI103" s="89" vm="397">
        <f ca="1"/>
        <v>45804</v>
      </c>
      <c r="AJ103" s="89" vm="398">
        <f ca="1"/>
        <v>1211.57</v>
      </c>
    </row>
    <row r="104" spans="2:59">
      <c r="B104" s="89" vm="399">
        <f ca="1"/>
        <v>45812</v>
      </c>
      <c r="C104" s="89" vm="400">
        <f ca="1"/>
        <v>1239.6600000000001</v>
      </c>
      <c r="D104" s="1335">
        <f t="shared" ca="1" si="80"/>
        <v>1.7833390807428958E-2</v>
      </c>
      <c r="E104" s="296" t="str" cm="1">
        <f t="array" aca="1" ref="E104" ca="1">_xlfn.IFS(D104&gt;0.5%,"U",D104&lt;=-0.5%,"D",TRUE,"Z")</f>
        <v>U</v>
      </c>
      <c r="F104" s="296" t="str">
        <f t="shared" ca="1" si="83"/>
        <v>ZU</v>
      </c>
      <c r="G104" s="296" t="str">
        <f t="shared" ca="1" si="84"/>
        <v>UZU</v>
      </c>
      <c r="H104" s="898" t="str">
        <f t="shared" ca="1" si="85"/>
        <v/>
      </c>
      <c r="T104" s="898">
        <f t="shared" ca="1" si="102"/>
        <v>9</v>
      </c>
      <c r="U104" s="898">
        <f t="shared" ca="1" si="111"/>
        <v>13</v>
      </c>
      <c r="AI104" s="89" vm="401">
        <f ca="1"/>
        <v>45805</v>
      </c>
      <c r="AJ104" s="89" vm="402">
        <f ca="1"/>
        <v>1208.55</v>
      </c>
    </row>
    <row r="105" spans="2:59">
      <c r="B105" s="89" vm="403">
        <f ca="1"/>
        <v>45811</v>
      </c>
      <c r="C105" s="89" vm="404">
        <f ca="1"/>
        <v>1217.94</v>
      </c>
      <c r="D105" s="1335">
        <f t="shared" ca="1" si="80"/>
        <v>-8.5317232440233932E-4</v>
      </c>
      <c r="E105" s="296" t="str" cm="1">
        <f t="array" aca="1" ref="E105" ca="1">_xlfn.IFS(D105&gt;0.5%,"U",D105&lt;=-0.5%,"D",TRUE,"Z")</f>
        <v>Z</v>
      </c>
      <c r="F105" s="296" t="str">
        <f t="shared" ca="1" si="83"/>
        <v>UZ</v>
      </c>
      <c r="G105" s="296" t="str">
        <f t="shared" ca="1" si="84"/>
        <v>UUZ</v>
      </c>
      <c r="H105" s="898" t="str">
        <f t="shared" ca="1" si="85"/>
        <v/>
      </c>
      <c r="T105" s="898">
        <f t="shared" ca="1" si="102"/>
        <v>9</v>
      </c>
      <c r="U105" s="898">
        <f t="shared" ca="1" si="111"/>
        <v>13</v>
      </c>
      <c r="AI105" s="89" vm="405">
        <f ca="1"/>
        <v>45806</v>
      </c>
      <c r="AJ105" s="89" vm="406">
        <f ca="1"/>
        <v>1184.8599999999999</v>
      </c>
    </row>
    <row r="106" spans="2:59">
      <c r="B106" s="89" vm="407">
        <f ca="1"/>
        <v>45810</v>
      </c>
      <c r="C106" s="89" vm="408">
        <f ca="1"/>
        <v>1218.98</v>
      </c>
      <c r="D106" s="1335">
        <f t="shared" ca="1" si="80"/>
        <v>9.7330251898975345E-3</v>
      </c>
      <c r="E106" s="296" t="str" cm="1">
        <f t="array" aca="1" ref="E106" ca="1">_xlfn.IFS(D106&gt;0.5%,"U",D106&lt;=-0.5%,"D",TRUE,"Z")</f>
        <v>U</v>
      </c>
      <c r="F106" s="296" t="str">
        <f t="shared" ca="1" si="83"/>
        <v>UU</v>
      </c>
      <c r="G106" s="296" t="str">
        <f t="shared" ca="1" si="84"/>
        <v>DUU</v>
      </c>
      <c r="H106" s="898" t="str">
        <f t="shared" ca="1" si="85"/>
        <v/>
      </c>
      <c r="T106" s="898">
        <f t="shared" ca="1" si="102"/>
        <v>8</v>
      </c>
      <c r="U106" s="898">
        <f t="shared" ca="1" si="111"/>
        <v>14</v>
      </c>
      <c r="AI106" s="89" vm="409">
        <f ca="1"/>
        <v>45807</v>
      </c>
      <c r="AJ106" s="89" vm="410">
        <f ca="1"/>
        <v>1207.23</v>
      </c>
    </row>
    <row r="107" spans="2:59">
      <c r="B107" s="89" vm="409">
        <f ca="1"/>
        <v>45807</v>
      </c>
      <c r="C107" s="89" vm="410">
        <f ca="1"/>
        <v>1207.23</v>
      </c>
      <c r="D107" s="1335">
        <f t="shared" ca="1" si="80"/>
        <v>1.8879867663690326E-2</v>
      </c>
      <c r="E107" s="296" t="str" cm="1">
        <f t="array" aca="1" ref="E107" ca="1">_xlfn.IFS(D107&gt;0.5%,"U",D107&lt;=-0.5%,"D",TRUE,"Z")</f>
        <v>U</v>
      </c>
      <c r="F107" s="296" t="str">
        <f t="shared" ca="1" si="83"/>
        <v>DU</v>
      </c>
      <c r="G107" s="296" t="str">
        <f t="shared" ca="1" si="84"/>
        <v>ZDU</v>
      </c>
      <c r="H107" s="898" t="str">
        <f t="shared" ca="1" si="85"/>
        <v/>
      </c>
      <c r="T107" s="898">
        <f t="shared" ca="1" si="102"/>
        <v>8</v>
      </c>
      <c r="U107" s="898">
        <f t="shared" ca="1" si="111"/>
        <v>14</v>
      </c>
      <c r="AI107" s="89" vm="407">
        <f ca="1"/>
        <v>45810</v>
      </c>
      <c r="AJ107" s="89" vm="408">
        <f ca="1"/>
        <v>1218.98</v>
      </c>
    </row>
    <row r="108" spans="2:59">
      <c r="B108" s="89" vm="405">
        <f ca="1"/>
        <v>45806</v>
      </c>
      <c r="C108" s="89" vm="406">
        <f ca="1"/>
        <v>1184.8599999999999</v>
      </c>
      <c r="D108" s="1335">
        <f t="shared" ca="1" si="80"/>
        <v>-1.9602002399569777E-2</v>
      </c>
      <c r="E108" s="296" t="str" cm="1">
        <f t="array" aca="1" ref="E108" ca="1">_xlfn.IFS(D108&gt;0.5%,"U",D108&lt;=-0.5%,"D",TRUE,"Z")</f>
        <v>D</v>
      </c>
      <c r="F108" s="296" t="str">
        <f t="shared" ca="1" si="83"/>
        <v>ZD</v>
      </c>
      <c r="G108" s="296" t="str">
        <f t="shared" ca="1" si="84"/>
        <v>UZD</v>
      </c>
      <c r="H108" s="898" t="str">
        <f t="shared" ca="1" si="85"/>
        <v/>
      </c>
      <c r="T108" s="898">
        <f t="shared" ca="1" si="102"/>
        <v>8</v>
      </c>
      <c r="U108" s="898">
        <f t="shared" ca="1" si="111"/>
        <v>14</v>
      </c>
      <c r="AI108" s="89" vm="403">
        <f ca="1"/>
        <v>45811</v>
      </c>
      <c r="AJ108" s="89" vm="404">
        <f ca="1"/>
        <v>1217.94</v>
      </c>
    </row>
    <row r="109" spans="2:59">
      <c r="B109" s="89" vm="401">
        <f ca="1"/>
        <v>45805</v>
      </c>
      <c r="C109" s="89" vm="402">
        <f ca="1"/>
        <v>1208.55</v>
      </c>
      <c r="D109" s="1335">
        <f t="shared" ca="1" si="80"/>
        <v>-2.4926335250955224E-3</v>
      </c>
      <c r="E109" s="296" t="str" cm="1">
        <f t="array" aca="1" ref="E109" ca="1">_xlfn.IFS(D109&gt;0.5%,"U",D109&lt;=-0.5%,"D",TRUE,"Z")</f>
        <v>Z</v>
      </c>
      <c r="F109" s="296" t="str">
        <f t="shared" ca="1" si="83"/>
        <v>UZ</v>
      </c>
      <c r="G109" s="296" t="str">
        <f t="shared" ca="1" si="84"/>
        <v>ZUZ</v>
      </c>
      <c r="H109" s="898" t="str">
        <f t="shared" ca="1" si="85"/>
        <v/>
      </c>
      <c r="T109" s="898">
        <f t="shared" ca="1" si="102"/>
        <v>7</v>
      </c>
      <c r="U109" s="898">
        <f t="shared" ca="1" si="111"/>
        <v>15</v>
      </c>
      <c r="AI109" s="89" vm="399">
        <f ca="1"/>
        <v>45812</v>
      </c>
      <c r="AJ109" s="89" vm="400">
        <f ca="1"/>
        <v>1239.6600000000001</v>
      </c>
    </row>
    <row r="110" spans="2:59">
      <c r="B110" s="89" vm="397">
        <f ca="1"/>
        <v>45804</v>
      </c>
      <c r="C110" s="89" vm="398">
        <f ca="1"/>
        <v>1211.57</v>
      </c>
      <c r="D110" s="1335">
        <f t="shared" ca="1" si="80"/>
        <v>2.2085558339449324E-2</v>
      </c>
      <c r="E110" s="296" t="str" cm="1">
        <f t="array" aca="1" ref="E110" ca="1">_xlfn.IFS(D110&gt;0.5%,"U",D110&lt;=-0.5%,"D",TRUE,"Z")</f>
        <v>U</v>
      </c>
      <c r="F110" s="296" t="str">
        <f t="shared" ca="1" si="83"/>
        <v>ZU</v>
      </c>
      <c r="G110" s="296" t="str">
        <f t="shared" ca="1" si="84"/>
        <v>DZU</v>
      </c>
      <c r="H110" s="898" t="str">
        <f t="shared" ca="1" si="85"/>
        <v/>
      </c>
      <c r="T110" s="898">
        <f t="shared" ca="1" si="102"/>
        <v>6</v>
      </c>
      <c r="U110" s="898">
        <f t="shared" ca="1" si="111"/>
        <v>16</v>
      </c>
      <c r="AI110" s="89" vm="395">
        <f ca="1"/>
        <v>45813</v>
      </c>
      <c r="AJ110" s="89" vm="396">
        <f ca="1"/>
        <v>1250.52</v>
      </c>
    </row>
    <row r="111" spans="2:59">
      <c r="B111" s="89" vm="393">
        <f ca="1"/>
        <v>45800</v>
      </c>
      <c r="C111" s="89" vm="394">
        <f ca="1"/>
        <v>1185.3900000000001</v>
      </c>
      <c r="D111" s="1335">
        <f t="shared" ca="1" si="80"/>
        <v>-2.1717720144447481E-3</v>
      </c>
      <c r="E111" s="296" t="str" cm="1">
        <f t="array" aca="1" ref="E111" ca="1">_xlfn.IFS(D111&gt;0.5%,"U",D111&lt;=-0.5%,"D",TRUE,"Z")</f>
        <v>Z</v>
      </c>
      <c r="F111" s="296" t="str">
        <f t="shared" ca="1" si="83"/>
        <v>DZ</v>
      </c>
      <c r="G111" s="296" t="str">
        <f t="shared" ca="1" si="84"/>
        <v>ZDZ</v>
      </c>
      <c r="H111" s="898" t="str">
        <f t="shared" ca="1" si="85"/>
        <v/>
      </c>
      <c r="T111" s="898">
        <f t="shared" ca="1" si="102"/>
        <v>6</v>
      </c>
      <c r="U111" s="898">
        <f t="shared" ca="1" si="111"/>
        <v>16</v>
      </c>
      <c r="AI111" s="89" vm="391">
        <f ca="1"/>
        <v>45814</v>
      </c>
      <c r="AJ111" s="89" vm="392">
        <f ca="1"/>
        <v>1241.4749999999999</v>
      </c>
    </row>
    <row r="112" spans="2:59">
      <c r="B112" s="89" vm="389">
        <f ca="1"/>
        <v>45799</v>
      </c>
      <c r="C112" s="89" vm="390">
        <f ca="1"/>
        <v>1187.97</v>
      </c>
      <c r="D112" s="1335">
        <f t="shared" ca="1" si="80"/>
        <v>-5.5749478918159442E-3</v>
      </c>
      <c r="E112" s="296" t="str" cm="1">
        <f t="array" aca="1" ref="E112" ca="1">_xlfn.IFS(D112&gt;0.5%,"U",D112&lt;=-0.5%,"D",TRUE,"Z")</f>
        <v>D</v>
      </c>
      <c r="F112" s="296" t="str">
        <f t="shared" ca="1" si="83"/>
        <v>ZD</v>
      </c>
      <c r="G112" s="296" t="str">
        <f t="shared" ca="1" si="84"/>
        <v>ZZD</v>
      </c>
      <c r="H112" s="898" t="str">
        <f t="shared" ca="1" si="85"/>
        <v/>
      </c>
      <c r="T112" s="898">
        <f t="shared" ca="1" si="102"/>
        <v>5</v>
      </c>
      <c r="U112" s="898">
        <f t="shared" ca="1" si="111"/>
        <v>17</v>
      </c>
      <c r="AI112" s="89" vm="387">
        <f ca="1"/>
        <v>45817</v>
      </c>
      <c r="AJ112" s="89" vm="388">
        <f ca="1"/>
        <v>1224.46</v>
      </c>
    </row>
    <row r="113" spans="2:36">
      <c r="B113" s="89" vm="385">
        <f ca="1"/>
        <v>45798</v>
      </c>
      <c r="C113" s="89" vm="386">
        <f ca="1"/>
        <v>1194.6300000000001</v>
      </c>
      <c r="D113" s="1335">
        <f t="shared" ca="1" si="80"/>
        <v>2.1895605778427603E-3</v>
      </c>
      <c r="E113" s="296" t="str" cm="1">
        <f t="array" aca="1" ref="E113" ca="1">_xlfn.IFS(D113&gt;0.5%,"U",D113&lt;=-0.5%,"D",TRUE,"Z")</f>
        <v>Z</v>
      </c>
      <c r="F113" s="296" t="str">
        <f t="shared" ca="1" si="83"/>
        <v>ZZ</v>
      </c>
      <c r="G113" s="296" t="str">
        <f t="shared" ca="1" si="84"/>
        <v>ZZZ</v>
      </c>
      <c r="H113" s="898" t="str">
        <f t="shared" ca="1" si="85"/>
        <v/>
      </c>
      <c r="T113" s="898">
        <f t="shared" ca="1" si="102"/>
        <v>4</v>
      </c>
      <c r="U113" s="898">
        <f t="shared" ca="1" si="111"/>
        <v>18</v>
      </c>
      <c r="AI113" s="89" vm="383">
        <f ca="1"/>
        <v>45818</v>
      </c>
      <c r="AJ113" s="89" vm="384">
        <f ca="1"/>
        <v>1203.6199999999999</v>
      </c>
    </row>
    <row r="114" spans="2:36">
      <c r="B114" s="89" vm="381">
        <f ca="1"/>
        <v>45797</v>
      </c>
      <c r="C114" s="89" vm="382">
        <f ca="1"/>
        <v>1192.02</v>
      </c>
      <c r="D114" s="1335">
        <f t="shared" ca="1" si="80"/>
        <v>3.1888825484196716E-4</v>
      </c>
      <c r="E114" s="296" t="str" cm="1">
        <f t="array" aca="1" ref="E114" ca="1">_xlfn.IFS(D114&gt;0.5%,"U",D114&lt;=-0.5%,"D",TRUE,"Z")</f>
        <v>Z</v>
      </c>
      <c r="F114" s="296" t="str">
        <f t="shared" ca="1" si="83"/>
        <v>ZZ</v>
      </c>
      <c r="G114" s="296" t="str">
        <f t="shared" ca="1" si="84"/>
        <v>UZZ</v>
      </c>
      <c r="H114" s="898" t="str">
        <f t="shared" ca="1" si="85"/>
        <v/>
      </c>
      <c r="T114" s="898">
        <f t="shared" ref="T114:T126" ca="1" si="112">COUNTIF(D114:D135,"&lt;0")</f>
        <v>4</v>
      </c>
      <c r="U114" s="898">
        <f t="shared" ca="1" si="111"/>
        <v>18</v>
      </c>
      <c r="AI114" s="89" vm="379">
        <f ca="1"/>
        <v>45819</v>
      </c>
      <c r="AJ114" s="89" vm="380">
        <f ca="1"/>
        <v>1219.8800000000001</v>
      </c>
    </row>
    <row r="115" spans="2:36">
      <c r="B115" s="89" vm="377">
        <f ca="1"/>
        <v>45796</v>
      </c>
      <c r="C115" s="89" vm="378">
        <f ca="1"/>
        <v>1191.6400000000001</v>
      </c>
      <c r="D115" s="1335">
        <f t="shared" ca="1" si="80"/>
        <v>9.2318279858775971E-5</v>
      </c>
      <c r="E115" s="296" t="str" cm="1">
        <f t="array" aca="1" ref="E115" ca="1">_xlfn.IFS(D115&gt;0.5%,"U",D115&lt;=-0.5%,"D",TRUE,"Z")</f>
        <v>Z</v>
      </c>
      <c r="F115" s="296" t="str">
        <f t="shared" ca="1" si="83"/>
        <v>UZ</v>
      </c>
      <c r="G115" s="296" t="str">
        <f t="shared" ca="1" si="84"/>
        <v>UUZ</v>
      </c>
      <c r="H115" s="898" t="str">
        <f t="shared" ca="1" si="85"/>
        <v/>
      </c>
      <c r="T115" s="898">
        <f t="shared" ca="1" si="112"/>
        <v>4</v>
      </c>
      <c r="U115" s="898">
        <f t="shared" ca="1" si="111"/>
        <v>18</v>
      </c>
      <c r="AI115" s="89" vm="375">
        <f ca="1"/>
        <v>45820</v>
      </c>
      <c r="AJ115" s="89" vm="376">
        <f ca="1"/>
        <v>1215.03</v>
      </c>
    </row>
    <row r="116" spans="2:36">
      <c r="B116" s="89" vm="373">
        <f ca="1"/>
        <v>45793</v>
      </c>
      <c r="C116" s="89" vm="374">
        <f ca="1"/>
        <v>1191.53</v>
      </c>
      <c r="D116" s="1335">
        <f t="shared" ca="1" si="80"/>
        <v>1.1502741982037008E-2</v>
      </c>
      <c r="E116" s="296" t="str" cm="1">
        <f t="array" aca="1" ref="E116" ca="1">_xlfn.IFS(D116&gt;0.5%,"U",D116&lt;=-0.5%,"D",TRUE,"Z")</f>
        <v>U</v>
      </c>
      <c r="F116" s="296" t="str">
        <f t="shared" ca="1" si="83"/>
        <v>UU</v>
      </c>
      <c r="G116" s="296" t="str">
        <f t="shared" ca="1" si="84"/>
        <v>UUU</v>
      </c>
      <c r="H116" s="898" t="str">
        <f t="shared" ca="1" si="85"/>
        <v/>
      </c>
      <c r="T116" s="898">
        <f t="shared" ca="1" si="112"/>
        <v>5</v>
      </c>
      <c r="U116" s="898">
        <f t="shared" ca="1" si="111"/>
        <v>17</v>
      </c>
      <c r="W116" s="898">
        <f ca="1">COUNTIF(D126:D147,"&lt;0")</f>
        <v>5</v>
      </c>
      <c r="X116" s="898">
        <f ca="1">COUNTIF(D126:D147,"&gt;0")</f>
        <v>17</v>
      </c>
      <c r="AI116" s="89" vm="371">
        <f ca="1"/>
        <v>45821</v>
      </c>
      <c r="AJ116" s="89" vm="372">
        <f ca="1"/>
        <v>1212.1500000000001</v>
      </c>
    </row>
    <row r="117" spans="2:36">
      <c r="B117" s="89" vm="369">
        <f ca="1"/>
        <v>45792</v>
      </c>
      <c r="C117" s="89" vm="370">
        <f ca="1"/>
        <v>1177.98</v>
      </c>
      <c r="D117" s="1335">
        <f t="shared" ca="1" si="80"/>
        <v>2.3449378361236856E-2</v>
      </c>
      <c r="E117" s="296" t="str" cm="1">
        <f t="array" aca="1" ref="E117" ca="1">_xlfn.IFS(D117&gt;0.5%,"U",D117&lt;=-0.5%,"D",TRUE,"Z")</f>
        <v>U</v>
      </c>
      <c r="F117" s="296" t="str">
        <f t="shared" ca="1" si="83"/>
        <v>UU</v>
      </c>
      <c r="G117" s="296" t="str">
        <f t="shared" ca="1" si="84"/>
        <v>UUU</v>
      </c>
      <c r="H117" s="898" t="str">
        <f t="shared" ca="1" si="85"/>
        <v/>
      </c>
      <c r="T117" s="898">
        <f t="shared" ca="1" si="112"/>
        <v>5</v>
      </c>
      <c r="U117" s="898">
        <f t="shared" ca="1" si="111"/>
        <v>17</v>
      </c>
      <c r="AI117" s="89" vm="367">
        <f ca="1"/>
        <v>45824</v>
      </c>
      <c r="AJ117" s="89" vm="368">
        <f ca="1"/>
        <v>1225.3499999999999</v>
      </c>
    </row>
    <row r="118" spans="2:36">
      <c r="B118" s="89" vm="365">
        <f ca="1"/>
        <v>45791</v>
      </c>
      <c r="C118" s="89" vm="366">
        <f ca="1"/>
        <v>1150.99</v>
      </c>
      <c r="D118" s="1335">
        <f t="shared" ca="1" si="80"/>
        <v>1.1023857208109302E-2</v>
      </c>
      <c r="E118" s="296" t="str" cm="1">
        <f t="array" aca="1" ref="E118" ca="1">_xlfn.IFS(D118&gt;0.5%,"U",D118&lt;=-0.5%,"D",TRUE,"Z")</f>
        <v>U</v>
      </c>
      <c r="F118" s="296" t="str">
        <f t="shared" ca="1" si="83"/>
        <v>UU</v>
      </c>
      <c r="G118" s="296" t="str">
        <f t="shared" ca="1" si="84"/>
        <v>DUU</v>
      </c>
      <c r="H118" s="898" t="str">
        <f t="shared" ca="1" si="85"/>
        <v/>
      </c>
      <c r="T118" s="898">
        <f t="shared" ca="1" si="112"/>
        <v>5</v>
      </c>
      <c r="U118" s="898">
        <f t="shared" ca="1" si="111"/>
        <v>17</v>
      </c>
      <c r="AI118" s="89" vm="363">
        <f ca="1"/>
        <v>45825</v>
      </c>
      <c r="AJ118" s="89" vm="364">
        <f ca="1"/>
        <v>1220.67</v>
      </c>
    </row>
    <row r="119" spans="2:36">
      <c r="B119" s="89" vm="361">
        <f ca="1"/>
        <v>45790</v>
      </c>
      <c r="C119" s="89" vm="362">
        <f ca="1"/>
        <v>1138.44</v>
      </c>
      <c r="D119" s="1335">
        <f t="shared" ca="1" si="80"/>
        <v>2.5621621621621671E-2</v>
      </c>
      <c r="E119" s="296" t="str" cm="1">
        <f t="array" aca="1" ref="E119" ca="1">_xlfn.IFS(D119&gt;0.5%,"U",D119&lt;=-0.5%,"D",TRUE,"Z")</f>
        <v>U</v>
      </c>
      <c r="F119" s="296" t="str">
        <f t="shared" ca="1" si="83"/>
        <v>DU</v>
      </c>
      <c r="G119" s="296" t="str">
        <f t="shared" ca="1" si="84"/>
        <v>ZDU</v>
      </c>
      <c r="H119" s="898" t="str">
        <f t="shared" ca="1" si="85"/>
        <v/>
      </c>
      <c r="T119" s="898">
        <f t="shared" ca="1" si="112"/>
        <v>6</v>
      </c>
      <c r="U119" s="898">
        <f t="shared" ca="1" si="111"/>
        <v>16</v>
      </c>
      <c r="AI119" s="89" vm="359">
        <f ca="1"/>
        <v>45826</v>
      </c>
      <c r="AJ119" s="89" vm="360">
        <f ca="1"/>
        <v>1222.29</v>
      </c>
    </row>
    <row r="120" spans="2:36">
      <c r="B120" s="89" vm="357">
        <f ca="1"/>
        <v>45789</v>
      </c>
      <c r="C120" s="89" vm="358">
        <f ca="1"/>
        <v>1110</v>
      </c>
      <c r="D120" s="1335">
        <f t="shared" ca="1" si="80"/>
        <v>-2.6503657188963557E-2</v>
      </c>
      <c r="E120" s="296" t="str" cm="1">
        <f t="array" aca="1" ref="E120" ca="1">_xlfn.IFS(D120&gt;0.5%,"U",D120&lt;=-0.5%,"D",TRUE,"Z")</f>
        <v>D</v>
      </c>
      <c r="F120" s="296" t="str">
        <f t="shared" ca="1" si="83"/>
        <v>ZD</v>
      </c>
      <c r="G120" s="296" t="str">
        <f t="shared" ca="1" si="84"/>
        <v>DZD</v>
      </c>
      <c r="H120" s="898" t="str">
        <f t="shared" ca="1" si="85"/>
        <v/>
      </c>
      <c r="T120" s="898">
        <f t="shared" ca="1" si="112"/>
        <v>7</v>
      </c>
      <c r="U120" s="898">
        <f t="shared" ca="1" si="111"/>
        <v>15</v>
      </c>
      <c r="AI120" s="89" vm="355">
        <f ca="1"/>
        <v>45828</v>
      </c>
      <c r="AJ120" s="89" vm="356">
        <f ca="1"/>
        <v>1231.4100000000001</v>
      </c>
    </row>
    <row r="121" spans="2:36">
      <c r="B121" s="89" vm="353">
        <f ca="1"/>
        <v>45786</v>
      </c>
      <c r="C121" s="89" vm="354">
        <f ca="1"/>
        <v>1140.22</v>
      </c>
      <c r="D121" s="1335">
        <f t="shared" ca="1" si="80"/>
        <v>-3.6786872067317671E-3</v>
      </c>
      <c r="E121" s="296" t="str" cm="1">
        <f t="array" aca="1" ref="E121" ca="1">_xlfn.IFS(D121&gt;0.5%,"U",D121&lt;=-0.5%,"D",TRUE,"Z")</f>
        <v>Z</v>
      </c>
      <c r="F121" s="296" t="str">
        <f t="shared" ca="1" si="83"/>
        <v>DZ</v>
      </c>
      <c r="G121" s="296" t="str">
        <f t="shared" ca="1" si="84"/>
        <v>UDZ</v>
      </c>
      <c r="H121" s="898" t="str">
        <f t="shared" ca="1" si="85"/>
        <v/>
      </c>
      <c r="T121" s="898">
        <f t="shared" ca="1" si="112"/>
        <v>6</v>
      </c>
      <c r="U121" s="898">
        <f t="shared" ca="1" si="111"/>
        <v>16</v>
      </c>
      <c r="AI121" s="89" vm="351">
        <f ca="1"/>
        <v>45831</v>
      </c>
      <c r="AJ121" s="89" vm="352">
        <f ca="1"/>
        <v>1253.54</v>
      </c>
    </row>
    <row r="122" spans="2:36">
      <c r="B122" s="89" vm="349">
        <f ca="1"/>
        <v>45785</v>
      </c>
      <c r="C122" s="89" vm="350">
        <f ca="1"/>
        <v>1144.43</v>
      </c>
      <c r="D122" s="1335">
        <f t="shared" ca="1" si="80"/>
        <v>-9.5031201045516454E-3</v>
      </c>
      <c r="E122" s="296" t="str" cm="1">
        <f t="array" aca="1" ref="E122" ca="1">_xlfn.IFS(D122&gt;0.5%,"U",D122&lt;=-0.5%,"D",TRUE,"Z")</f>
        <v>D</v>
      </c>
      <c r="F122" s="296" t="str">
        <f t="shared" ca="1" si="83"/>
        <v>UD</v>
      </c>
      <c r="G122" s="296" t="str">
        <f t="shared" ca="1" si="84"/>
        <v>ZUD</v>
      </c>
      <c r="H122" s="898" t="str">
        <f t="shared" ca="1" si="85"/>
        <v/>
      </c>
      <c r="T122" s="898">
        <f t="shared" ca="1" si="112"/>
        <v>5</v>
      </c>
      <c r="U122" s="898">
        <f t="shared" ca="1" si="111"/>
        <v>17</v>
      </c>
      <c r="AI122" s="89" vm="347">
        <f ca="1"/>
        <v>45832</v>
      </c>
      <c r="AJ122" s="89" vm="348">
        <f ca="1"/>
        <v>1279.1099999999999</v>
      </c>
    </row>
    <row r="123" spans="2:36">
      <c r="B123" s="89" vm="345">
        <f ca="1"/>
        <v>45784</v>
      </c>
      <c r="C123" s="89" vm="346">
        <f ca="1"/>
        <v>1155.4100000000001</v>
      </c>
      <c r="D123" s="1335">
        <f t="shared" ca="1" si="80"/>
        <v>1.5575420369344924E-2</v>
      </c>
      <c r="E123" s="296" t="str" cm="1">
        <f t="array" aca="1" ref="E123" ca="1">_xlfn.IFS(D123&gt;0.5%,"U",D123&lt;=-0.5%,"D",TRUE,"Z")</f>
        <v>U</v>
      </c>
      <c r="F123" s="296" t="str">
        <f t="shared" ca="1" si="83"/>
        <v>ZU</v>
      </c>
      <c r="G123" s="296" t="str">
        <f t="shared" ca="1" si="84"/>
        <v>DZU</v>
      </c>
      <c r="H123" s="898" t="str">
        <f t="shared" ca="1" si="85"/>
        <v/>
      </c>
      <c r="T123" s="898">
        <f t="shared" ca="1" si="112"/>
        <v>4</v>
      </c>
      <c r="U123" s="898">
        <f t="shared" ca="1" si="111"/>
        <v>18</v>
      </c>
      <c r="AI123" s="89" vm="343">
        <f ca="1"/>
        <v>45833</v>
      </c>
      <c r="AJ123" s="89" vm="344">
        <f ca="1"/>
        <v>1275.25</v>
      </c>
    </row>
    <row r="124" spans="2:36">
      <c r="B124" s="89" vm="341">
        <f ca="1"/>
        <v>45783</v>
      </c>
      <c r="C124" s="89" vm="342">
        <f ca="1"/>
        <v>1137.69</v>
      </c>
      <c r="D124" s="1335">
        <f t="shared" ca="1" si="80"/>
        <v>3.2008888418603152E-3</v>
      </c>
      <c r="E124" s="296" t="str" cm="1">
        <f t="array" aca="1" ref="E124" ca="1">_xlfn.IFS(D124&gt;0.5%,"U",D124&lt;=-0.5%,"D",TRUE,"Z")</f>
        <v>Z</v>
      </c>
      <c r="F124" s="296" t="str">
        <f t="shared" ca="1" si="83"/>
        <v>DZ</v>
      </c>
      <c r="G124" s="296" t="str">
        <f t="shared" ca="1" si="84"/>
        <v>UDZ</v>
      </c>
      <c r="H124" s="898" t="str">
        <f t="shared" ca="1" si="85"/>
        <v/>
      </c>
      <c r="T124" s="898">
        <f t="shared" ca="1" si="112"/>
        <v>5</v>
      </c>
      <c r="U124" s="898">
        <f t="shared" ca="1" si="111"/>
        <v>17</v>
      </c>
      <c r="AI124" s="89" vm="339">
        <f ca="1"/>
        <v>45834</v>
      </c>
      <c r="AJ124" s="89" vm="340">
        <f ca="1"/>
        <v>1306.67</v>
      </c>
    </row>
    <row r="125" spans="2:36">
      <c r="B125" s="89" vm="337">
        <f ca="1"/>
        <v>45782</v>
      </c>
      <c r="C125" s="89" vm="338">
        <f ca="1"/>
        <v>1134.06</v>
      </c>
      <c r="D125" s="1335">
        <f t="shared" ca="1" si="80"/>
        <v>-1.9394893168120833E-2</v>
      </c>
      <c r="E125" s="296" t="str" cm="1">
        <f t="array" aca="1" ref="E125" ca="1">_xlfn.IFS(D125&gt;0.5%,"U",D125&lt;=-0.5%,"D",TRUE,"Z")</f>
        <v>D</v>
      </c>
      <c r="F125" s="296" t="str">
        <f t="shared" ca="1" si="83"/>
        <v>UD</v>
      </c>
      <c r="G125" s="296" t="str">
        <f t="shared" ca="1" si="84"/>
        <v>ZUD</v>
      </c>
      <c r="H125" s="898" t="str">
        <f t="shared" ca="1" si="85"/>
        <v/>
      </c>
      <c r="T125" s="898">
        <f t="shared" ca="1" si="112"/>
        <v>6</v>
      </c>
      <c r="U125" s="898">
        <f t="shared" ca="1" si="111"/>
        <v>16</v>
      </c>
      <c r="AI125" s="89" vm="335">
        <f ca="1"/>
        <v>45835</v>
      </c>
      <c r="AJ125" s="89" vm="336">
        <f ca="1"/>
        <v>1323.12</v>
      </c>
    </row>
    <row r="126" spans="2:36">
      <c r="B126" s="89" vm="333">
        <f ca="1"/>
        <v>45779</v>
      </c>
      <c r="C126" s="89" vm="334">
        <f ca="1"/>
        <v>1156.49</v>
      </c>
      <c r="D126" s="1335">
        <f t="shared" ca="1" si="80"/>
        <v>2.0309315641349114E-2</v>
      </c>
      <c r="E126" s="296" t="str" cm="1">
        <f t="array" aca="1" ref="E126" ca="1">_xlfn.IFS(D126&gt;0.5%,"U",D126&lt;=-0.5%,"D",TRUE,"Z")</f>
        <v>U</v>
      </c>
      <c r="F126" s="296" t="str">
        <f t="shared" ca="1" si="83"/>
        <v>ZU</v>
      </c>
      <c r="G126" s="296" t="str">
        <f t="shared" ca="1" si="84"/>
        <v>UZU</v>
      </c>
      <c r="H126" s="898" t="str">
        <f t="shared" ca="1" si="85"/>
        <v/>
      </c>
      <c r="T126" s="898">
        <f t="shared" ca="1" si="112"/>
        <v>5</v>
      </c>
      <c r="U126" s="898">
        <f t="shared" ca="1" si="111"/>
        <v>17</v>
      </c>
      <c r="AI126" s="89" vm="331">
        <f ca="1"/>
        <v>45838</v>
      </c>
      <c r="AJ126" s="89" vm="332">
        <f ca="1"/>
        <v>1339.13</v>
      </c>
    </row>
    <row r="127" spans="2:36">
      <c r="B127" s="89" vm="329">
        <f ca="1"/>
        <v>45778</v>
      </c>
      <c r="C127" s="89" vm="330">
        <f ca="1"/>
        <v>1133.47</v>
      </c>
      <c r="D127" s="1335">
        <f t="shared" ca="1" si="80"/>
        <v>1.546318877460856E-3</v>
      </c>
      <c r="E127" s="296" t="str" cm="1">
        <f t="array" aca="1" ref="E127" ca="1">_xlfn.IFS(D127&gt;0.5%,"U",D127&lt;=-0.5%,"D",TRUE,"Z")</f>
        <v>Z</v>
      </c>
      <c r="F127" s="296" t="str">
        <f t="shared" ca="1" si="83"/>
        <v>UZ</v>
      </c>
      <c r="G127" s="296" t="str">
        <f t="shared" ca="1" si="84"/>
        <v>UUZ</v>
      </c>
      <c r="H127" s="898" t="str">
        <f t="shared" ca="1" si="85"/>
        <v/>
      </c>
      <c r="AI127" s="89" vm="327">
        <f ca="1"/>
        <v>45839</v>
      </c>
      <c r="AJ127" s="89" vm="328">
        <f ca="1"/>
        <v>1293.5999999999999</v>
      </c>
    </row>
    <row r="128" spans="2:36">
      <c r="B128" s="89" vm="325">
        <f ca="1"/>
        <v>45777</v>
      </c>
      <c r="C128" s="89" vm="326">
        <f ca="1"/>
        <v>1131.72</v>
      </c>
      <c r="D128" s="1335">
        <f t="shared" ca="1" si="80"/>
        <v>5.4013716641199026E-3</v>
      </c>
      <c r="E128" s="296" t="str" cm="1">
        <f t="array" aca="1" ref="E128" ca="1">_xlfn.IFS(D128&gt;0.5%,"U",D128&lt;=-0.5%,"D",TRUE,"Z")</f>
        <v>U</v>
      </c>
      <c r="F128" s="296" t="str">
        <f t="shared" ca="1" si="83"/>
        <v>UU</v>
      </c>
      <c r="G128" s="296" t="str">
        <f t="shared" ca="1" si="84"/>
        <v>UUU</v>
      </c>
      <c r="H128" s="898" t="str">
        <f t="shared" ca="1" si="85"/>
        <v/>
      </c>
      <c r="AI128" s="89" vm="323">
        <f ca="1"/>
        <v>45840</v>
      </c>
      <c r="AJ128" s="89" vm="324">
        <f ca="1"/>
        <v>1284.8599999999999</v>
      </c>
    </row>
    <row r="129" spans="2:36">
      <c r="B129" s="89" vm="321">
        <f ca="1"/>
        <v>45776</v>
      </c>
      <c r="C129" s="89" vm="322">
        <f ca="1"/>
        <v>1125.6400000000001</v>
      </c>
      <c r="D129" s="1335">
        <f t="shared" ca="1" si="80"/>
        <v>1.3743042922242826E-2</v>
      </c>
      <c r="E129" s="296" t="str" cm="1">
        <f t="array" aca="1" ref="E129" ca="1">_xlfn.IFS(D129&gt;0.5%,"U",D129&lt;=-0.5%,"D",TRUE,"Z")</f>
        <v>U</v>
      </c>
      <c r="F129" s="296" t="str">
        <f t="shared" ca="1" si="83"/>
        <v>UU</v>
      </c>
      <c r="G129" s="296" t="str">
        <f t="shared" ca="1" si="84"/>
        <v>ZUU</v>
      </c>
      <c r="H129" s="898" t="str">
        <f t="shared" ca="1" si="85"/>
        <v/>
      </c>
      <c r="AI129" s="89" vm="319">
        <f ca="1"/>
        <v>45841</v>
      </c>
      <c r="AJ129" s="89" vm="320">
        <f ca="1"/>
        <v>1297.18</v>
      </c>
    </row>
    <row r="130" spans="2:36">
      <c r="B130" s="89" vm="317">
        <f ca="1"/>
        <v>45775</v>
      </c>
      <c r="C130" s="89" vm="318">
        <f ca="1"/>
        <v>1110.3800000000001</v>
      </c>
      <c r="D130" s="1335">
        <f t="shared" ca="1" si="80"/>
        <v>8.0342795929299587E-3</v>
      </c>
      <c r="E130" s="296" t="str" cm="1">
        <f t="array" aca="1" ref="E130" ca="1">_xlfn.IFS(D130&gt;0.5%,"U",D130&lt;=-0.5%,"D",TRUE,"Z")</f>
        <v>U</v>
      </c>
      <c r="F130" s="296" t="str">
        <f t="shared" ca="1" si="83"/>
        <v>ZU</v>
      </c>
      <c r="G130" s="296" t="str">
        <f t="shared" ca="1" si="84"/>
        <v>UZU</v>
      </c>
      <c r="H130" s="898" t="str">
        <f t="shared" ca="1" si="85"/>
        <v/>
      </c>
      <c r="AI130" s="89" vm="315">
        <f ca="1"/>
        <v>45845</v>
      </c>
      <c r="AJ130" s="89" vm="316">
        <f ca="1"/>
        <v>1289.6199999999999</v>
      </c>
    </row>
    <row r="131" spans="2:36">
      <c r="B131" s="89" vm="313">
        <f ca="1"/>
        <v>45772</v>
      </c>
      <c r="C131" s="89" vm="314">
        <f ca="1"/>
        <v>1101.53</v>
      </c>
      <c r="D131" s="1335">
        <f t="shared" ca="1" si="80"/>
        <v>4.2484524145979764E-3</v>
      </c>
      <c r="E131" s="296" t="str" cm="1">
        <f t="array" aca="1" ref="E131" ca="1">_xlfn.IFS(D131&gt;0.5%,"U",D131&lt;=-0.5%,"D",TRUE,"Z")</f>
        <v>Z</v>
      </c>
      <c r="F131" s="296" t="str">
        <f t="shared" ca="1" si="83"/>
        <v>UZ</v>
      </c>
      <c r="G131" s="296" t="str">
        <f t="shared" ca="1" si="84"/>
        <v>UUZ</v>
      </c>
      <c r="H131" s="898" t="str">
        <f t="shared" ca="1" si="85"/>
        <v/>
      </c>
      <c r="AI131" s="89" vm="311">
        <f ca="1"/>
        <v>45846</v>
      </c>
      <c r="AJ131" s="89" vm="312">
        <f ca="1"/>
        <v>1275.31</v>
      </c>
    </row>
    <row r="132" spans="2:36">
      <c r="B132" s="89" vm="309">
        <f ca="1"/>
        <v>45771</v>
      </c>
      <c r="C132" s="89" vm="310">
        <f ca="1"/>
        <v>1096.8699999999999</v>
      </c>
      <c r="D132" s="1335">
        <f t="shared" ca="1" si="80"/>
        <v>4.5046160881868136E-2</v>
      </c>
      <c r="E132" s="296" t="str" cm="1">
        <f t="array" aca="1" ref="E132" ca="1">_xlfn.IFS(D132&gt;0.5%,"U",D132&lt;=-0.5%,"D",TRUE,"Z")</f>
        <v>U</v>
      </c>
      <c r="F132" s="296" t="str">
        <f t="shared" ca="1" si="83"/>
        <v>UU</v>
      </c>
      <c r="G132" s="296" t="str">
        <f t="shared" ca="1" si="84"/>
        <v>UUU</v>
      </c>
      <c r="H132" s="898" t="str">
        <f t="shared" ca="1" si="85"/>
        <v/>
      </c>
      <c r="AI132" s="89" vm="307">
        <f ca="1"/>
        <v>45847</v>
      </c>
      <c r="AJ132" s="89" vm="308">
        <f ca="1"/>
        <v>1288.28</v>
      </c>
    </row>
    <row r="133" spans="2:36">
      <c r="B133" s="89" vm="305">
        <f ca="1"/>
        <v>45770</v>
      </c>
      <c r="C133" s="89" vm="306">
        <f ca="1"/>
        <v>1049.5899999999999</v>
      </c>
      <c r="D133" s="1335">
        <f t="shared" ref="D133:D159" ca="1" si="113">IFERROR((C133-C134)/C134,0)</f>
        <v>8.8913239902339621E-3</v>
      </c>
      <c r="E133" s="296" t="str" cm="1">
        <f t="array" aca="1" ref="E133" ca="1">_xlfn.IFS(D133&gt;0.5%,"U",D133&lt;=-0.5%,"D",TRUE,"Z")</f>
        <v>U</v>
      </c>
      <c r="F133" s="296" t="str">
        <f t="shared" ca="1" si="83"/>
        <v>UU</v>
      </c>
      <c r="G133" s="296" t="str">
        <f t="shared" ca="1" si="84"/>
        <v>UUU</v>
      </c>
      <c r="H133" s="898" t="str">
        <f t="shared" ca="1" si="85"/>
        <v/>
      </c>
      <c r="AI133" s="89" vm="303">
        <f ca="1"/>
        <v>45848</v>
      </c>
      <c r="AJ133" s="89" vm="304">
        <f ca="1"/>
        <v>1250.5899999999999</v>
      </c>
    </row>
    <row r="134" spans="2:36">
      <c r="B134" s="89" vm="301">
        <f ca="1"/>
        <v>45769</v>
      </c>
      <c r="C134" s="89" vm="302">
        <f ca="1"/>
        <v>1040.3399999999999</v>
      </c>
      <c r="D134" s="1335">
        <f t="shared" ca="1" si="113"/>
        <v>5.3071636080209685E-2</v>
      </c>
      <c r="E134" s="296" t="str" cm="1">
        <f t="array" aca="1" ref="E134" ca="1">_xlfn.IFS(D134&gt;0.5%,"U",D134&lt;=-0.5%,"D",TRUE,"Z")</f>
        <v>U</v>
      </c>
      <c r="F134" s="296" t="str">
        <f t="shared" ref="F134:F159" ca="1" si="114">_xlfn.CONCAT(E135,E134)</f>
        <v>UU</v>
      </c>
      <c r="G134" s="296" t="str">
        <f t="shared" ref="G134:G159" ca="1" si="115">_xlfn.CONCAT(E136,E135,E134)</f>
        <v>UUU</v>
      </c>
      <c r="H134" s="898" t="str">
        <f t="shared" ref="H134:H157" ca="1" si="116">IF(LEFT(G134,2)="DD","DD","")</f>
        <v/>
      </c>
      <c r="AI134" s="89" vm="299">
        <f ca="1"/>
        <v>45849</v>
      </c>
      <c r="AJ134" s="89" vm="300">
        <f ca="1"/>
        <v>1245.1099999999999</v>
      </c>
    </row>
    <row r="135" spans="2:36">
      <c r="B135" s="89" vm="297">
        <f ca="1"/>
        <v>45768</v>
      </c>
      <c r="C135" s="89" vm="298">
        <f ca="1"/>
        <v>987.91</v>
      </c>
      <c r="D135" s="1335">
        <f t="shared" ca="1" si="113"/>
        <v>1.5292437026607602E-2</v>
      </c>
      <c r="E135" s="296" t="str" cm="1">
        <f t="array" aca="1" ref="E135" ca="1">_xlfn.IFS(D135&gt;0.5%,"U",D135&lt;=-0.5%,"D",TRUE,"Z")</f>
        <v>U</v>
      </c>
      <c r="F135" s="296" t="str">
        <f t="shared" ca="1" si="114"/>
        <v>UU</v>
      </c>
      <c r="G135" s="296" t="str">
        <f t="shared" ca="1" si="115"/>
        <v>DUU</v>
      </c>
      <c r="H135" s="898" t="str">
        <f t="shared" ca="1" si="116"/>
        <v/>
      </c>
      <c r="AI135" s="89" vm="295">
        <f ca="1"/>
        <v>45852</v>
      </c>
      <c r="AJ135" s="89" vm="296">
        <f ca="1"/>
        <v>1261.95</v>
      </c>
    </row>
    <row r="136" spans="2:36">
      <c r="B136" s="89" vm="293">
        <f ca="1"/>
        <v>45764</v>
      </c>
      <c r="C136" s="89" vm="294">
        <f ca="1"/>
        <v>973.03</v>
      </c>
      <c r="D136" s="1335">
        <f t="shared" ca="1" si="113"/>
        <v>1.185487141624115E-2</v>
      </c>
      <c r="E136" s="296" t="str" cm="1">
        <f t="array" aca="1" ref="E136" ca="1">_xlfn.IFS(D136&gt;0.5%,"U",D136&lt;=-0.5%,"D",TRUE,"Z")</f>
        <v>U</v>
      </c>
      <c r="F136" s="296" t="str">
        <f t="shared" ca="1" si="114"/>
        <v>DU</v>
      </c>
      <c r="G136" s="296" t="str">
        <f t="shared" ca="1" si="115"/>
        <v>UDU</v>
      </c>
      <c r="H136" s="898" t="str">
        <f t="shared" ca="1" si="116"/>
        <v/>
      </c>
      <c r="AI136" s="89" vm="291">
        <f ca="1"/>
        <v>45853</v>
      </c>
      <c r="AJ136" s="89" vm="292">
        <f ca="1"/>
        <v>1260.27</v>
      </c>
    </row>
    <row r="137" spans="2:36">
      <c r="B137" s="89" vm="289">
        <f ca="1"/>
        <v>45763</v>
      </c>
      <c r="C137" s="89" vm="290">
        <f ca="1"/>
        <v>961.63</v>
      </c>
      <c r="D137" s="1335">
        <f t="shared" ca="1" si="113"/>
        <v>-1.5005940918588907E-2</v>
      </c>
      <c r="E137" s="296" t="str" cm="1">
        <f t="array" aca="1" ref="E137" ca="1">_xlfn.IFS(D137&gt;0.5%,"U",D137&lt;=-0.5%,"D",TRUE,"Z")</f>
        <v>D</v>
      </c>
      <c r="F137" s="296" t="str">
        <f t="shared" ca="1" si="114"/>
        <v>UD</v>
      </c>
      <c r="G137" s="296" t="str">
        <f t="shared" ca="1" si="115"/>
        <v>UUD</v>
      </c>
      <c r="H137" s="898" t="str">
        <f t="shared" ca="1" si="116"/>
        <v/>
      </c>
      <c r="AI137" s="89" vm="287">
        <f ca="1"/>
        <v>45854</v>
      </c>
      <c r="AJ137" s="89" vm="288">
        <f ca="1"/>
        <v>1250.31</v>
      </c>
    </row>
    <row r="138" spans="2:36">
      <c r="B138" s="89" vm="285">
        <f ca="1"/>
        <v>45762</v>
      </c>
      <c r="C138" s="89" vm="286">
        <f ca="1"/>
        <v>976.28</v>
      </c>
      <c r="D138" s="1335">
        <f t="shared" ca="1" si="113"/>
        <v>4.8320591014517654E-2</v>
      </c>
      <c r="E138" s="296" t="str" cm="1">
        <f t="array" aca="1" ref="E138" ca="1">_xlfn.IFS(D138&gt;0.5%,"U",D138&lt;=-0.5%,"D",TRUE,"Z")</f>
        <v>U</v>
      </c>
      <c r="F138" s="296" t="str">
        <f t="shared" ca="1" si="114"/>
        <v>UU</v>
      </c>
      <c r="G138" s="296" t="str">
        <f t="shared" ca="1" si="115"/>
        <v>ZUU</v>
      </c>
      <c r="H138" s="898" t="str">
        <f t="shared" ca="1" si="116"/>
        <v/>
      </c>
      <c r="AI138" s="89" vm="283">
        <f ca="1"/>
        <v>45855</v>
      </c>
      <c r="AJ138" s="89" vm="284">
        <f ca="1"/>
        <v>1274.17</v>
      </c>
    </row>
    <row r="139" spans="2:36">
      <c r="B139" s="89" vm="281">
        <f ca="1"/>
        <v>45761</v>
      </c>
      <c r="C139" s="89" vm="282">
        <f ca="1"/>
        <v>931.28</v>
      </c>
      <c r="D139" s="1335">
        <f t="shared" ca="1" si="113"/>
        <v>1.4145858062267921E-2</v>
      </c>
      <c r="E139" s="296" t="str" cm="1">
        <f t="array" aca="1" ref="E139" ca="1">_xlfn.IFS(D139&gt;0.5%,"U",D139&lt;=-0.5%,"D",TRUE,"Z")</f>
        <v>U</v>
      </c>
      <c r="F139" s="296" t="str">
        <f t="shared" ca="1" si="114"/>
        <v>ZU</v>
      </c>
      <c r="G139" s="296" t="str">
        <f t="shared" ca="1" si="115"/>
        <v>DZU</v>
      </c>
      <c r="H139" s="898" t="str">
        <f t="shared" ca="1" si="116"/>
        <v/>
      </c>
      <c r="AI139" s="89" vm="279">
        <f ca="1"/>
        <v>45856</v>
      </c>
      <c r="AJ139" s="89" vm="280">
        <f ca="1"/>
        <v>1209.24</v>
      </c>
    </row>
    <row r="140" spans="2:36">
      <c r="B140" s="89" vm="277">
        <f ca="1"/>
        <v>45758</v>
      </c>
      <c r="C140" s="89" vm="278">
        <f ca="1"/>
        <v>918.29</v>
      </c>
      <c r="D140" s="1335">
        <f t="shared" ca="1" si="113"/>
        <v>-3.126458742685927E-3</v>
      </c>
      <c r="E140" s="296" t="str" cm="1">
        <f t="array" aca="1" ref="E140" ca="1">_xlfn.IFS(D140&gt;0.5%,"U",D140&lt;=-0.5%,"D",TRUE,"Z")</f>
        <v>Z</v>
      </c>
      <c r="F140" s="296" t="str">
        <f t="shared" ca="1" si="114"/>
        <v>DZ</v>
      </c>
      <c r="G140" s="296" t="str">
        <f t="shared" ca="1" si="115"/>
        <v>UDZ</v>
      </c>
      <c r="H140" s="898" t="str">
        <f t="shared" ca="1" si="116"/>
        <v/>
      </c>
      <c r="AI140" s="89" vm="275">
        <f ca="1"/>
        <v>45859</v>
      </c>
      <c r="AJ140" s="89" vm="276">
        <f ca="1"/>
        <v>1233.27</v>
      </c>
    </row>
    <row r="141" spans="2:36">
      <c r="B141" s="89" vm="273">
        <f ca="1"/>
        <v>45757</v>
      </c>
      <c r="C141" s="89" vm="274">
        <f ca="1"/>
        <v>921.17</v>
      </c>
      <c r="D141" s="1335">
        <f t="shared" ca="1" si="113"/>
        <v>-2.5701502956201747E-2</v>
      </c>
      <c r="E141" s="296" t="str" cm="1">
        <f t="array" aca="1" ref="E141" ca="1">_xlfn.IFS(D141&gt;0.5%,"U",D141&lt;=-0.5%,"D",TRUE,"Z")</f>
        <v>D</v>
      </c>
      <c r="F141" s="296" t="str">
        <f t="shared" ca="1" si="114"/>
        <v>UD</v>
      </c>
      <c r="G141" s="296" t="str">
        <f t="shared" ca="1" si="115"/>
        <v>ZUD</v>
      </c>
      <c r="H141" s="898" t="str">
        <f t="shared" ca="1" si="116"/>
        <v/>
      </c>
      <c r="AI141" s="89" vm="271">
        <f ca="1"/>
        <v>45860</v>
      </c>
      <c r="AJ141" s="89" vm="272">
        <f ca="1"/>
        <v>1190.08</v>
      </c>
    </row>
    <row r="142" spans="2:36">
      <c r="B142" s="89" vm="269">
        <f ca="1"/>
        <v>45756</v>
      </c>
      <c r="C142" s="89" vm="270">
        <f ca="1"/>
        <v>945.47</v>
      </c>
      <c r="D142" s="1335">
        <f t="shared" ca="1" si="113"/>
        <v>8.6247702205882418E-2</v>
      </c>
      <c r="E142" s="296" t="str" cm="1">
        <f t="array" aca="1" ref="E142" ca="1">_xlfn.IFS(D142&gt;0.5%,"U",D142&lt;=-0.5%,"D",TRUE,"Z")</f>
        <v>U</v>
      </c>
      <c r="F142" s="296" t="str">
        <f t="shared" ca="1" si="114"/>
        <v>ZU</v>
      </c>
      <c r="G142" s="296" t="str">
        <f t="shared" ca="1" si="115"/>
        <v>UZU</v>
      </c>
      <c r="H142" s="898" t="str">
        <f t="shared" ca="1" si="116"/>
        <v/>
      </c>
      <c r="AI142" s="89" vm="267">
        <f ca="1"/>
        <v>45861</v>
      </c>
      <c r="AJ142" s="89" vm="268">
        <f ca="1"/>
        <v>1176.78</v>
      </c>
    </row>
    <row r="143" spans="2:36">
      <c r="B143" s="89" vm="265">
        <f ca="1"/>
        <v>45755</v>
      </c>
      <c r="C143" s="89" vm="266">
        <f ca="1"/>
        <v>870.4</v>
      </c>
      <c r="D143" s="1335">
        <f t="shared" ca="1" si="113"/>
        <v>2.9614094926424949E-3</v>
      </c>
      <c r="E143" s="296" t="str" cm="1">
        <f t="array" aca="1" ref="E143" ca="1">_xlfn.IFS(D143&gt;0.5%,"U",D143&lt;=-0.5%,"D",TRUE,"Z")</f>
        <v>Z</v>
      </c>
      <c r="F143" s="296" t="str">
        <f t="shared" ca="1" si="114"/>
        <v>UZ</v>
      </c>
      <c r="G143" s="296" t="str">
        <f t="shared" ca="1" si="115"/>
        <v>DUZ</v>
      </c>
      <c r="H143" s="898" t="str">
        <f t="shared" ca="1" si="116"/>
        <v/>
      </c>
      <c r="AI143" s="89" vm="263">
        <f ca="1"/>
        <v>45862</v>
      </c>
      <c r="AJ143" s="89" vm="264">
        <f ca="1"/>
        <v>1180.76</v>
      </c>
    </row>
    <row r="144" spans="2:36">
      <c r="B144" s="89" vm="261">
        <f ca="1"/>
        <v>45754</v>
      </c>
      <c r="C144" s="89" vm="262">
        <f ca="1"/>
        <v>867.83</v>
      </c>
      <c r="D144" s="1335">
        <f t="shared" ca="1" si="113"/>
        <v>1.3985932278643734E-2</v>
      </c>
      <c r="E144" s="296" t="str" cm="1">
        <f t="array" aca="1" ref="E144" ca="1">_xlfn.IFS(D144&gt;0.5%,"U",D144&lt;=-0.5%,"D",TRUE,"Z")</f>
        <v>U</v>
      </c>
      <c r="F144" s="296" t="str">
        <f t="shared" ca="1" si="114"/>
        <v>DU</v>
      </c>
      <c r="G144" s="296" t="str">
        <f t="shared" ca="1" si="115"/>
        <v>DDU</v>
      </c>
      <c r="H144" s="898" t="str">
        <f t="shared" ca="1" si="116"/>
        <v>DD</v>
      </c>
      <c r="AI144" s="89" vm="259">
        <f ca="1"/>
        <v>45863</v>
      </c>
      <c r="AJ144" s="89" vm="260">
        <f ca="1"/>
        <v>1180.49</v>
      </c>
    </row>
    <row r="145" spans="2:36">
      <c r="B145" s="89" vm="257">
        <f ca="1"/>
        <v>45751</v>
      </c>
      <c r="C145" s="89" vm="258">
        <f ca="1"/>
        <v>855.86</v>
      </c>
      <c r="D145" s="1335">
        <f t="shared" ca="1" si="113"/>
        <v>-6.6724824164440269E-2</v>
      </c>
      <c r="E145" s="296" t="str" cm="1">
        <f t="array" aca="1" ref="E145" ca="1">_xlfn.IFS(D145&gt;0.5%,"U",D145&lt;=-0.5%,"D",TRUE,"Z")</f>
        <v>D</v>
      </c>
      <c r="F145" s="296" t="str">
        <f t="shared" ca="1" si="114"/>
        <v>DD</v>
      </c>
      <c r="G145" s="296" t="str">
        <f t="shared" ca="1" si="115"/>
        <v>UDD</v>
      </c>
      <c r="H145" s="898" t="str">
        <f t="shared" ca="1" si="116"/>
        <v/>
      </c>
      <c r="AI145" s="89" vm="255">
        <f ca="1"/>
        <v>45866</v>
      </c>
      <c r="AJ145" s="89" vm="256">
        <f ca="1"/>
        <v>1174.5999999999999</v>
      </c>
    </row>
    <row r="146" spans="2:36">
      <c r="B146" s="89" vm="253">
        <f ca="1"/>
        <v>45750</v>
      </c>
      <c r="C146" s="89" vm="254">
        <f ca="1"/>
        <v>917.05</v>
      </c>
      <c r="D146" s="1335">
        <f t="shared" ca="1" si="113"/>
        <v>-1.974303061399011E-2</v>
      </c>
      <c r="E146" s="296" t="str" cm="1">
        <f t="array" aca="1" ref="E146" ca="1">_xlfn.IFS(D146&gt;0.5%,"U",D146&lt;=-0.5%,"D",TRUE,"Z")</f>
        <v>D</v>
      </c>
      <c r="F146" s="296" t="str">
        <f t="shared" ca="1" si="114"/>
        <v>UD</v>
      </c>
      <c r="G146" s="296" t="str">
        <f t="shared" ca="1" si="115"/>
        <v>ZUD</v>
      </c>
      <c r="H146" s="898" t="str">
        <f t="shared" ca="1" si="116"/>
        <v/>
      </c>
      <c r="AI146" s="89" vm="251">
        <f ca="1"/>
        <v>45867</v>
      </c>
      <c r="AJ146" s="89" vm="252">
        <f ca="1"/>
        <v>1168.74</v>
      </c>
    </row>
    <row r="147" spans="2:36">
      <c r="B147" s="89" vm="249">
        <f ca="1"/>
        <v>45749</v>
      </c>
      <c r="C147" s="89" vm="250">
        <f ca="1"/>
        <v>935.52</v>
      </c>
      <c r="D147" s="1335">
        <f t="shared" ca="1" si="113"/>
        <v>7.6908162605829359E-3</v>
      </c>
      <c r="E147" s="296" t="str" cm="1">
        <f t="array" aca="1" ref="E147" ca="1">_xlfn.IFS(D147&gt;0.5%,"U",D147&lt;=-0.5%,"D",TRUE,"Z")</f>
        <v>U</v>
      </c>
      <c r="F147" s="296" t="str">
        <f t="shared" ca="1" si="114"/>
        <v>ZU</v>
      </c>
      <c r="G147" s="296" t="str">
        <f t="shared" ca="1" si="115"/>
        <v>ZZU</v>
      </c>
      <c r="H147" s="898" t="str">
        <f t="shared" ca="1" si="116"/>
        <v/>
      </c>
      <c r="AI147" s="89" vm="247">
        <f ca="1"/>
        <v>45868</v>
      </c>
      <c r="AJ147" s="89" vm="248">
        <f ca="1"/>
        <v>1184.2</v>
      </c>
    </row>
    <row r="148" spans="2:36">
      <c r="B148" s="89" vm="245">
        <f ca="1"/>
        <v>45748</v>
      </c>
      <c r="C148" s="89" vm="246">
        <f ca="1"/>
        <v>928.38</v>
      </c>
      <c r="D148" s="1335">
        <f t="shared" ca="1" si="113"/>
        <v>-4.4502589729016519E-3</v>
      </c>
      <c r="E148" s="296" t="str" cm="1">
        <f t="array" aca="1" ref="E148" ca="1">_xlfn.IFS(D148&gt;0.5%,"U",D148&lt;=-0.5%,"D",TRUE,"Z")</f>
        <v>Z</v>
      </c>
      <c r="F148" s="296" t="str">
        <f t="shared" ca="1" si="114"/>
        <v>ZZ</v>
      </c>
      <c r="G148" s="296" t="str">
        <f t="shared" ca="1" si="115"/>
        <v>DZZ</v>
      </c>
      <c r="H148" s="898" t="str">
        <f t="shared" ca="1" si="116"/>
        <v/>
      </c>
      <c r="AI148" s="89" vm="243">
        <f ca="1"/>
        <v>45869</v>
      </c>
      <c r="AJ148" s="89" vm="244">
        <f ca="1"/>
        <v>1159.4000000000001</v>
      </c>
    </row>
    <row r="149" spans="2:36">
      <c r="B149" s="89" vm="241">
        <f ca="1"/>
        <v>45747</v>
      </c>
      <c r="C149" s="89" vm="242">
        <f ca="1"/>
        <v>932.53</v>
      </c>
      <c r="D149" s="1335">
        <f t="shared" ca="1" si="113"/>
        <v>-1.4135032392783103E-3</v>
      </c>
      <c r="E149" s="296" t="str" cm="1">
        <f t="array" aca="1" ref="E149" ca="1">_xlfn.IFS(D149&gt;0.5%,"U",D149&lt;=-0.5%,"D",TRUE,"Z")</f>
        <v>Z</v>
      </c>
      <c r="F149" s="296" t="str">
        <f t="shared" ca="1" si="114"/>
        <v>DZ</v>
      </c>
      <c r="G149" s="296" t="str">
        <f t="shared" ca="1" si="115"/>
        <v>UDZ</v>
      </c>
      <c r="H149" s="898" t="str">
        <f t="shared" ca="1" si="116"/>
        <v/>
      </c>
      <c r="AI149" s="89" vm="239">
        <f ca="1"/>
        <v>45870</v>
      </c>
      <c r="AJ149" s="89" vm="240">
        <f ca="1"/>
        <v>1158.5999999999999</v>
      </c>
    </row>
    <row r="150" spans="2:36">
      <c r="B150" s="89" vm="237">
        <f ca="1"/>
        <v>45744</v>
      </c>
      <c r="C150" s="89" vm="238">
        <f ca="1"/>
        <v>933.85</v>
      </c>
      <c r="D150" s="1335">
        <f t="shared" ca="1" si="113"/>
        <v>-4.3891801130313705E-2</v>
      </c>
      <c r="E150" s="296" t="str" cm="1">
        <f t="array" aca="1" ref="E150" ca="1">_xlfn.IFS(D150&gt;0.5%,"U",D150&lt;=-0.5%,"D",TRUE,"Z")</f>
        <v>D</v>
      </c>
      <c r="F150" s="296" t="str">
        <f t="shared" ca="1" si="114"/>
        <v>UD</v>
      </c>
      <c r="G150" s="296" t="str">
        <f t="shared" ca="1" si="115"/>
        <v>DUD</v>
      </c>
      <c r="H150" s="898" t="str">
        <f t="shared" ca="1" si="116"/>
        <v/>
      </c>
      <c r="AI150" s="89" vm="235">
        <f ca="1"/>
        <v>45873</v>
      </c>
      <c r="AJ150" s="89" vm="236">
        <f ca="1"/>
        <v>1170.99</v>
      </c>
    </row>
    <row r="151" spans="2:36">
      <c r="B151" s="89" vm="233">
        <f ca="1"/>
        <v>45743</v>
      </c>
      <c r="C151" s="89" vm="234">
        <f ca="1"/>
        <v>976.72</v>
      </c>
      <c r="D151" s="1335">
        <f t="shared" ca="1" si="113"/>
        <v>6.2535414413022721E-3</v>
      </c>
      <c r="E151" s="296" t="str" cm="1">
        <f t="array" aca="1" ref="E151" ca="1">_xlfn.IFS(D151&gt;0.5%,"U",D151&lt;=-0.5%,"D",TRUE,"Z")</f>
        <v>U</v>
      </c>
      <c r="F151" s="296" t="str">
        <f t="shared" ca="1" si="114"/>
        <v>DU</v>
      </c>
      <c r="G151" s="296" t="str">
        <f t="shared" ca="1" si="115"/>
        <v>UDU</v>
      </c>
      <c r="H151" s="898" t="str">
        <f t="shared" ca="1" si="116"/>
        <v/>
      </c>
      <c r="AI151" s="89" vm="231">
        <f ca="1"/>
        <v>45874</v>
      </c>
      <c r="AJ151" s="89" vm="232">
        <f ca="1"/>
        <v>1147.8699999999999</v>
      </c>
    </row>
    <row r="152" spans="2:36">
      <c r="B152" s="89" vm="229">
        <f ca="1"/>
        <v>45742</v>
      </c>
      <c r="C152" s="89" vm="230">
        <f ca="1"/>
        <v>970.65</v>
      </c>
      <c r="D152" s="1335">
        <f t="shared" ca="1" si="113"/>
        <v>-2.6702631156746346E-2</v>
      </c>
      <c r="E152" s="296" t="str" cm="1">
        <f t="array" aca="1" ref="E152" ca="1">_xlfn.IFS(D152&gt;0.5%,"U",D152&lt;=-0.5%,"D",TRUE,"Z")</f>
        <v>D</v>
      </c>
      <c r="F152" s="296" t="str">
        <f t="shared" ca="1" si="114"/>
        <v>UD</v>
      </c>
      <c r="G152" s="296" t="str">
        <f t="shared" ca="1" si="115"/>
        <v>UUD</v>
      </c>
      <c r="H152" s="898" t="str">
        <f t="shared" ca="1" si="116"/>
        <v/>
      </c>
      <c r="AI152" s="89" vm="227">
        <f ca="1"/>
        <v>45875</v>
      </c>
      <c r="AJ152" s="89" vm="228">
        <f ca="1"/>
        <v>1178.48</v>
      </c>
    </row>
    <row r="153" spans="2:36">
      <c r="B153" s="89" vm="225">
        <f ca="1"/>
        <v>45741</v>
      </c>
      <c r="C153" s="89" vm="226">
        <f ca="1"/>
        <v>997.28</v>
      </c>
      <c r="D153" s="1335">
        <f t="shared" ca="1" si="113"/>
        <v>2.6018786201504093E-2</v>
      </c>
      <c r="E153" s="296" t="str" cm="1">
        <f t="array" aca="1" ref="E153" ca="1">_xlfn.IFS(D153&gt;0.5%,"U",D153&lt;=-0.5%,"D",TRUE,"Z")</f>
        <v>U</v>
      </c>
      <c r="F153" s="296" t="str">
        <f t="shared" ca="1" si="114"/>
        <v>UU</v>
      </c>
      <c r="G153" s="296" t="str">
        <f t="shared" ca="1" si="115"/>
        <v>UUU</v>
      </c>
      <c r="H153" s="898" t="str">
        <f t="shared" ca="1" si="116"/>
        <v/>
      </c>
      <c r="AI153" s="89" vm="223">
        <f ca="1"/>
        <v>45876</v>
      </c>
      <c r="AJ153" s="89" vm="224">
        <f ca="1"/>
        <v>1180.3699999999999</v>
      </c>
    </row>
    <row r="154" spans="2:36">
      <c r="B154" s="89" vm="221">
        <f ca="1"/>
        <v>45740</v>
      </c>
      <c r="C154" s="89" vm="222">
        <f ca="1"/>
        <v>971.99</v>
      </c>
      <c r="D154" s="1335">
        <f t="shared" ca="1" si="113"/>
        <v>1.2183819471201457E-2</v>
      </c>
      <c r="E154" s="296" t="str" cm="1">
        <f t="array" aca="1" ref="E154" ca="1">_xlfn.IFS(D154&gt;0.5%,"U",D154&lt;=-0.5%,"D",TRUE,"Z")</f>
        <v>U</v>
      </c>
      <c r="F154" s="296" t="str">
        <f t="shared" ca="1" si="114"/>
        <v>UU</v>
      </c>
      <c r="G154" s="296" t="str">
        <f t="shared" ca="1" si="115"/>
        <v>DUU</v>
      </c>
      <c r="H154" s="898" t="str">
        <f t="shared" ca="1" si="116"/>
        <v/>
      </c>
      <c r="AI154" s="89" vm="219">
        <f ca="1"/>
        <v>45877</v>
      </c>
      <c r="AJ154" s="89" vm="220">
        <f ca="1"/>
        <v>1211.6400000000001</v>
      </c>
    </row>
    <row r="155" spans="2:36">
      <c r="B155" s="89" vm="217">
        <f ca="1"/>
        <v>45737</v>
      </c>
      <c r="C155" s="89" vm="218">
        <f ca="1"/>
        <v>960.29</v>
      </c>
      <c r="D155" s="1335">
        <f t="shared" ca="1" si="113"/>
        <v>9.9385806234486684E-3</v>
      </c>
      <c r="E155" s="296" t="str" cm="1">
        <f t="array" aca="1" ref="E155" ca="1">_xlfn.IFS(D155&gt;0.5%,"U",D155&lt;=-0.5%,"D",TRUE,"Z")</f>
        <v>U</v>
      </c>
      <c r="F155" s="296" t="str">
        <f t="shared" ca="1" si="114"/>
        <v>DU</v>
      </c>
      <c r="G155" s="296" t="str">
        <f t="shared" ca="1" si="115"/>
        <v>UDU</v>
      </c>
      <c r="H155" s="898" t="str">
        <f t="shared" ca="1" si="116"/>
        <v/>
      </c>
      <c r="AI155" s="89" vm="215">
        <f ca="1"/>
        <v>45880</v>
      </c>
      <c r="AJ155" s="89" vm="216">
        <f ca="1"/>
        <v>1218.31</v>
      </c>
    </row>
    <row r="156" spans="2:36">
      <c r="B156" s="89" vm="213">
        <f ca="1"/>
        <v>45736</v>
      </c>
      <c r="C156" s="89" vm="214">
        <f ca="1"/>
        <v>950.84</v>
      </c>
      <c r="D156" s="1335">
        <f t="shared" ca="1" si="113"/>
        <v>-9.0152059948514079E-3</v>
      </c>
      <c r="E156" s="296" t="str" cm="1">
        <f t="array" aca="1" ref="E156" ca="1">_xlfn.IFS(D156&gt;0.5%,"U",D156&lt;=-0.5%,"D",TRUE,"Z")</f>
        <v>D</v>
      </c>
      <c r="F156" s="296" t="str">
        <f t="shared" ca="1" si="114"/>
        <v>UD</v>
      </c>
      <c r="G156" s="296" t="str">
        <f t="shared" ca="1" si="115"/>
        <v>DUD</v>
      </c>
      <c r="H156" s="898" t="str">
        <f t="shared" ca="1" si="116"/>
        <v/>
      </c>
      <c r="AI156" s="89" vm="211">
        <f ca="1"/>
        <v>45881</v>
      </c>
      <c r="AJ156" s="89" vm="212">
        <f ca="1"/>
        <v>1225.28</v>
      </c>
    </row>
    <row r="157" spans="2:36">
      <c r="B157" s="89" vm="209">
        <f ca="1"/>
        <v>45735</v>
      </c>
      <c r="C157" s="89" vm="210">
        <f ca="1"/>
        <v>959.49</v>
      </c>
      <c r="D157" s="1335">
        <f t="shared" ca="1" si="113"/>
        <v>3.1731865201402171E-2</v>
      </c>
      <c r="E157" s="296" t="str" cm="1">
        <f t="array" aca="1" ref="E157" ca="1">_xlfn.IFS(D157&gt;0.5%,"U",D157&lt;=-0.5%,"D",TRUE,"Z")</f>
        <v>U</v>
      </c>
      <c r="F157" s="296" t="str">
        <f t="shared" ca="1" si="114"/>
        <v>DU</v>
      </c>
      <c r="G157" s="296" t="str">
        <f t="shared" ca="1" si="115"/>
        <v>UDU</v>
      </c>
      <c r="H157" s="898" t="str">
        <f t="shared" ca="1" si="116"/>
        <v/>
      </c>
      <c r="AI157" s="89" vm="207">
        <f ca="1"/>
        <v>45882</v>
      </c>
      <c r="AJ157" s="89" vm="208">
        <f ca="1"/>
        <v>1204.44</v>
      </c>
    </row>
    <row r="158" spans="2:36">
      <c r="B158" s="89" vm="205">
        <f ca="1"/>
        <v>45734</v>
      </c>
      <c r="C158" s="89" vm="206">
        <f ca="1"/>
        <v>929.98</v>
      </c>
      <c r="D158" s="1335">
        <f t="shared" ca="1" si="113"/>
        <v>-2.1094292751731504E-2</v>
      </c>
      <c r="E158" s="296" t="str" cm="1">
        <f t="array" aca="1" ref="E158" ca="1">_xlfn.IFS(D158&gt;0.5%,"U",D158&lt;=-0.5%,"D",TRUE,"Z")</f>
        <v>D</v>
      </c>
      <c r="F158" s="296" t="str">
        <f t="shared" ca="1" si="114"/>
        <v>UD</v>
      </c>
      <c r="G158" s="296" t="str">
        <f t="shared" ca="1" si="115"/>
        <v>UUD</v>
      </c>
      <c r="AI158" s="89" vm="203">
        <f ca="1"/>
        <v>45883</v>
      </c>
      <c r="AJ158" s="89" vm="204">
        <f ca="1"/>
        <v>1230.56</v>
      </c>
    </row>
    <row r="159" spans="2:36">
      <c r="B159" s="89" vm="201">
        <f ca="1"/>
        <v>45733</v>
      </c>
      <c r="C159" s="89" vm="202">
        <f ca="1"/>
        <v>950.02</v>
      </c>
      <c r="D159" s="1335">
        <f t="shared" ca="1" si="113"/>
        <v>3.488017429193898E-2</v>
      </c>
      <c r="E159" s="296" t="str" cm="1">
        <f t="array" aca="1" ref="E159" ca="1">_xlfn.IFS(D159&gt;0.5%,"U",D159&lt;=-0.5%,"D",TRUE,"Z")</f>
        <v>U</v>
      </c>
      <c r="F159" s="296" t="str">
        <f t="shared" ca="1" si="114"/>
        <v>UU</v>
      </c>
      <c r="G159" s="296" t="str">
        <f t="shared" ca="1" si="115"/>
        <v>DUU</v>
      </c>
      <c r="AI159" s="89" vm="199">
        <f ca="1"/>
        <v>45884</v>
      </c>
      <c r="AJ159" s="89" vm="200">
        <f ca="1"/>
        <v>1238.95</v>
      </c>
    </row>
    <row r="160" spans="2:36">
      <c r="B160" s="89" vm="197">
        <f ca="1"/>
        <v>45730</v>
      </c>
      <c r="C160" s="89" vm="198">
        <f ca="1"/>
        <v>918</v>
      </c>
      <c r="D160" s="1335">
        <f t="shared" ref="D160:D164" ca="1" si="117">IFERROR((C160-C161)/C161,0)</f>
        <v>3.1263691205050771E-2</v>
      </c>
      <c r="E160" s="296" t="str" cm="1">
        <f t="array" aca="1" ref="E160" ca="1">_xlfn.IFS(D160&gt;0.5%,"U",D160&lt;=-0.5%,"D",TRUE,"Z")</f>
        <v>U</v>
      </c>
      <c r="F160" s="296" t="str">
        <f t="shared" ref="F160:F164" ca="1" si="118">_xlfn.CONCAT(E161,E160)</f>
        <v>DU</v>
      </c>
      <c r="G160" s="296" t="str">
        <f t="shared" ref="G160:G164" ca="1" si="119">_xlfn.CONCAT(E162,E161,E160)</f>
        <v>UDU</v>
      </c>
      <c r="AI160" s="89" vm="195">
        <f ca="1"/>
        <v>45887</v>
      </c>
      <c r="AJ160" s="89" vm="196">
        <f ca="1"/>
        <v>1245.0899999999999</v>
      </c>
    </row>
    <row r="161" spans="2:36">
      <c r="B161" s="89" vm="193">
        <f ca="1"/>
        <v>45729</v>
      </c>
      <c r="C161" s="89" vm="194">
        <f ca="1"/>
        <v>890.17</v>
      </c>
      <c r="D161" s="1335">
        <f t="shared" ca="1" si="117"/>
        <v>-3.208724773834376E-2</v>
      </c>
      <c r="E161" s="296" t="str" cm="1">
        <f t="array" aca="1" ref="E161" ca="1">_xlfn.IFS(D161&gt;0.5%,"U",D161&lt;=-0.5%,"D",TRUE,"Z")</f>
        <v>D</v>
      </c>
      <c r="F161" s="296" t="str">
        <f t="shared" ca="1" si="118"/>
        <v>UD</v>
      </c>
      <c r="G161" s="296" t="str">
        <f t="shared" ca="1" si="119"/>
        <v>UUD</v>
      </c>
      <c r="AI161" s="89" vm="191">
        <f ca="1"/>
        <v>45888</v>
      </c>
      <c r="AJ161" s="89" vm="192">
        <f ca="1"/>
        <v>1214.1500000000001</v>
      </c>
    </row>
    <row r="162" spans="2:36">
      <c r="B162" s="89" vm="189">
        <f ca="1"/>
        <v>45728</v>
      </c>
      <c r="C162" s="89" vm="190">
        <f ca="1"/>
        <v>919.68</v>
      </c>
      <c r="D162" s="1335">
        <f t="shared" ca="1" si="117"/>
        <v>2.7460618925259667E-2</v>
      </c>
      <c r="E162" s="296" t="str" cm="1">
        <f t="array" aca="1" ref="E162" ca="1">_xlfn.IFS(D162&gt;0.5%,"U",D162&lt;=-0.5%,"D",TRUE,"Z")</f>
        <v>U</v>
      </c>
      <c r="F162" s="296" t="str">
        <f t="shared" ca="1" si="118"/>
        <v>UU</v>
      </c>
      <c r="G162" s="296" t="str">
        <f t="shared" ca="1" si="119"/>
        <v>DUU</v>
      </c>
      <c r="AI162" s="89" vm="187">
        <f ca="1"/>
        <v>45889</v>
      </c>
      <c r="AJ162" s="89" vm="188">
        <f ca="1"/>
        <v>1213.8599999999999</v>
      </c>
    </row>
    <row r="163" spans="2:36">
      <c r="B163" s="89" vm="185">
        <f ca="1"/>
        <v>45727</v>
      </c>
      <c r="C163" s="89" vm="186">
        <f ca="1"/>
        <v>895.1</v>
      </c>
      <c r="D163" s="1335">
        <f t="shared" ca="1" si="117"/>
        <v>3.2791803203027735E-2</v>
      </c>
      <c r="E163" s="296" t="str" cm="1">
        <f t="array" aca="1" ref="E163" ca="1">_xlfn.IFS(D163&gt;0.5%,"U",D163&lt;=-0.5%,"D",TRUE,"Z")</f>
        <v>U</v>
      </c>
      <c r="F163" s="296" t="str">
        <f t="shared" ca="1" si="118"/>
        <v>DU</v>
      </c>
      <c r="G163" s="296" t="str">
        <f t="shared" ca="1" si="119"/>
        <v>DDU</v>
      </c>
      <c r="AI163" s="89" vm="183">
        <f ca="1"/>
        <v>45890</v>
      </c>
      <c r="AJ163" s="89" vm="184">
        <f ca="1"/>
        <v>1206.21</v>
      </c>
    </row>
    <row r="164" spans="2:36">
      <c r="B164" s="89" vm="181">
        <f ca="1"/>
        <v>45726</v>
      </c>
      <c r="C164" s="89" vm="182">
        <f ca="1"/>
        <v>866.68</v>
      </c>
      <c r="D164" s="1335">
        <f t="shared" ca="1" si="117"/>
        <v>-2.7415246153673578E-2</v>
      </c>
      <c r="E164" s="296" t="str" cm="1">
        <f t="array" aca="1" ref="E164" ca="1">_xlfn.IFS(D164&gt;0.5%,"U",D164&lt;=-0.5%,"D",TRUE,"Z")</f>
        <v>D</v>
      </c>
      <c r="F164" s="296" t="str">
        <f t="shared" ca="1" si="118"/>
        <v>DD</v>
      </c>
      <c r="G164" s="296" t="str">
        <f t="shared" ca="1" si="119"/>
        <v>DDD</v>
      </c>
      <c r="AI164" s="89" vm="179">
        <f ca="1"/>
        <v>45891</v>
      </c>
      <c r="AJ164" s="89" vm="180">
        <f ca="1"/>
        <v>1204.6500000000001</v>
      </c>
    </row>
    <row r="165" spans="2:36">
      <c r="B165" s="89" vm="177">
        <f ca="1"/>
        <v>45723</v>
      </c>
      <c r="C165" s="89" vm="178">
        <f ca="1"/>
        <v>891.11</v>
      </c>
      <c r="D165" s="1335">
        <f t="shared" ref="D165:D201" ca="1" si="120">IFERROR((C165-C166)/C166,0)</f>
        <v>-1.6825543933977668E-2</v>
      </c>
      <c r="E165" s="296" t="str" cm="1">
        <f t="array" aca="1" ref="E165" ca="1">_xlfn.IFS(D165&gt;0.5%,"U",D165&lt;=-0.5%,"D",TRUE,"Z")</f>
        <v>D</v>
      </c>
      <c r="F165" s="296" t="str">
        <f t="shared" ref="F165:F201" ca="1" si="121">_xlfn.CONCAT(E166,E165)</f>
        <v>DD</v>
      </c>
      <c r="G165" s="296" t="str">
        <f t="shared" ref="G165:G201" ca="1" si="122">_xlfn.CONCAT(E167,E166,E165)</f>
        <v>UDD</v>
      </c>
      <c r="AI165" s="89" vm="175">
        <f ca="1"/>
        <v>45894</v>
      </c>
      <c r="AJ165" s="89" vm="176">
        <f ca="1"/>
        <v>1218.07</v>
      </c>
    </row>
    <row r="166" spans="2:36">
      <c r="B166" s="89" vm="173">
        <f ca="1"/>
        <v>45722</v>
      </c>
      <c r="C166" s="89" vm="174">
        <f ca="1"/>
        <v>906.36</v>
      </c>
      <c r="D166" s="1335">
        <f t="shared" ca="1" si="120"/>
        <v>-8.5334840350381413E-2</v>
      </c>
      <c r="E166" s="296" t="str" cm="1">
        <f t="array" aca="1" ref="E166" ca="1">_xlfn.IFS(D166&gt;0.5%,"U",D166&lt;=-0.5%,"D",TRUE,"Z")</f>
        <v>D</v>
      </c>
      <c r="F166" s="296" t="str">
        <f t="shared" ca="1" si="121"/>
        <v>UD</v>
      </c>
      <c r="G166" s="296" t="str">
        <f t="shared" ca="1" si="122"/>
        <v>ZUD</v>
      </c>
      <c r="AI166" s="89" vm="171">
        <f ca="1"/>
        <v>45895</v>
      </c>
      <c r="AJ166" s="89" vm="172">
        <f ca="1"/>
        <v>1226.0899999999999</v>
      </c>
    </row>
    <row r="167" spans="2:36">
      <c r="B167" s="89" vm="169">
        <f ca="1"/>
        <v>45721</v>
      </c>
      <c r="C167" s="89" vm="170">
        <f ca="1"/>
        <v>990.92</v>
      </c>
      <c r="D167" s="1335">
        <f t="shared" ca="1" si="120"/>
        <v>1.8857060601698492E-2</v>
      </c>
      <c r="E167" s="296" t="str" cm="1">
        <f t="array" aca="1" ref="E167" ca="1">_xlfn.IFS(D167&gt;0.5%,"U",D167&lt;=-0.5%,"D",TRUE,"Z")</f>
        <v>U</v>
      </c>
      <c r="F167" s="296" t="str">
        <f t="shared" ca="1" si="121"/>
        <v>ZU</v>
      </c>
      <c r="G167" s="296" t="str">
        <f t="shared" ca="1" si="122"/>
        <v>DZU</v>
      </c>
      <c r="AI167" s="89" vm="167">
        <f ca="1"/>
        <v>45896</v>
      </c>
      <c r="AJ167" s="89" vm="168">
        <f ca="1"/>
        <v>1223.5</v>
      </c>
    </row>
    <row r="168" spans="2:36">
      <c r="B168" s="89" vm="165">
        <f ca="1"/>
        <v>45720</v>
      </c>
      <c r="C168" s="89" vm="166">
        <f ca="1"/>
        <v>972.58</v>
      </c>
      <c r="D168" s="1335">
        <f t="shared" ca="1" si="120"/>
        <v>-1.1502516175413418E-3</v>
      </c>
      <c r="E168" s="296" t="str" cm="1">
        <f t="array" aca="1" ref="E168" ca="1">_xlfn.IFS(D168&gt;0.5%,"U",D168&lt;=-0.5%,"D",TRUE,"Z")</f>
        <v>Z</v>
      </c>
      <c r="F168" s="296" t="str">
        <f t="shared" ca="1" si="121"/>
        <v>DZ</v>
      </c>
      <c r="G168" s="296" t="str">
        <f t="shared" ca="1" si="122"/>
        <v>UDZ</v>
      </c>
      <c r="AI168" s="89" vm="163">
        <f ca="1"/>
        <v>45897</v>
      </c>
      <c r="AJ168" s="89" vm="164">
        <f ca="1"/>
        <v>1231.45</v>
      </c>
    </row>
    <row r="169" spans="2:36">
      <c r="B169" s="89" vm="161">
        <f ca="1"/>
        <v>45719</v>
      </c>
      <c r="C169" s="89" vm="162">
        <f ca="1"/>
        <v>973.7</v>
      </c>
      <c r="D169" s="1335">
        <f t="shared" ca="1" si="120"/>
        <v>-6.9960022844088076E-3</v>
      </c>
      <c r="E169" s="296" t="str" cm="1">
        <f t="array" aca="1" ref="E169" ca="1">_xlfn.IFS(D169&gt;0.5%,"U",D169&lt;=-0.5%,"D",TRUE,"Z")</f>
        <v>D</v>
      </c>
      <c r="F169" s="296" t="str">
        <f t="shared" ca="1" si="121"/>
        <v>UD</v>
      </c>
      <c r="G169" s="296" t="str">
        <f t="shared" ca="1" si="122"/>
        <v>DUD</v>
      </c>
      <c r="AI169" s="89" vm="159">
        <f ca="1"/>
        <v>45898</v>
      </c>
      <c r="AJ169" s="89" vm="160">
        <f ca="1"/>
        <v>1208.25</v>
      </c>
    </row>
    <row r="170" spans="2:36">
      <c r="B170" s="89" vm="157">
        <f ca="1"/>
        <v>45716</v>
      </c>
      <c r="C170" s="89" vm="158">
        <f ca="1"/>
        <v>980.56</v>
      </c>
      <c r="D170" s="1335">
        <f t="shared" ca="1" si="120"/>
        <v>1.8160673678964036E-2</v>
      </c>
      <c r="E170" s="296" t="str" cm="1">
        <f t="array" aca="1" ref="E170" ca="1">_xlfn.IFS(D170&gt;0.5%,"U",D170&lt;=-0.5%,"D",TRUE,"Z")</f>
        <v>U</v>
      </c>
      <c r="F170" s="296" t="str">
        <f t="shared" ca="1" si="121"/>
        <v>DU</v>
      </c>
      <c r="G170" s="296" t="str">
        <f t="shared" ca="1" si="122"/>
        <v>UDU</v>
      </c>
      <c r="AI170" s="89" vm="155">
        <f ca="1"/>
        <v>45902</v>
      </c>
      <c r="AJ170" s="89" vm="156">
        <f ca="1"/>
        <v>1214.1099999999999</v>
      </c>
    </row>
    <row r="171" spans="2:36">
      <c r="B171" s="89" vm="153">
        <f ca="1"/>
        <v>45715</v>
      </c>
      <c r="C171" s="89" vm="154">
        <f ca="1"/>
        <v>963.07</v>
      </c>
      <c r="D171" s="1335">
        <f t="shared" ca="1" si="120"/>
        <v>-2.7260974082378743E-2</v>
      </c>
      <c r="E171" s="296" t="str" cm="1">
        <f t="array" aca="1" ref="E171" ca="1">_xlfn.IFS(D171&gt;0.5%,"U",D171&lt;=-0.5%,"D",TRUE,"Z")</f>
        <v>D</v>
      </c>
      <c r="F171" s="296" t="str">
        <f t="shared" ca="1" si="121"/>
        <v>UD</v>
      </c>
      <c r="G171" s="296" t="str">
        <f t="shared" ca="1" si="122"/>
        <v>DUD</v>
      </c>
      <c r="AI171" s="89" vm="151">
        <f ca="1"/>
        <v>45903</v>
      </c>
      <c r="AJ171" s="89" vm="152">
        <f ca="1"/>
        <v>1226.18</v>
      </c>
    </row>
    <row r="172" spans="2:36">
      <c r="B172" s="89" vm="149">
        <f ca="1"/>
        <v>45714</v>
      </c>
      <c r="C172" s="89" vm="150">
        <f ca="1"/>
        <v>990.06</v>
      </c>
      <c r="D172" s="1335">
        <f t="shared" ca="1" si="120"/>
        <v>1.3118578854733675E-2</v>
      </c>
      <c r="E172" s="296" t="str" cm="1">
        <f t="array" aca="1" ref="E172" ca="1">_xlfn.IFS(D172&gt;0.5%,"U",D172&lt;=-0.5%,"D",TRUE,"Z")</f>
        <v>U</v>
      </c>
      <c r="F172" s="296" t="str">
        <f t="shared" ca="1" si="121"/>
        <v>DU</v>
      </c>
      <c r="G172" s="296" t="str">
        <f t="shared" ca="1" si="122"/>
        <v>DDU</v>
      </c>
      <c r="AI172" s="89" vm="147">
        <f ca="1"/>
        <v>45904</v>
      </c>
      <c r="AJ172" s="89" vm="148">
        <f ca="1"/>
        <v>1257.48</v>
      </c>
    </row>
    <row r="173" spans="2:36">
      <c r="B173" s="89" vm="145">
        <f ca="1"/>
        <v>45713</v>
      </c>
      <c r="C173" s="89" vm="146">
        <f ca="1"/>
        <v>977.24</v>
      </c>
      <c r="D173" s="1335">
        <f t="shared" ca="1" si="120"/>
        <v>-1.1360992240533368E-2</v>
      </c>
      <c r="E173" s="296" t="str" cm="1">
        <f t="array" aca="1" ref="E173" ca="1">_xlfn.IFS(D173&gt;0.5%,"U",D173&lt;=-0.5%,"D",TRUE,"Z")</f>
        <v>D</v>
      </c>
      <c r="F173" s="296" t="str">
        <f t="shared" ca="1" si="121"/>
        <v>DD</v>
      </c>
      <c r="G173" s="296" t="str">
        <f t="shared" ca="1" si="122"/>
        <v>DDD</v>
      </c>
      <c r="AI173" s="89" vm="143">
        <f ca="1"/>
        <v>45905</v>
      </c>
      <c r="AJ173" s="89" vm="144">
        <f ca="1"/>
        <v>1243.82</v>
      </c>
    </row>
    <row r="174" spans="2:36">
      <c r="B174" s="89" vm="141">
        <f ca="1"/>
        <v>45712</v>
      </c>
      <c r="C174" s="89" vm="142">
        <f ca="1"/>
        <v>988.47</v>
      </c>
      <c r="D174" s="1335">
        <f t="shared" ca="1" si="120"/>
        <v>-1.4633903204904502E-2</v>
      </c>
      <c r="E174" s="296" t="str" cm="1">
        <f t="array" aca="1" ref="E174" ca="1">_xlfn.IFS(D174&gt;0.5%,"U",D174&lt;=-0.5%,"D",TRUE,"Z")</f>
        <v>D</v>
      </c>
      <c r="F174" s="296" t="str">
        <f t="shared" ca="1" si="121"/>
        <v>DD</v>
      </c>
      <c r="G174" s="296" t="str">
        <f t="shared" ca="1" si="122"/>
        <v>DDD</v>
      </c>
      <c r="AI174" s="89" vm="139">
        <f ca="1"/>
        <v>45908</v>
      </c>
      <c r="AJ174" s="89" vm="140">
        <f ca="1"/>
        <v>1244.76</v>
      </c>
    </row>
    <row r="175" spans="2:36">
      <c r="B175" s="89" vm="137">
        <f ca="1"/>
        <v>45709</v>
      </c>
      <c r="C175" s="89" vm="138">
        <f ca="1"/>
        <v>1003.15</v>
      </c>
      <c r="D175" s="1335">
        <f t="shared" ca="1" si="120"/>
        <v>-2.0877662170339848E-2</v>
      </c>
      <c r="E175" s="296" t="str" cm="1">
        <f t="array" aca="1" ref="E175" ca="1">_xlfn.IFS(D175&gt;0.5%,"U",D175&lt;=-0.5%,"D",TRUE,"Z")</f>
        <v>D</v>
      </c>
      <c r="F175" s="296" t="str">
        <f t="shared" ca="1" si="121"/>
        <v>DD</v>
      </c>
      <c r="G175" s="296" t="str">
        <f t="shared" ca="1" si="122"/>
        <v>UDD</v>
      </c>
      <c r="AI175" s="89" vm="135">
        <f ca="1"/>
        <v>45909</v>
      </c>
      <c r="AJ175" s="89" vm="136">
        <f ca="1"/>
        <v>1263.25</v>
      </c>
    </row>
    <row r="176" spans="2:36">
      <c r="B176" s="89" vm="133">
        <f ca="1"/>
        <v>45708</v>
      </c>
      <c r="C176" s="89" vm="134">
        <f ca="1"/>
        <v>1024.54</v>
      </c>
      <c r="D176" s="1335">
        <f t="shared" ca="1" si="120"/>
        <v>-1.8009642203329689E-2</v>
      </c>
      <c r="E176" s="296" t="str" cm="1">
        <f t="array" aca="1" ref="E176" ca="1">_xlfn.IFS(D176&gt;0.5%,"U",D176&lt;=-0.5%,"D",TRUE,"Z")</f>
        <v>D</v>
      </c>
      <c r="F176" s="296" t="str">
        <f t="shared" ca="1" si="121"/>
        <v>UD</v>
      </c>
      <c r="G176" s="296" t="str">
        <f t="shared" ca="1" si="122"/>
        <v>DUD</v>
      </c>
      <c r="AI176" s="89" vm="131">
        <f ca="1"/>
        <v>45910</v>
      </c>
      <c r="AJ176" s="89" vm="132">
        <f ca="1"/>
        <v>1247.71</v>
      </c>
    </row>
    <row r="177" spans="2:36">
      <c r="B177" s="89" vm="129">
        <f ca="1"/>
        <v>45707</v>
      </c>
      <c r="C177" s="89" vm="130">
        <f ca="1"/>
        <v>1043.33</v>
      </c>
      <c r="D177" s="1335">
        <f t="shared" ca="1" si="120"/>
        <v>7.2211227494328508E-3</v>
      </c>
      <c r="E177" s="296" t="str" cm="1">
        <f t="array" aca="1" ref="E177" ca="1">_xlfn.IFS(D177&gt;0.5%,"U",D177&lt;=-0.5%,"D",TRUE,"Z")</f>
        <v>U</v>
      </c>
      <c r="F177" s="296" t="str">
        <f t="shared" ca="1" si="121"/>
        <v>DU</v>
      </c>
      <c r="G177" s="296" t="str">
        <f t="shared" ca="1" si="122"/>
        <v>UDU</v>
      </c>
      <c r="AI177" s="89" vm="126">
        <f ca="1"/>
        <v>45911</v>
      </c>
      <c r="AJ177" s="89" vm="127">
        <f ca="1"/>
        <v>1203.5</v>
      </c>
    </row>
    <row r="178" spans="2:36">
      <c r="B178" s="89" vm="124">
        <f ca="1"/>
        <v>45706</v>
      </c>
      <c r="C178" s="89" vm="125">
        <f ca="1"/>
        <v>1035.8499999999999</v>
      </c>
      <c r="D178" s="1335">
        <f t="shared" ca="1" si="120"/>
        <v>-2.1490648025694316E-2</v>
      </c>
      <c r="E178" s="296" t="str" cm="1">
        <f t="array" aca="1" ref="E178" ca="1">_xlfn.IFS(D178&gt;0.5%,"U",D178&lt;=-0.5%,"D",TRUE,"Z")</f>
        <v>D</v>
      </c>
      <c r="F178" s="296" t="str">
        <f t="shared" ca="1" si="121"/>
        <v>UD</v>
      </c>
      <c r="G178" s="296" t="str">
        <f t="shared" ca="1" si="122"/>
        <v>UUD</v>
      </c>
      <c r="AI178" s="89" vm="122">
        <f ca="1"/>
        <v>45912</v>
      </c>
      <c r="AJ178" s="89" vm="123">
        <f ca="1"/>
        <v>1188.44</v>
      </c>
    </row>
    <row r="179" spans="2:36">
      <c r="B179" s="89" vm="120">
        <f ca="1"/>
        <v>45702</v>
      </c>
      <c r="C179" s="89" vm="121">
        <f ca="1"/>
        <v>1058.5999999999999</v>
      </c>
      <c r="D179" s="1335">
        <f t="shared" ca="1" si="120"/>
        <v>1.4285851162701427E-2</v>
      </c>
      <c r="E179" s="296" t="str" cm="1">
        <f t="array" aca="1" ref="E179" ca="1">_xlfn.IFS(D179&gt;0.5%,"U",D179&lt;=-0.5%,"D",TRUE,"Z")</f>
        <v>U</v>
      </c>
      <c r="F179" s="296" t="str">
        <f t="shared" ca="1" si="121"/>
        <v>UU</v>
      </c>
      <c r="G179" s="296" t="str">
        <f t="shared" ca="1" si="122"/>
        <v>UUU</v>
      </c>
      <c r="AI179" s="89" vm="118">
        <f ca="1"/>
        <v>45915</v>
      </c>
      <c r="AJ179" s="89" vm="119">
        <f ca="1"/>
        <v>1202.26</v>
      </c>
    </row>
    <row r="180" spans="2:36">
      <c r="B180" s="89" vm="116">
        <f ca="1"/>
        <v>45701</v>
      </c>
      <c r="C180" s="89" vm="117">
        <f ca="1"/>
        <v>1043.69</v>
      </c>
      <c r="D180" s="1335">
        <f t="shared" ca="1" si="120"/>
        <v>1.5944554224138877E-2</v>
      </c>
      <c r="E180" s="296" t="str" cm="1">
        <f t="array" aca="1" ref="E180" ca="1">_xlfn.IFS(D180&gt;0.5%,"U",D180&lt;=-0.5%,"D",TRUE,"Z")</f>
        <v>U</v>
      </c>
      <c r="F180" s="296" t="str">
        <f t="shared" ca="1" si="121"/>
        <v>UU</v>
      </c>
      <c r="G180" s="296" t="str">
        <f t="shared" ca="1" si="122"/>
        <v>DUU</v>
      </c>
      <c r="AI180" s="89" vm="114">
        <f ca="1"/>
        <v>45916</v>
      </c>
      <c r="AJ180" s="89" vm="115">
        <f ca="1"/>
        <v>1200.51</v>
      </c>
    </row>
    <row r="181" spans="2:36">
      <c r="B181" s="89" vm="112">
        <f ca="1"/>
        <v>45700</v>
      </c>
      <c r="C181" s="89" vm="113">
        <f ca="1"/>
        <v>1027.31</v>
      </c>
      <c r="D181" s="1335">
        <f t="shared" ca="1" si="120"/>
        <v>1.9075866994682868E-2</v>
      </c>
      <c r="E181" s="296" t="str" cm="1">
        <f t="array" aca="1" ref="E181" ca="1">_xlfn.IFS(D181&gt;0.5%,"U",D181&lt;=-0.5%,"D",TRUE,"Z")</f>
        <v>U</v>
      </c>
      <c r="F181" s="296" t="str">
        <f t="shared" ca="1" si="121"/>
        <v>DU</v>
      </c>
      <c r="G181" s="296" t="str">
        <f t="shared" ca="1" si="122"/>
        <v>UDU</v>
      </c>
      <c r="AI181" s="89" vm="110">
        <f ca="1"/>
        <v>45917</v>
      </c>
      <c r="AJ181" s="89" vm="111">
        <f ca="1"/>
        <v>1228.5</v>
      </c>
    </row>
    <row r="182" spans="2:36">
      <c r="B182" s="89" vm="108">
        <f ca="1"/>
        <v>45699</v>
      </c>
      <c r="C182" s="89" vm="109">
        <f ca="1"/>
        <v>1008.08</v>
      </c>
      <c r="D182" s="1335">
        <f t="shared" ca="1" si="120"/>
        <v>-1.8995718178279358E-2</v>
      </c>
      <c r="E182" s="296" t="str" cm="1">
        <f t="array" aca="1" ref="E182" ca="1">_xlfn.IFS(D182&gt;0.5%,"U",D182&lt;=-0.5%,"D",TRUE,"Z")</f>
        <v>D</v>
      </c>
      <c r="F182" s="296" t="str">
        <f t="shared" ca="1" si="121"/>
        <v>UD</v>
      </c>
      <c r="G182" s="296" t="str">
        <f t="shared" ca="1" si="122"/>
        <v>ZUD</v>
      </c>
      <c r="AI182" s="89" vm="106">
        <f ca="1"/>
        <v>45918</v>
      </c>
      <c r="AJ182" s="89" vm="107">
        <f ca="1"/>
        <v>1207.78</v>
      </c>
    </row>
    <row r="183" spans="2:36">
      <c r="B183" s="89" vm="104">
        <f ca="1"/>
        <v>45698</v>
      </c>
      <c r="C183" s="89" vm="105">
        <f ca="1"/>
        <v>1027.5999999999999</v>
      </c>
      <c r="D183" s="1335">
        <f t="shared" ca="1" si="120"/>
        <v>1.3482193050802284E-2</v>
      </c>
      <c r="E183" s="296" t="str" cm="1">
        <f t="array" aca="1" ref="E183" ca="1">_xlfn.IFS(D183&gt;0.5%,"U",D183&lt;=-0.5%,"D",TRUE,"Z")</f>
        <v>U</v>
      </c>
      <c r="F183" s="296" t="str">
        <f t="shared" ca="1" si="121"/>
        <v>ZU</v>
      </c>
      <c r="G183" s="296" t="str">
        <f t="shared" ca="1" si="122"/>
        <v>ZZU</v>
      </c>
      <c r="AI183" s="89" vm="102">
        <f ca="1"/>
        <v>45919</v>
      </c>
      <c r="AJ183" s="89" vm="103">
        <f ca="1"/>
        <v>1226.97</v>
      </c>
    </row>
    <row r="184" spans="2:36">
      <c r="B184" s="89" vm="100">
        <f ca="1"/>
        <v>45695</v>
      </c>
      <c r="C184" s="89" vm="101">
        <f ca="1"/>
        <v>1013.93</v>
      </c>
      <c r="D184" s="1335">
        <f t="shared" ca="1" si="120"/>
        <v>-1.7229836168872086E-3</v>
      </c>
      <c r="E184" s="296" t="str" cm="1">
        <f t="array" aca="1" ref="E184" ca="1">_xlfn.IFS(D184&gt;0.5%,"U",D184&lt;=-0.5%,"D",TRUE,"Z")</f>
        <v>Z</v>
      </c>
      <c r="F184" s="296" t="str">
        <f t="shared" ca="1" si="121"/>
        <v>ZZ</v>
      </c>
      <c r="G184" s="296" t="str">
        <f t="shared" ca="1" si="122"/>
        <v>UZZ</v>
      </c>
      <c r="AI184" s="89" vm="98">
        <f ca="1"/>
        <v>45922</v>
      </c>
      <c r="AJ184" s="89" vm="99">
        <f ca="1"/>
        <v>1227.3699999999999</v>
      </c>
    </row>
    <row r="185" spans="2:36">
      <c r="B185" s="89" vm="96">
        <f ca="1"/>
        <v>45694</v>
      </c>
      <c r="C185" s="89" vm="97">
        <f ca="1"/>
        <v>1015.68</v>
      </c>
      <c r="D185" s="1335">
        <f t="shared" ca="1" si="120"/>
        <v>4.5197851865770647E-3</v>
      </c>
      <c r="E185" s="296" t="str" cm="1">
        <f t="array" aca="1" ref="E185" ca="1">_xlfn.IFS(D185&gt;0.5%,"U",D185&lt;=-0.5%,"D",TRUE,"Z")</f>
        <v>Z</v>
      </c>
      <c r="F185" s="296" t="str">
        <f t="shared" ca="1" si="121"/>
        <v>UZ</v>
      </c>
      <c r="G185" s="296" t="str">
        <f t="shared" ca="1" si="122"/>
        <v>UUZ</v>
      </c>
      <c r="AI185" s="89" vm="94">
        <f ca="1"/>
        <v>45923</v>
      </c>
      <c r="AJ185" s="89" vm="95">
        <f ca="1"/>
        <v>1218.47</v>
      </c>
    </row>
    <row r="186" spans="2:36">
      <c r="B186" s="89" vm="92">
        <f ca="1"/>
        <v>45693</v>
      </c>
      <c r="C186" s="89" vm="93">
        <f ca="1"/>
        <v>1011.11</v>
      </c>
      <c r="D186" s="1335">
        <f t="shared" ca="1" si="120"/>
        <v>1.6323740790254011E-2</v>
      </c>
      <c r="E186" s="296" t="str" cm="1">
        <f t="array" aca="1" ref="E186" ca="1">_xlfn.IFS(D186&gt;0.5%,"U",D186&lt;=-0.5%,"D",TRUE,"Z")</f>
        <v>U</v>
      </c>
      <c r="F186" s="296" t="str">
        <f t="shared" ca="1" si="121"/>
        <v>UU</v>
      </c>
      <c r="G186" s="296" t="str">
        <f t="shared" ca="1" si="122"/>
        <v>ZUU</v>
      </c>
      <c r="AI186" s="89" vm="90">
        <f ca="1"/>
        <v>45924</v>
      </c>
      <c r="AJ186" s="89" vm="91">
        <f ca="1"/>
        <v>1203.95</v>
      </c>
    </row>
    <row r="187" spans="2:36">
      <c r="B187" s="89" vm="88">
        <f ca="1"/>
        <v>45692</v>
      </c>
      <c r="C187" s="89" vm="89">
        <f ca="1"/>
        <v>994.87</v>
      </c>
      <c r="D187" s="1335">
        <f t="shared" ca="1" si="120"/>
        <v>1.6272703127872955E-2</v>
      </c>
      <c r="E187" s="296" t="str" cm="1">
        <f t="array" aca="1" ref="E187" ca="1">_xlfn.IFS(D187&gt;0.5%,"U",D187&lt;=-0.5%,"D",TRUE,"Z")</f>
        <v>U</v>
      </c>
      <c r="F187" s="296" t="str">
        <f t="shared" ca="1" si="121"/>
        <v>ZU</v>
      </c>
      <c r="G187" s="296" t="str">
        <f t="shared" ca="1" si="122"/>
        <v>ZZU</v>
      </c>
      <c r="AI187" s="89" vm="86">
        <f ca="1"/>
        <v>45925</v>
      </c>
      <c r="AJ187" s="89" vm="87">
        <f ca="1"/>
        <v>1208.24</v>
      </c>
    </row>
    <row r="188" spans="2:36">
      <c r="B188" s="89" vm="84">
        <f ca="1"/>
        <v>45691</v>
      </c>
      <c r="C188" s="89" vm="85">
        <f ca="1"/>
        <v>978.94</v>
      </c>
      <c r="D188" s="1335">
        <f t="shared" ca="1" si="120"/>
        <v>2.2318686268889632E-3</v>
      </c>
      <c r="E188" s="296" t="str" cm="1">
        <f t="array" aca="1" ref="E188" ca="1">_xlfn.IFS(D188&gt;0.5%,"U",D188&lt;=-0.5%,"D",TRUE,"Z")</f>
        <v>Z</v>
      </c>
      <c r="F188" s="296" t="str">
        <f t="shared" ca="1" si="121"/>
        <v>ZZ</v>
      </c>
      <c r="G188" s="296" t="str">
        <f t="shared" ca="1" si="122"/>
        <v>DZZ</v>
      </c>
      <c r="AI188" s="89" vm="82">
        <f ca="1"/>
        <v>45926</v>
      </c>
      <c r="AJ188" s="89" vm="83">
        <f ca="1"/>
        <v>1210.6099999999999</v>
      </c>
    </row>
    <row r="189" spans="2:36">
      <c r="B189" s="89" vm="80">
        <f ca="1"/>
        <v>45688</v>
      </c>
      <c r="C189" s="89" vm="81">
        <f ca="1"/>
        <v>976.76</v>
      </c>
      <c r="D189" s="1335">
        <f t="shared" ca="1" si="120"/>
        <v>3.6167851711807796E-3</v>
      </c>
      <c r="E189" s="296" t="str" cm="1">
        <f t="array" aca="1" ref="E189" ca="1">_xlfn.IFS(D189&gt;0.5%,"U",D189&lt;=-0.5%,"D",TRUE,"Z")</f>
        <v>Z</v>
      </c>
      <c r="F189" s="296" t="str">
        <f t="shared" ca="1" si="121"/>
        <v>DZ</v>
      </c>
      <c r="G189" s="296" t="str">
        <f t="shared" ca="1" si="122"/>
        <v>UDZ</v>
      </c>
      <c r="AI189" s="89" vm="78">
        <f ca="1"/>
        <v>45929</v>
      </c>
      <c r="AJ189" s="89" vm="79">
        <f ca="1"/>
        <v>1206.4100000000001</v>
      </c>
    </row>
    <row r="190" spans="2:36">
      <c r="B190" s="89" vm="76">
        <f ca="1"/>
        <v>45687</v>
      </c>
      <c r="C190" s="89" vm="77">
        <f ca="1"/>
        <v>973.24</v>
      </c>
      <c r="D190" s="1335">
        <f t="shared" ca="1" si="120"/>
        <v>-5.0196800081786725E-3</v>
      </c>
      <c r="E190" s="296" t="str" cm="1">
        <f t="array" aca="1" ref="E190" ca="1">_xlfn.IFS(D190&gt;0.5%,"U",D190&lt;=-0.5%,"D",TRUE,"Z")</f>
        <v>D</v>
      </c>
      <c r="F190" s="296" t="str">
        <f t="shared" ca="1" si="121"/>
        <v>UD</v>
      </c>
      <c r="G190" s="296" t="str">
        <f t="shared" ca="1" si="122"/>
        <v>ZUD</v>
      </c>
      <c r="AI190" s="89" vm="74">
        <f ca="1"/>
        <v>45930</v>
      </c>
      <c r="AJ190" s="89" vm="75">
        <f ca="1"/>
        <v>1198.92</v>
      </c>
    </row>
    <row r="191" spans="2:36">
      <c r="B191" s="89" vm="72">
        <f ca="1"/>
        <v>45686</v>
      </c>
      <c r="C191" s="89" vm="73">
        <f ca="1"/>
        <v>978.15</v>
      </c>
      <c r="D191" s="1335">
        <f t="shared" ca="1" si="120"/>
        <v>6.5031950032412422E-3</v>
      </c>
      <c r="E191" s="296" t="str" cm="1">
        <f t="array" aca="1" ref="E191" ca="1">_xlfn.IFS(D191&gt;0.5%,"U",D191&lt;=-0.5%,"D",TRUE,"Z")</f>
        <v>U</v>
      </c>
      <c r="F191" s="296" t="str">
        <f t="shared" ca="1" si="121"/>
        <v>ZU</v>
      </c>
      <c r="G191" s="296" t="str">
        <f t="shared" ca="1" si="122"/>
        <v>DZU</v>
      </c>
      <c r="AI191" s="89" vm="70">
        <f ca="1"/>
        <v>45931</v>
      </c>
      <c r="AJ191" s="89" vm="71">
        <f ca="1"/>
        <v>1170.9000000000001</v>
      </c>
    </row>
    <row r="192" spans="2:36">
      <c r="B192" s="89" vm="68">
        <f ca="1"/>
        <v>45685</v>
      </c>
      <c r="C192" s="89" vm="69">
        <f ca="1"/>
        <v>971.83</v>
      </c>
      <c r="D192" s="1335">
        <f t="shared" ca="1" si="120"/>
        <v>-6.1735381576048147E-5</v>
      </c>
      <c r="E192" s="296" t="str" cm="1">
        <f t="array" aca="1" ref="E192" ca="1">_xlfn.IFS(D192&gt;0.5%,"U",D192&lt;=-0.5%,"D",TRUE,"Z")</f>
        <v>Z</v>
      </c>
      <c r="F192" s="296" t="str">
        <f t="shared" ca="1" si="121"/>
        <v>DZ</v>
      </c>
      <c r="G192" s="296" t="str">
        <f t="shared" ca="1" si="122"/>
        <v>DDZ</v>
      </c>
      <c r="AI192" s="89" vm="66">
        <f ca="1"/>
        <v>45932</v>
      </c>
      <c r="AJ192" s="89" vm="67">
        <f ca="1"/>
        <v>1162.53</v>
      </c>
    </row>
    <row r="193" spans="2:36">
      <c r="B193" s="89" vm="64">
        <f ca="1"/>
        <v>45684</v>
      </c>
      <c r="C193" s="89" vm="65">
        <f ca="1"/>
        <v>971.89</v>
      </c>
      <c r="D193" s="1335">
        <f t="shared" ca="1" si="120"/>
        <v>-5.830665207295538E-3</v>
      </c>
      <c r="E193" s="296" t="str" cm="1">
        <f t="array" aca="1" ref="E193" ca="1">_xlfn.IFS(D193&gt;0.5%,"U",D193&lt;=-0.5%,"D",TRUE,"Z")</f>
        <v>D</v>
      </c>
      <c r="F193" s="296" t="str">
        <f t="shared" ca="1" si="121"/>
        <v>DD</v>
      </c>
      <c r="G193" s="296" t="str">
        <f t="shared" ca="1" si="122"/>
        <v>UDD</v>
      </c>
      <c r="AI193" s="89" vm="62">
        <f ca="1"/>
        <v>45933</v>
      </c>
      <c r="AJ193" s="89" vm="63">
        <f ca="1"/>
        <v>1153.32</v>
      </c>
    </row>
    <row r="194" spans="2:36">
      <c r="B194" s="89" vm="60">
        <f ca="1"/>
        <v>45681</v>
      </c>
      <c r="C194" s="89" vm="61">
        <f ca="1"/>
        <v>977.59</v>
      </c>
      <c r="D194" s="1335">
        <f t="shared" ca="1" si="120"/>
        <v>-7.3817598440387277E-3</v>
      </c>
      <c r="E194" s="296" t="str" cm="1">
        <f t="array" aca="1" ref="E194" ca="1">_xlfn.IFS(D194&gt;0.5%,"U",D194&lt;=-0.5%,"D",TRUE,"Z")</f>
        <v>D</v>
      </c>
      <c r="F194" s="296" t="str">
        <f t="shared" ca="1" si="121"/>
        <v>UD</v>
      </c>
      <c r="G194" s="296" t="str">
        <f t="shared" ca="1" si="122"/>
        <v>UUD</v>
      </c>
      <c r="AI194" s="89" vm="58">
        <f ca="1"/>
        <v>45936</v>
      </c>
      <c r="AJ194" s="89" vm="59">
        <f ca="1"/>
        <v>1163.31</v>
      </c>
    </row>
    <row r="195" spans="2:36">
      <c r="B195" s="89" vm="56">
        <f ca="1"/>
        <v>45680</v>
      </c>
      <c r="C195" s="89" vm="57">
        <f ca="1"/>
        <v>984.86</v>
      </c>
      <c r="D195" s="1335">
        <f t="shared" ca="1" si="120"/>
        <v>3.235882975712534E-2</v>
      </c>
      <c r="E195" s="296" t="str" cm="1">
        <f t="array" aca="1" ref="E195" ca="1">_xlfn.IFS(D195&gt;0.5%,"U",D195&lt;=-0.5%,"D",TRUE,"Z")</f>
        <v>U</v>
      </c>
      <c r="F195" s="296" t="str">
        <f t="shared" ca="1" si="121"/>
        <v>UU</v>
      </c>
      <c r="G195" s="296" t="str">
        <f t="shared" ca="1" si="122"/>
        <v>UUU</v>
      </c>
      <c r="AI195" s="89" vm="54">
        <f ca="1"/>
        <v>45937</v>
      </c>
      <c r="AJ195" s="89" vm="55">
        <f ca="1"/>
        <v>1191.06</v>
      </c>
    </row>
    <row r="196" spans="2:36">
      <c r="B196" s="89" vm="52">
        <f ca="1"/>
        <v>45679</v>
      </c>
      <c r="C196" s="89" vm="53">
        <f ca="1"/>
        <v>953.99</v>
      </c>
      <c r="D196" s="1335">
        <f t="shared" ca="1" si="120"/>
        <v>9.6943703431147166E-2</v>
      </c>
      <c r="E196" s="296" t="str" cm="1">
        <f t="array" aca="1" ref="E196" ca="1">_xlfn.IFS(D196&gt;0.5%,"U",D196&lt;=-0.5%,"D",TRUE,"Z")</f>
        <v>U</v>
      </c>
      <c r="F196" s="296" t="str">
        <f t="shared" ca="1" si="121"/>
        <v>UU</v>
      </c>
      <c r="G196" s="296" t="str">
        <f t="shared" ca="1" si="122"/>
        <v>UUU</v>
      </c>
      <c r="AI196" s="89" vm="50">
        <f ca="1"/>
        <v>45938</v>
      </c>
      <c r="AJ196" s="89" vm="51">
        <f ca="1"/>
        <v>1214.25</v>
      </c>
    </row>
    <row r="197" spans="2:36">
      <c r="B197" s="89" vm="48">
        <f ca="1"/>
        <v>45678</v>
      </c>
      <c r="C197" s="89" vm="49">
        <f ca="1"/>
        <v>869.68</v>
      </c>
      <c r="D197" s="1335">
        <f t="shared" ca="1" si="120"/>
        <v>1.3494930660762064E-2</v>
      </c>
      <c r="E197" s="296" t="str" cm="1">
        <f t="array" aca="1" ref="E197" ca="1">_xlfn.IFS(D197&gt;0.5%,"U",D197&lt;=-0.5%,"D",TRUE,"Z")</f>
        <v>U</v>
      </c>
      <c r="F197" s="296" t="str">
        <f t="shared" ca="1" si="121"/>
        <v>UU</v>
      </c>
      <c r="G197" s="296" t="str">
        <f t="shared" ca="1" si="122"/>
        <v>DUU</v>
      </c>
      <c r="AI197" s="89" vm="46">
        <f ca="1"/>
        <v>45939</v>
      </c>
      <c r="AJ197" s="89" vm="47">
        <f ca="1"/>
        <v>1231.07</v>
      </c>
    </row>
    <row r="198" spans="2:36">
      <c r="B198" s="89" vm="44">
        <f ca="1"/>
        <v>45674</v>
      </c>
      <c r="C198" s="89" vm="45">
        <f ca="1"/>
        <v>858.1</v>
      </c>
      <c r="D198" s="1335">
        <f t="shared" ca="1" si="120"/>
        <v>1.8673504517017485E-2</v>
      </c>
      <c r="E198" s="296" t="str" cm="1">
        <f t="array" aca="1" ref="E198" ca="1">_xlfn.IFS(D198&gt;0.5%,"U",D198&lt;=-0.5%,"D",TRUE,"Z")</f>
        <v>U</v>
      </c>
      <c r="F198" s="296" t="str">
        <f t="shared" ca="1" si="121"/>
        <v>DU</v>
      </c>
      <c r="G198" s="296" t="str">
        <f t="shared" ca="1" si="122"/>
        <v>UDU</v>
      </c>
      <c r="AI198" s="89" vm="42">
        <f ca="1"/>
        <v>45940</v>
      </c>
      <c r="AJ198" s="89" vm="43">
        <f ca="1"/>
        <v>1220.08</v>
      </c>
    </row>
    <row r="199" spans="2:36">
      <c r="B199" s="89" vm="40">
        <f ca="1"/>
        <v>45673</v>
      </c>
      <c r="C199" s="89" vm="41">
        <f ca="1"/>
        <v>842.37</v>
      </c>
      <c r="D199" s="1335">
        <f t="shared" ca="1" si="120"/>
        <v>-6.9436257751161043E-3</v>
      </c>
      <c r="E199" s="296" t="str" cm="1">
        <f t="array" aca="1" ref="E199" ca="1">_xlfn.IFS(D199&gt;0.5%,"U",D199&lt;=-0.5%,"D",TRUE,"Z")</f>
        <v>D</v>
      </c>
      <c r="F199" s="296" t="str">
        <f t="shared" ca="1" si="121"/>
        <v>UD</v>
      </c>
      <c r="G199" s="296" t="str">
        <f t="shared" ca="1" si="122"/>
        <v>ZUD</v>
      </c>
      <c r="AI199" s="89" vm="37">
        <f ca="1"/>
        <v>45943</v>
      </c>
      <c r="AJ199" s="89" vm="38">
        <f ca="1"/>
        <v>1219.03</v>
      </c>
    </row>
    <row r="200" spans="2:36">
      <c r="B200" s="89" vm="35">
        <f ca="1"/>
        <v>45672</v>
      </c>
      <c r="C200" s="89" vm="36">
        <f ca="1"/>
        <v>848.26</v>
      </c>
      <c r="D200" s="1335">
        <f t="shared" ca="1" si="120"/>
        <v>2.397392563978756E-2</v>
      </c>
      <c r="E200" s="296" t="str" cm="1">
        <f t="array" aca="1" ref="E200" ca="1">_xlfn.IFS(D200&gt;0.5%,"U",D200&lt;=-0.5%,"D",TRUE,"Z")</f>
        <v>U</v>
      </c>
      <c r="F200" s="296" t="str">
        <f t="shared" ca="1" si="121"/>
        <v>ZU</v>
      </c>
      <c r="G200" s="296" t="str">
        <f t="shared" ca="1" si="122"/>
        <v>ZU</v>
      </c>
      <c r="AI200" s="89" vm="33">
        <f ca="1"/>
        <v>45944</v>
      </c>
      <c r="AJ200" s="89" vm="34">
        <f ca="1"/>
        <v>1215.3499999999999</v>
      </c>
    </row>
    <row r="201" spans="2:36">
      <c r="B201" s="89" vm="31">
        <f ca="1"/>
        <v>45671</v>
      </c>
      <c r="C201" s="89" vm="32">
        <f ca="1"/>
        <v>828.4</v>
      </c>
      <c r="D201" s="1335">
        <f t="shared" ca="1" si="120"/>
        <v>0</v>
      </c>
      <c r="E201" s="296" t="str" cm="1">
        <f t="array" aca="1" ref="E201" ca="1">_xlfn.IFS(D201&gt;0.5%,"U",D201&lt;=-0.5%,"D",TRUE,"Z")</f>
        <v>Z</v>
      </c>
      <c r="F201" s="296" t="str">
        <f t="shared" ca="1" si="121"/>
        <v>Z</v>
      </c>
      <c r="G201" s="296" t="str">
        <f t="shared" ca="1" si="122"/>
        <v>Z</v>
      </c>
      <c r="AI201" s="89" vm="29">
        <f ca="1"/>
        <v>45945</v>
      </c>
      <c r="AJ201" s="89" vm="30">
        <f ca="1"/>
        <v>1203.29</v>
      </c>
    </row>
    <row r="202" spans="2:36">
      <c r="AI202" s="89" vm="25">
        <f ca="1"/>
        <v>45946</v>
      </c>
      <c r="AJ202" s="89" vm="26">
        <f ca="1"/>
        <v>1183.5899999999999</v>
      </c>
    </row>
    <row r="203" spans="2:36">
      <c r="AI203" s="89" vm="21">
        <f ca="1"/>
        <v>45947</v>
      </c>
      <c r="AJ203" s="89" vm="22">
        <f ca="1"/>
        <v>1199.3599999999999</v>
      </c>
    </row>
    <row r="204" spans="2:36">
      <c r="AI204" s="89" vm="17">
        <f ca="1"/>
        <v>45950</v>
      </c>
      <c r="AJ204" s="89" vm="18">
        <f ca="1"/>
        <v>1238.56</v>
      </c>
    </row>
    <row r="205" spans="2:36">
      <c r="AI205" s="89" vm="13">
        <f ca="1"/>
        <v>45951</v>
      </c>
      <c r="AJ205" s="89" vm="14">
        <f ca="1"/>
        <v>1241.3499999999999</v>
      </c>
    </row>
    <row r="206" spans="2:36">
      <c r="AI206" s="89" vm="9">
        <f ca="1"/>
        <v>45952</v>
      </c>
      <c r="AJ206" s="89" vm="10">
        <f ca="1"/>
        <v>1116.3699999999999</v>
      </c>
    </row>
    <row r="207" spans="2:36">
      <c r="AI207" s="898" vm="5">
        <f ca="1"/>
        <v>45953</v>
      </c>
      <c r="AJ207" s="898" vm="6">
        <f ca="1"/>
        <v>1113.5899999999999</v>
      </c>
    </row>
    <row r="208" spans="2:36">
      <c r="AI208" s="898" vm="1">
        <f ca="1"/>
        <v>45954</v>
      </c>
      <c r="AJ208" s="898" vm="2">
        <f ca="1"/>
        <v>1094.69</v>
      </c>
    </row>
  </sheetData>
  <autoFilter ref="G4:G198" xr:uid="{5F81CAA9-319C-2046-8912-FDC48FBFCE93}"/>
  <mergeCells count="2">
    <mergeCell ref="W6:W7"/>
    <mergeCell ref="W25:W26"/>
  </mergeCells>
  <conditionalFormatting sqref="J55:Q62">
    <cfRule type="colorScale" priority="50">
      <colorScale>
        <cfvo type="min"/>
        <cfvo type="percentile" val="50"/>
        <cfvo type="max"/>
        <color rgb="FFF8696B"/>
        <color rgb="FFFFEB84"/>
        <color rgb="FF63BE7B"/>
      </colorScale>
    </cfRule>
  </conditionalFormatting>
  <conditionalFormatting sqref="J80:Q87">
    <cfRule type="colorScale" priority="45">
      <colorScale>
        <cfvo type="min"/>
        <cfvo type="percentile" val="50"/>
        <cfvo type="max"/>
        <color rgb="FFF8696B"/>
        <color rgb="FFFFEB84"/>
        <color rgb="FF63BE7B"/>
      </colorScale>
    </cfRule>
  </conditionalFormatting>
  <conditionalFormatting sqref="W19 W22">
    <cfRule type="cellIs" dxfId="2368" priority="51" operator="lessThan">
      <formula>0.5</formula>
    </cfRule>
    <cfRule type="cellIs" dxfId="2367" priority="52" operator="greaterThan">
      <formula>0.5</formula>
    </cfRule>
  </conditionalFormatting>
  <conditionalFormatting sqref="AA47">
    <cfRule type="expression" dxfId="2366" priority="32">
      <formula>$AA$42&gt;$AA$47</formula>
    </cfRule>
    <cfRule type="expression" dxfId="2365" priority="47">
      <formula>$AA$42&lt;$AA$47</formula>
    </cfRule>
  </conditionalFormatting>
  <conditionalFormatting sqref="Y42">
    <cfRule type="cellIs" dxfId="2364" priority="43" operator="lessThan">
      <formula>0.5</formula>
    </cfRule>
    <cfRule type="cellIs" dxfId="2363" priority="44" operator="greaterThan">
      <formula>0.5</formula>
    </cfRule>
  </conditionalFormatting>
  <conditionalFormatting sqref="Y47">
    <cfRule type="cellIs" dxfId="2362" priority="41" operator="lessThan">
      <formula>0.5</formula>
    </cfRule>
    <cfRule type="cellIs" dxfId="2361" priority="42" operator="greaterThan">
      <formula>0.5</formula>
    </cfRule>
  </conditionalFormatting>
  <conditionalFormatting sqref="AC42">
    <cfRule type="cellIs" dxfId="2360" priority="39" operator="lessThan">
      <formula>0.5</formula>
    </cfRule>
    <cfRule type="cellIs" dxfId="2359" priority="40" operator="greaterThan">
      <formula>0.5</formula>
    </cfRule>
  </conditionalFormatting>
  <conditionalFormatting sqref="AC47">
    <cfRule type="cellIs" dxfId="2358" priority="37" operator="lessThan">
      <formula>0.5</formula>
    </cfRule>
    <cfRule type="cellIs" dxfId="2357" priority="38" operator="greaterThan">
      <formula>0.5</formula>
    </cfRule>
  </conditionalFormatting>
  <conditionalFormatting sqref="W42">
    <cfRule type="expression" dxfId="2356" priority="33">
      <formula>$W$42&gt;$W$47</formula>
    </cfRule>
    <cfRule type="expression" dxfId="2355" priority="36">
      <formula>$W$42&lt;$W$47</formula>
    </cfRule>
  </conditionalFormatting>
  <conditionalFormatting sqref="W47">
    <cfRule type="expression" dxfId="2354" priority="34">
      <formula>$W$42&gt;$W$47:$W$48</formula>
    </cfRule>
    <cfRule type="expression" dxfId="2353" priority="35">
      <formula>$W$42&lt;$W$47</formula>
    </cfRule>
  </conditionalFormatting>
  <conditionalFormatting sqref="AA42">
    <cfRule type="expression" dxfId="2352" priority="46">
      <formula>$AA$42&gt;$AA$47</formula>
    </cfRule>
  </conditionalFormatting>
  <conditionalFormatting sqref="BP64:BW64 BE80 AR36:BW63">
    <cfRule type="cellIs" priority="2931" stopIfTrue="1" operator="lessThan">
      <formula>0.01</formula>
    </cfRule>
    <cfRule type="cellIs" priority="2932" stopIfTrue="1" operator="greaterThan">
      <formula>0.99</formula>
    </cfRule>
    <cfRule type="colorScale" priority="2933">
      <colorScale>
        <cfvo type="num" val="$AP$34"/>
        <cfvo type="percentile" val="50"/>
        <cfvo type="num" val="$AQ$34"/>
        <color rgb="FFFF7128"/>
        <color theme="5" tint="0.59999389629810485"/>
        <color rgb="FF00B050"/>
      </colorScale>
    </cfRule>
  </conditionalFormatting>
  <conditionalFormatting sqref="AR81:BB90">
    <cfRule type="cellIs" priority="17" stopIfTrue="1" operator="lessThan">
      <formula>0.01</formula>
    </cfRule>
    <cfRule type="cellIs" priority="18" stopIfTrue="1" operator="greaterThan">
      <formula>0.99</formula>
    </cfRule>
    <cfRule type="colorScale" priority="19">
      <colorScale>
        <cfvo type="num" val="$AP$34"/>
        <cfvo type="percentile" val="50"/>
        <cfvo type="num" val="$AQ$34"/>
        <color rgb="FFFF7128"/>
        <color theme="5" tint="0.59999389629810485"/>
        <color rgb="FF00B050"/>
      </colorScale>
    </cfRule>
  </conditionalFormatting>
  <conditionalFormatting sqref="AR96:AT98">
    <cfRule type="cellIs" priority="14" stopIfTrue="1" operator="lessThan">
      <formula>0.01</formula>
    </cfRule>
    <cfRule type="cellIs" priority="15" stopIfTrue="1" operator="greaterThan">
      <formula>0.99</formula>
    </cfRule>
    <cfRule type="colorScale" priority="16">
      <colorScale>
        <cfvo type="num" val="$AP$34"/>
        <cfvo type="percentile" val="50"/>
        <cfvo type="num" val="$AQ$34"/>
        <color rgb="FFFF7128"/>
        <color theme="5" tint="0.59999389629810485"/>
        <color rgb="FF00B050"/>
      </colorScale>
    </cfRule>
  </conditionalFormatting>
  <conditionalFormatting sqref="AP36:AP63">
    <cfRule type="colorScale" priority="10">
      <colorScale>
        <cfvo type="min"/>
        <cfvo type="percentile" val="50"/>
        <cfvo type="max"/>
        <color rgb="FFF8696B"/>
        <color rgb="FFFFEB84"/>
        <color rgb="FF63BE7B"/>
      </colorScale>
    </cfRule>
  </conditionalFormatting>
  <conditionalFormatting sqref="AR80">
    <cfRule type="cellIs" priority="7" stopIfTrue="1" operator="lessThan">
      <formula>0.01</formula>
    </cfRule>
    <cfRule type="cellIs" priority="8" stopIfTrue="1" operator="greaterThan">
      <formula>0.99</formula>
    </cfRule>
    <cfRule type="colorScale" priority="9">
      <colorScale>
        <cfvo type="num" val="$AP$34"/>
        <cfvo type="percentile" val="50"/>
        <cfvo type="num" val="$AQ$34"/>
        <color rgb="FFFF7128"/>
        <color theme="5" tint="0.59999389629810485"/>
        <color rgb="FF00B050"/>
      </colorScale>
    </cfRule>
  </conditionalFormatting>
  <conditionalFormatting sqref="BE96:BG98">
    <cfRule type="cellIs" priority="4" stopIfTrue="1" operator="lessThan">
      <formula>0.01</formula>
    </cfRule>
    <cfRule type="cellIs" priority="5" stopIfTrue="1" operator="greaterThan">
      <formula>0.99</formula>
    </cfRule>
    <cfRule type="colorScale" priority="6">
      <colorScale>
        <cfvo type="num" val="$AP$34"/>
        <cfvo type="percentile" val="50"/>
        <cfvo type="num" val="$AQ$34"/>
        <color rgb="FFFF7128"/>
        <color theme="5" tint="0.59999389629810485"/>
        <color rgb="FF00B050"/>
      </colorScale>
    </cfRule>
  </conditionalFormatting>
  <conditionalFormatting sqref="AY96:BA98">
    <cfRule type="cellIs" priority="1" stopIfTrue="1" operator="lessThan">
      <formula>0.01</formula>
    </cfRule>
    <cfRule type="cellIs" priority="2" stopIfTrue="1" operator="greaterThan">
      <formula>0.99</formula>
    </cfRule>
    <cfRule type="colorScale" priority="3">
      <colorScale>
        <cfvo type="num" val="$AP$34"/>
        <cfvo type="percentile" val="50"/>
        <cfvo type="num" val="$AQ$34"/>
        <color rgb="FFFF7128"/>
        <color theme="5" tint="0.59999389629810485"/>
        <color rgb="FF00B050"/>
      </colorScale>
    </cfRule>
  </conditionalFormatting>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BD063-C698-E146-AA3B-28FA0129F718}">
  <sheetPr codeName="Sheet1"/>
  <dimension ref="A1:AX104"/>
  <sheetViews>
    <sheetView workbookViewId="0">
      <pane xSplit="1" ySplit="2" topLeftCell="C3" activePane="bottomRight" state="frozen"/>
      <selection pane="topRight" activeCell="B1" sqref="B1"/>
      <selection pane="bottomLeft" activeCell="A3" sqref="A3"/>
      <selection pane="bottomRight" activeCell="J98" sqref="J98"/>
    </sheetView>
  </sheetViews>
  <sheetFormatPr baseColWidth="10" defaultColWidth="11.125" defaultRowHeight="22"/>
  <cols>
    <col min="1" max="1" width="22.75" bestFit="1" customWidth="1"/>
    <col min="2" max="3" width="11.125" style="1"/>
    <col min="4" max="4" width="13" bestFit="1" customWidth="1"/>
    <col min="5" max="5" width="15.75" customWidth="1"/>
    <col min="6" max="6" width="11.625" customWidth="1"/>
    <col min="7" max="7" width="10.75" customWidth="1"/>
    <col min="8" max="8" width="13.875" customWidth="1"/>
    <col min="9" max="9" width="17" bestFit="1" customWidth="1"/>
    <col min="10" max="10" width="14.625" customWidth="1"/>
    <col min="11" max="11" width="12" customWidth="1"/>
    <col min="12" max="12" width="12" bestFit="1" customWidth="1"/>
    <col min="13" max="13" width="14.375" style="1" customWidth="1"/>
    <col min="14" max="14" width="11" customWidth="1"/>
    <col min="15" max="15" width="11.125" customWidth="1"/>
    <col min="16" max="16" width="9.875" customWidth="1"/>
    <col min="17" max="17" width="10.625" bestFit="1" customWidth="1"/>
    <col min="18" max="18" width="10.375" customWidth="1"/>
    <col min="19" max="19" width="9.5" customWidth="1"/>
    <col min="20" max="20" width="10.75" bestFit="1" customWidth="1"/>
    <col min="21" max="21" width="11.5" bestFit="1" customWidth="1"/>
    <col min="22" max="22" width="8.625" bestFit="1" customWidth="1"/>
    <col min="23" max="23" width="9.875" bestFit="1" customWidth="1"/>
    <col min="24" max="24" width="9.75" customWidth="1"/>
    <col min="25" max="25" width="11.875" bestFit="1" customWidth="1"/>
    <col min="26" max="26" width="9.75" customWidth="1"/>
    <col min="27" max="27" width="10.75" customWidth="1"/>
    <col min="28" max="28" width="6.875" bestFit="1" customWidth="1"/>
    <col min="29" max="29" width="13.25" customWidth="1"/>
    <col min="30" max="30" width="7.125" customWidth="1"/>
    <col min="31" max="31" width="10" customWidth="1"/>
    <col min="33" max="33" width="13.625" style="93" customWidth="1"/>
    <col min="35" max="35" width="15.25" style="87" customWidth="1"/>
    <col min="36" max="36" width="11.125" style="87"/>
    <col min="37" max="37" width="18.625" style="90" bestFit="1" customWidth="1"/>
    <col min="43" max="43" width="16.75" style="87" customWidth="1"/>
    <col min="44" max="44" width="12.75" customWidth="1"/>
    <col min="45" max="45" width="10.375" style="94" customWidth="1"/>
    <col min="47" max="47" width="10.375" style="94" customWidth="1"/>
    <col min="49" max="49" width="11.125" style="95"/>
    <col min="51" max="51" width="135.625" customWidth="1"/>
  </cols>
  <sheetData>
    <row r="1" spans="1:50" s="103" customFormat="1" ht="63">
      <c r="A1" s="700" t="str">
        <f>Trader!AC1</f>
        <v>New Ticker List</v>
      </c>
      <c r="B1" s="96" t="s">
        <v>668</v>
      </c>
      <c r="C1" s="96"/>
      <c r="D1" s="97"/>
      <c r="E1" s="98"/>
      <c r="F1" s="99" t="s">
        <v>2571</v>
      </c>
      <c r="G1" s="100"/>
      <c r="H1" s="100"/>
      <c r="I1" s="100" t="s">
        <v>2570</v>
      </c>
      <c r="J1" s="99"/>
      <c r="K1" s="100" t="s">
        <v>2569</v>
      </c>
      <c r="L1" s="99"/>
      <c r="M1" s="101"/>
      <c r="N1" s="102" t="s">
        <v>181</v>
      </c>
      <c r="O1" s="100" t="s">
        <v>2558</v>
      </c>
      <c r="P1" s="102"/>
      <c r="Q1" s="102"/>
      <c r="R1" s="102"/>
      <c r="S1" s="1183" t="s">
        <v>2708</v>
      </c>
      <c r="T1" s="102"/>
      <c r="U1" s="1183" t="s">
        <v>2713</v>
      </c>
      <c r="AB1" s="102"/>
      <c r="AC1" s="1181" t="s">
        <v>662</v>
      </c>
      <c r="AD1" s="102"/>
      <c r="AG1" s="1181" t="s">
        <v>2557</v>
      </c>
      <c r="AH1" s="105"/>
      <c r="AI1" s="1181" t="s">
        <v>2556</v>
      </c>
      <c r="AJ1" s="106"/>
      <c r="AK1" s="1181" t="s">
        <v>2199</v>
      </c>
      <c r="AL1" s="104"/>
      <c r="AM1" s="1181" t="s">
        <v>2550</v>
      </c>
      <c r="AN1" s="1182"/>
      <c r="AO1" s="1181" t="s">
        <v>2551</v>
      </c>
      <c r="AP1" s="1182"/>
      <c r="AQ1" s="104" t="s">
        <v>2555</v>
      </c>
      <c r="AR1" s="107"/>
      <c r="AS1" s="104" t="s">
        <v>184</v>
      </c>
      <c r="AT1" s="107"/>
      <c r="AU1" s="108"/>
      <c r="AV1" s="107"/>
      <c r="AW1" s="109" t="s">
        <v>185</v>
      </c>
      <c r="AX1" s="107"/>
    </row>
    <row r="2" spans="1:50">
      <c r="A2" s="709" cm="1">
        <f t="array" ref="A2">MATCH(A$1,_xlfn._xlws.FILTER(D2:AZ2,D2:AZ2&lt;&gt;0),0)</f>
        <v>1</v>
      </c>
      <c r="B2" s="1" t="s">
        <v>2102</v>
      </c>
      <c r="C2" s="1" t="s">
        <v>2103</v>
      </c>
      <c r="D2" t="s">
        <v>1891</v>
      </c>
      <c r="E2" s="362" t="s">
        <v>544</v>
      </c>
      <c r="F2" s="655" t="s">
        <v>2090</v>
      </c>
      <c r="G2" s="654" t="s">
        <v>1396</v>
      </c>
      <c r="H2" s="654" t="s">
        <v>1087</v>
      </c>
      <c r="I2" s="665" t="s">
        <v>2139</v>
      </c>
      <c r="J2" s="708" t="s">
        <v>2090</v>
      </c>
      <c r="K2" s="654" t="s">
        <v>195</v>
      </c>
      <c r="L2" s="654" t="s">
        <v>2090</v>
      </c>
      <c r="M2" s="362" t="s">
        <v>2278</v>
      </c>
      <c r="N2" s="655" t="s">
        <v>1892</v>
      </c>
      <c r="O2" s="654" t="s">
        <v>2201</v>
      </c>
      <c r="P2" s="654" t="s">
        <v>1893</v>
      </c>
      <c r="Q2" s="362" t="s">
        <v>2382</v>
      </c>
      <c r="R2" s="708" t="s">
        <v>2090</v>
      </c>
      <c r="S2" s="654" t="s">
        <v>1894</v>
      </c>
      <c r="T2" s="707" t="s">
        <v>2090</v>
      </c>
      <c r="U2" s="362" t="s">
        <v>2458</v>
      </c>
      <c r="V2" s="708" t="s">
        <v>2090</v>
      </c>
      <c r="W2" s="654" t="s">
        <v>1896</v>
      </c>
      <c r="X2" s="707" t="s">
        <v>2090</v>
      </c>
      <c r="Y2" s="665" t="s">
        <v>1897</v>
      </c>
      <c r="Z2" s="708" t="s">
        <v>2090</v>
      </c>
      <c r="AA2" s="654" t="s">
        <v>662</v>
      </c>
      <c r="AB2" s="707" t="s">
        <v>2090</v>
      </c>
      <c r="AC2" s="665" t="s">
        <v>1916</v>
      </c>
      <c r="AD2" s="708" t="s">
        <v>2090</v>
      </c>
      <c r="AE2" s="654" t="s">
        <v>1899</v>
      </c>
      <c r="AF2" s="707" t="s">
        <v>2090</v>
      </c>
      <c r="AG2" s="665" t="s">
        <v>2095</v>
      </c>
      <c r="AH2" s="708" t="s">
        <v>2090</v>
      </c>
      <c r="AI2" s="654" t="s">
        <v>1920</v>
      </c>
      <c r="AJ2" s="707" t="s">
        <v>2090</v>
      </c>
      <c r="AK2" s="665" t="s">
        <v>2101</v>
      </c>
      <c r="AL2" s="708" t="s">
        <v>2090</v>
      </c>
      <c r="AM2" s="654" t="s">
        <v>2137</v>
      </c>
      <c r="AN2" s="707" t="s">
        <v>2553</v>
      </c>
      <c r="AO2" s="665" t="s">
        <v>2138</v>
      </c>
      <c r="AP2" s="708" t="s">
        <v>2552</v>
      </c>
      <c r="AQ2" s="654" t="s">
        <v>2510</v>
      </c>
      <c r="AR2" s="707" t="s">
        <v>2090</v>
      </c>
      <c r="AS2" s="665" t="s">
        <v>2579</v>
      </c>
      <c r="AT2" s="708" t="s">
        <v>2090</v>
      </c>
    </row>
    <row r="3" spans="1:50">
      <c r="A3" t="s">
        <v>1891</v>
      </c>
      <c r="B3" s="1" t="str" cm="1">
        <f t="array" aca="1" ref="B3" ca="1">INDIRECT("SORTING!" &amp; ADDRESS(ROW(), A$2+3))</f>
        <v>AAPL</v>
      </c>
      <c r="C3" s="1" t="str">
        <f ca="1">_xlfn.XLOOKUP(D3,[1]!RTData[Ticker symbol],[1]!RTData[Currency])</f>
        <v>USD</v>
      </c>
      <c r="D3" s="153" t="str">
        <f ca="1">TabCalc[[#This Row],[Ticker]]</f>
        <v>AAPL</v>
      </c>
      <c r="E3" t="e" cm="1">
        <f t="array" aca="1" ref="E3:F96" ca="1">_xlfn._xlws.SORT(CHOOSE({1,2},D3:D96,TabCalc[Agiotage]),2,-1)</f>
        <v>#VALUE!</v>
      </c>
      <c r="F3" s="563" t="e">
        <f ca="1"/>
        <v>#VALUE!</v>
      </c>
      <c r="G3" s="153" t="e" cm="1">
        <f t="array" aca="1" ref="G3:H96" ca="1">_xlfn._xlws.SORT(CHOOSE({1,2},D3:D96,TabCalc[GL]),2,-1)</f>
        <v>#VALUE!</v>
      </c>
      <c r="H3" s="564" t="e">
        <f ca="1"/>
        <v>#VALUE!</v>
      </c>
      <c r="I3" t="str" cm="1">
        <f t="array" aca="1" ref="I3:J96" ca="1">_xlfn._xlws.SORT(CHOOSE({1,2},D3:D96,Tab1ChangePercent[Change%19]),2,-1)</f>
        <v>LAZR</v>
      </c>
      <c r="J3" s="565">
        <f ca="1"/>
        <v>0.31360900000000003</v>
      </c>
      <c r="K3" s="153" t="str" cm="1">
        <f t="array" aca="1" ref="K3:L96" ca="1">_xlfn._xlws.SORT(CHOOSE({1,2},D3:D96,Tab1ChangePercent[Change%20]),2,-1)</f>
        <v>LAZR</v>
      </c>
      <c r="L3" s="565">
        <f ca="1"/>
        <v>0.31360900000000003</v>
      </c>
      <c r="M3" s="1" t="str" cm="1">
        <f t="array" aca="1" ref="M3:N96" ca="1">_xlfn._xlws.SORT(CHOOSE({1,2},D3:D96,TabCalc[GLMore@A]),2,-1)</f>
        <v>AZN</v>
      </c>
      <c r="N3" s="564" t="e">
        <f ca="1"/>
        <v>#REF!</v>
      </c>
      <c r="O3" t="e" cm="1">
        <f t="array" aca="1" ref="O3:P96" ca="1">_xlfn._xlws.SORT(CHOOSE({1,2},D3:D96,TabTRADER[Buy_Back]),2,-1)</f>
        <v>#VALUE!</v>
      </c>
      <c r="P3" s="564" t="e">
        <f ca="1"/>
        <v>#VALUE!</v>
      </c>
      <c r="Q3" t="str" cm="1">
        <f t="array" aca="1" ref="Q3:R96" ca="1">_xlfn._xlws.SORT(CHOOSE({1,2},D3:D96,Tab2SumChangePercent[AVGChan20]),2,-1)</f>
        <v>AVGO</v>
      </c>
      <c r="R3" s="656" t="e">
        <f ca="1"/>
        <v>#REF!</v>
      </c>
      <c r="S3" t="e" cm="1">
        <f t="array" aca="1" ref="S3:T96" ca="1">_xlfn._xlws.SORT(CHOOSE({1,2},D3:D96,Tab2Saldo[Sald20]),2,-1)</f>
        <v>#VALUE!</v>
      </c>
      <c r="T3" s="87" t="e">
        <f ca="1"/>
        <v>#VALUE!</v>
      </c>
      <c r="U3" t="e" cm="1">
        <f t="array" aca="1" ref="U3:V96" ca="1">_xlfn._xlws.SORT(CHOOSE({1,2},D3:D96,Tab2Saldo5Days[Saldo_5Day20]),2,-1)</f>
        <v>#VALUE!</v>
      </c>
      <c r="V3" s="87" t="e">
        <f ca="1"/>
        <v>#VALUE!</v>
      </c>
      <c r="W3" t="str" cm="1">
        <f t="array" aca="1" ref="W3:X96" ca="1">_xlfn._xlws.SORT(CHOOSE({1,2},D3:D96,Tab2Free2[Price_R_20]),2,1)</f>
        <v>AAPL</v>
      </c>
      <c r="X3">
        <f ca="1"/>
        <v>1</v>
      </c>
      <c r="Y3" t="str" cm="1">
        <f t="array" aca="1" ref="Y3:Z96" ca="1">_xlfn._xlws.SORT(CHOOSE({1,2},D3:D96,Tab2Free3[CH-R-20]),2,1)</f>
        <v>WBA</v>
      </c>
      <c r="Z3">
        <f ca="1"/>
        <v>1</v>
      </c>
      <c r="AA3" t="str" cm="1">
        <f t="array" aca="1" ref="AA3:AB96" ca="1">_xlfn._xlws.SORT(CHOOSE({1,2},D3:D96,Tab2RSI[RSI20]),2,-1)</f>
        <v>AVGO</v>
      </c>
      <c r="AB3" t="e">
        <f ca="1"/>
        <v>#REF!</v>
      </c>
      <c r="AC3" t="str" cm="1">
        <f t="array" aca="1" ref="AC3:AD96" ca="1">_xlfn._xlws.SORT(CHOOSE({1,2},D3:D96,Tab2RSIConventional[RSIConv20]),2,-1)</f>
        <v>AVGO</v>
      </c>
      <c r="AD3" t="e">
        <f ca="1"/>
        <v>#REF!</v>
      </c>
      <c r="AE3" t="e" cm="1">
        <f t="array" aca="1" ref="AE3:AF96" ca="1">_xlfn._xlws.SORT(CHOOSE({1,2},D3:D96,Tab2Cash[Cash20]),2,-1)</f>
        <v>#VALUE!</v>
      </c>
      <c r="AF3" s="87" t="e">
        <f ca="1"/>
        <v>#VALUE!</v>
      </c>
      <c r="AG3" t="e" cm="1">
        <f t="array" aca="1" ref="AG3:AH96" ca="1">_xlfn._xlws.SORT(CHOOSE({1,2},D3:D96,Tab2RevSale[RevSale20]),2,-1)</f>
        <v>#VALUE!</v>
      </c>
      <c r="AH3" s="87" t="e">
        <f ca="1"/>
        <v>#VALUE!</v>
      </c>
      <c r="AI3" t="e" cm="1">
        <f t="array" aca="1" ref="AI3:AJ96" ca="1">_xlfn._xlws.SORT(CHOOSE({1,2},D3:D96,Tab2ReBuy[RevBuy20]),2,-1)</f>
        <v>#VALUE!</v>
      </c>
      <c r="AJ3" s="87" t="str">
        <f ca="1"/>
        <v/>
      </c>
      <c r="AK3" s="90" t="str" cm="1">
        <f t="array" aca="1" ref="AK3:AL96" ca="1">_xlfn._xlws.SORT(CHOOSE({1,2},D3:D96,Tab2SumChangePercent[AVGChan20]),2,-1)</f>
        <v>AVGO</v>
      </c>
      <c r="AL3" s="312" t="e">
        <f ca="1"/>
        <v>#REF!</v>
      </c>
      <c r="AM3" t="e" cm="1">
        <f t="array" aca="1" ref="AM3:AN96" ca="1">_xlfn._xlws.SORT(CHOOSE({1,2},TabTRADER[ClickTick],TabTRADER[SellMore(/A)]),2,-1)</f>
        <v>#VALUE!</v>
      </c>
      <c r="AN3" s="312" t="e">
        <f ca="1"/>
        <v>#VALUE!</v>
      </c>
      <c r="AO3" t="str" cm="1">
        <f t="array" aca="1" ref="AO3:AP96" ca="1">_xlfn._xlws.SORT(CHOOSE({1,2},TabTRADER[ClickTick],TabTRADER[BuyMore]),2,)</f>
        <v>LOCK</v>
      </c>
      <c r="AP3" s="312">
        <f ca="1"/>
        <v>-0.49749216799091939</v>
      </c>
      <c r="AQ3" s="87" t="e" cm="1">
        <f t="array" aca="1" ref="AQ3:AR96" ca="1">_xlfn._xlws.SORT(CHOOSE({1,2},D3:D96,TabCalc[Ann%RevLB]),2,-1)</f>
        <v>#VALUE!</v>
      </c>
      <c r="AR3" s="90" t="str">
        <f ca="1"/>
        <v/>
      </c>
      <c r="AS3" s="94" t="str" cm="1">
        <f t="array" aca="1" ref="AS3:AT96" ca="1">_xlfn._xlws.SORT(CHOOSE({1,2},D3:D96,TabCalc[Up20]),2,-1)</f>
        <v>XYZ</v>
      </c>
      <c r="AT3" s="90">
        <f ca="1"/>
        <v>0.8571428571428571</v>
      </c>
    </row>
    <row r="4" spans="1:50">
      <c r="A4" s="362" t="str">
        <f>E2</f>
        <v>Agiotage</v>
      </c>
      <c r="B4" s="1" t="str" cm="1">
        <f t="array" aca="1" ref="B4" ca="1">INDIRECT("SORTING!" &amp; ADDRESS(ROW(), A$2+3))</f>
        <v>ADEA</v>
      </c>
      <c r="C4" s="1" t="str">
        <f ca="1">_xlfn.XLOOKUP(D4,[1]!RTData[Ticker symbol],[1]!RTData[Currency])</f>
        <v>USD</v>
      </c>
      <c r="D4" s="153" t="str">
        <f ca="1">TabCalc[[#This Row],[Ticker]]</f>
        <v>ADEA</v>
      </c>
      <c r="E4" t="str">
        <f ca="1"/>
        <v>WBA</v>
      </c>
      <c r="F4" s="563">
        <f ca="1"/>
        <v>14.986033366586197</v>
      </c>
      <c r="G4" s="153" t="str">
        <f ca="1"/>
        <v>MSFT</v>
      </c>
      <c r="H4" s="564">
        <f ca="1"/>
        <v>4216927.5600000005</v>
      </c>
      <c r="I4" t="str">
        <f ca="1"/>
        <v>PW</v>
      </c>
      <c r="J4" s="565">
        <f ca="1"/>
        <v>0.12585499999999999</v>
      </c>
      <c r="K4" s="153" t="e">
        <f ca="1"/>
        <v>#VALUE!</v>
      </c>
      <c r="L4" s="565">
        <f ca="1"/>
        <v>0.31360900000000003</v>
      </c>
      <c r="M4" s="1" t="str">
        <f ca="1"/>
        <v>BLDP</v>
      </c>
      <c r="N4" s="564" t="e">
        <f ca="1"/>
        <v>#REF!</v>
      </c>
      <c r="O4" t="str">
        <f ca="1"/>
        <v>SAFIAG</v>
      </c>
      <c r="P4" s="564">
        <f ca="1"/>
        <v>107798.99199999997</v>
      </c>
      <c r="Q4" t="str">
        <f ca="1"/>
        <v>LAZR</v>
      </c>
      <c r="R4" s="656">
        <f ca="1"/>
        <v>3.2851922619047624E-2</v>
      </c>
      <c r="S4" t="str">
        <f ca="1"/>
        <v>POET</v>
      </c>
      <c r="T4" s="87">
        <f ca="1"/>
        <v>29475</v>
      </c>
      <c r="U4" t="str">
        <f ca="1"/>
        <v>POET</v>
      </c>
      <c r="V4" s="87">
        <f ca="1"/>
        <v>28755</v>
      </c>
      <c r="W4" t="str">
        <f ca="1"/>
        <v>GM</v>
      </c>
      <c r="X4">
        <f ca="1"/>
        <v>1</v>
      </c>
      <c r="Y4" t="str">
        <f ca="1"/>
        <v>F</v>
      </c>
      <c r="Z4">
        <f ca="1"/>
        <v>1</v>
      </c>
      <c r="AA4" t="str">
        <f ca="1"/>
        <v>WBA</v>
      </c>
      <c r="AB4" t="e">
        <f ca="1"/>
        <v>#DIV/0!</v>
      </c>
      <c r="AC4" t="str">
        <f ca="1"/>
        <v>WBA</v>
      </c>
      <c r="AD4" t="e">
        <f ca="1"/>
        <v>#DIV/0!</v>
      </c>
      <c r="AE4" t="str">
        <f ca="1"/>
        <v>LOCK</v>
      </c>
      <c r="AF4" s="87">
        <f ca="1"/>
        <v>1070.4563999999664</v>
      </c>
      <c r="AG4" t="str">
        <f ca="1"/>
        <v>LOCK</v>
      </c>
      <c r="AH4" s="87">
        <f ca="1"/>
        <v>403387.19999999995</v>
      </c>
      <c r="AI4" t="str">
        <f ca="1"/>
        <v>MRNA</v>
      </c>
      <c r="AJ4" s="87">
        <f ca="1"/>
        <v>92250</v>
      </c>
      <c r="AK4" s="90" t="str">
        <f ca="1"/>
        <v>LAZR</v>
      </c>
      <c r="AL4" s="312">
        <f ca="1"/>
        <v>3.2851922619047624E-2</v>
      </c>
      <c r="AM4" t="str">
        <f ca="1"/>
        <v>AET</v>
      </c>
      <c r="AN4" s="312" t="str">
        <f ca="1"/>
        <v/>
      </c>
      <c r="AO4" t="str">
        <f ca="1"/>
        <v>IAG</v>
      </c>
      <c r="AP4" s="312">
        <f ca="1"/>
        <v>-0.47029625277161857</v>
      </c>
      <c r="AQ4" s="87" t="str">
        <f ca="1"/>
        <v>GNRC</v>
      </c>
      <c r="AR4" s="90">
        <f ca="1"/>
        <v>4.3191744922472122</v>
      </c>
      <c r="AS4" s="94" t="str">
        <f ca="1"/>
        <v>NOTE</v>
      </c>
      <c r="AT4" s="90">
        <f ca="1"/>
        <v>0.66666666666666663</v>
      </c>
    </row>
    <row r="5" spans="1:50">
      <c r="A5" s="655" t="s">
        <v>1088</v>
      </c>
      <c r="B5" s="1" t="str" cm="1">
        <f t="array" aca="1" ref="B5" ca="1">INDIRECT("SORTING!" &amp; ADDRESS(ROW(), A$2+3))</f>
        <v>AET</v>
      </c>
      <c r="C5" s="1" t="str">
        <f ca="1">_xlfn.XLOOKUP(D5,[1]!RTData[Ticker symbol],[1]!RTData[Currency])</f>
        <v>GBp</v>
      </c>
      <c r="D5" s="153" t="str">
        <f ca="1">TabCalc[[#This Row],[Ticker]]</f>
        <v>AET</v>
      </c>
      <c r="E5" t="str">
        <f ca="1"/>
        <v>PW</v>
      </c>
      <c r="F5" s="563">
        <f ca="1"/>
        <v>4.7314187776941727</v>
      </c>
      <c r="G5" s="153" t="str">
        <f ca="1"/>
        <v>NFLX</v>
      </c>
      <c r="H5" s="564">
        <f ca="1"/>
        <v>1448998.99</v>
      </c>
      <c r="I5" t="str">
        <f ca="1"/>
        <v>F</v>
      </c>
      <c r="J5" s="565">
        <f ca="1"/>
        <v>0.12074600000000001</v>
      </c>
      <c r="K5" s="153" t="str">
        <f ca="1"/>
        <v>POET</v>
      </c>
      <c r="L5" s="565">
        <f ca="1"/>
        <v>0.12585499999999999</v>
      </c>
      <c r="M5" s="1" t="e">
        <f ca="1"/>
        <v>#VALUE!</v>
      </c>
      <c r="N5" s="564" t="e">
        <f ca="1"/>
        <v>#VALUE!</v>
      </c>
      <c r="O5" t="str">
        <f ca="1"/>
        <v>GLE</v>
      </c>
      <c r="P5" s="564">
        <f ca="1"/>
        <v>45042.583999999995</v>
      </c>
      <c r="Q5" t="str">
        <f ca="1"/>
        <v>F</v>
      </c>
      <c r="R5" s="656">
        <f ca="1"/>
        <v>2.4240863095238097E-2</v>
      </c>
      <c r="S5" t="str">
        <f ca="1"/>
        <v>AMZN</v>
      </c>
      <c r="T5" s="87">
        <f ca="1"/>
        <v>26880</v>
      </c>
      <c r="U5" t="str">
        <f ca="1"/>
        <v>NEM</v>
      </c>
      <c r="V5" s="87">
        <f ca="1"/>
        <v>14276</v>
      </c>
      <c r="W5" t="str">
        <f ca="1"/>
        <v>LUMN</v>
      </c>
      <c r="X5">
        <f ca="1"/>
        <v>1</v>
      </c>
      <c r="Y5" t="str">
        <f ca="1"/>
        <v>GS</v>
      </c>
      <c r="Z5">
        <f ca="1"/>
        <v>1</v>
      </c>
      <c r="AA5" t="str">
        <f ca="1"/>
        <v>X</v>
      </c>
      <c r="AB5" t="e">
        <f ca="1"/>
        <v>#DIV/0!</v>
      </c>
      <c r="AC5" t="str">
        <f ca="1"/>
        <v>X</v>
      </c>
      <c r="AD5" t="e">
        <f ca="1"/>
        <v>#DIV/0!</v>
      </c>
      <c r="AE5" t="str">
        <f ca="1"/>
        <v>ADEA</v>
      </c>
      <c r="AF5" s="87">
        <f ca="1"/>
        <v>0</v>
      </c>
      <c r="AG5" t="str">
        <f ca="1"/>
        <v>BLNK</v>
      </c>
      <c r="AH5" s="87">
        <f ca="1"/>
        <v>36720</v>
      </c>
      <c r="AI5" t="str">
        <f ca="1"/>
        <v>EPIX</v>
      </c>
      <c r="AJ5" s="87">
        <f ca="1"/>
        <v>55687.999999999993</v>
      </c>
      <c r="AK5" s="90" t="str">
        <f ca="1"/>
        <v>F</v>
      </c>
      <c r="AL5" s="312">
        <f ca="1"/>
        <v>2.4240863095238097E-2</v>
      </c>
      <c r="AM5" t="str">
        <f ca="1"/>
        <v>DVA</v>
      </c>
      <c r="AN5" s="312" t="str">
        <f ca="1"/>
        <v/>
      </c>
      <c r="AO5" t="str">
        <f ca="1"/>
        <v>X</v>
      </c>
      <c r="AP5" s="312">
        <f ca="1"/>
        <v>-0.43809952589350848</v>
      </c>
      <c r="AQ5" s="87" t="str">
        <f ca="1"/>
        <v>TSM</v>
      </c>
      <c r="AR5" s="90">
        <f ca="1"/>
        <v>2.6891350459580501</v>
      </c>
      <c r="AS5" s="94" t="str">
        <f ca="1"/>
        <v>EZJ</v>
      </c>
      <c r="AT5" s="90">
        <f ca="1"/>
        <v>0.63636363636363635</v>
      </c>
    </row>
    <row r="6" spans="1:50">
      <c r="A6" s="723" t="s">
        <v>2098</v>
      </c>
      <c r="B6" s="1" t="str" cm="1">
        <f t="array" aca="1" ref="B6" ca="1">INDIRECT("SORTING!" &amp; ADDRESS(ROW(), A$2+3))</f>
        <v>AMZN</v>
      </c>
      <c r="C6" s="1" t="str">
        <f ca="1">_xlfn.XLOOKUP(D6,[1]!RTData[Ticker symbol],[1]!RTData[Currency])</f>
        <v>USD</v>
      </c>
      <c r="D6" s="153" t="str">
        <f ca="1">TabCalc[[#This Row],[Ticker]]</f>
        <v>AMZN</v>
      </c>
      <c r="E6" t="str">
        <f ca="1"/>
        <v>LAZR</v>
      </c>
      <c r="F6" s="563">
        <f ca="1"/>
        <v>4.1306761269999361</v>
      </c>
      <c r="G6" s="153" t="str">
        <f ca="1"/>
        <v>IAG</v>
      </c>
      <c r="H6" s="564">
        <f ca="1"/>
        <v>1178023.1671</v>
      </c>
      <c r="I6" t="str">
        <f ca="1"/>
        <v>BLNK</v>
      </c>
      <c r="J6" s="565">
        <f ca="1"/>
        <v>7.8212000000000004E-2</v>
      </c>
      <c r="K6" s="153" t="str">
        <f ca="1"/>
        <v>F</v>
      </c>
      <c r="L6" s="565">
        <f ca="1"/>
        <v>0.121556</v>
      </c>
      <c r="M6" s="1" t="str">
        <f ca="1"/>
        <v>MSFT</v>
      </c>
      <c r="N6" s="564">
        <f ca="1"/>
        <v>4429253.700666667</v>
      </c>
      <c r="O6" t="str">
        <f ca="1"/>
        <v>SAFGM</v>
      </c>
      <c r="P6" s="564">
        <f ca="1"/>
        <v>41943.861679999987</v>
      </c>
      <c r="Q6" t="str">
        <f ca="1"/>
        <v>SAFGM</v>
      </c>
      <c r="R6" s="656">
        <f ca="1"/>
        <v>2.1565011904761906E-2</v>
      </c>
      <c r="S6" t="str">
        <f ca="1"/>
        <v>AAPL</v>
      </c>
      <c r="T6" s="87">
        <f ca="1"/>
        <v>16300</v>
      </c>
      <c r="U6" t="str">
        <f ca="1"/>
        <v>BLNK</v>
      </c>
      <c r="V6" s="87">
        <f ca="1"/>
        <v>13200</v>
      </c>
      <c r="W6" t="str">
        <f ca="1"/>
        <v>WBA</v>
      </c>
      <c r="X6">
        <f ca="1"/>
        <v>1</v>
      </c>
      <c r="Y6" t="str">
        <f ca="1"/>
        <v>LAZR</v>
      </c>
      <c r="Z6">
        <f ca="1"/>
        <v>1</v>
      </c>
      <c r="AA6" t="str">
        <f ca="1"/>
        <v>VTRS</v>
      </c>
      <c r="AB6">
        <f ca="1"/>
        <v>83</v>
      </c>
      <c r="AC6" t="str">
        <f ca="1"/>
        <v>GM</v>
      </c>
      <c r="AD6">
        <f ca="1"/>
        <v>84</v>
      </c>
      <c r="AE6" t="str">
        <f ca="1"/>
        <v>AZN</v>
      </c>
      <c r="AF6" s="87">
        <f ca="1"/>
        <v>0</v>
      </c>
      <c r="AG6" t="str">
        <f ca="1"/>
        <v>IAG</v>
      </c>
      <c r="AH6" s="87">
        <f ca="1"/>
        <v>32197.600000000002</v>
      </c>
      <c r="AI6" t="str">
        <f ca="1"/>
        <v>XPER</v>
      </c>
      <c r="AJ6" s="87">
        <f ca="1"/>
        <v>27936.000000000007</v>
      </c>
      <c r="AK6" s="90" t="str">
        <f ca="1"/>
        <v>SAFGM</v>
      </c>
      <c r="AL6" s="312">
        <f ca="1"/>
        <v>2.1565011904761906E-2</v>
      </c>
      <c r="AM6" t="str">
        <f ca="1"/>
        <v>HPE</v>
      </c>
      <c r="AN6" s="312" t="str">
        <f ca="1"/>
        <v/>
      </c>
      <c r="AO6" t="str">
        <f ca="1"/>
        <v>AVGO</v>
      </c>
      <c r="AP6" s="312">
        <f ca="1"/>
        <v>-0.42430954169372831</v>
      </c>
      <c r="AQ6" s="87" t="str">
        <f ca="1"/>
        <v>BLNK</v>
      </c>
      <c r="AR6" s="90">
        <f ca="1"/>
        <v>2.6767316788699538</v>
      </c>
      <c r="AS6" s="94" t="str">
        <f ca="1"/>
        <v>CSCO</v>
      </c>
      <c r="AT6" s="90">
        <f ca="1"/>
        <v>0.6</v>
      </c>
    </row>
    <row r="7" spans="1:50">
      <c r="A7" s="654" t="s">
        <v>2090</v>
      </c>
      <c r="B7" s="1" t="str" cm="1">
        <f t="array" aca="1" ref="B7" ca="1">INDIRECT("SORTING!" &amp; ADDRESS(ROW(), A$2+3))</f>
        <v>ALDNE</v>
      </c>
      <c r="C7" s="1" t="str">
        <f ca="1">_xlfn.XLOOKUP(D7,[1]!RTData[Ticker symbol],[1]!RTData[Currency])</f>
        <v>EUR</v>
      </c>
      <c r="D7" s="153" t="str">
        <f ca="1">TabCalc[[#This Row],[Ticker]]</f>
        <v>ALDNE</v>
      </c>
      <c r="E7" t="str">
        <f ca="1"/>
        <v>F</v>
      </c>
      <c r="F7" s="563">
        <f ca="1"/>
        <v>2.4449132760383812</v>
      </c>
      <c r="G7" s="153" t="str">
        <f ca="1"/>
        <v>NEM</v>
      </c>
      <c r="H7" s="564">
        <f ca="1"/>
        <v>1170883.9300000002</v>
      </c>
      <c r="I7" t="str">
        <f ca="1"/>
        <v>RIGL</v>
      </c>
      <c r="J7" s="565">
        <f ca="1"/>
        <v>7.1986999999999995E-2</v>
      </c>
      <c r="K7" s="153" t="str">
        <f ca="1"/>
        <v>BLNK</v>
      </c>
      <c r="L7" s="565">
        <f ca="1"/>
        <v>7.8212000000000004E-2</v>
      </c>
      <c r="M7" s="1" t="str">
        <f ca="1"/>
        <v>NFLX</v>
      </c>
      <c r="N7" s="564">
        <f ca="1"/>
        <v>3131048.0500000003</v>
      </c>
      <c r="O7" t="str">
        <f ca="1"/>
        <v>XYZ</v>
      </c>
      <c r="P7" s="564">
        <f ca="1"/>
        <v>36464.94400000001</v>
      </c>
      <c r="Q7" t="e">
        <f ca="1"/>
        <v>#VALUE!</v>
      </c>
      <c r="R7" s="656">
        <f ca="1"/>
        <v>2.1266780952380951E-2</v>
      </c>
      <c r="S7" t="str">
        <f ca="1"/>
        <v>ALDNE</v>
      </c>
      <c r="T7" s="87">
        <f ca="1"/>
        <v>15180.000000000233</v>
      </c>
      <c r="U7" t="str">
        <f ca="1"/>
        <v>MVEGLE</v>
      </c>
      <c r="V7" s="87">
        <f ca="1"/>
        <v>9240</v>
      </c>
      <c r="W7" t="str">
        <f ca="1"/>
        <v>MVEENI</v>
      </c>
      <c r="X7">
        <f ca="1"/>
        <v>1</v>
      </c>
      <c r="Y7" t="str">
        <f ca="1"/>
        <v>X</v>
      </c>
      <c r="Z7">
        <f ca="1"/>
        <v>1</v>
      </c>
      <c r="AA7" t="str">
        <f ca="1"/>
        <v>AZN</v>
      </c>
      <c r="AB7">
        <f ca="1"/>
        <v>75</v>
      </c>
      <c r="AC7" t="str">
        <f ca="1"/>
        <v>SAFGM</v>
      </c>
      <c r="AD7">
        <f ca="1"/>
        <v>84</v>
      </c>
      <c r="AE7" t="str">
        <f ca="1"/>
        <v>C</v>
      </c>
      <c r="AF7" s="87">
        <f ca="1"/>
        <v>0</v>
      </c>
      <c r="AG7" t="str">
        <f ca="1"/>
        <v>SAFDDD</v>
      </c>
      <c r="AH7" s="87">
        <f ca="1"/>
        <v>25220.999999999996</v>
      </c>
      <c r="AI7" t="str">
        <f ca="1"/>
        <v>DXC</v>
      </c>
      <c r="AJ7" s="87">
        <f ca="1"/>
        <v>27120.000000000004</v>
      </c>
      <c r="AK7" s="90" t="e">
        <f ca="1"/>
        <v>#VALUE!</v>
      </c>
      <c r="AL7" s="312">
        <f ca="1"/>
        <v>2.1266780952380951E-2</v>
      </c>
      <c r="AM7" t="str">
        <f ca="1"/>
        <v>HPQ</v>
      </c>
      <c r="AN7" s="312" t="str">
        <f ca="1"/>
        <v/>
      </c>
      <c r="AO7" t="str">
        <f ca="1"/>
        <v>GLE</v>
      </c>
      <c r="AP7" s="312">
        <f ca="1"/>
        <v>-0.42324083457526079</v>
      </c>
      <c r="AQ7" s="87" t="str">
        <f ca="1"/>
        <v>HPE</v>
      </c>
      <c r="AR7" s="90">
        <f ca="1"/>
        <v>2.3066725585505994</v>
      </c>
      <c r="AS7" s="94" t="str">
        <f ca="1"/>
        <v>XPER</v>
      </c>
      <c r="AT7" s="90">
        <f ca="1"/>
        <v>0.5714285714285714</v>
      </c>
    </row>
    <row r="8" spans="1:50">
      <c r="A8" s="362" t="s">
        <v>1618</v>
      </c>
      <c r="B8" s="1" t="str" cm="1">
        <f t="array" aca="1" ref="B8" ca="1">INDIRECT("SORTING!" &amp; ADDRESS(ROW(), A$2+3))</f>
        <v>ASML</v>
      </c>
      <c r="C8" s="1" t="str">
        <f ca="1">_xlfn.XLOOKUP(D8,[1]!RTData[Ticker symbol],[1]!RTData[Currency])</f>
        <v>EUR</v>
      </c>
      <c r="D8" s="153" t="str">
        <f ca="1">TabCalc[[#This Row],[Ticker]]</f>
        <v>ASML</v>
      </c>
      <c r="E8" t="str">
        <f ca="1"/>
        <v>DSY</v>
      </c>
      <c r="F8" s="563">
        <f ca="1"/>
        <v>2.1661298761699901</v>
      </c>
      <c r="G8" s="153" t="str">
        <f ca="1"/>
        <v>EOAN</v>
      </c>
      <c r="H8" s="564">
        <f ca="1"/>
        <v>1166633.25</v>
      </c>
      <c r="I8" t="str">
        <f ca="1"/>
        <v>BMRA</v>
      </c>
      <c r="J8" s="565">
        <f ca="1"/>
        <v>4.8780000000000004E-2</v>
      </c>
      <c r="K8" s="153" t="str">
        <f ca="1"/>
        <v>PW</v>
      </c>
      <c r="L8" s="565">
        <f ca="1"/>
        <v>7.1986999999999995E-2</v>
      </c>
      <c r="M8" s="1" t="str">
        <f ca="1"/>
        <v>ASML</v>
      </c>
      <c r="N8" s="564">
        <f ca="1"/>
        <v>872105.57894736854</v>
      </c>
      <c r="O8" t="str">
        <f ca="1"/>
        <v>X</v>
      </c>
      <c r="P8" s="564">
        <f ca="1"/>
        <v>29750.846160000008</v>
      </c>
      <c r="Q8" t="str">
        <f ca="1"/>
        <v>GM</v>
      </c>
      <c r="R8" s="656">
        <f ca="1"/>
        <v>1.9346809523809523E-2</v>
      </c>
      <c r="S8" t="str">
        <f ca="1"/>
        <v>NEM</v>
      </c>
      <c r="T8" s="87">
        <f ca="1"/>
        <v>14110</v>
      </c>
      <c r="U8" t="str">
        <f ca="1"/>
        <v>LAZR</v>
      </c>
      <c r="V8" s="87">
        <f ca="1"/>
        <v>7060.6900000000023</v>
      </c>
      <c r="W8" t="str">
        <f ca="1"/>
        <v>SAFAAPL</v>
      </c>
      <c r="X8">
        <f ca="1"/>
        <v>1</v>
      </c>
      <c r="Y8" t="str">
        <f ca="1"/>
        <v>AET</v>
      </c>
      <c r="Z8">
        <f ca="1"/>
        <v>2</v>
      </c>
      <c r="AA8" t="str">
        <f ca="1"/>
        <v>RIG</v>
      </c>
      <c r="AB8">
        <f ca="1"/>
        <v>74</v>
      </c>
      <c r="AC8" t="str">
        <f ca="1"/>
        <v>DXC</v>
      </c>
      <c r="AD8">
        <f ca="1"/>
        <v>78</v>
      </c>
      <c r="AE8" t="str">
        <f ca="1"/>
        <v>CSCO</v>
      </c>
      <c r="AF8" s="87">
        <f ca="1"/>
        <v>0</v>
      </c>
      <c r="AG8" t="str">
        <f ca="1"/>
        <v>DDD</v>
      </c>
      <c r="AH8" s="87">
        <f ca="1"/>
        <v>24400</v>
      </c>
      <c r="AI8" t="str">
        <f ca="1"/>
        <v>NVAX</v>
      </c>
      <c r="AJ8" s="87">
        <f ca="1"/>
        <v>24185</v>
      </c>
      <c r="AK8" s="90" t="str">
        <f ca="1"/>
        <v>GM</v>
      </c>
      <c r="AL8" s="312">
        <f ca="1"/>
        <v>1.9346809523809523E-2</v>
      </c>
      <c r="AM8" t="str">
        <f ca="1"/>
        <v>KR</v>
      </c>
      <c r="AN8" s="312" t="str">
        <f ca="1"/>
        <v/>
      </c>
      <c r="AO8" t="str">
        <f ca="1"/>
        <v>NEM</v>
      </c>
      <c r="AP8" s="312">
        <f ca="1"/>
        <v>-0.3907814001839191</v>
      </c>
      <c r="AQ8" s="87" t="str">
        <f ca="1"/>
        <v>SAFASML</v>
      </c>
      <c r="AR8" s="90">
        <f ca="1"/>
        <v>2.2351796773332282</v>
      </c>
      <c r="AS8" s="94" t="str">
        <f ca="1"/>
        <v>GS</v>
      </c>
      <c r="AT8" s="90">
        <f ca="1"/>
        <v>0.5714285714285714</v>
      </c>
    </row>
    <row r="9" spans="1:50">
      <c r="A9" s="708" t="s">
        <v>2090</v>
      </c>
      <c r="B9" s="1" t="str" cm="1">
        <f t="array" aca="1" ref="B9" ca="1">INDIRECT("SORTING!" &amp; ADDRESS(ROW(), A$2+3))</f>
        <v>AZN</v>
      </c>
      <c r="C9" s="1" t="str">
        <f ca="1">_xlfn.XLOOKUP(D9,[1]!RTData[Ticker symbol],[1]!RTData[Currency])</f>
        <v>USD</v>
      </c>
      <c r="D9" s="153" t="str">
        <f ca="1">TabCalc[[#This Row],[Ticker]]</f>
        <v>AZN</v>
      </c>
      <c r="E9" t="str">
        <f ca="1"/>
        <v>MVEDSY</v>
      </c>
      <c r="F9" s="563">
        <f ca="1"/>
        <v>2.1661298761699901</v>
      </c>
      <c r="G9" s="153" t="str">
        <f ca="1"/>
        <v>AAPL</v>
      </c>
      <c r="H9" s="564">
        <f ca="1"/>
        <v>1080292.8750000002</v>
      </c>
      <c r="I9" t="str">
        <f ca="1"/>
        <v>GS</v>
      </c>
      <c r="J9" s="565">
        <f ca="1"/>
        <v>4.4074000000000002E-2</v>
      </c>
      <c r="K9" s="153" t="str">
        <f ca="1"/>
        <v>BLDP</v>
      </c>
      <c r="L9" s="565">
        <f ca="1"/>
        <v>4.8780000000000004E-2</v>
      </c>
      <c r="M9" s="1" t="str">
        <f ca="1"/>
        <v>SAP</v>
      </c>
      <c r="N9" s="564">
        <f ca="1"/>
        <v>778924</v>
      </c>
      <c r="O9" t="str">
        <f ca="1"/>
        <v>MVERWE</v>
      </c>
      <c r="P9" s="564">
        <f ca="1"/>
        <v>28757.824746000002</v>
      </c>
      <c r="Q9" t="str">
        <f ca="1"/>
        <v>AET</v>
      </c>
      <c r="R9" s="656">
        <f ca="1"/>
        <v>1.7723702380952382E-2</v>
      </c>
      <c r="S9" t="str">
        <f ca="1"/>
        <v>BLNK</v>
      </c>
      <c r="T9" s="87">
        <f ca="1"/>
        <v>12000</v>
      </c>
      <c r="U9" t="str">
        <f ca="1"/>
        <v>UN0</v>
      </c>
      <c r="V9" s="87">
        <f ca="1"/>
        <v>6274</v>
      </c>
      <c r="W9" t="str">
        <f ca="1"/>
        <v>SAFGM</v>
      </c>
      <c r="X9">
        <f ca="1"/>
        <v>1</v>
      </c>
      <c r="Y9" t="str">
        <f ca="1"/>
        <v>GM</v>
      </c>
      <c r="Z9">
        <f ca="1"/>
        <v>2</v>
      </c>
      <c r="AA9" t="str">
        <f ca="1"/>
        <v>CVS</v>
      </c>
      <c r="AB9">
        <f ca="1"/>
        <v>73</v>
      </c>
      <c r="AC9" t="str">
        <f ca="1"/>
        <v>MVEENI</v>
      </c>
      <c r="AD9">
        <f ca="1"/>
        <v>78</v>
      </c>
      <c r="AE9" t="str">
        <f ca="1"/>
        <v>CVS</v>
      </c>
      <c r="AF9" s="87">
        <f ca="1"/>
        <v>0</v>
      </c>
      <c r="AG9" t="str">
        <f ca="1"/>
        <v>MVEENI</v>
      </c>
      <c r="AH9" s="87">
        <f ca="1"/>
        <v>23007.999999999996</v>
      </c>
      <c r="AI9" t="str">
        <f ca="1"/>
        <v>SAFMRNA</v>
      </c>
      <c r="AJ9" s="87">
        <f ca="1"/>
        <v>19472</v>
      </c>
      <c r="AK9" s="90" t="str">
        <f ca="1"/>
        <v>AET</v>
      </c>
      <c r="AL9" s="312">
        <f ca="1"/>
        <v>1.7723702380952382E-2</v>
      </c>
      <c r="AM9" t="str">
        <f ca="1"/>
        <v>LNSR</v>
      </c>
      <c r="AN9" s="312" t="str">
        <f ca="1"/>
        <v/>
      </c>
      <c r="AO9" t="str">
        <f ca="1"/>
        <v>BLDP</v>
      </c>
      <c r="AP9" s="312">
        <f ca="1"/>
        <v>-0.3793441860465116</v>
      </c>
      <c r="AQ9" s="87" t="str">
        <f ca="1"/>
        <v>ASML</v>
      </c>
      <c r="AR9" s="90">
        <f ca="1"/>
        <v>2.2253962403243643</v>
      </c>
      <c r="AS9" s="94" t="str">
        <f ca="1"/>
        <v>SAFGM</v>
      </c>
      <c r="AT9" s="90">
        <f ca="1"/>
        <v>0.55555555555555558</v>
      </c>
    </row>
    <row r="10" spans="1:50">
      <c r="A10" s="723" t="s">
        <v>189</v>
      </c>
      <c r="B10" s="1" t="str" cm="1">
        <f t="array" aca="1" ref="B10" ca="1">INDIRECT("SORTING!" &amp; ADDRESS(ROW(), A$2+3))</f>
        <v>BLDP</v>
      </c>
      <c r="C10" s="1" t="str">
        <f ca="1">_xlfn.XLOOKUP(D10,[1]!RTData[Ticker symbol],[1]!RTData[Currency])</f>
        <v>USD</v>
      </c>
      <c r="D10" s="153" t="str">
        <f ca="1">TabCalc[[#This Row],[Ticker]]</f>
        <v>BLDP</v>
      </c>
      <c r="E10" t="str">
        <f ca="1"/>
        <v>MVEENI</v>
      </c>
      <c r="F10" s="563">
        <f ca="1"/>
        <v>1.9476811966291017</v>
      </c>
      <c r="G10" s="153" t="str">
        <f ca="1"/>
        <v>TSM</v>
      </c>
      <c r="H10" s="564">
        <f ca="1"/>
        <v>946256.92200000002</v>
      </c>
      <c r="I10" t="str">
        <f ca="1"/>
        <v>HPE</v>
      </c>
      <c r="J10" s="565">
        <f ca="1"/>
        <v>4.2183999999999999E-2</v>
      </c>
      <c r="K10" s="153" t="str">
        <f ca="1"/>
        <v>GS</v>
      </c>
      <c r="L10" s="565">
        <f ca="1"/>
        <v>4.4086999999999994E-2</v>
      </c>
      <c r="M10" s="1" t="str">
        <f ca="1"/>
        <v>IAG</v>
      </c>
      <c r="N10" s="564">
        <f ca="1"/>
        <v>767804</v>
      </c>
      <c r="O10" t="str">
        <f ca="1"/>
        <v>RWE</v>
      </c>
      <c r="P10" s="564">
        <f ca="1"/>
        <v>23012.012800000004</v>
      </c>
      <c r="Q10" t="str">
        <f ca="1"/>
        <v>RIG</v>
      </c>
      <c r="R10" s="656">
        <f ca="1"/>
        <v>1.6046398809523812E-2</v>
      </c>
      <c r="S10" t="str">
        <f ca="1"/>
        <v>MSFT</v>
      </c>
      <c r="T10" s="87">
        <f ca="1"/>
        <v>8036</v>
      </c>
      <c r="U10" t="str">
        <f ca="1"/>
        <v>AET</v>
      </c>
      <c r="V10" s="87">
        <f ca="1"/>
        <v>4920</v>
      </c>
      <c r="W10" t="str">
        <f ca="1"/>
        <v>ENI</v>
      </c>
      <c r="X10">
        <f ca="1"/>
        <v>1</v>
      </c>
      <c r="Y10" t="str">
        <f ca="1"/>
        <v>PW</v>
      </c>
      <c r="Z10">
        <f ca="1"/>
        <v>2</v>
      </c>
      <c r="AA10" t="str">
        <f ca="1"/>
        <v>CSCO</v>
      </c>
      <c r="AB10">
        <f ca="1"/>
        <v>72</v>
      </c>
      <c r="AC10" t="str">
        <f ca="1"/>
        <v>ENI</v>
      </c>
      <c r="AD10">
        <f ca="1"/>
        <v>78</v>
      </c>
      <c r="AE10" t="str">
        <f ca="1"/>
        <v>EOAN</v>
      </c>
      <c r="AF10" s="87">
        <f ca="1"/>
        <v>0</v>
      </c>
      <c r="AG10" t="str">
        <f ca="1"/>
        <v>SAFASML</v>
      </c>
      <c r="AH10" s="87">
        <f ca="1"/>
        <v>20950.299999999996</v>
      </c>
      <c r="AI10" t="str">
        <f ca="1"/>
        <v>MVESAP</v>
      </c>
      <c r="AJ10" s="87">
        <f ca="1"/>
        <v>17065.000000000011</v>
      </c>
      <c r="AK10" s="90" t="str">
        <f ca="1"/>
        <v>RIG</v>
      </c>
      <c r="AL10" s="312">
        <f ca="1"/>
        <v>1.6046398809523812E-2</v>
      </c>
      <c r="AM10" t="str">
        <f ca="1"/>
        <v>MSFT</v>
      </c>
      <c r="AN10" s="312" t="str">
        <f ca="1"/>
        <v/>
      </c>
      <c r="AO10" t="str">
        <f ca="1"/>
        <v>LUMN</v>
      </c>
      <c r="AP10" s="312">
        <f ca="1"/>
        <v>-0.37611050679851671</v>
      </c>
      <c r="AQ10" s="87" t="str">
        <f ca="1"/>
        <v>POET</v>
      </c>
      <c r="AR10" s="90">
        <f ca="1"/>
        <v>1.7778201219512195</v>
      </c>
      <c r="AS10" s="94" t="str">
        <f ca="1"/>
        <v>PFE</v>
      </c>
      <c r="AT10" s="90">
        <f ca="1"/>
        <v>0.55555555555555558</v>
      </c>
    </row>
    <row r="11" spans="1:50">
      <c r="A11" s="654" t="s">
        <v>2090</v>
      </c>
      <c r="B11" s="1" t="str" cm="1">
        <f t="array" aca="1" ref="B11" ca="1">INDIRECT("SORTING!" &amp; ADDRESS(ROW(), A$2+3))</f>
        <v>BMRA</v>
      </c>
      <c r="C11" s="1" t="str">
        <f ca="1">_xlfn.XLOOKUP(D11,[1]!RTData[Ticker symbol],[1]!RTData[Currency])</f>
        <v>USD</v>
      </c>
      <c r="D11" s="153" t="str">
        <f ca="1">TabCalc[[#This Row],[Ticker]]</f>
        <v>BMRA</v>
      </c>
      <c r="E11" t="str">
        <f ca="1"/>
        <v>ENI</v>
      </c>
      <c r="F11" s="563">
        <f ca="1"/>
        <v>1.9476811966291017</v>
      </c>
      <c r="G11" s="153" t="str">
        <f ca="1"/>
        <v>ASML</v>
      </c>
      <c r="H11" s="564">
        <f ca="1"/>
        <v>802875.81</v>
      </c>
      <c r="I11" t="str">
        <f ca="1"/>
        <v>SAFGM</v>
      </c>
      <c r="J11" s="565">
        <f ca="1"/>
        <v>4.2183999999999999E-2</v>
      </c>
      <c r="K11" s="153" t="str">
        <f ca="1"/>
        <v>GM</v>
      </c>
      <c r="L11" s="565">
        <f ca="1"/>
        <v>4.2034000000000002E-2</v>
      </c>
      <c r="M11" s="1" t="str">
        <f ca="1"/>
        <v>AAPL</v>
      </c>
      <c r="N11" s="564">
        <f ca="1"/>
        <v>501852.38999999996</v>
      </c>
      <c r="O11" t="str">
        <f ca="1"/>
        <v>GM</v>
      </c>
      <c r="P11" s="564">
        <f ca="1"/>
        <v>21750.032501999991</v>
      </c>
      <c r="Q11" t="str">
        <f ca="1"/>
        <v>UNIT</v>
      </c>
      <c r="R11" s="656">
        <f ca="1"/>
        <v>1.2230517857142856E-2</v>
      </c>
      <c r="S11" t="str">
        <f ca="1"/>
        <v>LAZR</v>
      </c>
      <c r="T11" s="87">
        <f ca="1"/>
        <v>7681.4100000000035</v>
      </c>
      <c r="U11" t="str">
        <f ca="1"/>
        <v>VONN</v>
      </c>
      <c r="V11" s="87">
        <f ca="1"/>
        <v>4800</v>
      </c>
      <c r="W11" t="str">
        <f ca="1"/>
        <v>F</v>
      </c>
      <c r="X11">
        <f ca="1"/>
        <v>1</v>
      </c>
      <c r="Y11" t="str">
        <f ca="1"/>
        <v>MVEENI</v>
      </c>
      <c r="Z11">
        <f ca="1"/>
        <v>2</v>
      </c>
      <c r="AA11" t="str">
        <f ca="1"/>
        <v>GM</v>
      </c>
      <c r="AB11">
        <f ca="1"/>
        <v>72</v>
      </c>
      <c r="AC11" t="str">
        <f ca="1"/>
        <v>RIG</v>
      </c>
      <c r="AD11">
        <f ca="1"/>
        <v>74</v>
      </c>
      <c r="AE11" t="str">
        <f ca="1"/>
        <v>EPIX</v>
      </c>
      <c r="AF11" s="87">
        <f ca="1"/>
        <v>0</v>
      </c>
      <c r="AG11" t="str">
        <f ca="1"/>
        <v>SAFAAPL</v>
      </c>
      <c r="AH11" s="87">
        <f ca="1"/>
        <v>18565.799999999996</v>
      </c>
      <c r="AI11" t="str">
        <f ca="1"/>
        <v>MVEDSY</v>
      </c>
      <c r="AJ11" s="87">
        <f ca="1"/>
        <v>14319.999999999996</v>
      </c>
      <c r="AK11" s="90" t="str">
        <f ca="1"/>
        <v>UNIT</v>
      </c>
      <c r="AL11" s="312">
        <f ca="1"/>
        <v>1.2230517857142856E-2</v>
      </c>
      <c r="AM11" t="str">
        <f ca="1"/>
        <v>PAAS</v>
      </c>
      <c r="AN11" s="312" t="str">
        <f ca="1"/>
        <v/>
      </c>
      <c r="AO11" t="str">
        <f ca="1"/>
        <v>C</v>
      </c>
      <c r="AP11" s="312">
        <f ca="1"/>
        <v>-0.36734994938246607</v>
      </c>
      <c r="AQ11" s="87" t="str">
        <f ca="1"/>
        <v>VONN</v>
      </c>
      <c r="AR11" s="90">
        <f ca="1"/>
        <v>1.6369502462217669</v>
      </c>
      <c r="AS11" s="94" t="str">
        <f ca="1"/>
        <v>PAAS</v>
      </c>
      <c r="AT11" s="90">
        <f ca="1"/>
        <v>0.54545454545454541</v>
      </c>
    </row>
    <row r="12" spans="1:50">
      <c r="A12" s="362" t="s">
        <v>1855</v>
      </c>
      <c r="B12" s="1" t="str" cm="1">
        <f t="array" aca="1" ref="B12" ca="1">INDIRECT("SORTING!" &amp; ADDRESS(ROW(), A$2+3))</f>
        <v>C</v>
      </c>
      <c r="C12" s="1" t="str">
        <f ca="1">_xlfn.XLOOKUP(D12,[1]!RTData[Ticker symbol],[1]!RTData[Currency])</f>
        <v>USD</v>
      </c>
      <c r="D12" s="153" t="str">
        <f ca="1">TabCalc[[#This Row],[Ticker]]</f>
        <v>C</v>
      </c>
      <c r="E12" t="str">
        <f ca="1"/>
        <v>EPIX</v>
      </c>
      <c r="F12" s="563">
        <f ca="1"/>
        <v>1.8522760022071003</v>
      </c>
      <c r="G12" s="153" t="str">
        <f ca="1"/>
        <v>AMZN</v>
      </c>
      <c r="H12" s="564">
        <f ca="1"/>
        <v>728155.78</v>
      </c>
      <c r="I12" t="str">
        <f ca="1"/>
        <v>MRNA</v>
      </c>
      <c r="J12" s="565">
        <f ca="1"/>
        <v>3.7869E-2</v>
      </c>
      <c r="K12" s="153" t="str">
        <f ca="1"/>
        <v>SAFGM</v>
      </c>
      <c r="L12" s="565">
        <f ca="1"/>
        <v>4.2034000000000002E-2</v>
      </c>
      <c r="M12" s="1" t="str">
        <f ca="1"/>
        <v>MRNA</v>
      </c>
      <c r="N12" s="564">
        <f ca="1"/>
        <v>260060.39999999997</v>
      </c>
      <c r="O12" t="str">
        <f ca="1"/>
        <v>GS</v>
      </c>
      <c r="P12" s="564">
        <f ca="1"/>
        <v>15158.485200000001</v>
      </c>
      <c r="Q12" t="str">
        <f ca="1"/>
        <v>MVEENI</v>
      </c>
      <c r="R12" s="656">
        <f ca="1"/>
        <v>9.5467023809523797E-3</v>
      </c>
      <c r="S12" t="str">
        <f ca="1"/>
        <v>AET</v>
      </c>
      <c r="T12" s="87">
        <f ca="1"/>
        <v>7380</v>
      </c>
      <c r="U12" t="str">
        <f ca="1"/>
        <v>IAG</v>
      </c>
      <c r="V12" s="87">
        <f ca="1"/>
        <v>4325</v>
      </c>
      <c r="W12" t="str">
        <f ca="1"/>
        <v>RIG</v>
      </c>
      <c r="X12">
        <f ca="1"/>
        <v>1</v>
      </c>
      <c r="Y12" t="str">
        <f ca="1"/>
        <v>SAFGM</v>
      </c>
      <c r="Z12">
        <f ca="1"/>
        <v>2</v>
      </c>
      <c r="AA12" t="str">
        <f ca="1"/>
        <v>SAFGM</v>
      </c>
      <c r="AB12">
        <f ca="1"/>
        <v>72</v>
      </c>
      <c r="AC12" t="str">
        <f ca="1"/>
        <v>VTRS</v>
      </c>
      <c r="AD12">
        <f ca="1"/>
        <v>73</v>
      </c>
      <c r="AE12" t="str">
        <f ca="1"/>
        <v>GM</v>
      </c>
      <c r="AF12" s="87">
        <f ca="1"/>
        <v>0</v>
      </c>
      <c r="AG12" t="str">
        <f ca="1"/>
        <v>AMZN</v>
      </c>
      <c r="AH12" s="87">
        <f ca="1"/>
        <v>18379.999999999996</v>
      </c>
      <c r="AI12" t="str">
        <f ca="1"/>
        <v>NFLX</v>
      </c>
      <c r="AJ12" s="87">
        <f ca="1"/>
        <v>13886.999999999989</v>
      </c>
      <c r="AK12" s="90" t="str">
        <f ca="1"/>
        <v>MVEENI</v>
      </c>
      <c r="AL12" s="312">
        <f ca="1"/>
        <v>9.5467023809523797E-3</v>
      </c>
      <c r="AM12" t="str">
        <f ca="1"/>
        <v>TSM</v>
      </c>
      <c r="AN12" s="312" t="str">
        <f ca="1"/>
        <v/>
      </c>
      <c r="AO12" t="str">
        <f ca="1"/>
        <v>MSFT</v>
      </c>
      <c r="AP12" s="312">
        <f ca="1"/>
        <v>-0.36475698785004734</v>
      </c>
      <c r="AQ12" s="87" t="str">
        <f ca="1"/>
        <v>RIG</v>
      </c>
      <c r="AR12" s="90">
        <f ca="1"/>
        <v>1.6289592760180998</v>
      </c>
      <c r="AS12" s="94" t="str">
        <f ca="1"/>
        <v>AAPL</v>
      </c>
      <c r="AT12" s="90">
        <f ca="1"/>
        <v>0.5</v>
      </c>
    </row>
    <row r="13" spans="1:50">
      <c r="A13" s="655" t="s">
        <v>1892</v>
      </c>
      <c r="B13" s="1" t="str" cm="1">
        <f t="array" aca="1" ref="B13" ca="1">INDIRECT("SORTING!" &amp; ADDRESS(ROW(), A$2+3))</f>
        <v>CSCO</v>
      </c>
      <c r="C13" s="1" t="str">
        <f ca="1">_xlfn.XLOOKUP(D13,[1]!RTData[Ticker symbol],[1]!RTData[Currency])</f>
        <v>USD</v>
      </c>
      <c r="D13" s="153" t="str">
        <f ca="1">TabCalc[[#This Row],[Ticker]]</f>
        <v>CSCO</v>
      </c>
      <c r="E13" t="str">
        <f ca="1"/>
        <v>MVEEPIX</v>
      </c>
      <c r="F13" s="563">
        <f ca="1"/>
        <v>1.8522760022071003</v>
      </c>
      <c r="G13" s="153" t="str">
        <f ca="1"/>
        <v>LOCK</v>
      </c>
      <c r="H13" s="564">
        <f ca="1"/>
        <v>403387.19999999995</v>
      </c>
      <c r="I13" t="str">
        <f ca="1"/>
        <v>POET</v>
      </c>
      <c r="J13" s="565">
        <f ca="1"/>
        <v>3.6562000000000004E-2</v>
      </c>
      <c r="K13" s="153" t="str">
        <f ca="1"/>
        <v>LUMN</v>
      </c>
      <c r="L13" s="565">
        <f ca="1"/>
        <v>3.8511000000000004E-2</v>
      </c>
      <c r="M13" s="1" t="str">
        <f ca="1"/>
        <v>AMZN</v>
      </c>
      <c r="N13" s="564">
        <f ca="1"/>
        <v>252617.21999999997</v>
      </c>
      <c r="O13" t="str">
        <f ca="1"/>
        <v>XOM</v>
      </c>
      <c r="P13" s="564">
        <f ca="1"/>
        <v>14398.466399999992</v>
      </c>
      <c r="Q13" t="str">
        <f ca="1"/>
        <v>ENI</v>
      </c>
      <c r="R13" s="656">
        <f ca="1"/>
        <v>9.5467023809523797E-3</v>
      </c>
      <c r="S13" t="str">
        <f ca="1"/>
        <v>LOCK</v>
      </c>
      <c r="T13" s="87">
        <f ca="1"/>
        <v>6630.5999999998603</v>
      </c>
      <c r="U13" t="str">
        <f ca="1"/>
        <v>LOCK</v>
      </c>
      <c r="V13" s="87">
        <f ca="1"/>
        <v>3630.5999999998603</v>
      </c>
      <c r="W13" t="str">
        <f ca="1"/>
        <v>THC</v>
      </c>
      <c r="X13">
        <f ca="1"/>
        <v>1</v>
      </c>
      <c r="Y13" t="str">
        <f ca="1"/>
        <v>ENI</v>
      </c>
      <c r="Z13">
        <f ca="1"/>
        <v>2</v>
      </c>
      <c r="AA13" t="str">
        <f ca="1"/>
        <v>IAG</v>
      </c>
      <c r="AB13">
        <f ca="1"/>
        <v>67</v>
      </c>
      <c r="AC13" t="str">
        <f ca="1"/>
        <v>F</v>
      </c>
      <c r="AD13">
        <f ca="1"/>
        <v>73</v>
      </c>
      <c r="AE13" t="str">
        <f ca="1"/>
        <v>HPE</v>
      </c>
      <c r="AF13" s="87">
        <f ca="1"/>
        <v>0</v>
      </c>
      <c r="AG13" t="str">
        <f ca="1"/>
        <v>ASML</v>
      </c>
      <c r="AH13" s="87">
        <f ca="1"/>
        <v>16100</v>
      </c>
      <c r="AI13" t="str">
        <f ca="1"/>
        <v>NEM</v>
      </c>
      <c r="AJ13" s="87">
        <f ca="1"/>
        <v>10849.999999999995</v>
      </c>
      <c r="AK13" s="90" t="str">
        <f ca="1"/>
        <v>ENI</v>
      </c>
      <c r="AL13" s="312">
        <f ca="1"/>
        <v>9.5467023809523797E-3</v>
      </c>
      <c r="AM13" t="str">
        <f ca="1"/>
        <v>VONN</v>
      </c>
      <c r="AN13" s="312" t="str">
        <f ca="1"/>
        <v/>
      </c>
      <c r="AO13" t="str">
        <f ca="1"/>
        <v>GM</v>
      </c>
      <c r="AP13" s="312">
        <f ca="1"/>
        <v>-0.33254544932529423</v>
      </c>
      <c r="AQ13" s="87" t="str">
        <f ca="1"/>
        <v>AAPL</v>
      </c>
      <c r="AR13" s="90">
        <f ca="1"/>
        <v>1.5934331240946382</v>
      </c>
      <c r="AS13" s="94" t="str">
        <f ca="1"/>
        <v>C</v>
      </c>
      <c r="AT13" s="90">
        <f ca="1"/>
        <v>0.5</v>
      </c>
    </row>
    <row r="14" spans="1:50">
      <c r="A14" s="723" t="s">
        <v>1856</v>
      </c>
      <c r="B14" s="1" t="str" cm="1">
        <f t="array" aca="1" ref="B14" ca="1">INDIRECT("SORTING!" &amp; ADDRESS(ROW(), A$2+3))</f>
        <v>CVS</v>
      </c>
      <c r="C14" s="1" t="str">
        <f ca="1">_xlfn.XLOOKUP(D14,[1]!RTData[Ticker symbol],[1]!RTData[Currency])</f>
        <v>USD</v>
      </c>
      <c r="D14" s="153" t="str">
        <f ca="1">TabCalc[[#This Row],[Ticker]]</f>
        <v>CVS</v>
      </c>
      <c r="E14" t="str">
        <f ca="1"/>
        <v>THC</v>
      </c>
      <c r="F14" s="563">
        <f ca="1"/>
        <v>1.7966639763795496</v>
      </c>
      <c r="G14" s="153" t="str">
        <f ca="1"/>
        <v>JBEOAN</v>
      </c>
      <c r="H14" s="564">
        <f ca="1"/>
        <v>318683.02100000001</v>
      </c>
      <c r="I14" t="str">
        <f ca="1"/>
        <v>AVGO</v>
      </c>
      <c r="J14" s="565">
        <f ca="1"/>
        <v>3.4483E-2</v>
      </c>
      <c r="K14" s="153" t="str">
        <f ca="1"/>
        <v>PROF</v>
      </c>
      <c r="L14" s="565">
        <f ca="1"/>
        <v>3.6562000000000004E-2</v>
      </c>
      <c r="M14" s="1" t="str">
        <f ca="1"/>
        <v>NEM</v>
      </c>
      <c r="N14" s="564">
        <f ca="1"/>
        <v>210282.46900000001</v>
      </c>
      <c r="O14" t="str">
        <f ca="1"/>
        <v>SAFASML</v>
      </c>
      <c r="P14" s="564">
        <f ca="1"/>
        <v>12613.918319999995</v>
      </c>
      <c r="Q14" t="str">
        <f ca="1"/>
        <v>OXY</v>
      </c>
      <c r="R14" s="656">
        <f ca="1"/>
        <v>9.0861845238095242E-3</v>
      </c>
      <c r="S14" t="str">
        <f ca="1"/>
        <v>IAG</v>
      </c>
      <c r="T14" s="87">
        <f ca="1"/>
        <v>4800</v>
      </c>
      <c r="U14" t="str">
        <f ca="1"/>
        <v>MRNA</v>
      </c>
      <c r="V14" s="87">
        <f ca="1"/>
        <v>2638.45</v>
      </c>
      <c r="W14" t="str">
        <f ca="1"/>
        <v>X</v>
      </c>
      <c r="X14">
        <f ca="1"/>
        <v>1</v>
      </c>
      <c r="Y14" t="str">
        <f ca="1"/>
        <v>JBEOAN</v>
      </c>
      <c r="Z14">
        <f ca="1"/>
        <v>2</v>
      </c>
      <c r="AA14" t="str">
        <f ca="1"/>
        <v>LUMN</v>
      </c>
      <c r="AB14">
        <f ca="1"/>
        <v>67</v>
      </c>
      <c r="AC14" t="str">
        <f ca="1"/>
        <v>CSCO</v>
      </c>
      <c r="AD14">
        <f ca="1"/>
        <v>71</v>
      </c>
      <c r="AE14" t="str">
        <f ca="1"/>
        <v>IAG</v>
      </c>
      <c r="AF14" s="87">
        <f ca="1"/>
        <v>0</v>
      </c>
      <c r="AG14" t="str">
        <f ca="1"/>
        <v>ENI</v>
      </c>
      <c r="AH14" s="87">
        <f ca="1"/>
        <v>9669.6600000000108</v>
      </c>
      <c r="AI14" t="str">
        <f ca="1"/>
        <v>PFE</v>
      </c>
      <c r="AJ14" s="87">
        <f ca="1"/>
        <v>10335.821999999998</v>
      </c>
      <c r="AK14" s="90" t="str">
        <f ca="1"/>
        <v>OXY</v>
      </c>
      <c r="AL14" s="312">
        <f ca="1"/>
        <v>9.0861845238095242E-3</v>
      </c>
      <c r="AM14" t="str">
        <f ca="1"/>
        <v>XPER</v>
      </c>
      <c r="AN14" s="312" t="str">
        <f ca="1"/>
        <v/>
      </c>
      <c r="AO14" t="str">
        <f ca="1"/>
        <v>CVS</v>
      </c>
      <c r="AP14" s="312">
        <f ca="1"/>
        <v>-0.31840385695105583</v>
      </c>
      <c r="AQ14" s="87" t="str">
        <f ca="1"/>
        <v>AVGO</v>
      </c>
      <c r="AR14" s="90">
        <f ca="1"/>
        <v>1.5265506739438532</v>
      </c>
      <c r="AS14" s="94" t="str">
        <f ca="1"/>
        <v>DXC</v>
      </c>
      <c r="AT14" s="90">
        <f ca="1"/>
        <v>0.5</v>
      </c>
    </row>
    <row r="15" spans="1:50">
      <c r="A15" s="654" t="s">
        <v>1893</v>
      </c>
      <c r="B15" s="1" t="str" cm="1">
        <f t="array" aca="1" ref="B15" ca="1">INDIRECT("SORTING!" &amp; ADDRESS(ROW(), A$2+3))</f>
        <v>DDD</v>
      </c>
      <c r="C15" s="1" t="str">
        <f ca="1">_xlfn.XLOOKUP(D15,[1]!RTData[Ticker symbol],[1]!RTData[Currency])</f>
        <v>USD</v>
      </c>
      <c r="D15" s="153" t="str">
        <f ca="1">TabCalc[[#This Row],[Ticker]]</f>
        <v>DDD</v>
      </c>
      <c r="E15" t="str">
        <f ca="1"/>
        <v>ALDNE</v>
      </c>
      <c r="F15" s="563">
        <f ca="1"/>
        <v>1.7439469320066334</v>
      </c>
      <c r="G15" s="153" t="str">
        <f ca="1"/>
        <v>THC</v>
      </c>
      <c r="H15" s="564">
        <f ca="1"/>
        <v>308735.848</v>
      </c>
      <c r="I15" t="str">
        <f ca="1"/>
        <v>AET</v>
      </c>
      <c r="J15" s="565">
        <f ca="1"/>
        <v>3.1531999999999998E-2</v>
      </c>
      <c r="K15" s="153" t="str">
        <f ca="1"/>
        <v>UNIT</v>
      </c>
      <c r="L15" s="565">
        <f ca="1"/>
        <v>3.4483E-2</v>
      </c>
      <c r="M15" s="1" t="str">
        <f ca="1"/>
        <v>JBEOAN</v>
      </c>
      <c r="N15" s="564">
        <f ca="1"/>
        <v>193410.00000000003</v>
      </c>
      <c r="O15" t="str">
        <f ca="1"/>
        <v>NVS</v>
      </c>
      <c r="P15" s="564">
        <f ca="1"/>
        <v>10911.356520000008</v>
      </c>
      <c r="Q15" t="str">
        <f ca="1"/>
        <v>RIGL</v>
      </c>
      <c r="R15" s="656">
        <f ca="1"/>
        <v>8.1552261904761884E-3</v>
      </c>
      <c r="S15" t="str">
        <f ca="1"/>
        <v>SAFAMZN</v>
      </c>
      <c r="T15" s="87">
        <f ca="1"/>
        <v>3360</v>
      </c>
      <c r="U15" t="str">
        <f ca="1"/>
        <v>BMRA</v>
      </c>
      <c r="V15" s="87">
        <f ca="1"/>
        <v>2350</v>
      </c>
      <c r="W15" t="str">
        <f ca="1"/>
        <v>JBEOAN</v>
      </c>
      <c r="X15">
        <f ca="1"/>
        <v>1</v>
      </c>
      <c r="Y15" t="str">
        <f ca="1"/>
        <v>AAPL</v>
      </c>
      <c r="Z15">
        <f ca="1"/>
        <v>3</v>
      </c>
      <c r="AA15" t="str">
        <f ca="1"/>
        <v>SAFIAG</v>
      </c>
      <c r="AB15">
        <f ca="1"/>
        <v>67</v>
      </c>
      <c r="AC15" t="str">
        <f ca="1"/>
        <v>CVS</v>
      </c>
      <c r="AD15">
        <f ca="1"/>
        <v>69</v>
      </c>
      <c r="AE15" t="str">
        <f ca="1"/>
        <v>LNSR</v>
      </c>
      <c r="AF15" s="87">
        <f ca="1"/>
        <v>0</v>
      </c>
      <c r="AG15" t="str">
        <f ca="1"/>
        <v>SSYS</v>
      </c>
      <c r="AH15" s="87">
        <f ca="1"/>
        <v>8220</v>
      </c>
      <c r="AI15" t="str">
        <f ca="1"/>
        <v>OXY</v>
      </c>
      <c r="AJ15" s="87">
        <f ca="1"/>
        <v>9290</v>
      </c>
      <c r="AK15" s="90" t="str">
        <f ca="1"/>
        <v>RIGL</v>
      </c>
      <c r="AL15" s="312">
        <f ca="1"/>
        <v>8.1552261904761884E-3</v>
      </c>
      <c r="AM15" t="str">
        <f ca="1"/>
        <v>SAFGM</v>
      </c>
      <c r="AN15" s="312" t="str">
        <f ca="1"/>
        <v/>
      </c>
      <c r="AO15" t="str">
        <f ca="1"/>
        <v>MVEEOAN</v>
      </c>
      <c r="AP15" s="312">
        <f ca="1"/>
        <v>-0.31500285980727383</v>
      </c>
      <c r="AQ15" s="87" t="str">
        <f ca="1"/>
        <v>NEE</v>
      </c>
      <c r="AR15" s="90">
        <f ca="1"/>
        <v>1.4780803428287725</v>
      </c>
      <c r="AS15" s="94" t="str">
        <f ca="1"/>
        <v>NEE</v>
      </c>
      <c r="AT15" s="90">
        <f ca="1"/>
        <v>0.5</v>
      </c>
    </row>
    <row r="16" spans="1:50">
      <c r="A16" s="362" t="s">
        <v>2097</v>
      </c>
      <c r="B16" s="1" t="str" cm="1">
        <f t="array" aca="1" ref="B16" ca="1">INDIRECT("SORTING!" &amp; ADDRESS(ROW(), A$2+3))</f>
        <v>DIS</v>
      </c>
      <c r="C16" s="1" t="str">
        <f ca="1">_xlfn.XLOOKUP(D16,[1]!RTData[Ticker symbol],[1]!RTData[Currency])</f>
        <v>USD</v>
      </c>
      <c r="D16" s="153" t="str">
        <f ca="1">TabCalc[[#This Row],[Ticker]]</f>
        <v>DIS</v>
      </c>
      <c r="E16" t="str">
        <f ca="1"/>
        <v>MVEALDNE</v>
      </c>
      <c r="F16" s="563">
        <f ca="1"/>
        <v>1.7439469320066334</v>
      </c>
      <c r="G16" s="153" t="str">
        <f ca="1"/>
        <v>SAFASML</v>
      </c>
      <c r="H16" s="564">
        <f ca="1"/>
        <v>182155.55800000002</v>
      </c>
      <c r="I16" t="str">
        <f ca="1"/>
        <v>AZN</v>
      </c>
      <c r="J16" s="565">
        <f ca="1"/>
        <v>2.8580999999999999E-2</v>
      </c>
      <c r="K16" s="153" t="str">
        <f ca="1"/>
        <v>AET</v>
      </c>
      <c r="L16" s="565">
        <f ca="1"/>
        <v>3.1531999999999998E-2</v>
      </c>
      <c r="M16" s="1" t="str">
        <f ca="1"/>
        <v>DVA</v>
      </c>
      <c r="N16" s="564">
        <f ca="1"/>
        <v>138764.5</v>
      </c>
      <c r="O16" t="str">
        <f ca="1"/>
        <v>MVEEOAN</v>
      </c>
      <c r="P16" s="564">
        <f ca="1"/>
        <v>10512.346650000001</v>
      </c>
      <c r="Q16" t="str">
        <f ca="1"/>
        <v>LUMN</v>
      </c>
      <c r="R16" s="656">
        <f ca="1"/>
        <v>7.5708928571428559E-3</v>
      </c>
      <c r="S16" t="str">
        <f ca="1"/>
        <v>VONN</v>
      </c>
      <c r="T16" s="87">
        <f ca="1"/>
        <v>3200</v>
      </c>
      <c r="U16" t="str">
        <f ca="1"/>
        <v>JBEOAN</v>
      </c>
      <c r="V16" s="87">
        <f ca="1"/>
        <v>2070</v>
      </c>
      <c r="W16" t="str">
        <f ca="1"/>
        <v>ASML</v>
      </c>
      <c r="X16">
        <f ca="1"/>
        <v>2</v>
      </c>
      <c r="Y16" t="str">
        <f ca="1"/>
        <v>ADEA</v>
      </c>
      <c r="Z16">
        <f ca="1"/>
        <v>3</v>
      </c>
      <c r="AA16" t="str">
        <f ca="1"/>
        <v>EZJ</v>
      </c>
      <c r="AB16">
        <f ca="1"/>
        <v>67</v>
      </c>
      <c r="AC16" t="str">
        <f ca="1"/>
        <v>IAG</v>
      </c>
      <c r="AD16">
        <f ca="1"/>
        <v>69</v>
      </c>
      <c r="AE16" t="str">
        <f ca="1"/>
        <v>LUMN</v>
      </c>
      <c r="AF16" s="87">
        <f ca="1"/>
        <v>0</v>
      </c>
      <c r="AG16" t="str">
        <f ca="1"/>
        <v>POET</v>
      </c>
      <c r="AH16" s="87">
        <f ca="1"/>
        <v>7775.0000000000009</v>
      </c>
      <c r="AI16" t="str">
        <f ca="1"/>
        <v>DVA</v>
      </c>
      <c r="AJ16" s="87">
        <f ca="1"/>
        <v>9012</v>
      </c>
      <c r="AK16" s="90" t="str">
        <f ca="1"/>
        <v>LUMN</v>
      </c>
      <c r="AL16" s="312">
        <f ca="1"/>
        <v>7.5708928571428559E-3</v>
      </c>
      <c r="AM16" t="str">
        <f ca="1"/>
        <v>SAFIAG</v>
      </c>
      <c r="AN16" s="312" t="str">
        <f ca="1"/>
        <v/>
      </c>
      <c r="AO16" t="str">
        <f ca="1"/>
        <v>TSM</v>
      </c>
      <c r="AP16" s="312">
        <f ca="1"/>
        <v>-0.31114075835141491</v>
      </c>
      <c r="AQ16" s="87" t="str">
        <f ca="1"/>
        <v>DDD</v>
      </c>
      <c r="AR16" s="90">
        <f ca="1"/>
        <v>1.3852267709581783</v>
      </c>
      <c r="AS16" s="94" t="str">
        <f ca="1"/>
        <v>TSM</v>
      </c>
      <c r="AT16" s="90">
        <f ca="1"/>
        <v>0.5</v>
      </c>
    </row>
    <row r="17" spans="1:46">
      <c r="A17" s="708" t="s">
        <v>2090</v>
      </c>
      <c r="B17" s="1" t="str" cm="1">
        <f t="array" aca="1" ref="B17" ca="1">INDIRECT("SORTING!" &amp; ADDRESS(ROW(), A$2+3))</f>
        <v>DSY</v>
      </c>
      <c r="C17" s="1" t="str">
        <f ca="1">_xlfn.XLOOKUP(D17,[1]!RTData[Ticker symbol],[1]!RTData[Currency])</f>
        <v>EUR</v>
      </c>
      <c r="D17" s="153" t="str">
        <f ca="1">TabCalc[[#This Row],[Ticker]]</f>
        <v>DSY</v>
      </c>
      <c r="E17" t="str">
        <f ca="1"/>
        <v>NEM</v>
      </c>
      <c r="F17" s="563">
        <f ca="1"/>
        <v>1.6303912010571617</v>
      </c>
      <c r="G17" s="153" t="str">
        <f ca="1"/>
        <v>HPE</v>
      </c>
      <c r="H17" s="564">
        <f ca="1"/>
        <v>178794</v>
      </c>
      <c r="I17" t="str">
        <f ca="1"/>
        <v>CSCO</v>
      </c>
      <c r="J17" s="565">
        <f ca="1"/>
        <v>2.1770999999999999E-2</v>
      </c>
      <c r="K17" s="153" t="str">
        <f ca="1"/>
        <v>AVGO</v>
      </c>
      <c r="L17" s="565">
        <f ca="1"/>
        <v>2.8580999999999999E-2</v>
      </c>
      <c r="M17" s="1" t="str">
        <f ca="1"/>
        <v>AVGO</v>
      </c>
      <c r="N17" s="564">
        <f ca="1"/>
        <v>137932</v>
      </c>
      <c r="O17" t="str">
        <f ca="1"/>
        <v>LNSR</v>
      </c>
      <c r="P17" s="564">
        <f ca="1"/>
        <v>10502.621999999999</v>
      </c>
      <c r="Q17" t="str">
        <f ca="1"/>
        <v>THC</v>
      </c>
      <c r="R17" s="656">
        <f ca="1"/>
        <v>6.8959952380952382E-3</v>
      </c>
      <c r="S17" t="str">
        <f ca="1"/>
        <v>MVEALDNE</v>
      </c>
      <c r="T17" s="87">
        <f ca="1"/>
        <v>3030</v>
      </c>
      <c r="U17" t="str">
        <f ca="1"/>
        <v>EZJ</v>
      </c>
      <c r="V17" s="87">
        <f ca="1"/>
        <v>2010</v>
      </c>
      <c r="W17" t="str">
        <f ca="1"/>
        <v>IAG</v>
      </c>
      <c r="X17">
        <f ca="1"/>
        <v>2</v>
      </c>
      <c r="Y17" t="str">
        <f ca="1"/>
        <v>POET</v>
      </c>
      <c r="Z17">
        <f ca="1"/>
        <v>3</v>
      </c>
      <c r="AA17" t="str">
        <f ca="1"/>
        <v>NVS</v>
      </c>
      <c r="AB17">
        <f ca="1"/>
        <v>66</v>
      </c>
      <c r="AC17" t="str">
        <f ca="1"/>
        <v>MSFT</v>
      </c>
      <c r="AD17">
        <f ca="1"/>
        <v>69</v>
      </c>
      <c r="AE17" t="str">
        <f ca="1"/>
        <v>MSFT</v>
      </c>
      <c r="AF17" s="87">
        <f ca="1"/>
        <v>0</v>
      </c>
      <c r="AG17" t="str">
        <f ca="1"/>
        <v>EZJ</v>
      </c>
      <c r="AH17" s="87">
        <f ca="1"/>
        <v>7018.0000000000064</v>
      </c>
      <c r="AI17" t="str">
        <f ca="1"/>
        <v>MVEUN0</v>
      </c>
      <c r="AJ17" s="87">
        <f ca="1"/>
        <v>7700.64</v>
      </c>
      <c r="AK17" s="90" t="str">
        <f ca="1"/>
        <v>THC</v>
      </c>
      <c r="AL17" s="312">
        <f ca="1"/>
        <v>6.8959952380952382E-3</v>
      </c>
      <c r="AM17" t="str">
        <f ca="1"/>
        <v>ENI</v>
      </c>
      <c r="AN17" s="312" t="str">
        <f ca="1"/>
        <v/>
      </c>
      <c r="AO17" t="str">
        <f ca="1"/>
        <v>POET</v>
      </c>
      <c r="AP17" s="312">
        <f ca="1"/>
        <v>-0.30694992124566856</v>
      </c>
      <c r="AQ17" s="87" t="str">
        <f ca="1"/>
        <v>SAFDDD</v>
      </c>
      <c r="AR17" s="90">
        <f ca="1"/>
        <v>1.350222039011411</v>
      </c>
      <c r="AS17" s="94" t="str">
        <f ca="1"/>
        <v>VTRS</v>
      </c>
      <c r="AT17" s="90">
        <f ca="1"/>
        <v>0.5</v>
      </c>
    </row>
    <row r="18" spans="1:46">
      <c r="A18" s="723" t="s">
        <v>1894</v>
      </c>
      <c r="B18" s="1" t="str" cm="1">
        <f t="array" aca="1" ref="B18" ca="1">INDIRECT("SORTING!" &amp; ADDRESS(ROW(), A$2+3))</f>
        <v>DVA</v>
      </c>
      <c r="C18" s="1" t="str">
        <f ca="1">_xlfn.XLOOKUP(D18,[1]!RTData[Ticker symbol],[1]!RTData[Currency])</f>
        <v>USD</v>
      </c>
      <c r="D18" s="153" t="str">
        <f ca="1">TabCalc[[#This Row],[Ticker]]</f>
        <v>DVA</v>
      </c>
      <c r="E18" t="str">
        <f ca="1"/>
        <v>NFLX</v>
      </c>
      <c r="F18" s="563">
        <f ca="1"/>
        <v>1.5614994580883679</v>
      </c>
      <c r="G18" s="153" t="str">
        <f ca="1"/>
        <v>SAFIAG</v>
      </c>
      <c r="H18" s="564">
        <f ca="1"/>
        <v>177515</v>
      </c>
      <c r="I18" t="str">
        <f ca="1"/>
        <v>RWE</v>
      </c>
      <c r="J18" s="565">
        <f ca="1"/>
        <v>1.9734999999999999E-2</v>
      </c>
      <c r="K18" s="153" t="str">
        <f ca="1"/>
        <v>C</v>
      </c>
      <c r="L18" s="565">
        <f ca="1"/>
        <v>2.1615000000000002E-2</v>
      </c>
      <c r="M18" s="1" t="str">
        <f ca="1"/>
        <v>POET</v>
      </c>
      <c r="N18" s="564">
        <f ca="1"/>
        <v>136800</v>
      </c>
      <c r="O18" t="str">
        <f ca="1"/>
        <v>RRC</v>
      </c>
      <c r="P18" s="564">
        <f ca="1"/>
        <v>8782.1069999999781</v>
      </c>
      <c r="Q18" t="str">
        <f ca="1"/>
        <v>XOM</v>
      </c>
      <c r="R18" s="656">
        <f ca="1"/>
        <v>6.8561785714285721E-3</v>
      </c>
      <c r="S18" t="str">
        <f ca="1"/>
        <v>PAAS</v>
      </c>
      <c r="T18" s="87">
        <f ca="1"/>
        <v>2880</v>
      </c>
      <c r="U18" t="str">
        <f ca="1"/>
        <v>AZN</v>
      </c>
      <c r="V18" s="87">
        <f ca="1"/>
        <v>1744</v>
      </c>
      <c r="W18" t="str">
        <f ca="1"/>
        <v>VONN</v>
      </c>
      <c r="X18">
        <f ca="1"/>
        <v>2</v>
      </c>
      <c r="Y18" t="str">
        <f ca="1"/>
        <v>UNIT</v>
      </c>
      <c r="Z18">
        <f ca="1"/>
        <v>3</v>
      </c>
      <c r="AA18" t="str">
        <f ca="1"/>
        <v>XYZ</v>
      </c>
      <c r="AB18">
        <f ca="1"/>
        <v>66</v>
      </c>
      <c r="AC18" t="str">
        <f ca="1"/>
        <v>SAFIAG</v>
      </c>
      <c r="AD18">
        <f ca="1"/>
        <v>69</v>
      </c>
      <c r="AE18" t="str">
        <f ca="1"/>
        <v>NEE</v>
      </c>
      <c r="AF18" s="87">
        <f ca="1"/>
        <v>0</v>
      </c>
      <c r="AG18" t="str">
        <f ca="1"/>
        <v>TSM</v>
      </c>
      <c r="AH18" s="87">
        <f ca="1"/>
        <v>6846.0000000000036</v>
      </c>
      <c r="AI18" t="str">
        <f ca="1"/>
        <v>DSY</v>
      </c>
      <c r="AJ18" s="87">
        <f ca="1"/>
        <v>6899.9999999999982</v>
      </c>
      <c r="AK18" s="90" t="str">
        <f ca="1"/>
        <v>XOM</v>
      </c>
      <c r="AL18" s="312">
        <f ca="1"/>
        <v>6.8561785714285721E-3</v>
      </c>
      <c r="AM18" t="str">
        <f ca="1"/>
        <v>F</v>
      </c>
      <c r="AN18" s="312" t="str">
        <f ca="1"/>
        <v/>
      </c>
      <c r="AO18" t="str">
        <f ca="1"/>
        <v>SAFGM</v>
      </c>
      <c r="AP18" s="312">
        <f ca="1"/>
        <v>-0.30444610967556696</v>
      </c>
      <c r="AQ18" s="87" t="str">
        <f ca="1"/>
        <v>PAAS</v>
      </c>
      <c r="AR18" s="90">
        <f ca="1"/>
        <v>1.2497200447928425</v>
      </c>
      <c r="AS18" s="94" t="str">
        <f ca="1"/>
        <v>MVEGLE</v>
      </c>
      <c r="AT18" s="90">
        <f ca="1"/>
        <v>0.5</v>
      </c>
    </row>
    <row r="19" spans="1:46">
      <c r="A19" s="707" t="s">
        <v>2090</v>
      </c>
      <c r="B19" s="1" t="str" cm="1">
        <f t="array" aca="1" ref="B19" ca="1">INDIRECT("SORTING!" &amp; ADDRESS(ROW(), A$2+3))</f>
        <v>DXC</v>
      </c>
      <c r="C19" s="1" t="str">
        <f ca="1">_xlfn.XLOOKUP(D19,[1]!RTData[Ticker symbol],[1]!RTData[Currency])</f>
        <v>USD</v>
      </c>
      <c r="D19" s="153" t="str">
        <f ca="1">TabCalc[[#This Row],[Ticker]]</f>
        <v>DXC</v>
      </c>
      <c r="E19" t="str">
        <f ca="1"/>
        <v>LUMN</v>
      </c>
      <c r="F19" s="563">
        <f ca="1"/>
        <v>1.5440348459384818</v>
      </c>
      <c r="G19" s="153" t="str">
        <f ca="1"/>
        <v>VONN</v>
      </c>
      <c r="H19" s="564">
        <f ca="1"/>
        <v>167804.30999999994</v>
      </c>
      <c r="I19" t="str">
        <f ca="1"/>
        <v>ADEA</v>
      </c>
      <c r="J19" s="565">
        <f ca="1"/>
        <v>1.9678000000000001E-2</v>
      </c>
      <c r="K19" s="153" t="str">
        <f ca="1"/>
        <v>RIGL</v>
      </c>
      <c r="L19" s="565">
        <f ca="1"/>
        <v>1.9734999999999999E-2</v>
      </c>
      <c r="M19" s="1" t="str">
        <f ca="1"/>
        <v>DIS</v>
      </c>
      <c r="N19" s="564">
        <f ca="1"/>
        <v>108692.9411764706</v>
      </c>
      <c r="O19" t="str">
        <f ca="1"/>
        <v>MVEGLE</v>
      </c>
      <c r="P19" s="564">
        <f ca="1"/>
        <v>6193.8540000000003</v>
      </c>
      <c r="Q19" t="str">
        <f ca="1"/>
        <v>GS</v>
      </c>
      <c r="R19" s="656">
        <f ca="1"/>
        <v>6.6217499999999992E-3</v>
      </c>
      <c r="S19" t="str">
        <f ca="1"/>
        <v>MRNA</v>
      </c>
      <c r="T19" s="87">
        <f ca="1"/>
        <v>2640</v>
      </c>
      <c r="U19" t="str">
        <f ca="1"/>
        <v>BLDP</v>
      </c>
      <c r="V19" s="87">
        <f ca="1"/>
        <v>1695</v>
      </c>
      <c r="W19" t="str">
        <f ca="1"/>
        <v>XOM</v>
      </c>
      <c r="X19">
        <f ca="1"/>
        <v>2</v>
      </c>
      <c r="Y19" t="str">
        <f ca="1"/>
        <v>SAFAAPL</v>
      </c>
      <c r="Z19">
        <f ca="1"/>
        <v>3</v>
      </c>
      <c r="AA19" t="str">
        <f ca="1"/>
        <v>VONN</v>
      </c>
      <c r="AB19">
        <f ca="1"/>
        <v>65</v>
      </c>
      <c r="AC19" t="str">
        <f ca="1"/>
        <v>LUMN</v>
      </c>
      <c r="AD19">
        <f ca="1"/>
        <v>67</v>
      </c>
      <c r="AE19" t="str">
        <f ca="1"/>
        <v>NEM</v>
      </c>
      <c r="AF19" s="87">
        <f ca="1"/>
        <v>0</v>
      </c>
      <c r="AG19" t="str">
        <f ca="1"/>
        <v>MVEDDD</v>
      </c>
      <c r="AH19" s="87">
        <f ca="1"/>
        <v>6799.9999999999973</v>
      </c>
      <c r="AI19" t="str">
        <f ca="1"/>
        <v>DIS</v>
      </c>
      <c r="AJ19" s="87">
        <f ca="1"/>
        <v>6159.9999999999909</v>
      </c>
      <c r="AK19" s="90" t="str">
        <f ca="1"/>
        <v>GS</v>
      </c>
      <c r="AL19" s="312">
        <f ca="1"/>
        <v>6.6217499999999992E-3</v>
      </c>
      <c r="AM19" t="str">
        <f ca="1"/>
        <v>GLE</v>
      </c>
      <c r="AN19" s="312" t="str">
        <f ca="1"/>
        <v/>
      </c>
      <c r="AO19" t="str">
        <f ca="1"/>
        <v>RWE</v>
      </c>
      <c r="AP19" s="312">
        <f ca="1"/>
        <v>-0.30331481390189791</v>
      </c>
      <c r="AQ19" s="87" t="str">
        <f ca="1"/>
        <v>IAG</v>
      </c>
      <c r="AR19" s="90">
        <f ca="1"/>
        <v>1.1189544155425319</v>
      </c>
      <c r="AS19" s="94" t="str">
        <f ca="1"/>
        <v>BLNK</v>
      </c>
      <c r="AT19" s="90">
        <f ca="1"/>
        <v>0.5</v>
      </c>
    </row>
    <row r="20" spans="1:46">
      <c r="A20" s="362" t="s">
        <v>2096</v>
      </c>
      <c r="B20" s="1" t="str" cm="1">
        <f t="array" aca="1" ref="B20" ca="1">INDIRECT("SORTING!" &amp; ADDRESS(ROW(), A$2+3))</f>
        <v>EOAN</v>
      </c>
      <c r="C20" s="1" t="str">
        <f ca="1">_xlfn.XLOOKUP(D20,[1]!RTData[Ticker symbol],[1]!RTData[Currency])</f>
        <v>EUR</v>
      </c>
      <c r="D20" s="153" t="str">
        <f ca="1">TabCalc[[#This Row],[Ticker]]</f>
        <v>EOAN</v>
      </c>
      <c r="E20" t="str">
        <f ca="1"/>
        <v>LUV</v>
      </c>
      <c r="F20" s="563">
        <f ca="1"/>
        <v>1.489304344356059</v>
      </c>
      <c r="G20" s="153" t="str">
        <f ca="1"/>
        <v>SAFAMZN</v>
      </c>
      <c r="H20" s="564">
        <f ca="1"/>
        <v>164663.84100000001</v>
      </c>
      <c r="I20" t="str">
        <f ca="1"/>
        <v>JBEOAN</v>
      </c>
      <c r="J20" s="565">
        <f ca="1"/>
        <v>1.9646E-2</v>
      </c>
      <c r="K20" s="153" t="str">
        <f ca="1"/>
        <v>ADEA</v>
      </c>
      <c r="L20" s="565">
        <f ca="1"/>
        <v>1.9678000000000001E-2</v>
      </c>
      <c r="M20" s="1" t="str">
        <f ca="1"/>
        <v>PAAS</v>
      </c>
      <c r="N20" s="564">
        <f ca="1"/>
        <v>107619.66662916714</v>
      </c>
      <c r="O20" t="str">
        <f ca="1"/>
        <v>THC</v>
      </c>
      <c r="P20" s="564">
        <f ca="1"/>
        <v>5824.8160000000034</v>
      </c>
      <c r="Q20" t="str">
        <f ca="1"/>
        <v>LNSR</v>
      </c>
      <c r="R20" s="656">
        <f ca="1"/>
        <v>5.796825595238096E-3</v>
      </c>
      <c r="S20" t="str">
        <f ca="1"/>
        <v>JBEOAN</v>
      </c>
      <c r="T20" s="87">
        <f ca="1"/>
        <v>2070</v>
      </c>
      <c r="U20" t="str">
        <f ca="1"/>
        <v>AVGO</v>
      </c>
      <c r="V20" s="87">
        <f ca="1"/>
        <v>1516.1999999999971</v>
      </c>
      <c r="W20" t="str">
        <f ca="1"/>
        <v>SAFIAG</v>
      </c>
      <c r="X20">
        <f ca="1"/>
        <v>2</v>
      </c>
      <c r="Y20" t="str">
        <f ca="1"/>
        <v>THC</v>
      </c>
      <c r="Z20">
        <f ca="1"/>
        <v>3</v>
      </c>
      <c r="AA20" t="str">
        <f ca="1"/>
        <v>BLDP</v>
      </c>
      <c r="AB20">
        <f ca="1"/>
        <v>64</v>
      </c>
      <c r="AC20" t="str">
        <f ca="1"/>
        <v>AET</v>
      </c>
      <c r="AD20">
        <f ca="1"/>
        <v>66</v>
      </c>
      <c r="AE20" t="str">
        <f ca="1"/>
        <v>PAAS</v>
      </c>
      <c r="AF20" s="87">
        <f ca="1"/>
        <v>0</v>
      </c>
      <c r="AG20" t="str">
        <f ca="1"/>
        <v>RIG</v>
      </c>
      <c r="AH20" s="87">
        <f ca="1"/>
        <v>6760</v>
      </c>
      <c r="AI20" t="str">
        <f ca="1"/>
        <v>RIG</v>
      </c>
      <c r="AJ20" s="87">
        <f ca="1"/>
        <v>5799.9000000000015</v>
      </c>
      <c r="AK20" s="90" t="str">
        <f ca="1"/>
        <v>LNSR</v>
      </c>
      <c r="AL20" s="312">
        <f ca="1"/>
        <v>5.796825595238096E-3</v>
      </c>
      <c r="AM20" t="str">
        <f ca="1"/>
        <v>GNRC</v>
      </c>
      <c r="AN20" s="312" t="str">
        <f ca="1"/>
        <v/>
      </c>
      <c r="AO20" t="str">
        <f ca="1"/>
        <v>LNSR</v>
      </c>
      <c r="AP20" s="312">
        <f ca="1"/>
        <v>-0.29583308270676689</v>
      </c>
      <c r="AQ20" s="87" t="str">
        <f ca="1"/>
        <v>VTRS</v>
      </c>
      <c r="AR20" s="90">
        <f ca="1"/>
        <v>1.0925458637386603</v>
      </c>
      <c r="AS20" s="94" t="str">
        <f ca="1"/>
        <v>OXY</v>
      </c>
      <c r="AT20" s="90">
        <f ca="1"/>
        <v>0.5</v>
      </c>
    </row>
    <row r="21" spans="1:46">
      <c r="A21" s="708" t="s">
        <v>2090</v>
      </c>
      <c r="B21" s="1" t="str" cm="1">
        <f t="array" aca="1" ref="B21" ca="1">INDIRECT("SORTING!" &amp; ADDRESS(ROW(), A$2+3))</f>
        <v>EPIX</v>
      </c>
      <c r="C21" s="1" t="str">
        <f ca="1">_xlfn.XLOOKUP(D21,[1]!RTData[Ticker symbol],[1]!RTData[Currency])</f>
        <v>USD</v>
      </c>
      <c r="D21" s="153" t="str">
        <f ca="1">TabCalc[[#This Row],[Ticker]]</f>
        <v>EPIX</v>
      </c>
      <c r="E21" t="str">
        <f ca="1"/>
        <v>SAP</v>
      </c>
      <c r="F21" s="563">
        <f ca="1"/>
        <v>1.4654710415921433</v>
      </c>
      <c r="G21" s="153" t="str">
        <f ca="1"/>
        <v>AZN</v>
      </c>
      <c r="H21" s="564">
        <f ca="1"/>
        <v>149979.39999999997</v>
      </c>
      <c r="I21" t="str">
        <f ca="1"/>
        <v>NVAX</v>
      </c>
      <c r="J21" s="565">
        <f ca="1"/>
        <v>1.9139E-2</v>
      </c>
      <c r="K21" s="153" t="str">
        <f ca="1"/>
        <v>NVAX</v>
      </c>
      <c r="L21" s="565">
        <f ca="1"/>
        <v>1.9139E-2</v>
      </c>
      <c r="M21" s="1" t="str">
        <f ca="1"/>
        <v>MVEENI</v>
      </c>
      <c r="N21" s="564">
        <f ca="1"/>
        <v>86669.200000000012</v>
      </c>
      <c r="O21" t="str">
        <f ca="1"/>
        <v>F</v>
      </c>
      <c r="P21" s="564">
        <f ca="1"/>
        <v>5445.804000000001</v>
      </c>
      <c r="Q21" t="str">
        <f ca="1"/>
        <v>AAPL</v>
      </c>
      <c r="R21" s="656">
        <f ca="1"/>
        <v>4.9703476190476204E-3</v>
      </c>
      <c r="S21" t="str">
        <f ca="1"/>
        <v>THC</v>
      </c>
      <c r="T21" s="87">
        <f ca="1"/>
        <v>1305</v>
      </c>
      <c r="U21" t="str">
        <f ca="1"/>
        <v>RIGL</v>
      </c>
      <c r="V21" s="87">
        <f ca="1"/>
        <v>1109</v>
      </c>
      <c r="W21" t="str">
        <f ca="1"/>
        <v>LAZR</v>
      </c>
      <c r="X21">
        <f ca="1"/>
        <v>2</v>
      </c>
      <c r="Y21" t="str">
        <f ca="1"/>
        <v>C</v>
      </c>
      <c r="Z21">
        <f ca="1"/>
        <v>4</v>
      </c>
      <c r="AA21" t="str">
        <f ca="1"/>
        <v>POET</v>
      </c>
      <c r="AB21">
        <f ca="1"/>
        <v>64</v>
      </c>
      <c r="AC21" t="str">
        <f ca="1"/>
        <v>XOM</v>
      </c>
      <c r="AD21">
        <f ca="1"/>
        <v>66</v>
      </c>
      <c r="AE21" t="str">
        <f ca="1"/>
        <v>PROF</v>
      </c>
      <c r="AF21" s="87">
        <f ca="1"/>
        <v>0</v>
      </c>
      <c r="AG21" t="str">
        <f ca="1"/>
        <v>AZN</v>
      </c>
      <c r="AH21" s="87">
        <f ca="1"/>
        <v>6725.0000000000018</v>
      </c>
      <c r="AI21" t="str">
        <f ca="1"/>
        <v>UN0</v>
      </c>
      <c r="AJ21" s="87">
        <f ca="1"/>
        <v>4952.0694999999996</v>
      </c>
      <c r="AK21" s="90" t="str">
        <f ca="1"/>
        <v>AAPL</v>
      </c>
      <c r="AL21" s="312">
        <f ca="1"/>
        <v>4.9703476190476204E-3</v>
      </c>
      <c r="AM21" t="str">
        <f ca="1"/>
        <v>GS</v>
      </c>
      <c r="AN21" s="312" t="str">
        <f ca="1"/>
        <v/>
      </c>
      <c r="AO21" t="str">
        <f ca="1"/>
        <v>SAFASML</v>
      </c>
      <c r="AP21" s="312">
        <f ca="1"/>
        <v>-0.27096655635062605</v>
      </c>
      <c r="AQ21" s="87" t="str">
        <f ca="1"/>
        <v>GLE</v>
      </c>
      <c r="AR21" s="90">
        <f ca="1"/>
        <v>1.0913261480098222</v>
      </c>
      <c r="AS21" s="94" t="str">
        <f ca="1"/>
        <v>RRC</v>
      </c>
      <c r="AT21" s="90">
        <f ca="1"/>
        <v>0.5</v>
      </c>
    </row>
    <row r="22" spans="1:46">
      <c r="A22" s="723" t="s">
        <v>2099</v>
      </c>
      <c r="B22" s="1" t="str" cm="1">
        <f t="array" aca="1" ref="B22" ca="1">INDIRECT("SORTING!" &amp; ADDRESS(ROW(), A$2+3))</f>
        <v>GM</v>
      </c>
      <c r="C22" s="1" t="str">
        <f ca="1">_xlfn.XLOOKUP(D22,[1]!RTData[Ticker symbol],[1]!RTData[Currency])</f>
        <v>USD</v>
      </c>
      <c r="D22" s="153" t="str">
        <f ca="1">TabCalc[[#This Row],[Ticker]]</f>
        <v>GM</v>
      </c>
      <c r="E22" t="str">
        <f ca="1"/>
        <v>MVESAP</v>
      </c>
      <c r="F22" s="563">
        <f ca="1"/>
        <v>1.4654710415921433</v>
      </c>
      <c r="G22" s="153" t="str">
        <f ca="1"/>
        <v>CSCO</v>
      </c>
      <c r="H22" s="564">
        <f ca="1"/>
        <v>131268.84999999998</v>
      </c>
      <c r="I22" t="str">
        <f ca="1"/>
        <v>MSFT</v>
      </c>
      <c r="J22" s="565">
        <f ca="1"/>
        <v>1.8667E-2</v>
      </c>
      <c r="K22" s="153" t="str">
        <f ca="1"/>
        <v>MRNA</v>
      </c>
      <c r="L22" s="565">
        <f ca="1"/>
        <v>1.8667E-2</v>
      </c>
      <c r="M22" s="1" t="str">
        <f ca="1"/>
        <v>THC</v>
      </c>
      <c r="N22" s="564">
        <f ca="1"/>
        <v>74848.114999999991</v>
      </c>
      <c r="O22" t="str">
        <f ca="1"/>
        <v>ORA</v>
      </c>
      <c r="P22" s="564">
        <f ca="1"/>
        <v>3770.1720000000009</v>
      </c>
      <c r="Q22" t="str">
        <f ca="1"/>
        <v>SAFAAPL</v>
      </c>
      <c r="R22" s="656">
        <f ca="1"/>
        <v>4.9703476190476204E-3</v>
      </c>
      <c r="S22" t="str">
        <f ca="1"/>
        <v>BLDP</v>
      </c>
      <c r="T22" s="87">
        <f ca="1"/>
        <v>1200</v>
      </c>
      <c r="U22" t="str">
        <f ca="1"/>
        <v>PAAS</v>
      </c>
      <c r="V22" s="87">
        <f ca="1"/>
        <v>746.63999999999942</v>
      </c>
      <c r="W22" t="str">
        <f ca="1"/>
        <v>LOCK</v>
      </c>
      <c r="X22">
        <f ca="1"/>
        <v>2</v>
      </c>
      <c r="Y22" t="str">
        <f ca="1"/>
        <v>EPIX</v>
      </c>
      <c r="Z22">
        <f ca="1"/>
        <v>4</v>
      </c>
      <c r="AA22" t="str">
        <f ca="1"/>
        <v>SAFASML</v>
      </c>
      <c r="AB22">
        <f ca="1"/>
        <v>64</v>
      </c>
      <c r="AC22" t="str">
        <f ca="1"/>
        <v>EZJ</v>
      </c>
      <c r="AD22">
        <f ca="1"/>
        <v>66</v>
      </c>
      <c r="AE22" t="str">
        <f ca="1"/>
        <v>POET</v>
      </c>
      <c r="AF22" s="87">
        <f ca="1"/>
        <v>0</v>
      </c>
      <c r="AG22" t="str">
        <f ca="1"/>
        <v>JBEOAN</v>
      </c>
      <c r="AH22" s="87">
        <f ca="1"/>
        <v>6325.0000000000027</v>
      </c>
      <c r="AI22" t="str">
        <f ca="1"/>
        <v>KR</v>
      </c>
      <c r="AJ22" s="87">
        <f ca="1"/>
        <v>4709.9999999999936</v>
      </c>
      <c r="AK22" s="90" t="str">
        <f ca="1"/>
        <v>SAFAAPL</v>
      </c>
      <c r="AL22" s="312">
        <f ca="1"/>
        <v>4.9703476190476204E-3</v>
      </c>
      <c r="AM22" t="str">
        <f ca="1"/>
        <v>MA</v>
      </c>
      <c r="AN22" s="312" t="str">
        <f ca="1"/>
        <v/>
      </c>
      <c r="AO22" t="str">
        <f ca="1"/>
        <v>SAFIAG</v>
      </c>
      <c r="AP22" s="312">
        <f ca="1"/>
        <v>-0.26620975609756092</v>
      </c>
      <c r="AQ22" s="87" t="str">
        <f ca="1"/>
        <v>C</v>
      </c>
      <c r="AR22" s="90">
        <f ca="1"/>
        <v>1.076593625498008</v>
      </c>
      <c r="AS22" s="94" t="str">
        <f ca="1"/>
        <v>TSLA</v>
      </c>
      <c r="AT22" s="90">
        <f ca="1"/>
        <v>0.45454545454545453</v>
      </c>
    </row>
    <row r="23" spans="1:46">
      <c r="A23" s="707" t="s">
        <v>2090</v>
      </c>
      <c r="B23" s="1" t="str" cm="1">
        <f t="array" aca="1" ref="B23" ca="1">INDIRECT("SORTING!" &amp; ADDRESS(ROW(), A$2+3))</f>
        <v>HPE</v>
      </c>
      <c r="C23" s="1" t="str">
        <f ca="1">_xlfn.XLOOKUP(D23,[1]!RTData[Ticker symbol],[1]!RTData[Currency])</f>
        <v>USD</v>
      </c>
      <c r="D23" s="153" t="str">
        <f ca="1">TabCalc[[#This Row],[Ticker]]</f>
        <v>HPE</v>
      </c>
      <c r="E23" t="str">
        <f ca="1"/>
        <v>POET</v>
      </c>
      <c r="F23" s="563">
        <f ca="1"/>
        <v>1.322523558249018</v>
      </c>
      <c r="G23" s="153" t="str">
        <f ca="1"/>
        <v>SAFAAPL</v>
      </c>
      <c r="H23" s="564">
        <f ca="1"/>
        <v>124541.83999999997</v>
      </c>
      <c r="I23" t="str">
        <f ca="1"/>
        <v>SAFMRNA</v>
      </c>
      <c r="J23" s="565">
        <f ca="1"/>
        <v>1.8667E-2</v>
      </c>
      <c r="K23" s="153" t="str">
        <f ca="1"/>
        <v>SAFMRNA</v>
      </c>
      <c r="L23" s="565">
        <f ca="1"/>
        <v>1.8667E-2</v>
      </c>
      <c r="M23" s="1" t="str">
        <f ca="1"/>
        <v>SAFASML</v>
      </c>
      <c r="N23" s="564">
        <f ca="1"/>
        <v>60006.761999999981</v>
      </c>
      <c r="O23" t="str">
        <f ca="1"/>
        <v>WBA</v>
      </c>
      <c r="P23" s="564">
        <f ca="1"/>
        <v>2908.0194400000046</v>
      </c>
      <c r="Q23" t="str">
        <f ca="1"/>
        <v>MA</v>
      </c>
      <c r="R23" s="656">
        <f ca="1"/>
        <v>4.6642988095238107E-3</v>
      </c>
      <c r="S23" t="str">
        <f ca="1"/>
        <v>SAFMRNA</v>
      </c>
      <c r="T23" s="87">
        <f ca="1"/>
        <v>1100</v>
      </c>
      <c r="U23" t="str">
        <f ca="1"/>
        <v>PROF</v>
      </c>
      <c r="V23" s="87">
        <f ca="1"/>
        <v>629.99999999998545</v>
      </c>
      <c r="W23" t="str">
        <f ca="1"/>
        <v>MSFT</v>
      </c>
      <c r="X23">
        <f ca="1"/>
        <v>3</v>
      </c>
      <c r="Y23" t="str">
        <f ca="1"/>
        <v>NEE</v>
      </c>
      <c r="Z23">
        <f ca="1"/>
        <v>4</v>
      </c>
      <c r="AA23" t="str">
        <f ca="1"/>
        <v>MSFT</v>
      </c>
      <c r="AB23">
        <f ca="1"/>
        <v>63</v>
      </c>
      <c r="AC23" t="str">
        <f ca="1"/>
        <v>MVEORA</v>
      </c>
      <c r="AD23">
        <f ca="1"/>
        <v>65</v>
      </c>
      <c r="AE23" t="str">
        <f ca="1"/>
        <v>RIGL</v>
      </c>
      <c r="AF23" s="87">
        <f ca="1"/>
        <v>0</v>
      </c>
      <c r="AG23" t="str">
        <f ca="1"/>
        <v>WBA</v>
      </c>
      <c r="AH23" s="87">
        <f ca="1"/>
        <v>5760.2999999999993</v>
      </c>
      <c r="AI23" t="str">
        <f ca="1"/>
        <v>SAFDIS</v>
      </c>
      <c r="AJ23" s="87">
        <f ca="1"/>
        <v>3725.6999999999975</v>
      </c>
      <c r="AK23" s="90" t="str">
        <f ca="1"/>
        <v>MA</v>
      </c>
      <c r="AL23" s="312">
        <f ca="1"/>
        <v>4.6642988095238107E-3</v>
      </c>
      <c r="AM23" t="str">
        <f ca="1"/>
        <v>NVS</v>
      </c>
      <c r="AN23" s="312" t="str">
        <f ca="1"/>
        <v/>
      </c>
      <c r="AO23" t="str">
        <f ca="1"/>
        <v>ASML</v>
      </c>
      <c r="AP23" s="312">
        <f ca="1"/>
        <v>-0.26613333019489693</v>
      </c>
      <c r="AQ23" s="87" t="str">
        <f ca="1"/>
        <v>SAFIAG</v>
      </c>
      <c r="AR23" s="90">
        <f ca="1"/>
        <v>1.012770116652147</v>
      </c>
      <c r="AS23" s="94" t="str">
        <f ca="1"/>
        <v>HPE</v>
      </c>
      <c r="AT23" s="90">
        <f ca="1"/>
        <v>0.44444444444444442</v>
      </c>
    </row>
    <row r="24" spans="1:46">
      <c r="A24" s="362" t="s">
        <v>1897</v>
      </c>
      <c r="B24" s="1" t="str" cm="1">
        <f t="array" aca="1" ref="B24" ca="1">INDIRECT("SORTING!" &amp; ADDRESS(ROW(), A$2+3))</f>
        <v>HPQ</v>
      </c>
      <c r="C24" s="1" t="str">
        <f ca="1">_xlfn.XLOOKUP(D24,[1]!RTData[Ticker symbol],[1]!RTData[Currency])</f>
        <v>USD</v>
      </c>
      <c r="D24" s="153" t="str">
        <f ca="1">TabCalc[[#This Row],[Ticker]]</f>
        <v>HPQ</v>
      </c>
      <c r="E24" t="str">
        <f ca="1"/>
        <v>RIG</v>
      </c>
      <c r="F24" s="563">
        <f ca="1"/>
        <v>1.2634872054354884</v>
      </c>
      <c r="G24" s="153" t="str">
        <f ca="1"/>
        <v>RIGL</v>
      </c>
      <c r="H24" s="564">
        <f ca="1"/>
        <v>123926.22000000013</v>
      </c>
      <c r="I24" t="str">
        <f ca="1"/>
        <v>TSLA</v>
      </c>
      <c r="J24" s="565">
        <f ca="1"/>
        <v>1.7826999999999999E-2</v>
      </c>
      <c r="K24" s="153" t="str">
        <f ca="1"/>
        <v>SSYS</v>
      </c>
      <c r="L24" s="565">
        <f ca="1"/>
        <v>1.7826999999999999E-2</v>
      </c>
      <c r="M24" s="1" t="str">
        <f ca="1"/>
        <v>RIGL</v>
      </c>
      <c r="N24" s="564">
        <f ca="1"/>
        <v>57807.319960000001</v>
      </c>
      <c r="O24" t="str">
        <f ca="1"/>
        <v>MVEENI</v>
      </c>
      <c r="P24" s="564">
        <f ca="1"/>
        <v>2856.5536000000043</v>
      </c>
      <c r="Q24" t="str">
        <f ca="1"/>
        <v>EPIX</v>
      </c>
      <c r="R24" s="656">
        <f ca="1"/>
        <v>4.4907261904761908E-3</v>
      </c>
      <c r="S24" t="str">
        <f ca="1"/>
        <v>SSYS</v>
      </c>
      <c r="T24" s="87">
        <f ca="1"/>
        <v>1056</v>
      </c>
      <c r="U24" t="str">
        <f ca="1"/>
        <v>THC</v>
      </c>
      <c r="V24" s="87">
        <f ca="1"/>
        <v>187.5</v>
      </c>
      <c r="W24" t="str">
        <f ca="1"/>
        <v>SSYS</v>
      </c>
      <c r="X24">
        <f ca="1"/>
        <v>3</v>
      </c>
      <c r="Y24" t="str">
        <f ca="1"/>
        <v>MVEEPIX</v>
      </c>
      <c r="Z24">
        <f ca="1"/>
        <v>4</v>
      </c>
      <c r="AA24" t="str">
        <f ca="1"/>
        <v>NEE</v>
      </c>
      <c r="AB24">
        <f ca="1"/>
        <v>63</v>
      </c>
      <c r="AC24" t="str">
        <f ca="1"/>
        <v>ORA</v>
      </c>
      <c r="AD24">
        <f ca="1"/>
        <v>65</v>
      </c>
      <c r="AE24" t="str">
        <f ca="1"/>
        <v>RWE</v>
      </c>
      <c r="AF24" s="87">
        <f ca="1"/>
        <v>0</v>
      </c>
      <c r="AG24" t="str">
        <f ca="1"/>
        <v>SAFAMZN</v>
      </c>
      <c r="AH24" s="87">
        <f ca="1"/>
        <v>5480.0000000000036</v>
      </c>
      <c r="AI24" t="str">
        <f ca="1"/>
        <v>HPE</v>
      </c>
      <c r="AJ24" s="87">
        <f ca="1"/>
        <v>3084.0000000000005</v>
      </c>
      <c r="AK24" s="90" t="str">
        <f ca="1"/>
        <v>EPIX</v>
      </c>
      <c r="AL24" s="312">
        <f ca="1"/>
        <v>4.4907261904761908E-3</v>
      </c>
      <c r="AM24" t="str">
        <f ca="1"/>
        <v>ORA</v>
      </c>
      <c r="AN24" s="312" t="str">
        <f ca="1"/>
        <v/>
      </c>
      <c r="AO24" t="str">
        <f ca="1"/>
        <v>SAFAAPL</v>
      </c>
      <c r="AP24" s="312">
        <f ca="1"/>
        <v>-0.24217777512039745</v>
      </c>
      <c r="AQ24" s="87" t="str">
        <f ca="1"/>
        <v>X</v>
      </c>
      <c r="AR24" s="90">
        <f ca="1"/>
        <v>0.93828368591633748</v>
      </c>
      <c r="AS24" s="94" t="str">
        <f ca="1"/>
        <v>HPQ</v>
      </c>
      <c r="AT24" s="90">
        <f ca="1"/>
        <v>0.42857142857142855</v>
      </c>
    </row>
    <row r="25" spans="1:46">
      <c r="A25" s="708" t="s">
        <v>2090</v>
      </c>
      <c r="B25" s="1" t="str" cm="1">
        <f t="array" aca="1" ref="B25" ca="1">INDIRECT("SORTING!" &amp; ADDRESS(ROW(), A$2+3))</f>
        <v>IAG</v>
      </c>
      <c r="C25" s="1" t="str">
        <f ca="1">_xlfn.XLOOKUP(D25,[1]!RTData[Ticker symbol],[1]!RTData[Currency])</f>
        <v>GBp</v>
      </c>
      <c r="D25" s="153" t="str">
        <f ca="1">TabCalc[[#This Row],[Ticker]]</f>
        <v>IAG</v>
      </c>
      <c r="E25" t="str">
        <f ca="1"/>
        <v>GM</v>
      </c>
      <c r="F25" s="563">
        <f ca="1"/>
        <v>1.2198274247603278</v>
      </c>
      <c r="G25" s="153" t="str">
        <f ca="1"/>
        <v>POET</v>
      </c>
      <c r="H25" s="564">
        <f ca="1"/>
        <v>115067.48999999999</v>
      </c>
      <c r="I25" t="str">
        <f ca="1"/>
        <v>C</v>
      </c>
      <c r="J25" s="565">
        <f ca="1"/>
        <v>1.7181999999999999E-2</v>
      </c>
      <c r="K25" s="153" t="str">
        <f ca="1"/>
        <v>LUV</v>
      </c>
      <c r="L25" s="565">
        <f ca="1"/>
        <v>1.7378000000000001E-2</v>
      </c>
      <c r="M25" s="1" t="str">
        <f ca="1"/>
        <v>MVEORA</v>
      </c>
      <c r="N25" s="564">
        <f ca="1"/>
        <v>35741.999999999993</v>
      </c>
      <c r="O25" t="str">
        <f ca="1"/>
        <v>CVS</v>
      </c>
      <c r="P25" s="564">
        <f ca="1"/>
        <v>1799.314587000001</v>
      </c>
      <c r="Q25" t="str">
        <f ca="1"/>
        <v>VONN</v>
      </c>
      <c r="R25" s="656">
        <f ca="1"/>
        <v>4.4714047619047615E-3</v>
      </c>
      <c r="S25" t="str">
        <f ca="1"/>
        <v>EZJ</v>
      </c>
      <c r="T25" s="87">
        <f ca="1"/>
        <v>930</v>
      </c>
      <c r="U25" t="str">
        <f ca="1"/>
        <v>LUMN</v>
      </c>
      <c r="V25" s="87">
        <f ca="1"/>
        <v>0.60000000000000853</v>
      </c>
      <c r="W25" t="str">
        <f ca="1"/>
        <v>ADEA</v>
      </c>
      <c r="X25">
        <f ca="1"/>
        <v>4</v>
      </c>
      <c r="Y25" t="str">
        <f ca="1"/>
        <v>LUV</v>
      </c>
      <c r="Z25">
        <f ca="1"/>
        <v>4</v>
      </c>
      <c r="AA25" t="str">
        <f ca="1"/>
        <v>RWE</v>
      </c>
      <c r="AB25">
        <f ca="1"/>
        <v>63</v>
      </c>
      <c r="AC25" t="str">
        <f ca="1"/>
        <v>GNRC</v>
      </c>
      <c r="AD25">
        <f ca="1"/>
        <v>64</v>
      </c>
      <c r="AE25" t="str">
        <f ca="1"/>
        <v>SSYS</v>
      </c>
      <c r="AF25" s="87">
        <f ca="1"/>
        <v>0</v>
      </c>
      <c r="AG25" t="str">
        <f ca="1"/>
        <v>NEE</v>
      </c>
      <c r="AH25" s="87">
        <f ca="1"/>
        <v>5363.8227999999972</v>
      </c>
      <c r="AI25" t="str">
        <f ca="1"/>
        <v>PW</v>
      </c>
      <c r="AJ25" s="87">
        <f ca="1"/>
        <v>2364.2190000000001</v>
      </c>
      <c r="AK25" s="90" t="str">
        <f ca="1"/>
        <v>VONN</v>
      </c>
      <c r="AL25" s="312">
        <f ca="1"/>
        <v>4.4714047619047615E-3</v>
      </c>
      <c r="AM25" t="str">
        <f ca="1"/>
        <v>RIG</v>
      </c>
      <c r="AN25" s="312" t="str">
        <f ca="1"/>
        <v/>
      </c>
      <c r="AO25" t="str">
        <f ca="1"/>
        <v>THC</v>
      </c>
      <c r="AP25" s="312">
        <f ca="1"/>
        <v>-0.23978387362550302</v>
      </c>
      <c r="AQ25" s="87" t="str">
        <f ca="1"/>
        <v>THC</v>
      </c>
      <c r="AR25" s="90">
        <f ca="1"/>
        <v>0.90836811767044179</v>
      </c>
      <c r="AS25" s="94" t="str">
        <f ca="1"/>
        <v>LNSR</v>
      </c>
      <c r="AT25" s="90">
        <f ca="1"/>
        <v>0.42857142857142855</v>
      </c>
    </row>
    <row r="26" spans="1:46">
      <c r="A26" s="723" t="s">
        <v>662</v>
      </c>
      <c r="B26" s="1" t="str" cm="1">
        <f t="array" aca="1" ref="B26" ca="1">INDIRECT("SORTING!" &amp; ADDRESS(ROW(), A$2+3))</f>
        <v>KR</v>
      </c>
      <c r="C26" s="1" t="str">
        <f ca="1">_xlfn.XLOOKUP(D26,[1]!RTData[Ticker symbol],[1]!RTData[Currency])</f>
        <v>USD</v>
      </c>
      <c r="D26" s="153" t="str">
        <f ca="1">TabCalc[[#This Row],[Ticker]]</f>
        <v>KR</v>
      </c>
      <c r="E26" t="str">
        <f ca="1"/>
        <v>SAFGM</v>
      </c>
      <c r="F26" s="563">
        <f ca="1"/>
        <v>1.2198274247603278</v>
      </c>
      <c r="G26" s="153" t="str">
        <f ca="1"/>
        <v>KR</v>
      </c>
      <c r="H26" s="564">
        <f ca="1"/>
        <v>109317.98999999999</v>
      </c>
      <c r="I26" t="str">
        <f ca="1"/>
        <v>LUV</v>
      </c>
      <c r="J26" s="565">
        <f ca="1"/>
        <v>1.7062000000000001E-2</v>
      </c>
      <c r="K26" s="153" t="str">
        <f ca="1"/>
        <v>BMRA</v>
      </c>
      <c r="L26" s="565">
        <f ca="1"/>
        <v>1.7181999999999999E-2</v>
      </c>
      <c r="M26" s="1" t="str">
        <f ca="1"/>
        <v>HPQ</v>
      </c>
      <c r="N26" s="564">
        <f ca="1"/>
        <v>35695.530909090907</v>
      </c>
      <c r="O26" t="str">
        <f ca="1"/>
        <v>VTRS</v>
      </c>
      <c r="P26" s="564">
        <f ca="1"/>
        <v>1396.3599999999967</v>
      </c>
      <c r="Q26" t="str">
        <f ca="1"/>
        <v>RRC</v>
      </c>
      <c r="R26" s="656">
        <f ca="1"/>
        <v>4.3533571428571432E-3</v>
      </c>
      <c r="S26" t="str">
        <f ca="1"/>
        <v>BMRA</v>
      </c>
      <c r="T26" s="87">
        <f ca="1"/>
        <v>750</v>
      </c>
      <c r="U26" t="str">
        <f ca="1"/>
        <v>MVERWE</v>
      </c>
      <c r="V26" s="87">
        <f ca="1"/>
        <v>0.17999999999999972</v>
      </c>
      <c r="W26" t="str">
        <f ca="1"/>
        <v>AMZN</v>
      </c>
      <c r="X26">
        <f ca="1"/>
        <v>4</v>
      </c>
      <c r="Y26" t="str">
        <f ca="1"/>
        <v>BLDP</v>
      </c>
      <c r="Z26">
        <f ca="1"/>
        <v>5</v>
      </c>
      <c r="AA26" t="str">
        <f ca="1"/>
        <v>MVEENI</v>
      </c>
      <c r="AB26">
        <f ca="1"/>
        <v>63</v>
      </c>
      <c r="AC26" t="str">
        <f ca="1"/>
        <v>AMZN</v>
      </c>
      <c r="AD26">
        <f ca="1"/>
        <v>63</v>
      </c>
      <c r="AE26" t="str">
        <f ca="1"/>
        <v>TSLA</v>
      </c>
      <c r="AF26" s="87">
        <f ca="1"/>
        <v>0</v>
      </c>
      <c r="AG26" t="str">
        <f ca="1"/>
        <v>VLVLY</v>
      </c>
      <c r="AH26" s="87">
        <f ca="1"/>
        <v>5190.0000000000009</v>
      </c>
      <c r="AI26" t="str">
        <f ca="1"/>
        <v>SSYS</v>
      </c>
      <c r="AJ26" s="87">
        <f ca="1"/>
        <v>2332.5999000000002</v>
      </c>
      <c r="AK26" s="90" t="str">
        <f ca="1"/>
        <v>RRC</v>
      </c>
      <c r="AL26" s="312">
        <f ca="1"/>
        <v>4.3533571428571432E-3</v>
      </c>
      <c r="AM26" t="str">
        <f ca="1"/>
        <v>RRC</v>
      </c>
      <c r="AN26" s="312" t="str">
        <f ca="1"/>
        <v/>
      </c>
      <c r="AO26" t="str">
        <f ca="1"/>
        <v>ADEA</v>
      </c>
      <c r="AP26" s="312">
        <f ca="1"/>
        <v>-0.23799298245614048</v>
      </c>
      <c r="AQ26" s="87" t="str">
        <f ca="1"/>
        <v>SAFAAPL</v>
      </c>
      <c r="AR26" s="90">
        <f ca="1"/>
        <v>0.84621598202352766</v>
      </c>
      <c r="AS26" s="94" t="str">
        <f ca="1"/>
        <v>MSFT</v>
      </c>
      <c r="AT26" s="90">
        <f ca="1"/>
        <v>0.42857142857142855</v>
      </c>
    </row>
    <row r="27" spans="1:46">
      <c r="A27" s="707" t="s">
        <v>2090</v>
      </c>
      <c r="B27" s="1" t="str" cm="1">
        <f t="array" aca="1" ref="B27" ca="1">INDIRECT("SORTING!" &amp; ADDRESS(ROW(), A$2+3))</f>
        <v>LNSR</v>
      </c>
      <c r="C27" s="1" t="str">
        <f ca="1">_xlfn.XLOOKUP(D27,[1]!RTData[Ticker symbol],[1]!RTData[Currency])</f>
        <v>USD</v>
      </c>
      <c r="D27" s="153" t="str">
        <f ca="1">TabCalc[[#This Row],[Ticker]]</f>
        <v>LNSR</v>
      </c>
      <c r="E27" t="str">
        <f ca="1"/>
        <v>IAG</v>
      </c>
      <c r="F27" s="563">
        <f ca="1"/>
        <v>1.2126103721618735</v>
      </c>
      <c r="G27" s="153" t="str">
        <f ca="1"/>
        <v>MVEORA</v>
      </c>
      <c r="H27" s="564">
        <f ca="1"/>
        <v>97243.049999999988</v>
      </c>
      <c r="I27" t="str">
        <f ca="1"/>
        <v>THC</v>
      </c>
      <c r="J27" s="565">
        <f ca="1"/>
        <v>1.6771000000000001E-2</v>
      </c>
      <c r="K27" s="153" t="str">
        <f ca="1"/>
        <v>THC</v>
      </c>
      <c r="L27" s="565">
        <f ca="1"/>
        <v>1.6771000000000001E-2</v>
      </c>
      <c r="M27" s="1" t="str">
        <f ca="1"/>
        <v>SAFAMZN</v>
      </c>
      <c r="N27" s="564">
        <f ca="1"/>
        <v>29265.000000000029</v>
      </c>
      <c r="O27" t="str">
        <f ca="1"/>
        <v>CSCO</v>
      </c>
      <c r="P27" s="564">
        <f ca="1"/>
        <v>1286.645999999992</v>
      </c>
      <c r="Q27" t="str">
        <f ca="1"/>
        <v>DVA</v>
      </c>
      <c r="R27" s="656">
        <f ca="1"/>
        <v>4.2774404761904763E-3</v>
      </c>
      <c r="S27" t="str">
        <f ca="1"/>
        <v>AVGO</v>
      </c>
      <c r="T27" s="87">
        <f ca="1"/>
        <v>648</v>
      </c>
      <c r="U27" t="str">
        <f ca="1"/>
        <v>MVEEOAN</v>
      </c>
      <c r="V27" s="87">
        <f ca="1"/>
        <v>9.9999999999994316E-2</v>
      </c>
      <c r="W27" t="str">
        <f ca="1"/>
        <v>RIGL</v>
      </c>
      <c r="X27">
        <f ca="1"/>
        <v>4</v>
      </c>
      <c r="Y27" t="str">
        <f ca="1"/>
        <v>CVS</v>
      </c>
      <c r="Z27">
        <f ca="1"/>
        <v>5</v>
      </c>
      <c r="AA27" t="str">
        <f ca="1"/>
        <v>MVERWE</v>
      </c>
      <c r="AB27">
        <f ca="1"/>
        <v>63</v>
      </c>
      <c r="AC27" t="str">
        <f ca="1"/>
        <v>HPQ</v>
      </c>
      <c r="AD27">
        <f ca="1"/>
        <v>63</v>
      </c>
      <c r="AE27" t="str">
        <f ca="1"/>
        <v>VLVLY</v>
      </c>
      <c r="AF27" s="87">
        <f ca="1"/>
        <v>0</v>
      </c>
      <c r="AG27" t="str">
        <f ca="1"/>
        <v>AVGO</v>
      </c>
      <c r="AH27" s="87">
        <f ca="1"/>
        <v>4725</v>
      </c>
      <c r="AI27" t="str">
        <f ca="1"/>
        <v>POET</v>
      </c>
      <c r="AJ27" s="87">
        <f ca="1"/>
        <v>2099.9999999999995</v>
      </c>
      <c r="AK27" s="90" t="str">
        <f ca="1"/>
        <v>DVA</v>
      </c>
      <c r="AL27" s="312">
        <f ca="1"/>
        <v>4.2774404761904763E-3</v>
      </c>
      <c r="AM27" t="str">
        <f ca="1"/>
        <v>XYZ</v>
      </c>
      <c r="AN27" s="312" t="str">
        <f ca="1"/>
        <v/>
      </c>
      <c r="AO27" t="str">
        <f ca="1"/>
        <v>TSLA</v>
      </c>
      <c r="AP27" s="312">
        <f ca="1"/>
        <v>-0.22673077561560459</v>
      </c>
      <c r="AQ27" s="87" t="str">
        <f ca="1"/>
        <v>LUMN</v>
      </c>
      <c r="AR27" s="90">
        <f ca="1"/>
        <v>0.78908289239575635</v>
      </c>
      <c r="AS27" s="94" t="str">
        <f ca="1"/>
        <v>SAFIAG</v>
      </c>
      <c r="AT27" s="90">
        <f ca="1"/>
        <v>0.42857142857142855</v>
      </c>
    </row>
    <row r="28" spans="1:46">
      <c r="A28" s="362" t="s">
        <v>1916</v>
      </c>
      <c r="B28" s="1" t="str" cm="1">
        <f t="array" aca="1" ref="B28" ca="1">INDIRECT("SORTING!" &amp; ADDRESS(ROW(), A$2+3))</f>
        <v>LUMN</v>
      </c>
      <c r="C28" s="1" t="str">
        <f ca="1">_xlfn.XLOOKUP(D28,[1]!RTData[Ticker symbol],[1]!RTData[Currency])</f>
        <v>USD</v>
      </c>
      <c r="D28" s="153" t="str">
        <f ca="1">TabCalc[[#This Row],[Ticker]]</f>
        <v>LUMN</v>
      </c>
      <c r="E28" t="str">
        <f ca="1"/>
        <v>SAFIAG</v>
      </c>
      <c r="F28" s="563">
        <f ca="1"/>
        <v>1.2126103721618735</v>
      </c>
      <c r="G28" s="153" t="str">
        <f ca="1"/>
        <v>VLVLY</v>
      </c>
      <c r="H28" s="564">
        <f ca="1"/>
        <v>95311.37</v>
      </c>
      <c r="I28" t="str">
        <f ca="1"/>
        <v>KR</v>
      </c>
      <c r="J28" s="565">
        <f ca="1"/>
        <v>1.6108999999999998E-2</v>
      </c>
      <c r="K28" s="153" t="str">
        <f ca="1"/>
        <v>DDD</v>
      </c>
      <c r="L28" s="565">
        <f ca="1"/>
        <v>1.6233999999999998E-2</v>
      </c>
      <c r="M28" s="1" t="str">
        <f ca="1"/>
        <v>VONN</v>
      </c>
      <c r="N28" s="564">
        <f ca="1"/>
        <v>25259.999999999993</v>
      </c>
      <c r="O28" t="str">
        <f ca="1"/>
        <v>AVGO</v>
      </c>
      <c r="P28" s="564">
        <f ca="1"/>
        <v>1283.0553600000032</v>
      </c>
      <c r="Q28" t="str">
        <f ca="1"/>
        <v>DXC</v>
      </c>
      <c r="R28" s="656">
        <f ca="1"/>
        <v>4.0804821428571444E-3</v>
      </c>
      <c r="S28" t="str">
        <f ca="1"/>
        <v>SAFAAPL</v>
      </c>
      <c r="T28" s="87">
        <f ca="1"/>
        <v>570.5</v>
      </c>
      <c r="U28" t="str">
        <f ca="1"/>
        <v>WBA</v>
      </c>
      <c r="V28" s="87">
        <f ca="1"/>
        <v>0</v>
      </c>
      <c r="W28" t="str">
        <f ca="1"/>
        <v>VTRS</v>
      </c>
      <c r="X28">
        <f ca="1"/>
        <v>4</v>
      </c>
      <c r="Y28" t="str">
        <f ca="1"/>
        <v>DVA</v>
      </c>
      <c r="Z28">
        <f ca="1"/>
        <v>5</v>
      </c>
      <c r="AA28" t="str">
        <f ca="1"/>
        <v>ENI</v>
      </c>
      <c r="AB28">
        <f ca="1"/>
        <v>63</v>
      </c>
      <c r="AC28" t="str">
        <f ca="1"/>
        <v>VONN</v>
      </c>
      <c r="AD28">
        <f ca="1"/>
        <v>63</v>
      </c>
      <c r="AE28" t="str">
        <f ca="1"/>
        <v>VONN</v>
      </c>
      <c r="AF28" s="87">
        <f ca="1"/>
        <v>0</v>
      </c>
      <c r="AG28" t="str">
        <f ca="1"/>
        <v>VTRS</v>
      </c>
      <c r="AH28" s="87">
        <f ca="1"/>
        <v>4449.9999999999936</v>
      </c>
      <c r="AI28" t="str">
        <f ca="1"/>
        <v>MVEDDD</v>
      </c>
      <c r="AJ28" s="87">
        <f ca="1"/>
        <v>1950.0000000000007</v>
      </c>
      <c r="AK28" s="90" t="str">
        <f ca="1"/>
        <v>DXC</v>
      </c>
      <c r="AL28" s="312">
        <f ca="1"/>
        <v>4.0804821428571444E-3</v>
      </c>
      <c r="AM28" t="str">
        <f ca="1"/>
        <v>THC</v>
      </c>
      <c r="AN28" s="312" t="str">
        <f ca="1"/>
        <v/>
      </c>
      <c r="AO28" t="str">
        <f ca="1"/>
        <v>MVEDDD</v>
      </c>
      <c r="AP28" s="312">
        <f ca="1"/>
        <v>-0.21985239616613408</v>
      </c>
      <c r="AQ28" s="87" t="str">
        <f ca="1"/>
        <v>EZJ</v>
      </c>
      <c r="AR28" s="90">
        <f ca="1"/>
        <v>0.75700365006588888</v>
      </c>
      <c r="AS28" s="94" t="str">
        <f ca="1"/>
        <v>SAFMRNA</v>
      </c>
      <c r="AT28" s="90">
        <f ca="1"/>
        <v>0.42857142857142855</v>
      </c>
    </row>
    <row r="29" spans="1:46">
      <c r="A29" s="708" t="s">
        <v>2090</v>
      </c>
      <c r="B29" s="1" t="str" cm="1">
        <f t="array" aca="1" ref="B29" ca="1">INDIRECT("SORTING!" &amp; ADDRESS(ROW(), A$2+3))</f>
        <v>MRNA</v>
      </c>
      <c r="C29" s="1" t="str">
        <f ca="1">_xlfn.XLOOKUP(D29,[1]!RTData[Ticker symbol],[1]!RTData[Currency])</f>
        <v>USD</v>
      </c>
      <c r="D29" s="153" t="str">
        <f ca="1">TabCalc[[#This Row],[Ticker]]</f>
        <v>MRNA</v>
      </c>
      <c r="E29" t="str">
        <f ca="1"/>
        <v>GS</v>
      </c>
      <c r="F29" s="563">
        <f ca="1"/>
        <v>1.1912264037021929</v>
      </c>
      <c r="G29" s="153" t="str">
        <f ca="1"/>
        <v>TSLA</v>
      </c>
      <c r="H29" s="564">
        <f ca="1"/>
        <v>87659.48</v>
      </c>
      <c r="I29" t="str">
        <f ca="1"/>
        <v>SAFIAG</v>
      </c>
      <c r="J29" s="565">
        <f ca="1"/>
        <v>1.6108999999999998E-2</v>
      </c>
      <c r="K29" s="153" t="str">
        <f ca="1"/>
        <v>MVEDDD</v>
      </c>
      <c r="L29" s="565">
        <f ca="1"/>
        <v>1.6233999999999998E-2</v>
      </c>
      <c r="M29" s="1" t="str">
        <f ca="1"/>
        <v>ENI</v>
      </c>
      <c r="N29" s="564">
        <f ca="1"/>
        <v>22536.499999999996</v>
      </c>
      <c r="O29" t="str">
        <f ca="1"/>
        <v>SAFAMZN</v>
      </c>
      <c r="P29" s="564">
        <f ca="1"/>
        <v>1276.6720000000012</v>
      </c>
      <c r="Q29" t="str">
        <f ca="1"/>
        <v>C</v>
      </c>
      <c r="R29" s="656">
        <f ca="1"/>
        <v>4.069017857142857E-3</v>
      </c>
      <c r="S29" t="str">
        <f ca="1"/>
        <v>RIGL</v>
      </c>
      <c r="T29" s="87">
        <f ca="1"/>
        <v>520</v>
      </c>
      <c r="U29" t="str">
        <f ca="1"/>
        <v>MVEEPIX</v>
      </c>
      <c r="V29" s="87">
        <f ca="1"/>
        <v>0</v>
      </c>
      <c r="W29" t="str">
        <f ca="1"/>
        <v>SAFAMZN</v>
      </c>
      <c r="X29">
        <f ca="1"/>
        <v>4</v>
      </c>
      <c r="Y29" t="str">
        <f ca="1"/>
        <v>LUMN</v>
      </c>
      <c r="Z29">
        <f ca="1"/>
        <v>5</v>
      </c>
      <c r="AA29" t="str">
        <f ca="1"/>
        <v>F</v>
      </c>
      <c r="AB29">
        <f ca="1"/>
        <v>63</v>
      </c>
      <c r="AC29" t="str">
        <f ca="1"/>
        <v>SAFAMZN</v>
      </c>
      <c r="AD29">
        <f ca="1"/>
        <v>63</v>
      </c>
      <c r="AE29" t="str">
        <f ca="1"/>
        <v>VTRS</v>
      </c>
      <c r="AF29" s="87">
        <f ca="1"/>
        <v>0</v>
      </c>
      <c r="AG29" t="str">
        <f ca="1"/>
        <v>BLDP</v>
      </c>
      <c r="AH29" s="87">
        <f ca="1"/>
        <v>3539.9999999999991</v>
      </c>
      <c r="AI29" t="str">
        <f ca="1"/>
        <v>MA</v>
      </c>
      <c r="AJ29" s="87">
        <f ca="1"/>
        <v>1900.9999999999991</v>
      </c>
      <c r="AK29" s="90" t="str">
        <f ca="1"/>
        <v>C</v>
      </c>
      <c r="AL29" s="312">
        <f ca="1"/>
        <v>4.069017857142857E-3</v>
      </c>
      <c r="AM29" t="str">
        <f ca="1"/>
        <v>LOCK</v>
      </c>
      <c r="AN29" s="312" t="str">
        <f ca="1"/>
        <v/>
      </c>
      <c r="AO29" t="str">
        <f ca="1"/>
        <v>NVS</v>
      </c>
      <c r="AP29" s="312">
        <f ca="1"/>
        <v>-0.21239978521018729</v>
      </c>
      <c r="AQ29" s="87" t="str">
        <f ca="1"/>
        <v>F</v>
      </c>
      <c r="AR29" s="90">
        <f ca="1"/>
        <v>0.71805089334055239</v>
      </c>
      <c r="AS29" s="94" t="str">
        <f ca="1"/>
        <v>THC</v>
      </c>
      <c r="AT29" s="90">
        <f ca="1"/>
        <v>0.42857142857142855</v>
      </c>
    </row>
    <row r="30" spans="1:46">
      <c r="A30" s="723" t="s">
        <v>1899</v>
      </c>
      <c r="B30" s="1" t="str" cm="1">
        <f t="array" aca="1" ref="B30" ca="1">INDIRECT("SORTING!" &amp; ADDRESS(ROW(), A$2+3))</f>
        <v>MSFT</v>
      </c>
      <c r="C30" s="1" t="str">
        <f ca="1">_xlfn.XLOOKUP(D30,[1]!RTData[Ticker symbol],[1]!RTData[Currency])</f>
        <v>USD</v>
      </c>
      <c r="D30" s="153" t="str">
        <f ca="1">TabCalc[[#This Row],[Ticker]]</f>
        <v>MSFT</v>
      </c>
      <c r="E30" t="str">
        <f ca="1"/>
        <v>EOAN</v>
      </c>
      <c r="F30" s="563">
        <f ca="1"/>
        <v>1.1313503925264488</v>
      </c>
      <c r="G30" s="153" t="str">
        <f ca="1"/>
        <v>SHECY</v>
      </c>
      <c r="H30" s="564">
        <f ca="1"/>
        <v>84157.18</v>
      </c>
      <c r="I30" t="str">
        <f ca="1"/>
        <v>MVEENI</v>
      </c>
      <c r="J30" s="565">
        <f ca="1"/>
        <v>1.6040000000000002E-2</v>
      </c>
      <c r="K30" s="153" t="str">
        <f ca="1"/>
        <v>SAFDDD</v>
      </c>
      <c r="L30" s="565">
        <f ca="1"/>
        <v>1.6233999999999998E-2</v>
      </c>
      <c r="M30" s="1" t="str">
        <f ca="1"/>
        <v>SAFAAPL</v>
      </c>
      <c r="N30" s="564">
        <f ca="1"/>
        <v>22038.040800000002</v>
      </c>
      <c r="O30" t="str">
        <f ca="1"/>
        <v>LUMN</v>
      </c>
      <c r="P30" s="564">
        <f ca="1"/>
        <v>1273.77954</v>
      </c>
      <c r="Q30" t="str">
        <f ca="1"/>
        <v>ADEA</v>
      </c>
      <c r="R30" s="656">
        <f ca="1"/>
        <v>3.9940297619047611E-3</v>
      </c>
      <c r="S30" t="str">
        <f ca="1"/>
        <v>PROF</v>
      </c>
      <c r="T30" s="87">
        <f ca="1"/>
        <v>480</v>
      </c>
      <c r="U30" t="str">
        <f ca="1"/>
        <v>SAFGM</v>
      </c>
      <c r="V30" s="87">
        <f ca="1"/>
        <v>0</v>
      </c>
      <c r="W30" t="str">
        <f ca="1"/>
        <v>XYZ</v>
      </c>
      <c r="X30">
        <f ca="1"/>
        <v>4</v>
      </c>
      <c r="Y30" t="str">
        <f ca="1"/>
        <v>MSFT</v>
      </c>
      <c r="Z30">
        <f ca="1"/>
        <v>5</v>
      </c>
      <c r="AA30" t="str">
        <f ca="1"/>
        <v>ASML</v>
      </c>
      <c r="AB30">
        <f ca="1"/>
        <v>62</v>
      </c>
      <c r="AC30" t="str">
        <f ca="1"/>
        <v>XYZ</v>
      </c>
      <c r="AD30">
        <f ca="1"/>
        <v>63</v>
      </c>
      <c r="AE30" t="str">
        <f ca="1"/>
        <v>MVEDDD</v>
      </c>
      <c r="AF30" s="87">
        <f ca="1"/>
        <v>0</v>
      </c>
      <c r="AG30" t="str">
        <f ca="1"/>
        <v>CSCO</v>
      </c>
      <c r="AH30" s="87">
        <f ca="1"/>
        <v>3429.9999999999927</v>
      </c>
      <c r="AI30" t="str">
        <f ca="1"/>
        <v>LUV</v>
      </c>
      <c r="AJ30" s="87">
        <f ca="1"/>
        <v>1735.8299999999929</v>
      </c>
      <c r="AK30" s="90" t="str">
        <f ca="1"/>
        <v>ADEA</v>
      </c>
      <c r="AL30" s="312">
        <f ca="1"/>
        <v>3.9940297619047611E-3</v>
      </c>
      <c r="AM30" t="str">
        <f ca="1"/>
        <v>IAG</v>
      </c>
      <c r="AN30" s="312">
        <f ca="1"/>
        <v>0.87634221052040073</v>
      </c>
      <c r="AO30" t="str">
        <f ca="1"/>
        <v>PAAS</v>
      </c>
      <c r="AP30" s="312">
        <f ca="1"/>
        <v>-0.19763302146395159</v>
      </c>
      <c r="AQ30" s="87" t="str">
        <f ca="1"/>
        <v>ADEA</v>
      </c>
      <c r="AR30" s="90">
        <f ca="1"/>
        <v>0.71287128712871317</v>
      </c>
      <c r="AS30" s="94" t="str">
        <f ca="1"/>
        <v>RIG</v>
      </c>
      <c r="AT30" s="90">
        <f ca="1"/>
        <v>0.41666666666666669</v>
      </c>
    </row>
    <row r="31" spans="1:46">
      <c r="A31" s="707" t="s">
        <v>2090</v>
      </c>
      <c r="B31" s="1" t="str" cm="1">
        <f t="array" aca="1" ref="B31" ca="1">INDIRECT("SORTING!" &amp; ADDRESS(ROW(), A$2+3))</f>
        <v>NEE</v>
      </c>
      <c r="C31" s="1" t="str">
        <f ca="1">_xlfn.XLOOKUP(D31,[1]!RTData[Ticker symbol],[1]!RTData[Currency])</f>
        <v>USD</v>
      </c>
      <c r="D31" s="153" t="str">
        <f ca="1">TabCalc[[#This Row],[Ticker]]</f>
        <v>NEE</v>
      </c>
      <c r="E31" t="str">
        <f ca="1"/>
        <v>MVEEOAN</v>
      </c>
      <c r="F31" s="563">
        <f ca="1"/>
        <v>1.1313503925264488</v>
      </c>
      <c r="G31" s="153" t="str">
        <f ca="1"/>
        <v>MVEGLE</v>
      </c>
      <c r="H31" s="564">
        <f ca="1"/>
        <v>79169.049999999988</v>
      </c>
      <c r="I31" t="str">
        <f ca="1"/>
        <v>ENI</v>
      </c>
      <c r="J31" s="565">
        <f ca="1"/>
        <v>1.6040000000000002E-2</v>
      </c>
      <c r="K31" s="153" t="str">
        <f ca="1"/>
        <v>IAG</v>
      </c>
      <c r="L31" s="565">
        <f ca="1"/>
        <v>1.6108999999999998E-2</v>
      </c>
      <c r="M31" s="1" t="str">
        <f ca="1"/>
        <v>ADEA</v>
      </c>
      <c r="N31" s="564">
        <f ca="1"/>
        <v>20126.100000000013</v>
      </c>
      <c r="O31" t="str">
        <f ca="1"/>
        <v>ENI</v>
      </c>
      <c r="P31" s="564">
        <f ca="1"/>
        <v>1248.7447999999988</v>
      </c>
      <c r="Q31" t="str">
        <f ca="1"/>
        <v>MSFT</v>
      </c>
      <c r="R31" s="656">
        <f ca="1"/>
        <v>3.5395527380952382E-3</v>
      </c>
      <c r="S31" t="str">
        <f ca="1"/>
        <v>PW</v>
      </c>
      <c r="T31" s="87">
        <f ca="1"/>
        <v>434.99999999999909</v>
      </c>
      <c r="U31" t="str">
        <f ca="1"/>
        <v>SAFIAG</v>
      </c>
      <c r="V31" s="87">
        <f ca="1"/>
        <v>0</v>
      </c>
      <c r="W31" t="str">
        <f ca="1"/>
        <v>BMRA</v>
      </c>
      <c r="X31">
        <f ca="1"/>
        <v>5</v>
      </c>
      <c r="Y31" t="str">
        <f ca="1"/>
        <v>RWE</v>
      </c>
      <c r="Z31">
        <f ca="1"/>
        <v>5</v>
      </c>
      <c r="AA31" t="str">
        <f ca="1"/>
        <v>DXC</v>
      </c>
      <c r="AB31">
        <f ca="1"/>
        <v>62</v>
      </c>
      <c r="AC31" t="str">
        <f ca="1"/>
        <v>XPER</v>
      </c>
      <c r="AD31">
        <f ca="1"/>
        <v>62</v>
      </c>
      <c r="AE31" t="str">
        <f ca="1"/>
        <v>MVEEOAN</v>
      </c>
      <c r="AF31" s="87">
        <f ca="1"/>
        <v>0</v>
      </c>
      <c r="AG31" t="str">
        <f ca="1"/>
        <v>AAPL</v>
      </c>
      <c r="AH31" s="87">
        <f ca="1"/>
        <v>2859.9999999999964</v>
      </c>
      <c r="AI31" t="str">
        <f ca="1"/>
        <v>PAAS</v>
      </c>
      <c r="AJ31" s="87">
        <f ca="1"/>
        <v>1480.2499999999982</v>
      </c>
      <c r="AK31" s="90" t="str">
        <f ca="1"/>
        <v>MSFT</v>
      </c>
      <c r="AL31" s="312">
        <f ca="1"/>
        <v>3.5395527380952382E-3</v>
      </c>
      <c r="AM31" t="str">
        <f ca="1"/>
        <v>X</v>
      </c>
      <c r="AN31" s="312">
        <f ca="1"/>
        <v>0.76947185529598539</v>
      </c>
      <c r="AO31" t="str">
        <f ca="1"/>
        <v>GS</v>
      </c>
      <c r="AP31" s="312">
        <f ca="1"/>
        <v>-0.19648171658927388</v>
      </c>
      <c r="AQ31" s="87" t="str">
        <f ca="1"/>
        <v>LNSR</v>
      </c>
      <c r="AR31" s="90">
        <f ca="1"/>
        <v>0.70528663572246686</v>
      </c>
      <c r="AS31" s="94" t="str">
        <f ca="1"/>
        <v>CVS</v>
      </c>
      <c r="AT31" s="90">
        <f ca="1"/>
        <v>0.4</v>
      </c>
    </row>
    <row r="32" spans="1:46">
      <c r="A32" s="362" t="s">
        <v>2095</v>
      </c>
      <c r="B32" s="1" t="str" cm="1">
        <f t="array" aca="1" ref="B32" ca="1">INDIRECT("SORTING!" &amp; ADDRESS(ROW(), A$2+3))</f>
        <v>NEM</v>
      </c>
      <c r="C32" s="1" t="str">
        <f ca="1">_xlfn.XLOOKUP(D32,[1]!RTData[Ticker symbol],[1]!RTData[Currency])</f>
        <v>USD</v>
      </c>
      <c r="D32" s="153" t="str">
        <f ca="1">TabCalc[[#This Row],[Ticker]]</f>
        <v>NEM</v>
      </c>
      <c r="E32" t="str">
        <f ca="1"/>
        <v>JBEOAN</v>
      </c>
      <c r="F32" s="563">
        <f ca="1"/>
        <v>1.1313503925264488</v>
      </c>
      <c r="G32" s="153" t="str">
        <f ca="1"/>
        <v>PAAS</v>
      </c>
      <c r="H32" s="564">
        <f ca="1"/>
        <v>78117.549999999988</v>
      </c>
      <c r="I32" t="str">
        <f ca="1"/>
        <v>GNRC</v>
      </c>
      <c r="J32" s="565">
        <f ca="1"/>
        <v>1.5710999999999999E-2</v>
      </c>
      <c r="K32" s="153" t="str">
        <f ca="1"/>
        <v>SAFIAG</v>
      </c>
      <c r="L32" s="565">
        <f ca="1"/>
        <v>1.6108999999999998E-2</v>
      </c>
      <c r="M32" s="1" t="str">
        <f ca="1"/>
        <v>RIG</v>
      </c>
      <c r="N32" s="564">
        <f ca="1"/>
        <v>18955.000000000004</v>
      </c>
      <c r="O32" t="str">
        <f ca="1"/>
        <v>IAG</v>
      </c>
      <c r="P32" s="564">
        <f ca="1"/>
        <v>758.02400000000227</v>
      </c>
      <c r="Q32" t="str">
        <f ca="1"/>
        <v>TSLA</v>
      </c>
      <c r="R32" s="656">
        <f ca="1"/>
        <v>3.361285714285716E-3</v>
      </c>
      <c r="S32" t="str">
        <f ca="1"/>
        <v>NEE</v>
      </c>
      <c r="T32" s="87">
        <f ca="1"/>
        <v>332</v>
      </c>
      <c r="U32" t="str">
        <f ca="1"/>
        <v>F</v>
      </c>
      <c r="V32" s="87">
        <f ca="1"/>
        <v>0</v>
      </c>
      <c r="W32" t="str">
        <f ca="1"/>
        <v>CSCO</v>
      </c>
      <c r="X32">
        <f ca="1"/>
        <v>5</v>
      </c>
      <c r="Y32" t="str">
        <f ca="1"/>
        <v>MVERWE</v>
      </c>
      <c r="Z32">
        <f ca="1"/>
        <v>5</v>
      </c>
      <c r="AA32" t="str">
        <f ca="1"/>
        <v>GNRC</v>
      </c>
      <c r="AB32">
        <f ca="1"/>
        <v>62</v>
      </c>
      <c r="AC32" t="str">
        <f ca="1"/>
        <v>THC</v>
      </c>
      <c r="AD32">
        <f ca="1"/>
        <v>59</v>
      </c>
      <c r="AE32" t="str">
        <f ca="1"/>
        <v>MVERWE</v>
      </c>
      <c r="AF32" s="87">
        <f ca="1"/>
        <v>0</v>
      </c>
      <c r="AG32" t="str">
        <f ca="1"/>
        <v>RIGL</v>
      </c>
      <c r="AH32" s="87">
        <f ca="1"/>
        <v>2849.5099999999952</v>
      </c>
      <c r="AI32" t="str">
        <f ca="1"/>
        <v>AZN</v>
      </c>
      <c r="AJ32" s="87">
        <f ca="1"/>
        <v>1464.9999999999964</v>
      </c>
      <c r="AK32" s="90" t="str">
        <f ca="1"/>
        <v>TSLA</v>
      </c>
      <c r="AL32" s="312">
        <f ca="1"/>
        <v>3.361285714285716E-3</v>
      </c>
      <c r="AM32" t="str">
        <f ca="1"/>
        <v>AVGO</v>
      </c>
      <c r="AN32" s="312">
        <f ca="1"/>
        <v>0.7273388153718443</v>
      </c>
      <c r="AO32" t="str">
        <f ca="1"/>
        <v>AAPL</v>
      </c>
      <c r="AP32" s="312">
        <f ca="1"/>
        <v>-0.19354908682748648</v>
      </c>
      <c r="AQ32" s="87" t="str">
        <f ca="1"/>
        <v>PROF</v>
      </c>
      <c r="AR32" s="90">
        <f ca="1"/>
        <v>0.67196531791907421</v>
      </c>
      <c r="AS32" s="94" t="str">
        <f ca="1"/>
        <v>GLE</v>
      </c>
      <c r="AT32" s="90">
        <f ca="1"/>
        <v>0.38095238095238093</v>
      </c>
    </row>
    <row r="33" spans="1:46">
      <c r="A33" s="708" t="s">
        <v>2090</v>
      </c>
      <c r="B33" s="1" t="str" cm="1">
        <f t="array" aca="1" ref="B33" ca="1">INDIRECT("SORTING!" &amp; ADDRESS(ROW(), A$2+3))</f>
        <v>NFLX</v>
      </c>
      <c r="C33" s="1" t="str">
        <f ca="1">_xlfn.XLOOKUP(D33,[1]!RTData[Ticker symbol],[1]!RTData[Currency])</f>
        <v>USD</v>
      </c>
      <c r="D33" s="153" t="str">
        <f ca="1">TabCalc[[#This Row],[Ticker]]</f>
        <v>NFLX</v>
      </c>
      <c r="E33" t="str">
        <f ca="1"/>
        <v>TSLA</v>
      </c>
      <c r="F33" s="563">
        <f ca="1"/>
        <v>1.0540454973134783</v>
      </c>
      <c r="G33" s="153" t="str">
        <f ca="1"/>
        <v>AVGO</v>
      </c>
      <c r="H33" s="564">
        <f ca="1"/>
        <v>74211.375207999969</v>
      </c>
      <c r="I33" t="str">
        <f ca="1"/>
        <v>UN0</v>
      </c>
      <c r="J33" s="565">
        <f ca="1"/>
        <v>1.4686999999999999E-2</v>
      </c>
      <c r="K33" s="153" t="str">
        <f ca="1"/>
        <v>MVEENI</v>
      </c>
      <c r="L33" s="565">
        <f ca="1"/>
        <v>1.6040000000000002E-2</v>
      </c>
      <c r="M33" s="1" t="str">
        <f ca="1"/>
        <v>BMRA</v>
      </c>
      <c r="N33" s="564">
        <f ca="1"/>
        <v>10199.999999999998</v>
      </c>
      <c r="O33" t="str">
        <f ca="1"/>
        <v>BLDP</v>
      </c>
      <c r="P33" s="564">
        <f ca="1"/>
        <v>537.99756000000048</v>
      </c>
      <c r="Q33" t="str">
        <f ca="1"/>
        <v>BLNK</v>
      </c>
      <c r="R33" s="656">
        <f ca="1"/>
        <v>3.2606190476190469E-3</v>
      </c>
      <c r="S33" t="str">
        <f ca="1"/>
        <v>UNIT</v>
      </c>
      <c r="T33" s="87">
        <f ca="1"/>
        <v>217.05000000000291</v>
      </c>
      <c r="U33" t="str">
        <f ca="1"/>
        <v>GLE</v>
      </c>
      <c r="V33" s="87">
        <f ca="1"/>
        <v>0</v>
      </c>
      <c r="W33" t="str">
        <f ca="1"/>
        <v>EPIX</v>
      </c>
      <c r="X33">
        <f ca="1"/>
        <v>5</v>
      </c>
      <c r="Y33" t="str">
        <f ca="1"/>
        <v>BLNK</v>
      </c>
      <c r="Z33">
        <f ca="1"/>
        <v>5</v>
      </c>
      <c r="AA33" t="str">
        <f ca="1"/>
        <v>PFE</v>
      </c>
      <c r="AB33">
        <f ca="1"/>
        <v>62</v>
      </c>
      <c r="AC33" t="str">
        <f ca="1"/>
        <v>AAPL</v>
      </c>
      <c r="AD33">
        <f ca="1"/>
        <v>57</v>
      </c>
      <c r="AE33" t="str">
        <f ca="1"/>
        <v>MVESAP</v>
      </c>
      <c r="AF33" s="87">
        <f ca="1"/>
        <v>0</v>
      </c>
      <c r="AG33" t="str">
        <f ca="1"/>
        <v>THC</v>
      </c>
      <c r="AH33" s="87">
        <f ca="1"/>
        <v>2741.9999999999959</v>
      </c>
      <c r="AI33" t="str">
        <f ca="1"/>
        <v>HPQ</v>
      </c>
      <c r="AJ33" s="87">
        <f ca="1"/>
        <v>1280.0000000000011</v>
      </c>
      <c r="AK33" s="90" t="str">
        <f ca="1"/>
        <v>BLNK</v>
      </c>
      <c r="AL33" s="312">
        <f ca="1"/>
        <v>3.2606190476190469E-3</v>
      </c>
      <c r="AM33" t="str">
        <f ca="1"/>
        <v>NEM</v>
      </c>
      <c r="AN33" s="312">
        <f ca="1"/>
        <v>0.63282176883773866</v>
      </c>
      <c r="AO33" t="str">
        <f ca="1"/>
        <v>MVERWE</v>
      </c>
      <c r="AP33" s="312">
        <f ca="1"/>
        <v>-0.18684944540300719</v>
      </c>
      <c r="AQ33" s="87" t="str">
        <f ca="1"/>
        <v>ENI</v>
      </c>
      <c r="AR33" s="90">
        <f ca="1"/>
        <v>0.63207255675312235</v>
      </c>
      <c r="AS33" s="94" t="str">
        <f ca="1"/>
        <v>XOM</v>
      </c>
      <c r="AT33" s="90">
        <f ca="1"/>
        <v>0.375</v>
      </c>
    </row>
    <row r="34" spans="1:46">
      <c r="A34" s="723" t="s">
        <v>1920</v>
      </c>
      <c r="B34" s="1" t="str" cm="1">
        <f t="array" aca="1" ref="B34" ca="1">INDIRECT("SORTING!" &amp; ADDRESS(ROW(), A$2+3))</f>
        <v>NOTE</v>
      </c>
      <c r="C34" s="1" t="str">
        <f ca="1">_xlfn.XLOOKUP(D34,[1]!RTData[Ticker symbol],[1]!RTData[Currency])</f>
        <v>USD</v>
      </c>
      <c r="D34" s="153" t="str">
        <f ca="1">TabCalc[[#This Row],[Ticker]]</f>
        <v>NOTE</v>
      </c>
      <c r="E34" t="str">
        <f ca="1"/>
        <v>LOCK</v>
      </c>
      <c r="F34" s="563">
        <f ca="1"/>
        <v>1</v>
      </c>
      <c r="G34" s="153" t="str">
        <f ca="1"/>
        <v>MVEENI</v>
      </c>
      <c r="H34" s="564">
        <f ca="1"/>
        <v>71226.777999999933</v>
      </c>
      <c r="I34" t="str">
        <f ca="1"/>
        <v>DIS</v>
      </c>
      <c r="J34" s="565">
        <f ca="1"/>
        <v>1.4610000000000001E-2</v>
      </c>
      <c r="K34" s="153" t="str">
        <f ca="1"/>
        <v>ENI</v>
      </c>
      <c r="L34" s="565">
        <f ca="1"/>
        <v>1.6040000000000002E-2</v>
      </c>
      <c r="M34" s="1" t="str">
        <f ca="1"/>
        <v>GNRC</v>
      </c>
      <c r="N34" s="564">
        <f ca="1"/>
        <v>9910.9999999999982</v>
      </c>
      <c r="O34" t="str">
        <f ca="1"/>
        <v>AMZN</v>
      </c>
      <c r="P34" s="564">
        <f ca="1"/>
        <v>537.59860000000424</v>
      </c>
      <c r="Q34" t="str">
        <f ca="1"/>
        <v>AMZN</v>
      </c>
      <c r="R34" s="656">
        <f ca="1"/>
        <v>1.9671845238095243E-3</v>
      </c>
      <c r="S34" t="str">
        <f ca="1"/>
        <v>MVEENI</v>
      </c>
      <c r="T34" s="87">
        <f ca="1"/>
        <v>216</v>
      </c>
      <c r="U34" t="str">
        <f ca="1"/>
        <v>GS</v>
      </c>
      <c r="V34" s="87">
        <f ca="1"/>
        <v>0</v>
      </c>
      <c r="W34" t="str">
        <f ca="1"/>
        <v>HPQ</v>
      </c>
      <c r="X34">
        <f ca="1"/>
        <v>5</v>
      </c>
      <c r="Y34" t="str">
        <f ca="1"/>
        <v>NVAX</v>
      </c>
      <c r="Z34">
        <f ca="1"/>
        <v>5</v>
      </c>
      <c r="AA34" t="str">
        <f ca="1"/>
        <v>THC</v>
      </c>
      <c r="AB34">
        <f ca="1"/>
        <v>62</v>
      </c>
      <c r="AC34" t="str">
        <f ca="1"/>
        <v>ASML</v>
      </c>
      <c r="AD34">
        <f ca="1"/>
        <v>57</v>
      </c>
      <c r="AE34" t="str">
        <f ca="1"/>
        <v>SAFAAPL</v>
      </c>
      <c r="AF34" s="87">
        <f ca="1"/>
        <v>0</v>
      </c>
      <c r="AG34" t="str">
        <f ca="1"/>
        <v>GNRC</v>
      </c>
      <c r="AH34" s="87">
        <f ca="1"/>
        <v>2636.9999999999977</v>
      </c>
      <c r="AI34" t="str">
        <f ca="1"/>
        <v>AET</v>
      </c>
      <c r="AJ34" s="87">
        <f ca="1"/>
        <v>1242.0000000000002</v>
      </c>
      <c r="AK34" s="90" t="str">
        <f ca="1"/>
        <v>AMZN</v>
      </c>
      <c r="AL34" s="312">
        <f ca="1"/>
        <v>1.9671845238095243E-3</v>
      </c>
      <c r="AM34" t="str">
        <f ca="1"/>
        <v>BLDP</v>
      </c>
      <c r="AN34" s="312">
        <f ca="1"/>
        <v>0.60290597014925351</v>
      </c>
      <c r="AO34" t="str">
        <f ca="1"/>
        <v>AZN</v>
      </c>
      <c r="AP34" s="312">
        <f ca="1"/>
        <v>-0.16408397166526595</v>
      </c>
      <c r="AQ34" s="87" t="str">
        <f ca="1"/>
        <v>RWE</v>
      </c>
      <c r="AR34" s="90">
        <f ca="1"/>
        <v>0.61677856778736295</v>
      </c>
      <c r="AS34" s="94" t="str">
        <f ca="1"/>
        <v>GNRC</v>
      </c>
      <c r="AT34" s="90">
        <f ca="1"/>
        <v>0.375</v>
      </c>
    </row>
    <row r="35" spans="1:46">
      <c r="A35" s="707" t="s">
        <v>2090</v>
      </c>
      <c r="B35" s="1" t="str" cm="1">
        <f t="array" aca="1" ref="B35" ca="1">INDIRECT("SORTING!" &amp; ADDRESS(ROW(), A$2+3))</f>
        <v>PAAS</v>
      </c>
      <c r="C35" s="1" t="str">
        <f ca="1">_xlfn.XLOOKUP(D35,[1]!RTData[Ticker symbol],[1]!RTData[Currency])</f>
        <v>USD</v>
      </c>
      <c r="D35" s="153" t="str">
        <f ca="1">TabCalc[[#This Row],[Ticker]]</f>
        <v>PAAS</v>
      </c>
      <c r="E35" t="str">
        <f ca="1"/>
        <v>LNSR</v>
      </c>
      <c r="F35" s="563">
        <f ca="1"/>
        <v>0.99786689419795227</v>
      </c>
      <c r="G35" s="153" t="str">
        <f ca="1"/>
        <v>NEE</v>
      </c>
      <c r="H35" s="564">
        <f ca="1"/>
        <v>67732.021999999968</v>
      </c>
      <c r="I35" t="str">
        <f ca="1"/>
        <v>MVEDDD</v>
      </c>
      <c r="J35" s="565">
        <f ca="1"/>
        <v>1.4610000000000001E-2</v>
      </c>
      <c r="K35" s="153" t="str">
        <f ca="1"/>
        <v>GNRC</v>
      </c>
      <c r="L35" s="565">
        <f ca="1"/>
        <v>1.5394000000000001E-2</v>
      </c>
      <c r="M35" s="1" t="str">
        <f ca="1"/>
        <v>CSCO</v>
      </c>
      <c r="N35" s="564">
        <f ca="1"/>
        <v>7879.9999999999955</v>
      </c>
      <c r="O35" t="str">
        <f ca="1"/>
        <v>SAFAAPL</v>
      </c>
      <c r="P35" s="564">
        <f ca="1"/>
        <v>421.90019999999896</v>
      </c>
      <c r="Q35" t="str">
        <f ca="1"/>
        <v>SAFAMZN</v>
      </c>
      <c r="R35" s="656">
        <f ca="1"/>
        <v>1.9671845238095243E-3</v>
      </c>
      <c r="S35" t="str">
        <f ca="1"/>
        <v>WBA</v>
      </c>
      <c r="T35" s="87">
        <f ca="1"/>
        <v>195</v>
      </c>
      <c r="U35" t="str">
        <f ca="1"/>
        <v>NVS</v>
      </c>
      <c r="V35" s="87">
        <f ca="1"/>
        <v>0</v>
      </c>
      <c r="W35" t="str">
        <f ca="1"/>
        <v>MVEEPIX</v>
      </c>
      <c r="X35">
        <f ca="1"/>
        <v>5</v>
      </c>
      <c r="Y35" t="str">
        <f ca="1"/>
        <v>AMZN</v>
      </c>
      <c r="Z35">
        <f ca="1"/>
        <v>6</v>
      </c>
      <c r="AA35" t="str">
        <f ca="1"/>
        <v>LOCK</v>
      </c>
      <c r="AB35">
        <f ca="1"/>
        <v>62</v>
      </c>
      <c r="AC35" t="str">
        <f ca="1"/>
        <v>POET</v>
      </c>
      <c r="AD35">
        <f ca="1"/>
        <v>57</v>
      </c>
      <c r="AE35" t="str">
        <f ca="1"/>
        <v>SAFAMZN</v>
      </c>
      <c r="AF35" s="87">
        <f ca="1"/>
        <v>0</v>
      </c>
      <c r="AG35" t="str">
        <f ca="1"/>
        <v>VONN</v>
      </c>
      <c r="AH35" s="87">
        <f ca="1"/>
        <v>2409.9999999999964</v>
      </c>
      <c r="AI35" t="str">
        <f ca="1"/>
        <v>VLVLY</v>
      </c>
      <c r="AJ35" s="87">
        <f ca="1"/>
        <v>1234.9999999999995</v>
      </c>
      <c r="AK35" s="90" t="str">
        <f ca="1"/>
        <v>SAFAMZN</v>
      </c>
      <c r="AL35" s="312">
        <f ca="1"/>
        <v>1.9671845238095243E-3</v>
      </c>
      <c r="AM35" t="str">
        <f ca="1"/>
        <v>LUMN</v>
      </c>
      <c r="AN35" s="312">
        <f ca="1"/>
        <v>0.59464585363928735</v>
      </c>
      <c r="AO35" t="str">
        <f ca="1"/>
        <v>WBA</v>
      </c>
      <c r="AP35" s="312">
        <f ca="1"/>
        <v>-0.16287545909849746</v>
      </c>
      <c r="AQ35" s="87" t="str">
        <f ca="1"/>
        <v>CSCO</v>
      </c>
      <c r="AR35" s="90">
        <f ca="1"/>
        <v>0.6124999999999986</v>
      </c>
      <c r="AS35" s="94" t="str">
        <f ca="1"/>
        <v>ASML</v>
      </c>
      <c r="AT35" s="90">
        <f ca="1"/>
        <v>0.36363636363636365</v>
      </c>
    </row>
    <row r="36" spans="1:46">
      <c r="A36" s="665" t="s">
        <v>2101</v>
      </c>
      <c r="B36" s="1" t="str" cm="1">
        <f t="array" aca="1" ref="B36" ca="1">INDIRECT("SORTING!" &amp; ADDRESS(ROW(), A$2+3))</f>
        <v>PROF</v>
      </c>
      <c r="C36" s="1" t="str">
        <f ca="1">_xlfn.XLOOKUP(D36,[1]!RTData[Ticker symbol],[1]!RTData[Currency])</f>
        <v>USD</v>
      </c>
      <c r="D36" s="153" t="str">
        <f ca="1">TabCalc[[#This Row],[Ticker]]</f>
        <v>PROF</v>
      </c>
      <c r="E36" t="str">
        <f ca="1"/>
        <v>DVA</v>
      </c>
      <c r="F36" s="563">
        <f ca="1"/>
        <v>0.98065088856976168</v>
      </c>
      <c r="G36" s="153" t="str">
        <f ca="1"/>
        <v>SAFGM</v>
      </c>
      <c r="H36" s="564">
        <f ca="1"/>
        <v>62342.085000000006</v>
      </c>
      <c r="I36" t="str">
        <f ca="1"/>
        <v>SAFDDD</v>
      </c>
      <c r="J36" s="565">
        <f ca="1"/>
        <v>1.4610000000000001E-2</v>
      </c>
      <c r="K36" s="153" t="str">
        <f ca="1"/>
        <v>TSM</v>
      </c>
      <c r="L36" s="565">
        <f ca="1"/>
        <v>1.455E-2</v>
      </c>
      <c r="M36" s="1" t="str">
        <f ca="1"/>
        <v>EZJ</v>
      </c>
      <c r="N36" s="564">
        <f ca="1"/>
        <v>7538</v>
      </c>
      <c r="O36" t="str">
        <f ca="1"/>
        <v>ADEA</v>
      </c>
      <c r="P36" s="564">
        <f ca="1"/>
        <v>239.37600000000197</v>
      </c>
      <c r="Q36" t="str">
        <f ca="1"/>
        <v>HPE</v>
      </c>
      <c r="R36" s="656">
        <f ca="1"/>
        <v>1.3021904761904763E-3</v>
      </c>
      <c r="S36" t="str">
        <f ca="1"/>
        <v>DXC</v>
      </c>
      <c r="T36" s="87">
        <f ca="1"/>
        <v>180</v>
      </c>
      <c r="U36" t="str">
        <f ca="1"/>
        <v>RRC</v>
      </c>
      <c r="V36" s="87">
        <f ca="1"/>
        <v>0</v>
      </c>
      <c r="W36" t="str">
        <f ca="1"/>
        <v>GNRC</v>
      </c>
      <c r="X36">
        <f ca="1"/>
        <v>5</v>
      </c>
      <c r="Y36" t="str">
        <f ca="1"/>
        <v>DXC</v>
      </c>
      <c r="Z36">
        <f ca="1"/>
        <v>6</v>
      </c>
      <c r="AA36" t="str">
        <f ca="1"/>
        <v>ALDNE</v>
      </c>
      <c r="AB36">
        <f ca="1"/>
        <v>61</v>
      </c>
      <c r="AC36" t="str">
        <f ca="1"/>
        <v>SAFAAPL</v>
      </c>
      <c r="AD36">
        <f ca="1"/>
        <v>57</v>
      </c>
      <c r="AE36" t="str">
        <f ca="1"/>
        <v>SAFASML</v>
      </c>
      <c r="AF36" s="87">
        <f ca="1"/>
        <v>0</v>
      </c>
      <c r="AG36" t="str">
        <f ca="1"/>
        <v>LUV</v>
      </c>
      <c r="AH36" s="87">
        <f ca="1"/>
        <v>1803.1200000000056</v>
      </c>
      <c r="AI36" t="str">
        <f ca="1"/>
        <v>EZJ</v>
      </c>
      <c r="AJ36" s="87">
        <f ca="1"/>
        <v>950</v>
      </c>
      <c r="AK36" s="90" t="str">
        <f ca="1"/>
        <v>HPE</v>
      </c>
      <c r="AL36" s="312">
        <f ca="1"/>
        <v>1.3021904761904763E-3</v>
      </c>
      <c r="AM36" t="str">
        <f ca="1"/>
        <v>C</v>
      </c>
      <c r="AN36" s="312">
        <f ca="1"/>
        <v>0.57269039043824699</v>
      </c>
      <c r="AO36" t="str">
        <f ca="1"/>
        <v>NEE</v>
      </c>
      <c r="AP36" s="312">
        <f ca="1"/>
        <v>-0.16146218457528719</v>
      </c>
      <c r="AQ36" s="87" t="str">
        <f ca="1"/>
        <v>CVS</v>
      </c>
      <c r="AR36" s="90">
        <f ca="1"/>
        <v>0.61090039350536973</v>
      </c>
      <c r="AS36" s="94" t="str">
        <f ca="1"/>
        <v>LOCK</v>
      </c>
      <c r="AT36" s="90">
        <f ca="1"/>
        <v>0.36363636363636365</v>
      </c>
    </row>
    <row r="37" spans="1:46">
      <c r="A37" s="708" t="s">
        <v>2090</v>
      </c>
      <c r="B37" s="1" t="str" cm="1">
        <f t="array" aca="1" ref="B37" ca="1">INDIRECT("SORTING!" &amp; ADDRESS(ROW(), A$2+3))</f>
        <v>POET</v>
      </c>
      <c r="C37" s="1" t="str">
        <f ca="1">_xlfn.XLOOKUP(D37,[1]!RTData[Ticker symbol],[1]!RTData[Currency])</f>
        <v>USD</v>
      </c>
      <c r="D37" s="153" t="str">
        <f ca="1">TabCalc[[#This Row],[Ticker]]</f>
        <v>POET</v>
      </c>
      <c r="E37" t="str">
        <f ca="1"/>
        <v>VONN</v>
      </c>
      <c r="F37" s="563">
        <f ca="1"/>
        <v>0.96146169650719104</v>
      </c>
      <c r="G37" s="153" t="str">
        <f ca="1"/>
        <v>X</v>
      </c>
      <c r="H37" s="564">
        <f ca="1"/>
        <v>60208.109199999919</v>
      </c>
      <c r="I37" t="str">
        <f ca="1"/>
        <v>AMZN</v>
      </c>
      <c r="J37" s="565">
        <f ca="1"/>
        <v>1.4112E-2</v>
      </c>
      <c r="K37" s="153" t="str">
        <f ca="1"/>
        <v>AMZN</v>
      </c>
      <c r="L37" s="565">
        <f ca="1"/>
        <v>1.4112E-2</v>
      </c>
      <c r="M37" s="1" t="str">
        <f ca="1"/>
        <v>MVEDDD</v>
      </c>
      <c r="N37" s="564">
        <f ca="1"/>
        <v>6799.9999999999973</v>
      </c>
      <c r="O37" t="str">
        <f ca="1"/>
        <v>BLNK</v>
      </c>
      <c r="P37" s="564">
        <f ca="1"/>
        <v>239.3760000000002</v>
      </c>
      <c r="Q37" t="str">
        <f ca="1"/>
        <v>MVEEPIX</v>
      </c>
      <c r="R37" s="656">
        <f ca="1"/>
        <v>1.2380952380952382E-3</v>
      </c>
      <c r="S37" t="str">
        <f ca="1"/>
        <v>LUV</v>
      </c>
      <c r="T37" s="87">
        <f ca="1"/>
        <v>180</v>
      </c>
      <c r="U37" t="str">
        <f ca="1"/>
        <v>X</v>
      </c>
      <c r="V37" s="87">
        <f ca="1"/>
        <v>0</v>
      </c>
      <c r="W37" t="str">
        <f ca="1"/>
        <v>MA</v>
      </c>
      <c r="X37">
        <f ca="1"/>
        <v>5</v>
      </c>
      <c r="Y37" t="str">
        <f ca="1"/>
        <v>EOAN</v>
      </c>
      <c r="Z37">
        <f ca="1"/>
        <v>6</v>
      </c>
      <c r="AA37" t="str">
        <f ca="1"/>
        <v>MVEALDNE</v>
      </c>
      <c r="AB37">
        <f ca="1"/>
        <v>61</v>
      </c>
      <c r="AC37" t="str">
        <f ca="1"/>
        <v>SAFASML</v>
      </c>
      <c r="AD37">
        <f ca="1"/>
        <v>57</v>
      </c>
      <c r="AE37" t="str">
        <f ca="1"/>
        <v>SAFDIS</v>
      </c>
      <c r="AF37" s="87">
        <f ca="1"/>
        <v>0</v>
      </c>
      <c r="AG37" t="str">
        <f ca="1"/>
        <v>HPE</v>
      </c>
      <c r="AH37" s="87">
        <f ca="1"/>
        <v>1566.0000000000018</v>
      </c>
      <c r="AI37" t="str">
        <f ca="1"/>
        <v>SAP</v>
      </c>
      <c r="AJ37" s="87">
        <f ca="1"/>
        <v>890.00000000000341</v>
      </c>
      <c r="AK37" s="90" t="str">
        <f ca="1"/>
        <v>MVEEPIX</v>
      </c>
      <c r="AL37" s="312">
        <f ca="1"/>
        <v>1.2380952380952382E-3</v>
      </c>
      <c r="AM37" t="str">
        <f ca="1"/>
        <v>GM</v>
      </c>
      <c r="AN37" s="312">
        <f ca="1"/>
        <v>0.49113552146713496</v>
      </c>
      <c r="AO37" t="str">
        <f ca="1"/>
        <v>MVEENI</v>
      </c>
      <c r="AP37" s="312">
        <f ca="1"/>
        <v>-0.15462562375459574</v>
      </c>
      <c r="AQ37" s="87" t="str">
        <f ca="1"/>
        <v>RIGL</v>
      </c>
      <c r="AR37" s="90">
        <f ca="1"/>
        <v>0.59894598907803975</v>
      </c>
      <c r="AS37" s="94" t="str">
        <f ca="1"/>
        <v>DIS</v>
      </c>
      <c r="AT37" s="90">
        <f ca="1"/>
        <v>0.35714285714285715</v>
      </c>
    </row>
    <row r="38" spans="1:46">
      <c r="A38" s="723" t="s">
        <v>2137</v>
      </c>
      <c r="B38" s="1" t="str" cm="1">
        <f t="array" aca="1" ref="B38" ca="1">INDIRECT("SORTING!" &amp; ADDRESS(ROW(), A$2+3))</f>
        <v>PW</v>
      </c>
      <c r="C38" s="1" t="str">
        <f ca="1">_xlfn.XLOOKUP(D38,[1]!RTData[Ticker symbol],[1]!RTData[Currency])</f>
        <v>USD</v>
      </c>
      <c r="D38" s="153" t="str">
        <f ca="1">TabCalc[[#This Row],[Ticker]]</f>
        <v>PW</v>
      </c>
      <c r="E38" t="str">
        <f ca="1"/>
        <v>MVEORA</v>
      </c>
      <c r="F38" s="563">
        <f ca="1"/>
        <v>0.95426628132187385</v>
      </c>
      <c r="G38" s="153" t="str">
        <f ca="1"/>
        <v>SAP</v>
      </c>
      <c r="H38" s="564">
        <f ca="1"/>
        <v>58363.97499999986</v>
      </c>
      <c r="I38" t="str">
        <f ca="1"/>
        <v>SAFAMZN</v>
      </c>
      <c r="J38" s="565">
        <f ca="1"/>
        <v>1.4112E-2</v>
      </c>
      <c r="K38" s="153" t="str">
        <f ca="1"/>
        <v>SAFAMZN</v>
      </c>
      <c r="L38" s="565">
        <f ca="1"/>
        <v>1.4112E-2</v>
      </c>
      <c r="M38" s="1" t="str">
        <f ca="1"/>
        <v>WBA</v>
      </c>
      <c r="N38" s="564">
        <f ca="1"/>
        <v>5760.2999999999993</v>
      </c>
      <c r="O38" t="str">
        <f ca="1"/>
        <v>MVEORA</v>
      </c>
      <c r="P38" s="564">
        <f ca="1"/>
        <v>209.45400000000083</v>
      </c>
      <c r="Q38" t="str">
        <f ca="1"/>
        <v>JBEOAN</v>
      </c>
      <c r="R38" s="656">
        <f ca="1"/>
        <v>1.1297238095238095E-3</v>
      </c>
      <c r="S38" t="str">
        <f ca="1"/>
        <v>ENI</v>
      </c>
      <c r="T38" s="87">
        <f ca="1"/>
        <v>132</v>
      </c>
      <c r="U38" t="str">
        <f ca="1"/>
        <v>GM</v>
      </c>
      <c r="V38" s="87">
        <f ca="1"/>
        <v>-14</v>
      </c>
      <c r="W38" t="str">
        <f ca="1"/>
        <v>C</v>
      </c>
      <c r="X38">
        <f ca="1"/>
        <v>6</v>
      </c>
      <c r="Y38" t="str">
        <f ca="1"/>
        <v>IAG</v>
      </c>
      <c r="Z38">
        <f ca="1"/>
        <v>6</v>
      </c>
      <c r="AA38" t="str">
        <f ca="1"/>
        <v>AMZN</v>
      </c>
      <c r="AB38">
        <f ca="1"/>
        <v>60</v>
      </c>
      <c r="AC38" t="str">
        <f ca="1"/>
        <v>LOCK</v>
      </c>
      <c r="AD38">
        <f ca="1"/>
        <v>57</v>
      </c>
      <c r="AE38" t="str">
        <f ca="1"/>
        <v>SAFGM</v>
      </c>
      <c r="AF38" s="87">
        <f ca="1"/>
        <v>0</v>
      </c>
      <c r="AG38" t="str">
        <f ca="1"/>
        <v>XYZ</v>
      </c>
      <c r="AH38" s="87">
        <f ca="1"/>
        <v>1560.000000000005</v>
      </c>
      <c r="AI38" t="str">
        <f ca="1"/>
        <v>TSM</v>
      </c>
      <c r="AJ38" s="87">
        <f ca="1"/>
        <v>719.99999999999886</v>
      </c>
      <c r="AK38" s="90" t="str">
        <f ca="1"/>
        <v>JBEOAN</v>
      </c>
      <c r="AL38" s="312">
        <f ca="1"/>
        <v>1.1297238095238095E-3</v>
      </c>
      <c r="AM38" t="str">
        <f ca="1"/>
        <v>CVS</v>
      </c>
      <c r="AN38" s="312">
        <f ca="1"/>
        <v>0.46036910631992656</v>
      </c>
      <c r="AO38" t="str">
        <f ca="1"/>
        <v>F</v>
      </c>
      <c r="AP38" s="312">
        <f ca="1"/>
        <v>-0.13410289017341043</v>
      </c>
      <c r="AQ38" s="87" t="str">
        <f ca="1"/>
        <v>EOAN</v>
      </c>
      <c r="AR38" s="90">
        <f ca="1"/>
        <v>0.58863328822733496</v>
      </c>
      <c r="AS38" s="94" t="str">
        <f ca="1"/>
        <v>UNIT</v>
      </c>
      <c r="AT38" s="90">
        <f ca="1"/>
        <v>0.35294117647058826</v>
      </c>
    </row>
    <row r="39" spans="1:46">
      <c r="A39" s="707" t="s">
        <v>2090</v>
      </c>
      <c r="B39" s="1" t="str" cm="1">
        <f t="array" aca="1" ref="B39" ca="1">INDIRECT("SORTING!" &amp; ADDRESS(ROW(), A$2+3))</f>
        <v>RIGL</v>
      </c>
      <c r="C39" s="1" t="str">
        <f ca="1">_xlfn.XLOOKUP(D39,[1]!RTData[Ticker symbol],[1]!RTData[Currency])</f>
        <v>USD</v>
      </c>
      <c r="D39" s="153" t="str">
        <f ca="1">TabCalc[[#This Row],[Ticker]]</f>
        <v>RIGL</v>
      </c>
      <c r="E39" t="str">
        <f ca="1"/>
        <v>ORA</v>
      </c>
      <c r="F39" s="563">
        <f ca="1"/>
        <v>0.95426628132187385</v>
      </c>
      <c r="G39" s="153" t="str">
        <f ca="1"/>
        <v>MVESAP</v>
      </c>
      <c r="H39" s="564">
        <f ca="1"/>
        <v>57366.486999999914</v>
      </c>
      <c r="I39" t="str">
        <f ca="1"/>
        <v>NEM</v>
      </c>
      <c r="J39" s="565">
        <f ca="1"/>
        <v>1.3934E-2</v>
      </c>
      <c r="K39" s="153" t="str">
        <f ca="1"/>
        <v>LOCK</v>
      </c>
      <c r="L39" s="565">
        <f ca="1"/>
        <v>1.4003000000000002E-2</v>
      </c>
      <c r="M39" s="1" t="str">
        <f ca="1"/>
        <v>VLVLY</v>
      </c>
      <c r="N39" s="564">
        <f ca="1"/>
        <v>5190.0000000000009</v>
      </c>
      <c r="O39" t="str">
        <f ca="1"/>
        <v>C</v>
      </c>
      <c r="P39" s="564">
        <f ca="1"/>
        <v>133.1279650000001</v>
      </c>
      <c r="Q39" t="str">
        <f ca="1"/>
        <v>VLVLY</v>
      </c>
      <c r="R39" s="656">
        <f ca="1"/>
        <v>1.076904761904762E-3</v>
      </c>
      <c r="S39" t="str">
        <f ca="1"/>
        <v>PFE</v>
      </c>
      <c r="T39" s="87">
        <f ca="1"/>
        <v>104</v>
      </c>
      <c r="U39" t="str">
        <f ca="1"/>
        <v>CSCO</v>
      </c>
      <c r="V39" s="87">
        <f ca="1"/>
        <v>-14.125</v>
      </c>
      <c r="W39" t="str">
        <f ca="1"/>
        <v>CVS</v>
      </c>
      <c r="X39">
        <f ca="1"/>
        <v>6</v>
      </c>
      <c r="Y39" t="str">
        <f ca="1"/>
        <v>PROF</v>
      </c>
      <c r="Z39">
        <f ca="1"/>
        <v>6</v>
      </c>
      <c r="AA39" t="str">
        <f ca="1"/>
        <v>HPQ</v>
      </c>
      <c r="AB39">
        <f ca="1"/>
        <v>60</v>
      </c>
      <c r="AC39" t="str">
        <f ca="1"/>
        <v>RWE</v>
      </c>
      <c r="AD39">
        <f ca="1"/>
        <v>56</v>
      </c>
      <c r="AE39" t="str">
        <f ca="1"/>
        <v>SAFIAG</v>
      </c>
      <c r="AF39" s="87">
        <f ca="1"/>
        <v>0</v>
      </c>
      <c r="AG39" t="str">
        <f ca="1"/>
        <v>MSFT</v>
      </c>
      <c r="AH39" s="87">
        <f ca="1"/>
        <v>1466.9999999999959</v>
      </c>
      <c r="AI39" t="str">
        <f ca="1"/>
        <v>SHECY</v>
      </c>
      <c r="AJ39" s="87">
        <f ca="1"/>
        <v>549.83999999999946</v>
      </c>
      <c r="AK39" s="90" t="str">
        <f ca="1"/>
        <v>VLVLY</v>
      </c>
      <c r="AL39" s="312">
        <f ca="1"/>
        <v>1.076904761904762E-3</v>
      </c>
      <c r="AM39" t="str">
        <f ca="1"/>
        <v>MVEEOAN</v>
      </c>
      <c r="AN39" s="312">
        <f ca="1"/>
        <v>0.45315867992766729</v>
      </c>
      <c r="AO39" t="str">
        <f ca="1"/>
        <v>MVEORA</v>
      </c>
      <c r="AP39" s="312">
        <f ca="1"/>
        <v>-0.1322804249390456</v>
      </c>
      <c r="AQ39" s="87" t="str">
        <f ca="1"/>
        <v>MVEEOAN</v>
      </c>
      <c r="AR39" s="90">
        <f ca="1"/>
        <v>0.58835391000039028</v>
      </c>
      <c r="AS39" s="94" t="str">
        <f ca="1"/>
        <v>DVA</v>
      </c>
      <c r="AT39" s="90">
        <f ca="1"/>
        <v>0.33333333333333331</v>
      </c>
    </row>
    <row r="40" spans="1:46">
      <c r="A40" s="665" t="s">
        <v>2138</v>
      </c>
      <c r="B40" s="1" t="str" cm="1">
        <f t="array" aca="1" ref="B40" ca="1">INDIRECT("SORTING!" &amp; ADDRESS(ROW(), A$2+3))</f>
        <v>RWE</v>
      </c>
      <c r="C40" s="1" t="str">
        <f ca="1">_xlfn.XLOOKUP(D40,[1]!RTData[Ticker symbol],[1]!RTData[Currency])</f>
        <v>EUR</v>
      </c>
      <c r="D40" s="153" t="str">
        <f ca="1">TabCalc[[#This Row],[Ticker]]</f>
        <v>RWE</v>
      </c>
      <c r="E40" t="str">
        <f ca="1"/>
        <v>KR</v>
      </c>
      <c r="F40" s="563">
        <f ca="1"/>
        <v>0.90546778801189931</v>
      </c>
      <c r="G40" s="153" t="str">
        <f ca="1"/>
        <v>ADEA</v>
      </c>
      <c r="H40" s="564">
        <f ca="1"/>
        <v>55916.09498200001</v>
      </c>
      <c r="I40" t="str">
        <f ca="1"/>
        <v>EZJ</v>
      </c>
      <c r="J40" s="565">
        <f ca="1"/>
        <v>1.3764E-2</v>
      </c>
      <c r="K40" s="153" t="str">
        <f ca="1"/>
        <v>NEE</v>
      </c>
      <c r="L40" s="565">
        <f ca="1"/>
        <v>1.3934E-2</v>
      </c>
      <c r="M40" s="1" t="str">
        <f ca="1"/>
        <v>VTRS</v>
      </c>
      <c r="N40" s="564">
        <f ca="1"/>
        <v>4449.9999999999936</v>
      </c>
      <c r="O40" t="str">
        <f ca="1"/>
        <v>RIGL</v>
      </c>
      <c r="P40" s="564">
        <f ca="1"/>
        <v>99.739999999994325</v>
      </c>
      <c r="Q40" t="str">
        <f ca="1"/>
        <v>SAFIAG</v>
      </c>
      <c r="R40" s="656">
        <f ca="1"/>
        <v>9.6683571428571487E-4</v>
      </c>
      <c r="S40" t="str">
        <f ca="1"/>
        <v>EOAN</v>
      </c>
      <c r="T40" s="87">
        <f ca="1"/>
        <v>63.25</v>
      </c>
      <c r="U40" t="str">
        <f ca="1"/>
        <v>EPIX</v>
      </c>
      <c r="V40" s="87">
        <f ca="1"/>
        <v>-21.750000000001819</v>
      </c>
      <c r="W40" t="str">
        <f ca="1"/>
        <v>NEE</v>
      </c>
      <c r="X40">
        <f ca="1"/>
        <v>6</v>
      </c>
      <c r="Y40" t="str">
        <f ca="1"/>
        <v>RIGL</v>
      </c>
      <c r="Z40">
        <f ca="1"/>
        <v>6</v>
      </c>
      <c r="AA40" t="str">
        <f ca="1"/>
        <v>MRNA</v>
      </c>
      <c r="AB40">
        <f ca="1"/>
        <v>60</v>
      </c>
      <c r="AC40" t="str">
        <f ca="1"/>
        <v>TSLA</v>
      </c>
      <c r="AD40">
        <f ca="1"/>
        <v>56</v>
      </c>
      <c r="AE40" t="str">
        <f ca="1"/>
        <v>F</v>
      </c>
      <c r="AF40" s="87">
        <f ca="1"/>
        <v>0</v>
      </c>
      <c r="AG40" t="str">
        <f ca="1"/>
        <v>PROF</v>
      </c>
      <c r="AH40" s="87">
        <f ca="1"/>
        <v>1239.9999999999984</v>
      </c>
      <c r="AI40" t="str">
        <f ca="1"/>
        <v>VONN</v>
      </c>
      <c r="AJ40" s="87">
        <f ca="1"/>
        <v>505</v>
      </c>
      <c r="AK40" s="90" t="str">
        <f ca="1"/>
        <v>SAFIAG</v>
      </c>
      <c r="AL40" s="312">
        <f ca="1"/>
        <v>9.6683571428571487E-4</v>
      </c>
      <c r="AM40" t="str">
        <f ca="1"/>
        <v>POET</v>
      </c>
      <c r="AN40" s="312">
        <f ca="1"/>
        <v>0.43636681820549522</v>
      </c>
      <c r="AO40" t="str">
        <f ca="1"/>
        <v>HPE</v>
      </c>
      <c r="AP40" s="312">
        <f ca="1"/>
        <v>-0.12937047582205027</v>
      </c>
      <c r="AQ40" s="87" t="str">
        <f ca="1"/>
        <v>JBEOAN</v>
      </c>
      <c r="AR40" s="90">
        <f ca="1"/>
        <v>0.56905083220872721</v>
      </c>
      <c r="AS40" s="94" t="str">
        <f ca="1"/>
        <v>NFLX</v>
      </c>
      <c r="AT40" s="90">
        <f ca="1"/>
        <v>0.33333333333333331</v>
      </c>
    </row>
    <row r="41" spans="1:46">
      <c r="A41" s="708" t="s">
        <v>2090</v>
      </c>
      <c r="B41" s="1" t="str" cm="1">
        <f t="array" aca="1" ref="B41" ca="1">INDIRECT("SORTING!" &amp; ADDRESS(ROW(), A$2+3))</f>
        <v>SAP</v>
      </c>
      <c r="C41" s="1" t="str">
        <f ca="1">_xlfn.XLOOKUP(D41,[1]!RTData[Ticker symbol],[1]!RTData[Currency])</f>
        <v>EUR</v>
      </c>
      <c r="D41" s="153" t="str">
        <f ca="1">TabCalc[[#This Row],[Ticker]]</f>
        <v>SAP</v>
      </c>
      <c r="E41" t="str">
        <f ca="1"/>
        <v>RRC</v>
      </c>
      <c r="F41" s="563">
        <f ca="1"/>
        <v>0.85549111882391193</v>
      </c>
      <c r="G41" s="153" t="str">
        <f ca="1"/>
        <v>HPQ</v>
      </c>
      <c r="H41" s="564">
        <f ca="1"/>
        <v>54344.208000000042</v>
      </c>
      <c r="I41" t="str">
        <f ca="1"/>
        <v>HPQ</v>
      </c>
      <c r="J41" s="565">
        <f ca="1"/>
        <v>1.3368E-2</v>
      </c>
      <c r="K41" s="153" t="str">
        <f ca="1"/>
        <v>EZJ</v>
      </c>
      <c r="L41" s="565">
        <f ca="1"/>
        <v>1.3764E-2</v>
      </c>
      <c r="M41" s="1" t="str">
        <f ca="1"/>
        <v>MA</v>
      </c>
      <c r="N41" s="564">
        <f ca="1"/>
        <v>3463.9999999999873</v>
      </c>
      <c r="O41" t="str">
        <f ca="1"/>
        <v>TSLA</v>
      </c>
      <c r="P41" s="564">
        <f ca="1"/>
        <v>55.475388000000059</v>
      </c>
      <c r="Q41" t="str">
        <f ca="1"/>
        <v>SAFDIS</v>
      </c>
      <c r="R41" s="656">
        <f ca="1"/>
        <v>8.5160238095238067E-4</v>
      </c>
      <c r="S41" t="str">
        <f ca="1"/>
        <v>ADEA</v>
      </c>
      <c r="T41" s="87">
        <f ca="1"/>
        <v>50</v>
      </c>
      <c r="U41" t="str">
        <f ca="1"/>
        <v>PFE</v>
      </c>
      <c r="V41" s="87">
        <f ca="1"/>
        <v>-80</v>
      </c>
      <c r="W41" t="str">
        <f ca="1"/>
        <v>SAFASML</v>
      </c>
      <c r="X41">
        <f ca="1"/>
        <v>6</v>
      </c>
      <c r="Y41" t="str">
        <f ca="1"/>
        <v>SSYS</v>
      </c>
      <c r="Z41">
        <f ca="1"/>
        <v>6</v>
      </c>
      <c r="AA41" t="str">
        <f ca="1"/>
        <v>SAP</v>
      </c>
      <c r="AB41">
        <f ca="1"/>
        <v>60</v>
      </c>
      <c r="AC41" t="str">
        <f ca="1"/>
        <v>TSM</v>
      </c>
      <c r="AD41">
        <f ca="1"/>
        <v>56</v>
      </c>
      <c r="AE41" t="str">
        <f ca="1"/>
        <v>GLE</v>
      </c>
      <c r="AF41" s="87">
        <f ca="1"/>
        <v>0</v>
      </c>
      <c r="AG41" t="str">
        <f ca="1"/>
        <v>PAAS</v>
      </c>
      <c r="AH41" s="87">
        <f ca="1"/>
        <v>930.00000000000682</v>
      </c>
      <c r="AI41" t="str">
        <f ca="1"/>
        <v>AAPL</v>
      </c>
      <c r="AJ41" s="87">
        <f ca="1"/>
        <v>379.99999999999545</v>
      </c>
      <c r="AK41" s="90" t="str">
        <f ca="1"/>
        <v>SAFDIS</v>
      </c>
      <c r="AL41" s="312">
        <f ca="1"/>
        <v>8.5160238095238067E-4</v>
      </c>
      <c r="AM41" t="str">
        <f ca="1"/>
        <v>RWE</v>
      </c>
      <c r="AN41" s="312">
        <f ca="1"/>
        <v>0.42891364117025021</v>
      </c>
      <c r="AO41" t="str">
        <f ca="1"/>
        <v>VLVLY</v>
      </c>
      <c r="AP41" s="312">
        <f ca="1"/>
        <v>-0.12791691416153569</v>
      </c>
      <c r="AQ41" s="87" t="str">
        <f ca="1"/>
        <v>AZN</v>
      </c>
      <c r="AR41" s="90">
        <f ca="1"/>
        <v>0.54163981958762897</v>
      </c>
      <c r="AS41" s="94" t="str">
        <f ca="1"/>
        <v>PROF</v>
      </c>
      <c r="AT41" s="90">
        <f ca="1"/>
        <v>0.30769230769230771</v>
      </c>
    </row>
    <row r="42" spans="1:46">
      <c r="B42" s="1" t="str" cm="1">
        <f t="array" aca="1" ref="B42" ca="1">INDIRECT("SORTING!" &amp; ADDRESS(ROW(), A$2+3))</f>
        <v>SHECY</v>
      </c>
      <c r="C42" s="1" t="str">
        <f ca="1">_xlfn.XLOOKUP(D42,[1]!RTData[Ticker symbol],[1]!RTData[Currency])</f>
        <v>USD</v>
      </c>
      <c r="D42" s="153" t="str">
        <f ca="1">TabCalc[[#This Row],[Ticker]]</f>
        <v>SHECY</v>
      </c>
      <c r="E42" t="str">
        <f ca="1"/>
        <v>SSYS</v>
      </c>
      <c r="F42" s="563">
        <f ca="1"/>
        <v>0.83446883714636</v>
      </c>
      <c r="G42" s="153" t="str">
        <f ca="1"/>
        <v>MA</v>
      </c>
      <c r="H42" s="564">
        <f ca="1"/>
        <v>52083.758999999976</v>
      </c>
      <c r="I42" t="str">
        <f ca="1"/>
        <v>EOAN</v>
      </c>
      <c r="J42" s="565">
        <f ca="1"/>
        <v>1.2715000000000001E-2</v>
      </c>
      <c r="K42" s="153" t="str">
        <f ca="1"/>
        <v>HPE</v>
      </c>
      <c r="L42" s="565">
        <f ca="1"/>
        <v>1.3368E-2</v>
      </c>
      <c r="M42" s="1" t="str">
        <f ca="1"/>
        <v>LUV</v>
      </c>
      <c r="N42" s="564">
        <f ca="1"/>
        <v>1803.1200000000056</v>
      </c>
      <c r="O42" t="str">
        <f ca="1"/>
        <v>ALDNE</v>
      </c>
      <c r="P42" s="564">
        <f ca="1"/>
        <v>0</v>
      </c>
      <c r="Q42" t="str">
        <f ca="1"/>
        <v>CSCO</v>
      </c>
      <c r="R42" s="656">
        <f ca="1"/>
        <v>6.0110238095238125E-4</v>
      </c>
      <c r="S42" t="str">
        <f ca="1"/>
        <v>EPIX</v>
      </c>
      <c r="T42" s="87">
        <f ca="1"/>
        <v>36</v>
      </c>
      <c r="U42" t="str">
        <f ca="1"/>
        <v>EOAN</v>
      </c>
      <c r="V42" s="87">
        <f ca="1"/>
        <v>-86.75</v>
      </c>
      <c r="W42" t="str">
        <f ca="1"/>
        <v>EZJ</v>
      </c>
      <c r="X42">
        <f ca="1"/>
        <v>6</v>
      </c>
      <c r="Y42" t="str">
        <f ca="1"/>
        <v>TSM</v>
      </c>
      <c r="Z42">
        <f ca="1"/>
        <v>6</v>
      </c>
      <c r="AA42" t="str">
        <f ca="1"/>
        <v>MVESAP</v>
      </c>
      <c r="AB42">
        <f ca="1"/>
        <v>60</v>
      </c>
      <c r="AC42" t="str">
        <f ca="1"/>
        <v>MVERWE</v>
      </c>
      <c r="AD42">
        <f ca="1"/>
        <v>56</v>
      </c>
      <c r="AE42" t="str">
        <f ca="1"/>
        <v>GS</v>
      </c>
      <c r="AF42" s="87">
        <f ca="1"/>
        <v>0</v>
      </c>
      <c r="AG42" t="str">
        <f ca="1"/>
        <v>DVA</v>
      </c>
      <c r="AH42" s="87">
        <f ca="1"/>
        <v>839.99999999999773</v>
      </c>
      <c r="AI42" t="str">
        <f ca="1"/>
        <v>SAFDDD</v>
      </c>
      <c r="AJ42" s="87">
        <f ca="1"/>
        <v>330.00000000000273</v>
      </c>
      <c r="AK42" s="90" t="str">
        <f ca="1"/>
        <v>CSCO</v>
      </c>
      <c r="AL42" s="312">
        <f ca="1"/>
        <v>6.0110238095238125E-4</v>
      </c>
      <c r="AM42" t="str">
        <f ca="1"/>
        <v>SAFASML</v>
      </c>
      <c r="AN42" s="312">
        <f ca="1"/>
        <v>0.36585096762251246</v>
      </c>
      <c r="AO42" t="str">
        <f ca="1"/>
        <v>JBEOAN</v>
      </c>
      <c r="AP42" s="312">
        <f ca="1"/>
        <v>-0.11126736089524414</v>
      </c>
      <c r="AQ42" s="87" t="str">
        <f ca="1"/>
        <v>MVEENI</v>
      </c>
      <c r="AR42" s="90">
        <f ca="1"/>
        <v>0.53616703952274403</v>
      </c>
      <c r="AS42" s="94" t="str">
        <f ca="1"/>
        <v>ALDNE</v>
      </c>
      <c r="AT42" s="90">
        <f ca="1"/>
        <v>0.2857142857142857</v>
      </c>
    </row>
    <row r="43" spans="1:46">
      <c r="B43" s="1" t="str" cm="1">
        <f t="array" aca="1" ref="B43" ca="1">INDIRECT("SORTING!" &amp; ADDRESS(ROW(), A$2+3))</f>
        <v>SSYS</v>
      </c>
      <c r="C43" s="1" t="str">
        <f ca="1">_xlfn.XLOOKUP(D43,[1]!RTData[Ticker symbol],[1]!RTData[Currency])</f>
        <v>USD</v>
      </c>
      <c r="D43" s="153" t="str">
        <f ca="1">TabCalc[[#This Row],[Ticker]]</f>
        <v>SSYS</v>
      </c>
      <c r="E43" t="str">
        <f ca="1"/>
        <v>MSFT</v>
      </c>
      <c r="F43" s="563">
        <f ca="1"/>
        <v>0.82918306541212305</v>
      </c>
      <c r="G43" s="153" t="str">
        <f ca="1"/>
        <v>GNRC</v>
      </c>
      <c r="H43" s="564">
        <f ca="1"/>
        <v>51705.85000000002</v>
      </c>
      <c r="I43" t="str">
        <f ca="1"/>
        <v>AAPL</v>
      </c>
      <c r="J43" s="565">
        <f ca="1"/>
        <v>1.2482E-2</v>
      </c>
      <c r="K43" s="153" t="str">
        <f ca="1"/>
        <v>DXC</v>
      </c>
      <c r="L43" s="565">
        <f ca="1"/>
        <v>1.2715000000000001E-2</v>
      </c>
      <c r="M43" s="1" t="str">
        <f ca="1"/>
        <v>XYZ</v>
      </c>
      <c r="N43" s="564">
        <f ca="1"/>
        <v>1560.000000000005</v>
      </c>
      <c r="O43" t="str">
        <f ca="1"/>
        <v>BMRA</v>
      </c>
      <c r="P43" s="564">
        <f ca="1"/>
        <v>0</v>
      </c>
      <c r="Q43" t="str">
        <f ca="1"/>
        <v>XYZ</v>
      </c>
      <c r="R43" s="656">
        <f ca="1"/>
        <v>4.5888095238095106E-4</v>
      </c>
      <c r="S43" t="str">
        <f ca="1"/>
        <v>GM</v>
      </c>
      <c r="T43" s="87">
        <f ca="1"/>
        <v>22</v>
      </c>
      <c r="U43" t="str">
        <f ca="1"/>
        <v>ORA</v>
      </c>
      <c r="V43" s="87">
        <f ca="1"/>
        <v>-150</v>
      </c>
      <c r="W43" t="str">
        <f ca="1"/>
        <v>DVA</v>
      </c>
      <c r="X43">
        <f ca="1"/>
        <v>7</v>
      </c>
      <c r="Y43" t="str">
        <f ca="1"/>
        <v>MVEEOAN</v>
      </c>
      <c r="Z43">
        <f ca="1"/>
        <v>6</v>
      </c>
      <c r="AA43" t="str">
        <f ca="1"/>
        <v>SAFAMZN</v>
      </c>
      <c r="AB43">
        <f ca="1"/>
        <v>60</v>
      </c>
      <c r="AC43" t="str">
        <f ca="1"/>
        <v>HPE</v>
      </c>
      <c r="AD43">
        <f ca="1"/>
        <v>55</v>
      </c>
      <c r="AE43" t="str">
        <f ca="1"/>
        <v>LUV</v>
      </c>
      <c r="AF43" s="87">
        <f ca="1"/>
        <v>0</v>
      </c>
      <c r="AG43" t="str">
        <f ca="1"/>
        <v>MA</v>
      </c>
      <c r="AH43" s="87">
        <f ca="1"/>
        <v>777.99999999999727</v>
      </c>
      <c r="AI43" t="str">
        <f ca="1"/>
        <v>PROF</v>
      </c>
      <c r="AJ43" s="87">
        <f ca="1"/>
        <v>220.00000000000063</v>
      </c>
      <c r="AK43" s="90" t="str">
        <f ca="1"/>
        <v>XYZ</v>
      </c>
      <c r="AL43" s="312">
        <f ca="1"/>
        <v>4.5888095238095106E-4</v>
      </c>
      <c r="AM43" t="str">
        <f ca="1"/>
        <v>ASML</v>
      </c>
      <c r="AN43" s="312">
        <f ca="1"/>
        <v>0.35690433024749069</v>
      </c>
      <c r="AO43" t="str">
        <f ca="1"/>
        <v>RIG</v>
      </c>
      <c r="AP43" s="312">
        <f ca="1"/>
        <v>-0.10385534188034191</v>
      </c>
      <c r="AQ43" s="87" t="str">
        <f ca="1"/>
        <v>MSFT</v>
      </c>
      <c r="AR43" s="90">
        <f ca="1"/>
        <v>0.52708243822036172</v>
      </c>
      <c r="AS43" s="94" t="str">
        <f ca="1"/>
        <v>EOAN</v>
      </c>
      <c r="AT43" s="90">
        <f ca="1"/>
        <v>0.25</v>
      </c>
    </row>
    <row r="44" spans="1:46">
      <c r="B44" s="1" t="str" cm="1">
        <f t="array" aca="1" ref="B44" ca="1">INDIRECT("SORTING!" &amp; ADDRESS(ROW(), A$2+3))</f>
        <v>TSLA</v>
      </c>
      <c r="C44" s="1" t="str">
        <f ca="1">_xlfn.XLOOKUP(D44,[1]!RTData[Ticker symbol],[1]!RTData[Currency])</f>
        <v>USD</v>
      </c>
      <c r="D44" s="153" t="str">
        <f ca="1">TabCalc[[#This Row],[Ticker]]</f>
        <v>TSLA</v>
      </c>
      <c r="E44" t="str">
        <f ca="1"/>
        <v>C</v>
      </c>
      <c r="F44" s="563">
        <f ca="1"/>
        <v>0.82499260016945075</v>
      </c>
      <c r="G44" s="153" t="str">
        <f ca="1"/>
        <v>GS</v>
      </c>
      <c r="H44" s="564">
        <f ca="1"/>
        <v>45917.739000000023</v>
      </c>
      <c r="I44" t="str">
        <f ca="1"/>
        <v>SAFAAPL</v>
      </c>
      <c r="J44" s="565">
        <f ca="1"/>
        <v>1.2482E-2</v>
      </c>
      <c r="K44" s="153" t="str">
        <f ca="1"/>
        <v>AAPL</v>
      </c>
      <c r="L44" s="565">
        <f ca="1"/>
        <v>1.2482E-2</v>
      </c>
      <c r="M44" s="1" t="str">
        <f ca="1"/>
        <v>SAFDIS</v>
      </c>
      <c r="N44" s="564">
        <f ca="1"/>
        <v>1367.8999999999974</v>
      </c>
      <c r="O44" t="str">
        <f ca="1"/>
        <v>NOTE</v>
      </c>
      <c r="P44" s="564">
        <f ca="1"/>
        <v>0</v>
      </c>
      <c r="Q44" t="str">
        <f ca="1"/>
        <v>DIS</v>
      </c>
      <c r="R44" s="656">
        <f ca="1"/>
        <v>2.4060238095238067E-4</v>
      </c>
      <c r="S44" t="str">
        <f ca="1"/>
        <v>MVEEPIX</v>
      </c>
      <c r="T44" s="87">
        <f ca="1"/>
        <v>14.400000000000091</v>
      </c>
      <c r="U44" t="str">
        <f ca="1"/>
        <v>ENI</v>
      </c>
      <c r="V44" s="87">
        <f ca="1"/>
        <v>-220</v>
      </c>
      <c r="W44" t="str">
        <f ca="1"/>
        <v>POET</v>
      </c>
      <c r="X44">
        <f ca="1"/>
        <v>7</v>
      </c>
      <c r="Y44" t="str">
        <f ca="1"/>
        <v>SAFAMZN</v>
      </c>
      <c r="Z44">
        <f ca="1"/>
        <v>6</v>
      </c>
      <c r="AA44" t="str">
        <f ca="1"/>
        <v>SAFMRNA</v>
      </c>
      <c r="AB44">
        <f ca="1"/>
        <v>60</v>
      </c>
      <c r="AC44" t="str">
        <f ca="1"/>
        <v>ADEA</v>
      </c>
      <c r="AD44">
        <f ca="1"/>
        <v>54</v>
      </c>
      <c r="AE44" t="str">
        <f ca="1"/>
        <v>MA</v>
      </c>
      <c r="AF44" s="87">
        <f ca="1"/>
        <v>0</v>
      </c>
      <c r="AG44" t="str">
        <f ca="1"/>
        <v>EOAN</v>
      </c>
      <c r="AH44" s="87">
        <f ca="1"/>
        <v>717.7500000000008</v>
      </c>
      <c r="AI44" t="str">
        <f ca="1"/>
        <v>DDD</v>
      </c>
      <c r="AJ44" s="87">
        <f ca="1"/>
        <v>200.00000000000017</v>
      </c>
      <c r="AK44" s="90" t="str">
        <f ca="1"/>
        <v>DIS</v>
      </c>
      <c r="AL44" s="312">
        <f ca="1"/>
        <v>2.4060238095238067E-4</v>
      </c>
      <c r="AM44" t="str">
        <f ca="1"/>
        <v>SAFAAPL</v>
      </c>
      <c r="AN44" s="312">
        <f ca="1"/>
        <v>0.31423972772878661</v>
      </c>
      <c r="AO44" t="str">
        <f ca="1"/>
        <v>AMZN</v>
      </c>
      <c r="AP44" s="312">
        <f ca="1"/>
        <v>-9.6491597163373619E-2</v>
      </c>
      <c r="AQ44" s="87" t="str">
        <f ca="1"/>
        <v>MVERWE</v>
      </c>
      <c r="AR44" s="90">
        <f ca="1"/>
        <v>0.45938630701037853</v>
      </c>
      <c r="AS44" s="94" t="str">
        <f ca="1"/>
        <v>F</v>
      </c>
      <c r="AT44" s="90">
        <f ca="1"/>
        <v>0.25</v>
      </c>
    </row>
    <row r="45" spans="1:46">
      <c r="B45" s="1" t="str" cm="1">
        <f t="array" aca="1" ref="B45" ca="1">INDIRECT("SORTING!" &amp; ADDRESS(ROW(), A$2+3))</f>
        <v>TSM</v>
      </c>
      <c r="C45" s="1" t="str">
        <f ca="1">_xlfn.XLOOKUP(D45,[1]!RTData[Ticker symbol],[1]!RTData[Currency])</f>
        <v>USD</v>
      </c>
      <c r="D45" s="153" t="str">
        <f ca="1">TabCalc[[#This Row],[Ticker]]</f>
        <v>TSM</v>
      </c>
      <c r="E45" t="str">
        <f ca="1"/>
        <v>NVS</v>
      </c>
      <c r="F45" s="563">
        <f ca="1"/>
        <v>0.80980626695147584</v>
      </c>
      <c r="G45" s="153" t="str">
        <f ca="1"/>
        <v>GLE</v>
      </c>
      <c r="H45" s="564">
        <f ca="1"/>
        <v>43473.079999999994</v>
      </c>
      <c r="I45" t="str">
        <f ca="1"/>
        <v>XYZ</v>
      </c>
      <c r="J45" s="565">
        <f ca="1"/>
        <v>1.2475E-2</v>
      </c>
      <c r="K45" s="153" t="str">
        <f ca="1"/>
        <v>SAFAAPL</v>
      </c>
      <c r="L45" s="565">
        <f ca="1"/>
        <v>1.2482E-2</v>
      </c>
      <c r="M45" s="1" t="str">
        <f ca="1"/>
        <v>XOM</v>
      </c>
      <c r="N45" s="564">
        <f ca="1"/>
        <v>1229.9999999999968</v>
      </c>
      <c r="O45" t="str">
        <f ca="1"/>
        <v>UNIT</v>
      </c>
      <c r="P45" s="564">
        <f ca="1"/>
        <v>0</v>
      </c>
      <c r="Q45" t="str">
        <f ca="1"/>
        <v>WBA</v>
      </c>
      <c r="R45" s="656">
        <f ca="1"/>
        <v>0</v>
      </c>
      <c r="S45" t="str">
        <f ca="1"/>
        <v>RWE</v>
      </c>
      <c r="T45" s="87">
        <f ca="1"/>
        <v>12</v>
      </c>
      <c r="U45" t="str">
        <f ca="1"/>
        <v>RIG</v>
      </c>
      <c r="V45" s="87">
        <f ca="1"/>
        <v>-240</v>
      </c>
      <c r="W45" t="str">
        <f ca="1"/>
        <v>GS</v>
      </c>
      <c r="X45">
        <f ca="1"/>
        <v>7</v>
      </c>
      <c r="Y45" t="str">
        <f ca="1"/>
        <v>SAFIAG</v>
      </c>
      <c r="Z45">
        <f ca="1"/>
        <v>6</v>
      </c>
      <c r="AA45" t="str">
        <f ca="1"/>
        <v>KR</v>
      </c>
      <c r="AB45">
        <f ca="1"/>
        <v>59</v>
      </c>
      <c r="AC45" t="str">
        <f ca="1"/>
        <v>RIGL</v>
      </c>
      <c r="AD45">
        <f ca="1"/>
        <v>54</v>
      </c>
      <c r="AE45" t="str">
        <f ca="1"/>
        <v>NVAX</v>
      </c>
      <c r="AF45" s="87">
        <f ca="1"/>
        <v>0</v>
      </c>
      <c r="AG45" t="str">
        <f ca="1"/>
        <v>SHECY</v>
      </c>
      <c r="AH45" s="87">
        <f ca="1"/>
        <v>660.00000000000193</v>
      </c>
      <c r="AI45" t="str">
        <f ca="1"/>
        <v>EOAN</v>
      </c>
      <c r="AJ45" s="87">
        <f ca="1"/>
        <v>112.00000000000045</v>
      </c>
      <c r="AK45" s="90" t="str">
        <f ca="1"/>
        <v>WBA</v>
      </c>
      <c r="AL45" s="312">
        <f ca="1"/>
        <v>0</v>
      </c>
      <c r="AM45" t="str">
        <f ca="1"/>
        <v>ADEA</v>
      </c>
      <c r="AN45" s="312">
        <f ca="1"/>
        <v>0.30706095460114835</v>
      </c>
      <c r="AO45" t="str">
        <f ca="1"/>
        <v>SAFAMZN</v>
      </c>
      <c r="AP45" s="312">
        <f ca="1"/>
        <v>-8.9616636189286919E-2</v>
      </c>
      <c r="AQ45" s="87" t="str">
        <f ca="1"/>
        <v>SAFGM</v>
      </c>
      <c r="AR45" s="90">
        <f ca="1"/>
        <v>0.4459735039969604</v>
      </c>
      <c r="AS45" s="94" t="str">
        <f ca="1"/>
        <v>SHECY</v>
      </c>
      <c r="AT45" s="90">
        <f ca="1"/>
        <v>0.22222222222222221</v>
      </c>
    </row>
    <row r="46" spans="1:46">
      <c r="B46" s="1" t="str" cm="1">
        <f t="array" aca="1" ref="B46" ca="1">INDIRECT("SORTING!" &amp; ADDRESS(ROW(), A$2+3))</f>
        <v>UN0</v>
      </c>
      <c r="C46" s="1" t="str">
        <f ca="1">_xlfn.XLOOKUP(D46,[1]!RTData[Ticker symbol],[1]!RTData[Currency])</f>
        <v>EUR</v>
      </c>
      <c r="D46" s="153" t="str">
        <f ca="1">TabCalc[[#This Row],[Ticker]]</f>
        <v>UN0</v>
      </c>
      <c r="E46" t="str">
        <f ca="1"/>
        <v>AMZN</v>
      </c>
      <c r="F46" s="563">
        <f ca="1"/>
        <v>0.80389560397611193</v>
      </c>
      <c r="G46" s="153" t="str">
        <f ca="1"/>
        <v>C</v>
      </c>
      <c r="H46" s="564">
        <f ca="1"/>
        <v>40493.265000000007</v>
      </c>
      <c r="I46" t="str">
        <f ca="1"/>
        <v>XPER</v>
      </c>
      <c r="J46" s="565">
        <f ca="1"/>
        <v>1.2102999999999999E-2</v>
      </c>
      <c r="K46" s="153" t="str">
        <f ca="1"/>
        <v>XYZ</v>
      </c>
      <c r="L46" s="565">
        <f ca="1"/>
        <v>1.2475E-2</v>
      </c>
      <c r="M46" s="1" t="str">
        <f ca="1"/>
        <v>NVAX</v>
      </c>
      <c r="N46" s="564">
        <f ca="1"/>
        <v>830.60000000000582</v>
      </c>
      <c r="O46" t="str">
        <f ca="1"/>
        <v>MVEALDNE</v>
      </c>
      <c r="P46" s="564">
        <f ca="1"/>
        <v>0</v>
      </c>
      <c r="Q46" t="str">
        <f ca="1"/>
        <v>X</v>
      </c>
      <c r="R46" s="656">
        <f ca="1"/>
        <v>0</v>
      </c>
      <c r="S46" t="str">
        <f ca="1"/>
        <v>C</v>
      </c>
      <c r="T46" s="87">
        <f ca="1"/>
        <v>6.9749999999999659</v>
      </c>
      <c r="U46" t="str">
        <f ca="1"/>
        <v>MVEENI</v>
      </c>
      <c r="V46" s="87">
        <f ca="1"/>
        <v>-360</v>
      </c>
      <c r="W46" t="str">
        <f ca="1"/>
        <v>AET</v>
      </c>
      <c r="X46">
        <f ca="1"/>
        <v>8</v>
      </c>
      <c r="Y46" t="str">
        <f ca="1"/>
        <v>EZJ</v>
      </c>
      <c r="Z46">
        <f ca="1"/>
        <v>6</v>
      </c>
      <c r="AA46" t="str">
        <f ca="1"/>
        <v>TSM</v>
      </c>
      <c r="AB46">
        <f ca="1"/>
        <v>59</v>
      </c>
      <c r="AC46" t="str">
        <f ca="1"/>
        <v>BMRA</v>
      </c>
      <c r="AD46">
        <f ca="1"/>
        <v>53</v>
      </c>
      <c r="AE46" t="str">
        <f ca="1"/>
        <v>NVS</v>
      </c>
      <c r="AF46" s="87">
        <f ca="1"/>
        <v>0</v>
      </c>
      <c r="AG46" t="str">
        <f ca="1"/>
        <v>RWE</v>
      </c>
      <c r="AH46" s="87">
        <f ca="1"/>
        <v>610</v>
      </c>
      <c r="AI46" t="str">
        <f ca="1"/>
        <v>JBEOAN</v>
      </c>
      <c r="AJ46" s="87">
        <f ca="1"/>
        <v>105.00000000000043</v>
      </c>
      <c r="AK46" s="90" t="str">
        <f ca="1"/>
        <v>X</v>
      </c>
      <c r="AL46" s="312">
        <f ca="1"/>
        <v>0</v>
      </c>
      <c r="AM46" t="str">
        <f ca="1"/>
        <v>TSLA</v>
      </c>
      <c r="AN46" s="312">
        <f ca="1"/>
        <v>0.28812592196368619</v>
      </c>
      <c r="AO46" t="str">
        <f ca="1"/>
        <v>VTRS</v>
      </c>
      <c r="AP46" s="312">
        <f ca="1"/>
        <v>-8.8590338164251103E-2</v>
      </c>
      <c r="AQ46" s="87" t="str">
        <f ca="1"/>
        <v>TSLA</v>
      </c>
      <c r="AR46" s="90">
        <f ca="1"/>
        <v>0.40623328430061528</v>
      </c>
      <c r="AS46" s="94" t="str">
        <f ca="1"/>
        <v>WBA</v>
      </c>
      <c r="AT46" s="90">
        <f ca="1"/>
        <v>0.22222222222222221</v>
      </c>
    </row>
    <row r="47" spans="1:46">
      <c r="B47" s="1" t="str" cm="1">
        <f t="array" aca="1" ref="B47" ca="1">INDIRECT("SORTING!" &amp; ADDRESS(ROW(), A$2+3))</f>
        <v>UNIT</v>
      </c>
      <c r="C47" s="1" t="str">
        <f ca="1">_xlfn.XLOOKUP(D47,[1]!RTData[Ticker symbol],[1]!RTData[Currency])</f>
        <v>USD</v>
      </c>
      <c r="D47" s="153" t="str">
        <f ca="1">TabCalc[[#This Row],[Ticker]]</f>
        <v>UNIT</v>
      </c>
      <c r="E47" t="str">
        <f ca="1"/>
        <v>SAFAMZN</v>
      </c>
      <c r="F47" s="563">
        <f ca="1"/>
        <v>0.80389560397611193</v>
      </c>
      <c r="G47" s="153" t="str">
        <f ca="1"/>
        <v>EZJ</v>
      </c>
      <c r="H47" s="564">
        <f ca="1"/>
        <v>37879.403000000006</v>
      </c>
      <c r="I47" t="str">
        <f ca="1"/>
        <v>SAP</v>
      </c>
      <c r="J47" s="565">
        <f ca="1"/>
        <v>1.2E-2</v>
      </c>
      <c r="K47" s="153" t="str">
        <f ca="1"/>
        <v>CVS</v>
      </c>
      <c r="L47" s="565">
        <f ca="1"/>
        <v>1.0607999999999999E-2</v>
      </c>
      <c r="M47" s="1" t="str">
        <f ca="1"/>
        <v>GM</v>
      </c>
      <c r="N47" s="564">
        <f ca="1"/>
        <v>675.33119999999997</v>
      </c>
      <c r="O47" t="str">
        <f ca="1"/>
        <v>MVEEPIX</v>
      </c>
      <c r="P47" s="564">
        <f ca="1"/>
        <v>0</v>
      </c>
      <c r="Q47" t="str">
        <f ca="1"/>
        <v>UN0</v>
      </c>
      <c r="R47" s="656">
        <f ca="1"/>
        <v>-1.3106547619047733E-4</v>
      </c>
      <c r="S47" t="str">
        <f ca="1"/>
        <v>MVEEOAN</v>
      </c>
      <c r="T47" s="87">
        <f ca="1"/>
        <v>1.1500000000000057</v>
      </c>
      <c r="U47" t="str">
        <f ca="1"/>
        <v>VLVLY</v>
      </c>
      <c r="V47" s="87">
        <f ca="1"/>
        <v>-427.5</v>
      </c>
      <c r="W47" t="str">
        <f ca="1"/>
        <v>DXC</v>
      </c>
      <c r="X47">
        <f ca="1"/>
        <v>8</v>
      </c>
      <c r="Y47" t="e">
        <f ca="1"/>
        <v>#VALUE!</v>
      </c>
      <c r="Z47">
        <f ca="1"/>
        <v>6</v>
      </c>
      <c r="AA47" t="str">
        <f ca="1"/>
        <v>AAPL</v>
      </c>
      <c r="AB47">
        <f ca="1"/>
        <v>58</v>
      </c>
      <c r="AC47" t="str">
        <f ca="1"/>
        <v>LAZR</v>
      </c>
      <c r="AD47">
        <f ca="1"/>
        <v>53</v>
      </c>
      <c r="AE47" t="str">
        <f ca="1"/>
        <v>ORA</v>
      </c>
      <c r="AF47" s="87">
        <f ca="1"/>
        <v>0</v>
      </c>
      <c r="AG47" t="str">
        <f ca="1"/>
        <v>ADEA</v>
      </c>
      <c r="AH47" s="87">
        <f ca="1"/>
        <v>541.50000000000023</v>
      </c>
      <c r="AI47" t="str">
        <f ca="1"/>
        <v>NEE</v>
      </c>
      <c r="AJ47" s="87">
        <f ca="1"/>
        <v>88.500000000000512</v>
      </c>
      <c r="AK47" s="90" t="str">
        <f ca="1"/>
        <v>UN0</v>
      </c>
      <c r="AL47" s="312">
        <f ca="1"/>
        <v>-1.3106547619047733E-4</v>
      </c>
      <c r="AM47" t="str">
        <f ca="1"/>
        <v>MVEDDD</v>
      </c>
      <c r="AN47" s="312">
        <f ca="1"/>
        <v>0.27682938775510191</v>
      </c>
      <c r="AO47" t="str">
        <f ca="1"/>
        <v>EOAN</v>
      </c>
      <c r="AP47" s="312">
        <f ca="1"/>
        <v>-8.3731488964874201E-2</v>
      </c>
      <c r="AQ47" s="87" t="str">
        <f ca="1"/>
        <v>NVS</v>
      </c>
      <c r="AR47" s="90">
        <f ca="1"/>
        <v>0.40511133543337235</v>
      </c>
      <c r="AS47" s="94" t="str">
        <f ca="1"/>
        <v>MVESAP</v>
      </c>
      <c r="AT47" s="90">
        <f ca="1"/>
        <v>0.22222222222222221</v>
      </c>
    </row>
    <row r="48" spans="1:46">
      <c r="B48" s="1" t="str" cm="1">
        <f t="array" aca="1" ref="B48" ca="1">INDIRECT("SORTING!" &amp; ADDRESS(ROW(), A$2+3))</f>
        <v>AVGO</v>
      </c>
      <c r="C48" s="1" t="str">
        <f ca="1">_xlfn.XLOOKUP(D48,[1]!RTData[Ticker symbol],[1]!RTData[Currency])</f>
        <v>USD</v>
      </c>
      <c r="D48" s="153" t="str">
        <f ca="1">TabCalc[[#This Row],[Ticker]]</f>
        <v>AVGO</v>
      </c>
      <c r="E48" t="str">
        <f ca="1"/>
        <v>MVEGLE</v>
      </c>
      <c r="F48" s="563">
        <f ca="1"/>
        <v>0.79786255716959531</v>
      </c>
      <c r="G48" s="153" t="str">
        <f ca="1"/>
        <v>MVERWE</v>
      </c>
      <c r="H48" s="564">
        <f ca="1"/>
        <v>37555.709999999985</v>
      </c>
      <c r="I48" t="str">
        <f ca="1"/>
        <v>MVERWE</v>
      </c>
      <c r="J48" s="565">
        <f ca="1"/>
        <v>1.2E-2</v>
      </c>
      <c r="K48" s="153" t="str">
        <f ca="1"/>
        <v>DVA</v>
      </c>
      <c r="L48" s="565">
        <f ca="1"/>
        <v>9.1390000000000013E-3</v>
      </c>
      <c r="M48" s="1" t="str">
        <f ca="1"/>
        <v>RWE</v>
      </c>
      <c r="N48" s="564">
        <f ca="1"/>
        <v>601.23775000000001</v>
      </c>
      <c r="O48" t="str">
        <f ca="1"/>
        <v>LAZR</v>
      </c>
      <c r="P48" s="564">
        <f ca="1"/>
        <v>0</v>
      </c>
      <c r="Q48" t="str">
        <f ca="1"/>
        <v>PFE</v>
      </c>
      <c r="R48" s="656">
        <f ca="1"/>
        <v>-9.848154761904755E-4</v>
      </c>
      <c r="S48" t="str">
        <f ca="1"/>
        <v>LUMN</v>
      </c>
      <c r="T48" s="87">
        <f ca="1"/>
        <v>0.60000000000000853</v>
      </c>
      <c r="U48" t="str">
        <f ca="1"/>
        <v>XYZ</v>
      </c>
      <c r="V48" s="87">
        <f ca="1"/>
        <v>-491.99999999999272</v>
      </c>
      <c r="W48" t="str">
        <f ca="1"/>
        <v>UNIT</v>
      </c>
      <c r="X48">
        <f ca="1"/>
        <v>8</v>
      </c>
      <c r="Y48" t="str">
        <f ca="1"/>
        <v>BMRA</v>
      </c>
      <c r="Z48">
        <f ca="1"/>
        <v>7</v>
      </c>
      <c r="AA48" t="str">
        <f ca="1"/>
        <v>HPE</v>
      </c>
      <c r="AB48">
        <f ca="1"/>
        <v>58</v>
      </c>
      <c r="AC48" t="str">
        <f ca="1"/>
        <v>JBEOAN</v>
      </c>
      <c r="AD48">
        <f ca="1"/>
        <v>53</v>
      </c>
      <c r="AE48" t="str">
        <f ca="1"/>
        <v>PFE</v>
      </c>
      <c r="AF48" s="87">
        <f ca="1"/>
        <v>0</v>
      </c>
      <c r="AG48" t="str">
        <f ca="1"/>
        <v>SAP</v>
      </c>
      <c r="AH48" s="87">
        <f ca="1"/>
        <v>500</v>
      </c>
      <c r="AI48" t="str">
        <f ca="1"/>
        <v>MSFT</v>
      </c>
      <c r="AJ48" s="87">
        <f ca="1"/>
        <v>46.499999999991815</v>
      </c>
      <c r="AK48" s="90" t="str">
        <f ca="1"/>
        <v>PFE</v>
      </c>
      <c r="AL48" s="312">
        <f ca="1"/>
        <v>-9.848154761904755E-4</v>
      </c>
      <c r="AM48" t="str">
        <f ca="1"/>
        <v>AAPL</v>
      </c>
      <c r="AN48" s="312">
        <f ca="1"/>
        <v>0.23540251435464962</v>
      </c>
      <c r="AO48" t="str">
        <f ca="1"/>
        <v>ENI</v>
      </c>
      <c r="AP48" s="312">
        <f ca="1"/>
        <v>-6.7287191439527883E-2</v>
      </c>
      <c r="AQ48" s="87" t="str">
        <f ca="1"/>
        <v>GM</v>
      </c>
      <c r="AR48" s="90">
        <f ca="1"/>
        <v>0.39835885150417738</v>
      </c>
      <c r="AS48" s="94" t="str">
        <f ca="1"/>
        <v>AET</v>
      </c>
      <c r="AT48" s="90">
        <f ca="1"/>
        <v>0.2</v>
      </c>
    </row>
    <row r="49" spans="2:46">
      <c r="B49" s="1" t="str" cm="1">
        <f t="array" aca="1" ref="B49" ca="1">INDIRECT("SORTING!" &amp; ADDRESS(ROW(), A$2+3))</f>
        <v>VLVLY</v>
      </c>
      <c r="C49" s="1" t="str">
        <f ca="1">_xlfn.XLOOKUP(D49,[1]!RTData[Ticker symbol],[1]!RTData[Currency])</f>
        <v>USD</v>
      </c>
      <c r="D49" s="153" t="str">
        <f ca="1">TabCalc[[#This Row],[Ticker]]</f>
        <v>VLVLY</v>
      </c>
      <c r="E49" t="str">
        <f ca="1"/>
        <v>GLE</v>
      </c>
      <c r="F49" s="563">
        <f ca="1"/>
        <v>0.79786255716959531</v>
      </c>
      <c r="G49" s="153" t="str">
        <f ca="1"/>
        <v>SAFDIS</v>
      </c>
      <c r="H49" s="564">
        <f ca="1"/>
        <v>37246.119999999981</v>
      </c>
      <c r="I49" t="str">
        <f ca="1"/>
        <v>DDD</v>
      </c>
      <c r="J49" s="565">
        <f ca="1"/>
        <v>1.0238000000000001E-2</v>
      </c>
      <c r="K49" s="153" t="str">
        <f ca="1"/>
        <v>XPER</v>
      </c>
      <c r="L49" s="565">
        <f ca="1"/>
        <v>9.077E-3</v>
      </c>
      <c r="M49" s="1" t="str">
        <f ca="1"/>
        <v>C</v>
      </c>
      <c r="N49" s="564">
        <f ca="1"/>
        <v>430.30200000000002</v>
      </c>
      <c r="O49" t="str">
        <f ca="1"/>
        <v>LOCK</v>
      </c>
      <c r="P49" s="564">
        <f ca="1"/>
        <v>0</v>
      </c>
      <c r="Q49" t="str">
        <f ca="1"/>
        <v>NVAX</v>
      </c>
      <c r="R49" s="656">
        <f ca="1"/>
        <v>-1.1656154761904773E-3</v>
      </c>
      <c r="S49" t="str">
        <f ca="1"/>
        <v>CVS</v>
      </c>
      <c r="T49" s="87">
        <f ca="1"/>
        <v>0.4100000000000108</v>
      </c>
      <c r="U49" t="str">
        <f ca="1"/>
        <v>XPER</v>
      </c>
      <c r="V49" s="87">
        <f ca="1"/>
        <v>-500</v>
      </c>
      <c r="W49" t="str">
        <f ca="1"/>
        <v>DDD</v>
      </c>
      <c r="X49">
        <f ca="1"/>
        <v>9</v>
      </c>
      <c r="Y49" t="str">
        <f ca="1"/>
        <v>CSCO</v>
      </c>
      <c r="Z49">
        <f ca="1"/>
        <v>7</v>
      </c>
      <c r="AA49" t="str">
        <f ca="1"/>
        <v>SAFAAPL</v>
      </c>
      <c r="AB49">
        <f ca="1"/>
        <v>58</v>
      </c>
      <c r="AC49" t="str">
        <f ca="1"/>
        <v>BLDP</v>
      </c>
      <c r="AD49">
        <f ca="1"/>
        <v>52</v>
      </c>
      <c r="AE49" t="str">
        <f ca="1"/>
        <v>RRC</v>
      </c>
      <c r="AF49" s="87">
        <f ca="1"/>
        <v>0</v>
      </c>
      <c r="AG49" t="str">
        <f ca="1"/>
        <v>X</v>
      </c>
      <c r="AH49" s="87">
        <f ca="1"/>
        <v>238.82794000000004</v>
      </c>
      <c r="AI49" t="str">
        <f ca="1"/>
        <v>ASML</v>
      </c>
      <c r="AJ49" s="87">
        <f ca="1"/>
        <v>35.000000000002274</v>
      </c>
      <c r="AK49" s="90" t="str">
        <f ca="1"/>
        <v>NVAX</v>
      </c>
      <c r="AL49" s="312">
        <f ca="1"/>
        <v>-1.1656154761904773E-3</v>
      </c>
      <c r="AM49" t="str">
        <f ca="1"/>
        <v>MVERWE</v>
      </c>
      <c r="AN49" s="312">
        <f ca="1"/>
        <v>0.22527768545097451</v>
      </c>
      <c r="AO49" t="str">
        <f ca="1"/>
        <v>GNRC</v>
      </c>
      <c r="AP49" s="312">
        <f ca="1"/>
        <v>-5.9970264247055073E-2</v>
      </c>
      <c r="AQ49" s="87" t="str">
        <f ca="1"/>
        <v>GS</v>
      </c>
      <c r="AR49" s="90">
        <f ca="1"/>
        <v>0.36534830096813103</v>
      </c>
      <c r="AS49" s="94" t="str">
        <f ca="1"/>
        <v>ADEA</v>
      </c>
      <c r="AT49" s="90">
        <f ca="1"/>
        <v>0.16666666666666666</v>
      </c>
    </row>
    <row r="50" spans="2:46">
      <c r="B50" s="1" t="str" cm="1">
        <f t="array" aca="1" ref="B50" ca="1">INDIRECT("SORTING!" &amp; ADDRESS(ROW(), A$2+3))</f>
        <v>VONN</v>
      </c>
      <c r="C50" s="1" t="str">
        <f ca="1">_xlfn.XLOOKUP(D50,[1]!RTData[Ticker symbol],[1]!RTData[Currency])</f>
        <v>CHF</v>
      </c>
      <c r="D50" s="153" t="str">
        <f ca="1">TabCalc[[#This Row],[Ticker]]</f>
        <v>VONN</v>
      </c>
      <c r="E50" t="str">
        <f ca="1"/>
        <v>UNIT</v>
      </c>
      <c r="F50" s="563">
        <f ca="1"/>
        <v>0.78130773010126597</v>
      </c>
      <c r="G50" s="153" t="str">
        <f ca="1"/>
        <v>DVA</v>
      </c>
      <c r="H50" s="564">
        <f ca="1"/>
        <v>37151.189999999944</v>
      </c>
      <c r="I50" t="str">
        <f ca="1"/>
        <v>DXC</v>
      </c>
      <c r="J50" s="565">
        <f ca="1"/>
        <v>9.1390000000000013E-3</v>
      </c>
      <c r="K50" s="153" t="str">
        <f ca="1"/>
        <v>ASML</v>
      </c>
      <c r="L50" s="565">
        <f ca="1"/>
        <v>7.548E-3</v>
      </c>
      <c r="M50" s="1" t="str">
        <f ca="1"/>
        <v>TSLA</v>
      </c>
      <c r="N50" s="564">
        <f ca="1"/>
        <v>404.52338187500004</v>
      </c>
      <c r="O50" t="str">
        <f ca="1"/>
        <v>GNRC</v>
      </c>
      <c r="P50" s="564">
        <f ca="1"/>
        <v>-11.968800000000453</v>
      </c>
      <c r="Q50" t="str">
        <f ca="1"/>
        <v>NOTE</v>
      </c>
      <c r="R50" s="656">
        <f ca="1"/>
        <v>-1.4135833333333344E-3</v>
      </c>
      <c r="S50" t="str">
        <f ca="1"/>
        <v>MVERWE</v>
      </c>
      <c r="T50" s="87">
        <f ca="1"/>
        <v>0.24000000000000199</v>
      </c>
      <c r="U50" t="str">
        <f ca="1"/>
        <v>CVS</v>
      </c>
      <c r="V50" s="87">
        <f ca="1"/>
        <v>-529.59</v>
      </c>
      <c r="W50" t="str">
        <f ca="1"/>
        <v>RWE</v>
      </c>
      <c r="X50">
        <f ca="1"/>
        <v>9</v>
      </c>
      <c r="Y50" t="str">
        <f ca="1"/>
        <v>AVGO</v>
      </c>
      <c r="Z50">
        <f ca="1"/>
        <v>7</v>
      </c>
      <c r="AA50" t="str">
        <f ca="1"/>
        <v>XPER</v>
      </c>
      <c r="AB50">
        <f ca="1"/>
        <v>57</v>
      </c>
      <c r="AC50" t="str">
        <f ca="1"/>
        <v>SAP</v>
      </c>
      <c r="AD50">
        <f ca="1"/>
        <v>52</v>
      </c>
      <c r="AE50" t="str">
        <f ca="1"/>
        <v>THC</v>
      </c>
      <c r="AF50" s="87">
        <f ca="1"/>
        <v>0</v>
      </c>
      <c r="AG50" t="str">
        <f ca="1"/>
        <v>GM</v>
      </c>
      <c r="AH50" s="87">
        <f ca="1"/>
        <v>229.83999999999995</v>
      </c>
      <c r="AI50" t="str">
        <f ca="1"/>
        <v>GNRC</v>
      </c>
      <c r="AJ50" s="87">
        <f ca="1"/>
        <v>12.000000000000455</v>
      </c>
      <c r="AK50" s="90" t="str">
        <f ca="1"/>
        <v>NOTE</v>
      </c>
      <c r="AL50" s="312">
        <f ca="1"/>
        <v>-1.4135833333333344E-3</v>
      </c>
      <c r="AM50" t="str">
        <f ca="1"/>
        <v>AZN</v>
      </c>
      <c r="AN50" s="312">
        <f ca="1"/>
        <v>0.19208233104238262</v>
      </c>
      <c r="AO50" t="str">
        <f ca="1"/>
        <v>HPQ</v>
      </c>
      <c r="AP50" s="312">
        <f ca="1"/>
        <v>-5.9071438900940028E-2</v>
      </c>
      <c r="AQ50" s="87" t="str">
        <f ca="1"/>
        <v>SSYS</v>
      </c>
      <c r="AR50" s="90">
        <f ca="1"/>
        <v>0.36519807478711591</v>
      </c>
      <c r="AS50" s="94" t="str">
        <f ca="1"/>
        <v>SAFAMZN</v>
      </c>
      <c r="AT50" s="90">
        <f ca="1"/>
        <v>0.16666666666666666</v>
      </c>
    </row>
    <row r="51" spans="2:46">
      <c r="B51" s="1" t="str" cm="1">
        <f t="array" aca="1" ref="B51" ca="1">INDIRECT("SORTING!" &amp; ADDRESS(ROW(), A$2+3))</f>
        <v>VTRS</v>
      </c>
      <c r="C51" s="1" t="str">
        <f ca="1">_xlfn.XLOOKUP(D51,[1]!RTData[Ticker symbol],[1]!RTData[Currency])</f>
        <v>USD</v>
      </c>
      <c r="D51" s="153" t="str">
        <f ca="1">TabCalc[[#This Row],[Ticker]]</f>
        <v>VTRS</v>
      </c>
      <c r="E51" t="str">
        <f ca="1"/>
        <v>CVS</v>
      </c>
      <c r="F51" s="563">
        <f ca="1"/>
        <v>0.76801882949153322</v>
      </c>
      <c r="G51" s="153" t="str">
        <f ca="1"/>
        <v>BLDP</v>
      </c>
      <c r="H51" s="564">
        <f ca="1"/>
        <v>37116.18499999999</v>
      </c>
      <c r="I51" t="str">
        <f ca="1"/>
        <v>ASML</v>
      </c>
      <c r="J51" s="565">
        <f ca="1"/>
        <v>7.548E-3</v>
      </c>
      <c r="K51" s="153" t="str">
        <f ca="1"/>
        <v>SAFASML</v>
      </c>
      <c r="L51" s="565">
        <f ca="1"/>
        <v>7.548E-3</v>
      </c>
      <c r="M51" s="1" t="str">
        <f ca="1"/>
        <v>X</v>
      </c>
      <c r="N51" s="564">
        <f ca="1"/>
        <v>238.82794000000007</v>
      </c>
      <c r="O51" t="str">
        <f ca="1"/>
        <v>ASML</v>
      </c>
      <c r="P51" s="564">
        <f ca="1"/>
        <v>-34.909000000002266</v>
      </c>
      <c r="Q51" t="str">
        <f ca="1"/>
        <v>VTRS</v>
      </c>
      <c r="R51" s="656">
        <f ca="1"/>
        <v>-1.6379380952380941E-3</v>
      </c>
      <c r="S51" t="str">
        <f ca="1"/>
        <v>X</v>
      </c>
      <c r="T51" s="87">
        <f ca="1"/>
        <v>0.10000000000013642</v>
      </c>
      <c r="U51" t="str">
        <f ca="1"/>
        <v>LUV</v>
      </c>
      <c r="V51" s="87">
        <f ca="1"/>
        <v>-570</v>
      </c>
      <c r="W51" t="str">
        <f ca="1"/>
        <v>MVEDDD</v>
      </c>
      <c r="X51">
        <f ca="1"/>
        <v>9</v>
      </c>
      <c r="Y51" t="str">
        <f ca="1"/>
        <v>VLVLY</v>
      </c>
      <c r="Z51">
        <f ca="1"/>
        <v>7</v>
      </c>
      <c r="AA51" t="str">
        <f ca="1"/>
        <v>DVA</v>
      </c>
      <c r="AB51">
        <f ca="1"/>
        <v>56</v>
      </c>
      <c r="AC51" t="str">
        <f ca="1"/>
        <v>UNIT</v>
      </c>
      <c r="AD51">
        <f ca="1"/>
        <v>52</v>
      </c>
      <c r="AE51" t="str">
        <f ca="1"/>
        <v>X</v>
      </c>
      <c r="AF51" s="87">
        <f ca="1"/>
        <v>0</v>
      </c>
      <c r="AG51" t="str">
        <f ca="1"/>
        <v>ORA</v>
      </c>
      <c r="AH51" s="87">
        <f ca="1"/>
        <v>210.00000000000085</v>
      </c>
      <c r="AI51" t="str">
        <f ca="1"/>
        <v>ALDNE</v>
      </c>
      <c r="AJ51" s="87">
        <f ca="1"/>
        <v>0</v>
      </c>
      <c r="AK51" s="90" t="str">
        <f ca="1"/>
        <v>VTRS</v>
      </c>
      <c r="AL51" s="312">
        <f ca="1"/>
        <v>-1.6379380952380941E-3</v>
      </c>
      <c r="AM51" t="str">
        <f ca="1"/>
        <v>WBA</v>
      </c>
      <c r="AN51" s="312">
        <f ca="1"/>
        <v>0.19037045497470151</v>
      </c>
      <c r="AO51" t="str">
        <f ca="1"/>
        <v>PROF</v>
      </c>
      <c r="AP51" s="312">
        <f ca="1"/>
        <v>-5.8963636363636288E-2</v>
      </c>
      <c r="AQ51" s="87" t="str">
        <f ca="1"/>
        <v>DVA</v>
      </c>
      <c r="AR51" s="90">
        <f ca="1"/>
        <v>0.3499141414375167</v>
      </c>
      <c r="AS51" s="94" t="str">
        <f ca="1"/>
        <v>MVEENI</v>
      </c>
      <c r="AT51" s="90">
        <f ca="1"/>
        <v>0.125</v>
      </c>
    </row>
    <row r="52" spans="2:46">
      <c r="B52" s="1" t="str" cm="1">
        <f t="array" aca="1" ref="B52" ca="1">INDIRECT("SORTING!" &amp; ADDRESS(ROW(), A$2+3))</f>
        <v>WBA</v>
      </c>
      <c r="C52" s="1" t="str">
        <f ca="1">_xlfn.XLOOKUP(D52,[1]!RTData[Ticker symbol],[1]!RTData[Currency])</f>
        <v>USD</v>
      </c>
      <c r="D52" s="153" t="str">
        <f ca="1">TabCalc[[#This Row],[Ticker]]</f>
        <v>WBA</v>
      </c>
      <c r="E52" t="str">
        <f ca="1"/>
        <v>GNRC</v>
      </c>
      <c r="F52" s="563">
        <f ca="1"/>
        <v>0.75625107713290851</v>
      </c>
      <c r="G52" s="153" t="str">
        <f ca="1"/>
        <v>RWE</v>
      </c>
      <c r="H52" s="564">
        <f ca="1"/>
        <v>36161.852499999921</v>
      </c>
      <c r="I52" t="str">
        <f ca="1"/>
        <v>SAFASML</v>
      </c>
      <c r="J52" s="565">
        <f ca="1"/>
        <v>7.548E-3</v>
      </c>
      <c r="K52" s="153" t="str">
        <f ca="1"/>
        <v>VLVLY</v>
      </c>
      <c r="L52" s="565">
        <f ca="1"/>
        <v>7.2970000000000005E-3</v>
      </c>
      <c r="M52" s="1" t="str">
        <f ca="1"/>
        <v>ORA</v>
      </c>
      <c r="N52" s="564">
        <f ca="1"/>
        <v>210.00000000000085</v>
      </c>
      <c r="O52" t="str">
        <f ca="1"/>
        <v>MSFT</v>
      </c>
      <c r="P52" s="564">
        <f ca="1"/>
        <v>-46.379099999991837</v>
      </c>
      <c r="Q52" t="str">
        <f ca="1"/>
        <v>CVS</v>
      </c>
      <c r="R52" s="656">
        <f ca="1"/>
        <v>-1.8606005952380954E-3</v>
      </c>
      <c r="S52" t="str">
        <f ca="1"/>
        <v>LNSR</v>
      </c>
      <c r="T52" s="87">
        <f ca="1"/>
        <v>0</v>
      </c>
      <c r="U52" t="str">
        <f ca="1"/>
        <v>ADEA</v>
      </c>
      <c r="V52" s="87">
        <f ca="1"/>
        <v>-600</v>
      </c>
      <c r="W52" t="str">
        <f ca="1"/>
        <v>MVERWE</v>
      </c>
      <c r="X52">
        <f ca="1"/>
        <v>9</v>
      </c>
      <c r="Y52" t="str">
        <f ca="1"/>
        <v>XPER</v>
      </c>
      <c r="Z52">
        <f ca="1"/>
        <v>7</v>
      </c>
      <c r="AA52" t="str">
        <f ca="1"/>
        <v>LAZR</v>
      </c>
      <c r="AB52">
        <f ca="1"/>
        <v>56</v>
      </c>
      <c r="AC52" t="str">
        <f ca="1"/>
        <v>MVEGLE</v>
      </c>
      <c r="AD52">
        <f ca="1"/>
        <v>52</v>
      </c>
      <c r="AE52" t="str">
        <f ca="1"/>
        <v>JBEOAN</v>
      </c>
      <c r="AF52" s="87">
        <f ca="1"/>
        <v>0</v>
      </c>
      <c r="AG52" t="str">
        <f ca="1"/>
        <v>C</v>
      </c>
      <c r="AH52" s="87">
        <f ca="1"/>
        <v>180.15</v>
      </c>
      <c r="AI52" t="str">
        <f ca="1"/>
        <v>BMRA</v>
      </c>
      <c r="AJ52" s="87">
        <f ca="1"/>
        <v>0</v>
      </c>
      <c r="AK52" s="90" t="str">
        <f ca="1"/>
        <v>CVS</v>
      </c>
      <c r="AL52" s="312">
        <f ca="1"/>
        <v>-1.8606005952380954E-3</v>
      </c>
      <c r="AM52" t="str">
        <f ca="1"/>
        <v>NEE</v>
      </c>
      <c r="AN52" s="312">
        <f ca="1"/>
        <v>0.18837477044755893</v>
      </c>
      <c r="AO52" t="str">
        <f ca="1"/>
        <v>EZJ</v>
      </c>
      <c r="AP52" s="312">
        <f ca="1"/>
        <v>-5.4290324350270855E-2</v>
      </c>
      <c r="AQ52" s="87" t="str">
        <f ca="1"/>
        <v>XYZ</v>
      </c>
      <c r="AR52" s="90">
        <f ca="1"/>
        <v>0.32879253050815416</v>
      </c>
      <c r="AS52" s="94" t="str">
        <f ca="1"/>
        <v>ENI</v>
      </c>
      <c r="AT52" s="90">
        <f ca="1"/>
        <v>0.125</v>
      </c>
    </row>
    <row r="53" spans="2:46">
      <c r="B53" s="1" t="str" cm="1">
        <f t="array" aca="1" ref="B53" ca="1">INDIRECT("SORTING!" &amp; ADDRESS(ROW(), A$2+3))</f>
        <v>XOM</v>
      </c>
      <c r="C53" s="1" t="str">
        <f ca="1">_xlfn.XLOOKUP(D53,[1]!RTData[Ticker symbol],[1]!RTData[Currency])</f>
        <v>USD</v>
      </c>
      <c r="D53" s="153" t="str">
        <f ca="1">TabCalc[[#This Row],[Ticker]]</f>
        <v>XOM</v>
      </c>
      <c r="E53" t="str">
        <f ca="1"/>
        <v>DXC</v>
      </c>
      <c r="F53" s="563">
        <f ca="1"/>
        <v>0.75184594229407342</v>
      </c>
      <c r="G53" s="153" t="str">
        <f ca="1"/>
        <v>AET</v>
      </c>
      <c r="H53" s="564">
        <f ca="1"/>
        <v>32798.964192999993</v>
      </c>
      <c r="I53" t="str">
        <f ca="1"/>
        <v>LOCK</v>
      </c>
      <c r="J53" s="565">
        <f ca="1"/>
        <v>7.548E-3</v>
      </c>
      <c r="K53" s="153" t="str">
        <f ca="1"/>
        <v>MSFT</v>
      </c>
      <c r="L53" s="565">
        <f ca="1"/>
        <v>5.8589999999999996E-3</v>
      </c>
      <c r="M53" s="1" t="str">
        <f ca="1"/>
        <v>EOAN</v>
      </c>
      <c r="N53" s="564">
        <f ca="1"/>
        <v>133.37500000000082</v>
      </c>
      <c r="O53" t="str">
        <f ca="1"/>
        <v>NEE</v>
      </c>
      <c r="P53" s="564">
        <f ca="1"/>
        <v>-88.269900000000504</v>
      </c>
      <c r="Q53" t="str">
        <f ca="1"/>
        <v>IAG</v>
      </c>
      <c r="R53" s="656">
        <f ca="1"/>
        <v>-2.0265690476190469E-3</v>
      </c>
      <c r="S53" t="str">
        <f ca="1"/>
        <v>SAFGM</v>
      </c>
      <c r="T53" s="87">
        <f ca="1"/>
        <v>0</v>
      </c>
      <c r="U53" t="str">
        <f ca="1"/>
        <v>LNSR</v>
      </c>
      <c r="V53" s="87">
        <f ca="1"/>
        <v>-640</v>
      </c>
      <c r="W53" t="str">
        <f ca="1"/>
        <v>SAFDDD</v>
      </c>
      <c r="X53">
        <f ca="1"/>
        <v>9</v>
      </c>
      <c r="Y53" t="str">
        <f ca="1"/>
        <v>PFE</v>
      </c>
      <c r="Z53">
        <f ca="1"/>
        <v>7</v>
      </c>
      <c r="AA53" t="str">
        <f ca="1"/>
        <v>RIGL</v>
      </c>
      <c r="AB53">
        <f ca="1"/>
        <v>55</v>
      </c>
      <c r="AC53" t="str">
        <f ca="1"/>
        <v>MVESAP</v>
      </c>
      <c r="AD53">
        <f ca="1"/>
        <v>52</v>
      </c>
      <c r="AE53" t="str">
        <f ca="1"/>
        <v>BLDP</v>
      </c>
      <c r="AF53" s="87">
        <f ca="1"/>
        <v>-4713.8750000000109</v>
      </c>
      <c r="AG53" t="str">
        <f ca="1"/>
        <v>HPQ</v>
      </c>
      <c r="AH53" s="87">
        <f ca="1"/>
        <v>129.99999999999901</v>
      </c>
      <c r="AI53" t="str">
        <f ca="1"/>
        <v>NOTE</v>
      </c>
      <c r="AJ53" s="87">
        <f ca="1"/>
        <v>0</v>
      </c>
      <c r="AK53" s="90" t="str">
        <f ca="1"/>
        <v>IAG</v>
      </c>
      <c r="AL53" s="312">
        <f ca="1"/>
        <v>-2.0265690476190469E-3</v>
      </c>
      <c r="AM53" t="str">
        <f ca="1"/>
        <v>MVEENI</v>
      </c>
      <c r="AN53" s="312">
        <f ca="1"/>
        <v>0.17881478660264599</v>
      </c>
      <c r="AO53" t="str">
        <f ca="1"/>
        <v>CSCO</v>
      </c>
      <c r="AP53" s="312">
        <f ca="1"/>
        <v>-5.1162933597621307E-2</v>
      </c>
      <c r="AQ53" s="87" t="str">
        <f ca="1"/>
        <v>KR</v>
      </c>
      <c r="AR53" s="90">
        <f ca="1"/>
        <v>0.30897828196132665</v>
      </c>
      <c r="AS53" s="94" t="str">
        <f ca="1"/>
        <v>AMZN</v>
      </c>
      <c r="AT53" s="90">
        <f ca="1"/>
        <v>0.1</v>
      </c>
    </row>
    <row r="54" spans="2:46">
      <c r="B54" s="1" t="str" cm="1">
        <f t="array" aca="1" ref="B54" ca="1">INDIRECT("SORTING!" &amp; ADDRESS(ROW(), A$2+3))</f>
        <v>XPER</v>
      </c>
      <c r="C54" s="1" t="str">
        <f ca="1">_xlfn.XLOOKUP(D54,[1]!RTData[Ticker symbol],[1]!RTData[Currency])</f>
        <v>USD</v>
      </c>
      <c r="D54" s="153" t="str">
        <f ca="1">TabCalc[[#This Row],[Ticker]]</f>
        <v>XPER</v>
      </c>
      <c r="E54" t="str">
        <f ca="1"/>
        <v>NOTE</v>
      </c>
      <c r="F54" s="563">
        <f ca="1"/>
        <v>0.73766131524346279</v>
      </c>
      <c r="G54" s="153" t="str">
        <f ca="1"/>
        <v>ENI</v>
      </c>
      <c r="H54" s="564">
        <f ca="1"/>
        <v>32289.53600000008</v>
      </c>
      <c r="I54" t="str">
        <f ca="1"/>
        <v>VLVLY</v>
      </c>
      <c r="J54" s="565">
        <f ca="1"/>
        <v>7.2970000000000005E-3</v>
      </c>
      <c r="K54" s="153" t="str">
        <f ca="1"/>
        <v>CSCO</v>
      </c>
      <c r="L54" s="565">
        <f ca="1"/>
        <v>5.1229999999999999E-3</v>
      </c>
      <c r="M54" s="1" t="str">
        <f ca="1"/>
        <v>MVEEOAN</v>
      </c>
      <c r="N54" s="564">
        <f ca="1"/>
        <v>50.25</v>
      </c>
      <c r="O54" t="str">
        <f ca="1"/>
        <v>JBEOAN</v>
      </c>
      <c r="P54" s="564">
        <f ca="1"/>
        <v>-104.72700000000042</v>
      </c>
      <c r="Q54" t="str">
        <f ca="1"/>
        <v>EZJ</v>
      </c>
      <c r="R54" s="656">
        <f ca="1"/>
        <v>-2.1421488095238108E-3</v>
      </c>
      <c r="S54" t="str">
        <f ca="1"/>
        <v>SAFIAG</v>
      </c>
      <c r="T54" s="87">
        <f ca="1"/>
        <v>0</v>
      </c>
      <c r="U54" t="str">
        <f ca="1"/>
        <v>HPQ</v>
      </c>
      <c r="V54" s="87">
        <f ca="1"/>
        <v>-745</v>
      </c>
      <c r="W54" t="str">
        <f ca="1"/>
        <v>BLNK</v>
      </c>
      <c r="X54">
        <f ca="1"/>
        <v>9</v>
      </c>
      <c r="Y54" t="str">
        <f ca="1"/>
        <v>ASML</v>
      </c>
      <c r="Z54">
        <f ca="1"/>
        <v>8</v>
      </c>
      <c r="AA54" t="str">
        <f ca="1"/>
        <v>ORA</v>
      </c>
      <c r="AB54">
        <f ca="1"/>
        <v>54</v>
      </c>
      <c r="AC54" t="str">
        <f ca="1"/>
        <v>GLE</v>
      </c>
      <c r="AD54">
        <f ca="1"/>
        <v>52</v>
      </c>
      <c r="AE54" t="str">
        <f ca="1"/>
        <v>PW</v>
      </c>
      <c r="AF54" s="87">
        <f ca="1"/>
        <v>-4984.5907899999966</v>
      </c>
      <c r="AG54" t="str">
        <f ca="1"/>
        <v>KR</v>
      </c>
      <c r="AH54" s="87">
        <f ca="1"/>
        <v>114.99999999999488</v>
      </c>
      <c r="AI54" t="str">
        <f ca="1"/>
        <v>UNIT</v>
      </c>
      <c r="AJ54" s="87">
        <f ca="1"/>
        <v>0</v>
      </c>
      <c r="AK54" s="90" t="str">
        <f ca="1"/>
        <v>EZJ</v>
      </c>
      <c r="AL54" s="312">
        <f ca="1"/>
        <v>-2.1421488095238108E-3</v>
      </c>
      <c r="AM54" t="str">
        <f ca="1"/>
        <v>MVEORA</v>
      </c>
      <c r="AN54" s="312">
        <f ca="1"/>
        <v>0.14861581830460988</v>
      </c>
      <c r="AO54" t="str">
        <f ca="1"/>
        <v>RIGL</v>
      </c>
      <c r="AP54" s="312">
        <f ca="1"/>
        <v>-5.0139372706039291E-2</v>
      </c>
      <c r="AQ54" s="87" t="str">
        <f ca="1"/>
        <v>LOCK</v>
      </c>
      <c r="AR54" s="90">
        <f ca="1"/>
        <v>0.28217528089887639</v>
      </c>
      <c r="AS54" s="94" t="str">
        <f ca="1"/>
        <v>AZN</v>
      </c>
      <c r="AT54" s="90">
        <f ca="1"/>
        <v>0</v>
      </c>
    </row>
    <row r="55" spans="2:46">
      <c r="B55" s="1" t="str" cm="1">
        <f t="array" aca="1" ref="B55" ca="1">INDIRECT("SORTING!" &amp; ADDRESS(ROW(), A$2+3))</f>
        <v>MVEALDNE</v>
      </c>
      <c r="C55" s="1" t="str">
        <f ca="1">_xlfn.XLOOKUP(D55,[1]!RTData[Ticker symbol],[1]!RTData[Currency])</f>
        <v>EUR</v>
      </c>
      <c r="D55" s="153" t="str">
        <f ca="1">TabCalc[[#This Row],[Ticker]]</f>
        <v>MVEALDNE</v>
      </c>
      <c r="E55" t="str">
        <f ca="1"/>
        <v>AVGO</v>
      </c>
      <c r="F55" s="563">
        <f ca="1"/>
        <v>0.73700693831301933</v>
      </c>
      <c r="G55" s="153" t="str">
        <f ca="1"/>
        <v>RIG</v>
      </c>
      <c r="H55" s="564">
        <f ca="1"/>
        <v>25375.100000000006</v>
      </c>
      <c r="I55" t="str">
        <f ca="1"/>
        <v>NEE</v>
      </c>
      <c r="J55" s="565">
        <f ca="1"/>
        <v>5.8589999999999996E-3</v>
      </c>
      <c r="K55" s="153" t="str">
        <f ca="1"/>
        <v>VTRS</v>
      </c>
      <c r="L55" s="565">
        <f ca="1"/>
        <v>3.8800000000000002E-3</v>
      </c>
      <c r="M55" s="1" t="str">
        <f ca="1"/>
        <v>CVS</v>
      </c>
      <c r="N55" s="564">
        <f ca="1"/>
        <v>14.730000000000004</v>
      </c>
      <c r="O55" t="str">
        <f ca="1"/>
        <v>EOAN</v>
      </c>
      <c r="P55" s="564">
        <f ca="1"/>
        <v>-111.70880000000045</v>
      </c>
      <c r="Q55" t="str">
        <f ca="1"/>
        <v>HPQ</v>
      </c>
      <c r="R55" s="656">
        <f ca="1"/>
        <v>-2.3200654761904764E-3</v>
      </c>
      <c r="S55" t="str">
        <f ca="1"/>
        <v>F</v>
      </c>
      <c r="T55" s="87">
        <f ca="1"/>
        <v>0</v>
      </c>
      <c r="U55" t="str">
        <f ca="1"/>
        <v>VTRS</v>
      </c>
      <c r="V55" s="87">
        <f ca="1"/>
        <v>-750</v>
      </c>
      <c r="W55" t="str">
        <f ca="1"/>
        <v>ORA</v>
      </c>
      <c r="X55">
        <f ca="1"/>
        <v>9</v>
      </c>
      <c r="Y55" t="str">
        <f ca="1"/>
        <v>DDD</v>
      </c>
      <c r="Z55">
        <f ca="1"/>
        <v>8</v>
      </c>
      <c r="AA55" t="str">
        <f ca="1"/>
        <v>MA</v>
      </c>
      <c r="AB55">
        <f ca="1"/>
        <v>53</v>
      </c>
      <c r="AC55" t="str">
        <f ca="1"/>
        <v>DVA</v>
      </c>
      <c r="AD55">
        <f ca="1"/>
        <v>51</v>
      </c>
      <c r="AE55" t="str">
        <f ca="1"/>
        <v>UNIT</v>
      </c>
      <c r="AF55" s="87">
        <f ca="1"/>
        <v>-6487.836000000003</v>
      </c>
      <c r="AG55" t="str">
        <f ca="1"/>
        <v>TSLA</v>
      </c>
      <c r="AH55" s="87">
        <f ca="1"/>
        <v>97.210000000000036</v>
      </c>
      <c r="AI55" t="str">
        <f ca="1"/>
        <v>MVEALDNE</v>
      </c>
      <c r="AJ55" s="87">
        <f ca="1"/>
        <v>0</v>
      </c>
      <c r="AK55" s="90" t="str">
        <f ca="1"/>
        <v>HPQ</v>
      </c>
      <c r="AL55" s="312">
        <f ca="1"/>
        <v>-2.3200654761904764E-3</v>
      </c>
      <c r="AM55" t="str">
        <f ca="1"/>
        <v>VLVLY</v>
      </c>
      <c r="AN55" s="312">
        <f ca="1"/>
        <v>0.14289871635610771</v>
      </c>
      <c r="AO55" t="str">
        <f ca="1"/>
        <v>RRC</v>
      </c>
      <c r="AP55" s="312">
        <f ca="1"/>
        <v>-4.9410207336523015E-2</v>
      </c>
      <c r="AQ55" s="87" t="str">
        <f ca="1"/>
        <v>WBA</v>
      </c>
      <c r="AR55" s="90">
        <f ca="1"/>
        <v>0.26225959935103232</v>
      </c>
      <c r="AS55" s="94" t="str">
        <f ca="1"/>
        <v>BLDP</v>
      </c>
      <c r="AT55" s="90">
        <f ca="1"/>
        <v>0</v>
      </c>
    </row>
    <row r="56" spans="2:46">
      <c r="B56" s="1" t="str" cm="1">
        <f t="array" aca="1" ref="B56" ca="1">INDIRECT("SORTING!" &amp; ADDRESS(ROW(), A$2+3))</f>
        <v>MVEDDD</v>
      </c>
      <c r="C56" s="1" t="str">
        <f ca="1">_xlfn.XLOOKUP(D56,[1]!RTData[Ticker symbol],[1]!RTData[Currency])</f>
        <v>USD</v>
      </c>
      <c r="D56" s="153" t="str">
        <f ca="1">TabCalc[[#This Row],[Ticker]]</f>
        <v>MVEDDD</v>
      </c>
      <c r="E56" t="str">
        <f ca="1"/>
        <v>RWE</v>
      </c>
      <c r="F56" s="563">
        <f ca="1"/>
        <v>0.73562425007112731</v>
      </c>
      <c r="G56" s="153" t="str">
        <f ca="1"/>
        <v>DIS</v>
      </c>
      <c r="H56" s="564">
        <f ca="1"/>
        <v>19982.487999999954</v>
      </c>
      <c r="I56" t="str">
        <f ca="1"/>
        <v>CVS</v>
      </c>
      <c r="J56" s="565">
        <f ca="1"/>
        <v>5.1229999999999999E-3</v>
      </c>
      <c r="K56" s="153" t="str">
        <f ca="1"/>
        <v>PFE</v>
      </c>
      <c r="L56" s="565">
        <f ca="1"/>
        <v>3.6480000000000002E-3</v>
      </c>
      <c r="M56" s="1" t="str">
        <f ca="1"/>
        <v>MVERWE</v>
      </c>
      <c r="N56" s="564">
        <f ca="1"/>
        <v>7.4750000000000014</v>
      </c>
      <c r="O56" t="str">
        <f ca="1"/>
        <v>DDD</v>
      </c>
      <c r="P56" s="564">
        <f ca="1"/>
        <v>-199.48000000000016</v>
      </c>
      <c r="Q56" t="str">
        <f ca="1"/>
        <v>ALDNE</v>
      </c>
      <c r="R56" s="656">
        <f ca="1"/>
        <v>-2.4595833333333345E-3</v>
      </c>
      <c r="S56" t="str">
        <f ca="1"/>
        <v>GLE</v>
      </c>
      <c r="T56" s="87">
        <f ca="1"/>
        <v>0</v>
      </c>
      <c r="U56" t="str">
        <f ca="1"/>
        <v>XOM</v>
      </c>
      <c r="V56" s="87">
        <f ca="1"/>
        <v>-832.5</v>
      </c>
      <c r="W56" t="str">
        <f ca="1"/>
        <v>RRC</v>
      </c>
      <c r="X56">
        <f ca="1"/>
        <v>9</v>
      </c>
      <c r="Y56" t="str">
        <f ca="1"/>
        <v>HPE</v>
      </c>
      <c r="Z56">
        <f ca="1"/>
        <v>8</v>
      </c>
      <c r="AA56" t="str">
        <f ca="1"/>
        <v>PROF</v>
      </c>
      <c r="AB56">
        <f ca="1"/>
        <v>52</v>
      </c>
      <c r="AC56" t="str">
        <f ca="1"/>
        <v>KR</v>
      </c>
      <c r="AD56">
        <f ca="1"/>
        <v>51</v>
      </c>
      <c r="AE56" t="str">
        <f ca="1"/>
        <v>EZJ</v>
      </c>
      <c r="AF56" s="87">
        <f ca="1"/>
        <v>-7964.1062800000072</v>
      </c>
      <c r="AG56" t="str">
        <f ca="1"/>
        <v>MVEEOAN</v>
      </c>
      <c r="AH56" s="87">
        <f ca="1"/>
        <v>50.25</v>
      </c>
      <c r="AI56" t="str">
        <f ca="1"/>
        <v>MVEEPIX</v>
      </c>
      <c r="AJ56" s="87">
        <f ca="1"/>
        <v>0</v>
      </c>
      <c r="AK56" s="90" t="str">
        <f ca="1"/>
        <v>ALDNE</v>
      </c>
      <c r="AL56" s="312">
        <f ca="1"/>
        <v>-2.4595833333333345E-3</v>
      </c>
      <c r="AM56" t="str">
        <f ca="1"/>
        <v>JBEOAN</v>
      </c>
      <c r="AN56" s="312">
        <f ca="1"/>
        <v>0.12159862771969952</v>
      </c>
      <c r="AO56" t="str">
        <f ca="1"/>
        <v>LUV</v>
      </c>
      <c r="AP56" s="312">
        <f ca="1"/>
        <v>-4.9264596273292063E-2</v>
      </c>
      <c r="AQ56" s="87" t="str">
        <f ca="1"/>
        <v>BLDP</v>
      </c>
      <c r="AR56" s="90">
        <f ca="1"/>
        <v>0.25522710886806049</v>
      </c>
      <c r="AS56" s="94" t="str">
        <f ca="1"/>
        <v>BMRA</v>
      </c>
      <c r="AT56" s="90">
        <f ca="1"/>
        <v>0</v>
      </c>
    </row>
    <row r="57" spans="2:46">
      <c r="B57" s="1" t="str" cm="1">
        <f t="array" aca="1" ref="B57" ca="1">INDIRECT("SORTING!" &amp; ADDRESS(ROW(), A$2+3))</f>
        <v>MVEDSY</v>
      </c>
      <c r="C57" s="1" t="str">
        <f ca="1">_xlfn.XLOOKUP(D57,[1]!RTData[Ticker symbol],[1]!RTData[Currency])</f>
        <v>EUR</v>
      </c>
      <c r="D57" s="153" t="str">
        <f ca="1">TabCalc[[#This Row],[Ticker]]</f>
        <v>MVEDSY</v>
      </c>
      <c r="E57" t="str">
        <f ca="1"/>
        <v>MVERWE</v>
      </c>
      <c r="F57" s="563">
        <f ca="1"/>
        <v>0.73562425007112731</v>
      </c>
      <c r="G57" s="153" t="str">
        <f ca="1"/>
        <v>MVEDDD</v>
      </c>
      <c r="H57" s="564">
        <f ca="1"/>
        <v>18310.414999999997</v>
      </c>
      <c r="I57" t="str">
        <f ca="1"/>
        <v>EPIX</v>
      </c>
      <c r="J57" s="565">
        <f ca="1"/>
        <v>5.006E-3</v>
      </c>
      <c r="K57" s="153" t="str">
        <f ca="1"/>
        <v>PAAS</v>
      </c>
      <c r="L57" s="565">
        <f ca="1"/>
        <v>3.313E-3</v>
      </c>
      <c r="M57" s="1" t="str">
        <f ca="1"/>
        <v>LNSR</v>
      </c>
      <c r="N57" s="564">
        <f ca="1"/>
        <v>0</v>
      </c>
      <c r="O57" t="str">
        <f ca="1"/>
        <v>PROF</v>
      </c>
      <c r="P57" s="564">
        <f ca="1"/>
        <v>-219.42800000000062</v>
      </c>
      <c r="Q57" t="str">
        <f ca="1"/>
        <v>MVEALDNE</v>
      </c>
      <c r="R57" s="656">
        <f ca="1"/>
        <v>-2.4595833333333345E-3</v>
      </c>
      <c r="S57" t="str">
        <f ca="1"/>
        <v>GS</v>
      </c>
      <c r="T57" s="87">
        <f ca="1"/>
        <v>0</v>
      </c>
      <c r="U57" t="str">
        <f ca="1"/>
        <v>MVEUN0</v>
      </c>
      <c r="V57" s="87">
        <f ca="1"/>
        <v>-1008</v>
      </c>
      <c r="W57" t="str">
        <f ca="1"/>
        <v>TSM</v>
      </c>
      <c r="X57">
        <f ca="1"/>
        <v>10</v>
      </c>
      <c r="Y57" t="str">
        <f ca="1"/>
        <v>MRNA</v>
      </c>
      <c r="Z57">
        <f ca="1"/>
        <v>8</v>
      </c>
      <c r="AA57" t="str">
        <f ca="1"/>
        <v>MVEORA</v>
      </c>
      <c r="AB57">
        <f ca="1"/>
        <v>52</v>
      </c>
      <c r="AC57" t="str">
        <f ca="1"/>
        <v>SSYS</v>
      </c>
      <c r="AD57">
        <f ca="1"/>
        <v>51</v>
      </c>
      <c r="AE57" t="str">
        <f ca="1"/>
        <v>MVEUN0</v>
      </c>
      <c r="AF57" s="87">
        <f ca="1"/>
        <v>-13366.957104100002</v>
      </c>
      <c r="AG57" t="str">
        <f ca="1"/>
        <v>XPER</v>
      </c>
      <c r="AH57" s="87">
        <f ca="1"/>
        <v>49.999999999998934</v>
      </c>
      <c r="AI57" t="str">
        <f ca="1"/>
        <v>LAZR</v>
      </c>
      <c r="AJ57" s="87">
        <f ca="1"/>
        <v>0</v>
      </c>
      <c r="AK57" s="90" t="str">
        <f ca="1"/>
        <v>MVEALDNE</v>
      </c>
      <c r="AL57" s="312">
        <f ca="1"/>
        <v>-2.4595833333333345E-3</v>
      </c>
      <c r="AM57" t="str">
        <f ca="1"/>
        <v>AMZN</v>
      </c>
      <c r="AN57" s="312">
        <f ca="1"/>
        <v>0.10335129739176882</v>
      </c>
      <c r="AO57" t="str">
        <f ca="1"/>
        <v>DDD</v>
      </c>
      <c r="AP57" s="312">
        <f ca="1"/>
        <v>-4.8268107498590528E-2</v>
      </c>
      <c r="AQ57" s="87" t="str">
        <f ca="1"/>
        <v>MVEDDD</v>
      </c>
      <c r="AR57" s="90">
        <f ca="1"/>
        <v>0.24489795918367338</v>
      </c>
      <c r="AS57" s="94" t="str">
        <f ca="1"/>
        <v>DDD</v>
      </c>
      <c r="AT57" s="90">
        <f ca="1"/>
        <v>0</v>
      </c>
    </row>
    <row r="58" spans="2:46">
      <c r="B58" s="1" t="str" cm="1">
        <f t="array" aca="1" ref="B58" ca="1">INDIRECT("SORTING!" &amp; ADDRESS(ROW(), A$2+3))</f>
        <v>MVEEOAN</v>
      </c>
      <c r="C58" s="1" t="str">
        <f ca="1">_xlfn.XLOOKUP(D58,[1]!RTData[Ticker symbol],[1]!RTData[Currency])</f>
        <v>EUR</v>
      </c>
      <c r="D58" s="153" t="str">
        <f ca="1">TabCalc[[#This Row],[Ticker]]</f>
        <v>MVEEOAN</v>
      </c>
      <c r="E58" t="str">
        <f ca="1"/>
        <v>AAPL</v>
      </c>
      <c r="F58" s="563">
        <f ca="1"/>
        <v>0.72655349107793532</v>
      </c>
      <c r="G58" s="153" t="str">
        <f ca="1"/>
        <v>MVEEOAN</v>
      </c>
      <c r="H58" s="564">
        <f ca="1"/>
        <v>18120.735000000015</v>
      </c>
      <c r="I58" t="str">
        <f ca="1"/>
        <v>MVEEOAN</v>
      </c>
      <c r="J58" s="565">
        <f ca="1"/>
        <v>5.006E-3</v>
      </c>
      <c r="K58" s="153" t="str">
        <f ca="1"/>
        <v>VONN</v>
      </c>
      <c r="L58" s="565">
        <f ca="1"/>
        <v>3.2729999999999999E-3</v>
      </c>
      <c r="M58" s="1" t="str">
        <f ca="1"/>
        <v>SAFGM</v>
      </c>
      <c r="N58" s="564">
        <f ca="1"/>
        <v>0</v>
      </c>
      <c r="O58" t="str">
        <f ca="1"/>
        <v>SAFDDD</v>
      </c>
      <c r="P58" s="564">
        <f ca="1"/>
        <v>-329.14200000000272</v>
      </c>
      <c r="Q58" t="str">
        <f ca="1"/>
        <v>MVEEOAN</v>
      </c>
      <c r="R58" s="656">
        <f ca="1"/>
        <v>-2.759308333333333E-3</v>
      </c>
      <c r="S58" t="str">
        <f ca="1"/>
        <v>NVS</v>
      </c>
      <c r="T58" s="87">
        <f ca="1"/>
        <v>0</v>
      </c>
      <c r="U58" t="str">
        <f ca="1"/>
        <v>C</v>
      </c>
      <c r="V58" s="87">
        <f ca="1"/>
        <v>-1368.0250000000001</v>
      </c>
      <c r="W58" t="str">
        <f ca="1"/>
        <v>XPER</v>
      </c>
      <c r="X58">
        <f ca="1"/>
        <v>10</v>
      </c>
      <c r="Y58" t="str">
        <f ca="1"/>
        <v>MVEDDD</v>
      </c>
      <c r="Z58">
        <f ca="1"/>
        <v>8</v>
      </c>
      <c r="AA58" t="str">
        <f ca="1"/>
        <v>NVAX</v>
      </c>
      <c r="AB58">
        <f ca="1"/>
        <v>52</v>
      </c>
      <c r="AC58" t="str">
        <f ca="1"/>
        <v>NEE</v>
      </c>
      <c r="AD58">
        <f ca="1"/>
        <v>50</v>
      </c>
      <c r="AE58" t="str">
        <f ca="1"/>
        <v>GNRC</v>
      </c>
      <c r="AF58" s="87">
        <f ca="1"/>
        <v>-16299.507199999993</v>
      </c>
      <c r="AG58" t="str">
        <f ca="1"/>
        <v>LUMN</v>
      </c>
      <c r="AH58" s="87">
        <f ca="1"/>
        <v>30.216999999999999</v>
      </c>
      <c r="AI58" t="str">
        <f ca="1"/>
        <v>LOCK</v>
      </c>
      <c r="AJ58" s="87">
        <f ca="1"/>
        <v>0</v>
      </c>
      <c r="AK58" s="90" t="str">
        <f ca="1"/>
        <v>MVEEOAN</v>
      </c>
      <c r="AL58" s="312">
        <f ca="1"/>
        <v>-2.759308333333333E-3</v>
      </c>
      <c r="AM58" t="str">
        <f ca="1"/>
        <v>SAFAMZN</v>
      </c>
      <c r="AN58" s="312">
        <f ca="1"/>
        <v>9.5062403517342547E-2</v>
      </c>
      <c r="AO58" t="str">
        <f ca="1"/>
        <v>XYZ</v>
      </c>
      <c r="AP58" s="312">
        <f ca="1"/>
        <v>-3.5287955745536941E-2</v>
      </c>
      <c r="AQ58" s="87" t="str">
        <f ca="1"/>
        <v>AMZN</v>
      </c>
      <c r="AR58" s="90">
        <f ca="1"/>
        <v>0.17891250786838644</v>
      </c>
      <c r="AS58" s="94" t="str">
        <f ca="1"/>
        <v>DSY</v>
      </c>
      <c r="AT58" s="90">
        <f ca="1"/>
        <v>0</v>
      </c>
    </row>
    <row r="59" spans="2:46">
      <c r="B59" s="1" t="str" cm="1">
        <f t="array" aca="1" ref="B59" ca="1">INDIRECT("SORTING!" &amp; ADDRESS(ROW(), A$2+3))</f>
        <v>MVEENI</v>
      </c>
      <c r="C59" s="1" t="str">
        <f ca="1">_xlfn.XLOOKUP(D59,[1]!RTData[Ticker symbol],[1]!RTData[Currency])</f>
        <v>EUR</v>
      </c>
      <c r="D59" s="153" t="str">
        <f ca="1">TabCalc[[#This Row],[Ticker]]</f>
        <v>MVEENI</v>
      </c>
      <c r="E59" t="str">
        <f ca="1"/>
        <v>SAFAAPL</v>
      </c>
      <c r="F59" s="563">
        <f ca="1"/>
        <v>0.72655349107793532</v>
      </c>
      <c r="G59" s="153" t="str">
        <f ca="1"/>
        <v>LUMN</v>
      </c>
      <c r="H59" s="564">
        <f ca="1"/>
        <v>14771.8</v>
      </c>
      <c r="I59" t="e">
        <f ca="1"/>
        <v>#VALUE!</v>
      </c>
      <c r="J59" s="565">
        <f ca="1"/>
        <v>5.006E-3</v>
      </c>
      <c r="K59" s="153" t="str">
        <f ca="1"/>
        <v>RWE</v>
      </c>
      <c r="L59" s="565">
        <f ca="1"/>
        <v>3.215E-3</v>
      </c>
      <c r="M59" s="1" t="str">
        <f ca="1"/>
        <v>SAFIAG</v>
      </c>
      <c r="N59" s="564">
        <f ca="1"/>
        <v>0</v>
      </c>
      <c r="O59" t="str">
        <f ca="1"/>
        <v>AAPL</v>
      </c>
      <c r="P59" s="564">
        <f ca="1"/>
        <v>-379.01199999999545</v>
      </c>
      <c r="Q59" t="str">
        <f ca="1"/>
        <v>AZN</v>
      </c>
      <c r="R59" s="656">
        <f ca="1"/>
        <v>-2.8329047619047613E-3</v>
      </c>
      <c r="S59" t="str">
        <f ca="1"/>
        <v>RIG</v>
      </c>
      <c r="T59" s="87">
        <f ca="1"/>
        <v>0</v>
      </c>
      <c r="U59" t="str">
        <f ca="1"/>
        <v>DVA</v>
      </c>
      <c r="V59" s="87">
        <f ca="1"/>
        <v>-1460</v>
      </c>
      <c r="W59" t="str">
        <f ca="1"/>
        <v>MVEORA</v>
      </c>
      <c r="X59">
        <f ca="1"/>
        <v>10</v>
      </c>
      <c r="Y59" t="str">
        <f ca="1"/>
        <v>MVEGLE</v>
      </c>
      <c r="Z59">
        <f ca="1"/>
        <v>8</v>
      </c>
      <c r="AA59" t="str">
        <f ca="1"/>
        <v>JBEOAN</v>
      </c>
      <c r="AB59">
        <f ca="1"/>
        <v>52</v>
      </c>
      <c r="AC59" t="str">
        <f ca="1"/>
        <v>C</v>
      </c>
      <c r="AD59">
        <f ca="1"/>
        <v>49</v>
      </c>
      <c r="AE59" t="str">
        <f ca="1"/>
        <v>MVEEPIX</v>
      </c>
      <c r="AF59" s="87">
        <f ca="1"/>
        <v>-17163.964</v>
      </c>
      <c r="AG59" t="str">
        <f ca="1"/>
        <v>CVS</v>
      </c>
      <c r="AH59" s="87">
        <f ca="1"/>
        <v>25.873810000000006</v>
      </c>
      <c r="AI59" t="str">
        <f ca="1"/>
        <v>TSLA</v>
      </c>
      <c r="AJ59" s="87">
        <f ca="1"/>
        <v>-55.620000000000061</v>
      </c>
      <c r="AK59" s="90" t="str">
        <f ca="1"/>
        <v>AZN</v>
      </c>
      <c r="AL59" s="312">
        <f ca="1"/>
        <v>-2.8329047619047613E-3</v>
      </c>
      <c r="AM59" t="str">
        <f ca="1"/>
        <v>VTRS</v>
      </c>
      <c r="AN59" s="312">
        <f ca="1"/>
        <v>9.3835729386892025E-2</v>
      </c>
      <c r="AO59" t="str">
        <f ca="1"/>
        <v>MA</v>
      </c>
      <c r="AP59" s="312">
        <f ca="1"/>
        <v>-3.2791573552739268E-2</v>
      </c>
      <c r="AQ59" s="87" t="str">
        <f ca="1"/>
        <v>HPQ</v>
      </c>
      <c r="AR59" s="90">
        <f ca="1"/>
        <v>0.16999636759898162</v>
      </c>
      <c r="AS59" s="94" t="str">
        <f ca="1"/>
        <v>EPIX</v>
      </c>
      <c r="AT59" s="90">
        <f ca="1"/>
        <v>0</v>
      </c>
    </row>
    <row r="60" spans="2:46">
      <c r="B60" s="1" t="str" cm="1">
        <f t="array" aca="1" ref="B60" ca="1">INDIRECT("SORTING!" &amp; ADDRESS(ROW(), A$2+3))</f>
        <v>MVEEPIX</v>
      </c>
      <c r="C60" s="1" t="str">
        <f ca="1">_xlfn.XLOOKUP(D60,[1]!RTData[Ticker symbol],[1]!RTData[Currency])</f>
        <v>USD</v>
      </c>
      <c r="D60" s="153" t="str">
        <f ca="1">TabCalc[[#This Row],[Ticker]]</f>
        <v>MVEEPIX</v>
      </c>
      <c r="E60" t="str">
        <f ca="1"/>
        <v>HPQ</v>
      </c>
      <c r="F60" s="563">
        <f ca="1"/>
        <v>0.71094852552131327</v>
      </c>
      <c r="G60" s="153" t="str">
        <f ca="1"/>
        <v>GM</v>
      </c>
      <c r="H60" s="564">
        <f ca="1"/>
        <v>14404.53</v>
      </c>
      <c r="I60" t="str">
        <f ca="1"/>
        <v>PFE</v>
      </c>
      <c r="J60" s="565">
        <f ca="1"/>
        <v>4.4590000000000003E-3</v>
      </c>
      <c r="K60" s="153" t="str">
        <f ca="1"/>
        <v>MVERWE</v>
      </c>
      <c r="L60" s="565">
        <f ca="1"/>
        <v>3.215E-3</v>
      </c>
      <c r="M60" s="1" t="str">
        <f ca="1"/>
        <v>F</v>
      </c>
      <c r="N60" s="564">
        <f ca="1"/>
        <v>0</v>
      </c>
      <c r="O60" t="str">
        <f ca="1"/>
        <v>VONN</v>
      </c>
      <c r="P60" s="564">
        <f ca="1"/>
        <v>-503.68699999999995</v>
      </c>
      <c r="Q60" t="str">
        <f ca="1"/>
        <v>EOAN</v>
      </c>
      <c r="R60" s="656">
        <f ca="1"/>
        <v>-3.0005821428571423E-3</v>
      </c>
      <c r="S60" t="str">
        <f ca="1"/>
        <v>RRC</v>
      </c>
      <c r="T60" s="87">
        <f ca="1"/>
        <v>0</v>
      </c>
      <c r="U60" t="str">
        <f ca="1"/>
        <v>SAFAAPL</v>
      </c>
      <c r="V60" s="87">
        <f ca="1"/>
        <v>-1653.75</v>
      </c>
      <c r="W60" t="str">
        <f ca="1"/>
        <v>PFE</v>
      </c>
      <c r="X60">
        <f ca="1"/>
        <v>10</v>
      </c>
      <c r="Y60" t="str">
        <f ca="1"/>
        <v>SAFASML</v>
      </c>
      <c r="Z60">
        <f ca="1"/>
        <v>8</v>
      </c>
      <c r="AA60" t="str">
        <f ca="1"/>
        <v>XOM</v>
      </c>
      <c r="AB60">
        <f ca="1"/>
        <v>51</v>
      </c>
      <c r="AC60" t="str">
        <f ca="1"/>
        <v>GS</v>
      </c>
      <c r="AD60">
        <f ca="1"/>
        <v>49</v>
      </c>
      <c r="AE60" t="str">
        <f ca="1"/>
        <v>WBA</v>
      </c>
      <c r="AF60" s="87">
        <f ca="1"/>
        <v>-20497.604382000005</v>
      </c>
      <c r="AG60" t="str">
        <f ca="1"/>
        <v>AET</v>
      </c>
      <c r="AH60" s="87">
        <f ca="1"/>
        <v>19.999999999999574</v>
      </c>
      <c r="AI60" t="str">
        <f ca="1"/>
        <v>RIGL</v>
      </c>
      <c r="AJ60" s="87">
        <f ca="1"/>
        <v>-99.999999999994316</v>
      </c>
      <c r="AK60" s="90" t="str">
        <f ca="1"/>
        <v>EOAN</v>
      </c>
      <c r="AL60" s="312">
        <f ca="1"/>
        <v>-3.0005821428571423E-3</v>
      </c>
      <c r="AM60" t="str">
        <f ca="1"/>
        <v>EOAN</v>
      </c>
      <c r="AN60" s="312">
        <f ca="1"/>
        <v>8.8065426251691573E-2</v>
      </c>
      <c r="AO60" t="str">
        <f ca="1"/>
        <v>VONN</v>
      </c>
      <c r="AP60" s="312">
        <f ca="1"/>
        <v>-2.8354486133768342E-2</v>
      </c>
      <c r="AQ60" s="87" t="str">
        <f ca="1"/>
        <v>VLVLY</v>
      </c>
      <c r="AR60" s="90">
        <f ca="1"/>
        <v>0.15772978517294439</v>
      </c>
      <c r="AS60" s="94" t="str">
        <f ca="1"/>
        <v>GM</v>
      </c>
      <c r="AT60" s="90">
        <f ca="1"/>
        <v>0</v>
      </c>
    </row>
    <row r="61" spans="2:46">
      <c r="B61" s="1" t="str" cm="1">
        <f t="array" aca="1" ref="B61" ca="1">INDIRECT("SORTING!" &amp; ADDRESS(ROW(), A$2+3))</f>
        <v>MVEGLE</v>
      </c>
      <c r="C61" s="1" t="str">
        <f ca="1">_xlfn.XLOOKUP(D61,[1]!RTData[Ticker symbol],[1]!RTData[Currency])</f>
        <v>EUR</v>
      </c>
      <c r="D61" s="153" t="str">
        <f ca="1">TabCalc[[#This Row],[Ticker]]</f>
        <v>MVEGLE</v>
      </c>
      <c r="E61" t="str">
        <f ca="1"/>
        <v>PROF</v>
      </c>
      <c r="F61" s="563">
        <f ca="1"/>
        <v>0.70349137663733641</v>
      </c>
      <c r="G61" s="153" t="str">
        <f ca="1"/>
        <v>NVS</v>
      </c>
      <c r="H61" s="564">
        <f ca="1"/>
        <v>13562.79389999999</v>
      </c>
      <c r="I61" t="str">
        <f ca="1"/>
        <v>VTRS</v>
      </c>
      <c r="J61" s="565">
        <f ca="1"/>
        <v>3.8800000000000002E-3</v>
      </c>
      <c r="K61" s="153" t="str">
        <f ca="1"/>
        <v>RRC</v>
      </c>
      <c r="L61" s="565">
        <f ca="1"/>
        <v>3.2000000000000002E-3</v>
      </c>
      <c r="M61" s="1" t="str">
        <f ca="1"/>
        <v>GLE</v>
      </c>
      <c r="N61" s="564">
        <f ca="1"/>
        <v>0</v>
      </c>
      <c r="O61" t="str">
        <f ca="1"/>
        <v>SHECY</v>
      </c>
      <c r="P61" s="564">
        <f ca="1"/>
        <v>-548.41041599999949</v>
      </c>
      <c r="Q61" t="str">
        <f ca="1"/>
        <v>PROF</v>
      </c>
      <c r="R61" s="656">
        <f ca="1"/>
        <v>-3.0771964285714257E-3</v>
      </c>
      <c r="S61" t="str">
        <f ca="1"/>
        <v>CSCO</v>
      </c>
      <c r="T61" s="87">
        <f ca="1"/>
        <v>-5</v>
      </c>
      <c r="U61" t="str">
        <f ca="1"/>
        <v>MA</v>
      </c>
      <c r="V61" s="87">
        <f ca="1"/>
        <v>-1707.9999999999854</v>
      </c>
      <c r="W61" t="str">
        <f ca="1"/>
        <v>SAP</v>
      </c>
      <c r="X61">
        <f ca="1"/>
        <v>11</v>
      </c>
      <c r="Y61" t="str">
        <f ca="1"/>
        <v>SAFDDD</v>
      </c>
      <c r="Z61">
        <f ca="1"/>
        <v>8</v>
      </c>
      <c r="AA61" t="str">
        <f ca="1"/>
        <v>BLNK</v>
      </c>
      <c r="AB61">
        <f ca="1"/>
        <v>51</v>
      </c>
      <c r="AC61" t="str">
        <f ca="1"/>
        <v>OXY</v>
      </c>
      <c r="AD61">
        <f ca="1"/>
        <v>49</v>
      </c>
      <c r="AE61" t="str">
        <f ca="1"/>
        <v>XOM</v>
      </c>
      <c r="AF61" s="87">
        <f ca="1"/>
        <v>-28317.154799999997</v>
      </c>
      <c r="AG61" t="str">
        <f ca="1"/>
        <v>MVERWE</v>
      </c>
      <c r="AH61" s="87">
        <f ca="1"/>
        <v>7.4750000000000014</v>
      </c>
      <c r="AI61" t="str">
        <f ca="1"/>
        <v>C</v>
      </c>
      <c r="AJ61" s="87">
        <f ca="1"/>
        <v>-133.47500000000011</v>
      </c>
      <c r="AK61" s="90" t="str">
        <f ca="1"/>
        <v>PROF</v>
      </c>
      <c r="AL61" s="312">
        <f ca="1"/>
        <v>-3.0771964285714257E-3</v>
      </c>
      <c r="AM61" t="str">
        <f ca="1"/>
        <v>PROF</v>
      </c>
      <c r="AN61" s="312">
        <f ca="1"/>
        <v>5.9574951830443076E-2</v>
      </c>
      <c r="AO61" t="str">
        <f ca="1"/>
        <v>XOM</v>
      </c>
      <c r="AP61" s="312">
        <f ca="1"/>
        <v>-2.3919005113094666E-2</v>
      </c>
      <c r="AQ61" s="87" t="str">
        <f ca="1"/>
        <v>MA</v>
      </c>
      <c r="AR61" s="90">
        <f ca="1"/>
        <v>0.15466786831362933</v>
      </c>
      <c r="AS61" s="94" t="str">
        <f ca="1"/>
        <v>IAG</v>
      </c>
      <c r="AT61" s="90">
        <f ca="1"/>
        <v>0</v>
      </c>
    </row>
    <row r="62" spans="2:46">
      <c r="B62" s="1" t="str" cm="1">
        <f t="array" aca="1" ref="B62" ca="1">INDIRECT("SORTING!" &amp; ADDRESS(ROW(), A$2+3))</f>
        <v>MVEORA</v>
      </c>
      <c r="C62" s="1" t="str">
        <f ca="1">_xlfn.XLOOKUP(D62,[1]!RTData[Ticker symbol],[1]!RTData[Currency])</f>
        <v>EUR</v>
      </c>
      <c r="D62" s="153" t="str">
        <f ca="1">TabCalc[[#This Row],[Ticker]]</f>
        <v>MVEORA</v>
      </c>
      <c r="E62" t="str">
        <f ca="1"/>
        <v>DIS</v>
      </c>
      <c r="F62" s="563">
        <f ca="1"/>
        <v>0.69922147030240689</v>
      </c>
      <c r="G62" s="153" t="str">
        <f ca="1"/>
        <v>RRC</v>
      </c>
      <c r="H62" s="564">
        <f ca="1"/>
        <v>9803.4699999999721</v>
      </c>
      <c r="I62" t="str">
        <f ca="1"/>
        <v>VONN</v>
      </c>
      <c r="J62" s="565">
        <f ca="1"/>
        <v>3.2729999999999999E-3</v>
      </c>
      <c r="K62" s="153" t="str">
        <f ca="1"/>
        <v>EOAN</v>
      </c>
      <c r="L62" s="565">
        <f ca="1"/>
        <v>3.1180000000000001E-3</v>
      </c>
      <c r="M62" s="1" t="str">
        <f ca="1"/>
        <v>GS</v>
      </c>
      <c r="N62" s="564">
        <f ca="1"/>
        <v>0</v>
      </c>
      <c r="O62" t="str">
        <f ca="1"/>
        <v>TSM</v>
      </c>
      <c r="P62" s="564">
        <f ca="1"/>
        <v>-718.12799999999879</v>
      </c>
      <c r="Q62" t="str">
        <f ca="1"/>
        <v>NVS</v>
      </c>
      <c r="R62" s="656">
        <f ca="1"/>
        <v>-3.5637547619047625E-3</v>
      </c>
      <c r="S62" t="str">
        <f ca="1"/>
        <v>TSLA</v>
      </c>
      <c r="T62" s="87">
        <f ca="1"/>
        <v>-13.109999999999957</v>
      </c>
      <c r="U62" t="str">
        <f ca="1"/>
        <v>HPE</v>
      </c>
      <c r="V62" s="87">
        <f ca="1"/>
        <v>-1754.8000000000002</v>
      </c>
      <c r="W62" t="str">
        <f ca="1"/>
        <v>MVESAP</v>
      </c>
      <c r="X62">
        <f ca="1"/>
        <v>11</v>
      </c>
      <c r="Y62" t="str">
        <f ca="1"/>
        <v>SAFMRNA</v>
      </c>
      <c r="Z62">
        <f ca="1"/>
        <v>8</v>
      </c>
      <c r="AA62" t="str">
        <f ca="1"/>
        <v>RRC</v>
      </c>
      <c r="AB62">
        <f ca="1"/>
        <v>51</v>
      </c>
      <c r="AC62" t="str">
        <f ca="1"/>
        <v>DIS</v>
      </c>
      <c r="AD62">
        <f ca="1"/>
        <v>47</v>
      </c>
      <c r="AE62" t="str">
        <f ca="1"/>
        <v>DIS</v>
      </c>
      <c r="AF62" s="87">
        <f ca="1"/>
        <v>-31792.172026000044</v>
      </c>
      <c r="AG62" t="str">
        <f ca="1"/>
        <v>LNSR</v>
      </c>
      <c r="AH62" s="87">
        <f ca="1"/>
        <v>0</v>
      </c>
      <c r="AI62" t="str">
        <f ca="1"/>
        <v>MVEORA</v>
      </c>
      <c r="AJ62" s="87">
        <f ca="1"/>
        <v>-210.00000000000085</v>
      </c>
      <c r="AK62" s="90" t="str">
        <f ca="1"/>
        <v>NVS</v>
      </c>
      <c r="AL62" s="312">
        <f ca="1"/>
        <v>-3.5637547619047625E-3</v>
      </c>
      <c r="AM62" t="str">
        <f ca="1"/>
        <v>EZJ</v>
      </c>
      <c r="AN62" s="312">
        <f ca="1"/>
        <v>5.4366132531165928E-2</v>
      </c>
      <c r="AO62" t="str">
        <f ca="1"/>
        <v>NVAX</v>
      </c>
      <c r="AP62" s="312">
        <f ca="1"/>
        <v>-1.7598194293969048E-2</v>
      </c>
      <c r="AQ62" s="87" t="str">
        <f ca="1"/>
        <v>SAFAMZN</v>
      </c>
      <c r="AR62" s="90">
        <f ca="1"/>
        <v>0.13505275498241512</v>
      </c>
      <c r="AS62" s="94" t="str">
        <f ca="1"/>
        <v>KR</v>
      </c>
      <c r="AT62" s="90">
        <f ca="1"/>
        <v>0</v>
      </c>
    </row>
    <row r="63" spans="2:46">
      <c r="B63" s="1" t="str" cm="1">
        <f t="array" aca="1" ref="B63" ca="1">INDIRECT("SORTING!" &amp; ADDRESS(ROW(), A$2+3))</f>
        <v>MVERWE</v>
      </c>
      <c r="C63" s="1" t="str">
        <f ca="1">_xlfn.XLOOKUP(D63,[1]!RTData[Ticker symbol],[1]!RTData[Currency])</f>
        <v>EUR</v>
      </c>
      <c r="D63" s="153" t="str">
        <f ca="1">TabCalc[[#This Row],[Ticker]]</f>
        <v>MVERWE</v>
      </c>
      <c r="E63" t="str">
        <f ca="1"/>
        <v>SAFDIS</v>
      </c>
      <c r="F63" s="563">
        <f ca="1"/>
        <v>0.69922147030240689</v>
      </c>
      <c r="G63" s="153" t="str">
        <f ca="1"/>
        <v>XOM</v>
      </c>
      <c r="H63" s="564">
        <f ca="1"/>
        <v>9424.1000000000058</v>
      </c>
      <c r="I63" t="str">
        <f ca="1"/>
        <v>PROF</v>
      </c>
      <c r="J63" s="565">
        <f ca="1"/>
        <v>3.0370000000000002E-3</v>
      </c>
      <c r="K63" s="153" t="str">
        <f ca="1"/>
        <v>MVEEOAN</v>
      </c>
      <c r="L63" s="565">
        <f ca="1"/>
        <v>3.1180000000000001E-3</v>
      </c>
      <c r="M63" s="1" t="str">
        <f ca="1"/>
        <v>NVS</v>
      </c>
      <c r="N63" s="564">
        <f ca="1"/>
        <v>0</v>
      </c>
      <c r="O63" t="str">
        <f ca="1"/>
        <v>SAP</v>
      </c>
      <c r="P63" s="564">
        <f ca="1"/>
        <v>-887.68600000000333</v>
      </c>
      <c r="Q63" t="str">
        <f ca="1"/>
        <v>LOCK</v>
      </c>
      <c r="R63" s="656">
        <f ca="1"/>
        <v>-3.574392857142858E-3</v>
      </c>
      <c r="S63" t="str">
        <f ca="1"/>
        <v>VTRS</v>
      </c>
      <c r="T63" s="87">
        <f ca="1"/>
        <v>-50</v>
      </c>
      <c r="U63" t="str">
        <f ca="1"/>
        <v>SAFAMZN</v>
      </c>
      <c r="V63" s="87">
        <f ca="1"/>
        <v>-1840</v>
      </c>
      <c r="W63" t="str">
        <f ca="1"/>
        <v>OXY</v>
      </c>
      <c r="X63">
        <f ca="1"/>
        <v>11</v>
      </c>
      <c r="Y63" t="str">
        <f ca="1"/>
        <v>GLE</v>
      </c>
      <c r="Z63">
        <f ca="1"/>
        <v>8</v>
      </c>
      <c r="AA63" t="str">
        <f ca="1"/>
        <v>BMRA</v>
      </c>
      <c r="AB63">
        <f ca="1"/>
        <v>49</v>
      </c>
      <c r="AC63" t="str">
        <f ca="1"/>
        <v>SAFDIS</v>
      </c>
      <c r="AD63">
        <f ca="1"/>
        <v>47</v>
      </c>
      <c r="AE63" t="str">
        <f ca="1"/>
        <v>DXC</v>
      </c>
      <c r="AF63" s="87">
        <f ca="1"/>
        <v>-39290.497531999979</v>
      </c>
      <c r="AG63" t="str">
        <f ca="1"/>
        <v>SAFGM</v>
      </c>
      <c r="AH63" s="87">
        <f ca="1"/>
        <v>0</v>
      </c>
      <c r="AI63" t="str">
        <f ca="1"/>
        <v>BLNK</v>
      </c>
      <c r="AJ63" s="87">
        <f ca="1"/>
        <v>-240.00000000000023</v>
      </c>
      <c r="AK63" s="90" t="str">
        <f ca="1"/>
        <v>LOCK</v>
      </c>
      <c r="AL63" s="312">
        <f ca="1"/>
        <v>-3.574392857142858E-3</v>
      </c>
      <c r="AM63" t="str">
        <f ca="1"/>
        <v>CSCO</v>
      </c>
      <c r="AN63" s="312">
        <f ca="1"/>
        <v>5.0908958333333219E-2</v>
      </c>
      <c r="AO63" t="str">
        <f ca="1"/>
        <v>ORA</v>
      </c>
      <c r="AP63" s="312">
        <f ca="1"/>
        <v>-1.5171839080459821E-2</v>
      </c>
      <c r="AQ63" s="87" t="str">
        <f ca="1"/>
        <v>ORA</v>
      </c>
      <c r="AR63" s="90">
        <f ca="1"/>
        <v>0.12387797036760348</v>
      </c>
      <c r="AS63" s="94" t="str">
        <f ca="1"/>
        <v>LUMN</v>
      </c>
      <c r="AT63" s="90">
        <f ca="1"/>
        <v>0</v>
      </c>
    </row>
    <row r="64" spans="2:46">
      <c r="B64" s="1" t="str" cm="1">
        <f t="array" aca="1" ref="B64" ca="1">INDIRECT("SORTING!" &amp; ADDRESS(ROW(), A$2+3))</f>
        <v>MVESAP</v>
      </c>
      <c r="C64" s="1" t="str">
        <f ca="1">_xlfn.XLOOKUP(D64,[1]!RTData[Ticker symbol],[1]!RTData[Currency])</f>
        <v>EUR</v>
      </c>
      <c r="D64" s="153" t="str">
        <f ca="1">TabCalc[[#This Row],[Ticker]]</f>
        <v>MVESAP</v>
      </c>
      <c r="E64" t="str">
        <f ca="1"/>
        <v>CSCO</v>
      </c>
      <c r="F64" s="563">
        <f ca="1"/>
        <v>0.69410491809962072</v>
      </c>
      <c r="G64" s="153" t="str">
        <f ca="1"/>
        <v>ORA</v>
      </c>
      <c r="H64" s="564">
        <f ca="1"/>
        <v>6175.2000000000116</v>
      </c>
      <c r="I64" t="str">
        <f ca="1"/>
        <v>RRC</v>
      </c>
      <c r="J64" s="565">
        <f ca="1"/>
        <v>2.8000000000000004E-3</v>
      </c>
      <c r="K64" s="153" t="str">
        <f ca="1"/>
        <v>JBEOAN</v>
      </c>
      <c r="L64" s="565">
        <f ca="1"/>
        <v>3.1180000000000001E-3</v>
      </c>
      <c r="M64" s="1" t="str">
        <f ca="1"/>
        <v>RRC</v>
      </c>
      <c r="N64" s="564">
        <f ca="1"/>
        <v>0</v>
      </c>
      <c r="O64" t="str">
        <f ca="1"/>
        <v>EZJ</v>
      </c>
      <c r="P64" s="564">
        <f ca="1"/>
        <v>-947.53</v>
      </c>
      <c r="Q64" t="str">
        <f ca="1"/>
        <v>KR</v>
      </c>
      <c r="R64" s="656">
        <f ca="1"/>
        <v>-3.5753505952380959E-3</v>
      </c>
      <c r="S64" t="str">
        <f ca="1"/>
        <v>AZN</v>
      </c>
      <c r="T64" s="87">
        <f ca="1"/>
        <v>-80</v>
      </c>
      <c r="U64" t="str">
        <f ca="1"/>
        <v>MSFT</v>
      </c>
      <c r="V64" s="87">
        <f ca="1"/>
        <v>-1924</v>
      </c>
      <c r="W64" t="str">
        <f ca="1"/>
        <v>BLDP</v>
      </c>
      <c r="X64">
        <f ca="1"/>
        <v>12</v>
      </c>
      <c r="Y64" t="str">
        <f ca="1"/>
        <v>GNRC</v>
      </c>
      <c r="Z64">
        <f ca="1"/>
        <v>8</v>
      </c>
      <c r="AA64" t="str">
        <f ca="1"/>
        <v>SSYS</v>
      </c>
      <c r="AB64">
        <f ca="1"/>
        <v>49</v>
      </c>
      <c r="AC64" t="str">
        <f ca="1"/>
        <v>DDD</v>
      </c>
      <c r="AD64">
        <f ca="1"/>
        <v>46</v>
      </c>
      <c r="AE64" t="str">
        <f ca="1"/>
        <v>AVGO</v>
      </c>
      <c r="AF64" s="87">
        <f ca="1"/>
        <v>-46552.706239920037</v>
      </c>
      <c r="AG64" t="str">
        <f ca="1"/>
        <v>SAFIAG</v>
      </c>
      <c r="AH64" s="87">
        <f ca="1"/>
        <v>0</v>
      </c>
      <c r="AI64" t="str">
        <f ca="1"/>
        <v>ADEA</v>
      </c>
      <c r="AJ64" s="87">
        <f ca="1"/>
        <v>-240.00000000000199</v>
      </c>
      <c r="AK64" s="90" t="str">
        <f ca="1"/>
        <v>KR</v>
      </c>
      <c r="AL64" s="312">
        <f ca="1"/>
        <v>-3.5753505952380959E-3</v>
      </c>
      <c r="AM64" t="str">
        <f ca="1"/>
        <v>RIGL</v>
      </c>
      <c r="AN64" s="312">
        <f ca="1"/>
        <v>4.9782394125536401E-2</v>
      </c>
      <c r="AO64" t="str">
        <f ca="1"/>
        <v>SAFDIS</v>
      </c>
      <c r="AP64" s="312">
        <f ca="1"/>
        <v>-1.2806990210124145E-2</v>
      </c>
      <c r="AQ64" s="87" t="str">
        <f ca="1"/>
        <v>AET</v>
      </c>
      <c r="AR64" s="90">
        <f ca="1"/>
        <v>0.10526315789473457</v>
      </c>
      <c r="AS64" s="94" t="str">
        <f ca="1"/>
        <v>MRNA</v>
      </c>
      <c r="AT64" s="90">
        <f ca="1"/>
        <v>0</v>
      </c>
    </row>
    <row r="65" spans="2:46">
      <c r="B65" s="1" t="str" cm="1">
        <f t="array" aca="1" ref="B65" ca="1">INDIRECT("SORTING!" &amp; ADDRESS(ROW(), A$2+3))</f>
        <v>MVEUN0</v>
      </c>
      <c r="C65" s="1" t="str">
        <f ca="1">_xlfn.XLOOKUP(D65,[1]!RTData[Ticker symbol],[1]!RTData[Currency])</f>
        <v>EUR</v>
      </c>
      <c r="D65" s="153" t="str">
        <f ca="1">TabCalc[[#This Row],[Ticker]]</f>
        <v>MVEUN0</v>
      </c>
      <c r="E65" t="str">
        <f ca="1"/>
        <v>ADEA</v>
      </c>
      <c r="F65" s="563">
        <f ca="1"/>
        <v>0.68498517708641593</v>
      </c>
      <c r="G65" s="153" t="str">
        <f ca="1"/>
        <v>PROF</v>
      </c>
      <c r="H65" s="564">
        <f ca="1"/>
        <v>2527.3800000000265</v>
      </c>
      <c r="I65" t="str">
        <f ca="1"/>
        <v>MVEGLE</v>
      </c>
      <c r="J65" s="565">
        <f ca="1"/>
        <v>1.8659999999999998E-3</v>
      </c>
      <c r="K65" s="153" t="str">
        <f ca="1"/>
        <v>RIG</v>
      </c>
      <c r="L65" s="565">
        <f ca="1"/>
        <v>2.5709999999999999E-3</v>
      </c>
      <c r="M65" s="1" t="str">
        <f ca="1"/>
        <v>PFE</v>
      </c>
      <c r="N65" s="564">
        <f ca="1"/>
        <v>-287.99999999999955</v>
      </c>
      <c r="O65" t="str">
        <f ca="1"/>
        <v>VLVLY</v>
      </c>
      <c r="P65" s="564">
        <f ca="1"/>
        <v>-1231.7889999999995</v>
      </c>
      <c r="Q65" t="str">
        <f ca="1"/>
        <v>MVEORA</v>
      </c>
      <c r="R65" s="656">
        <f ca="1"/>
        <v>-3.6728630952380949E-3</v>
      </c>
      <c r="S65" t="str">
        <f ca="1"/>
        <v>DVA</v>
      </c>
      <c r="T65" s="87">
        <f ca="1"/>
        <v>-140</v>
      </c>
      <c r="U65" t="str">
        <f ca="1"/>
        <v>OXY</v>
      </c>
      <c r="V65" s="87">
        <f ca="1"/>
        <v>-2000</v>
      </c>
      <c r="W65" t="str">
        <f ca="1"/>
        <v>HPE</v>
      </c>
      <c r="X65">
        <f ca="1"/>
        <v>13</v>
      </c>
      <c r="Y65" t="str">
        <f ca="1"/>
        <v>LOCK</v>
      </c>
      <c r="Z65">
        <f ca="1"/>
        <v>8</v>
      </c>
      <c r="AA65" t="str">
        <f ca="1"/>
        <v>ADEA</v>
      </c>
      <c r="AB65">
        <f ca="1"/>
        <v>48</v>
      </c>
      <c r="AC65" t="str">
        <f ca="1"/>
        <v>LNSR</v>
      </c>
      <c r="AD65">
        <f ca="1"/>
        <v>46</v>
      </c>
      <c r="AE65" t="str">
        <f ca="1"/>
        <v>KR</v>
      </c>
      <c r="AF65" s="87">
        <f ca="1"/>
        <v>-48069.99000000002</v>
      </c>
      <c r="AG65" t="str">
        <f ca="1"/>
        <v>F</v>
      </c>
      <c r="AH65" s="87">
        <f ca="1"/>
        <v>0</v>
      </c>
      <c r="AI65" t="str">
        <f ca="1"/>
        <v>SAFAAPL</v>
      </c>
      <c r="AJ65" s="87">
        <f ca="1"/>
        <v>-422.99999999999898</v>
      </c>
      <c r="AK65" s="90" t="str">
        <f ca="1"/>
        <v>MVEORA</v>
      </c>
      <c r="AL65" s="312">
        <f ca="1"/>
        <v>-3.6728630952380949E-3</v>
      </c>
      <c r="AM65" t="str">
        <f ca="1"/>
        <v>LUV</v>
      </c>
      <c r="AN65" s="312">
        <f ca="1"/>
        <v>4.8821504101324686E-2</v>
      </c>
      <c r="AO65" t="str">
        <f ca="1"/>
        <v>PFE</v>
      </c>
      <c r="AP65" s="312">
        <f ca="1"/>
        <v>4.6697899838448994E-3</v>
      </c>
      <c r="AQ65" s="87" t="str">
        <f ca="1"/>
        <v>LUV</v>
      </c>
      <c r="AR65" s="90">
        <f ca="1"/>
        <v>6.5752080321061959E-2</v>
      </c>
      <c r="AS65" s="94" t="str">
        <f ca="1"/>
        <v>NEM</v>
      </c>
      <c r="AT65" s="90">
        <f ca="1"/>
        <v>0</v>
      </c>
    </row>
    <row r="66" spans="2:46">
      <c r="B66" s="1" t="str" cm="1">
        <f t="array" aca="1" ref="B66" ca="1">INDIRECT("SORTING!" &amp; ADDRESS(ROW(), A$2+3))</f>
        <v>SAFAAPL</v>
      </c>
      <c r="C66" s="1" t="str">
        <f ca="1">_xlfn.XLOOKUP(D66,[1]!RTData[Ticker symbol],[1]!RTData[Currency])</f>
        <v>USD</v>
      </c>
      <c r="D66" s="153" t="str">
        <f ca="1">TabCalc[[#This Row],[Ticker]]</f>
        <v>SAFAAPL</v>
      </c>
      <c r="E66" t="str">
        <f ca="1"/>
        <v>BLNK</v>
      </c>
      <c r="F66" s="563">
        <f ca="1"/>
        <v>0.67847351121032862</v>
      </c>
      <c r="G66" s="153" t="str">
        <f ca="1"/>
        <v>MVEUN0</v>
      </c>
      <c r="H66" s="564">
        <f ca="1"/>
        <v>-35.59150000000227</v>
      </c>
      <c r="I66" t="str">
        <f ca="1"/>
        <v>GLE</v>
      </c>
      <c r="J66" s="565">
        <f ca="1"/>
        <v>1.8659999999999998E-3</v>
      </c>
      <c r="K66" s="153" t="str">
        <f ca="1"/>
        <v>MVEGLE</v>
      </c>
      <c r="L66" s="565">
        <f ca="1"/>
        <v>1.8659999999999998E-3</v>
      </c>
      <c r="M66" s="1" t="str">
        <f ca="1"/>
        <v>LUMN</v>
      </c>
      <c r="N66" s="564">
        <f ca="1"/>
        <v>-600.06917293233073</v>
      </c>
      <c r="O66" t="str">
        <f ca="1"/>
        <v>AET</v>
      </c>
      <c r="P66" s="564">
        <f ca="1"/>
        <v>-1238.7708</v>
      </c>
      <c r="Q66" t="str">
        <f ca="1"/>
        <v>ORA</v>
      </c>
      <c r="R66" s="656">
        <f ca="1"/>
        <v>-4.055196428571428E-3</v>
      </c>
      <c r="S66" t="str">
        <f ca="1"/>
        <v>XYZ</v>
      </c>
      <c r="T66" s="87">
        <f ca="1"/>
        <v>-155.99999999999272</v>
      </c>
      <c r="U66" t="str">
        <f ca="1"/>
        <v>MVEALDNE</v>
      </c>
      <c r="V66" s="87">
        <f ca="1"/>
        <v>-2020</v>
      </c>
      <c r="W66" t="str">
        <f ca="1"/>
        <v>PROF</v>
      </c>
      <c r="X66">
        <f ca="1"/>
        <v>13</v>
      </c>
      <c r="Y66" t="str">
        <f ca="1"/>
        <v>LNSR</v>
      </c>
      <c r="Z66">
        <f ca="1"/>
        <v>9</v>
      </c>
      <c r="AA66" t="str">
        <f ca="1"/>
        <v>SHECY</v>
      </c>
      <c r="AB66">
        <f ca="1"/>
        <v>48</v>
      </c>
      <c r="AC66" t="str">
        <f ca="1"/>
        <v>MVEDDD</v>
      </c>
      <c r="AD66">
        <f ca="1"/>
        <v>46</v>
      </c>
      <c r="AE66" t="str">
        <f ca="1"/>
        <v>MVEGLE</v>
      </c>
      <c r="AF66" s="87">
        <f ca="1"/>
        <v>-52791.715800000035</v>
      </c>
      <c r="AG66" t="str">
        <f ca="1"/>
        <v>GLE</v>
      </c>
      <c r="AH66" s="87">
        <f ca="1"/>
        <v>0</v>
      </c>
      <c r="AI66" t="str">
        <f ca="1"/>
        <v>AMZN</v>
      </c>
      <c r="AJ66" s="87">
        <f ca="1"/>
        <v>-539.00000000000432</v>
      </c>
      <c r="AK66" s="90" t="str">
        <f ca="1"/>
        <v>ORA</v>
      </c>
      <c r="AL66" s="312">
        <f ca="1"/>
        <v>-4.055196428571428E-3</v>
      </c>
      <c r="AM66" t="str">
        <f ca="1"/>
        <v>DDD</v>
      </c>
      <c r="AN66" s="312">
        <f ca="1"/>
        <v>4.7729066561638479E-2</v>
      </c>
      <c r="AO66" t="str">
        <f ca="1"/>
        <v>KR</v>
      </c>
      <c r="AP66" s="312">
        <f ca="1"/>
        <v>1.6514140962598824E-2</v>
      </c>
      <c r="AQ66" s="87" t="str">
        <f ca="1"/>
        <v>SAP</v>
      </c>
      <c r="AR66" s="90">
        <f ca="1"/>
        <v>6.4557779212395083E-2</v>
      </c>
      <c r="AS66" s="94" t="str">
        <f ca="1"/>
        <v>POET</v>
      </c>
      <c r="AT66" s="90">
        <f ca="1"/>
        <v>0</v>
      </c>
    </row>
    <row r="67" spans="2:46">
      <c r="B67" s="1" t="str" cm="1">
        <f t="array" aca="1" ref="B67" ca="1">INDIRECT("SORTING!" &amp; ADDRESS(ROW(), A$2+3))</f>
        <v>SAFAMZN</v>
      </c>
      <c r="C67" s="1" t="str">
        <f ca="1">_xlfn.XLOOKUP(D67,[1]!RTData[Ticker symbol],[1]!RTData[Currency])</f>
        <v>USD</v>
      </c>
      <c r="D67" s="153" t="str">
        <f ca="1">TabCalc[[#This Row],[Ticker]]</f>
        <v>SAFAMZN</v>
      </c>
      <c r="E67" t="str">
        <f ca="1"/>
        <v>ASML</v>
      </c>
      <c r="F67" s="563">
        <f ca="1"/>
        <v>0.67346169889261154</v>
      </c>
      <c r="G67" s="153" t="str">
        <f ca="1"/>
        <v>EPIX</v>
      </c>
      <c r="H67" s="564">
        <f ca="1"/>
        <v>-332.2355999999927</v>
      </c>
      <c r="I67" t="str">
        <f ca="1"/>
        <v>RIG</v>
      </c>
      <c r="J67" s="565">
        <f ca="1"/>
        <v>1.2850000000000001E-3</v>
      </c>
      <c r="K67" s="153" t="str">
        <f ca="1"/>
        <v>GLE</v>
      </c>
      <c r="L67" s="565">
        <f ca="1"/>
        <v>1.8659999999999998E-3</v>
      </c>
      <c r="M67" s="1" t="str">
        <f ca="1"/>
        <v>MVEUN0</v>
      </c>
      <c r="N67" s="564">
        <f ca="1"/>
        <v>-6602.755000000001</v>
      </c>
      <c r="O67" t="str">
        <f ca="1"/>
        <v>HPQ</v>
      </c>
      <c r="P67" s="564">
        <f ca="1"/>
        <v>-1276.6720000000012</v>
      </c>
      <c r="Q67" t="str">
        <f ca="1"/>
        <v>LUV</v>
      </c>
      <c r="R67" s="656">
        <f ca="1"/>
        <v>-4.0648226190476188E-3</v>
      </c>
      <c r="S67" t="str">
        <f ca="1"/>
        <v>VLVLY</v>
      </c>
      <c r="T67" s="87">
        <f ca="1"/>
        <v>-165</v>
      </c>
      <c r="U67" t="str">
        <f ca="1"/>
        <v>DXC</v>
      </c>
      <c r="V67" s="87">
        <f ca="1"/>
        <v>-2088.0000000000291</v>
      </c>
      <c r="W67" t="str">
        <f ca="1"/>
        <v>MVEGLE</v>
      </c>
      <c r="X67">
        <f ca="1"/>
        <v>13</v>
      </c>
      <c r="Y67" t="str">
        <f ca="1"/>
        <v>VONN</v>
      </c>
      <c r="Z67">
        <f ca="1"/>
        <v>10</v>
      </c>
      <c r="AA67" t="str">
        <f ca="1"/>
        <v>AET</v>
      </c>
      <c r="AB67">
        <f ca="1"/>
        <v>47</v>
      </c>
      <c r="AC67" t="str">
        <f ca="1"/>
        <v>SAFDDD</v>
      </c>
      <c r="AD67">
        <f ca="1"/>
        <v>46</v>
      </c>
      <c r="AE67" t="str">
        <f ca="1"/>
        <v>BMRA</v>
      </c>
      <c r="AF67" s="87">
        <f ca="1"/>
        <v>-55177.775200000004</v>
      </c>
      <c r="AG67" t="str">
        <f ca="1"/>
        <v>GS</v>
      </c>
      <c r="AH67" s="87">
        <f ca="1"/>
        <v>0</v>
      </c>
      <c r="AI67" t="str">
        <f ca="1"/>
        <v>BLDP</v>
      </c>
      <c r="AJ67" s="87">
        <f ca="1"/>
        <v>-539.40000000000055</v>
      </c>
      <c r="AK67" s="90" t="str">
        <f ca="1"/>
        <v>LUV</v>
      </c>
      <c r="AL67" s="312">
        <f ca="1"/>
        <v>-4.0648226190476188E-3</v>
      </c>
      <c r="AM67" t="str">
        <f ca="1"/>
        <v>XOM</v>
      </c>
      <c r="AN67" s="312">
        <f ca="1"/>
        <v>2.1726768794828599E-2</v>
      </c>
      <c r="AO67" t="str">
        <f ca="1"/>
        <v>DIS</v>
      </c>
      <c r="AP67" s="312">
        <f ca="1"/>
        <v>2.3313323782234878E-2</v>
      </c>
      <c r="AQ67" s="87" t="str">
        <f ca="1"/>
        <v>SHECY</v>
      </c>
      <c r="AR67" s="90">
        <f ca="1"/>
        <v>4.1676533270187194E-2</v>
      </c>
      <c r="AS67" s="94" t="str">
        <f ca="1"/>
        <v>PW</v>
      </c>
      <c r="AT67" s="90">
        <f ca="1"/>
        <v>0</v>
      </c>
    </row>
    <row r="68" spans="2:46">
      <c r="B68" s="1" t="str" cm="1">
        <f t="array" aca="1" ref="B68" ca="1">INDIRECT("SORTING!" &amp; ADDRESS(ROW(), A$2+3))</f>
        <v>SAFASML</v>
      </c>
      <c r="C68" s="1" t="str">
        <f ca="1">_xlfn.XLOOKUP(D68,[1]!RTData[Ticker symbol],[1]!RTData[Currency])</f>
        <v>EUR</v>
      </c>
      <c r="D68" s="153" t="str">
        <f ca="1">TabCalc[[#This Row],[Ticker]]</f>
        <v>SAFASML</v>
      </c>
      <c r="E68" t="str">
        <f ca="1"/>
        <v>SAFASML</v>
      </c>
      <c r="F68" s="563">
        <f ca="1"/>
        <v>0.67346169889261154</v>
      </c>
      <c r="G68" s="153" t="str">
        <f ca="1"/>
        <v>DSY</v>
      </c>
      <c r="H68" s="564">
        <f ca="1"/>
        <v>-3087.5920000000624</v>
      </c>
      <c r="I68" t="str">
        <f ca="1"/>
        <v>MA</v>
      </c>
      <c r="J68" s="565">
        <f ca="1"/>
        <v>8.0170000000000003E-4</v>
      </c>
      <c r="K68" s="153" t="str">
        <f ca="1"/>
        <v>EPIX</v>
      </c>
      <c r="L68" s="565">
        <f ca="1"/>
        <v>0</v>
      </c>
      <c r="M68" s="1" t="str">
        <f ca="1"/>
        <v>MVESAP</v>
      </c>
      <c r="N68" s="564">
        <f ca="1"/>
        <v>-8789.5300000000025</v>
      </c>
      <c r="O68" t="str">
        <f ca="1"/>
        <v>AZN</v>
      </c>
      <c r="P68" s="564">
        <f ca="1"/>
        <v>-1461.1909999999964</v>
      </c>
      <c r="Q68" t="str">
        <f ca="1"/>
        <v>ASML</v>
      </c>
      <c r="R68" s="656">
        <f ca="1"/>
        <v>-4.0738869047619057E-3</v>
      </c>
      <c r="S68" t="str">
        <f ca="1"/>
        <v>XPER</v>
      </c>
      <c r="T68" s="87">
        <f ca="1"/>
        <v>-200</v>
      </c>
      <c r="U68" t="str">
        <f ca="1"/>
        <v>GNRC</v>
      </c>
      <c r="V68" s="87">
        <f ca="1"/>
        <v>-2346</v>
      </c>
      <c r="W68" t="str">
        <f ca="1"/>
        <v>GLE</v>
      </c>
      <c r="X68">
        <f ca="1"/>
        <v>13</v>
      </c>
      <c r="Y68" t="str">
        <f ca="1"/>
        <v>RRC</v>
      </c>
      <c r="Z68">
        <f ca="1"/>
        <v>10</v>
      </c>
      <c r="AA68" t="str">
        <f ca="1"/>
        <v>DDD</v>
      </c>
      <c r="AB68">
        <f ca="1"/>
        <v>47</v>
      </c>
      <c r="AC68" t="str">
        <f ca="1"/>
        <v>MRNA</v>
      </c>
      <c r="AD68">
        <f ca="1"/>
        <v>45</v>
      </c>
      <c r="AE68" t="str">
        <f ca="1"/>
        <v>DVA</v>
      </c>
      <c r="AF68" s="87">
        <f ca="1"/>
        <v>-63306.290000000066</v>
      </c>
      <c r="AG68" t="str">
        <f ca="1"/>
        <v>NVS</v>
      </c>
      <c r="AH68" s="87">
        <f ca="1"/>
        <v>0</v>
      </c>
      <c r="AI68" t="str">
        <f ca="1"/>
        <v>IAG</v>
      </c>
      <c r="AJ68" s="87">
        <f ca="1"/>
        <v>-760.00000000000239</v>
      </c>
      <c r="AK68" s="90" t="str">
        <f ca="1"/>
        <v>ASML</v>
      </c>
      <c r="AL68" s="312">
        <f ca="1"/>
        <v>-4.0738869047619057E-3</v>
      </c>
      <c r="AM68" t="str">
        <f ca="1"/>
        <v>NVAX</v>
      </c>
      <c r="AN68" s="312">
        <f ca="1"/>
        <v>1.5186976208721011E-2</v>
      </c>
      <c r="AO68" t="str">
        <f ca="1"/>
        <v>SAP</v>
      </c>
      <c r="AP68" s="312">
        <f ca="1"/>
        <v>2.8182143380735894E-2</v>
      </c>
      <c r="AQ68" s="87" t="str">
        <f ca="1"/>
        <v>XPER</v>
      </c>
      <c r="AR68" s="90">
        <f ca="1"/>
        <v>3.1796502384736997E-2</v>
      </c>
      <c r="AS68" s="94" t="str">
        <f ca="1"/>
        <v>RIGL</v>
      </c>
      <c r="AT68" s="90">
        <f ca="1"/>
        <v>0</v>
      </c>
    </row>
    <row r="69" spans="2:46">
      <c r="B69" s="1" t="str" cm="1">
        <f t="array" aca="1" ref="B69" ca="1">INDIRECT("SORTING!" &amp; ADDRESS(ROW(), A$2+3))</f>
        <v>SAFDDD</v>
      </c>
      <c r="C69" s="1" t="str">
        <f ca="1">_xlfn.XLOOKUP(D69,[1]!RTData[Ticker symbol],[1]!RTData[Currency])</f>
        <v>USD</v>
      </c>
      <c r="D69" s="153" t="str">
        <f ca="1">TabCalc[[#This Row],[Ticker]]</f>
        <v>SAFDDD</v>
      </c>
      <c r="E69" t="str">
        <f ca="1"/>
        <v>DDD</v>
      </c>
      <c r="F69" s="563">
        <f ca="1"/>
        <v>0.66744662603510774</v>
      </c>
      <c r="G69" s="153" t="str">
        <f ca="1"/>
        <v>PW</v>
      </c>
      <c r="H69" s="564">
        <f ca="1"/>
        <v>-6975.1429999999973</v>
      </c>
      <c r="I69" t="str">
        <f ca="1"/>
        <v>GM</v>
      </c>
      <c r="J69" s="565">
        <f ca="1"/>
        <v>0</v>
      </c>
      <c r="K69" s="153" t="str">
        <f ca="1"/>
        <v>WBA</v>
      </c>
      <c r="L69" s="565">
        <f ca="1"/>
        <v>0</v>
      </c>
      <c r="M69" s="1" t="str">
        <f ca="1"/>
        <v>MVEGLE</v>
      </c>
      <c r="N69" s="564">
        <f ca="1"/>
        <v>-13864.999999999995</v>
      </c>
      <c r="O69" t="str">
        <f ca="1"/>
        <v>PAAS</v>
      </c>
      <c r="P69" s="564">
        <f ca="1"/>
        <v>-1476.401349999998</v>
      </c>
      <c r="Q69" t="str">
        <f ca="1"/>
        <v>SAFASML</v>
      </c>
      <c r="R69" s="656">
        <f ca="1"/>
        <v>-4.3477440476190482E-3</v>
      </c>
      <c r="S69" t="str">
        <f ca="1"/>
        <v>ORA</v>
      </c>
      <c r="T69" s="87">
        <f ca="1"/>
        <v>-252</v>
      </c>
      <c r="U69" t="str">
        <f ca="1"/>
        <v>MVEORA</v>
      </c>
      <c r="V69" s="87">
        <f ca="1"/>
        <v>-2475</v>
      </c>
      <c r="W69" t="str">
        <f ca="1"/>
        <v>DIS</v>
      </c>
      <c r="X69">
        <f ca="1"/>
        <v>14</v>
      </c>
      <c r="Y69" t="str">
        <f ca="1"/>
        <v>XYZ</v>
      </c>
      <c r="Z69">
        <f ca="1"/>
        <v>10</v>
      </c>
      <c r="AA69" t="str">
        <f ca="1"/>
        <v>MVEDDD</v>
      </c>
      <c r="AB69">
        <f ca="1"/>
        <v>47</v>
      </c>
      <c r="AC69" t="str">
        <f ca="1"/>
        <v>SAFMRNA</v>
      </c>
      <c r="AD69">
        <f ca="1"/>
        <v>45</v>
      </c>
      <c r="AE69" t="str">
        <f ca="1"/>
        <v>XPER</v>
      </c>
      <c r="AF69" s="87">
        <f ca="1"/>
        <v>-66980.447801999995</v>
      </c>
      <c r="AG69" t="str">
        <f ca="1"/>
        <v>RRC</v>
      </c>
      <c r="AH69" s="87">
        <f ca="1"/>
        <v>0</v>
      </c>
      <c r="AI69" t="str">
        <f ca="1"/>
        <v>ENI</v>
      </c>
      <c r="AJ69" s="87">
        <f ca="1"/>
        <v>-1251.9999999999989</v>
      </c>
      <c r="AK69" s="90" t="str">
        <f ca="1"/>
        <v>SAFASML</v>
      </c>
      <c r="AL69" s="312">
        <f ca="1"/>
        <v>-4.3477440476190482E-3</v>
      </c>
      <c r="AM69" t="str">
        <f ca="1"/>
        <v>SAFDIS</v>
      </c>
      <c r="AN69" s="312">
        <f ca="1"/>
        <v>1.0285435373744494E-2</v>
      </c>
      <c r="AO69" t="str">
        <f ca="1"/>
        <v>MVEGLE</v>
      </c>
      <c r="AP69" s="312">
        <f ca="1"/>
        <v>3.4298552267404712E-2</v>
      </c>
      <c r="AQ69" s="87" t="str">
        <f ca="1"/>
        <v>RRC</v>
      </c>
      <c r="AR69" s="90">
        <f ca="1"/>
        <v>2.7102592887567237E-2</v>
      </c>
      <c r="AS69" s="94" t="str">
        <f ca="1"/>
        <v>RWE</v>
      </c>
      <c r="AT69" s="90">
        <f ca="1"/>
        <v>0</v>
      </c>
    </row>
    <row r="70" spans="2:46">
      <c r="B70" s="1" t="str" cm="1">
        <f t="array" aca="1" ref="B70" ca="1">INDIRECT("SORTING!" &amp; ADDRESS(ROW(), A$2+3))</f>
        <v>SAFDIS</v>
      </c>
      <c r="C70" s="1" t="str">
        <f ca="1">_xlfn.XLOOKUP(D70,[1]!RTData[Ticker symbol],[1]!RTData[Currency])</f>
        <v>USD</v>
      </c>
      <c r="D70" s="153" t="str">
        <f ca="1">TabCalc[[#This Row],[Ticker]]</f>
        <v>SAFDIS</v>
      </c>
      <c r="E70" t="str">
        <f ca="1"/>
        <v>MVEDDD</v>
      </c>
      <c r="F70" s="563">
        <f ca="1"/>
        <v>0.66744662603510774</v>
      </c>
      <c r="G70" s="153" t="str">
        <f ca="1"/>
        <v>PFE</v>
      </c>
      <c r="H70" s="564">
        <f ca="1"/>
        <v>-8337.0780000000013</v>
      </c>
      <c r="I70" t="str">
        <f ca="1"/>
        <v>WBA</v>
      </c>
      <c r="J70" s="565">
        <f ca="1"/>
        <v>0</v>
      </c>
      <c r="K70" s="153" t="str">
        <f ca="1"/>
        <v>MVEEPIX</v>
      </c>
      <c r="L70" s="565">
        <f ca="1"/>
        <v>0</v>
      </c>
      <c r="M70" s="1" t="str">
        <f ca="1"/>
        <v>XPER</v>
      </c>
      <c r="N70" s="564">
        <f ca="1"/>
        <v>-15968</v>
      </c>
      <c r="O70" t="str">
        <f ca="1"/>
        <v>LUV</v>
      </c>
      <c r="P70" s="564">
        <f ca="1"/>
        <v>-1731.3168419999929</v>
      </c>
      <c r="Q70" t="str">
        <f ca="1"/>
        <v>MVEUN0</v>
      </c>
      <c r="R70" s="656">
        <f ca="1"/>
        <v>-4.7995357142857154E-3</v>
      </c>
      <c r="S70" t="str">
        <f ca="1"/>
        <v>NVAX</v>
      </c>
      <c r="T70" s="87">
        <f ca="1"/>
        <v>-455</v>
      </c>
      <c r="U70" t="str">
        <f ca="1"/>
        <v>UNIT</v>
      </c>
      <c r="V70" s="87">
        <f ca="1"/>
        <v>-2632.9500000000116</v>
      </c>
      <c r="W70" t="str">
        <f ca="1"/>
        <v>MRNA</v>
      </c>
      <c r="X70">
        <f ca="1"/>
        <v>14</v>
      </c>
      <c r="Y70" t="str">
        <f ca="1"/>
        <v>PAAS</v>
      </c>
      <c r="Z70">
        <f ca="1"/>
        <v>11</v>
      </c>
      <c r="AA70" t="str">
        <f ca="1"/>
        <v>MVEGLE</v>
      </c>
      <c r="AB70">
        <f ca="1"/>
        <v>47</v>
      </c>
      <c r="AC70" t="str">
        <f ca="1"/>
        <v>RRC</v>
      </c>
      <c r="AD70">
        <f ca="1"/>
        <v>45</v>
      </c>
      <c r="AE70" t="str">
        <f ca="1"/>
        <v>HPQ</v>
      </c>
      <c r="AF70" s="87">
        <f ca="1"/>
        <v>-68214.971999999951</v>
      </c>
      <c r="AG70" t="str">
        <f ca="1"/>
        <v>NEM</v>
      </c>
      <c r="AH70" s="87">
        <f ca="1"/>
        <v>-263.33999999999946</v>
      </c>
      <c r="AI70" t="str">
        <f ca="1"/>
        <v>LUMN</v>
      </c>
      <c r="AJ70" s="87">
        <f ca="1"/>
        <v>-1277.1000000000001</v>
      </c>
      <c r="AK70" s="90" t="str">
        <f ca="1"/>
        <v>MVEUN0</v>
      </c>
      <c r="AL70" s="312">
        <f ca="1"/>
        <v>-4.7995357142857154E-3</v>
      </c>
      <c r="AM70" t="str">
        <f ca="1"/>
        <v>PFE</v>
      </c>
      <c r="AN70" s="312">
        <f ca="1"/>
        <v>-7.1985565356856339E-3</v>
      </c>
      <c r="AO70" t="str">
        <f ca="1"/>
        <v>NFLX</v>
      </c>
      <c r="AP70" s="312">
        <f ca="1"/>
        <v>3.4539281440407743E-2</v>
      </c>
      <c r="AQ70" s="87" t="str">
        <f ca="1"/>
        <v>PFE</v>
      </c>
      <c r="AR70" s="90">
        <f ca="1"/>
        <v>-7.6644122886076905E-3</v>
      </c>
      <c r="AS70" s="94" t="str">
        <f ca="1"/>
        <v>SAP</v>
      </c>
      <c r="AT70" s="90">
        <f ca="1"/>
        <v>0</v>
      </c>
    </row>
    <row r="71" spans="2:46">
      <c r="B71" s="1" t="str" cm="1">
        <f t="array" aca="1" ref="B71" ca="1">INDIRECT("SORTING!" &amp; ADDRESS(ROW(), A$2+3))</f>
        <v>SAFGM</v>
      </c>
      <c r="C71" s="1" t="str">
        <f ca="1">_xlfn.XLOOKUP(D71,[1]!RTData[Ticker symbol],[1]!RTData[Currency])</f>
        <v>USD</v>
      </c>
      <c r="D71" s="153" t="str">
        <f ca="1">TabCalc[[#This Row],[Ticker]]</f>
        <v>SAFGM</v>
      </c>
      <c r="E71" t="str">
        <f ca="1"/>
        <v>SAFDDD</v>
      </c>
      <c r="F71" s="563">
        <f ca="1"/>
        <v>0.66744662603510774</v>
      </c>
      <c r="G71" s="153" t="str">
        <f ca="1"/>
        <v>F</v>
      </c>
      <c r="H71" s="564">
        <f ca="1"/>
        <v>-12620</v>
      </c>
      <c r="I71" t="str">
        <f ca="1"/>
        <v>MVEEPIX</v>
      </c>
      <c r="J71" s="565">
        <f ca="1"/>
        <v>0</v>
      </c>
      <c r="K71" s="153" t="str">
        <f ca="1"/>
        <v>X</v>
      </c>
      <c r="L71" s="565">
        <f ca="1"/>
        <v>0</v>
      </c>
      <c r="M71" s="1" t="str">
        <f ca="1"/>
        <v>SAFDDD</v>
      </c>
      <c r="N71" s="564">
        <f ca="1"/>
        <v>-16851.500000000029</v>
      </c>
      <c r="O71" t="str">
        <f ca="1"/>
        <v>MA</v>
      </c>
      <c r="P71" s="564">
        <f ca="1"/>
        <v>-1896.057399999999</v>
      </c>
      <c r="Q71" t="str">
        <f ca="1"/>
        <v>MVERWE</v>
      </c>
      <c r="R71" s="656">
        <f ca="1"/>
        <v>-5.6367202380952384E-3</v>
      </c>
      <c r="S71" t="str">
        <f ca="1"/>
        <v>MVEUN0</v>
      </c>
      <c r="T71" s="87">
        <f ca="1"/>
        <v>-476</v>
      </c>
      <c r="U71" t="str">
        <f ca="1"/>
        <v>TSM</v>
      </c>
      <c r="V71" s="87">
        <f ca="1"/>
        <v>-2931.5650000000001</v>
      </c>
      <c r="W71" t="str">
        <f ca="1"/>
        <v>VLVLY</v>
      </c>
      <c r="X71">
        <f ca="1"/>
        <v>14</v>
      </c>
      <c r="Y71" t="str">
        <f ca="1"/>
        <v>VTRS</v>
      </c>
      <c r="Z71">
        <f ca="1"/>
        <v>11</v>
      </c>
      <c r="AA71" t="str">
        <f ca="1"/>
        <v>SAFDDD</v>
      </c>
      <c r="AB71">
        <f ca="1"/>
        <v>47</v>
      </c>
      <c r="AC71" t="str">
        <f ca="1"/>
        <v>UN0</v>
      </c>
      <c r="AD71">
        <f ca="1"/>
        <v>44</v>
      </c>
      <c r="AE71" t="str">
        <f ca="1"/>
        <v>LAZR</v>
      </c>
      <c r="AF71" s="87">
        <f ca="1"/>
        <v>-83714.349975999998</v>
      </c>
      <c r="AG71" t="str">
        <f ca="1"/>
        <v>MVEUN0</v>
      </c>
      <c r="AH71" s="87">
        <f ca="1"/>
        <v>-283.72499999999997</v>
      </c>
      <c r="AI71" t="str">
        <f ca="1"/>
        <v>SAFAMZN</v>
      </c>
      <c r="AJ71" s="87">
        <f ca="1"/>
        <v>-1280.0000000000011</v>
      </c>
      <c r="AK71" s="90" t="str">
        <f ca="1"/>
        <v>MVERWE</v>
      </c>
      <c r="AL71" s="312">
        <f ca="1"/>
        <v>-5.6367202380952384E-3</v>
      </c>
      <c r="AM71" t="str">
        <f ca="1"/>
        <v>DIS</v>
      </c>
      <c r="AN71" s="312">
        <f ca="1"/>
        <v>-2.5193111875294494E-2</v>
      </c>
      <c r="AO71" t="str">
        <f ca="1"/>
        <v>SAFDDD</v>
      </c>
      <c r="AP71" s="312">
        <f ca="1"/>
        <v>4.6344234679059043E-2</v>
      </c>
      <c r="AQ71" s="87" t="str">
        <f ca="1"/>
        <v>BMRA</v>
      </c>
      <c r="AR71" s="90">
        <f ca="1"/>
        <v>-5.1039131674433129E-2</v>
      </c>
      <c r="AS71" s="94" t="str">
        <f ca="1"/>
        <v>SSYS</v>
      </c>
      <c r="AT71" s="90">
        <f ca="1"/>
        <v>0</v>
      </c>
    </row>
    <row r="72" spans="2:46">
      <c r="B72" s="1" t="str" cm="1">
        <f t="array" aca="1" ref="B72" ca="1">INDIRECT("SORTING!" &amp; ADDRESS(ROW(), A$2+3))</f>
        <v>SAFIAG</v>
      </c>
      <c r="C72" s="1" t="str">
        <f ca="1">_xlfn.XLOOKUP(D72,[1]!RTData[Ticker symbol],[1]!RTData[Currency])</f>
        <v>GBp</v>
      </c>
      <c r="D72" s="153" t="str">
        <f ca="1">TabCalc[[#This Row],[Ticker]]</f>
        <v>SAFIAG</v>
      </c>
      <c r="E72" t="str">
        <f ca="1"/>
        <v>XOM</v>
      </c>
      <c r="F72" s="563">
        <f ca="1"/>
        <v>0.66203170146144197</v>
      </c>
      <c r="G72" s="153" t="str">
        <f ca="1"/>
        <v>LNSR</v>
      </c>
      <c r="H72" s="564">
        <f ca="1"/>
        <v>-16028.984799999995</v>
      </c>
      <c r="I72" t="str">
        <f ca="1"/>
        <v>X</v>
      </c>
      <c r="J72" s="565">
        <f ca="1"/>
        <v>0</v>
      </c>
      <c r="K72" s="153" t="str">
        <f ca="1"/>
        <v>MA</v>
      </c>
      <c r="L72" s="565">
        <f ca="1"/>
        <v>-1.7430000000000001E-4</v>
      </c>
      <c r="M72" s="1" t="str">
        <f ca="1"/>
        <v>AET</v>
      </c>
      <c r="N72" s="564">
        <f ca="1"/>
        <v>-28183.628807000037</v>
      </c>
      <c r="O72" t="str">
        <f ca="1"/>
        <v>MVEDDD</v>
      </c>
      <c r="P72" s="564">
        <f ca="1"/>
        <v>-1944.9300000000005</v>
      </c>
      <c r="Q72" t="str">
        <f ca="1"/>
        <v>MVEDSY</v>
      </c>
      <c r="R72" s="656">
        <f ca="1"/>
        <v>-5.9848630952380969E-3</v>
      </c>
      <c r="S72" t="str">
        <f ca="1"/>
        <v>XOM</v>
      </c>
      <c r="T72" s="87">
        <f ca="1"/>
        <v>-480</v>
      </c>
      <c r="U72" t="str">
        <f ca="1"/>
        <v>SAFDIS</v>
      </c>
      <c r="V72" s="87">
        <f ca="1"/>
        <v>-3000</v>
      </c>
      <c r="W72" t="str">
        <f ca="1"/>
        <v>SAFDIS</v>
      </c>
      <c r="X72">
        <f ca="1"/>
        <v>14</v>
      </c>
      <c r="Y72" t="str">
        <f ca="1"/>
        <v>AZN</v>
      </c>
      <c r="Z72">
        <f ca="1"/>
        <v>12</v>
      </c>
      <c r="AA72" t="str">
        <f ca="1"/>
        <v>GLE</v>
      </c>
      <c r="AB72">
        <f ca="1"/>
        <v>47</v>
      </c>
      <c r="AC72" t="str">
        <f ca="1"/>
        <v>MVEUN0</v>
      </c>
      <c r="AD72">
        <f ca="1"/>
        <v>44</v>
      </c>
      <c r="AE72" t="str">
        <f ca="1"/>
        <v>ALDNE</v>
      </c>
      <c r="AF72" s="87">
        <f ca="1"/>
        <v>-86284.773039214313</v>
      </c>
      <c r="AG72" t="str">
        <f ca="1"/>
        <v>PFE</v>
      </c>
      <c r="AH72" s="87">
        <f ca="1"/>
        <v>-287.99999999999955</v>
      </c>
      <c r="AI72" t="str">
        <f ca="1"/>
        <v>AVGO</v>
      </c>
      <c r="AJ72" s="87">
        <f ca="1"/>
        <v>-1286.4000000000033</v>
      </c>
      <c r="AK72" s="90" t="str">
        <f ca="1"/>
        <v>MVEDSY</v>
      </c>
      <c r="AL72" s="312">
        <f ca="1"/>
        <v>-5.9848630952380969E-3</v>
      </c>
      <c r="AM72" t="str">
        <f ca="1"/>
        <v>SAP</v>
      </c>
      <c r="AN72" s="312">
        <f ca="1"/>
        <v>-2.9785255793479206E-2</v>
      </c>
      <c r="AO72" t="str">
        <f ca="1"/>
        <v>DVA</v>
      </c>
      <c r="AP72" s="312">
        <f ca="1"/>
        <v>5.3487379607001923E-2</v>
      </c>
      <c r="AQ72" s="87" t="str">
        <f ca="1"/>
        <v>MVEORA</v>
      </c>
      <c r="AR72" s="90">
        <f ca="1"/>
        <v>-0.14982578397212534</v>
      </c>
      <c r="AS72" s="94" t="str">
        <f ca="1"/>
        <v>UN0</v>
      </c>
      <c r="AT72" s="90">
        <f ca="1"/>
        <v>0</v>
      </c>
    </row>
    <row r="73" spans="2:46">
      <c r="B73" s="1" t="str" cm="1">
        <f t="array" aca="1" ref="B73" ca="1">INDIRECT("SORTING!" &amp; ADDRESS(ROW(), A$2+3))</f>
        <v>SAFMRNA</v>
      </c>
      <c r="C73" s="1" t="str">
        <f ca="1">_xlfn.XLOOKUP(D73,[1]!RTData[Ticker symbol],[1]!RTData[Currency])</f>
        <v>USD</v>
      </c>
      <c r="D73" s="153" t="str">
        <f ca="1">TabCalc[[#This Row],[Ticker]]</f>
        <v>SAFMRNA</v>
      </c>
      <c r="E73" t="str">
        <f ca="1"/>
        <v>MRNA</v>
      </c>
      <c r="F73" s="563">
        <f ca="1"/>
        <v>0.66029390577287095</v>
      </c>
      <c r="G73" s="153" t="str">
        <f ca="1"/>
        <v>LUV</v>
      </c>
      <c r="H73" s="564">
        <f ca="1"/>
        <v>-19160.450000000004</v>
      </c>
      <c r="I73" t="str">
        <f ca="1"/>
        <v>LUMN</v>
      </c>
      <c r="J73" s="565">
        <f ca="1"/>
        <v>-8.3470000000000007E-4</v>
      </c>
      <c r="K73" s="153" t="str">
        <f ca="1"/>
        <v>LNSR</v>
      </c>
      <c r="L73" s="565">
        <f ca="1"/>
        <v>-8.3470000000000007E-4</v>
      </c>
      <c r="M73" s="1" t="str">
        <f ca="1"/>
        <v>MVEEPIX</v>
      </c>
      <c r="N73" s="564">
        <f ca="1"/>
        <v>-28645.599999999999</v>
      </c>
      <c r="O73" t="str">
        <f ca="1"/>
        <v>POET</v>
      </c>
      <c r="P73" s="564">
        <f ca="1"/>
        <v>-2094.5399999999995</v>
      </c>
      <c r="Q73" t="str">
        <f ca="1"/>
        <v>SHECY</v>
      </c>
      <c r="R73" s="656">
        <f ca="1"/>
        <v>-6.1099821428571436E-3</v>
      </c>
      <c r="S73" t="str">
        <f ca="1"/>
        <v>MVEDDD</v>
      </c>
      <c r="T73" s="87">
        <f ca="1"/>
        <v>-500</v>
      </c>
      <c r="U73" t="str">
        <f ca="1"/>
        <v>SAFMRNA</v>
      </c>
      <c r="V73" s="87">
        <f ca="1"/>
        <v>-3050</v>
      </c>
      <c r="W73" t="str">
        <f ca="1"/>
        <v>SAFMRNA</v>
      </c>
      <c r="X73">
        <f ca="1"/>
        <v>14</v>
      </c>
      <c r="Y73" t="str">
        <f ca="1"/>
        <v>XOM</v>
      </c>
      <c r="Z73">
        <f ca="1"/>
        <v>13</v>
      </c>
      <c r="AA73" t="str">
        <f ca="1"/>
        <v>EOAN</v>
      </c>
      <c r="AB73">
        <f ca="1"/>
        <v>45</v>
      </c>
      <c r="AC73" t="str">
        <f ca="1"/>
        <v>MA</v>
      </c>
      <c r="AD73">
        <f ca="1"/>
        <v>44</v>
      </c>
      <c r="AE73" t="str">
        <f ca="1"/>
        <v>XYZ</v>
      </c>
      <c r="AF73" s="87">
        <f ca="1"/>
        <v>-89038.818700000033</v>
      </c>
      <c r="AG73" t="str">
        <f ca="1"/>
        <v>MVEGLE</v>
      </c>
      <c r="AH73" s="87">
        <f ca="1"/>
        <v>-340.00000000000341</v>
      </c>
      <c r="AI73" t="str">
        <f ca="1"/>
        <v>CSCO</v>
      </c>
      <c r="AJ73" s="87">
        <f ca="1"/>
        <v>-1289.999999999992</v>
      </c>
      <c r="AK73" s="90" t="str">
        <f ca="1"/>
        <v>SHECY</v>
      </c>
      <c r="AL73" s="312">
        <f ca="1"/>
        <v>-6.1099821428571436E-3</v>
      </c>
      <c r="AM73" t="str">
        <f ca="1"/>
        <v>MVEGLE</v>
      </c>
      <c r="AN73" s="312">
        <f ca="1"/>
        <v>-3.5492976580044903E-2</v>
      </c>
      <c r="AO73" t="str">
        <f ca="1"/>
        <v>AET</v>
      </c>
      <c r="AP73" s="312">
        <f ca="1"/>
        <v>7.2444277364469151E-2</v>
      </c>
      <c r="AQ73" s="87" t="str">
        <f ca="1"/>
        <v>NVAX</v>
      </c>
      <c r="AR73" s="90">
        <f ca="1"/>
        <v>-0.15486915270642915</v>
      </c>
      <c r="AS73" s="94" t="str">
        <f ca="1"/>
        <v>AVGO</v>
      </c>
      <c r="AT73" s="90">
        <f ca="1"/>
        <v>0</v>
      </c>
    </row>
    <row r="74" spans="2:46">
      <c r="B74" s="1" t="str" cm="1">
        <f t="array" aca="1" ref="B74" ca="1">INDIRECT("SORTING!" &amp; ADDRESS(ROW(), A$2+3))</f>
        <v>BLNK</v>
      </c>
      <c r="C74" s="1" t="str">
        <f ca="1">_xlfn.XLOOKUP(D74,[1]!RTData[Ticker symbol],[1]!RTData[Currency])</f>
        <v>USD</v>
      </c>
      <c r="D74" s="153" t="str">
        <f ca="1">TabCalc[[#This Row],[Ticker]]</f>
        <v>BLNK</v>
      </c>
      <c r="E74" t="str">
        <f ca="1"/>
        <v>SAFMRNA</v>
      </c>
      <c r="F74" s="563">
        <f ca="1"/>
        <v>0.66029390577287095</v>
      </c>
      <c r="G74" s="153" t="str">
        <f ca="1"/>
        <v>WBA</v>
      </c>
      <c r="H74" s="564">
        <f ca="1"/>
        <v>-21661.755000000005</v>
      </c>
      <c r="I74" t="str">
        <f ca="1"/>
        <v>BLDP</v>
      </c>
      <c r="J74" s="565">
        <f ca="1"/>
        <v>-1.3189999999999999E-3</v>
      </c>
      <c r="K74" s="153" t="str">
        <f ca="1"/>
        <v>AZN</v>
      </c>
      <c r="L74" s="565">
        <f ca="1"/>
        <v>-1.3189999999999999E-3</v>
      </c>
      <c r="M74" s="1" t="str">
        <f ca="1"/>
        <v>BLNK</v>
      </c>
      <c r="N74" s="564">
        <f ca="1"/>
        <v>-32014.000000000004</v>
      </c>
      <c r="O74" t="str">
        <f ca="1"/>
        <v>SSYS</v>
      </c>
      <c r="P74" s="564">
        <f ca="1"/>
        <v>-2326.5351402599999</v>
      </c>
      <c r="Q74" t="str">
        <f ca="1"/>
        <v>SAP</v>
      </c>
      <c r="R74" s="656">
        <f ca="1"/>
        <v>-6.1789083333333326E-3</v>
      </c>
      <c r="S74" t="str">
        <f ca="1"/>
        <v>GNRC</v>
      </c>
      <c r="T74" s="87">
        <f ca="1"/>
        <v>-684</v>
      </c>
      <c r="U74" t="str">
        <f ca="1"/>
        <v>DSY</v>
      </c>
      <c r="V74" s="87">
        <f ca="1"/>
        <v>-3390</v>
      </c>
      <c r="W74" t="str">
        <f ca="1"/>
        <v>KR</v>
      </c>
      <c r="X74">
        <f ca="1"/>
        <v>15</v>
      </c>
      <c r="Y74" t="str">
        <f ca="1"/>
        <v>MA</v>
      </c>
      <c r="Z74">
        <f ca="1"/>
        <v>13</v>
      </c>
      <c r="AA74" t="str">
        <f ca="1"/>
        <v>MVEEOAN</v>
      </c>
      <c r="AB74">
        <f ca="1"/>
        <v>45</v>
      </c>
      <c r="AC74" t="str">
        <f ca="1"/>
        <v>EOAN</v>
      </c>
      <c r="AD74">
        <f ca="1"/>
        <v>43</v>
      </c>
      <c r="AE74" t="str">
        <f ca="1"/>
        <v>DDD</v>
      </c>
      <c r="AF74" s="87">
        <f ca="1"/>
        <v>-97142.073000000033</v>
      </c>
      <c r="AG74" t="str">
        <f ca="1"/>
        <v>XOM</v>
      </c>
      <c r="AH74" s="87">
        <f ca="1"/>
        <v>-629.99999999999829</v>
      </c>
      <c r="AI74" t="str">
        <f ca="1"/>
        <v>VTRS</v>
      </c>
      <c r="AJ74" s="87">
        <f ca="1"/>
        <v>-1399.9999999999968</v>
      </c>
      <c r="AK74" s="90" t="str">
        <f ca="1"/>
        <v>SAP</v>
      </c>
      <c r="AL74" s="312">
        <f ca="1"/>
        <v>-6.1789083333333326E-3</v>
      </c>
      <c r="AM74" t="str">
        <f ca="1"/>
        <v>NFLX</v>
      </c>
      <c r="AN74" s="312">
        <f ca="1"/>
        <v>-3.5716243682542545E-2</v>
      </c>
      <c r="AO74" t="str">
        <f ca="1"/>
        <v>SHECY</v>
      </c>
      <c r="AP74" s="312">
        <f ca="1"/>
        <v>8.2592128786405566E-2</v>
      </c>
      <c r="AQ74" s="87" t="str">
        <f ca="1"/>
        <v>OXY</v>
      </c>
      <c r="AR74" s="90">
        <f ca="1"/>
        <v>-0.15958961585340392</v>
      </c>
      <c r="AS74" s="94" t="str">
        <f ca="1"/>
        <v>VLVLY</v>
      </c>
      <c r="AT74" s="90">
        <f ca="1"/>
        <v>0</v>
      </c>
    </row>
    <row r="75" spans="2:46">
      <c r="B75" s="1" t="str" cm="1">
        <f t="array" aca="1" ref="B75" ca="1">INDIRECT("SORTING!" &amp; ADDRESS(ROW(), A$2+3))</f>
        <v>ENI</v>
      </c>
      <c r="C75" s="1" t="str">
        <f ca="1">_xlfn.XLOOKUP(D75,[1]!RTData[Ticker symbol],[1]!RTData[Currency])</f>
        <v>EUR</v>
      </c>
      <c r="D75" s="153" t="str">
        <f ca="1">TabCalc[[#This Row],[Ticker]]</f>
        <v>ENI</v>
      </c>
      <c r="E75" t="str">
        <f ca="1"/>
        <v>MA</v>
      </c>
      <c r="F75" s="563">
        <f ca="1"/>
        <v>0.65917487861225288</v>
      </c>
      <c r="G75" s="153" t="str">
        <f ca="1"/>
        <v>UNIT</v>
      </c>
      <c r="H75" s="564">
        <f ca="1"/>
        <v>-23875.5</v>
      </c>
      <c r="I75" t="str">
        <f ca="1"/>
        <v>XOM</v>
      </c>
      <c r="J75" s="565">
        <f ca="1"/>
        <v>-5.0010000000000002E-3</v>
      </c>
      <c r="K75" s="153" t="str">
        <f ca="1"/>
        <v>XOM</v>
      </c>
      <c r="L75" s="565">
        <f ca="1"/>
        <v>-5.0870000000000004E-3</v>
      </c>
      <c r="M75" s="1" t="str">
        <f ca="1"/>
        <v>OXY</v>
      </c>
      <c r="N75" s="564">
        <f ca="1"/>
        <v>-47057.899999999987</v>
      </c>
      <c r="O75" t="str">
        <f ca="1"/>
        <v>PW</v>
      </c>
      <c r="P75" s="564">
        <f ca="1"/>
        <v>-2358.0720305999998</v>
      </c>
      <c r="Q75" t="str">
        <f ca="1"/>
        <v>MVEGLE</v>
      </c>
      <c r="R75" s="656">
        <f ca="1"/>
        <v>-6.3383809523809504E-3</v>
      </c>
      <c r="S75" t="str">
        <f ca="1"/>
        <v>MA</v>
      </c>
      <c r="T75" s="87">
        <f ca="1"/>
        <v>-714.00000000001455</v>
      </c>
      <c r="U75" t="str">
        <f ca="1"/>
        <v>DDD</v>
      </c>
      <c r="V75" s="87">
        <f ca="1"/>
        <v>-4249.99</v>
      </c>
      <c r="W75" t="str">
        <f ca="1"/>
        <v>TSLA</v>
      </c>
      <c r="X75">
        <f ca="1"/>
        <v>15</v>
      </c>
      <c r="Y75" t="str">
        <f ca="1"/>
        <v>NOTE</v>
      </c>
      <c r="Z75">
        <f ca="1"/>
        <v>14</v>
      </c>
      <c r="AA75" t="e">
        <f ca="1"/>
        <v>#VALUE!</v>
      </c>
      <c r="AB75">
        <f ca="1"/>
        <v>45</v>
      </c>
      <c r="AC75" t="str">
        <f ca="1"/>
        <v>NEM</v>
      </c>
      <c r="AD75">
        <f ca="1"/>
        <v>43</v>
      </c>
      <c r="AE75" t="str">
        <f ca="1"/>
        <v>MVEORA</v>
      </c>
      <c r="AF75" s="87">
        <f ca="1"/>
        <v>-99445.069680000001</v>
      </c>
      <c r="AG75" t="str">
        <f ca="1"/>
        <v>SAFDIS</v>
      </c>
      <c r="AH75" s="87">
        <f ca="1"/>
        <v>-688.99999999999852</v>
      </c>
      <c r="AI75" t="str">
        <f ca="1"/>
        <v>CVS</v>
      </c>
      <c r="AJ75" s="87">
        <f ca="1"/>
        <v>-1804.005000000001</v>
      </c>
      <c r="AK75" s="90" t="str">
        <f ca="1"/>
        <v>MVEGLE</v>
      </c>
      <c r="AL75" s="312">
        <f ca="1"/>
        <v>-6.3383809523809504E-3</v>
      </c>
      <c r="AM75" t="str">
        <f ca="1"/>
        <v>SAFDDD</v>
      </c>
      <c r="AN75" s="312">
        <f ca="1"/>
        <v>-4.6539156282058992E-2</v>
      </c>
      <c r="AO75" t="str">
        <f ca="1"/>
        <v>MVESAP</v>
      </c>
      <c r="AP75" s="312">
        <f ca="1"/>
        <v>9.1331979564694465E-2</v>
      </c>
      <c r="AQ75" s="87" t="str">
        <f ca="1"/>
        <v>DSY</v>
      </c>
      <c r="AR75" s="90">
        <f ca="1"/>
        <v>-0.17586079229914833</v>
      </c>
      <c r="AS75" s="94" t="str">
        <f ca="1"/>
        <v>VONN</v>
      </c>
      <c r="AT75" s="90">
        <f ca="1"/>
        <v>0</v>
      </c>
    </row>
    <row r="76" spans="2:46">
      <c r="B76" s="1" t="str" cm="1">
        <f t="array" aca="1" ref="B76" ca="1">INDIRECT("SORTING!" &amp; ADDRESS(ROW(), A$2+3))</f>
        <v>EZJ</v>
      </c>
      <c r="C76" s="1" t="str">
        <f ca="1">_xlfn.XLOOKUP(D76,[1]!RTData[Ticker symbol],[1]!RTData[Currency])</f>
        <v>GBp</v>
      </c>
      <c r="D76" s="153" t="str">
        <f ca="1">TabCalc[[#This Row],[Ticker]]</f>
        <v>EZJ</v>
      </c>
      <c r="E76" t="str">
        <f ca="1"/>
        <v>XYZ</v>
      </c>
      <c r="F76" s="563">
        <f ca="1"/>
        <v>0.64221317390250832</v>
      </c>
      <c r="G76" s="153" t="str">
        <f ca="1"/>
        <v>MVEEPIX</v>
      </c>
      <c r="H76" s="564">
        <f ca="1"/>
        <v>-28645.599999999999</v>
      </c>
      <c r="I76" t="str">
        <f ca="1"/>
        <v>IAG</v>
      </c>
      <c r="J76" s="565">
        <f ca="1"/>
        <v>-6.1089999999999998E-3</v>
      </c>
      <c r="K76" s="153" t="str">
        <f ca="1"/>
        <v>HPQ</v>
      </c>
      <c r="L76" s="565">
        <f ca="1"/>
        <v>-6.1089999999999998E-3</v>
      </c>
      <c r="M76" s="1" t="str">
        <f ca="1"/>
        <v>PW</v>
      </c>
      <c r="N76" s="564">
        <f ca="1"/>
        <v>-49717.001481481479</v>
      </c>
      <c r="O76" t="str">
        <f ca="1"/>
        <v>HPE</v>
      </c>
      <c r="P76" s="564">
        <f ca="1"/>
        <v>-3075.9816000000005</v>
      </c>
      <c r="Q76" t="str">
        <f ca="1"/>
        <v>GLE</v>
      </c>
      <c r="R76" s="656">
        <f ca="1"/>
        <v>-6.3383809523809504E-3</v>
      </c>
      <c r="S76" t="str">
        <f ca="1"/>
        <v>SAFASML</v>
      </c>
      <c r="T76" s="87">
        <f ca="1"/>
        <v>-1400</v>
      </c>
      <c r="U76" t="str">
        <f ca="1"/>
        <v>NVAX</v>
      </c>
      <c r="V76" s="87">
        <f ca="1"/>
        <v>-4290</v>
      </c>
      <c r="W76" t="str">
        <f ca="1"/>
        <v>MVEDSY</v>
      </c>
      <c r="X76">
        <f ca="1"/>
        <v>15</v>
      </c>
      <c r="Y76" t="str">
        <f ca="1"/>
        <v>OXY</v>
      </c>
      <c r="Z76">
        <f ca="1"/>
        <v>14</v>
      </c>
      <c r="AA76" t="str">
        <f ca="1"/>
        <v>EPIX</v>
      </c>
      <c r="AB76">
        <f ca="1"/>
        <v>44</v>
      </c>
      <c r="AC76" t="str">
        <f ca="1"/>
        <v>MVEEOAN</v>
      </c>
      <c r="AD76">
        <f ca="1"/>
        <v>43</v>
      </c>
      <c r="AE76" t="str">
        <f ca="1"/>
        <v>UN0</v>
      </c>
      <c r="AF76" s="87">
        <f ca="1"/>
        <v>-104308.77060000002</v>
      </c>
      <c r="AG76" t="str">
        <f ca="1"/>
        <v>NFLX</v>
      </c>
      <c r="AH76" s="87">
        <f ca="1"/>
        <v>-1095.0000000000273</v>
      </c>
      <c r="AI76" t="str">
        <f ca="1"/>
        <v>MVEENI</v>
      </c>
      <c r="AJ76" s="87">
        <f ca="1"/>
        <v>-2864.0000000000045</v>
      </c>
      <c r="AK76" s="90" t="str">
        <f ca="1"/>
        <v>GLE</v>
      </c>
      <c r="AL76" s="312">
        <f ca="1"/>
        <v>-6.3383809523809504E-3</v>
      </c>
      <c r="AM76" t="str">
        <f ca="1"/>
        <v>SHECY</v>
      </c>
      <c r="AN76" s="312">
        <f ca="1"/>
        <v>-7.8300078850171415E-2</v>
      </c>
      <c r="AO76" t="str">
        <f ca="1"/>
        <v>BLNK</v>
      </c>
      <c r="AP76" s="312">
        <f ca="1"/>
        <v>0.13562970639032818</v>
      </c>
      <c r="AQ76" s="87" t="str">
        <f ca="1"/>
        <v>ALDNE</v>
      </c>
      <c r="AR76" s="90">
        <f ca="1"/>
        <v>-0.18134263295553635</v>
      </c>
      <c r="AS76" s="94" t="str">
        <f ca="1"/>
        <v>MVEALDNE</v>
      </c>
      <c r="AT76" s="90">
        <f ca="1"/>
        <v>0</v>
      </c>
    </row>
    <row r="77" spans="2:46">
      <c r="B77" s="1" t="str" cm="1">
        <f t="array" aca="1" ref="B77" ca="1">INDIRECT("SORTING!" &amp; ADDRESS(ROW(), A$2+3))</f>
        <v>F</v>
      </c>
      <c r="C77" s="1" t="str">
        <f ca="1">_xlfn.XLOOKUP(D77,[1]!RTData[Ticker symbol],[1]!RTData[Currency])</f>
        <v>USD</v>
      </c>
      <c r="D77" s="153" t="str">
        <f ca="1">TabCalc[[#This Row],[Ticker]]</f>
        <v>F</v>
      </c>
      <c r="E77" t="str">
        <f ca="1"/>
        <v>NEE</v>
      </c>
      <c r="F77" s="563">
        <f ca="1"/>
        <v>0.61039410669672867</v>
      </c>
      <c r="G77" s="153" t="str">
        <f ca="1"/>
        <v>SAFDDD</v>
      </c>
      <c r="H77" s="564">
        <f ca="1"/>
        <v>-37777.919999999984</v>
      </c>
      <c r="I77" t="str">
        <f ca="1"/>
        <v>OXY</v>
      </c>
      <c r="J77" s="565">
        <f ca="1"/>
        <v>-6.9959999999999996E-3</v>
      </c>
      <c r="K77" s="153" t="str">
        <f ca="1"/>
        <v>OXY</v>
      </c>
      <c r="L77" s="565">
        <f ca="1"/>
        <v>-7.2290000000000002E-3</v>
      </c>
      <c r="M77" s="1" t="str">
        <f ca="1"/>
        <v>SSYS</v>
      </c>
      <c r="N77" s="564">
        <f ca="1"/>
        <v>-80239.3705293276</v>
      </c>
      <c r="O77" t="str">
        <f ca="1"/>
        <v>SAFDIS</v>
      </c>
      <c r="P77" s="564">
        <f ca="1"/>
        <v>-3716.0131799999972</v>
      </c>
      <c r="Q77" t="str">
        <f ca="1"/>
        <v>XPER</v>
      </c>
      <c r="R77" s="656">
        <f ca="1"/>
        <v>-6.6396964285714297E-3</v>
      </c>
      <c r="S77" t="str">
        <f ca="1"/>
        <v>DIS</v>
      </c>
      <c r="T77" s="87">
        <f ca="1"/>
        <v>-1550</v>
      </c>
      <c r="U77" t="str">
        <f ca="1"/>
        <v>AMZN</v>
      </c>
      <c r="V77" s="87">
        <f ca="1"/>
        <v>-4320</v>
      </c>
      <c r="W77" t="str">
        <f ca="1"/>
        <v>LUV</v>
      </c>
      <c r="X77">
        <f ca="1"/>
        <v>15</v>
      </c>
      <c r="Y77" t="str">
        <f ca="1"/>
        <v>RIG</v>
      </c>
      <c r="Z77">
        <f ca="1"/>
        <v>14</v>
      </c>
      <c r="AA77" t="str">
        <f ca="1"/>
        <v>NEM</v>
      </c>
      <c r="AB77">
        <f ca="1"/>
        <v>44</v>
      </c>
      <c r="AC77" t="str">
        <f ca="1"/>
        <v>LUV</v>
      </c>
      <c r="AD77">
        <f ca="1"/>
        <v>43</v>
      </c>
      <c r="AE77" t="str">
        <f ca="1"/>
        <v>DSY</v>
      </c>
      <c r="AF77" s="87">
        <f ca="1"/>
        <v>-105596.94200000007</v>
      </c>
      <c r="AG77" t="str">
        <f ca="1"/>
        <v>MVEORA</v>
      </c>
      <c r="AH77" s="87">
        <f ca="1"/>
        <v>-1289.9999999999991</v>
      </c>
      <c r="AI77" t="str">
        <f ca="1"/>
        <v>WBA</v>
      </c>
      <c r="AJ77" s="87">
        <f ca="1"/>
        <v>-2915.6000000000049</v>
      </c>
      <c r="AK77" s="90" t="str">
        <f ca="1"/>
        <v>XPER</v>
      </c>
      <c r="AL77" s="312">
        <f ca="1"/>
        <v>-6.6396964285714297E-3</v>
      </c>
      <c r="AM77" t="str">
        <f ca="1"/>
        <v>MVESAP</v>
      </c>
      <c r="AN77" s="312">
        <f ca="1"/>
        <v>-8.5643127879950265E-2</v>
      </c>
      <c r="AO77" t="str">
        <f ca="1"/>
        <v>DXC</v>
      </c>
      <c r="AP77" s="312">
        <f ca="1"/>
        <v>0.16745169867060564</v>
      </c>
      <c r="AQ77" s="87" t="str">
        <f ca="1"/>
        <v>SAFDIS</v>
      </c>
      <c r="AR77" s="90">
        <f ca="1"/>
        <v>-0.20711630377057838</v>
      </c>
      <c r="AS77" s="94" t="str">
        <f ca="1"/>
        <v>MVEDDD</v>
      </c>
      <c r="AT77" s="90">
        <f ca="1"/>
        <v>0</v>
      </c>
    </row>
    <row r="78" spans="2:46">
      <c r="B78" s="1" t="str" cm="1">
        <f t="array" aca="1" ref="B78" ca="1">INDIRECT("SORTING!" &amp; ADDRESS(ROW(), A$2+3))</f>
        <v>GLE</v>
      </c>
      <c r="C78" s="1" t="str">
        <f ca="1">_xlfn.XLOOKUP(D78,[1]!RTData[Ticker symbol],[1]!RTData[Currency])</f>
        <v>EUR</v>
      </c>
      <c r="D78" s="153" t="str">
        <f ca="1">TabCalc[[#This Row],[Ticker]]</f>
        <v>GLE</v>
      </c>
      <c r="E78" t="str">
        <f ca="1"/>
        <v>TSM</v>
      </c>
      <c r="F78" s="563">
        <f ca="1"/>
        <v>0.60274669526661961</v>
      </c>
      <c r="G78" s="153" t="str">
        <f ca="1"/>
        <v>CVS</v>
      </c>
      <c r="H78" s="564">
        <f ca="1"/>
        <v>-44442.635000000002</v>
      </c>
      <c r="I78" t="str">
        <f ca="1"/>
        <v>NVS</v>
      </c>
      <c r="J78" s="565">
        <f ca="1"/>
        <v>-9.5720000000000006E-3</v>
      </c>
      <c r="K78" s="153" t="str">
        <f ca="1"/>
        <v>NVS</v>
      </c>
      <c r="L78" s="565">
        <f ca="1"/>
        <v>-9.7230000000000007E-3</v>
      </c>
      <c r="M78" s="1" t="str">
        <f ca="1"/>
        <v>PROF</v>
      </c>
      <c r="N78" s="564">
        <f ca="1"/>
        <v>-95010</v>
      </c>
      <c r="O78" t="str">
        <f ca="1"/>
        <v>KR</v>
      </c>
      <c r="P78" s="564">
        <f ca="1"/>
        <v>-4697.7539999999935</v>
      </c>
      <c r="Q78" t="str">
        <f ca="1"/>
        <v>MVESAP</v>
      </c>
      <c r="R78" s="656">
        <f ca="1"/>
        <v>-6.6449738095238084E-3</v>
      </c>
      <c r="S78" t="str">
        <f ca="1"/>
        <v>OXY</v>
      </c>
      <c r="T78" s="87">
        <f ca="1"/>
        <v>-1720</v>
      </c>
      <c r="U78" t="str">
        <f ca="1"/>
        <v>RWE</v>
      </c>
      <c r="V78" s="87">
        <f ca="1"/>
        <v>-4628</v>
      </c>
      <c r="W78" t="str">
        <f ca="1"/>
        <v>NVAX</v>
      </c>
      <c r="X78">
        <f ca="1"/>
        <v>15</v>
      </c>
      <c r="Y78" t="str">
        <f ca="1"/>
        <v>HPQ</v>
      </c>
      <c r="Z78">
        <f ca="1"/>
        <v>15</v>
      </c>
      <c r="AA78" t="str">
        <f ca="1"/>
        <v>TSLA</v>
      </c>
      <c r="AB78">
        <f ca="1"/>
        <v>44</v>
      </c>
      <c r="AC78" t="e">
        <f ca="1"/>
        <v>#VALUE!</v>
      </c>
      <c r="AD78">
        <f ca="1"/>
        <v>43</v>
      </c>
      <c r="AE78" t="str">
        <f ca="1"/>
        <v>SHECY</v>
      </c>
      <c r="AF78" s="87">
        <f ca="1"/>
        <v>-125813.47420400003</v>
      </c>
      <c r="AG78" t="str">
        <f ca="1"/>
        <v>ALDNE</v>
      </c>
      <c r="AH78" s="87">
        <f ca="1"/>
        <v>-1560.0000000000014</v>
      </c>
      <c r="AI78" t="str">
        <f ca="1"/>
        <v>ORA</v>
      </c>
      <c r="AJ78" s="87">
        <f ca="1"/>
        <v>-3780.0000000000009</v>
      </c>
      <c r="AK78" s="90" t="str">
        <f ca="1"/>
        <v>MVESAP</v>
      </c>
      <c r="AL78" s="312">
        <f ca="1"/>
        <v>-6.6449738095238084E-3</v>
      </c>
      <c r="AM78" t="str">
        <f ca="1"/>
        <v>BLNK</v>
      </c>
      <c r="AN78" s="312">
        <f ca="1"/>
        <v>-0.12112696442525817</v>
      </c>
      <c r="AO78" t="str">
        <f ca="1"/>
        <v>DSY</v>
      </c>
      <c r="AP78" s="312">
        <f ca="1"/>
        <v>0.16799166991047101</v>
      </c>
      <c r="AQ78" s="87" t="str">
        <f ca="1"/>
        <v>XOM</v>
      </c>
      <c r="AR78" s="90">
        <f ca="1"/>
        <v>-0.21448633926291541</v>
      </c>
      <c r="AS78" s="94" t="str">
        <f ca="1"/>
        <v>MVEDSY</v>
      </c>
      <c r="AT78" s="90">
        <f ca="1"/>
        <v>0</v>
      </c>
    </row>
    <row r="79" spans="2:46">
      <c r="B79" s="1" t="str" cm="1">
        <f t="array" aca="1" ref="B79" ca="1">INDIRECT("SORTING!" &amp; ADDRESS(ROW(), A$2+3))</f>
        <v>GNRC</v>
      </c>
      <c r="C79" s="1" t="str">
        <f ca="1">_xlfn.XLOOKUP(D79,[1]!RTData[Ticker symbol],[1]!RTData[Currency])</f>
        <v>USD</v>
      </c>
      <c r="D79" s="153" t="str">
        <f ca="1">TabCalc[[#This Row],[Ticker]]</f>
        <v>GNRC</v>
      </c>
      <c r="E79" t="str">
        <f ca="1"/>
        <v>NVAX</v>
      </c>
      <c r="F79" s="563">
        <f ca="1"/>
        <v>0.60110333158128726</v>
      </c>
      <c r="G79" s="153" t="str">
        <f ca="1"/>
        <v>DXC</v>
      </c>
      <c r="H79" s="564">
        <f ca="1"/>
        <v>-46344.646999999968</v>
      </c>
      <c r="I79" t="str">
        <f ca="1"/>
        <v>DSY</v>
      </c>
      <c r="J79" s="565">
        <f ca="1"/>
        <v>-1.2032000000000001E-2</v>
      </c>
      <c r="K79" s="153" t="str">
        <f ca="1"/>
        <v>DIS</v>
      </c>
      <c r="L79" s="565">
        <f ca="1"/>
        <v>-1.1944E-2</v>
      </c>
      <c r="M79" s="1" t="str">
        <f ca="1"/>
        <v>MVEDSY</v>
      </c>
      <c r="N79" s="564">
        <f ca="1"/>
        <v>-95370.000000000015</v>
      </c>
      <c r="O79" t="str">
        <f ca="1"/>
        <v>UN0</v>
      </c>
      <c r="P79" s="564">
        <f ca="1"/>
        <v>-4939.1941192999993</v>
      </c>
      <c r="Q79" t="str">
        <f ca="1"/>
        <v>SSYS</v>
      </c>
      <c r="R79" s="656">
        <f ca="1"/>
        <v>-7.1209047619047684E-3</v>
      </c>
      <c r="S79" t="str">
        <f ca="1"/>
        <v>HPE</v>
      </c>
      <c r="T79" s="87">
        <f ca="1"/>
        <v>-1760</v>
      </c>
      <c r="U79" t="str">
        <f ca="1"/>
        <v>MVESAP</v>
      </c>
      <c r="V79" s="87">
        <f ca="1"/>
        <v>-5092.6999999999971</v>
      </c>
      <c r="W79" t="str">
        <f ca="1"/>
        <v>NVS</v>
      </c>
      <c r="X79">
        <f ca="1"/>
        <v>15</v>
      </c>
      <c r="Y79" t="str">
        <f ca="1"/>
        <v>NFLX</v>
      </c>
      <c r="Z79">
        <f ca="1"/>
        <v>17</v>
      </c>
      <c r="AA79" t="str">
        <f ca="1"/>
        <v>MVEEPIX</v>
      </c>
      <c r="AB79">
        <f ca="1"/>
        <v>44</v>
      </c>
      <c r="AC79" t="str">
        <f ca="1"/>
        <v>NVS</v>
      </c>
      <c r="AD79">
        <f ca="1"/>
        <v>42</v>
      </c>
      <c r="AE79" t="str">
        <f ca="1"/>
        <v>RIG</v>
      </c>
      <c r="AF79" s="87">
        <f ca="1"/>
        <v>-141682.666</v>
      </c>
      <c r="AG79" t="str">
        <f ca="1"/>
        <v>DSY</v>
      </c>
      <c r="AH79" s="87">
        <f ca="1"/>
        <v>-1899.9999999999986</v>
      </c>
      <c r="AI79" t="str">
        <f ca="1"/>
        <v>F</v>
      </c>
      <c r="AJ79" s="87">
        <f ca="1"/>
        <v>-5460.0000000000009</v>
      </c>
      <c r="AK79" s="90" t="str">
        <f ca="1"/>
        <v>SSYS</v>
      </c>
      <c r="AL79" s="312">
        <f ca="1"/>
        <v>-7.1209047619047684E-3</v>
      </c>
      <c r="AM79" t="str">
        <f ca="1"/>
        <v>DXC</v>
      </c>
      <c r="AN79" s="312">
        <f ca="1"/>
        <v>-0.14495903424333281</v>
      </c>
      <c r="AO79" t="str">
        <f ca="1"/>
        <v>XPER</v>
      </c>
      <c r="AP79" s="312">
        <f ca="1"/>
        <v>0.23680029985007497</v>
      </c>
      <c r="AQ79" s="87" t="str">
        <f ca="1"/>
        <v>DXC</v>
      </c>
      <c r="AR79" s="90">
        <f ca="1"/>
        <v>-0.2409295437717153</v>
      </c>
      <c r="AS79" s="94" t="str">
        <f ca="1"/>
        <v>MVEEOAN</v>
      </c>
      <c r="AT79" s="90">
        <f ca="1"/>
        <v>0</v>
      </c>
    </row>
    <row r="80" spans="2:46">
      <c r="B80" s="1" t="str" cm="1">
        <f t="array" aca="1" ref="B80" ca="1">INDIRECT("SORTING!" &amp; ADDRESS(ROW(), A$2+3))</f>
        <v>GS</v>
      </c>
      <c r="C80" s="1" t="str">
        <f ca="1">_xlfn.XLOOKUP(D80,[1]!RTData[Ticker symbol],[1]!RTData[Currency])</f>
        <v>USD</v>
      </c>
      <c r="D80" s="153" t="str">
        <f ca="1">TabCalc[[#This Row],[Ticker]]</f>
        <v>GS</v>
      </c>
      <c r="E80" t="str">
        <f ca="1"/>
        <v>OXY</v>
      </c>
      <c r="F80" s="563">
        <f ca="1"/>
        <v>0.57867052995526091</v>
      </c>
      <c r="G80" s="153" t="str">
        <f ca="1"/>
        <v>XPER</v>
      </c>
      <c r="H80" s="564">
        <f ca="1"/>
        <v>-55790.62999999999</v>
      </c>
      <c r="I80" t="str">
        <f ca="1"/>
        <v>SAFDIS</v>
      </c>
      <c r="J80" s="565">
        <f ca="1"/>
        <v>-1.2032000000000001E-2</v>
      </c>
      <c r="K80" s="153" t="str">
        <f ca="1"/>
        <v>SAFDIS</v>
      </c>
      <c r="L80" s="565">
        <f ca="1"/>
        <v>-1.1944E-2</v>
      </c>
      <c r="M80" s="1" t="str">
        <f ca="1"/>
        <v>NEE</v>
      </c>
      <c r="N80" s="564">
        <f ca="1"/>
        <v>-99828.391836734692</v>
      </c>
      <c r="O80" t="str">
        <f ca="1"/>
        <v>RIG</v>
      </c>
      <c r="P80" s="564">
        <f ca="1"/>
        <v>-5784.8202600000013</v>
      </c>
      <c r="Q80" t="str">
        <f ca="1"/>
        <v>POET</v>
      </c>
      <c r="R80" s="656">
        <f ca="1"/>
        <v>-7.1451666666666608E-3</v>
      </c>
      <c r="S80" t="str">
        <f ca="1"/>
        <v>SHECY</v>
      </c>
      <c r="T80" s="87">
        <f ca="1"/>
        <v>-1789.4400000000023</v>
      </c>
      <c r="U80" t="str">
        <f ca="1"/>
        <v>SAFASML</v>
      </c>
      <c r="V80" s="87">
        <f ca="1"/>
        <v>-5150</v>
      </c>
      <c r="W80" t="str">
        <f ca="1"/>
        <v>ALDNE</v>
      </c>
      <c r="X80">
        <f ca="1"/>
        <v>16</v>
      </c>
      <c r="Y80" t="str">
        <f ca="1"/>
        <v>UN0</v>
      </c>
      <c r="Z80">
        <f ca="1"/>
        <v>17</v>
      </c>
      <c r="AA80" t="str">
        <f ca="1"/>
        <v>GS</v>
      </c>
      <c r="AB80">
        <f ca="1"/>
        <v>44</v>
      </c>
      <c r="AC80" t="str">
        <f ca="1"/>
        <v>PAAS</v>
      </c>
      <c r="AD80">
        <f ca="1"/>
        <v>40</v>
      </c>
      <c r="AE80" t="str">
        <f ca="1"/>
        <v>OXY</v>
      </c>
      <c r="AF80" s="87">
        <f ca="1"/>
        <v>-155497.42180000001</v>
      </c>
      <c r="AG80" t="str">
        <f ca="1"/>
        <v>UN0</v>
      </c>
      <c r="AH80" s="87">
        <f ca="1"/>
        <v>-2481.7449999999994</v>
      </c>
      <c r="AI80" t="str">
        <f ca="1"/>
        <v>THC</v>
      </c>
      <c r="AJ80" s="87">
        <f ca="1"/>
        <v>-5840.0000000000036</v>
      </c>
      <c r="AK80" s="90" t="str">
        <f ca="1"/>
        <v>POET</v>
      </c>
      <c r="AL80" s="312">
        <f ca="1"/>
        <v>-7.1451666666666608E-3</v>
      </c>
      <c r="AM80" t="str">
        <f ca="1"/>
        <v>DSY</v>
      </c>
      <c r="AN80" s="312">
        <f ca="1"/>
        <v>-0.14535224873223043</v>
      </c>
      <c r="AO80" t="str">
        <f ca="1"/>
        <v>OXY</v>
      </c>
      <c r="AP80" s="312">
        <f ca="1"/>
        <v>0.27375600187925764</v>
      </c>
      <c r="AQ80" s="87" t="str">
        <f ca="1"/>
        <v>MVEGLE</v>
      </c>
      <c r="AR80" s="90">
        <f ca="1"/>
        <v>-0.25175860792299398</v>
      </c>
      <c r="AS80" s="94" t="str">
        <f ca="1"/>
        <v>MVEEPIX</v>
      </c>
      <c r="AT80" s="90">
        <f ca="1"/>
        <v>0</v>
      </c>
    </row>
    <row r="81" spans="2:46">
      <c r="B81" s="1" t="str" cm="1">
        <f t="array" aca="1" ref="B81" ca="1">INDIRECT("SORTING!" &amp; ADDRESS(ROW(), A$2+3))</f>
        <v>LAZR</v>
      </c>
      <c r="C81" s="1" t="str">
        <f ca="1">_xlfn.XLOOKUP(D81,[1]!RTData[Ticker symbol],[1]!RTData[Currency])</f>
        <v>USD</v>
      </c>
      <c r="D81" s="153" t="str">
        <f ca="1">TabCalc[[#This Row],[Ticker]]</f>
        <v>LAZR</v>
      </c>
      <c r="E81" t="str">
        <f ca="1"/>
        <v>BLDP</v>
      </c>
      <c r="F81" s="563">
        <f ca="1"/>
        <v>0.56929470019675199</v>
      </c>
      <c r="G81" s="153" t="str">
        <f ca="1"/>
        <v>OXY</v>
      </c>
      <c r="H81" s="564">
        <f ca="1"/>
        <v>-64038.826000000001</v>
      </c>
      <c r="I81" t="str">
        <f ca="1"/>
        <v>ALDNE</v>
      </c>
      <c r="J81" s="565">
        <f ca="1"/>
        <v>-1.4319999999999999E-2</v>
      </c>
      <c r="K81" s="153" t="str">
        <f ca="1"/>
        <v>ALDNE</v>
      </c>
      <c r="L81" s="565">
        <f ca="1"/>
        <v>-1.4319999999999999E-2</v>
      </c>
      <c r="M81" s="1" t="str">
        <f ca="1"/>
        <v>SAFMRNA</v>
      </c>
      <c r="N81" s="564">
        <f ca="1"/>
        <v>-174970.57550000001</v>
      </c>
      <c r="O81" t="str">
        <f ca="1"/>
        <v>DIS</v>
      </c>
      <c r="P81" s="564">
        <f ca="1"/>
        <v>-6143.9839999999904</v>
      </c>
      <c r="Q81" t="str">
        <f ca="1"/>
        <v>SAFMRNA</v>
      </c>
      <c r="R81" s="656">
        <f ca="1"/>
        <v>-8.2668452380952381E-3</v>
      </c>
      <c r="S81" t="str">
        <f ca="1"/>
        <v>MVEGLE</v>
      </c>
      <c r="T81" s="87">
        <f ca="1"/>
        <v>-1820</v>
      </c>
      <c r="U81" t="str">
        <f ca="1"/>
        <v>MVEDDD</v>
      </c>
      <c r="V81" s="87">
        <f ca="1"/>
        <v>-5949.9999999999964</v>
      </c>
      <c r="W81" t="str">
        <f ca="1"/>
        <v>LNSR</v>
      </c>
      <c r="X81">
        <f ca="1"/>
        <v>16</v>
      </c>
      <c r="Y81" t="str">
        <f ca="1"/>
        <v>MVEDSY</v>
      </c>
      <c r="Z81">
        <f ca="1"/>
        <v>17</v>
      </c>
      <c r="AA81" t="str">
        <f ca="1"/>
        <v>DIS</v>
      </c>
      <c r="AB81">
        <f ca="1"/>
        <v>43</v>
      </c>
      <c r="AC81" t="str">
        <f ca="1"/>
        <v>NVAX</v>
      </c>
      <c r="AD81">
        <f ca="1"/>
        <v>40</v>
      </c>
      <c r="AE81" t="str">
        <f ca="1"/>
        <v>MVEALDNE</v>
      </c>
      <c r="AF81" s="87">
        <f ca="1"/>
        <v>-175036.84277200006</v>
      </c>
      <c r="AG81" t="str">
        <f ca="1"/>
        <v>NOTE</v>
      </c>
      <c r="AH81" s="87">
        <f ca="1"/>
        <v>-2575.0000000000005</v>
      </c>
      <c r="AI81" t="str">
        <f ca="1"/>
        <v>MVEGLE</v>
      </c>
      <c r="AJ81" s="87">
        <f ca="1"/>
        <v>-6210.0000000000009</v>
      </c>
      <c r="AK81" s="90" t="str">
        <f ca="1"/>
        <v>SAFMRNA</v>
      </c>
      <c r="AL81" s="312">
        <f ca="1"/>
        <v>-8.2668452380952381E-3</v>
      </c>
      <c r="AM81" t="str">
        <f ca="1"/>
        <v>OXY</v>
      </c>
      <c r="AN81" s="312">
        <f ca="1"/>
        <v>-0.21595657940929763</v>
      </c>
      <c r="AO81" t="str">
        <f ca="1"/>
        <v>MVEDSY</v>
      </c>
      <c r="AP81" s="312">
        <f ca="1"/>
        <v>0.30676161930712342</v>
      </c>
      <c r="AQ81" s="87" t="str">
        <f ca="1"/>
        <v>MVESAP</v>
      </c>
      <c r="AR81" s="90">
        <f ca="1"/>
        <v>-0.26506681210799032</v>
      </c>
      <c r="AS81" s="94" t="str">
        <f ca="1"/>
        <v>MVEORA</v>
      </c>
      <c r="AT81" s="90">
        <f ca="1"/>
        <v>0</v>
      </c>
    </row>
    <row r="82" spans="2:46">
      <c r="B82" s="1" t="str" cm="1">
        <f t="array" aca="1" ref="B82" ca="1">INDIRECT("SORTING!" &amp; ADDRESS(ROW(), A$2+3))</f>
        <v>LUV</v>
      </c>
      <c r="C82" s="1" t="str">
        <f ca="1">_xlfn.XLOOKUP(D82,[1]!RTData[Ticker symbol],[1]!RTData[Currency])</f>
        <v>USD</v>
      </c>
      <c r="D82" s="153" t="str">
        <f ca="1">TabCalc[[#This Row],[Ticker]]</f>
        <v>LUV</v>
      </c>
      <c r="E82" t="str">
        <f ca="1"/>
        <v>VTRS</v>
      </c>
      <c r="F82" s="563">
        <f ca="1"/>
        <v>0.56862767858430829</v>
      </c>
      <c r="G82" s="153" t="str">
        <f ca="1"/>
        <v>NVAX</v>
      </c>
      <c r="H82" s="564">
        <f ca="1"/>
        <v>-78828.899999999994</v>
      </c>
      <c r="I82" t="str">
        <f ca="1"/>
        <v>MVEALDNE</v>
      </c>
      <c r="J82" s="565">
        <f ca="1"/>
        <v>-1.4319999999999999E-2</v>
      </c>
      <c r="K82" s="153" t="str">
        <f ca="1"/>
        <v>MVEALDNE</v>
      </c>
      <c r="L82" s="565">
        <f ca="1"/>
        <v>-1.4319999999999999E-2</v>
      </c>
      <c r="M82" s="1" t="str">
        <f ca="1"/>
        <v>TSM</v>
      </c>
      <c r="N82" s="564">
        <f ca="1"/>
        <v>-199440.00000000006</v>
      </c>
      <c r="O82" t="str">
        <f ca="1"/>
        <v>DSY</v>
      </c>
      <c r="P82" s="564">
        <f ca="1"/>
        <v>-6882.0599999999977</v>
      </c>
      <c r="Q82" t="str">
        <f ca="1"/>
        <v>RWE</v>
      </c>
      <c r="R82" s="656">
        <f ca="1"/>
        <v>-8.6514047619047612E-3</v>
      </c>
      <c r="S82" t="str">
        <f ca="1"/>
        <v>SAFDIS</v>
      </c>
      <c r="T82" s="87">
        <f ca="1"/>
        <v>-1860</v>
      </c>
      <c r="U82" t="str">
        <f ca="1"/>
        <v>ALDNE</v>
      </c>
      <c r="V82" s="87">
        <f ca="1"/>
        <v>-10119.999999999302</v>
      </c>
      <c r="W82" t="str">
        <f ca="1"/>
        <v>PAAS</v>
      </c>
      <c r="X82">
        <f ca="1"/>
        <v>16</v>
      </c>
      <c r="Y82" t="str">
        <f ca="1"/>
        <v>MVEUN0</v>
      </c>
      <c r="Z82">
        <f ca="1"/>
        <v>17</v>
      </c>
      <c r="AA82" t="str">
        <f ca="1"/>
        <v>SAFDIS</v>
      </c>
      <c r="AB82">
        <f ca="1"/>
        <v>43</v>
      </c>
      <c r="AC82" t="str">
        <f ca="1"/>
        <v>BLNK</v>
      </c>
      <c r="AD82">
        <f ca="1"/>
        <v>39</v>
      </c>
      <c r="AE82" t="str">
        <f ca="1"/>
        <v>AET</v>
      </c>
      <c r="AF82" s="87">
        <f ca="1"/>
        <v>-180574.13640880003</v>
      </c>
      <c r="AG82" t="str">
        <f ca="1"/>
        <v>MVEALDNE</v>
      </c>
      <c r="AH82" s="87">
        <f ca="1"/>
        <v>-2645.7300000000018</v>
      </c>
      <c r="AI82" t="str">
        <f ca="1"/>
        <v>RRC</v>
      </c>
      <c r="AJ82" s="87">
        <f ca="1"/>
        <v>-8804.9999999999782</v>
      </c>
      <c r="AK82" s="90" t="str">
        <f ca="1"/>
        <v>RWE</v>
      </c>
      <c r="AL82" s="312">
        <f ca="1"/>
        <v>-8.6514047619047612E-3</v>
      </c>
      <c r="AM82" t="str">
        <f ca="1"/>
        <v>MVEDSY</v>
      </c>
      <c r="AN82" s="312">
        <f ca="1"/>
        <v>-0.23565474544778894</v>
      </c>
      <c r="AO82" t="str">
        <f ca="1"/>
        <v>UN0</v>
      </c>
      <c r="AP82" s="312">
        <f ca="1"/>
        <v>0.37714626865671652</v>
      </c>
      <c r="AQ82" s="87" t="str">
        <f ca="1"/>
        <v>NEM</v>
      </c>
      <c r="AR82" s="90">
        <f ca="1"/>
        <v>-0.28383384428119762</v>
      </c>
      <c r="AS82" s="94" t="str">
        <f ca="1"/>
        <v>MVERWE</v>
      </c>
      <c r="AT82" s="90">
        <f ca="1"/>
        <v>0</v>
      </c>
    </row>
    <row r="83" spans="2:46">
      <c r="B83" s="1" t="str" cm="1">
        <f t="array" aca="1" ref="B83" ca="1">INDIRECT("SORTING!" &amp; ADDRESS(ROW(), A$2+3))</f>
        <v>MA</v>
      </c>
      <c r="C83" s="1" t="str">
        <f ca="1">_xlfn.XLOOKUP(D83,[1]!RTData[Ticker symbol],[1]!RTData[Currency])</f>
        <v>USD</v>
      </c>
      <c r="D83" s="153" t="str">
        <f ca="1">TabCalc[[#This Row],[Ticker]]</f>
        <v>MA</v>
      </c>
      <c r="E83" t="str">
        <f ca="1"/>
        <v>HPE</v>
      </c>
      <c r="F83" s="563">
        <f ca="1"/>
        <v>0.56340141882800843</v>
      </c>
      <c r="G83" s="153" t="str">
        <f ca="1"/>
        <v>VTRS</v>
      </c>
      <c r="H83" s="564">
        <f ca="1"/>
        <v>-81293.949999999953</v>
      </c>
      <c r="I83" t="str">
        <f ca="1"/>
        <v>MVEORA</v>
      </c>
      <c r="J83" s="565">
        <f ca="1"/>
        <v>-1.6254000000000001E-2</v>
      </c>
      <c r="K83" s="153" t="str">
        <f ca="1"/>
        <v>MVEORA</v>
      </c>
      <c r="L83" s="565">
        <f ca="1"/>
        <v>-1.6254000000000001E-2</v>
      </c>
      <c r="M83" s="1" t="str">
        <f ca="1"/>
        <v>MVEALDNE</v>
      </c>
      <c r="N83" s="564">
        <f ca="1"/>
        <v>-221294.79707400003</v>
      </c>
      <c r="O83" t="str">
        <f ca="1"/>
        <v>MVEUN0</v>
      </c>
      <c r="P83" s="564">
        <f ca="1"/>
        <v>-7680.6183359999995</v>
      </c>
      <c r="Q83" t="str">
        <f ca="1"/>
        <v>MRNA</v>
      </c>
      <c r="R83" s="656">
        <f ca="1"/>
        <v>-9.2579404761904752E-3</v>
      </c>
      <c r="S83" t="str">
        <f ca="1"/>
        <v>DSY</v>
      </c>
      <c r="T83" s="87">
        <f ca="1"/>
        <v>-2440</v>
      </c>
      <c r="U83" t="str">
        <f ca="1"/>
        <v>MVEDSY</v>
      </c>
      <c r="V83" s="87">
        <f ca="1"/>
        <v>-11280</v>
      </c>
      <c r="W83" t="str">
        <f ca="1"/>
        <v>MVEALDNE</v>
      </c>
      <c r="X83">
        <f ca="1"/>
        <v>16</v>
      </c>
      <c r="Y83" t="str">
        <f ca="1"/>
        <v>DIS</v>
      </c>
      <c r="Z83">
        <f ca="1"/>
        <v>18</v>
      </c>
      <c r="AA83" t="str">
        <f ca="1"/>
        <v>LUV</v>
      </c>
      <c r="AB83">
        <f ca="1"/>
        <v>43</v>
      </c>
      <c r="AC83" t="str">
        <f ca="1"/>
        <v>ALDNE</v>
      </c>
      <c r="AD83">
        <f ca="1"/>
        <v>37</v>
      </c>
      <c r="AE83" t="str">
        <f ca="1"/>
        <v>NOTE</v>
      </c>
      <c r="AF83" s="87">
        <f ca="1"/>
        <v>-215812.54749999999</v>
      </c>
      <c r="AG83" t="str">
        <f ca="1"/>
        <v>PW</v>
      </c>
      <c r="AH83" s="87">
        <f ca="1"/>
        <v>-2654.6520000000005</v>
      </c>
      <c r="AI83" t="str">
        <f ca="1"/>
        <v>LNSR</v>
      </c>
      <c r="AJ83" s="87">
        <f ca="1"/>
        <v>-10530</v>
      </c>
      <c r="AK83" s="90" t="str">
        <f ca="1"/>
        <v>MRNA</v>
      </c>
      <c r="AL83" s="312">
        <f ca="1"/>
        <v>-9.2579404761904752E-3</v>
      </c>
      <c r="AM83" t="str">
        <f ca="1"/>
        <v>UN0</v>
      </c>
      <c r="AN83" s="312">
        <f ca="1"/>
        <v>-0.27451346451326769</v>
      </c>
      <c r="AO83" t="str">
        <f ca="1"/>
        <v>MVEUN0</v>
      </c>
      <c r="AP83" s="312">
        <f ca="1"/>
        <v>0.38846580194266772</v>
      </c>
      <c r="AQ83" s="87" t="str">
        <f ca="1"/>
        <v>DIS</v>
      </c>
      <c r="AR83" s="90">
        <f ca="1"/>
        <v>-0.28479062740033506</v>
      </c>
      <c r="AS83" s="94" t="str">
        <f ca="1"/>
        <v>MVEUN0</v>
      </c>
      <c r="AT83" s="90">
        <f ca="1"/>
        <v>0</v>
      </c>
    </row>
    <row r="84" spans="2:46">
      <c r="B84" s="1" t="str" cm="1">
        <f t="array" aca="1" ref="B84" ca="1">INDIRECT("SORTING!" &amp; ADDRESS(ROW(), A$2+3))</f>
        <v>NVAX</v>
      </c>
      <c r="C84" s="1" t="str">
        <f ca="1">_xlfn.XLOOKUP(D84,[1]!RTData[Ticker symbol],[1]!RTData[Currency])</f>
        <v>USD</v>
      </c>
      <c r="D84" s="153" t="str">
        <f ca="1">TabCalc[[#This Row],[Ticker]]</f>
        <v>NVAX</v>
      </c>
      <c r="E84" t="str">
        <f ca="1"/>
        <v>EZJ</v>
      </c>
      <c r="F84" s="563">
        <f ca="1"/>
        <v>0.52718982051715924</v>
      </c>
      <c r="G84" s="153" t="str">
        <f ca="1"/>
        <v>MVEDSY</v>
      </c>
      <c r="H84" s="564">
        <f ca="1"/>
        <v>-91267.396000000008</v>
      </c>
      <c r="I84" t="str">
        <f ca="1"/>
        <v>ORA</v>
      </c>
      <c r="J84" s="565">
        <f ca="1"/>
        <v>-1.6254000000000001E-2</v>
      </c>
      <c r="K84" s="153" t="str">
        <f ca="1"/>
        <v>ORA</v>
      </c>
      <c r="L84" s="565">
        <f ca="1"/>
        <v>-1.6254000000000001E-2</v>
      </c>
      <c r="M84" s="1" t="str">
        <f ca="1"/>
        <v>HPE</v>
      </c>
      <c r="N84" s="564">
        <f ca="1"/>
        <v>-254936.00000000003</v>
      </c>
      <c r="O84" t="str">
        <f ca="1"/>
        <v>DVA</v>
      </c>
      <c r="P84" s="564">
        <f ca="1"/>
        <v>-8988.5687999999991</v>
      </c>
      <c r="Q84" t="str">
        <f ca="1"/>
        <v>PAAS</v>
      </c>
      <c r="R84" s="656">
        <f ca="1"/>
        <v>-9.5039047619047551E-3</v>
      </c>
      <c r="S84" t="str">
        <f ca="1"/>
        <v>UN0</v>
      </c>
      <c r="T84" s="87">
        <f ca="1"/>
        <v>-2550</v>
      </c>
      <c r="U84" t="str">
        <f ca="1"/>
        <v>SSYS</v>
      </c>
      <c r="V84" s="87">
        <f ca="1"/>
        <v>-11693.760000000009</v>
      </c>
      <c r="W84" t="str">
        <f ca="1"/>
        <v>AZN</v>
      </c>
      <c r="X84">
        <f ca="1"/>
        <v>17</v>
      </c>
      <c r="Y84" t="str">
        <f ca="1"/>
        <v>NEM</v>
      </c>
      <c r="Z84">
        <f ca="1"/>
        <v>18</v>
      </c>
      <c r="AA84" t="str">
        <f ca="1"/>
        <v>LNSR</v>
      </c>
      <c r="AB84">
        <f ca="1"/>
        <v>42</v>
      </c>
      <c r="AC84" t="str">
        <f ca="1"/>
        <v>VLVLY</v>
      </c>
      <c r="AD84">
        <f ca="1"/>
        <v>37</v>
      </c>
      <c r="AE84" t="str">
        <f ca="1"/>
        <v>ENI</v>
      </c>
      <c r="AF84" s="87">
        <f ca="1"/>
        <v>-215978.81759999992</v>
      </c>
      <c r="AG84" t="str">
        <f ca="1"/>
        <v>DIS</v>
      </c>
      <c r="AH84" s="87">
        <f ca="1"/>
        <v>-3373.9999999999895</v>
      </c>
      <c r="AI84" t="str">
        <f ca="1"/>
        <v>MVEEOAN</v>
      </c>
      <c r="AJ84" s="87">
        <f ca="1"/>
        <v>-10539.750000000002</v>
      </c>
      <c r="AK84" s="90" t="str">
        <f ca="1"/>
        <v>PAAS</v>
      </c>
      <c r="AL84" s="312">
        <f ca="1"/>
        <v>-9.5039047619047551E-3</v>
      </c>
      <c r="AM84" t="str">
        <f ca="1"/>
        <v>MVEUN0</v>
      </c>
      <c r="AN84" s="312">
        <f ca="1"/>
        <v>-0.28039581615255071</v>
      </c>
      <c r="AO84" t="str">
        <f ca="1"/>
        <v>ALDNE</v>
      </c>
      <c r="AP84" s="312">
        <f ca="1"/>
        <v>0.41019036131253866</v>
      </c>
      <c r="AQ84" s="87" t="str">
        <f ca="1"/>
        <v>NFLX</v>
      </c>
      <c r="AR84" s="90">
        <f ca="1"/>
        <v>-0.35938297717162293</v>
      </c>
      <c r="AS84" s="94" t="str">
        <f ca="1"/>
        <v>SAFAAPL</v>
      </c>
      <c r="AT84" s="90">
        <f ca="1"/>
        <v>0</v>
      </c>
    </row>
    <row r="85" spans="2:46">
      <c r="B85" s="1" t="str" cm="1">
        <f t="array" aca="1" ref="B85" ca="1">INDIRECT("SORTING!" &amp; ADDRESS(ROW(), A$2+3))</f>
        <v>NVS</v>
      </c>
      <c r="C85" s="1" t="str">
        <f ca="1">_xlfn.XLOOKUP(D85,[1]!RTData[Ticker symbol],[1]!RTData[Currency])</f>
        <v>USD</v>
      </c>
      <c r="D85" s="153" t="str">
        <f ca="1">TabCalc[[#This Row],[Ticker]]</f>
        <v>NVS</v>
      </c>
      <c r="E85" t="str">
        <f ca="1"/>
        <v>PAAS</v>
      </c>
      <c r="F85" s="563">
        <f ca="1"/>
        <v>0.52479457239055072</v>
      </c>
      <c r="G85" s="153" t="str">
        <f ca="1"/>
        <v>BMRA</v>
      </c>
      <c r="H85" s="564">
        <f ca="1"/>
        <v>-121995</v>
      </c>
      <c r="I85" t="str">
        <f ca="1"/>
        <v>NOTE</v>
      </c>
      <c r="J85" s="565">
        <f ca="1"/>
        <v>-1.6972000000000001E-2</v>
      </c>
      <c r="K85" s="153" t="str">
        <f ca="1"/>
        <v>NFLX</v>
      </c>
      <c r="L85" s="565">
        <f ca="1"/>
        <v>-1.6972000000000001E-2</v>
      </c>
      <c r="M85" s="1" t="str">
        <f ca="1"/>
        <v>UNIT</v>
      </c>
      <c r="N85" s="564">
        <f ca="1"/>
        <v>-257561.29725</v>
      </c>
      <c r="O85" t="str">
        <f ca="1"/>
        <v>OXY</v>
      </c>
      <c r="P85" s="564">
        <f ca="1"/>
        <v>-9265.8459999999995</v>
      </c>
      <c r="Q85" t="str">
        <f ca="1"/>
        <v>BMRA</v>
      </c>
      <c r="R85" s="656">
        <f ca="1"/>
        <v>-9.9924166666666668E-3</v>
      </c>
      <c r="S85" t="str">
        <f ca="1"/>
        <v>TSM</v>
      </c>
      <c r="T85" s="87">
        <f ca="1"/>
        <v>-2928</v>
      </c>
      <c r="U85" t="str">
        <f ca="1"/>
        <v>KR</v>
      </c>
      <c r="V85" s="87">
        <f ca="1"/>
        <v>-11920</v>
      </c>
      <c r="W85" t="str">
        <f ca="1"/>
        <v>EOAN</v>
      </c>
      <c r="X85">
        <f ca="1"/>
        <v>17</v>
      </c>
      <c r="Y85" t="str">
        <f ca="1"/>
        <v>TSLA</v>
      </c>
      <c r="Z85">
        <f ca="1"/>
        <v>18</v>
      </c>
      <c r="AA85" t="str">
        <f ca="1"/>
        <v>PAAS</v>
      </c>
      <c r="AB85">
        <f ca="1"/>
        <v>42</v>
      </c>
      <c r="AC85" t="str">
        <f ca="1"/>
        <v>MVEALDNE</v>
      </c>
      <c r="AD85">
        <f ca="1"/>
        <v>37</v>
      </c>
      <c r="AE85" t="str">
        <f ca="1"/>
        <v>BLNK</v>
      </c>
      <c r="AF85" s="87">
        <f ca="1"/>
        <v>-232041.77000000002</v>
      </c>
      <c r="AG85" t="str">
        <f ca="1"/>
        <v>MVESAP</v>
      </c>
      <c r="AH85" s="87">
        <f ca="1"/>
        <v>-3510.0000000000023</v>
      </c>
      <c r="AI85" t="str">
        <f ca="1"/>
        <v>NVS</v>
      </c>
      <c r="AJ85" s="87">
        <f ca="1"/>
        <v>-10939.800000000008</v>
      </c>
      <c r="AK85" s="90" t="str">
        <f ca="1"/>
        <v>BMRA</v>
      </c>
      <c r="AL85" s="312">
        <f ca="1"/>
        <v>-9.9924166666666668E-3</v>
      </c>
      <c r="AM85" t="str">
        <f ca="1"/>
        <v>ALDNE</v>
      </c>
      <c r="AN85" s="312">
        <f ca="1"/>
        <v>-0.29142123109519547</v>
      </c>
      <c r="AO85" t="str">
        <f ca="1"/>
        <v>PW</v>
      </c>
      <c r="AP85" s="312">
        <f ca="1"/>
        <v>0.41258250829462512</v>
      </c>
      <c r="AQ85" s="87" t="str">
        <f ca="1"/>
        <v>SAFMRNA</v>
      </c>
      <c r="AR85" s="90">
        <f ca="1"/>
        <v>-0.40425072426608433</v>
      </c>
      <c r="AS85" s="94" t="str">
        <f ca="1"/>
        <v>SAFASML</v>
      </c>
      <c r="AT85" s="90">
        <f ca="1"/>
        <v>0</v>
      </c>
    </row>
    <row r="86" spans="2:46">
      <c r="B86" s="1" t="str" cm="1">
        <f t="array" aca="1" ref="B86" ca="1">INDIRECT("SORTING!" &amp; ADDRESS(ROW(), A$2+3))</f>
        <v>ORA</v>
      </c>
      <c r="C86" s="1" t="str">
        <f ca="1">_xlfn.XLOOKUP(D86,[1]!RTData[Ticker symbol],[1]!RTData[Currency])</f>
        <v>EUR</v>
      </c>
      <c r="D86" s="153" t="str">
        <f ca="1">TabCalc[[#This Row],[Ticker]]</f>
        <v>ORA</v>
      </c>
      <c r="E86" t="str">
        <f ca="1"/>
        <v>RIGL</v>
      </c>
      <c r="F86" s="563">
        <f ca="1"/>
        <v>0.48854361342578145</v>
      </c>
      <c r="G86" s="153" t="str">
        <f ca="1"/>
        <v>NOTE</v>
      </c>
      <c r="H86" s="564">
        <f ca="1"/>
        <v>-135070.57749999998</v>
      </c>
      <c r="I86" t="str">
        <f ca="1"/>
        <v>PAAS</v>
      </c>
      <c r="J86" s="565">
        <f ca="1"/>
        <v>-1.7978000000000001E-2</v>
      </c>
      <c r="K86" s="153" t="str">
        <f ca="1"/>
        <v>NOTE</v>
      </c>
      <c r="L86" s="565">
        <f ca="1"/>
        <v>-1.7978000000000001E-2</v>
      </c>
      <c r="M86" s="1" t="str">
        <f ca="1"/>
        <v>LAZR</v>
      </c>
      <c r="N86" s="564">
        <f ca="1"/>
        <v>-301938.88</v>
      </c>
      <c r="O86" t="str">
        <f ca="1"/>
        <v>PFE</v>
      </c>
      <c r="P86" s="564">
        <f ca="1"/>
        <v>-10308.948862799998</v>
      </c>
      <c r="Q86" t="str">
        <f ca="1"/>
        <v>PW</v>
      </c>
      <c r="R86" s="656">
        <f ca="1"/>
        <v>-1.02581488095238E-2</v>
      </c>
      <c r="S86" t="str">
        <f ca="1"/>
        <v>NOTE</v>
      </c>
      <c r="T86" s="87">
        <f ca="1"/>
        <v>-2933.3700000000099</v>
      </c>
      <c r="U86" t="str">
        <f ca="1"/>
        <v>PW</v>
      </c>
      <c r="V86" s="87">
        <f ca="1"/>
        <v>-17565</v>
      </c>
      <c r="W86" t="str">
        <f ca="1"/>
        <v>NOTE</v>
      </c>
      <c r="X86">
        <f ca="1"/>
        <v>17</v>
      </c>
      <c r="Y86" t="str">
        <f ca="1"/>
        <v>SAFDIS</v>
      </c>
      <c r="Z86">
        <f ca="1"/>
        <v>18</v>
      </c>
      <c r="AA86" t="str">
        <f ca="1"/>
        <v>UNIT</v>
      </c>
      <c r="AB86">
        <f ca="1"/>
        <v>42</v>
      </c>
      <c r="AC86" t="str">
        <f ca="1"/>
        <v>DSY</v>
      </c>
      <c r="AD86">
        <f ca="1"/>
        <v>34</v>
      </c>
      <c r="AE86" t="str">
        <f ca="1"/>
        <v>SAFMRNA</v>
      </c>
      <c r="AF86" s="87">
        <f ca="1"/>
        <v>-235077.74099999998</v>
      </c>
      <c r="AG86" t="str">
        <f ca="1"/>
        <v>DXC</v>
      </c>
      <c r="AH86" s="87">
        <f ca="1"/>
        <v>-3760.000000000005</v>
      </c>
      <c r="AI86" t="str">
        <f ca="1"/>
        <v>SAFASML</v>
      </c>
      <c r="AJ86" s="87">
        <f ca="1"/>
        <v>-12646.799999999996</v>
      </c>
      <c r="AK86" s="90" t="str">
        <f ca="1"/>
        <v>PW</v>
      </c>
      <c r="AL86" s="312">
        <f ca="1"/>
        <v>-1.02581488095238E-2</v>
      </c>
      <c r="AM86" t="str">
        <f ca="1"/>
        <v>PW</v>
      </c>
      <c r="AN86" s="312">
        <f ca="1"/>
        <v>-0.29261457892952381</v>
      </c>
      <c r="AO86" t="str">
        <f ca="1"/>
        <v>MVEALDNE</v>
      </c>
      <c r="AP86" s="312">
        <f ca="1"/>
        <v>0.52791757743149625</v>
      </c>
      <c r="AQ86" s="87" t="str">
        <f ca="1"/>
        <v>MVEDSY</v>
      </c>
      <c r="AR86" s="90">
        <f ca="1"/>
        <v>-0.44233001703355695</v>
      </c>
      <c r="AS86" s="94" t="str">
        <f ca="1"/>
        <v>SAFDDD</v>
      </c>
      <c r="AT86" s="90">
        <f ca="1"/>
        <v>0</v>
      </c>
    </row>
    <row r="87" spans="2:46">
      <c r="B87" s="1" t="str" cm="1">
        <f t="array" aca="1" ref="B87" ca="1">INDIRECT("SORTING!" &amp; ADDRESS(ROW(), A$2+3))</f>
        <v>OXY</v>
      </c>
      <c r="C87" s="1" t="str">
        <f ca="1">_xlfn.XLOOKUP(D87,[1]!RTData[Ticker symbol],[1]!RTData[Currency])</f>
        <v>USD</v>
      </c>
      <c r="D87" s="153" t="str">
        <f ca="1">TabCalc[[#This Row],[Ticker]]</f>
        <v>OXY</v>
      </c>
      <c r="E87" t="str">
        <f ca="1"/>
        <v>PFE</v>
      </c>
      <c r="F87" s="563">
        <f ca="1"/>
        <v>0.46671560948294799</v>
      </c>
      <c r="G87" s="153" t="str">
        <f ca="1"/>
        <v>XYZ</v>
      </c>
      <c r="H87" s="564">
        <f ca="1"/>
        <v>-159922.90000000002</v>
      </c>
      <c r="I87" t="str">
        <f ca="1"/>
        <v>DVA</v>
      </c>
      <c r="J87" s="565">
        <f ca="1"/>
        <v>-1.984E-2</v>
      </c>
      <c r="K87" s="153" t="str">
        <f ca="1"/>
        <v>DSY</v>
      </c>
      <c r="L87" s="565">
        <f ca="1"/>
        <v>-1.984E-2</v>
      </c>
      <c r="M87" s="1" t="str">
        <f ca="1"/>
        <v>DSY</v>
      </c>
      <c r="N87" s="564">
        <f ca="1"/>
        <v>-355536</v>
      </c>
      <c r="O87" t="str">
        <f ca="1"/>
        <v>NEM</v>
      </c>
      <c r="P87" s="564">
        <f ca="1"/>
        <v>-10821.789999999994</v>
      </c>
      <c r="Q87" t="str">
        <f ca="1"/>
        <v>NEE</v>
      </c>
      <c r="R87" s="656">
        <f ca="1"/>
        <v>-1.0385404761904762E-2</v>
      </c>
      <c r="S87" t="str">
        <f ca="1"/>
        <v>HPQ</v>
      </c>
      <c r="T87" s="87">
        <f ca="1"/>
        <v>-3000</v>
      </c>
      <c r="U87" t="str">
        <f ca="1"/>
        <v>SHECY</v>
      </c>
      <c r="V87" s="87">
        <f ca="1"/>
        <v>-20029.440000000002</v>
      </c>
      <c r="W87" t="str">
        <f ca="1"/>
        <v>PW</v>
      </c>
      <c r="X87">
        <f ca="1"/>
        <v>17</v>
      </c>
      <c r="Y87" t="str">
        <f ca="1"/>
        <v>ALDNE</v>
      </c>
      <c r="Z87">
        <f ca="1"/>
        <v>19</v>
      </c>
      <c r="AA87" t="str">
        <f ca="1"/>
        <v>DSY</v>
      </c>
      <c r="AB87">
        <f ca="1"/>
        <v>41</v>
      </c>
      <c r="AC87" t="str">
        <f ca="1"/>
        <v>MVEDSY</v>
      </c>
      <c r="AD87">
        <f ca="1"/>
        <v>34</v>
      </c>
      <c r="AE87" t="str">
        <f ca="1"/>
        <v>NFLX</v>
      </c>
      <c r="AF87" s="87">
        <f ca="1"/>
        <v>-258382.25</v>
      </c>
      <c r="AG87" t="str">
        <f ca="1"/>
        <v>OXY</v>
      </c>
      <c r="AH87" s="87">
        <f ca="1"/>
        <v>-4670.0000000000018</v>
      </c>
      <c r="AI87" t="str">
        <f ca="1"/>
        <v>XOM</v>
      </c>
      <c r="AJ87" s="87">
        <f ca="1"/>
        <v>-14435.999999999993</v>
      </c>
      <c r="AK87" s="90" t="str">
        <f ca="1"/>
        <v>NEE</v>
      </c>
      <c r="AL87" s="312">
        <f ca="1"/>
        <v>-1.0385404761904762E-2</v>
      </c>
      <c r="AM87" t="str">
        <f ca="1"/>
        <v>MVEALDNE</v>
      </c>
      <c r="AN87" s="312">
        <f ca="1"/>
        <v>-0.34572502761985285</v>
      </c>
      <c r="AO87" t="str">
        <f ca="1"/>
        <v>UNIT</v>
      </c>
      <c r="AP87" s="312">
        <f ca="1"/>
        <v>0.54740000000000011</v>
      </c>
      <c r="AQ87" s="87" t="str">
        <f ca="1"/>
        <v>MRNA</v>
      </c>
      <c r="AR87" s="90">
        <f ca="1"/>
        <v>-0.47110036275695288</v>
      </c>
      <c r="AS87" s="94" t="str">
        <f ca="1"/>
        <v>SAFDIS</v>
      </c>
      <c r="AT87" s="90">
        <f ca="1"/>
        <v>0</v>
      </c>
    </row>
    <row r="88" spans="2:46">
      <c r="B88" s="1" t="str" cm="1">
        <f t="array" aca="1" ref="B88" ca="1">INDIRECT("SORTING!" &amp; ADDRESS(ROW(), A$2+3))</f>
        <v>PFE</v>
      </c>
      <c r="C88" s="1" t="str">
        <f ca="1">_xlfn.XLOOKUP(D88,[1]!RTData[Ticker symbol],[1]!RTData[Currency])</f>
        <v>USD</v>
      </c>
      <c r="D88" s="153" t="str">
        <f ca="1">TabCalc[[#This Row],[Ticker]]</f>
        <v>PFE</v>
      </c>
      <c r="E88" t="str">
        <f ca="1"/>
        <v>AZN</v>
      </c>
      <c r="F88" s="563">
        <f ca="1"/>
        <v>0.4078571579102292</v>
      </c>
      <c r="G88" s="153" t="str">
        <f ca="1"/>
        <v>SAFMRNA</v>
      </c>
      <c r="H88" s="564">
        <f ca="1"/>
        <v>-164716.99599999998</v>
      </c>
      <c r="I88" t="str">
        <f ca="1"/>
        <v>MVEDSY</v>
      </c>
      <c r="J88" s="565">
        <f ca="1"/>
        <v>-1.984E-2</v>
      </c>
      <c r="K88" s="153" t="str">
        <f ca="1"/>
        <v>MVEDSY</v>
      </c>
      <c r="L88" s="565">
        <f ca="1"/>
        <v>-1.984E-2</v>
      </c>
      <c r="M88" s="1" t="str">
        <f ca="1"/>
        <v>EPIX</v>
      </c>
      <c r="N88" s="564">
        <f ca="1"/>
        <v>-437364</v>
      </c>
      <c r="O88" t="str">
        <f ca="1"/>
        <v>NFLX</v>
      </c>
      <c r="P88" s="564">
        <f ca="1"/>
        <v>-13850.893799999989</v>
      </c>
      <c r="Q88" t="str">
        <f ca="1"/>
        <v>TSM</v>
      </c>
      <c r="R88" s="656">
        <f ca="1"/>
        <v>-1.0562279761904762E-2</v>
      </c>
      <c r="S88" t="str">
        <f ca="1"/>
        <v>MVESAP</v>
      </c>
      <c r="T88" s="87">
        <f ca="1"/>
        <v>-3167.9000000000087</v>
      </c>
      <c r="U88" t="str">
        <f ca="1"/>
        <v>TSLA</v>
      </c>
      <c r="V88" s="87">
        <f ca="1"/>
        <v>-20573.11</v>
      </c>
      <c r="W88" t="str">
        <f ca="1"/>
        <v>MVEEOAN</v>
      </c>
      <c r="X88">
        <f ca="1"/>
        <v>17</v>
      </c>
      <c r="Y88" t="str">
        <f ca="1"/>
        <v>DSY</v>
      </c>
      <c r="Z88">
        <f ca="1"/>
        <v>19</v>
      </c>
      <c r="AA88" t="str">
        <f ca="1"/>
        <v>NOTE</v>
      </c>
      <c r="AB88">
        <f ca="1"/>
        <v>40</v>
      </c>
      <c r="AC88" t="str">
        <f ca="1"/>
        <v>PROF</v>
      </c>
      <c r="AD88">
        <f ca="1"/>
        <v>33</v>
      </c>
      <c r="AE88" t="str">
        <f ca="1"/>
        <v>MVEDSY</v>
      </c>
      <c r="AF88" s="87">
        <f ca="1"/>
        <v>-311318.59600000002</v>
      </c>
      <c r="AG88" t="str">
        <f ca="1"/>
        <v>NVAX</v>
      </c>
      <c r="AH88" s="87">
        <f ca="1"/>
        <v>-5529.5999999999985</v>
      </c>
      <c r="AI88" t="str">
        <f ca="1"/>
        <v>GS</v>
      </c>
      <c r="AJ88" s="87">
        <f ca="1"/>
        <v>-15198.000000000002</v>
      </c>
      <c r="AK88" s="90" t="str">
        <f ca="1"/>
        <v>TSM</v>
      </c>
      <c r="AL88" s="312">
        <f ca="1"/>
        <v>-1.0562279761904762E-2</v>
      </c>
      <c r="AM88" t="str">
        <f ca="1"/>
        <v>UNIT</v>
      </c>
      <c r="AN88" s="312">
        <f ca="1"/>
        <v>-0.35391612903225811</v>
      </c>
      <c r="AO88" t="str">
        <f ca="1"/>
        <v>NOTE</v>
      </c>
      <c r="AP88" s="312">
        <f ca="1"/>
        <v>1.1564579731597748</v>
      </c>
      <c r="AQ88" s="87" t="str">
        <f ca="1"/>
        <v>PW</v>
      </c>
      <c r="AR88" s="90">
        <f ca="1"/>
        <v>-0.48050224442743328</v>
      </c>
      <c r="AS88" s="94" t="str">
        <f ca="1"/>
        <v>LAZR</v>
      </c>
      <c r="AT88" s="90">
        <f ca="1"/>
        <v>0</v>
      </c>
    </row>
    <row r="89" spans="2:46">
      <c r="B89" s="1" t="str" cm="1">
        <f t="array" aca="1" ref="B89" ca="1">INDIRECT("SORTING!" &amp; ADDRESS(ROW(), A$2+3))</f>
        <v>RIG</v>
      </c>
      <c r="C89" s="1" t="str">
        <f ca="1">_xlfn.XLOOKUP(D89,[1]!RTData[Ticker symbol],[1]!RTData[Currency])</f>
        <v>USD</v>
      </c>
      <c r="D89" s="153" t="str">
        <f ca="1">TabCalc[[#This Row],[Ticker]]</f>
        <v>RIG</v>
      </c>
      <c r="E89" t="str">
        <f ca="1"/>
        <v>XPER</v>
      </c>
      <c r="F89" s="563">
        <f ca="1"/>
        <v>0.37629953188296483</v>
      </c>
      <c r="G89" s="153" t="str">
        <f ca="1"/>
        <v>UN0</v>
      </c>
      <c r="H89" s="564">
        <f ca="1"/>
        <v>-198732.19500000001</v>
      </c>
      <c r="I89" t="str">
        <f ca="1"/>
        <v>LNSR</v>
      </c>
      <c r="J89" s="565">
        <f ca="1"/>
        <v>-2.2721000000000002E-2</v>
      </c>
      <c r="K89" s="153" t="str">
        <f ca="1"/>
        <v>KR</v>
      </c>
      <c r="L89" s="565">
        <f ca="1"/>
        <v>-2.2574999999999998E-2</v>
      </c>
      <c r="M89" s="1" t="str">
        <f ca="1"/>
        <v>UN0</v>
      </c>
      <c r="N89" s="564">
        <f ca="1"/>
        <v>-521408.45374999993</v>
      </c>
      <c r="O89" t="str">
        <f ca="1"/>
        <v>MVEDSY</v>
      </c>
      <c r="P89" s="564">
        <f ca="1"/>
        <v>-14282.767999999996</v>
      </c>
      <c r="Q89" t="str">
        <f ca="1"/>
        <v>GNRC</v>
      </c>
      <c r="R89" s="656">
        <f ca="1"/>
        <v>-1.0861160714285712E-2</v>
      </c>
      <c r="S89" t="str">
        <f ca="1"/>
        <v>MVEORA</v>
      </c>
      <c r="T89" s="87">
        <f ca="1"/>
        <v>-4158</v>
      </c>
      <c r="U89" t="str">
        <f ca="1"/>
        <v>NEE</v>
      </c>
      <c r="V89" s="87">
        <f ca="1"/>
        <v>-21032</v>
      </c>
      <c r="W89" t="e">
        <f ca="1"/>
        <v>#VALUE!</v>
      </c>
      <c r="X89">
        <f ca="1"/>
        <v>17</v>
      </c>
      <c r="Y89" t="str">
        <f ca="1"/>
        <v>MVEALDNE</v>
      </c>
      <c r="Z89">
        <f ca="1"/>
        <v>19</v>
      </c>
      <c r="AA89" t="str">
        <f ca="1"/>
        <v>UN0</v>
      </c>
      <c r="AB89">
        <f ca="1"/>
        <v>40</v>
      </c>
      <c r="AC89" t="str">
        <f ca="1"/>
        <v>AZN</v>
      </c>
      <c r="AD89">
        <f ca="1"/>
        <v>32</v>
      </c>
      <c r="AE89" t="str">
        <f ca="1"/>
        <v>SAFDDD</v>
      </c>
      <c r="AF89" s="87">
        <f ca="1"/>
        <v>-339799.7819</v>
      </c>
      <c r="AG89" t="str">
        <f ca="1"/>
        <v>MVEDSY</v>
      </c>
      <c r="AH89" s="87">
        <f ca="1"/>
        <v>-6794.9999999999964</v>
      </c>
      <c r="AI89" t="str">
        <f ca="1"/>
        <v>GM</v>
      </c>
      <c r="AJ89" s="87">
        <f ca="1"/>
        <v>-21806.729999999992</v>
      </c>
      <c r="AK89" s="90" t="str">
        <f ca="1"/>
        <v>GNRC</v>
      </c>
      <c r="AL89" s="312">
        <f ca="1"/>
        <v>-1.0861160714285712E-2</v>
      </c>
      <c r="AM89" t="str">
        <f ca="1"/>
        <v>NOTE</v>
      </c>
      <c r="AN89" s="312">
        <f ca="1"/>
        <v>-0.53543926879262616</v>
      </c>
      <c r="AO89" t="str">
        <f ca="1"/>
        <v>SAFMRNA</v>
      </c>
      <c r="AP89" s="312">
        <f ca="1"/>
        <v>1.3060804450261783</v>
      </c>
      <c r="AQ89" s="87" t="str">
        <f ca="1"/>
        <v>MVEALDNE</v>
      </c>
      <c r="AR89" s="90">
        <f ca="1"/>
        <v>-0.52868233971382306</v>
      </c>
      <c r="AS89" s="94" t="str">
        <f ca="1"/>
        <v>LUV</v>
      </c>
      <c r="AT89" s="90">
        <f ca="1"/>
        <v>0</v>
      </c>
    </row>
    <row r="90" spans="2:46">
      <c r="B90" s="1" t="str" cm="1">
        <f t="array" aca="1" ref="B90" ca="1">INDIRECT("SORTING!" &amp; ADDRESS(ROW(), A$2+3))</f>
        <v>RRC</v>
      </c>
      <c r="C90" s="1" t="str">
        <f ca="1">_xlfn.XLOOKUP(D90,[1]!RTData[Ticker symbol],[1]!RTData[Currency])</f>
        <v>USD</v>
      </c>
      <c r="D90" s="153" t="str">
        <f ca="1">TabCalc[[#This Row],[Ticker]]</f>
        <v>RRC</v>
      </c>
      <c r="E90" t="str">
        <f ca="1"/>
        <v>AET</v>
      </c>
      <c r="F90" s="563">
        <f ca="1"/>
        <v>0.26618830322220155</v>
      </c>
      <c r="G90" s="153" t="str">
        <f ca="1"/>
        <v>BLNK</v>
      </c>
      <c r="H90" s="564">
        <f ca="1"/>
        <v>-212190.89</v>
      </c>
      <c r="I90" t="str">
        <f ca="1"/>
        <v>UNIT</v>
      </c>
      <c r="J90" s="565">
        <f ca="1"/>
        <v>-2.5847999999999999E-2</v>
      </c>
      <c r="K90" s="153" t="str">
        <f ca="1"/>
        <v>UN0</v>
      </c>
      <c r="L90" s="565">
        <f ca="1"/>
        <v>-2.5847999999999999E-2</v>
      </c>
      <c r="M90" s="1" t="str">
        <f ca="1"/>
        <v>DXC</v>
      </c>
      <c r="N90" s="564">
        <f ca="1"/>
        <v>-737375.57142857148</v>
      </c>
      <c r="O90" t="str">
        <f ca="1"/>
        <v>MVESAP</v>
      </c>
      <c r="P90" s="564">
        <f ca="1"/>
        <v>-17020.631000000008</v>
      </c>
      <c r="Q90" t="str">
        <f ca="1"/>
        <v>DSY</v>
      </c>
      <c r="R90" s="656">
        <f ca="1"/>
        <v>-1.2927964285714287E-2</v>
      </c>
      <c r="S90" t="str">
        <f ca="1"/>
        <v>DDD</v>
      </c>
      <c r="T90" s="87">
        <f ca="1"/>
        <v>-4250</v>
      </c>
      <c r="U90" t="str">
        <f ca="1"/>
        <v>NOTE</v>
      </c>
      <c r="V90" s="87">
        <f ca="1"/>
        <v>-24412.87000000001</v>
      </c>
      <c r="W90" t="str">
        <f ca="1"/>
        <v>DSY</v>
      </c>
      <c r="X90">
        <f ca="1"/>
        <v>20</v>
      </c>
      <c r="Y90" t="str">
        <f ca="1"/>
        <v>KR</v>
      </c>
      <c r="Z90">
        <f ca="1"/>
        <v>20</v>
      </c>
      <c r="AA90" t="str">
        <f ca="1"/>
        <v>MVEUN0</v>
      </c>
      <c r="AB90">
        <f ca="1"/>
        <v>40</v>
      </c>
      <c r="AC90" t="str">
        <f ca="1"/>
        <v>SHECY</v>
      </c>
      <c r="AD90">
        <f ca="1"/>
        <v>30</v>
      </c>
      <c r="AE90" t="str">
        <f ca="1"/>
        <v>MVEENI</v>
      </c>
      <c r="AF90" s="87">
        <f ca="1"/>
        <v>-342537.81440000009</v>
      </c>
      <c r="AG90" t="str">
        <f ca="1"/>
        <v>MVEEPIX</v>
      </c>
      <c r="AH90" s="87">
        <f ca="1"/>
        <v>-15188</v>
      </c>
      <c r="AI90" t="str">
        <f ca="1"/>
        <v>RWE</v>
      </c>
      <c r="AJ90" s="87">
        <f ca="1"/>
        <v>-23072.000000000004</v>
      </c>
      <c r="AK90" s="90" t="str">
        <f ca="1"/>
        <v>DSY</v>
      </c>
      <c r="AL90" s="312">
        <f ca="1"/>
        <v>-1.2927964285714287E-2</v>
      </c>
      <c r="AM90" t="str">
        <f ca="1"/>
        <v>SAFMRNA</v>
      </c>
      <c r="AN90" s="312">
        <f ca="1"/>
        <v>-0.56537832192463067</v>
      </c>
      <c r="AO90" t="str">
        <f ca="1"/>
        <v>SSYS</v>
      </c>
      <c r="AP90" s="312">
        <f ca="1"/>
        <v>1.4324807443703085</v>
      </c>
      <c r="AQ90" s="87" t="str">
        <f ca="1"/>
        <v>UN0</v>
      </c>
      <c r="AR90" s="90">
        <f ca="1"/>
        <v>-0.68544683639136739</v>
      </c>
      <c r="AS90" s="94" t="str">
        <f ca="1"/>
        <v>MA</v>
      </c>
      <c r="AT90" s="90">
        <f ca="1"/>
        <v>0</v>
      </c>
    </row>
    <row r="91" spans="2:46">
      <c r="B91" s="1" t="str" cm="1">
        <f t="array" aca="1" ref="B91" ca="1">INDIRECT("SORTING!" &amp; ADDRESS(ROW(), A$2+3))</f>
        <v>XYZ</v>
      </c>
      <c r="C91" s="1" t="str">
        <f ca="1">_xlfn.XLOOKUP(D91,[1]!RTData[Ticker symbol],[1]!RTData[Currency])</f>
        <v>USD</v>
      </c>
      <c r="D91" s="153" t="str">
        <f ca="1">TabCalc[[#This Row],[Ticker]]</f>
        <v>XYZ</v>
      </c>
      <c r="E91" t="str">
        <f ca="1"/>
        <v>BMRA</v>
      </c>
      <c r="F91" s="563">
        <f ca="1"/>
        <v>0.12168445010747878</v>
      </c>
      <c r="G91" s="153" t="str">
        <f ca="1"/>
        <v>MVEALDNE</v>
      </c>
      <c r="H91" s="564">
        <f ca="1"/>
        <v>-221294.797074</v>
      </c>
      <c r="I91" t="str">
        <f ca="1"/>
        <v>MVEUN0</v>
      </c>
      <c r="J91" s="565">
        <f ca="1"/>
        <v>-2.5847999999999999E-2</v>
      </c>
      <c r="K91" s="153" t="str">
        <f ca="1"/>
        <v>MVEUN0</v>
      </c>
      <c r="L91" s="565">
        <f ca="1"/>
        <v>-2.5847999999999999E-2</v>
      </c>
      <c r="M91" s="1" t="str">
        <f ca="1"/>
        <v>KR</v>
      </c>
      <c r="N91" s="564">
        <f ca="1"/>
        <v>-755672.68181818177</v>
      </c>
      <c r="O91" t="str">
        <f ca="1"/>
        <v>SAFMRNA</v>
      </c>
      <c r="P91" s="564">
        <f ca="1"/>
        <v>-19421.372799999997</v>
      </c>
      <c r="Q91" t="str">
        <f ca="1"/>
        <v>MVEDDD</v>
      </c>
      <c r="R91" s="656">
        <f ca="1"/>
        <v>-1.397280357142857E-2</v>
      </c>
      <c r="S91" t="str">
        <f ca="1"/>
        <v>SAFDDD</v>
      </c>
      <c r="T91" s="87">
        <f ca="1"/>
        <v>-5500</v>
      </c>
      <c r="U91" t="str">
        <f ca="1"/>
        <v>SAP</v>
      </c>
      <c r="V91" s="87">
        <f ca="1"/>
        <v>-30023</v>
      </c>
      <c r="W91" t="str">
        <f ca="1"/>
        <v>NEM</v>
      </c>
      <c r="X91">
        <f ca="1"/>
        <v>20</v>
      </c>
      <c r="Y91" t="str">
        <f ca="1"/>
        <v>SAP</v>
      </c>
      <c r="Z91">
        <f ca="1"/>
        <v>20</v>
      </c>
      <c r="AA91" t="str">
        <f ca="1"/>
        <v>C</v>
      </c>
      <c r="AB91">
        <f ca="1"/>
        <v>39</v>
      </c>
      <c r="AC91" t="str">
        <f ca="1"/>
        <v>NOTE</v>
      </c>
      <c r="AD91">
        <f ca="1"/>
        <v>29</v>
      </c>
      <c r="AE91" t="str">
        <f ca="1"/>
        <v>TSM</v>
      </c>
      <c r="AF91" s="87">
        <f ca="1"/>
        <v>-469549.07279999997</v>
      </c>
      <c r="AG91" t="str">
        <f ca="1"/>
        <v>EPIX</v>
      </c>
      <c r="AH91" s="87">
        <f ca="1"/>
        <v>-18225.599999999999</v>
      </c>
      <c r="AI91" t="str">
        <f ca="1"/>
        <v>MVERWE</v>
      </c>
      <c r="AJ91" s="87">
        <f ca="1"/>
        <v>-28832.790000000005</v>
      </c>
      <c r="AK91" s="90" t="str">
        <f ca="1"/>
        <v>MVEDDD</v>
      </c>
      <c r="AL91" s="312">
        <f ca="1"/>
        <v>-1.397280357142857E-2</v>
      </c>
      <c r="AM91" t="str">
        <f ca="1"/>
        <v>SSYS</v>
      </c>
      <c r="AN91" s="312">
        <f ca="1"/>
        <v>-0.58780372591097818</v>
      </c>
      <c r="AO91" t="str">
        <f ca="1"/>
        <v>MRNA</v>
      </c>
      <c r="AP91" s="312">
        <f ca="1"/>
        <v>1.6767319621042138</v>
      </c>
      <c r="AQ91" s="87" t="str">
        <f ca="1"/>
        <v>MVEUN0</v>
      </c>
      <c r="AR91" s="90">
        <f ca="1"/>
        <v>-0.69979959919839674</v>
      </c>
      <c r="AS91" s="94" t="str">
        <f ca="1"/>
        <v>NVAX</v>
      </c>
      <c r="AT91" s="90">
        <f ca="1"/>
        <v>0</v>
      </c>
    </row>
    <row r="92" spans="2:46">
      <c r="B92" s="1" t="str" cm="1">
        <f t="array" aca="1" ref="B92" ca="1">INDIRECT("SORTING!" &amp; ADDRESS(ROW(), A$2+3))</f>
        <v>THC</v>
      </c>
      <c r="C92" s="1" t="str">
        <f ca="1">_xlfn.XLOOKUP(D92,[1]!RTData[Ticker symbol],[1]!RTData[Currency])</f>
        <v>USD</v>
      </c>
      <c r="D92" s="153" t="str">
        <f ca="1">TabCalc[[#This Row],[Ticker]]</f>
        <v>THC</v>
      </c>
      <c r="E92" t="str">
        <f ca="1"/>
        <v>UN0</v>
      </c>
      <c r="F92" s="563">
        <f ca="1"/>
        <v>3.907563025210084E-2</v>
      </c>
      <c r="G92" s="153" t="str">
        <f ca="1"/>
        <v>DDD</v>
      </c>
      <c r="H92" s="564">
        <f ca="1"/>
        <v>-246564.5</v>
      </c>
      <c r="I92" t="str">
        <f ca="1"/>
        <v>SSYS</v>
      </c>
      <c r="J92" s="565">
        <f ca="1"/>
        <v>-2.9721000000000001E-2</v>
      </c>
      <c r="K92" s="153" t="str">
        <f ca="1"/>
        <v>SHECY</v>
      </c>
      <c r="L92" s="565">
        <f ca="1"/>
        <v>-2.9721000000000001E-2</v>
      </c>
      <c r="M92" s="1" t="str">
        <f ca="1"/>
        <v>ALDNE</v>
      </c>
      <c r="N92" s="564">
        <f ca="1"/>
        <v>-862641.04126371699</v>
      </c>
      <c r="O92" t="str">
        <f ca="1"/>
        <v>NVAX</v>
      </c>
      <c r="P92" s="564">
        <f ca="1"/>
        <v>-24122.118999999999</v>
      </c>
      <c r="Q92" t="str">
        <f ca="1"/>
        <v>SAFDDD</v>
      </c>
      <c r="R92" s="656">
        <f ca="1"/>
        <v>-1.397280357142857E-2</v>
      </c>
      <c r="S92" t="str">
        <f ca="1"/>
        <v>MVEDSY</v>
      </c>
      <c r="T92" s="87">
        <f ca="1"/>
        <v>-7320</v>
      </c>
      <c r="U92" t="str">
        <f ca="1"/>
        <v>DIS</v>
      </c>
      <c r="V92" s="87">
        <f ca="1"/>
        <v>-47875</v>
      </c>
      <c r="W92" t="str">
        <f ca="1"/>
        <v>NFLX</v>
      </c>
      <c r="X92">
        <f ca="1"/>
        <v>20</v>
      </c>
      <c r="Y92" t="str">
        <f ca="1"/>
        <v>SHECY</v>
      </c>
      <c r="Z92">
        <f ca="1"/>
        <v>20</v>
      </c>
      <c r="AA92" t="str">
        <f ca="1"/>
        <v>OXY</v>
      </c>
      <c r="AB92">
        <f ca="1"/>
        <v>39</v>
      </c>
      <c r="AC92" t="str">
        <f ca="1"/>
        <v>NFLX</v>
      </c>
      <c r="AD92">
        <f ca="1"/>
        <v>27</v>
      </c>
      <c r="AE92" t="str">
        <f ca="1"/>
        <v>SAP</v>
      </c>
      <c r="AF92" s="87">
        <f ca="1"/>
        <v>-688430.08507000015</v>
      </c>
      <c r="AG92" t="str">
        <f ca="1"/>
        <v>UNIT</v>
      </c>
      <c r="AH92" s="87">
        <f ca="1"/>
        <v>-23875.500000000004</v>
      </c>
      <c r="AI92" t="str">
        <f ca="1"/>
        <v>X</v>
      </c>
      <c r="AJ92" s="87">
        <f ca="1"/>
        <v>-29828.400000000009</v>
      </c>
      <c r="AK92" s="90" t="str">
        <f ca="1"/>
        <v>SAFDDD</v>
      </c>
      <c r="AL92" s="312">
        <f ca="1"/>
        <v>-1.397280357142857E-2</v>
      </c>
      <c r="AM92" t="str">
        <f ca="1"/>
        <v>MRNA</v>
      </c>
      <c r="AN92" s="312">
        <f ca="1"/>
        <v>-0.62514302919273512</v>
      </c>
      <c r="AO92" t="str">
        <f ca="1"/>
        <v>BMRA</v>
      </c>
      <c r="AP92" s="312">
        <f ca="1"/>
        <v>3.2945621621621615</v>
      </c>
      <c r="AQ92" s="87" t="str">
        <f ca="1"/>
        <v>LAZR</v>
      </c>
      <c r="AR92" s="90">
        <f ca="1"/>
        <v>-0.85162679103975603</v>
      </c>
      <c r="AS92" s="94" t="str">
        <f ca="1"/>
        <v>NVS</v>
      </c>
      <c r="AT92" s="90">
        <f ca="1"/>
        <v>0</v>
      </c>
    </row>
    <row r="93" spans="2:46">
      <c r="B93" s="1" t="str" cm="1">
        <f t="array" aca="1" ref="B93" ca="1">INDIRECT("SORTING!" &amp; ADDRESS(ROW(), A$2+3))</f>
        <v>X</v>
      </c>
      <c r="C93" s="1" t="str">
        <f ca="1">_xlfn.XLOOKUP(D93,[1]!RTData[Ticker symbol],[1]!RTData[Currency])</f>
        <v>USD</v>
      </c>
      <c r="D93" s="153" t="str">
        <f ca="1">TabCalc[[#This Row],[Ticker]]</f>
        <v>X</v>
      </c>
      <c r="E93" t="str">
        <f ca="1"/>
        <v>MVEUN0</v>
      </c>
      <c r="F93" s="563">
        <f ca="1"/>
        <v>3.907563025210084E-2</v>
      </c>
      <c r="G93" s="153" t="str">
        <f ca="1"/>
        <v>LAZR</v>
      </c>
      <c r="H93" s="564">
        <f ca="1"/>
        <v>-301938.87999999995</v>
      </c>
      <c r="I93" t="str">
        <f ca="1"/>
        <v>TSM</v>
      </c>
      <c r="J93" s="565">
        <f ca="1"/>
        <v>-3.3987999999999997E-2</v>
      </c>
      <c r="K93" s="153" t="str">
        <f ca="1"/>
        <v>TSLA</v>
      </c>
      <c r="L93" s="565">
        <f ca="1"/>
        <v>-3.3987999999999997E-2</v>
      </c>
      <c r="M93" s="1" t="str">
        <f ca="1"/>
        <v>DDD</v>
      </c>
      <c r="N93" s="564">
        <f ca="1"/>
        <v>-4498726.1499999994</v>
      </c>
      <c r="O93" t="str">
        <f ca="1"/>
        <v>DXC</v>
      </c>
      <c r="P93" s="564">
        <f ca="1"/>
        <v>-27049.488000000001</v>
      </c>
      <c r="Q93" t="str">
        <f ca="1"/>
        <v>NFLX</v>
      </c>
      <c r="R93" s="656">
        <f ca="1"/>
        <v>-1.4453596428571426E-2</v>
      </c>
      <c r="S93" t="str">
        <f ca="1"/>
        <v>KR</v>
      </c>
      <c r="T93" s="87">
        <f ca="1"/>
        <v>-8800</v>
      </c>
      <c r="U93" t="str">
        <f ca="1"/>
        <v>AAPL</v>
      </c>
      <c r="V93" s="87">
        <f ca="1"/>
        <v>-50427.5</v>
      </c>
      <c r="W93" t="str">
        <f ca="1"/>
        <v>SHECY</v>
      </c>
      <c r="X93">
        <f ca="1"/>
        <v>20</v>
      </c>
      <c r="Y93" t="str">
        <f ca="1"/>
        <v>MVEORA</v>
      </c>
      <c r="Z93">
        <f ca="1"/>
        <v>20</v>
      </c>
      <c r="AA93" t="str">
        <f ca="1"/>
        <v>VLVLY</v>
      </c>
      <c r="AB93">
        <f ca="1"/>
        <v>36</v>
      </c>
      <c r="AC93" t="str">
        <f ca="1"/>
        <v>PFE</v>
      </c>
      <c r="AD93">
        <f ca="1"/>
        <v>23</v>
      </c>
      <c r="AE93" t="str">
        <f ca="1"/>
        <v>MRNA</v>
      </c>
      <c r="AF93" s="87">
        <f ca="1"/>
        <v>-788105.81921799993</v>
      </c>
      <c r="AG93" t="str">
        <f ca="1"/>
        <v>SAFMRNA</v>
      </c>
      <c r="AH93" s="87">
        <f ca="1"/>
        <v>-36217.800000000017</v>
      </c>
      <c r="AI93" t="str">
        <f ca="1"/>
        <v>XYZ</v>
      </c>
      <c r="AJ93" s="87">
        <f ca="1"/>
        <v>-36560.000000000015</v>
      </c>
      <c r="AK93" s="90" t="str">
        <f ca="1"/>
        <v>NFLX</v>
      </c>
      <c r="AL93" s="312">
        <f ca="1"/>
        <v>-1.4453596428571426E-2</v>
      </c>
      <c r="AM93" t="str">
        <f ca="1"/>
        <v>BMRA</v>
      </c>
      <c r="AN93" s="312">
        <f ca="1"/>
        <v>-0.76529332997892996</v>
      </c>
      <c r="AO93" t="str">
        <f ca="1"/>
        <v>LAZR</v>
      </c>
      <c r="AP93" s="312">
        <f ca="1"/>
        <v>8.761964022715846</v>
      </c>
      <c r="AQ93" s="87" t="str">
        <f ca="1"/>
        <v>MVEEPIX</v>
      </c>
      <c r="AR93" s="90">
        <f ca="1"/>
        <v>-1.1517694641051566</v>
      </c>
      <c r="AS93" s="94" t="str">
        <f ca="1"/>
        <v>ORA</v>
      </c>
      <c r="AT93" s="90">
        <f ca="1"/>
        <v>0</v>
      </c>
    </row>
    <row r="94" spans="2:46">
      <c r="B94" s="1" t="str" cm="1">
        <f t="array" aca="1" ref="B94" ca="1">INDIRECT("SORTING!" &amp; ADDRESS(ROW(), A$2+3))</f>
        <v>JBEOAN</v>
      </c>
      <c r="C94" s="1" t="str">
        <f ca="1">_xlfn.XLOOKUP(D94,[1]!RTData[Ticker symbol],[1]!RTData[Currency])</f>
        <v>EUR</v>
      </c>
      <c r="D94" s="153" t="str">
        <f ca="1">TabCalc[[#This Row],[Ticker]]</f>
        <v>JBEOAN</v>
      </c>
      <c r="E94" t="str">
        <f ca="1"/>
        <v>SHECY</v>
      </c>
      <c r="F94" s="563">
        <f ca="1"/>
        <v>2.6870142640134636E-2</v>
      </c>
      <c r="G94" s="153" t="str">
        <f ca="1"/>
        <v>MRNA</v>
      </c>
      <c r="H94" s="564">
        <f ca="1"/>
        <v>-492321.97</v>
      </c>
      <c r="I94" t="str">
        <f ca="1"/>
        <v>SHECY</v>
      </c>
      <c r="J94" s="565">
        <f ca="1"/>
        <v>-3.5743999999999998E-2</v>
      </c>
      <c r="K94" s="153" t="str">
        <f ca="1"/>
        <v>SAP</v>
      </c>
      <c r="L94" s="565">
        <f ca="1"/>
        <v>-3.5743999999999998E-2</v>
      </c>
      <c r="M94" s="1" t="str">
        <f ca="1"/>
        <v>SHECY</v>
      </c>
      <c r="N94" s="564">
        <f ca="1"/>
        <v>-5029735.8783157896</v>
      </c>
      <c r="O94" t="str">
        <f ca="1"/>
        <v>XPER</v>
      </c>
      <c r="P94" s="564">
        <f ca="1"/>
        <v>-27863.366400000006</v>
      </c>
      <c r="Q94" t="str">
        <f ca="1"/>
        <v>DDD</v>
      </c>
      <c r="R94" s="656">
        <f ca="1"/>
        <v>-1.6153244047619045E-2</v>
      </c>
      <c r="S94" t="str">
        <f ca="1"/>
        <v>ASML</v>
      </c>
      <c r="T94" s="87">
        <f ca="1"/>
        <v>-20720</v>
      </c>
      <c r="U94" t="str">
        <f ca="1"/>
        <v>NFLX</v>
      </c>
      <c r="V94" s="87">
        <f ca="1"/>
        <v>-62385</v>
      </c>
      <c r="W94" t="str">
        <f ca="1"/>
        <v>UN0</v>
      </c>
      <c r="X94">
        <f ca="1"/>
        <v>20</v>
      </c>
      <c r="Y94" t="str">
        <f ca="1"/>
        <v>MVESAP</v>
      </c>
      <c r="Z94">
        <f ca="1"/>
        <v>20</v>
      </c>
      <c r="AA94" t="str">
        <f ca="1"/>
        <v>MVEDSY</v>
      </c>
      <c r="AB94">
        <f ca="1"/>
        <v>35</v>
      </c>
      <c r="AC94" t="str">
        <f ca="1"/>
        <v>PW</v>
      </c>
      <c r="AD94">
        <f ca="1"/>
        <v>13</v>
      </c>
      <c r="AE94" t="str">
        <f ca="1"/>
        <v>AMZN</v>
      </c>
      <c r="AF94" s="87">
        <f ca="1"/>
        <v>-899207.17999999993</v>
      </c>
      <c r="AG94" t="str">
        <f ca="1"/>
        <v>LAZR</v>
      </c>
      <c r="AH94" s="87">
        <f ca="1"/>
        <v>-40710.340000000004</v>
      </c>
      <c r="AI94" t="str">
        <f ca="1"/>
        <v>SAFGM</v>
      </c>
      <c r="AJ94" s="87">
        <f ca="1"/>
        <v>-42053.19999999999</v>
      </c>
      <c r="AK94" s="90" t="str">
        <f ca="1"/>
        <v>DDD</v>
      </c>
      <c r="AL94" s="312">
        <f ca="1"/>
        <v>-1.6153244047619045E-2</v>
      </c>
      <c r="AM94" t="str">
        <f ca="1"/>
        <v>LAZR</v>
      </c>
      <c r="AN94" s="312">
        <f ca="1"/>
        <v>-0.8952551425665608</v>
      </c>
      <c r="AO94" t="str">
        <f ca="1"/>
        <v>EPIX</v>
      </c>
      <c r="AP94" s="312">
        <f ca="1"/>
        <v>9.5683741550695824</v>
      </c>
      <c r="AQ94" s="87" t="str">
        <f ca="1"/>
        <v>EPIX</v>
      </c>
      <c r="AR94" s="90">
        <f ca="1"/>
        <v>-1.1773643410852714</v>
      </c>
      <c r="AS94" s="94" t="str">
        <f ca="1"/>
        <v>X</v>
      </c>
      <c r="AT94" s="90">
        <f ca="1"/>
        <v>0</v>
      </c>
    </row>
    <row r="95" spans="2:46">
      <c r="B95" s="1" t="str" cm="1">
        <f t="array" aca="1" ref="B95" ca="1">INDIRECT("SORTING!" &amp; ADDRESS(ROW(), A$2+3))</f>
        <v>LOCK</v>
      </c>
      <c r="C95" s="1" t="e">
        <f>_xlfn.XLOOKUP(D96,[1]!RTData[Ticker symbol],[1]!RTData[Currency])</f>
        <v>#VALUE!</v>
      </c>
      <c r="D95" s="153" t="str">
        <f>TabCalc[[#This Row],[Ticker]]</f>
        <v>LOCK</v>
      </c>
      <c r="E95" t="str">
        <f ca="1"/>
        <v>VLVLY</v>
      </c>
      <c r="F95" s="563">
        <f ca="1"/>
        <v>1.2957002388870289E-2</v>
      </c>
      <c r="G95" s="153" t="str">
        <f ca="1"/>
        <v>SSYS</v>
      </c>
      <c r="H95" s="564">
        <f ca="1"/>
        <v>-664684.32010000001</v>
      </c>
      <c r="I95" t="str">
        <f ca="1"/>
        <v>MVESAP</v>
      </c>
      <c r="J95" s="565">
        <f ca="1"/>
        <v>-3.5743999999999998E-2</v>
      </c>
      <c r="K95" s="153" t="str">
        <f ca="1"/>
        <v>MVESAP</v>
      </c>
      <c r="L95" s="565">
        <f ca="1"/>
        <v>-3.5743999999999998E-2</v>
      </c>
      <c r="M95" s="1" t="str">
        <f ca="1"/>
        <v>NOTE</v>
      </c>
      <c r="N95" s="564">
        <f ca="1"/>
        <v>-30159736.992000002</v>
      </c>
      <c r="O95" t="str">
        <f ca="1"/>
        <v>EPIX</v>
      </c>
      <c r="P95" s="564">
        <f ca="1"/>
        <v>-55543.211199999991</v>
      </c>
      <c r="Q95" t="str">
        <f ca="1"/>
        <v>NEM</v>
      </c>
      <c r="R95" s="656">
        <f ca="1"/>
        <v>-1.7365226190476188E-2</v>
      </c>
      <c r="S95" t="str">
        <f ca="1"/>
        <v>SAP</v>
      </c>
      <c r="T95" s="87">
        <f ca="1"/>
        <v>-30020</v>
      </c>
      <c r="U95" t="str">
        <f ca="1"/>
        <v>SAFDDD</v>
      </c>
      <c r="V95" s="87">
        <f ca="1"/>
        <v>-65450</v>
      </c>
      <c r="W95" t="str">
        <f ca="1"/>
        <v>MVEUN0</v>
      </c>
      <c r="X95">
        <f ca="1"/>
        <v>20</v>
      </c>
      <c r="Y95" t="str">
        <f ca="1"/>
        <v>NVS</v>
      </c>
      <c r="Z95">
        <f ca="1"/>
        <v>20</v>
      </c>
      <c r="AA95" t="str">
        <f ca="1"/>
        <v>NFLX</v>
      </c>
      <c r="AB95">
        <f ca="1"/>
        <v>28</v>
      </c>
      <c r="AC95" t="str">
        <f ca="1"/>
        <v>EPIX</v>
      </c>
      <c r="AD95">
        <f ca="1"/>
        <v>0</v>
      </c>
      <c r="AE95" t="str">
        <f ca="1"/>
        <v>AAPL</v>
      </c>
      <c r="AF95" s="87">
        <f ca="1"/>
        <v>-1009210.1449999998</v>
      </c>
      <c r="AG95" t="str">
        <f ca="1"/>
        <v>MRNA</v>
      </c>
      <c r="AH95" s="87">
        <f ca="1"/>
        <v>-43830.000000000007</v>
      </c>
      <c r="AI95" t="str">
        <f ca="1"/>
        <v>GLE</v>
      </c>
      <c r="AJ95" s="87">
        <f ca="1"/>
        <v>-45160</v>
      </c>
      <c r="AK95" s="90" t="str">
        <f ca="1"/>
        <v>NEM</v>
      </c>
      <c r="AL95" s="312">
        <f ca="1"/>
        <v>-1.7365226190476188E-2</v>
      </c>
      <c r="AM95" t="str">
        <f ca="1"/>
        <v>EPIX</v>
      </c>
      <c r="AN95" s="312">
        <f ca="1"/>
        <v>-0.90304729556909646</v>
      </c>
      <c r="AO95" t="str">
        <f ca="1"/>
        <v>MVEEPIX</v>
      </c>
      <c r="AP95" s="312">
        <f ca="1"/>
        <v>11.861879787939033</v>
      </c>
      <c r="AQ95" s="87" t="str">
        <f ca="1"/>
        <v>NOTE</v>
      </c>
      <c r="AR95" s="90">
        <f ca="1"/>
        <v>-1.2955974842767297</v>
      </c>
      <c r="AS95" s="94" t="str">
        <f ca="1"/>
        <v>JBEOAN</v>
      </c>
      <c r="AT95" s="90">
        <f ca="1"/>
        <v>0</v>
      </c>
    </row>
    <row r="96" spans="2:46">
      <c r="B96" s="1" t="e" cm="1">
        <f t="array" aca="1" ref="B96" ca="1">INDIRECT("SORTING!" &amp; ADDRESS(ROW(), A$2+3))</f>
        <v>#VALUE!</v>
      </c>
      <c r="C96" s="1" t="e">
        <f>_xlfn.XLOOKUP(D96,[1]!RTData[Ticker symbol],[1]!RTData[Currency])</f>
        <v>#VALUE!</v>
      </c>
      <c r="D96" s="153" t="e">
        <f>TabCalc[[#This Row],[Ticker]]</f>
        <v>#VALUE!</v>
      </c>
      <c r="E96" t="str">
        <f ca="1"/>
        <v>X</v>
      </c>
      <c r="F96" s="563">
        <f ca="1"/>
        <v>7.2077806511077887E-5</v>
      </c>
      <c r="G96" t="str">
        <f ca="1"/>
        <v>ALDNE</v>
      </c>
      <c r="H96" s="564">
        <f ca="1"/>
        <v>-862641.04126371676</v>
      </c>
      <c r="I96" s="565" t="str">
        <f ca="1"/>
        <v>NFLX</v>
      </c>
      <c r="J96" s="565">
        <f ca="1"/>
        <v>-6.2759999999999996E-2</v>
      </c>
      <c r="K96" t="str">
        <f ca="1"/>
        <v>NEM</v>
      </c>
      <c r="L96" s="565">
        <f ca="1"/>
        <v>-6.2309999999999997E-2</v>
      </c>
      <c r="M96" s="1" t="str">
        <f ca="1"/>
        <v>LOCK</v>
      </c>
      <c r="N96" s="564">
        <f ca="1"/>
        <v>-54985252.799999997</v>
      </c>
      <c r="O96" t="str">
        <f ca="1"/>
        <v>MRNA</v>
      </c>
      <c r="P96" s="564">
        <f ca="1"/>
        <v>-92010.15</v>
      </c>
      <c r="Q96" t="str">
        <f ca="1"/>
        <v>BLDP</v>
      </c>
      <c r="R96" s="656">
        <f ca="1"/>
        <v>-2.2261886904761902E-2</v>
      </c>
      <c r="S96" t="str">
        <f ca="1"/>
        <v>NFLX</v>
      </c>
      <c r="T96" s="87">
        <f ca="1"/>
        <v>-48930</v>
      </c>
      <c r="U96" t="str">
        <f ca="1"/>
        <v>ASML</v>
      </c>
      <c r="V96" s="87">
        <f ca="1"/>
        <v>-77720</v>
      </c>
      <c r="W96" t="str">
        <f ca="1"/>
        <v>AVGO</v>
      </c>
      <c r="X96" t="e">
        <f ca="1"/>
        <v>#REF!</v>
      </c>
      <c r="Y96" t="str">
        <f ca="1"/>
        <v>ORA</v>
      </c>
      <c r="Z96">
        <f ca="1"/>
        <v>20</v>
      </c>
      <c r="AA96" t="str">
        <f ca="1"/>
        <v>PW</v>
      </c>
      <c r="AB96">
        <f ca="1"/>
        <v>23</v>
      </c>
      <c r="AC96" t="str">
        <f ca="1"/>
        <v>MVEEPIX</v>
      </c>
      <c r="AD96">
        <f ca="1"/>
        <v>0</v>
      </c>
      <c r="AE96" t="str">
        <f ca="1"/>
        <v>ASML</v>
      </c>
      <c r="AF96" s="87">
        <f ca="1"/>
        <v>-2057189.26</v>
      </c>
      <c r="AG96" s="93" t="str">
        <f ca="1"/>
        <v>BMRA</v>
      </c>
      <c r="AH96" s="87">
        <f ca="1"/>
        <v>-121994.99999999999</v>
      </c>
      <c r="AI96" s="87" t="str">
        <f ca="1"/>
        <v>SAFIAG</v>
      </c>
      <c r="AJ96" s="87">
        <f ca="1"/>
        <v>-108079.99999999999</v>
      </c>
      <c r="AK96" s="90" t="str">
        <f ca="1"/>
        <v>BLDP</v>
      </c>
      <c r="AL96" s="312">
        <f ca="1"/>
        <v>-2.2261886904761902E-2</v>
      </c>
      <c r="AM96" t="str">
        <f ca="1"/>
        <v>MVEEPIX</v>
      </c>
      <c r="AN96" s="312">
        <f ca="1"/>
        <v>-0.91986868770122332</v>
      </c>
      <c r="AO96" t="e">
        <f ca="1"/>
        <v>#VALUE!</v>
      </c>
      <c r="AP96" t="e">
        <f ca="1"/>
        <v>#VALUE!</v>
      </c>
      <c r="AQ96" s="87" t="str">
        <f ca="1"/>
        <v>UNIT</v>
      </c>
      <c r="AR96" s="90">
        <f ca="1"/>
        <v>-1.557828481510622</v>
      </c>
      <c r="AS96" s="94" t="e">
        <f ca="1"/>
        <v>#VALUE!</v>
      </c>
      <c r="AT96" s="90">
        <f ca="1"/>
        <v>0</v>
      </c>
    </row>
    <row r="97" spans="2:45">
      <c r="D97" s="153"/>
      <c r="F97" s="977">
        <f ca="1">AVERAGE(F4:F96)</f>
        <v>1.1421432210326037</v>
      </c>
      <c r="J97" s="310"/>
      <c r="L97" s="310"/>
    </row>
    <row r="98" spans="2:45">
      <c r="D98" s="153"/>
      <c r="J98" s="310"/>
      <c r="L98" s="310"/>
    </row>
    <row r="99" spans="2:45" ht="23" thickBot="1">
      <c r="D99" s="153"/>
      <c r="J99" s="310"/>
      <c r="L99" s="310"/>
    </row>
    <row r="100" spans="2:45" ht="23" thickBot="1">
      <c r="B100" s="790" t="s">
        <v>2725</v>
      </c>
      <c r="D100" s="153"/>
      <c r="E100" s="791" t="str">
        <f>$B100</f>
        <v>poet</v>
      </c>
      <c r="G100" s="791" t="str">
        <f>$B100</f>
        <v>poet</v>
      </c>
      <c r="I100" s="791" t="str">
        <f>$B100</f>
        <v>poet</v>
      </c>
      <c r="J100" s="310"/>
      <c r="K100" s="791" t="str">
        <f>$B100</f>
        <v>poet</v>
      </c>
      <c r="L100" s="310"/>
      <c r="M100" s="791" t="str">
        <f>$B100</f>
        <v>poet</v>
      </c>
      <c r="O100" s="791" t="str">
        <f>$B100</f>
        <v>poet</v>
      </c>
      <c r="Q100" s="791" t="str">
        <f>$B100</f>
        <v>poet</v>
      </c>
      <c r="S100" s="791" t="str">
        <f>$B100</f>
        <v>poet</v>
      </c>
      <c r="U100" s="791" t="str">
        <f>$B100</f>
        <v>poet</v>
      </c>
      <c r="W100" s="791" t="str">
        <f>$B100</f>
        <v>poet</v>
      </c>
      <c r="Y100" s="791" t="str">
        <f>$B100</f>
        <v>poet</v>
      </c>
      <c r="AA100" s="791" t="str">
        <f>$B100</f>
        <v>poet</v>
      </c>
      <c r="AC100" s="791" t="str">
        <f>$B100</f>
        <v>poet</v>
      </c>
      <c r="AE100" s="791" t="str">
        <f>$B100</f>
        <v>poet</v>
      </c>
      <c r="AG100" s="791" t="str">
        <f>$B100</f>
        <v>poet</v>
      </c>
      <c r="AI100" s="791" t="str">
        <f>$B100</f>
        <v>poet</v>
      </c>
      <c r="AK100" s="791" t="str">
        <f>$B100</f>
        <v>poet</v>
      </c>
      <c r="AM100" s="791" t="str">
        <f>$B100</f>
        <v>poet</v>
      </c>
      <c r="AO100" s="791" t="str">
        <f>$B100</f>
        <v>poet</v>
      </c>
      <c r="AQ100" s="791" t="str">
        <f t="shared" ref="AQ100" si="0">$B100</f>
        <v>poet</v>
      </c>
      <c r="AS100" s="791" t="str">
        <f t="shared" ref="AS100" si="1">$B100</f>
        <v>poet</v>
      </c>
    </row>
    <row r="101" spans="2:45">
      <c r="B101" s="312" t="str">
        <f ca="1">_xlfn.XLOOKUP(B100,B3:B95,C3:C95)</f>
        <v>USD</v>
      </c>
      <c r="D101" s="153"/>
      <c r="E101" s="312">
        <f ca="1">_xlfn.XLOOKUP(E100,E3:E96,F3:F96)</f>
        <v>1.322523558249018</v>
      </c>
      <c r="G101" s="564">
        <f t="shared" ref="G101" ca="1" si="2">_xlfn.XLOOKUP(G100,G3:G96,H3:H96)</f>
        <v>115067.48999999999</v>
      </c>
      <c r="I101" s="312">
        <f t="shared" ref="I101" ca="1" si="3">_xlfn.XLOOKUP(I100,I3:I96,J3:J96)</f>
        <v>3.6562000000000004E-2</v>
      </c>
      <c r="K101" s="312">
        <f t="shared" ref="K101" ca="1" si="4">_xlfn.XLOOKUP(K100,K3:K96,L3:L96)</f>
        <v>0.12585499999999999</v>
      </c>
      <c r="M101" s="564">
        <f t="shared" ref="M101" ca="1" si="5">_xlfn.XLOOKUP(M100,M3:M96,N3:N96)</f>
        <v>136800</v>
      </c>
      <c r="O101" s="564">
        <f t="shared" ref="O101" ca="1" si="6">_xlfn.XLOOKUP(O100,O3:O96,P3:P96)</f>
        <v>-2094.5399999999995</v>
      </c>
      <c r="Q101" s="312">
        <f t="shared" ref="Q101" ca="1" si="7">_xlfn.XLOOKUP(Q100,Q3:Q96,R3:R96)</f>
        <v>-7.1451666666666608E-3</v>
      </c>
      <c r="S101" s="564">
        <f t="shared" ref="S101" ca="1" si="8">_xlfn.XLOOKUP(S100,S3:S96,T3:T96)</f>
        <v>29475</v>
      </c>
      <c r="U101" s="564">
        <f t="shared" ref="U101" ca="1" si="9">_xlfn.XLOOKUP(U100,U3:U96,V3:V96)</f>
        <v>28755</v>
      </c>
      <c r="W101" s="564">
        <f t="shared" ref="W101" ca="1" si="10">_xlfn.XLOOKUP(W100,W3:W96,X3:X96)</f>
        <v>7</v>
      </c>
      <c r="Y101" s="564">
        <f t="shared" ref="Y101" ca="1" si="11">_xlfn.XLOOKUP(Y100,Y3:Y96,Z3:Z96)</f>
        <v>3</v>
      </c>
      <c r="AA101" s="564">
        <f t="shared" ref="AA101" ca="1" si="12">_xlfn.XLOOKUP(AA100,AA3:AA96,AB3:AB96)</f>
        <v>64</v>
      </c>
      <c r="AC101" s="564">
        <f t="shared" ref="AC101" ca="1" si="13">_xlfn.XLOOKUP(AC100,AC3:AC96,AD3:AD96)</f>
        <v>57</v>
      </c>
      <c r="AE101" s="564">
        <f t="shared" ref="AE101" ca="1" si="14">_xlfn.XLOOKUP(AE100,AE3:AE96,AF3:AF96)</f>
        <v>0</v>
      </c>
      <c r="AG101" s="564">
        <f t="shared" ref="AG101" ca="1" si="15">_xlfn.XLOOKUP(AG100,AG3:AG96,AH3:AH96)</f>
        <v>7775.0000000000009</v>
      </c>
      <c r="AI101" s="564">
        <f t="shared" ref="AI101" ca="1" si="16">_xlfn.XLOOKUP(AI100,AI3:AI96,AJ3:AJ96)</f>
        <v>2099.9999999999995</v>
      </c>
      <c r="AJ101"/>
      <c r="AK101" s="312">
        <f t="shared" ref="AK101" ca="1" si="17">_xlfn.XLOOKUP(AK100,AK3:AK96,AL3:AL96)</f>
        <v>-7.1451666666666608E-3</v>
      </c>
      <c r="AM101" s="312">
        <f t="shared" ref="AM101" ca="1" si="18">_xlfn.XLOOKUP(AM100,AM3:AM96,AN3:AN96)</f>
        <v>0.43636681820549522</v>
      </c>
      <c r="AO101" s="312">
        <f ca="1">_xlfn.XLOOKUP(AO100,AO3:AO96,AP3:AP96)</f>
        <v>-0.30694992124566856</v>
      </c>
      <c r="AQ101" s="312">
        <f t="shared" ref="AQ101" ca="1" si="19">_xlfn.XLOOKUP(AQ100,AQ3:AQ96,AR3:AR96)</f>
        <v>1.7778201219512195</v>
      </c>
      <c r="AS101" s="312">
        <f t="shared" ref="AS101" ca="1" si="20">_xlfn.XLOOKUP(AS100,AS3:AS96,AT3:AT96)</f>
        <v>0</v>
      </c>
    </row>
    <row r="102" spans="2:45">
      <c r="D102" s="153"/>
      <c r="J102" s="310"/>
      <c r="L102" s="310"/>
    </row>
    <row r="103" spans="2:45" ht="23" thickBot="1"/>
    <row r="104" spans="2:45" ht="23" thickBot="1">
      <c r="P104" s="791"/>
    </row>
  </sheetData>
  <autoFilter ref="A2:AQ97" xr:uid="{840BD063-C698-E146-AA3B-28FA0129F718}"/>
  <conditionalFormatting sqref="F3:F96">
    <cfRule type="colorScale" priority="23">
      <colorScale>
        <cfvo type="min"/>
        <cfvo type="percentile" val="50"/>
        <cfvo type="max"/>
        <color rgb="FFF8696B"/>
        <color rgb="FFFFEB84"/>
        <color rgb="FF63BE7B"/>
      </colorScale>
    </cfRule>
  </conditionalFormatting>
  <conditionalFormatting sqref="J3:J96">
    <cfRule type="colorScale" priority="22">
      <colorScale>
        <cfvo type="min"/>
        <cfvo type="percentile" val="50"/>
        <cfvo type="max"/>
        <color rgb="FFF8696B"/>
        <color rgb="FFFFEB84"/>
        <color rgb="FF63BE7B"/>
      </colorScale>
    </cfRule>
  </conditionalFormatting>
  <conditionalFormatting sqref="N3:N96">
    <cfRule type="colorScale" priority="21">
      <colorScale>
        <cfvo type="min"/>
        <cfvo type="percentile" val="50"/>
        <cfvo type="max"/>
        <color rgb="FFF8696B"/>
        <color rgb="FFFFEB84"/>
        <color rgb="FF63BE7B"/>
      </colorScale>
    </cfRule>
  </conditionalFormatting>
  <conditionalFormatting sqref="P3:P96">
    <cfRule type="colorScale" priority="20">
      <colorScale>
        <cfvo type="min"/>
        <cfvo type="percentile" val="50"/>
        <cfvo type="max"/>
        <color rgb="FFF8696B"/>
        <color rgb="FFFFEB84"/>
        <color rgb="FF63BE7B"/>
      </colorScale>
    </cfRule>
  </conditionalFormatting>
  <conditionalFormatting sqref="R3:R96">
    <cfRule type="colorScale" priority="19">
      <colorScale>
        <cfvo type="min"/>
        <cfvo type="percentile" val="50"/>
        <cfvo type="max"/>
        <color rgb="FFF8696B"/>
        <color rgb="FFFFEB84"/>
        <color rgb="FF63BE7B"/>
      </colorScale>
    </cfRule>
  </conditionalFormatting>
  <conditionalFormatting sqref="T3:T96">
    <cfRule type="colorScale" priority="18">
      <colorScale>
        <cfvo type="min"/>
        <cfvo type="percentile" val="50"/>
        <cfvo type="max"/>
        <color rgb="FFF8696B"/>
        <color rgb="FFFFEB84"/>
        <color rgb="FF63BE7B"/>
      </colorScale>
    </cfRule>
  </conditionalFormatting>
  <conditionalFormatting sqref="V3:V96">
    <cfRule type="colorScale" priority="17">
      <colorScale>
        <cfvo type="min"/>
        <cfvo type="percentile" val="50"/>
        <cfvo type="max"/>
        <color rgb="FFF8696B"/>
        <color rgb="FFFFEB84"/>
        <color rgb="FF63BE7B"/>
      </colorScale>
    </cfRule>
  </conditionalFormatting>
  <conditionalFormatting sqref="X3:X96">
    <cfRule type="colorScale" priority="16">
      <colorScale>
        <cfvo type="min"/>
        <cfvo type="percentile" val="50"/>
        <cfvo type="max"/>
        <color rgb="FF63BE7B"/>
        <color rgb="FFFFEB84"/>
        <color rgb="FFF8696B"/>
      </colorScale>
    </cfRule>
  </conditionalFormatting>
  <conditionalFormatting sqref="Z3:Z96">
    <cfRule type="colorScale" priority="15">
      <colorScale>
        <cfvo type="min"/>
        <cfvo type="percentile" val="50"/>
        <cfvo type="max"/>
        <color rgb="FF63BE7B"/>
        <color rgb="FFFFEB84"/>
        <color rgb="FFF8696B"/>
      </colorScale>
    </cfRule>
  </conditionalFormatting>
  <conditionalFormatting sqref="AB3:AB96">
    <cfRule type="colorScale" priority="14">
      <colorScale>
        <cfvo type="min"/>
        <cfvo type="percentile" val="50"/>
        <cfvo type="max"/>
        <color rgb="FFF8696B"/>
        <color rgb="FFFFEB84"/>
        <color rgb="FF63BE7B"/>
      </colorScale>
    </cfRule>
  </conditionalFormatting>
  <conditionalFormatting sqref="AD3:AD96">
    <cfRule type="colorScale" priority="13">
      <colorScale>
        <cfvo type="min"/>
        <cfvo type="percentile" val="50"/>
        <cfvo type="max"/>
        <color rgb="FFF8696B"/>
        <color rgb="FFFFEB84"/>
        <color rgb="FF63BE7B"/>
      </colorScale>
    </cfRule>
  </conditionalFormatting>
  <conditionalFormatting sqref="AF3:AF96">
    <cfRule type="colorScale" priority="12">
      <colorScale>
        <cfvo type="min"/>
        <cfvo type="percentile" val="50"/>
        <cfvo type="max"/>
        <color rgb="FFF8696B"/>
        <color rgb="FFFFEB84"/>
        <color rgb="FF63BE7B"/>
      </colorScale>
    </cfRule>
  </conditionalFormatting>
  <conditionalFormatting sqref="AH3:AH96">
    <cfRule type="colorScale" priority="11">
      <colorScale>
        <cfvo type="min"/>
        <cfvo type="percentile" val="50"/>
        <cfvo type="max"/>
        <color rgb="FFF8696B"/>
        <color rgb="FFFFEB84"/>
        <color rgb="FF63BE7B"/>
      </colorScale>
    </cfRule>
  </conditionalFormatting>
  <conditionalFormatting sqref="AJ3:AJ96">
    <cfRule type="colorScale" priority="10">
      <colorScale>
        <cfvo type="min"/>
        <cfvo type="percentile" val="50"/>
        <cfvo type="max"/>
        <color rgb="FFF8696B"/>
        <color rgb="FFFFEB84"/>
        <color rgb="FF63BE7B"/>
      </colorScale>
    </cfRule>
  </conditionalFormatting>
  <conditionalFormatting sqref="AL3:AL96">
    <cfRule type="colorScale" priority="9">
      <colorScale>
        <cfvo type="min"/>
        <cfvo type="percentile" val="50"/>
        <cfvo type="max"/>
        <color rgb="FFF8696B"/>
        <color rgb="FFFFEB84"/>
        <color rgb="FF63BE7B"/>
      </colorScale>
    </cfRule>
  </conditionalFormatting>
  <conditionalFormatting sqref="AN3:AN96">
    <cfRule type="colorScale" priority="8">
      <colorScale>
        <cfvo type="min"/>
        <cfvo type="percentile" val="50"/>
        <cfvo type="max"/>
        <color rgb="FFF8696B"/>
        <color rgb="FFFFEB84"/>
        <color rgb="FF63BE7B"/>
      </colorScale>
    </cfRule>
  </conditionalFormatting>
  <conditionalFormatting sqref="AP3:AP95">
    <cfRule type="colorScale" priority="3">
      <colorScale>
        <cfvo type="min"/>
        <cfvo type="percentile" val="50"/>
        <cfvo type="max"/>
        <color rgb="FF63BE7B"/>
        <color rgb="FFFFEB84"/>
        <color rgb="FFF8696B"/>
      </colorScale>
    </cfRule>
  </conditionalFormatting>
  <conditionalFormatting sqref="L3:L96">
    <cfRule type="colorScale" priority="5">
      <colorScale>
        <cfvo type="min"/>
        <cfvo type="percentile" val="50"/>
        <cfvo type="max"/>
        <color rgb="FFF8696B"/>
        <color rgb="FFFFEB84"/>
        <color rgb="FF63BE7B"/>
      </colorScale>
    </cfRule>
  </conditionalFormatting>
  <conditionalFormatting sqref="AR3:AR96">
    <cfRule type="colorScale" priority="4">
      <colorScale>
        <cfvo type="min"/>
        <cfvo type="percentile" val="50"/>
        <cfvo type="max"/>
        <color rgb="FFF8696B"/>
        <color rgb="FFFCFCFF"/>
        <color rgb="FF63BE7B"/>
      </colorScale>
    </cfRule>
  </conditionalFormatting>
  <conditionalFormatting sqref="I96">
    <cfRule type="colorScale" priority="2">
      <colorScale>
        <cfvo type="min"/>
        <cfvo type="percentile" val="50"/>
        <cfvo type="max"/>
        <color rgb="FFF8696B"/>
        <color rgb="FFFFEB84"/>
        <color rgb="FF63BE7B"/>
      </colorScale>
    </cfRule>
  </conditionalFormatting>
  <conditionalFormatting sqref="AT3:AT96">
    <cfRule type="colorScale" priority="1">
      <colorScale>
        <cfvo type="min"/>
        <cfvo type="percentile" val="50"/>
        <cfvo type="max"/>
        <color rgb="FFF8696B"/>
        <color rgb="FFFCFCFF"/>
        <color rgb="FF63BE7B"/>
      </colorScale>
    </cfRule>
  </conditionalFormatting>
  <dataValidations disablePrompts="1" count="1">
    <dataValidation type="list" allowBlank="1" showInputMessage="1" showErrorMessage="1" sqref="A1" xr:uid="{9ECEC9AD-75E7-F541-A320-1D2BD7A3C7D9}">
      <formula1>$A$3:$A$35</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9AA03-5DFB-5944-9EED-C02761F17A18}">
  <sheetPr codeName="Sheet20">
    <tabColor rgb="FFFFFF00"/>
  </sheetPr>
  <dimension ref="A1:AC131"/>
  <sheetViews>
    <sheetView showZeros="0" zoomScale="70" zoomScaleNormal="70" workbookViewId="0">
      <selection activeCell="F9" sqref="F9"/>
    </sheetView>
  </sheetViews>
  <sheetFormatPr baseColWidth="10" defaultRowHeight="22"/>
  <cols>
    <col min="1" max="1" width="18" customWidth="1"/>
    <col min="2" max="2" width="12.75" bestFit="1" customWidth="1"/>
    <col min="3" max="3" width="15.875" customWidth="1"/>
    <col min="4" max="4" width="16.875" customWidth="1"/>
    <col min="7" max="7" width="16.625" customWidth="1"/>
    <col min="8" max="8" width="12.125" customWidth="1"/>
    <col min="9" max="9" width="12" customWidth="1"/>
    <col min="10" max="10" width="17.625" customWidth="1"/>
    <col min="12" max="12" width="19.625" bestFit="1" customWidth="1"/>
    <col min="14" max="14" width="20.25" customWidth="1"/>
  </cols>
  <sheetData>
    <row r="1" spans="1:28">
      <c r="A1" s="355" t="s">
        <v>1863</v>
      </c>
      <c r="B1" s="355" t="s">
        <v>1864</v>
      </c>
      <c r="J1" s="1383" t="str">
        <f ca="1">"Up(Markov) "&amp;TEXT(ID_Up20,"#0%)")</f>
        <v>Up(Markov) 50%)</v>
      </c>
      <c r="K1" s="1405" t="s">
        <v>2393</v>
      </c>
      <c r="L1" s="1405"/>
      <c r="M1" s="1405"/>
      <c r="N1" s="1405"/>
      <c r="V1" s="224" t="s">
        <v>1838</v>
      </c>
      <c r="X1" t="s">
        <v>2757</v>
      </c>
      <c r="AB1" s="562" t="s">
        <v>1841</v>
      </c>
    </row>
    <row r="2" spans="1:28" ht="23" thickBot="1">
      <c r="A2" s="633" t="str">
        <f ca="1">TEXT(_xlfn.XLOOKUP(ID_Currency,BankCheck!F2:F7,BankCheck!D2:D7),"#,#0")&amp;" "&amp;ID_Currency</f>
        <v>46,460 USD</v>
      </c>
      <c r="B2" s="801">
        <v>67899</v>
      </c>
      <c r="J2" s="595"/>
      <c r="K2">
        <f>DesiredSaleGain</f>
        <v>5000</v>
      </c>
      <c r="L2" s="599" t="s">
        <v>1855</v>
      </c>
      <c r="M2" s="573">
        <f>DesiredBuyGain</f>
        <v>5000</v>
      </c>
      <c r="N2" s="573" t="s">
        <v>2394</v>
      </c>
      <c r="V2" s="584" t="s">
        <v>1839</v>
      </c>
      <c r="W2" s="586" t="s">
        <v>1840</v>
      </c>
      <c r="AA2" s="587" t="s">
        <v>1840</v>
      </c>
      <c r="AB2" s="585" t="s">
        <v>1839</v>
      </c>
    </row>
    <row r="3" spans="1:28" ht="24" thickTop="1" thickBot="1">
      <c r="A3" s="633" t="str">
        <f ca="1">TEXT(_xlfn.XLOOKUP(ID_Currency,BankCheck!F84:F86,BankCheck!D84:D86),"#,#0")&amp;" "&amp;ID_Currency</f>
        <v>20,639 USD</v>
      </c>
      <c r="B3" s="1261">
        <v>28690</v>
      </c>
      <c r="C3" s="1063" t="str">
        <f>Markov!W34</f>
        <v>Dataset Size=20 (Recent)</v>
      </c>
      <c r="D3" s="1063"/>
      <c r="E3" s="1064" t="str">
        <f>Markov!Y34</f>
        <v>St.Prob.</v>
      </c>
      <c r="F3" s="1065" t="str">
        <f>Markov!AA34</f>
        <v>Dataset Size-140</v>
      </c>
      <c r="G3" s="1065"/>
      <c r="H3" s="1066" t="str">
        <f>Markov!AC34</f>
        <v>St.Prob.</v>
      </c>
      <c r="J3" s="1018">
        <f ca="1">[1]ExtEntry!$A$1</f>
        <v>45955.006944444445</v>
      </c>
      <c r="K3" s="856" t="e" cm="1">
        <f t="array" aca="1" ref="K3" ca="1">_xlfn._xlws.FILTER(CHOOSE({1,2}, TabTRADER[ClickTick], TabTRADER[Sell_Advice]), (TabTRADER[Cur] = ID_Currency) * (TabTRADER[Sell_Advice]&lt;&gt;""),"No Match")</f>
        <v>#VALUE!</v>
      </c>
      <c r="L3" s="854"/>
      <c r="M3" s="857" t="e" cm="1">
        <f t="array" aca="1" ref="M3" ca="1">_xlfn._xlws.FILTER(CHOOSE({1,2}, TabTRADER[ClickTick], TabTRADER[Buy_Advice]), (TabTRADER[Cur] = ID_Currency) * (TabTRADER[Buy_Advice]&lt;&gt;""),"No Match")</f>
        <v>#VALUE!</v>
      </c>
      <c r="N3" s="855"/>
      <c r="Q3" s="1"/>
    </row>
    <row r="4" spans="1:28" ht="23" thickBot="1">
      <c r="C4" s="940" t="str">
        <f>Markov!W35</f>
        <v>Last Ttriplet</v>
      </c>
      <c r="D4" s="940" t="str">
        <f ca="1">Markov!X35</f>
        <v>DZD</v>
      </c>
      <c r="E4" s="960" t="e">
        <f ca="1">Markov!Y35</f>
        <v>#N/A</v>
      </c>
      <c r="F4" s="940" t="str">
        <f>Markov!AA35</f>
        <v>Last Ttriplet</v>
      </c>
      <c r="G4" s="940" t="str">
        <f ca="1">Markov!AB35</f>
        <v>DZD</v>
      </c>
      <c r="H4" s="941" t="e">
        <f ca="1">Markov!AC35</f>
        <v>#N/A</v>
      </c>
      <c r="J4" s="597" t="s">
        <v>1846</v>
      </c>
      <c r="K4" s="858"/>
      <c r="L4" s="617"/>
      <c r="M4" s="859"/>
      <c r="N4" s="860"/>
    </row>
    <row r="5" spans="1:28" ht="27">
      <c r="A5" s="649" t="s">
        <v>1866</v>
      </c>
      <c r="B5" s="609" t="s">
        <v>1868</v>
      </c>
      <c r="C5" s="929" t="str">
        <f>Markov!W36</f>
        <v>Last 2 Days</v>
      </c>
      <c r="D5" s="942" t="str">
        <f ca="1">Markov!X36</f>
        <v>Sum ZD</v>
      </c>
      <c r="E5" s="943" t="e" vm="128">
        <f ca="1">Markov!Y36</f>
        <v>#VALUE!</v>
      </c>
      <c r="F5" s="929" t="str">
        <f>Markov!AA36</f>
        <v>Last 2 Days</v>
      </c>
      <c r="G5" s="942" t="str">
        <f ca="1">Markov!AB36</f>
        <v>Sum ZD</v>
      </c>
      <c r="H5" s="943" t="e" vm="128">
        <f ca="1">Markov!AC36</f>
        <v>#VALUE!</v>
      </c>
      <c r="J5" s="636">
        <f ca="1">_xlfn.XLOOKUP(IDTICKER,[1]!RTData[Ticker symbol],[1]!RTData[M-Price])</f>
        <v>1094.69</v>
      </c>
      <c r="K5" s="858"/>
      <c r="L5" s="617"/>
      <c r="M5" s="859"/>
      <c r="N5" s="860"/>
      <c r="Q5" s="115"/>
    </row>
    <row r="6" spans="1:28" ht="23" thickBot="1">
      <c r="A6" s="632" t="str" cm="1">
        <f t="array" aca="1" ref="A6" ca="1">_xlfn.IFS(H16&gt;0,"Free Stock",StockNow*ID_M&lt;ABS(H16),"n/a",H16&lt;=0,TEXT(-H16/ID_M/GBpScale,"#,#0"))</f>
        <v>1,222</v>
      </c>
      <c r="B6" s="631">
        <f ca="1">_xlfn.XLOOKUP(IDTICKER,[1]!RTData[Ticker symbol],[1]!RTData[1YT])</f>
        <v>1358.6105</v>
      </c>
      <c r="C6" s="933" t="str">
        <f ca="1">Markov!W37</f>
        <v>ZD</v>
      </c>
      <c r="D6" s="944" t="str">
        <f>Markov!X37</f>
        <v>Stationary Probability</v>
      </c>
      <c r="E6" s="946">
        <f ca="1">Markov!Y37</f>
        <v>0</v>
      </c>
      <c r="F6" s="933" t="str">
        <f ca="1">Markov!AA37</f>
        <v>ZD</v>
      </c>
      <c r="G6" s="945" t="str">
        <f>Markov!AB37</f>
        <v>Stationary Probability</v>
      </c>
      <c r="H6" s="946">
        <f ca="1">Markov!AC37</f>
        <v>0</v>
      </c>
      <c r="J6" s="598" t="str">
        <f ca="1">_xlfn.XLOOKUP(J7,[1]!RTData[Ticker symbol],[1]!RTData[Currency])</f>
        <v>USD</v>
      </c>
      <c r="K6" s="858"/>
      <c r="L6" s="617"/>
      <c r="M6" s="859"/>
      <c r="N6" s="860"/>
    </row>
    <row r="7" spans="1:28" ht="28" thickBot="1">
      <c r="A7" s="609" t="str">
        <f ca="1">IF(A8&gt;0,"Sell-to-Cash (GL=0)","Hold")</f>
        <v>Sell-to-Cash (GL=0)</v>
      </c>
      <c r="B7" s="685">
        <f ca="1">GBpScale*((StockNow+_xlfn.XLOOKUP(IDTICKER,TabTRADER[ClickTick],TabTRADER[L_Sn]))*_xlfn.XLOOKUP(IDTICKER,TabTRADER[ClickTick],TabTRADER[Agiotage]))-CurrentValue</f>
        <v>-2732665.1014089701</v>
      </c>
      <c r="C7" s="947" t="str">
        <f ca="1">Markov!W40</f>
        <v>ZD ==&gt;Up</v>
      </c>
      <c r="D7" s="948" t="str">
        <f>Markov!W39</f>
        <v>Stationary P(U)</v>
      </c>
      <c r="E7" s="938" t="e">
        <f ca="1">Markov!X39</f>
        <v>#N/A</v>
      </c>
      <c r="F7" s="947" t="str">
        <f ca="1">Markov!AA40</f>
        <v>ZD ==&gt;Up</v>
      </c>
      <c r="G7" s="948" t="str">
        <f>Markov!AA39</f>
        <v>Stationary P(U)</v>
      </c>
      <c r="H7" s="1157" t="e">
        <f ca="1">Markov!AB39</f>
        <v>#N/A</v>
      </c>
      <c r="I7" s="7" t="s">
        <v>2744</v>
      </c>
      <c r="J7" s="1158" t="s">
        <v>30</v>
      </c>
      <c r="K7" s="858"/>
      <c r="L7" s="617"/>
      <c r="M7" s="859"/>
      <c r="N7" s="860"/>
    </row>
    <row r="8" spans="1:28" ht="23" thickBot="1">
      <c r="A8" s="605">
        <f ca="1">INT(GL_Now/ID_M)</f>
        <v>1278</v>
      </c>
      <c r="B8" s="685">
        <f ca="1">GBpScale*(StockNow*_xlfn.XLOOKUP(IDTICKER,TabTRADER[ClickTick],TabTRADER[Agiotage]))-CurrentValue</f>
        <v>-2732821.2513547791</v>
      </c>
      <c r="C8" s="902" t="str">
        <f>Markov!W41</f>
        <v>P(Up) [%]</v>
      </c>
      <c r="D8" s="902" t="str">
        <f>Markov!X41</f>
        <v>Number of Ups</v>
      </c>
      <c r="E8" s="940" t="str">
        <f>Markov!Y41</f>
        <v>%</v>
      </c>
      <c r="F8" s="902" t="str">
        <f>Markov!AA41</f>
        <v>P(Up) [%]</v>
      </c>
      <c r="G8" s="902" t="str">
        <f>Markov!AB41</f>
        <v>Number of Ups</v>
      </c>
      <c r="H8" s="907" t="str">
        <f>Markov!AC41</f>
        <v>%</v>
      </c>
      <c r="I8" s="1185">
        <f ca="1">_xlfn.XLOOKUP(IDTICKER,TabCalc[Ticker],TabCalc[Rev(MinStock)])</f>
        <v>-1095.0000000000273</v>
      </c>
      <c r="J8" s="1159" t="str">
        <f>IDTICKER&amp;1</f>
        <v>NFLX1</v>
      </c>
      <c r="K8" s="858"/>
      <c r="L8" s="617"/>
      <c r="M8" s="859"/>
      <c r="N8" s="860"/>
    </row>
    <row r="9" spans="1:28" ht="23" thickBot="1">
      <c r="B9" s="686">
        <f ca="1">(B7-B8)/(_xlfn.XLOOKUP(IDTICKER,TabTRADER[ClickTick],TabTRADER[L_Sn])*ID_M*GBpScale)</f>
        <v>1.4264307320706339E-3</v>
      </c>
      <c r="C9" s="906">
        <f ca="1">UpPercent</f>
        <v>0.5</v>
      </c>
      <c r="D9" s="907">
        <f ca="1">Markov!X42</f>
        <v>6</v>
      </c>
      <c r="E9" s="964">
        <f ca="1">Markov!Y42</f>
        <v>0.4</v>
      </c>
      <c r="F9" s="906">
        <f ca="1">Markov!AC42</f>
        <v>0.58715596330275233</v>
      </c>
      <c r="G9" s="907">
        <f ca="1">Markov!AB42</f>
        <v>64</v>
      </c>
      <c r="H9" s="950">
        <f ca="1">Markov!AC42</f>
        <v>0.58715596330275233</v>
      </c>
      <c r="I9" s="1040">
        <f ca="1">_xlfn.XLOOKUP(IDTICKER,TabCalc[Ticker],TabCalc[ReverseB])</f>
        <v>13886.999999999989</v>
      </c>
      <c r="J9" s="1160" t="str">
        <f>IDTICKER&amp;2</f>
        <v>NFLX2</v>
      </c>
      <c r="K9" s="858"/>
      <c r="L9" s="617"/>
      <c r="M9" s="859"/>
      <c r="N9" s="860"/>
    </row>
    <row r="10" spans="1:28" ht="23" thickBot="1">
      <c r="A10" s="91">
        <f ca="1">(B7-B8)/(B10*GBpScale)-1</f>
        <v>-0.9985735692679294</v>
      </c>
      <c r="B10" s="685">
        <f ca="1">_xlfn.XLOOKUP(IDTICKER,TabTRADER[ClickTick],TabTRADER[L_Sn])*ID_M</f>
        <v>109469</v>
      </c>
      <c r="C10" s="936" t="str">
        <f ca="1">Markov!W45</f>
        <v>ZD ==&gt; Dn</v>
      </c>
      <c r="D10" s="951" t="str">
        <f>Markov!W44</f>
        <v>Stationary P(D)</v>
      </c>
      <c r="E10" s="938" t="e">
        <f ca="1">Markov!X44</f>
        <v>#N/A</v>
      </c>
      <c r="F10" s="936" t="str">
        <f ca="1">Markov!AA45</f>
        <v>ZD ==&gt; Dn</v>
      </c>
      <c r="G10" s="951" t="str">
        <f>Markov!AA44</f>
        <v>Stationary P(D)</v>
      </c>
      <c r="H10" s="938" t="e">
        <f ca="1">Markov!AB44</f>
        <v>#N/A</v>
      </c>
      <c r="I10" s="1184" t="s">
        <v>694</v>
      </c>
      <c r="J10" s="1041">
        <f ca="1">IF(ID_Currency="GBp",0.01,1)</f>
        <v>1</v>
      </c>
      <c r="K10" s="858"/>
      <c r="L10" s="617"/>
      <c r="M10" s="859"/>
      <c r="N10" s="860"/>
    </row>
    <row r="11" spans="1:28" ht="23" thickBot="1">
      <c r="A11" s="639" t="s">
        <v>1877</v>
      </c>
      <c r="B11" s="609" t="s">
        <v>1867</v>
      </c>
      <c r="C11" s="952" t="str">
        <f>Markov!W46</f>
        <v>P(Down)[%]</v>
      </c>
      <c r="D11" s="902" t="str">
        <f>Markov!X46</f>
        <v>Number of Downs</v>
      </c>
      <c r="E11" s="953" t="str">
        <f>Markov!Y46</f>
        <v>%</v>
      </c>
      <c r="F11" s="954" t="str">
        <f>Markov!AA46</f>
        <v>P(Down)[%]</v>
      </c>
      <c r="G11" s="902" t="str">
        <f>Markov!AB46</f>
        <v>Number of Downs</v>
      </c>
      <c r="H11" s="955" t="str">
        <f>Markov!AC46</f>
        <v>%</v>
      </c>
      <c r="I11" s="1040">
        <f ca="1">_xlfn.XLOOKUP(IDTICKER,[1]!RTData[Ticker symbol],[1]!RTData[RepDiv])*ID_M_Value</f>
        <v>0</v>
      </c>
      <c r="J11" s="1266" t="str" cm="1">
        <f t="array" aca="1" ref="J11" ca="1">"High "&amp;TEXT(_xlfn.XLOOKUP(IDTICKER,ListTickers,Tab1High[High20]),"#,#0.00")</f>
        <v>High 1,114.51</v>
      </c>
      <c r="K11" s="858"/>
      <c r="L11" s="617"/>
      <c r="M11" s="859"/>
      <c r="N11" s="860"/>
    </row>
    <row r="12" spans="1:28" ht="23" thickBot="1">
      <c r="A12" s="640" t="str" cm="1">
        <f t="array" ref="A12">TEXT(MIN(_xlfn._xlws.FILTER(P22:P47, P22:P47 &lt; ABS_A)),"#.#0")&amp;" (max "&amp;TEXT(_xlfn.XLOOKUP(MIN(_xlfn._xlws.FILTER(P22:P47, P22:P47 &lt; ABS_A)),P22:P47,Q22:Q47),"#,#0")&amp;")"</f>
        <v>393.15 (max 0)</v>
      </c>
      <c r="B12" s="640">
        <f ca="1">ABS(ID_A+C15)</f>
        <v>575.70765412385049</v>
      </c>
      <c r="C12" s="956">
        <f ca="1">Markov!Y47</f>
        <v>0.6</v>
      </c>
      <c r="D12" s="945">
        <f ca="1">Markov!X47</f>
        <v>9</v>
      </c>
      <c r="E12" s="965">
        <f ca="1">Markov!Y47</f>
        <v>0.6</v>
      </c>
      <c r="F12" s="957">
        <f ca="1">Markov!AC47</f>
        <v>0.41284403669724773</v>
      </c>
      <c r="G12" s="945">
        <f ca="1">Markov!AB47</f>
        <v>45</v>
      </c>
      <c r="H12" s="958">
        <f ca="1">Markov!AC47</f>
        <v>0.41284403669724773</v>
      </c>
      <c r="I12" s="686">
        <f ca="1">_xlfn.XLOOKUP(IDTICKER,[1]!RTData[Ticker symbol],[1]!RTData[RepDiv])</f>
        <v>0</v>
      </c>
      <c r="J12" s="1267" t="str" cm="1">
        <f t="array" aca="1" ref="J12" ca="1">"Low. "&amp;_xlfn.XLOOKUP(IDTICKER,ListTickers,Tab1Low[Low20])</f>
        <v>Low. 1094.41</v>
      </c>
      <c r="K12" s="858"/>
      <c r="L12" s="617"/>
      <c r="M12" s="859"/>
      <c r="N12" s="860"/>
      <c r="O12" s="91" cm="1">
        <f t="array" aca="1" ref="O12" ca="1">_xlfn.XLOOKUP(IDTICKER,ListTickers,Tab1ChangePercent[Change%15])</f>
        <v>-9.0472999999999998E-2</v>
      </c>
      <c r="P12" s="91" cm="1">
        <f t="array" aca="1" ref="P12" ca="1">_xlfn.XLOOKUP(IDTICKER,ListTickers,Tab1ChangePercent[Change%16])</f>
        <v>7.8779999999999996E-3</v>
      </c>
      <c r="Q12" s="91" cm="1">
        <f t="array" aca="1" ref="Q12" ca="1">_xlfn.XLOOKUP(IDTICKER,ListTickers,Tab1ChangePercent[Change%17])</f>
        <v>7.8779999999999996E-3</v>
      </c>
      <c r="R12" s="91" cm="1">
        <f t="array" aca="1" ref="R12" ca="1">_xlfn.XLOOKUP(IDTICKER,ListTickers,Tab1ChangePercent[Change%18])</f>
        <v>2.1262E-2</v>
      </c>
      <c r="S12" s="91" cm="1">
        <f t="array" aca="1" ref="S12" ca="1">_xlfn.XLOOKUP(IDTICKER,ListTickers,Tab1ChangePercent[Change%19])</f>
        <v>-6.2759999999999996E-2</v>
      </c>
      <c r="T12" s="91" cm="1">
        <f t="array" aca="1" ref="T12" ca="1">_xlfn.XLOOKUP(IDTICKER,ListTickers,Tab1ChangePercent[Change%20])</f>
        <v>-1.6972000000000001E-2</v>
      </c>
    </row>
    <row r="13" spans="1:28" ht="23" thickBot="1">
      <c r="A13" s="989"/>
      <c r="B13" s="989"/>
      <c r="C13" s="990"/>
      <c r="D13" s="991"/>
      <c r="E13" s="992"/>
      <c r="F13" s="990"/>
      <c r="G13" s="991"/>
      <c r="H13" s="993"/>
      <c r="I13" s="974"/>
      <c r="J13" s="994"/>
      <c r="K13" s="858"/>
      <c r="L13" s="617"/>
      <c r="M13" s="859"/>
      <c r="N13" s="860"/>
      <c r="O13" s="1390">
        <f ca="1">DataShift!U103</f>
        <v>45950</v>
      </c>
      <c r="P13" s="1390">
        <f ca="1">DataShift!V103</f>
        <v>45951</v>
      </c>
      <c r="Q13" s="1390">
        <f ca="1">DataShift!W103</f>
        <v>45952</v>
      </c>
      <c r="R13" s="1390">
        <f ca="1">DataShift!X103</f>
        <v>45953</v>
      </c>
      <c r="S13" s="1390">
        <f ca="1">DataShift!Y103</f>
        <v>45954</v>
      </c>
      <c r="T13" s="1390">
        <f ca="1">DataShift!Z103</f>
        <v>45956</v>
      </c>
    </row>
    <row r="14" spans="1:28" ht="23" thickBot="1">
      <c r="A14" s="603" t="s">
        <v>1917</v>
      </c>
      <c r="B14" s="604" t="s">
        <v>1858</v>
      </c>
      <c r="C14" s="619" t="s">
        <v>1835</v>
      </c>
      <c r="D14" s="1051" t="s">
        <v>2145</v>
      </c>
      <c r="E14" s="624" t="s">
        <v>1860</v>
      </c>
      <c r="F14" s="625">
        <f ca="1">SUM(F15:F16)</f>
        <v>2838365</v>
      </c>
      <c r="G14" s="625">
        <f ca="1">SUM(G15:G16)</f>
        <v>2736725</v>
      </c>
      <c r="H14" s="673" t="s">
        <v>1869</v>
      </c>
      <c r="I14" s="69"/>
      <c r="J14" s="1055" t="s">
        <v>1854</v>
      </c>
      <c r="K14" s="858"/>
      <c r="L14" s="617"/>
      <c r="M14" s="859"/>
      <c r="N14" s="860"/>
      <c r="O14" s="91" cm="1">
        <f t="array" aca="1" ref="O14" ca="1">_xlfn.XLOOKUP(IDTICKER,ListTickers,Tab2SumChangePercent[AVGChan15])</f>
        <v>3.0077749999999999E-3</v>
      </c>
      <c r="P14" s="91" cm="1">
        <f t="array" aca="1" ref="P14" ca="1">_xlfn.XLOOKUP(IDTICKER,ListTickers,Tab2SumChangePercent[AVGChan16])</f>
        <v>-6.5494452380952372E-3</v>
      </c>
      <c r="Q14" s="91" cm="1">
        <f t="array" aca="1" ref="Q14" ca="1">_xlfn.XLOOKUP(IDTICKER,ListTickers,Tab2SumChangePercent[AVGChan17])</f>
        <v>-1.4577947619047618E-2</v>
      </c>
      <c r="R14" s="91" cm="1">
        <f t="array" aca="1" ref="R14" ca="1">_xlfn.XLOOKUP(IDTICKER,ListTickers,Tab2SumChangePercent[AVGChan18])</f>
        <v>-1.4960727380952381E-2</v>
      </c>
      <c r="S14" s="91" cm="1">
        <f t="array" aca="1" ref="S14" ca="1">_xlfn.XLOOKUP(IDTICKER,ListTickers,Tab2SumChangePercent[AVGChan19])</f>
        <v>-1.5202370238095234E-2</v>
      </c>
      <c r="T14" s="91" cm="1">
        <f t="array" aca="1" ref="T14" ca="1">_xlfn.XLOOKUP(IDTICKER,ListTickers,Tab2SumChangePercent[AVGChan20])</f>
        <v>-1.4453596428571426E-2</v>
      </c>
    </row>
    <row r="15" spans="1:28" ht="23" thickBot="1">
      <c r="A15" s="605" cm="1">
        <f t="array" aca="1" ref="A15" ca="1">ABS(SUMPRODUCT((ABS(TabFIFO[Price])&lt;ID_M)*TabFIFO[Price],TabFIFO[Remaining])*GBpScale)</f>
        <v>0</v>
      </c>
      <c r="B15" s="606" cm="1">
        <f t="array" aca="1" ref="B15" ca="1">SUMPRODUCT((ABS(TabFIFO[Price])&lt;ID_M)*ID_M,TabFIFO[Remaining])*GBpScale</f>
        <v>0</v>
      </c>
      <c r="C15" s="714">
        <f ca="1">GL_Now/StockNow</f>
        <v>559.63834587614951</v>
      </c>
      <c r="D15" s="1054" t="str">
        <f ca="1">"M&gt;"&amp;TEXT(ID_A+GLperShare,"#,#0.00")</f>
        <v>M&gt;-575.71</v>
      </c>
      <c r="E15" s="715" cm="1">
        <f t="array" ref="E15">SUM((TabFIFO[Price]&lt;=ID_A)*(TabFIFO[Remaining]))</f>
        <v>700</v>
      </c>
      <c r="F15" s="621" cm="1">
        <f t="array" aca="1" ref="F15" ca="1">ABS(SUMPRODUCT((TabFIFO[Price]&lt;ID_A)*TabFIFO[Price],TabFIFO[Remaining])*GBpScale)</f>
        <v>833900</v>
      </c>
      <c r="G15" s="622" cm="1">
        <f t="array" aca="1" ref="G15" ca="1">SUMPRODUCT((TabFIFO[Price]&lt;ID_A)*ID_M,TabFIFO[Remaining])*GBpScale</f>
        <v>766283</v>
      </c>
      <c r="H15" s="629">
        <f ca="1">FirstLot*BeginCost*GBpScale</f>
        <v>-1572600</v>
      </c>
      <c r="I15" s="630">
        <f ca="1">FirstLot*ID_M*GBpScale+H15</f>
        <v>2806160</v>
      </c>
      <c r="J15" s="1056">
        <f ca="1">_xlfn.XLOOKUP(IDTICKER,[1]!RTData[Ticker symbol],[1]!RTData[Ddate])</f>
        <v>0</v>
      </c>
      <c r="K15" s="858"/>
      <c r="L15" s="617"/>
      <c r="M15" s="859"/>
      <c r="N15" s="860"/>
      <c r="O15" s="1385">
        <v>0</v>
      </c>
      <c r="P15" s="1385">
        <v>0</v>
      </c>
      <c r="Q15" s="1385">
        <v>0</v>
      </c>
      <c r="R15" s="1385">
        <v>0</v>
      </c>
      <c r="S15" s="1385">
        <v>0</v>
      </c>
      <c r="T15" s="1385">
        <v>0</v>
      </c>
      <c r="U15" s="1385">
        <v>0.5</v>
      </c>
      <c r="V15" s="1385">
        <v>0.5</v>
      </c>
    </row>
    <row r="16" spans="1:28" ht="23" thickBot="1">
      <c r="A16" s="601" cm="1">
        <f t="array" aca="1" ref="A16" ca="1">ABS(SUMPRODUCT((ABS(TabFIFO[Price])&gt;ID_M)*TabFIFO[Price],TabFIFO[Remaining])*GBpScale)</f>
        <v>2838365</v>
      </c>
      <c r="B16" s="601" cm="1">
        <f t="array" aca="1" ref="B16" ca="1">SUMPRODUCT((ABS(TabFIFO[Price])&gt;ID_M)*ID_M,TabFIFO[Remaining])*GBpScale</f>
        <v>2736725</v>
      </c>
      <c r="C16" s="1047" t="str">
        <f ca="1">TEXT(U20*J5*GBpScale,"#,#0")&amp;" / "&amp;TEXT(U20*C15*GBpScale,"#,#0")</f>
        <v>0 / 0</v>
      </c>
      <c r="D16" s="1054">
        <f ca="1">ID_M+ID_A</f>
        <v>-40.655999999999949</v>
      </c>
      <c r="E16" s="1049" cm="1">
        <f t="array" ref="E16">SUM((TabFIFO[Price]&gt;ID_A)*(TabFIFO[Remaining]))</f>
        <v>1800</v>
      </c>
      <c r="F16" s="593" cm="1">
        <f t="array" aca="1" ref="F16" ca="1">ABS(SUMPRODUCT((TabFIFO[Price]&gt;ID_A)*TabFIFO[Price],TabFIFO[Remaining])*GBpScale)</f>
        <v>2004465</v>
      </c>
      <c r="G16" s="579" cm="1">
        <f t="array" aca="1" ref="G16" ca="1">SUMPRODUCT((TabFIFO[Price]&gt;ID_A)*ID_M,TabFIFO[Remaining])*GBpScale</f>
        <v>1970442</v>
      </c>
      <c r="H16" s="1046">
        <f ca="1">TotalCost+TradeIncome</f>
        <v>-1337629.1353096263</v>
      </c>
      <c r="I16" s="596">
        <f ca="1">SUM(G19:I19)</f>
        <v>1399095.8646903737</v>
      </c>
      <c r="J16" s="861" t="str">
        <f ca="1">_xlfn.LET(_xlpm.div,_xlfn.XLOOKUP(IDTICKER,[1]!RTData[Ticker symbol],[1]!RTData[RepDiv]),TEXT(_xlpm.div,"#0.0%")&amp;"="&amp;TEXT(_xlpm.div*CurrentValue,"#,#0"))</f>
        <v>0.0%=0</v>
      </c>
      <c r="K16" s="858"/>
      <c r="L16" s="617"/>
      <c r="M16" s="859"/>
      <c r="N16" s="860"/>
      <c r="O16" s="90" cm="1">
        <f t="array" aca="1" ref="O16" ca="1">_xlfn.XLOOKUP(IDTICKER,ListTickers,Tab2Agiotage[XAgio15])</f>
        <v>1.3575846715291022</v>
      </c>
      <c r="P16" s="90" cm="1">
        <f t="array" aca="1" ref="P16" ca="1">_xlfn.XLOOKUP(IDTICKER,ListTickers,Tab2Agiotage[XAgio16])</f>
        <v>1.1985824101588962</v>
      </c>
      <c r="Q16" s="90" cm="1">
        <f t="array" aca="1" ref="Q16" ca="1">_xlfn.XLOOKUP(IDTICKER,ListTickers,Tab2Agiotage[XAgio17])</f>
        <v>1.1985872034550706</v>
      </c>
      <c r="R16" s="90" cm="1">
        <f t="array" aca="1" ref="R16" ca="1">_xlfn.XLOOKUP(IDTICKER,ListTickers,Tab2Agiotage[XAgio18])</f>
        <v>1.1193396111995468</v>
      </c>
      <c r="S16" s="90" cm="1">
        <f t="array" aca="1" ref="S16" ca="1">_xlfn.XLOOKUP(IDTICKER,ListTickers,Tab2Agiotage[XAgio19])</f>
        <v>1.626865193587236</v>
      </c>
      <c r="T16" s="90" cm="1">
        <f t="array" aca="1" ref="T16" ca="1">_xlfn.XLOOKUP(IDTICKER,ListTickers,Tab2Agiotage[XAgio20])</f>
        <v>1.5614994580883679</v>
      </c>
    </row>
    <row r="17" spans="1:29" ht="23" thickBot="1">
      <c r="A17" s="623" t="s">
        <v>1918</v>
      </c>
      <c r="B17" s="602" t="s">
        <v>1859</v>
      </c>
      <c r="C17" s="1048" t="s">
        <v>1847</v>
      </c>
      <c r="D17" s="1052" t="s">
        <v>1848</v>
      </c>
      <c r="E17" s="1050" t="s">
        <v>1850</v>
      </c>
      <c r="F17" s="612" t="s">
        <v>1857</v>
      </c>
      <c r="G17" s="615" t="s">
        <v>1836</v>
      </c>
      <c r="H17" s="615" t="s">
        <v>1837</v>
      </c>
      <c r="I17" s="515" t="s">
        <v>1871</v>
      </c>
      <c r="J17" s="842" t="str">
        <f ca="1">"1YT "&amp;TEXT(_xlfn.XLOOKUP(IDTICKER,[1]!RTData[Ticker symbol],[1]!RTData[1YT]),"#,#0.00")</f>
        <v>1YT 1,358.61</v>
      </c>
      <c r="K17" s="858"/>
      <c r="L17" s="1109"/>
      <c r="M17" s="859"/>
      <c r="N17" s="860"/>
      <c r="O17" s="223">
        <v>1</v>
      </c>
      <c r="P17" s="90">
        <v>1</v>
      </c>
      <c r="Q17" s="223">
        <v>1</v>
      </c>
      <c r="R17" s="90">
        <v>1</v>
      </c>
      <c r="S17" s="223">
        <v>1</v>
      </c>
      <c r="T17" s="90">
        <v>1</v>
      </c>
    </row>
    <row r="18" spans="1:29" ht="23" thickBot="1">
      <c r="B18" s="580" t="s">
        <v>1861</v>
      </c>
      <c r="C18" s="623" t="s">
        <v>1851</v>
      </c>
      <c r="D18" s="1052" t="s">
        <v>1580</v>
      </c>
      <c r="E18" s="610">
        <f ca="1">IF(StockNow*ID_M&lt;&gt;StockNow*ID_M*GBpScale,"math.Error",StockNow*ID_M*GBpScale)</f>
        <v>2736725</v>
      </c>
      <c r="F18" s="580" t="s">
        <v>1845</v>
      </c>
      <c r="G18" s="609" t="s">
        <v>1001</v>
      </c>
      <c r="H18" s="609" t="s">
        <v>1849</v>
      </c>
      <c r="I18" s="609" t="s">
        <v>1844</v>
      </c>
      <c r="K18" s="858"/>
      <c r="L18" s="617"/>
      <c r="M18" s="859"/>
      <c r="N18" s="979"/>
      <c r="O18" t="str">
        <f>IDTICKER&amp;": Last 5 Day Fl_Avg.Ch,Agio)"</f>
        <v>NFLX: Last 5 Day Fl_Avg.Ch,Agio)</v>
      </c>
    </row>
    <row r="19" spans="1:29" ht="23" thickBot="1">
      <c r="A19" s="618" t="s">
        <v>1834</v>
      </c>
      <c r="B19" s="608" cm="1">
        <f t="array" aca="1" ref="B19" ca="1">SUM((ABS(TabFIFO[Price])&lt;ID_M)*(TabFIFO[Remaining]))</f>
        <v>0</v>
      </c>
      <c r="C19" s="620">
        <f ca="1">_xlfn.XLOOKUP(IDTICKER,[1]!RTData[Ticker symbol],[1]!RTData[RepDiv])*ID_M</f>
        <v>0</v>
      </c>
      <c r="D19" s="1053">
        <f>IFERROR(SUMPRODUCT(TabFIFO[Price],TabFIFO[Remaining])/StockNow,0)</f>
        <v>-1135.346</v>
      </c>
      <c r="E19" s="611">
        <f>TabFIFO[[#Totals],[Remaining]]</f>
        <v>2500</v>
      </c>
      <c r="F19" s="614">
        <f ca="1">TabFIFO[[#Totals],[Profit/Loss]]*GBpScale-(TradeIncome-TotalCost)*Commission</f>
        <v>1526221.7085624791</v>
      </c>
      <c r="G19" s="613">
        <f ca="1">TabFIFO[[#Totals],[Income]]*(1-Commission)*GBpScale</f>
        <v>4237393.4010991799</v>
      </c>
      <c r="H19" s="616">
        <f ca="1">TabFIFO[[#Totals],[Cost]]*(1+Commission)*GBpScale</f>
        <v>-5575022.5364088062</v>
      </c>
      <c r="I19" s="613">
        <f ca="1">TabFIFO[[#Totals],[M-VALUE Now]]*GBpScale</f>
        <v>2736725</v>
      </c>
      <c r="K19" s="858"/>
      <c r="L19" s="617"/>
      <c r="M19" s="859"/>
      <c r="N19" s="980"/>
      <c r="O19" s="12"/>
      <c r="P19" s="13"/>
      <c r="Q19" s="588" t="s">
        <v>1793</v>
      </c>
      <c r="R19" s="588" t="s">
        <v>1580</v>
      </c>
      <c r="S19" s="588" t="s">
        <v>677</v>
      </c>
      <c r="T19" s="588" t="s">
        <v>1804</v>
      </c>
      <c r="U19" s="588" t="s">
        <v>1807</v>
      </c>
      <c r="V19" s="588" t="s">
        <v>1805</v>
      </c>
      <c r="W19" s="588" t="s">
        <v>1806</v>
      </c>
      <c r="X19" s="588" t="s">
        <v>1808</v>
      </c>
      <c r="Y19" s="589" t="s">
        <v>1809</v>
      </c>
      <c r="Z19" s="589" t="s">
        <v>1810</v>
      </c>
    </row>
    <row r="20" spans="1:29" ht="23" thickBot="1">
      <c r="A20" s="505" t="s">
        <v>2520</v>
      </c>
      <c r="B20" s="1106">
        <v>5.0000000000000001E-3</v>
      </c>
      <c r="C20" s="355" t="s">
        <v>549</v>
      </c>
      <c r="D20" s="355" t="s">
        <v>139</v>
      </c>
      <c r="E20" s="355" t="s">
        <v>1793</v>
      </c>
      <c r="F20" s="126" t="s">
        <v>1794</v>
      </c>
      <c r="G20" s="1" t="s">
        <v>1795</v>
      </c>
      <c r="H20" s="1" t="s">
        <v>972</v>
      </c>
      <c r="I20" s="295" t="s">
        <v>1796</v>
      </c>
      <c r="J20" s="93"/>
      <c r="K20" s="858"/>
      <c r="L20" s="617"/>
      <c r="M20" s="859"/>
      <c r="N20" s="980"/>
      <c r="O20" s="478" t="s">
        <v>677</v>
      </c>
      <c r="P20" s="83">
        <f ca="1">ID_M</f>
        <v>1094.69</v>
      </c>
      <c r="Q20" s="572"/>
      <c r="R20" s="572"/>
      <c r="S20" s="888">
        <f>R21</f>
        <v>1300</v>
      </c>
      <c r="T20" s="492" cm="1">
        <f t="array" aca="1" ref="T20:W99" ca="1">_xlfn._xlws.SORT(P20:S99)</f>
        <v>393.15</v>
      </c>
      <c r="U20" s="82">
        <f ca="1"/>
        <v>0</v>
      </c>
      <c r="V20" s="82">
        <f ca="1"/>
        <v>0</v>
      </c>
      <c r="W20" s="82">
        <f ca="1"/>
        <v>0</v>
      </c>
      <c r="X20" s="83">
        <f ca="1">T20</f>
        <v>393.15</v>
      </c>
      <c r="Y20" s="864">
        <f ca="1">P20</f>
        <v>1094.69</v>
      </c>
      <c r="Z20" s="864">
        <v>9.9999999999999995E-7</v>
      </c>
      <c r="AA20" s="355"/>
      <c r="AB20" s="355"/>
    </row>
    <row r="21" spans="1:29" ht="23" thickBot="1">
      <c r="A21" s="1116" t="s">
        <v>2521</v>
      </c>
      <c r="B21" s="1113">
        <f ca="1">SUMIFS(TabFIFO[Remaining], TabFIFO[Price], "&lt;" &amp; -ID_M*(1-NeutralZoneM))</f>
        <v>2500</v>
      </c>
      <c r="C21" s="578">
        <v>4000</v>
      </c>
      <c r="D21" s="575">
        <v>-393.15</v>
      </c>
      <c r="E21" s="574">
        <v>0</v>
      </c>
      <c r="F21" s="839">
        <v>0</v>
      </c>
      <c r="G21" s="576">
        <f>IF(TabFIFO[[#This Row],[Price]]&gt;0,TabFIFO[[#This Row],[Number]]*TabFIFO[[#This Row],[Price]],0)*(1-Commission)</f>
        <v>0</v>
      </c>
      <c r="H21" s="576">
        <f>IF(TabFIFO[[#This Row],[Price]]&lt;0,TabFIFO[[#This Row],[Number]]*TabFIFO[[#This Row],[Price]],0)*(1+Commission)</f>
        <v>-1576688.76</v>
      </c>
      <c r="I21" s="840">
        <f ca="1">TabFIFO[[#This Row],[Remaining]]*ID_M</f>
        <v>0</v>
      </c>
      <c r="K21" s="858"/>
      <c r="L21" s="617"/>
      <c r="M21" s="859"/>
      <c r="N21" s="980"/>
      <c r="O21" s="478" t="s">
        <v>1580</v>
      </c>
      <c r="P21" s="866">
        <f>ABS(ID_A)</f>
        <v>1135.346</v>
      </c>
      <c r="Q21" s="1332"/>
      <c r="R21" s="1333">
        <f>MAX(Q22:Q99)</f>
        <v>1300</v>
      </c>
      <c r="S21" s="1332"/>
      <c r="T21" s="492">
        <f ca="1"/>
        <v>601.39</v>
      </c>
      <c r="U21" s="82">
        <f ca="1"/>
        <v>0</v>
      </c>
      <c r="V21" s="82">
        <f ca="1"/>
        <v>0</v>
      </c>
      <c r="W21" s="82">
        <f ca="1"/>
        <v>0</v>
      </c>
      <c r="X21" s="83">
        <f t="shared" ref="X21:X50" ca="1" si="0">T21</f>
        <v>601.39</v>
      </c>
      <c r="Y21" s="865">
        <f>ABS_A</f>
        <v>1135.346</v>
      </c>
      <c r="Z21" s="865">
        <v>9.9999999999999995E-7</v>
      </c>
      <c r="AB21" s="82"/>
    </row>
    <row r="22" spans="1:29">
      <c r="A22" s="1117" t="s">
        <v>2522</v>
      </c>
      <c r="B22" s="1114">
        <f ca="1">SUMIFS(TabFIFO[Remaining], TabFIFO[Price], "&gt;" &amp; -(ID_M*(1-NeutralZoneM)))</f>
        <v>0</v>
      </c>
      <c r="C22" s="578">
        <v>300</v>
      </c>
      <c r="D22" s="575">
        <v>-601.39</v>
      </c>
      <c r="E22" s="574">
        <v>0</v>
      </c>
      <c r="F22" s="839">
        <v>0</v>
      </c>
      <c r="G22" s="576">
        <f>IF(TabFIFO[[#This Row],[Price]]&gt;0,TabFIFO[[#This Row],[Number]]*TabFIFO[[#This Row],[Price]],0)*(1-Commission)</f>
        <v>0</v>
      </c>
      <c r="H22" s="576">
        <f>IF(TabFIFO[[#This Row],[Price]]&lt;0,TabFIFO[[#This Row],[Number]]*TabFIFO[[#This Row],[Price]],0)*(1+Commission)</f>
        <v>-180886.08419999998</v>
      </c>
      <c r="I22" s="583">
        <f ca="1">TabFIFO[[#This Row],[Remaining]]*ID_M</f>
        <v>0</v>
      </c>
      <c r="K22" s="858"/>
      <c r="L22" s="617"/>
      <c r="M22" s="859"/>
      <c r="N22" s="980"/>
      <c r="O22" s="832" t="s">
        <v>1875</v>
      </c>
      <c r="P22" s="846" cm="1">
        <f t="array" ref="P22:P32">ABS(_xlfn._xlws.FILTER(TabFIFO[Price],TabFIFO[Price]&lt;0,NA()))</f>
        <v>393.15</v>
      </c>
      <c r="Q22" s="1329" cm="1">
        <f t="array" ref="Q22:Q32">ABS(_xlfn._xlws.FILTER(TabFIFO[Remaining],TabFIFO[Price]&lt;0,0))</f>
        <v>0</v>
      </c>
      <c r="R22" s="1330"/>
      <c r="S22" s="1330"/>
      <c r="T22" s="1331">
        <f ca="1"/>
        <v>601.75</v>
      </c>
      <c r="U22" s="847">
        <f ca="1"/>
        <v>0</v>
      </c>
      <c r="V22" s="847">
        <f ca="1"/>
        <v>0</v>
      </c>
      <c r="W22" s="847">
        <f ca="1"/>
        <v>0</v>
      </c>
      <c r="X22" s="846">
        <f t="shared" ca="1" si="0"/>
        <v>601.75</v>
      </c>
      <c r="Y22" s="848" cm="1">
        <f t="array" ref="Y22:Z99">_xlfn._xlws.SORT(_xlfn._xlws.FILTER(P22:Q99, Q22:Q99 &gt;=0), 1, 1)</f>
        <v>393.15</v>
      </c>
      <c r="Z22" s="834">
        <v>0</v>
      </c>
      <c r="AB22" s="82"/>
      <c r="AC22">
        <f ca="1">GL_Now/7235</f>
        <v>193.37883409680356</v>
      </c>
    </row>
    <row r="23" spans="1:29" ht="23" thickBot="1">
      <c r="A23" s="1118" t="s">
        <v>2523</v>
      </c>
      <c r="B23" s="1115">
        <f ca="1">StockNow-B22-B21</f>
        <v>0</v>
      </c>
      <c r="C23" s="578">
        <v>300</v>
      </c>
      <c r="D23" s="575">
        <v>612.22</v>
      </c>
      <c r="E23" s="574"/>
      <c r="F23" s="839">
        <v>65721</v>
      </c>
      <c r="G23" s="576">
        <f>IF(TabFIFO[[#This Row],[Price]]&gt;0,TabFIFO[[#This Row],[Number]]*TabFIFO[[#This Row],[Price]],0)*(1-Commission)</f>
        <v>183188.46839999998</v>
      </c>
      <c r="H23" s="576">
        <f>IF(TabFIFO[[#This Row],[Price]]&lt;0,TabFIFO[[#This Row],[Number]]*TabFIFO[[#This Row],[Price]],0)*(1+Commission)</f>
        <v>0</v>
      </c>
      <c r="I23" s="583">
        <f ca="1">TabFIFO[[#This Row],[Remaining]]*ID_M</f>
        <v>0</v>
      </c>
      <c r="K23" s="858"/>
      <c r="L23" s="978"/>
      <c r="M23" s="859"/>
      <c r="N23" s="980"/>
      <c r="O23" s="1327" t="s">
        <v>1876</v>
      </c>
      <c r="P23" s="846">
        <v>601.39</v>
      </c>
      <c r="Q23" s="1329">
        <v>0</v>
      </c>
      <c r="R23" s="1330"/>
      <c r="S23" s="1330">
        <f t="shared" ref="S23:S37" si="1">R23</f>
        <v>0</v>
      </c>
      <c r="T23" s="1331">
        <f ca="1"/>
        <v>642.58018000000004</v>
      </c>
      <c r="U23" s="847">
        <f ca="1"/>
        <v>0</v>
      </c>
      <c r="V23" s="847">
        <f ca="1"/>
        <v>0</v>
      </c>
      <c r="W23" s="847">
        <f ca="1"/>
        <v>0</v>
      </c>
      <c r="X23" s="846">
        <f t="shared" ca="1" si="0"/>
        <v>642.58018000000004</v>
      </c>
      <c r="Y23" s="848">
        <v>601.39</v>
      </c>
      <c r="Z23" s="834">
        <v>0</v>
      </c>
      <c r="AB23" s="82"/>
    </row>
    <row r="24" spans="1:29">
      <c r="A24" s="82"/>
      <c r="C24" s="578">
        <v>1000</v>
      </c>
      <c r="D24" s="575">
        <v>608.69060000000002</v>
      </c>
      <c r="E24" s="574"/>
      <c r="F24" s="839">
        <v>215540.59999999998</v>
      </c>
      <c r="G24" s="576">
        <f>IF(TabFIFO[[#This Row],[Price]]&gt;0,TabFIFO[[#This Row],[Number]]*TabFIFO[[#This Row],[Price]],0)*(1-Commission)</f>
        <v>607108.00443999993</v>
      </c>
      <c r="H24" s="576">
        <f>IF(TabFIFO[[#This Row],[Price]]&lt;0,TabFIFO[[#This Row],[Number]]*TabFIFO[[#This Row],[Price]],0)*(1+Commission)</f>
        <v>0</v>
      </c>
      <c r="I24" s="583">
        <f ca="1">TabFIFO[[#This Row],[Remaining]]*ID_M</f>
        <v>0</v>
      </c>
      <c r="K24" s="858"/>
      <c r="L24" s="978"/>
      <c r="M24" s="859"/>
      <c r="N24" s="980"/>
      <c r="O24" s="364"/>
      <c r="P24" s="846">
        <v>601.75</v>
      </c>
      <c r="Q24" s="1329">
        <v>0</v>
      </c>
      <c r="R24" s="1330"/>
      <c r="S24" s="1330">
        <f t="shared" si="1"/>
        <v>0</v>
      </c>
      <c r="T24" s="1331">
        <f ca="1"/>
        <v>705.46</v>
      </c>
      <c r="U24" s="847">
        <f ca="1"/>
        <v>0</v>
      </c>
      <c r="V24" s="847">
        <f ca="1"/>
        <v>0</v>
      </c>
      <c r="W24" s="847">
        <f ca="1"/>
        <v>0</v>
      </c>
      <c r="X24" s="846">
        <f t="shared" ca="1" si="0"/>
        <v>705.46</v>
      </c>
      <c r="Y24" s="364">
        <v>601.75</v>
      </c>
      <c r="Z24" s="847">
        <v>0</v>
      </c>
      <c r="AB24" s="82"/>
    </row>
    <row r="25" spans="1:29">
      <c r="A25" s="82"/>
      <c r="B25" s="82"/>
      <c r="C25" s="578">
        <v>1500</v>
      </c>
      <c r="D25" s="575">
        <v>618.70000000000005</v>
      </c>
      <c r="E25" s="574"/>
      <c r="F25" s="839">
        <v>338325.00000000012</v>
      </c>
      <c r="G25" s="576">
        <f>IF(TabFIFO[[#This Row],[Price]]&gt;0,TabFIFO[[#This Row],[Number]]*TabFIFO[[#This Row],[Price]],0)*(1-Commission)</f>
        <v>925637.07000000007</v>
      </c>
      <c r="H25" s="576">
        <f>IF(TabFIFO[[#This Row],[Price]]&lt;0,TabFIFO[[#This Row],[Number]]*TabFIFO[[#This Row],[Price]],0)*(1+Commission)</f>
        <v>0</v>
      </c>
      <c r="I25" s="583">
        <f ca="1">TabFIFO[[#This Row],[Remaining]]*ID_M</f>
        <v>0</v>
      </c>
      <c r="K25" s="858"/>
      <c r="L25" s="978"/>
      <c r="M25" s="859"/>
      <c r="N25" s="980"/>
      <c r="O25" s="364"/>
      <c r="P25" s="846">
        <v>642.58018000000004</v>
      </c>
      <c r="Q25" s="1329">
        <v>0</v>
      </c>
      <c r="R25" s="1330"/>
      <c r="S25" s="1330">
        <f t="shared" si="1"/>
        <v>0</v>
      </c>
      <c r="T25" s="1331">
        <f ca="1"/>
        <v>957.53</v>
      </c>
      <c r="U25" s="847">
        <f ca="1"/>
        <v>0</v>
      </c>
      <c r="V25" s="847">
        <f ca="1"/>
        <v>0</v>
      </c>
      <c r="W25" s="847">
        <f ca="1"/>
        <v>0</v>
      </c>
      <c r="X25" s="846">
        <f t="shared" ca="1" si="0"/>
        <v>957.53</v>
      </c>
      <c r="Y25" s="364">
        <v>642.58018000000004</v>
      </c>
      <c r="Z25" s="847">
        <v>0</v>
      </c>
      <c r="AB25" s="82"/>
    </row>
    <row r="26" spans="1:29">
      <c r="A26" s="82"/>
      <c r="B26" s="82"/>
      <c r="C26" s="578">
        <v>500</v>
      </c>
      <c r="D26" s="575">
        <v>-601.75</v>
      </c>
      <c r="E26" s="574">
        <v>0</v>
      </c>
      <c r="F26" s="839">
        <v>0</v>
      </c>
      <c r="G26" s="576">
        <f>IF(TabFIFO[[#This Row],[Price]]&gt;0,TabFIFO[[#This Row],[Number]]*TabFIFO[[#This Row],[Price]],0)*(1-Commission)</f>
        <v>0</v>
      </c>
      <c r="H26" s="576">
        <f>IF(TabFIFO[[#This Row],[Price]]&lt;0,TabFIFO[[#This Row],[Number]]*TabFIFO[[#This Row],[Price]],0)*(1+Commission)</f>
        <v>-301657.27499999997</v>
      </c>
      <c r="I26" s="583">
        <f ca="1">TabFIFO[[#This Row],[Remaining]]*ID_M</f>
        <v>0</v>
      </c>
      <c r="K26" s="858"/>
      <c r="L26" s="978"/>
      <c r="M26" s="859"/>
      <c r="N26" s="980"/>
      <c r="O26" s="364"/>
      <c r="P26" s="846">
        <v>705.46</v>
      </c>
      <c r="Q26" s="1329">
        <v>0</v>
      </c>
      <c r="R26" s="1330"/>
      <c r="S26" s="1330">
        <f t="shared" si="1"/>
        <v>0</v>
      </c>
      <c r="T26" s="1331">
        <f ca="1"/>
        <v>1094.69</v>
      </c>
      <c r="U26" s="847">
        <f ca="1"/>
        <v>0</v>
      </c>
      <c r="V26" s="847">
        <f ca="1"/>
        <v>0</v>
      </c>
      <c r="W26" s="847">
        <f ca="1"/>
        <v>1300</v>
      </c>
      <c r="X26" s="846">
        <f t="shared" ca="1" si="0"/>
        <v>1094.69</v>
      </c>
      <c r="Y26" s="364">
        <v>705.46</v>
      </c>
      <c r="Z26" s="847">
        <v>0</v>
      </c>
      <c r="AB26" s="82"/>
    </row>
    <row r="27" spans="1:29">
      <c r="A27" s="82"/>
      <c r="B27" s="82"/>
      <c r="C27" s="578">
        <v>500</v>
      </c>
      <c r="D27" s="575">
        <v>627.82140000000004</v>
      </c>
      <c r="E27" s="574"/>
      <c r="F27" s="839">
        <v>117335.70000000001</v>
      </c>
      <c r="G27" s="576">
        <f>IF(TabFIFO[[#This Row],[Price]]&gt;0,TabFIFO[[#This Row],[Number]]*TabFIFO[[#This Row],[Price]],0)*(1-Commission)</f>
        <v>313094.53217999998</v>
      </c>
      <c r="H27" s="576">
        <f>IF(TabFIFO[[#This Row],[Price]]&lt;0,TabFIFO[[#This Row],[Number]]*TabFIFO[[#This Row],[Price]],0)*(1+Commission)</f>
        <v>0</v>
      </c>
      <c r="I27" s="583">
        <f ca="1">TabFIFO[[#This Row],[Remaining]]*ID_M</f>
        <v>0</v>
      </c>
      <c r="K27" s="858"/>
      <c r="L27" s="978"/>
      <c r="M27" s="859"/>
      <c r="N27" s="980"/>
      <c r="O27" s="364"/>
      <c r="P27" s="846">
        <v>957.53</v>
      </c>
      <c r="Q27" s="1329">
        <v>0</v>
      </c>
      <c r="R27" s="1330"/>
      <c r="S27" s="1330">
        <f t="shared" si="1"/>
        <v>0</v>
      </c>
      <c r="T27" s="1331">
        <f ca="1"/>
        <v>1103.56</v>
      </c>
      <c r="U27" s="847">
        <f ca="1"/>
        <v>500</v>
      </c>
      <c r="V27" s="847">
        <f ca="1"/>
        <v>0</v>
      </c>
      <c r="W27" s="847">
        <f ca="1"/>
        <v>0</v>
      </c>
      <c r="X27" s="846">
        <f t="shared" ca="1" si="0"/>
        <v>1103.56</v>
      </c>
      <c r="Y27" s="364">
        <v>957.53</v>
      </c>
      <c r="Z27" s="847">
        <v>0</v>
      </c>
      <c r="AB27" s="82"/>
    </row>
    <row r="28" spans="1:29">
      <c r="A28" s="82"/>
      <c r="B28" s="82"/>
      <c r="C28" s="578">
        <v>500</v>
      </c>
      <c r="D28" s="575">
        <v>636.91930000000002</v>
      </c>
      <c r="E28" s="574"/>
      <c r="F28" s="839">
        <v>121884.65000000002</v>
      </c>
      <c r="G28" s="576">
        <f>IF(TabFIFO[[#This Row],[Price]]&gt;0,TabFIFO[[#This Row],[Number]]*TabFIFO[[#This Row],[Price]],0)*(1-Commission)</f>
        <v>317631.65490999998</v>
      </c>
      <c r="H28" s="576">
        <f>IF(TabFIFO[[#This Row],[Price]]&lt;0,TabFIFO[[#This Row],[Number]]*TabFIFO[[#This Row],[Price]],0)*(1+Commission)</f>
        <v>0</v>
      </c>
      <c r="I28" s="583">
        <f ca="1">TabFIFO[[#This Row],[Remaining]]*ID_M</f>
        <v>0</v>
      </c>
      <c r="K28" s="858"/>
      <c r="L28" s="978"/>
      <c r="M28" s="859"/>
      <c r="N28" s="980"/>
      <c r="O28" s="364"/>
      <c r="P28" s="846">
        <v>1208.99</v>
      </c>
      <c r="Q28" s="1329">
        <v>400</v>
      </c>
      <c r="R28" s="1330"/>
      <c r="S28" s="1330">
        <f t="shared" si="1"/>
        <v>0</v>
      </c>
      <c r="T28" s="1331">
        <f ca="1"/>
        <v>1117.45</v>
      </c>
      <c r="U28" s="847">
        <f ca="1"/>
        <v>1300</v>
      </c>
      <c r="V28" s="847">
        <f ca="1"/>
        <v>0</v>
      </c>
      <c r="W28" s="847">
        <f ca="1"/>
        <v>0</v>
      </c>
      <c r="X28" s="846">
        <f t="shared" ca="1" si="0"/>
        <v>1117.45</v>
      </c>
      <c r="Y28" s="364">
        <v>1103.56</v>
      </c>
      <c r="Z28" s="847">
        <v>500</v>
      </c>
      <c r="AB28" s="82"/>
    </row>
    <row r="29" spans="1:29">
      <c r="A29" s="82"/>
      <c r="B29" s="82"/>
      <c r="C29" s="578">
        <v>500</v>
      </c>
      <c r="D29" s="575">
        <v>670.21226000000001</v>
      </c>
      <c r="E29" s="574"/>
      <c r="F29" s="839">
        <v>76059.13</v>
      </c>
      <c r="G29" s="576">
        <f>IF(TabFIFO[[#This Row],[Price]]&gt;0,TabFIFO[[#This Row],[Number]]*TabFIFO[[#This Row],[Price]],0)*(1-Commission)</f>
        <v>334234.854062</v>
      </c>
      <c r="H29" s="576">
        <f>IF(TabFIFO[[#This Row],[Price]]&lt;0,TabFIFO[[#This Row],[Number]]*TabFIFO[[#This Row],[Price]],0)*(1+Commission)</f>
        <v>0</v>
      </c>
      <c r="I29" s="583">
        <f ca="1">TabFIFO[[#This Row],[Remaining]]*ID_M</f>
        <v>0</v>
      </c>
      <c r="K29" s="858"/>
      <c r="L29" s="978"/>
      <c r="M29" s="859"/>
      <c r="N29" s="980"/>
      <c r="O29" s="364"/>
      <c r="P29" s="846">
        <v>1161.69</v>
      </c>
      <c r="Q29" s="1329">
        <v>200</v>
      </c>
      <c r="R29" s="1330"/>
      <c r="S29" s="1330">
        <f t="shared" si="1"/>
        <v>0</v>
      </c>
      <c r="T29" s="1331">
        <f ca="1"/>
        <v>1135.346</v>
      </c>
      <c r="U29" s="847">
        <f ca="1"/>
        <v>0</v>
      </c>
      <c r="V29" s="847">
        <f ca="1"/>
        <v>1300</v>
      </c>
      <c r="W29" s="847">
        <f ca="1"/>
        <v>0</v>
      </c>
      <c r="X29" s="846">
        <f t="shared" ca="1" si="0"/>
        <v>1135.346</v>
      </c>
      <c r="Y29" s="364">
        <v>1117.45</v>
      </c>
      <c r="Z29" s="847">
        <v>1300</v>
      </c>
      <c r="AB29" s="82"/>
    </row>
    <row r="30" spans="1:29">
      <c r="A30" s="82"/>
      <c r="B30" s="82"/>
      <c r="C30" s="578">
        <v>500</v>
      </c>
      <c r="D30" s="575">
        <v>-642.58018000000004</v>
      </c>
      <c r="E30" s="574">
        <v>0</v>
      </c>
      <c r="F30" s="839">
        <v>0</v>
      </c>
      <c r="G30" s="576">
        <f>IF(TabFIFO[[#This Row],[Price]]&gt;0,TabFIFO[[#This Row],[Number]]*TabFIFO[[#This Row],[Price]],0)*(1-Commission)</f>
        <v>0</v>
      </c>
      <c r="H30" s="576">
        <f>IF(TabFIFO[[#This Row],[Price]]&lt;0,TabFIFO[[#This Row],[Number]]*TabFIFO[[#This Row],[Price]],0)*(1+Commission)</f>
        <v>-322125.444234</v>
      </c>
      <c r="I30" s="583">
        <f ca="1">TabFIFO[[#This Row],[Remaining]]*ID_M</f>
        <v>0</v>
      </c>
      <c r="K30" s="858"/>
      <c r="L30" s="978"/>
      <c r="M30" s="859"/>
      <c r="N30" s="980"/>
      <c r="O30" s="364"/>
      <c r="P30" s="846">
        <v>1179.6600000000001</v>
      </c>
      <c r="Q30" s="1329">
        <v>100</v>
      </c>
      <c r="R30" s="1330"/>
      <c r="S30" s="1330">
        <f t="shared" si="1"/>
        <v>0</v>
      </c>
      <c r="T30" s="1331">
        <f ca="1"/>
        <v>1161.69</v>
      </c>
      <c r="U30" s="847">
        <f ca="1"/>
        <v>200</v>
      </c>
      <c r="V30" s="847">
        <f ca="1"/>
        <v>0</v>
      </c>
      <c r="W30" s="847">
        <f ca="1"/>
        <v>0</v>
      </c>
      <c r="X30" s="846">
        <f t="shared" ca="1" si="0"/>
        <v>1161.69</v>
      </c>
      <c r="Y30" s="364">
        <v>1161.69</v>
      </c>
      <c r="Z30" s="847">
        <v>200</v>
      </c>
      <c r="AB30" s="82"/>
    </row>
    <row r="31" spans="1:29">
      <c r="A31" s="82"/>
      <c r="B31" s="82"/>
      <c r="C31" s="578">
        <v>200</v>
      </c>
      <c r="D31" s="575">
        <v>-705.46</v>
      </c>
      <c r="E31" s="574">
        <v>0</v>
      </c>
      <c r="F31" s="839">
        <v>0</v>
      </c>
      <c r="G31" s="576">
        <f>IF(TabFIFO[[#This Row],[Price]]&gt;0,TabFIFO[[#This Row],[Number]]*TabFIFO[[#This Row],[Price]],0)*(1-Commission)</f>
        <v>0</v>
      </c>
      <c r="H31" s="576">
        <f>IF(TabFIFO[[#This Row],[Price]]&lt;0,TabFIFO[[#This Row],[Number]]*TabFIFO[[#This Row],[Price]],0)*(1+Commission)</f>
        <v>-141458.83919999999</v>
      </c>
      <c r="I31" s="583">
        <f ca="1">TabFIFO[[#This Row],[Remaining]]*ID_M</f>
        <v>0</v>
      </c>
      <c r="K31" s="858"/>
      <c r="L31" s="978"/>
      <c r="M31" s="859"/>
      <c r="N31" s="980"/>
      <c r="O31" s="364"/>
      <c r="P31" s="846">
        <v>1117.45</v>
      </c>
      <c r="Q31" s="1329">
        <v>1300</v>
      </c>
      <c r="R31" s="1330"/>
      <c r="S31" s="1330">
        <f t="shared" si="1"/>
        <v>0</v>
      </c>
      <c r="T31" s="1331">
        <f ca="1"/>
        <v>1179.6600000000001</v>
      </c>
      <c r="U31" s="847">
        <f ca="1"/>
        <v>100</v>
      </c>
      <c r="V31" s="847">
        <f ca="1"/>
        <v>0</v>
      </c>
      <c r="W31" s="847">
        <f ca="1"/>
        <v>0</v>
      </c>
      <c r="X31" s="846">
        <f t="shared" ca="1" si="0"/>
        <v>1179.6600000000001</v>
      </c>
      <c r="Y31" s="364">
        <v>1179.6600000000001</v>
      </c>
      <c r="Z31" s="847">
        <v>100</v>
      </c>
      <c r="AB31" s="82"/>
    </row>
    <row r="32" spans="1:29">
      <c r="A32" s="82"/>
      <c r="B32" s="82"/>
      <c r="C32" s="578">
        <v>200</v>
      </c>
      <c r="D32" s="575">
        <v>968.21</v>
      </c>
      <c r="E32" s="574"/>
      <c r="F32" s="839">
        <v>73292</v>
      </c>
      <c r="G32" s="576">
        <f>IF(TabFIFO[[#This Row],[Price]]&gt;0,TabFIFO[[#This Row],[Number]]*TabFIFO[[#This Row],[Price]],0)*(1-Commission)</f>
        <v>193138.53079999998</v>
      </c>
      <c r="H32" s="576">
        <f>IF(TabFIFO[[#This Row],[Price]]&lt;0,TabFIFO[[#This Row],[Number]]*TabFIFO[[#This Row],[Price]],0)*(1+Commission)</f>
        <v>0</v>
      </c>
      <c r="I32" s="583">
        <f ca="1">TabFIFO[[#This Row],[Remaining]]*ID_M</f>
        <v>0</v>
      </c>
      <c r="K32" s="981"/>
      <c r="L32" s="982"/>
      <c r="M32" s="859"/>
      <c r="N32" s="980"/>
      <c r="O32" s="364"/>
      <c r="P32" s="846">
        <v>1103.56</v>
      </c>
      <c r="Q32" s="1329">
        <v>500</v>
      </c>
      <c r="R32" s="1330"/>
      <c r="S32" s="1330">
        <f t="shared" si="1"/>
        <v>0</v>
      </c>
      <c r="T32" s="1331">
        <f ca="1"/>
        <v>1208.99</v>
      </c>
      <c r="U32" s="847">
        <f ca="1"/>
        <v>400</v>
      </c>
      <c r="V32" s="847">
        <f ca="1"/>
        <v>0</v>
      </c>
      <c r="W32" s="847">
        <f ca="1"/>
        <v>0</v>
      </c>
      <c r="X32" s="846">
        <f t="shared" ca="1" si="0"/>
        <v>1208.99</v>
      </c>
      <c r="Y32" s="364">
        <v>1208.99</v>
      </c>
      <c r="Z32" s="847">
        <v>400</v>
      </c>
      <c r="AB32" s="82"/>
    </row>
    <row r="33" spans="1:28">
      <c r="A33" s="82"/>
      <c r="B33" s="82"/>
      <c r="C33" s="578">
        <v>200</v>
      </c>
      <c r="D33" s="575">
        <v>-957.53</v>
      </c>
      <c r="E33" s="574">
        <v>0</v>
      </c>
      <c r="F33" s="839">
        <v>0</v>
      </c>
      <c r="G33" s="576">
        <f>IF(TabFIFO[[#This Row],[Price]]&gt;0,TabFIFO[[#This Row],[Number]]*TabFIFO[[#This Row],[Price]],0)*(1-Commission)</f>
        <v>0</v>
      </c>
      <c r="H33" s="576">
        <f>IF(TabFIFO[[#This Row],[Price]]&lt;0,TabFIFO[[#This Row],[Number]]*TabFIFO[[#This Row],[Price]],0)*(1+Commission)</f>
        <v>-192003.91559999998</v>
      </c>
      <c r="I33" s="583">
        <f ca="1">TabFIFO[[#This Row],[Remaining]]*ID_M</f>
        <v>0</v>
      </c>
      <c r="K33" s="981"/>
      <c r="L33" s="982"/>
      <c r="M33" s="859"/>
      <c r="N33" s="980"/>
      <c r="O33" s="364"/>
      <c r="P33" s="846"/>
      <c r="Q33" s="1329"/>
      <c r="R33" s="1330"/>
      <c r="S33" s="1330">
        <f t="shared" si="1"/>
        <v>0</v>
      </c>
      <c r="T33" s="1331">
        <f ca="1"/>
        <v>0</v>
      </c>
      <c r="U33" s="847">
        <f ca="1"/>
        <v>0</v>
      </c>
      <c r="V33" s="847">
        <f ca="1"/>
        <v>0</v>
      </c>
      <c r="W33" s="847">
        <f ca="1"/>
        <v>0</v>
      </c>
      <c r="X33" s="846">
        <f t="shared" ca="1" si="0"/>
        <v>0</v>
      </c>
      <c r="Y33" s="364">
        <v>0</v>
      </c>
      <c r="Z33" s="847">
        <v>0</v>
      </c>
      <c r="AB33" s="82"/>
    </row>
    <row r="34" spans="1:28">
      <c r="A34" s="82"/>
      <c r="B34" s="82"/>
      <c r="C34" s="578">
        <v>200</v>
      </c>
      <c r="D34" s="575">
        <v>982.61</v>
      </c>
      <c r="E34" s="574"/>
      <c r="F34" s="839">
        <v>76172</v>
      </c>
      <c r="G34" s="576">
        <f>IF(TabFIFO[[#This Row],[Price]]&gt;0,TabFIFO[[#This Row],[Number]]*TabFIFO[[#This Row],[Price]],0)*(1-Commission)</f>
        <v>196011.0428</v>
      </c>
      <c r="H34" s="576">
        <f>IF(TabFIFO[[#This Row],[Price]]&lt;0,TabFIFO[[#This Row],[Number]]*TabFIFO[[#This Row],[Price]],0)*(1+Commission)</f>
        <v>0</v>
      </c>
      <c r="I34" s="583">
        <f ca="1">TabFIFO[[#This Row],[Remaining]]*ID_M</f>
        <v>0</v>
      </c>
      <c r="K34" s="981"/>
      <c r="L34" s="982"/>
      <c r="M34" s="859"/>
      <c r="N34" s="980"/>
      <c r="O34" s="364"/>
      <c r="P34" s="846"/>
      <c r="Q34" s="1329"/>
      <c r="R34" s="1330"/>
      <c r="S34" s="1330">
        <f t="shared" si="1"/>
        <v>0</v>
      </c>
      <c r="T34" s="1331">
        <f ca="1"/>
        <v>0</v>
      </c>
      <c r="U34" s="847">
        <f ca="1"/>
        <v>0</v>
      </c>
      <c r="V34" s="847">
        <f ca="1"/>
        <v>0</v>
      </c>
      <c r="W34" s="847">
        <f ca="1"/>
        <v>0</v>
      </c>
      <c r="X34" s="846">
        <f t="shared" ca="1" si="0"/>
        <v>0</v>
      </c>
      <c r="Y34" s="364">
        <v>0</v>
      </c>
      <c r="Z34" s="847">
        <v>0</v>
      </c>
      <c r="AB34" s="82"/>
    </row>
    <row r="35" spans="1:28">
      <c r="A35" s="82"/>
      <c r="B35" s="82"/>
      <c r="C35" s="578">
        <v>200</v>
      </c>
      <c r="D35" s="575">
        <v>1096.44</v>
      </c>
      <c r="E35" s="574"/>
      <c r="F35" s="839">
        <v>94854.981999999989</v>
      </c>
      <c r="G35" s="576">
        <f>IF(TabFIFO[[#This Row],[Price]]&gt;0,TabFIFO[[#This Row],[Number]]*TabFIFO[[#This Row],[Price]],0)*(1-Commission)</f>
        <v>218717.85119999998</v>
      </c>
      <c r="H35" s="576">
        <f>IF(TabFIFO[[#This Row],[Price]]&lt;0,TabFIFO[[#This Row],[Number]]*TabFIFO[[#This Row],[Price]],0)*(1+Commission)</f>
        <v>0</v>
      </c>
      <c r="I35" s="583">
        <f ca="1">TabFIFO[[#This Row],[Remaining]]*ID_M</f>
        <v>0</v>
      </c>
      <c r="K35" s="981"/>
      <c r="L35" s="982"/>
      <c r="M35" s="859"/>
      <c r="N35" s="980"/>
      <c r="O35" s="364"/>
      <c r="P35" s="846"/>
      <c r="Q35" s="364"/>
      <c r="R35" s="1330"/>
      <c r="S35" s="1330">
        <f t="shared" si="1"/>
        <v>0</v>
      </c>
      <c r="T35" s="1331">
        <f ca="1"/>
        <v>0</v>
      </c>
      <c r="U35" s="847">
        <f ca="1"/>
        <v>0</v>
      </c>
      <c r="V35" s="847">
        <f ca="1"/>
        <v>0</v>
      </c>
      <c r="W35" s="847">
        <f ca="1"/>
        <v>0</v>
      </c>
      <c r="X35" s="846">
        <f t="shared" ca="1" si="0"/>
        <v>0</v>
      </c>
      <c r="Y35" s="364">
        <v>0</v>
      </c>
      <c r="Z35" s="847">
        <v>0</v>
      </c>
      <c r="AB35" s="82"/>
    </row>
    <row r="36" spans="1:28">
      <c r="A36" s="82"/>
      <c r="B36" s="82"/>
      <c r="C36" s="578">
        <v>200</v>
      </c>
      <c r="D36" s="575">
        <v>1133.76</v>
      </c>
      <c r="E36" s="574"/>
      <c r="F36" s="839">
        <v>98235.963999999993</v>
      </c>
      <c r="G36" s="576">
        <f>IF(TabFIFO[[#This Row],[Price]]&gt;0,TabFIFO[[#This Row],[Number]]*TabFIFO[[#This Row],[Price]],0)*(1-Commission)</f>
        <v>226162.4448</v>
      </c>
      <c r="H36" s="576">
        <f>IF(TabFIFO[[#This Row],[Price]]&lt;0,TabFIFO[[#This Row],[Number]]*TabFIFO[[#This Row],[Price]],0)*(1+Commission)</f>
        <v>0</v>
      </c>
      <c r="I36" s="583">
        <f ca="1">TabFIFO[[#This Row],[Remaining]]*ID_M</f>
        <v>0</v>
      </c>
      <c r="K36" s="981"/>
      <c r="L36" s="982"/>
      <c r="M36" s="859"/>
      <c r="N36" s="980"/>
      <c r="O36" s="364"/>
      <c r="P36" s="846"/>
      <c r="Q36" s="1329"/>
      <c r="R36" s="1330"/>
      <c r="S36" s="1330">
        <f t="shared" si="1"/>
        <v>0</v>
      </c>
      <c r="T36" s="1331">
        <f ca="1"/>
        <v>0</v>
      </c>
      <c r="U36" s="847">
        <f ca="1"/>
        <v>0</v>
      </c>
      <c r="V36" s="847">
        <f ca="1"/>
        <v>0</v>
      </c>
      <c r="W36" s="847">
        <f ca="1"/>
        <v>0</v>
      </c>
      <c r="X36" s="846">
        <f t="shared" ca="1" si="0"/>
        <v>0</v>
      </c>
      <c r="Y36" s="364">
        <v>0</v>
      </c>
      <c r="Z36" s="847">
        <v>0</v>
      </c>
      <c r="AB36" s="82"/>
    </row>
    <row r="37" spans="1:28">
      <c r="A37" s="82"/>
      <c r="B37" s="82"/>
      <c r="C37" s="578">
        <v>200</v>
      </c>
      <c r="D37" s="575">
        <v>1222.17</v>
      </c>
      <c r="E37" s="574"/>
      <c r="F37" s="839">
        <v>115917.96399999999</v>
      </c>
      <c r="G37" s="576">
        <f>IF(TabFIFO[[#This Row],[Price]]&gt;0,TabFIFO[[#This Row],[Number]]*TabFIFO[[#This Row],[Price]],0)*(1-Commission)</f>
        <v>243798.47159999999</v>
      </c>
      <c r="H37" s="576">
        <f>IF(TabFIFO[[#This Row],[Price]]&lt;0,TabFIFO[[#This Row],[Number]]*TabFIFO[[#This Row],[Price]],0)*(1+Commission)</f>
        <v>0</v>
      </c>
      <c r="I37" s="583">
        <f ca="1">TabFIFO[[#This Row],[Remaining]]*ID_M</f>
        <v>0</v>
      </c>
      <c r="K37" s="981"/>
      <c r="L37" s="982"/>
      <c r="M37" s="859"/>
      <c r="N37" s="980"/>
      <c r="O37" s="364"/>
      <c r="P37" s="846"/>
      <c r="Q37" s="1329"/>
      <c r="R37" s="1330"/>
      <c r="S37" s="1330">
        <f t="shared" si="1"/>
        <v>0</v>
      </c>
      <c r="T37" s="1331">
        <f ca="1"/>
        <v>0</v>
      </c>
      <c r="U37" s="847">
        <f ca="1"/>
        <v>0</v>
      </c>
      <c r="V37" s="847">
        <f ca="1"/>
        <v>0</v>
      </c>
      <c r="W37" s="847">
        <f ca="1"/>
        <v>0</v>
      </c>
      <c r="X37" s="846">
        <f t="shared" ca="1" si="0"/>
        <v>0</v>
      </c>
      <c r="Y37" s="364">
        <v>0</v>
      </c>
      <c r="Z37" s="847">
        <v>0</v>
      </c>
      <c r="AB37" s="82"/>
    </row>
    <row r="38" spans="1:28">
      <c r="A38" s="82"/>
      <c r="B38" s="82"/>
      <c r="C38" s="578">
        <v>200</v>
      </c>
      <c r="D38" s="575">
        <v>1220.52</v>
      </c>
      <c r="E38" s="574"/>
      <c r="F38" s="839">
        <v>103012</v>
      </c>
      <c r="G38" s="576">
        <f>IF(TabFIFO[[#This Row],[Price]]&gt;0,TabFIFO[[#This Row],[Number]]*TabFIFO[[#This Row],[Price]],0)*(1-Commission)</f>
        <v>243469.3296</v>
      </c>
      <c r="H38" s="576">
        <f>IF(TabFIFO[[#This Row],[Price]]&lt;0,TabFIFO[[#This Row],[Number]]*TabFIFO[[#This Row],[Price]],0)*(1+Commission)</f>
        <v>0</v>
      </c>
      <c r="I38" s="583">
        <f ca="1">TabFIFO[[#This Row],[Remaining]]*ID_M</f>
        <v>0</v>
      </c>
      <c r="K38" s="981"/>
      <c r="L38" s="982"/>
      <c r="M38" s="983"/>
      <c r="N38" s="980"/>
      <c r="O38" s="364"/>
      <c r="P38" s="846"/>
      <c r="Q38" s="1329"/>
      <c r="R38" s="1330"/>
      <c r="S38" s="1330"/>
      <c r="T38" s="364">
        <f ca="1"/>
        <v>0</v>
      </c>
      <c r="U38" s="364">
        <f ca="1"/>
        <v>0</v>
      </c>
      <c r="V38" s="364">
        <f ca="1"/>
        <v>0</v>
      </c>
      <c r="W38" s="364">
        <f ca="1"/>
        <v>0</v>
      </c>
      <c r="X38" s="846">
        <f t="shared" ca="1" si="0"/>
        <v>0</v>
      </c>
      <c r="Y38" s="364">
        <v>0</v>
      </c>
      <c r="Z38" s="847">
        <v>0</v>
      </c>
      <c r="AB38" s="82"/>
    </row>
    <row r="39" spans="1:28">
      <c r="A39" s="82"/>
      <c r="B39" s="82"/>
      <c r="C39" s="578">
        <v>400</v>
      </c>
      <c r="D39" s="575">
        <v>-1208.99</v>
      </c>
      <c r="E39" s="574">
        <v>400</v>
      </c>
      <c r="F39" s="839">
        <v>0</v>
      </c>
      <c r="G39" s="576">
        <f>IF(TabFIFO[[#This Row],[Price]]&gt;0,TabFIFO[[#This Row],[Number]]*TabFIFO[[#This Row],[Price]],0)*(1-Commission)</f>
        <v>0</v>
      </c>
      <c r="H39" s="576">
        <f>IF(TabFIFO[[#This Row],[Price]]&lt;0,TabFIFO[[#This Row],[Number]]*TabFIFO[[#This Row],[Price]],0)*(1+Commission)</f>
        <v>-484853.34959999996</v>
      </c>
      <c r="I39" s="583">
        <f ca="1">TabFIFO[[#This Row],[Remaining]]*ID_M</f>
        <v>437876</v>
      </c>
      <c r="K39" s="981"/>
      <c r="L39" s="982"/>
      <c r="M39" s="983"/>
      <c r="N39" s="980"/>
      <c r="O39" s="364"/>
      <c r="P39" s="846"/>
      <c r="Q39" s="1329"/>
      <c r="R39" s="1330"/>
      <c r="S39" s="1330"/>
      <c r="T39" s="364">
        <f ca="1"/>
        <v>0</v>
      </c>
      <c r="U39" s="364">
        <f ca="1"/>
        <v>0</v>
      </c>
      <c r="V39" s="364">
        <f ca="1"/>
        <v>0</v>
      </c>
      <c r="W39" s="364">
        <f ca="1"/>
        <v>0</v>
      </c>
      <c r="X39" s="846">
        <f t="shared" ca="1" si="0"/>
        <v>0</v>
      </c>
      <c r="Y39" s="364">
        <v>0</v>
      </c>
      <c r="Z39" s="847">
        <v>0</v>
      </c>
      <c r="AB39" s="82"/>
    </row>
    <row r="40" spans="1:28">
      <c r="A40" s="82"/>
      <c r="B40" s="82"/>
      <c r="C40" s="578">
        <v>200</v>
      </c>
      <c r="D40" s="575">
        <v>-1161.69</v>
      </c>
      <c r="E40" s="574">
        <v>200</v>
      </c>
      <c r="F40" s="839">
        <v>0</v>
      </c>
      <c r="G40" s="576">
        <f>IF(TabFIFO[[#This Row],[Price]]&gt;0,TabFIFO[[#This Row],[Number]]*TabFIFO[[#This Row],[Price]],0)*(1-Commission)</f>
        <v>0</v>
      </c>
      <c r="H40" s="576">
        <f>IF(TabFIFO[[#This Row],[Price]]&lt;0,TabFIFO[[#This Row],[Number]]*TabFIFO[[#This Row],[Price]],0)*(1+Commission)</f>
        <v>-232942.07879999999</v>
      </c>
      <c r="I40" s="583">
        <f ca="1">TabFIFO[[#This Row],[Remaining]]*ID_M</f>
        <v>218938</v>
      </c>
      <c r="K40" s="981"/>
      <c r="L40" s="982"/>
      <c r="M40" s="983"/>
      <c r="N40" s="980"/>
      <c r="O40" s="364"/>
      <c r="P40" s="846"/>
      <c r="Q40" s="1329"/>
      <c r="R40" s="1330"/>
      <c r="S40" s="1330"/>
      <c r="T40" s="364">
        <f ca="1"/>
        <v>0</v>
      </c>
      <c r="U40" s="364">
        <f ca="1"/>
        <v>0</v>
      </c>
      <c r="V40" s="364">
        <f ca="1"/>
        <v>0</v>
      </c>
      <c r="W40" s="364">
        <f ca="1"/>
        <v>0</v>
      </c>
      <c r="X40" s="846">
        <f t="shared" ca="1" si="0"/>
        <v>0</v>
      </c>
      <c r="Y40" s="364">
        <v>0</v>
      </c>
      <c r="Z40" s="847">
        <v>0</v>
      </c>
      <c r="AB40" s="82"/>
    </row>
    <row r="41" spans="1:28">
      <c r="A41" s="82"/>
      <c r="B41" s="82"/>
      <c r="C41" s="578">
        <v>100</v>
      </c>
      <c r="D41" s="575">
        <v>1235.33</v>
      </c>
      <c r="E41" s="574"/>
      <c r="F41" s="839">
        <v>27780</v>
      </c>
      <c r="G41" s="576">
        <f>IF(TabFIFO[[#This Row],[Price]]&gt;0,TabFIFO[[#This Row],[Number]]*TabFIFO[[#This Row],[Price]],0)*(1-Commission)</f>
        <v>123211.81419999999</v>
      </c>
      <c r="H41" s="576">
        <f>IF(TabFIFO[[#This Row],[Price]]&lt;0,TabFIFO[[#This Row],[Number]]*TabFIFO[[#This Row],[Price]],0)*(1+Commission)</f>
        <v>0</v>
      </c>
      <c r="I41" s="583">
        <f ca="1">TabFIFO[[#This Row],[Remaining]]*ID_M</f>
        <v>0</v>
      </c>
      <c r="K41" s="981"/>
      <c r="L41" s="982"/>
      <c r="M41" s="983"/>
      <c r="N41" s="980"/>
      <c r="O41" s="364"/>
      <c r="P41" s="846"/>
      <c r="Q41" s="1329"/>
      <c r="R41" s="1330"/>
      <c r="S41" s="1330"/>
      <c r="T41" s="364">
        <f ca="1"/>
        <v>0</v>
      </c>
      <c r="U41" s="364">
        <f ca="1"/>
        <v>0</v>
      </c>
      <c r="V41" s="364">
        <f ca="1"/>
        <v>0</v>
      </c>
      <c r="W41" s="364">
        <f ca="1"/>
        <v>0</v>
      </c>
      <c r="X41" s="846">
        <f t="shared" ca="1" si="0"/>
        <v>0</v>
      </c>
      <c r="Y41" s="364">
        <v>0</v>
      </c>
      <c r="Z41" s="847">
        <v>0</v>
      </c>
      <c r="AB41" s="82"/>
    </row>
    <row r="42" spans="1:28">
      <c r="A42" s="82"/>
      <c r="B42" s="82"/>
      <c r="C42" s="578">
        <v>100</v>
      </c>
      <c r="D42" s="575">
        <v>-1179.6600000000001</v>
      </c>
      <c r="E42" s="574">
        <v>100</v>
      </c>
      <c r="F42" s="839">
        <v>0</v>
      </c>
      <c r="G42" s="576">
        <f>IF(TabFIFO[[#This Row],[Price]]&gt;0,TabFIFO[[#This Row],[Number]]*TabFIFO[[#This Row],[Price]],0)*(1-Commission)</f>
        <v>0</v>
      </c>
      <c r="H42" s="576">
        <f>IF(TabFIFO[[#This Row],[Price]]&lt;0,TabFIFO[[#This Row],[Number]]*TabFIFO[[#This Row],[Price]],0)*(1+Commission)</f>
        <v>-118272.71160000001</v>
      </c>
      <c r="I42" s="583">
        <f ca="1">TabFIFO[[#This Row],[Remaining]]*ID_M</f>
        <v>109469</v>
      </c>
      <c r="K42" s="981"/>
      <c r="L42" s="982"/>
      <c r="M42" s="983"/>
      <c r="N42" s="980"/>
      <c r="O42" s="364"/>
      <c r="P42" s="846"/>
      <c r="Q42" s="1329"/>
      <c r="R42" s="1329"/>
      <c r="S42" s="1329"/>
      <c r="T42" s="364">
        <f ca="1"/>
        <v>0</v>
      </c>
      <c r="U42" s="364">
        <f ca="1"/>
        <v>0</v>
      </c>
      <c r="V42" s="364">
        <f ca="1"/>
        <v>0</v>
      </c>
      <c r="W42" s="364">
        <f ca="1"/>
        <v>0</v>
      </c>
      <c r="X42" s="846">
        <f t="shared" ca="1" si="0"/>
        <v>0</v>
      </c>
      <c r="Y42" s="364">
        <v>0</v>
      </c>
      <c r="Z42" s="847">
        <v>0</v>
      </c>
      <c r="AB42" s="82"/>
    </row>
    <row r="43" spans="1:28">
      <c r="A43" s="82"/>
      <c r="B43" s="82"/>
      <c r="C43" s="578">
        <v>100</v>
      </c>
      <c r="D43" s="575">
        <v>1233.56</v>
      </c>
      <c r="E43" s="574"/>
      <c r="F43" s="839">
        <v>27603</v>
      </c>
      <c r="G43" s="576">
        <f>IF(TabFIFO[[#This Row],[Price]]&gt;0,TabFIFO[[#This Row],[Number]]*TabFIFO[[#This Row],[Price]],0)*(1-Commission)</f>
        <v>123035.27439999999</v>
      </c>
      <c r="H43" s="576">
        <f>IF(TabFIFO[[#This Row],[Price]]&lt;0,TabFIFO[[#This Row],[Number]]*TabFIFO[[#This Row],[Price]],0)*(1+Commission)</f>
        <v>0</v>
      </c>
      <c r="I43" s="583">
        <f ca="1">TabFIFO[[#This Row],[Remaining]]*ID_M</f>
        <v>0</v>
      </c>
      <c r="K43" s="981"/>
      <c r="L43" s="982"/>
      <c r="M43" s="983"/>
      <c r="N43" s="980"/>
      <c r="O43" s="364"/>
      <c r="P43" s="846"/>
      <c r="Q43" s="1329"/>
      <c r="R43" s="1329"/>
      <c r="S43" s="1329"/>
      <c r="T43" s="364">
        <f ca="1"/>
        <v>0</v>
      </c>
      <c r="U43" s="364">
        <f ca="1"/>
        <v>0</v>
      </c>
      <c r="V43" s="364">
        <f ca="1"/>
        <v>0</v>
      </c>
      <c r="W43" s="364">
        <f ca="1"/>
        <v>0</v>
      </c>
      <c r="X43" s="846">
        <f t="shared" ca="1" si="0"/>
        <v>0</v>
      </c>
      <c r="Y43" s="364">
        <v>0</v>
      </c>
      <c r="Z43" s="847">
        <v>0</v>
      </c>
      <c r="AB43" s="82"/>
    </row>
    <row r="44" spans="1:28">
      <c r="A44" s="82"/>
      <c r="B44" s="82"/>
      <c r="C44" s="578">
        <v>1300</v>
      </c>
      <c r="D44" s="575">
        <v>-1117.45</v>
      </c>
      <c r="E44" s="574">
        <v>1300</v>
      </c>
      <c r="F44" s="839">
        <v>0</v>
      </c>
      <c r="G44" s="576">
        <f>IF(TabFIFO[[#This Row],[Price]]&gt;0,TabFIFO[[#This Row],[Number]]*TabFIFO[[#This Row],[Price]],0)*(1-Commission)</f>
        <v>0</v>
      </c>
      <c r="H44" s="576">
        <f>IF(TabFIFO[[#This Row],[Price]]&lt;0,TabFIFO[[#This Row],[Number]]*TabFIFO[[#This Row],[Price]],0)*(1+Commission)</f>
        <v>-1456461.9809999999</v>
      </c>
      <c r="I44" s="583">
        <f ca="1">TabFIFO[[#This Row],[Remaining]]*ID_M</f>
        <v>1423097</v>
      </c>
      <c r="K44" s="981"/>
      <c r="L44" s="982"/>
      <c r="M44" s="983"/>
      <c r="N44" s="980"/>
      <c r="O44" s="364"/>
      <c r="P44" s="846"/>
      <c r="Q44" s="1329"/>
      <c r="R44" s="1329"/>
      <c r="S44" s="1329"/>
      <c r="T44" s="364">
        <f ca="1"/>
        <v>0</v>
      </c>
      <c r="U44" s="364">
        <f ca="1"/>
        <v>0</v>
      </c>
      <c r="V44" s="364">
        <f ca="1"/>
        <v>0</v>
      </c>
      <c r="W44" s="364">
        <f ca="1"/>
        <v>0</v>
      </c>
      <c r="X44" s="846">
        <f t="shared" ca="1" si="0"/>
        <v>0</v>
      </c>
      <c r="Y44" s="364">
        <v>0</v>
      </c>
      <c r="Z44" s="847">
        <v>0</v>
      </c>
      <c r="AB44" s="82"/>
    </row>
    <row r="45" spans="1:28">
      <c r="A45" s="82"/>
      <c r="B45" s="82"/>
      <c r="C45" s="578">
        <v>500</v>
      </c>
      <c r="D45" s="575">
        <v>-1103.56</v>
      </c>
      <c r="E45" s="574">
        <v>500</v>
      </c>
      <c r="F45" s="839">
        <v>0</v>
      </c>
      <c r="G45" s="576">
        <f>IF(TabFIFO[[#This Row],[Price]]&gt;0,TabFIFO[[#This Row],[Number]]*TabFIFO[[#This Row],[Price]],0)*(1-Commission)</f>
        <v>0</v>
      </c>
      <c r="H45" s="576">
        <f>IF(TabFIFO[[#This Row],[Price]]&lt;0,TabFIFO[[#This Row],[Number]]*TabFIFO[[#This Row],[Price]],0)*(1+Commission)</f>
        <v>-553214.62799999991</v>
      </c>
      <c r="I45" s="583">
        <f ca="1">TabFIFO[[#This Row],[Remaining]]*ID_M</f>
        <v>547345</v>
      </c>
      <c r="K45" s="981"/>
      <c r="L45" s="982"/>
      <c r="M45" s="983"/>
      <c r="N45" s="980"/>
      <c r="O45" s="364"/>
      <c r="P45" s="846"/>
      <c r="Q45" s="1329"/>
      <c r="R45" s="1329"/>
      <c r="S45" s="1329"/>
      <c r="T45" s="364">
        <f ca="1"/>
        <v>0</v>
      </c>
      <c r="U45" s="364">
        <f ca="1"/>
        <v>0</v>
      </c>
      <c r="V45" s="364">
        <f ca="1"/>
        <v>0</v>
      </c>
      <c r="W45" s="364">
        <f ca="1"/>
        <v>0</v>
      </c>
      <c r="X45" s="846">
        <f t="shared" ca="1" si="0"/>
        <v>0</v>
      </c>
      <c r="Y45" s="364">
        <v>0</v>
      </c>
      <c r="Z45" s="847">
        <v>0</v>
      </c>
      <c r="AB45" s="82"/>
    </row>
    <row r="46" spans="1:28">
      <c r="A46" s="82"/>
      <c r="C46" s="841">
        <f>SUBTOTAL(109,TabFIFO[Number])</f>
        <v>13900</v>
      </c>
      <c r="D46" s="577"/>
      <c r="E46" s="582">
        <f>SUBTOTAL(109,TabFIFO[Remaining])</f>
        <v>2500</v>
      </c>
      <c r="F46" s="259">
        <f>SUBTOTAL(109,TabFIFO[Profit/Loss])</f>
        <v>1551733.99</v>
      </c>
      <c r="G46" s="259">
        <f>SUBTOTAL(109,TabFIFO[Income])</f>
        <v>4248439.3433919996</v>
      </c>
      <c r="H46" s="259">
        <f>SUBTOTAL(109,TabFIFO[Cost])</f>
        <v>-5560565.0672339983</v>
      </c>
      <c r="I46" s="259">
        <f ca="1">SUBTOTAL(109,TabFIFO[M-VALUE Now])</f>
        <v>2736725</v>
      </c>
      <c r="K46" s="981"/>
      <c r="L46" s="982"/>
      <c r="M46" s="983"/>
      <c r="N46" s="980"/>
      <c r="O46" s="364"/>
      <c r="P46" s="846"/>
      <c r="Q46" s="1329"/>
      <c r="R46" s="1329"/>
      <c r="S46" s="1329"/>
      <c r="T46" s="364">
        <f ca="1"/>
        <v>0</v>
      </c>
      <c r="U46" s="364">
        <f ca="1"/>
        <v>0</v>
      </c>
      <c r="V46" s="364">
        <f ca="1"/>
        <v>0</v>
      </c>
      <c r="W46" s="364">
        <f ca="1"/>
        <v>0</v>
      </c>
      <c r="X46" s="846">
        <f t="shared" ca="1" si="0"/>
        <v>0</v>
      </c>
      <c r="Y46" s="364">
        <v>0</v>
      </c>
      <c r="Z46" s="847">
        <v>0</v>
      </c>
      <c r="AB46" s="82"/>
    </row>
    <row r="47" spans="1:28" ht="23" thickBot="1">
      <c r="A47" s="82"/>
      <c r="B47" s="82"/>
      <c r="E47" s="578"/>
      <c r="F47">
        <v>0</v>
      </c>
      <c r="K47" s="984"/>
      <c r="L47" s="985"/>
      <c r="M47" s="986"/>
      <c r="N47" s="987"/>
      <c r="O47" s="364"/>
      <c r="P47" s="364"/>
      <c r="Q47" s="1329"/>
      <c r="R47" s="1329"/>
      <c r="S47" s="1329"/>
      <c r="T47" s="364">
        <f ca="1"/>
        <v>0</v>
      </c>
      <c r="U47" s="364">
        <f ca="1"/>
        <v>0</v>
      </c>
      <c r="V47" s="364">
        <f ca="1"/>
        <v>0</v>
      </c>
      <c r="W47" s="364">
        <f ca="1"/>
        <v>0</v>
      </c>
      <c r="X47" s="846">
        <f t="shared" ca="1" si="0"/>
        <v>0</v>
      </c>
      <c r="Y47" s="364">
        <v>0</v>
      </c>
      <c r="Z47" s="847">
        <v>0</v>
      </c>
      <c r="AB47" s="82"/>
    </row>
    <row r="48" spans="1:28">
      <c r="A48" s="82"/>
      <c r="B48" s="82"/>
      <c r="F48">
        <v>0</v>
      </c>
      <c r="O48" s="364"/>
      <c r="P48" s="364"/>
      <c r="Q48" s="364"/>
      <c r="R48" s="364"/>
      <c r="S48" s="364"/>
      <c r="T48" s="364">
        <f ca="1"/>
        <v>0</v>
      </c>
      <c r="U48" s="364">
        <f ca="1"/>
        <v>0</v>
      </c>
      <c r="V48" s="364">
        <f ca="1"/>
        <v>0</v>
      </c>
      <c r="W48" s="364">
        <f ca="1"/>
        <v>0</v>
      </c>
      <c r="X48" s="846">
        <f t="shared" ca="1" si="0"/>
        <v>0</v>
      </c>
      <c r="Y48" s="364">
        <v>0</v>
      </c>
      <c r="Z48" s="364">
        <v>0</v>
      </c>
      <c r="AB48" s="82"/>
    </row>
    <row r="49" spans="1:28">
      <c r="A49" s="82"/>
      <c r="F49">
        <v>0</v>
      </c>
      <c r="O49" s="364"/>
      <c r="P49" s="364"/>
      <c r="Q49" s="364"/>
      <c r="R49" s="364"/>
      <c r="S49" s="364"/>
      <c r="T49" s="364">
        <f ca="1"/>
        <v>0</v>
      </c>
      <c r="U49" s="364">
        <f ca="1"/>
        <v>0</v>
      </c>
      <c r="V49" s="364">
        <f ca="1"/>
        <v>0</v>
      </c>
      <c r="W49" s="364">
        <f ca="1"/>
        <v>0</v>
      </c>
      <c r="X49" s="846">
        <f t="shared" ca="1" si="0"/>
        <v>0</v>
      </c>
      <c r="Y49" s="364">
        <v>0</v>
      </c>
      <c r="Z49" s="364">
        <v>0</v>
      </c>
      <c r="AB49" s="82"/>
    </row>
    <row r="50" spans="1:28">
      <c r="A50" s="82"/>
      <c r="F50">
        <v>0</v>
      </c>
      <c r="O50" s="364"/>
      <c r="P50" s="364"/>
      <c r="Q50" s="364"/>
      <c r="R50" s="364"/>
      <c r="S50" s="364"/>
      <c r="T50" s="364">
        <f ca="1"/>
        <v>0</v>
      </c>
      <c r="U50" s="364">
        <f ca="1"/>
        <v>0</v>
      </c>
      <c r="V50" s="364">
        <f ca="1"/>
        <v>0</v>
      </c>
      <c r="W50" s="364">
        <f ca="1"/>
        <v>0</v>
      </c>
      <c r="X50" s="846">
        <f t="shared" ca="1" si="0"/>
        <v>0</v>
      </c>
      <c r="Y50" s="364">
        <v>0</v>
      </c>
      <c r="Z50" s="364">
        <v>0</v>
      </c>
    </row>
    <row r="51" spans="1:28">
      <c r="D51" cm="1">
        <f t="array" ref="D51">COUNT(_xlfn._xlws.FILTER(TabFIFO[Price], TabFIFO[Price]&lt;0))</f>
        <v>11</v>
      </c>
      <c r="F51">
        <v>0</v>
      </c>
      <c r="H51" s="831"/>
      <c r="O51" s="16"/>
      <c r="Q51" s="1329"/>
      <c r="R51" s="1329"/>
      <c r="S51" s="1329"/>
      <c r="T51">
        <f ca="1"/>
        <v>0</v>
      </c>
      <c r="U51">
        <f ca="1"/>
        <v>0</v>
      </c>
      <c r="V51">
        <f ca="1"/>
        <v>0</v>
      </c>
      <c r="W51">
        <f ca="1"/>
        <v>0</v>
      </c>
      <c r="Y51">
        <v>0</v>
      </c>
      <c r="Z51">
        <v>0</v>
      </c>
    </row>
    <row r="52" spans="1:28">
      <c r="F52">
        <v>0</v>
      </c>
      <c r="O52" s="16"/>
      <c r="Q52" s="1328"/>
      <c r="R52" s="1328"/>
      <c r="S52" s="1328"/>
      <c r="T52">
        <f ca="1"/>
        <v>0</v>
      </c>
      <c r="U52">
        <f ca="1"/>
        <v>0</v>
      </c>
      <c r="V52">
        <f ca="1"/>
        <v>0</v>
      </c>
      <c r="W52">
        <f ca="1"/>
        <v>0</v>
      </c>
      <c r="Y52">
        <v>0</v>
      </c>
      <c r="Z52">
        <v>0</v>
      </c>
    </row>
    <row r="53" spans="1:28">
      <c r="F53">
        <v>0</v>
      </c>
      <c r="O53" s="16"/>
      <c r="Q53" s="833"/>
      <c r="R53" s="833"/>
      <c r="S53" s="833"/>
      <c r="T53">
        <f ca="1"/>
        <v>0</v>
      </c>
      <c r="U53">
        <f ca="1"/>
        <v>0</v>
      </c>
      <c r="V53">
        <f ca="1"/>
        <v>0</v>
      </c>
      <c r="W53">
        <f ca="1"/>
        <v>0</v>
      </c>
      <c r="Y53">
        <v>0</v>
      </c>
      <c r="Z53">
        <v>0</v>
      </c>
    </row>
    <row r="54" spans="1:28">
      <c r="F54">
        <v>0</v>
      </c>
      <c r="O54" s="16"/>
      <c r="Q54" s="833"/>
      <c r="R54" s="833"/>
      <c r="S54" s="833"/>
      <c r="T54">
        <f ca="1"/>
        <v>0</v>
      </c>
      <c r="U54">
        <f ca="1"/>
        <v>0</v>
      </c>
      <c r="V54">
        <f ca="1"/>
        <v>0</v>
      </c>
      <c r="W54">
        <f ca="1"/>
        <v>0</v>
      </c>
      <c r="Y54">
        <v>0</v>
      </c>
      <c r="Z54">
        <v>0</v>
      </c>
    </row>
    <row r="55" spans="1:28">
      <c r="F55">
        <v>0</v>
      </c>
      <c r="O55" s="16"/>
      <c r="Q55" s="833"/>
      <c r="R55" s="833"/>
      <c r="S55" s="833"/>
      <c r="T55">
        <f ca="1"/>
        <v>0</v>
      </c>
      <c r="U55">
        <f ca="1"/>
        <v>0</v>
      </c>
      <c r="V55">
        <f ca="1"/>
        <v>0</v>
      </c>
      <c r="W55">
        <f ca="1"/>
        <v>0</v>
      </c>
      <c r="Y55">
        <v>0</v>
      </c>
      <c r="Z55">
        <v>0</v>
      </c>
    </row>
    <row r="56" spans="1:28">
      <c r="F56">
        <v>0</v>
      </c>
      <c r="O56" s="16"/>
      <c r="Q56" s="833"/>
      <c r="R56" s="833"/>
      <c r="S56" s="833"/>
      <c r="T56">
        <f ca="1"/>
        <v>0</v>
      </c>
      <c r="U56">
        <f ca="1"/>
        <v>0</v>
      </c>
      <c r="V56">
        <f ca="1"/>
        <v>0</v>
      </c>
      <c r="W56">
        <f ca="1"/>
        <v>0</v>
      </c>
      <c r="Y56">
        <v>0</v>
      </c>
      <c r="Z56">
        <v>0</v>
      </c>
    </row>
    <row r="57" spans="1:28">
      <c r="F57">
        <v>0</v>
      </c>
      <c r="J57" s="831"/>
      <c r="O57" s="16"/>
      <c r="Q57" s="833"/>
      <c r="R57" s="833"/>
      <c r="S57" s="833"/>
      <c r="T57">
        <f ca="1"/>
        <v>0</v>
      </c>
      <c r="U57">
        <f ca="1"/>
        <v>0</v>
      </c>
      <c r="V57">
        <f ca="1"/>
        <v>0</v>
      </c>
      <c r="W57">
        <f ca="1"/>
        <v>0</v>
      </c>
      <c r="Y57">
        <v>0</v>
      </c>
      <c r="Z57">
        <v>0</v>
      </c>
    </row>
    <row r="58" spans="1:28">
      <c r="F58">
        <v>0</v>
      </c>
      <c r="J58" s="831"/>
      <c r="O58" s="16"/>
      <c r="Q58" s="833"/>
      <c r="R58" s="833"/>
      <c r="S58" s="833"/>
      <c r="T58">
        <f ca="1"/>
        <v>0</v>
      </c>
      <c r="U58">
        <f ca="1"/>
        <v>0</v>
      </c>
      <c r="V58">
        <f ca="1"/>
        <v>0</v>
      </c>
      <c r="W58">
        <f ca="1"/>
        <v>0</v>
      </c>
      <c r="Y58">
        <v>0</v>
      </c>
      <c r="Z58">
        <v>0</v>
      </c>
    </row>
    <row r="59" spans="1:28">
      <c r="F59">
        <v>0</v>
      </c>
      <c r="J59" s="831"/>
      <c r="O59" s="16"/>
      <c r="Q59" s="833"/>
      <c r="R59" s="833"/>
      <c r="S59" s="833"/>
      <c r="T59">
        <f ca="1"/>
        <v>0</v>
      </c>
      <c r="U59">
        <f ca="1"/>
        <v>0</v>
      </c>
      <c r="V59">
        <f ca="1"/>
        <v>0</v>
      </c>
      <c r="W59">
        <f ca="1"/>
        <v>0</v>
      </c>
      <c r="Y59">
        <v>0</v>
      </c>
      <c r="Z59">
        <v>0</v>
      </c>
    </row>
    <row r="60" spans="1:28">
      <c r="F60">
        <v>0</v>
      </c>
      <c r="J60" s="831"/>
      <c r="O60" s="16"/>
      <c r="Q60" s="833"/>
      <c r="R60" s="833"/>
      <c r="S60" s="833"/>
      <c r="T60">
        <f ca="1"/>
        <v>0</v>
      </c>
      <c r="U60">
        <f ca="1"/>
        <v>0</v>
      </c>
      <c r="V60">
        <f ca="1"/>
        <v>0</v>
      </c>
      <c r="W60">
        <f ca="1"/>
        <v>0</v>
      </c>
      <c r="Y60">
        <v>0</v>
      </c>
      <c r="Z60">
        <v>0</v>
      </c>
    </row>
    <row r="61" spans="1:28">
      <c r="F61">
        <v>0</v>
      </c>
      <c r="J61" s="831"/>
      <c r="O61" s="16"/>
      <c r="Q61" s="833"/>
      <c r="R61" s="833"/>
      <c r="S61" s="833"/>
      <c r="T61">
        <f ca="1"/>
        <v>0</v>
      </c>
      <c r="U61">
        <f ca="1"/>
        <v>0</v>
      </c>
      <c r="V61">
        <f ca="1"/>
        <v>0</v>
      </c>
      <c r="W61">
        <f ca="1"/>
        <v>0</v>
      </c>
      <c r="Y61">
        <v>0</v>
      </c>
      <c r="Z61">
        <v>0</v>
      </c>
    </row>
    <row r="62" spans="1:28">
      <c r="J62" s="831"/>
      <c r="O62" s="16"/>
      <c r="Q62" s="833"/>
      <c r="R62" s="833"/>
      <c r="S62" s="833"/>
      <c r="T62">
        <f ca="1"/>
        <v>0</v>
      </c>
      <c r="U62">
        <f ca="1"/>
        <v>0</v>
      </c>
      <c r="V62">
        <f ca="1"/>
        <v>0</v>
      </c>
      <c r="W62">
        <f ca="1"/>
        <v>0</v>
      </c>
      <c r="Y62">
        <v>0</v>
      </c>
      <c r="Z62">
        <v>0</v>
      </c>
    </row>
    <row r="63" spans="1:28">
      <c r="J63" s="831"/>
      <c r="O63" s="16"/>
      <c r="Q63" s="833"/>
      <c r="R63" s="833"/>
      <c r="S63" s="833"/>
      <c r="T63">
        <f ca="1"/>
        <v>0</v>
      </c>
      <c r="U63">
        <f ca="1"/>
        <v>0</v>
      </c>
      <c r="V63">
        <f ca="1"/>
        <v>0</v>
      </c>
      <c r="W63">
        <f ca="1"/>
        <v>0</v>
      </c>
      <c r="Y63">
        <v>0</v>
      </c>
      <c r="Z63">
        <v>0</v>
      </c>
    </row>
    <row r="64" spans="1:28">
      <c r="J64" s="831"/>
      <c r="O64" s="16"/>
      <c r="Q64" s="833"/>
      <c r="R64" s="833"/>
      <c r="S64" s="833"/>
      <c r="T64">
        <f ca="1"/>
        <v>0</v>
      </c>
      <c r="U64">
        <f ca="1"/>
        <v>0</v>
      </c>
      <c r="V64">
        <f ca="1"/>
        <v>0</v>
      </c>
      <c r="W64">
        <f ca="1"/>
        <v>0</v>
      </c>
      <c r="Y64">
        <v>0</v>
      </c>
      <c r="Z64">
        <v>0</v>
      </c>
    </row>
    <row r="65" spans="10:26">
      <c r="J65" s="831"/>
      <c r="O65" s="16"/>
      <c r="Q65" s="833"/>
      <c r="R65" s="833"/>
      <c r="S65" s="833"/>
      <c r="T65">
        <f ca="1"/>
        <v>0</v>
      </c>
      <c r="U65">
        <f ca="1"/>
        <v>0</v>
      </c>
      <c r="V65">
        <f ca="1"/>
        <v>0</v>
      </c>
      <c r="W65">
        <f ca="1"/>
        <v>0</v>
      </c>
      <c r="Y65">
        <v>0</v>
      </c>
      <c r="Z65">
        <v>0</v>
      </c>
    </row>
    <row r="66" spans="10:26">
      <c r="J66" s="831"/>
      <c r="O66" s="16"/>
      <c r="Q66" s="833"/>
      <c r="R66" s="833"/>
      <c r="S66" s="833"/>
      <c r="T66">
        <f ca="1"/>
        <v>0</v>
      </c>
      <c r="U66">
        <f ca="1"/>
        <v>0</v>
      </c>
      <c r="V66">
        <f ca="1"/>
        <v>0</v>
      </c>
      <c r="W66">
        <f ca="1"/>
        <v>0</v>
      </c>
      <c r="Y66">
        <v>0</v>
      </c>
      <c r="Z66">
        <v>0</v>
      </c>
    </row>
    <row r="67" spans="10:26">
      <c r="J67" s="831"/>
      <c r="O67" s="16"/>
      <c r="Q67" s="833"/>
      <c r="R67" s="833"/>
      <c r="S67" s="833"/>
      <c r="T67">
        <f ca="1"/>
        <v>0</v>
      </c>
      <c r="U67">
        <f ca="1"/>
        <v>0</v>
      </c>
      <c r="V67">
        <f ca="1"/>
        <v>0</v>
      </c>
      <c r="W67">
        <f ca="1"/>
        <v>0</v>
      </c>
      <c r="Y67">
        <v>0</v>
      </c>
      <c r="Z67">
        <v>0</v>
      </c>
    </row>
    <row r="68" spans="10:26">
      <c r="J68" s="831"/>
      <c r="O68" s="16"/>
      <c r="Q68" s="833"/>
      <c r="R68" s="833"/>
      <c r="S68" s="833"/>
      <c r="T68">
        <f ca="1"/>
        <v>0</v>
      </c>
      <c r="U68">
        <f ca="1"/>
        <v>0</v>
      </c>
      <c r="V68">
        <f ca="1"/>
        <v>0</v>
      </c>
      <c r="W68">
        <f ca="1"/>
        <v>0</v>
      </c>
      <c r="Y68">
        <v>0</v>
      </c>
      <c r="Z68">
        <v>0</v>
      </c>
    </row>
    <row r="69" spans="10:26">
      <c r="J69" s="831"/>
      <c r="O69" s="16"/>
      <c r="Q69" s="833"/>
      <c r="R69" s="833"/>
      <c r="S69" s="833"/>
      <c r="T69">
        <f ca="1"/>
        <v>0</v>
      </c>
      <c r="U69">
        <f ca="1"/>
        <v>0</v>
      </c>
      <c r="V69">
        <f ca="1"/>
        <v>0</v>
      </c>
      <c r="W69">
        <f ca="1"/>
        <v>0</v>
      </c>
      <c r="Y69">
        <v>0</v>
      </c>
      <c r="Z69">
        <v>0</v>
      </c>
    </row>
    <row r="70" spans="10:26">
      <c r="J70" s="831"/>
      <c r="O70" s="16"/>
      <c r="Q70" s="833"/>
      <c r="R70" s="833"/>
      <c r="S70" s="833"/>
      <c r="T70">
        <f ca="1"/>
        <v>0</v>
      </c>
      <c r="U70">
        <f ca="1"/>
        <v>0</v>
      </c>
      <c r="V70">
        <f ca="1"/>
        <v>0</v>
      </c>
      <c r="W70">
        <f ca="1"/>
        <v>0</v>
      </c>
      <c r="Y70">
        <v>0</v>
      </c>
      <c r="Z70">
        <v>0</v>
      </c>
    </row>
    <row r="71" spans="10:26">
      <c r="J71" s="831"/>
      <c r="O71" s="16"/>
      <c r="Q71" s="833"/>
      <c r="R71" s="833"/>
      <c r="S71" s="833"/>
      <c r="T71">
        <f ca="1"/>
        <v>0</v>
      </c>
      <c r="U71">
        <f ca="1"/>
        <v>0</v>
      </c>
      <c r="V71">
        <f ca="1"/>
        <v>0</v>
      </c>
      <c r="W71">
        <f ca="1"/>
        <v>0</v>
      </c>
      <c r="Y71">
        <v>0</v>
      </c>
      <c r="Z71">
        <v>0</v>
      </c>
    </row>
    <row r="72" spans="10:26">
      <c r="J72" s="831"/>
      <c r="O72" s="16"/>
      <c r="Q72" s="833"/>
      <c r="R72" s="833"/>
      <c r="S72" s="833"/>
      <c r="T72">
        <f ca="1"/>
        <v>0</v>
      </c>
      <c r="U72">
        <f ca="1"/>
        <v>0</v>
      </c>
      <c r="V72">
        <f ca="1"/>
        <v>0</v>
      </c>
      <c r="W72">
        <f ca="1"/>
        <v>0</v>
      </c>
      <c r="Y72">
        <v>0</v>
      </c>
      <c r="Z72">
        <v>0</v>
      </c>
    </row>
    <row r="73" spans="10:26">
      <c r="J73" s="831"/>
      <c r="O73" s="16"/>
      <c r="Q73" s="833"/>
      <c r="R73" s="833"/>
      <c r="S73" s="833"/>
      <c r="T73">
        <f ca="1"/>
        <v>0</v>
      </c>
      <c r="U73">
        <f ca="1"/>
        <v>0</v>
      </c>
      <c r="V73">
        <f ca="1"/>
        <v>0</v>
      </c>
      <c r="W73">
        <f ca="1"/>
        <v>0</v>
      </c>
      <c r="Y73">
        <v>0</v>
      </c>
      <c r="Z73">
        <v>0</v>
      </c>
    </row>
    <row r="74" spans="10:26">
      <c r="J74" s="831"/>
      <c r="O74" s="16"/>
      <c r="Q74" s="833"/>
      <c r="R74" s="833"/>
      <c r="S74" s="833"/>
      <c r="T74">
        <f ca="1"/>
        <v>0</v>
      </c>
      <c r="U74">
        <f ca="1"/>
        <v>0</v>
      </c>
      <c r="V74">
        <f ca="1"/>
        <v>0</v>
      </c>
      <c r="W74">
        <f ca="1"/>
        <v>0</v>
      </c>
      <c r="Y74">
        <v>0</v>
      </c>
      <c r="Z74">
        <v>0</v>
      </c>
    </row>
    <row r="75" spans="10:26">
      <c r="J75" s="831"/>
      <c r="O75" s="16"/>
      <c r="Q75" s="833"/>
      <c r="R75" s="833"/>
      <c r="S75" s="833"/>
      <c r="T75">
        <f ca="1"/>
        <v>0</v>
      </c>
      <c r="U75">
        <f ca="1"/>
        <v>0</v>
      </c>
      <c r="V75">
        <f ca="1"/>
        <v>0</v>
      </c>
      <c r="W75">
        <f ca="1"/>
        <v>0</v>
      </c>
      <c r="Y75">
        <v>0</v>
      </c>
      <c r="Z75">
        <v>0</v>
      </c>
    </row>
    <row r="76" spans="10:26">
      <c r="J76" s="831"/>
      <c r="O76" s="16"/>
      <c r="Q76" s="833"/>
      <c r="R76" s="833"/>
      <c r="S76" s="833"/>
      <c r="T76">
        <f ca="1"/>
        <v>0</v>
      </c>
      <c r="U76">
        <f ca="1"/>
        <v>0</v>
      </c>
      <c r="V76">
        <f ca="1"/>
        <v>0</v>
      </c>
      <c r="W76">
        <f ca="1"/>
        <v>0</v>
      </c>
      <c r="Y76">
        <v>0</v>
      </c>
      <c r="Z76">
        <v>0</v>
      </c>
    </row>
    <row r="77" spans="10:26">
      <c r="J77" s="831"/>
      <c r="O77" s="16"/>
      <c r="Q77" s="833"/>
      <c r="R77" s="833"/>
      <c r="S77" s="833"/>
      <c r="T77">
        <f ca="1"/>
        <v>0</v>
      </c>
      <c r="U77">
        <f ca="1"/>
        <v>0</v>
      </c>
      <c r="V77">
        <f ca="1"/>
        <v>0</v>
      </c>
      <c r="W77">
        <f ca="1"/>
        <v>0</v>
      </c>
      <c r="Y77">
        <v>0</v>
      </c>
      <c r="Z77">
        <v>0</v>
      </c>
    </row>
    <row r="78" spans="10:26">
      <c r="J78" s="831"/>
      <c r="O78" s="16"/>
      <c r="Q78" s="833"/>
      <c r="R78" s="833"/>
      <c r="S78" s="833"/>
      <c r="T78">
        <f ca="1"/>
        <v>0</v>
      </c>
      <c r="U78">
        <f ca="1"/>
        <v>0</v>
      </c>
      <c r="V78">
        <f ca="1"/>
        <v>0</v>
      </c>
      <c r="W78">
        <f ca="1"/>
        <v>0</v>
      </c>
      <c r="Y78">
        <v>0</v>
      </c>
      <c r="Z78">
        <v>0</v>
      </c>
    </row>
    <row r="79" spans="10:26">
      <c r="J79" s="831"/>
      <c r="O79" s="16"/>
      <c r="Q79" s="833"/>
      <c r="R79" s="833"/>
      <c r="S79" s="833"/>
      <c r="T79">
        <f ca="1"/>
        <v>0</v>
      </c>
      <c r="U79">
        <f ca="1"/>
        <v>0</v>
      </c>
      <c r="V79">
        <f ca="1"/>
        <v>0</v>
      </c>
      <c r="W79">
        <f ca="1"/>
        <v>0</v>
      </c>
      <c r="Y79">
        <v>0</v>
      </c>
      <c r="Z79">
        <v>0</v>
      </c>
    </row>
    <row r="80" spans="10:26">
      <c r="J80" s="831"/>
      <c r="O80" s="16"/>
      <c r="Q80" s="833"/>
      <c r="R80" s="833"/>
      <c r="S80" s="833"/>
      <c r="T80">
        <f ca="1"/>
        <v>0</v>
      </c>
      <c r="U80">
        <f ca="1"/>
        <v>0</v>
      </c>
      <c r="V80">
        <f ca="1"/>
        <v>0</v>
      </c>
      <c r="W80">
        <f ca="1"/>
        <v>0</v>
      </c>
      <c r="Y80">
        <v>0</v>
      </c>
      <c r="Z80">
        <v>0</v>
      </c>
    </row>
    <row r="81" spans="15:26">
      <c r="O81" s="16"/>
      <c r="Q81" s="833"/>
      <c r="R81" s="833"/>
      <c r="S81" s="833"/>
      <c r="T81">
        <f ca="1"/>
        <v>0</v>
      </c>
      <c r="U81">
        <f ca="1"/>
        <v>0</v>
      </c>
      <c r="V81">
        <f ca="1"/>
        <v>0</v>
      </c>
      <c r="W81">
        <f ca="1"/>
        <v>0</v>
      </c>
      <c r="Y81">
        <v>0</v>
      </c>
      <c r="Z81">
        <v>0</v>
      </c>
    </row>
    <row r="82" spans="15:26">
      <c r="O82" s="16"/>
      <c r="Q82" s="833"/>
      <c r="R82" s="833"/>
      <c r="S82" s="833"/>
      <c r="T82">
        <f ca="1"/>
        <v>0</v>
      </c>
      <c r="U82">
        <f ca="1"/>
        <v>0</v>
      </c>
      <c r="V82">
        <f ca="1"/>
        <v>0</v>
      </c>
      <c r="W82">
        <f ca="1"/>
        <v>0</v>
      </c>
      <c r="Y82">
        <v>0</v>
      </c>
      <c r="Z82">
        <v>0</v>
      </c>
    </row>
    <row r="83" spans="15:26">
      <c r="O83" s="16"/>
      <c r="Q83" s="833"/>
      <c r="R83" s="833"/>
      <c r="S83" s="833"/>
      <c r="T83">
        <f ca="1"/>
        <v>0</v>
      </c>
      <c r="U83">
        <f ca="1"/>
        <v>0</v>
      </c>
      <c r="V83">
        <f ca="1"/>
        <v>0</v>
      </c>
      <c r="W83">
        <f ca="1"/>
        <v>0</v>
      </c>
      <c r="Y83">
        <v>0</v>
      </c>
      <c r="Z83">
        <v>0</v>
      </c>
    </row>
    <row r="84" spans="15:26">
      <c r="O84" s="16"/>
      <c r="Q84" s="833"/>
      <c r="R84" s="833"/>
      <c r="S84" s="833"/>
      <c r="T84">
        <f ca="1"/>
        <v>0</v>
      </c>
      <c r="U84">
        <f ca="1"/>
        <v>0</v>
      </c>
      <c r="V84">
        <f ca="1"/>
        <v>0</v>
      </c>
      <c r="W84">
        <f ca="1"/>
        <v>0</v>
      </c>
      <c r="Y84">
        <v>0</v>
      </c>
      <c r="Z84">
        <v>0</v>
      </c>
    </row>
    <row r="85" spans="15:26">
      <c r="O85" s="16"/>
      <c r="Q85" s="833"/>
      <c r="R85" s="833"/>
      <c r="S85" s="833"/>
      <c r="T85">
        <f ca="1"/>
        <v>0</v>
      </c>
      <c r="U85">
        <f ca="1"/>
        <v>0</v>
      </c>
      <c r="V85">
        <f ca="1"/>
        <v>0</v>
      </c>
      <c r="W85">
        <f ca="1"/>
        <v>0</v>
      </c>
      <c r="Y85">
        <v>0</v>
      </c>
      <c r="Z85">
        <v>0</v>
      </c>
    </row>
    <row r="86" spans="15:26">
      <c r="O86" s="16"/>
      <c r="Q86" s="833"/>
      <c r="R86" s="833"/>
      <c r="S86" s="833"/>
      <c r="T86">
        <f ca="1"/>
        <v>0</v>
      </c>
      <c r="U86">
        <f ca="1"/>
        <v>0</v>
      </c>
      <c r="V86">
        <f ca="1"/>
        <v>0</v>
      </c>
      <c r="W86">
        <f ca="1"/>
        <v>0</v>
      </c>
      <c r="Y86">
        <v>0</v>
      </c>
      <c r="Z86">
        <v>0</v>
      </c>
    </row>
    <row r="87" spans="15:26">
      <c r="O87" s="16"/>
      <c r="Q87" s="833"/>
      <c r="R87" s="833"/>
      <c r="S87" s="833"/>
      <c r="T87">
        <f ca="1"/>
        <v>0</v>
      </c>
      <c r="U87">
        <f ca="1"/>
        <v>0</v>
      </c>
      <c r="V87">
        <f ca="1"/>
        <v>0</v>
      </c>
      <c r="W87">
        <f ca="1"/>
        <v>0</v>
      </c>
      <c r="Y87">
        <v>0</v>
      </c>
      <c r="Z87">
        <v>0</v>
      </c>
    </row>
    <row r="88" spans="15:26">
      <c r="O88" s="16"/>
      <c r="Q88" s="833"/>
      <c r="R88" s="833"/>
      <c r="S88" s="833"/>
      <c r="T88">
        <f ca="1"/>
        <v>0</v>
      </c>
      <c r="U88">
        <f ca="1"/>
        <v>0</v>
      </c>
      <c r="V88">
        <f ca="1"/>
        <v>0</v>
      </c>
      <c r="W88">
        <f ca="1"/>
        <v>0</v>
      </c>
      <c r="Y88">
        <v>0</v>
      </c>
      <c r="Z88">
        <v>0</v>
      </c>
    </row>
    <row r="89" spans="15:26">
      <c r="O89" s="16"/>
      <c r="Q89" s="833"/>
      <c r="R89" s="833"/>
      <c r="S89" s="833"/>
      <c r="T89">
        <f ca="1"/>
        <v>0</v>
      </c>
      <c r="U89">
        <f ca="1"/>
        <v>0</v>
      </c>
      <c r="V89">
        <f ca="1"/>
        <v>0</v>
      </c>
      <c r="W89">
        <f ca="1"/>
        <v>0</v>
      </c>
      <c r="Y89">
        <v>0</v>
      </c>
      <c r="Z89">
        <v>0</v>
      </c>
    </row>
    <row r="90" spans="15:26">
      <c r="O90" s="16"/>
      <c r="Q90" s="833"/>
      <c r="R90" s="833"/>
      <c r="S90" s="833"/>
      <c r="T90">
        <f ca="1"/>
        <v>0</v>
      </c>
      <c r="U90">
        <f ca="1"/>
        <v>0</v>
      </c>
      <c r="V90">
        <f ca="1"/>
        <v>0</v>
      </c>
      <c r="W90">
        <f ca="1"/>
        <v>0</v>
      </c>
      <c r="Y90">
        <v>0</v>
      </c>
      <c r="Z90">
        <v>0</v>
      </c>
    </row>
    <row r="91" spans="15:26">
      <c r="O91" s="16"/>
      <c r="Q91" s="833"/>
      <c r="R91" s="833"/>
      <c r="S91" s="833"/>
      <c r="T91">
        <f ca="1"/>
        <v>0</v>
      </c>
      <c r="U91">
        <f ca="1"/>
        <v>0</v>
      </c>
      <c r="V91">
        <f ca="1"/>
        <v>0</v>
      </c>
      <c r="W91">
        <f ca="1"/>
        <v>0</v>
      </c>
      <c r="Y91">
        <v>0</v>
      </c>
      <c r="Z91">
        <v>0</v>
      </c>
    </row>
    <row r="92" spans="15:26">
      <c r="O92" s="16"/>
      <c r="Q92" s="833"/>
      <c r="R92" s="833"/>
      <c r="S92" s="833"/>
      <c r="T92">
        <f ca="1"/>
        <v>0</v>
      </c>
      <c r="U92">
        <f ca="1"/>
        <v>0</v>
      </c>
      <c r="V92">
        <f ca="1"/>
        <v>0</v>
      </c>
      <c r="W92">
        <f ca="1"/>
        <v>0</v>
      </c>
      <c r="Y92">
        <v>0</v>
      </c>
      <c r="Z92">
        <v>0</v>
      </c>
    </row>
    <row r="93" spans="15:26">
      <c r="O93" s="16"/>
      <c r="Q93" s="833"/>
      <c r="R93" s="833"/>
      <c r="S93" s="833"/>
      <c r="T93">
        <f ca="1"/>
        <v>0</v>
      </c>
      <c r="U93">
        <f ca="1"/>
        <v>0</v>
      </c>
      <c r="V93">
        <f ca="1"/>
        <v>0</v>
      </c>
      <c r="W93">
        <f ca="1"/>
        <v>0</v>
      </c>
      <c r="Y93">
        <v>0</v>
      </c>
      <c r="Z93">
        <v>0</v>
      </c>
    </row>
    <row r="94" spans="15:26">
      <c r="O94" s="16"/>
      <c r="Q94" s="833"/>
      <c r="R94" s="833"/>
      <c r="S94" s="833"/>
      <c r="T94">
        <f ca="1"/>
        <v>0</v>
      </c>
      <c r="U94">
        <f ca="1"/>
        <v>0</v>
      </c>
      <c r="V94">
        <f ca="1"/>
        <v>0</v>
      </c>
      <c r="W94">
        <f ca="1"/>
        <v>0</v>
      </c>
      <c r="Y94">
        <v>0</v>
      </c>
      <c r="Z94">
        <v>0</v>
      </c>
    </row>
    <row r="95" spans="15:26">
      <c r="O95" s="16"/>
      <c r="Q95" s="833"/>
      <c r="R95" s="833"/>
      <c r="S95" s="833"/>
      <c r="T95">
        <f ca="1"/>
        <v>0</v>
      </c>
      <c r="U95">
        <f ca="1"/>
        <v>0</v>
      </c>
      <c r="V95">
        <f ca="1"/>
        <v>0</v>
      </c>
      <c r="W95">
        <f ca="1"/>
        <v>0</v>
      </c>
      <c r="Y95">
        <v>0</v>
      </c>
      <c r="Z95">
        <v>0</v>
      </c>
    </row>
    <row r="96" spans="15:26">
      <c r="O96" s="16"/>
      <c r="Q96" s="833"/>
      <c r="R96" s="833"/>
      <c r="S96" s="833"/>
      <c r="T96">
        <f ca="1"/>
        <v>0</v>
      </c>
      <c r="U96">
        <f ca="1"/>
        <v>0</v>
      </c>
      <c r="V96">
        <f ca="1"/>
        <v>0</v>
      </c>
      <c r="W96">
        <f ca="1"/>
        <v>0</v>
      </c>
      <c r="Y96">
        <v>0</v>
      </c>
      <c r="Z96">
        <v>0</v>
      </c>
    </row>
    <row r="97" spans="15:26">
      <c r="O97" s="16"/>
      <c r="Q97" s="833"/>
      <c r="R97" s="833"/>
      <c r="S97" s="833"/>
      <c r="T97">
        <f ca="1"/>
        <v>0</v>
      </c>
      <c r="U97">
        <f ca="1"/>
        <v>0</v>
      </c>
      <c r="V97">
        <f ca="1"/>
        <v>0</v>
      </c>
      <c r="W97">
        <f ca="1"/>
        <v>0</v>
      </c>
      <c r="Y97">
        <v>0</v>
      </c>
      <c r="Z97">
        <v>0</v>
      </c>
    </row>
    <row r="98" spans="15:26">
      <c r="O98" s="16"/>
      <c r="Q98" s="833"/>
      <c r="R98" s="833"/>
      <c r="S98" s="833"/>
      <c r="T98">
        <f ca="1"/>
        <v>0</v>
      </c>
      <c r="U98">
        <f ca="1"/>
        <v>0</v>
      </c>
      <c r="V98">
        <f ca="1"/>
        <v>0</v>
      </c>
      <c r="W98">
        <f ca="1"/>
        <v>0</v>
      </c>
      <c r="Y98">
        <v>0</v>
      </c>
      <c r="Z98">
        <v>0</v>
      </c>
    </row>
    <row r="99" spans="15:26" ht="23" thickBot="1">
      <c r="O99" s="849"/>
      <c r="P99" s="850"/>
      <c r="Q99" s="833"/>
      <c r="R99" s="833"/>
      <c r="S99" s="833"/>
      <c r="T99" s="850">
        <f ca="1"/>
        <v>0</v>
      </c>
      <c r="U99" s="850">
        <f ca="1"/>
        <v>0</v>
      </c>
      <c r="V99" s="850">
        <f ca="1"/>
        <v>0</v>
      </c>
      <c r="W99" s="850">
        <f ca="1"/>
        <v>0</v>
      </c>
      <c r="X99" s="850"/>
      <c r="Y99">
        <v>0</v>
      </c>
      <c r="Z99">
        <v>0</v>
      </c>
    </row>
    <row r="100" spans="15:26" ht="23" thickTop="1"/>
    <row r="113" spans="3:4">
      <c r="C113" s="88"/>
      <c r="D113" s="82"/>
    </row>
    <row r="114" spans="3:4">
      <c r="C114" s="88"/>
      <c r="D114" s="82"/>
    </row>
    <row r="115" spans="3:4">
      <c r="C115" s="88"/>
      <c r="D115" s="82"/>
    </row>
    <row r="116" spans="3:4">
      <c r="C116" s="88"/>
      <c r="D116" s="82"/>
    </row>
    <row r="117" spans="3:4">
      <c r="C117" s="88"/>
      <c r="D117" s="82"/>
    </row>
    <row r="118" spans="3:4">
      <c r="C118" s="88"/>
      <c r="D118" s="82"/>
    </row>
    <row r="119" spans="3:4">
      <c r="C119" s="88"/>
      <c r="D119" s="82"/>
    </row>
    <row r="120" spans="3:4">
      <c r="C120" s="88"/>
      <c r="D120" s="82"/>
    </row>
    <row r="121" spans="3:4">
      <c r="C121" s="88"/>
      <c r="D121" s="82"/>
    </row>
    <row r="122" spans="3:4">
      <c r="C122" s="88"/>
      <c r="D122" s="82"/>
    </row>
    <row r="123" spans="3:4">
      <c r="C123" s="88"/>
      <c r="D123" s="82"/>
    </row>
    <row r="124" spans="3:4">
      <c r="C124" s="88"/>
      <c r="D124" s="82"/>
    </row>
    <row r="125" spans="3:4">
      <c r="C125" s="88"/>
      <c r="D125" s="82"/>
    </row>
    <row r="126" spans="3:4">
      <c r="C126" s="88"/>
      <c r="D126" s="82"/>
    </row>
    <row r="127" spans="3:4">
      <c r="C127" s="88"/>
      <c r="D127" s="82"/>
    </row>
    <row r="128" spans="3:4">
      <c r="C128" s="88"/>
      <c r="D128" s="82"/>
    </row>
    <row r="129" spans="3:4">
      <c r="C129" s="88"/>
      <c r="D129" s="82"/>
    </row>
    <row r="130" spans="3:4">
      <c r="C130" s="88"/>
      <c r="D130" s="82"/>
    </row>
    <row r="131" spans="3:4">
      <c r="C131" s="88"/>
      <c r="D131" s="82"/>
    </row>
  </sheetData>
  <autoFilter ref="K3:L24" xr:uid="{EF59AA03-5DFB-5944-9EED-C02761F17A18}"/>
  <mergeCells count="1">
    <mergeCell ref="K1:N1"/>
  </mergeCells>
  <phoneticPr fontId="47" type="noConversion"/>
  <conditionalFormatting sqref="C15">
    <cfRule type="cellIs" dxfId="2351" priority="29" operator="greaterThan">
      <formula>0</formula>
    </cfRule>
    <cfRule type="cellIs" dxfId="2350" priority="30" operator="lessThan">
      <formula>0</formula>
    </cfRule>
  </conditionalFormatting>
  <conditionalFormatting sqref="H16:I16">
    <cfRule type="expression" dxfId="2349" priority="6">
      <formula>$I$16&gt;$I$15</formula>
    </cfRule>
    <cfRule type="cellIs" dxfId="2348" priority="27" operator="greaterThan">
      <formula>0</formula>
    </cfRule>
    <cfRule type="cellIs" dxfId="2347" priority="28" operator="lessThan">
      <formula>0</formula>
    </cfRule>
  </conditionalFormatting>
  <conditionalFormatting sqref="C16">
    <cfRule type="cellIs" dxfId="2346" priority="26" operator="lessThan">
      <formula>"-"</formula>
    </cfRule>
  </conditionalFormatting>
  <conditionalFormatting sqref="A8">
    <cfRule type="cellIs" dxfId="2345" priority="7" operator="lessThan">
      <formula>0</formula>
    </cfRule>
    <cfRule type="cellIs" dxfId="2344" priority="8" operator="greaterThan">
      <formula>0</formula>
    </cfRule>
  </conditionalFormatting>
  <conditionalFormatting sqref="C9 C12">
    <cfRule type="cellIs" dxfId="2343" priority="4" operator="lessThan">
      <formula>0.5</formula>
    </cfRule>
    <cfRule type="cellIs" dxfId="2342" priority="5" operator="greaterThan">
      <formula>0.5</formula>
    </cfRule>
  </conditionalFormatting>
  <conditionalFormatting sqref="F9 F12">
    <cfRule type="cellIs" dxfId="2341" priority="2" operator="lessThan">
      <formula>0.5</formula>
    </cfRule>
    <cfRule type="cellIs" dxfId="2340" priority="3" operator="greaterThan">
      <formula>0.5</formula>
    </cfRule>
  </conditionalFormatting>
  <conditionalFormatting sqref="A6">
    <cfRule type="expression" dxfId="2339" priority="1825">
      <formula>AND($A$6&gt;0,$A$6&lt;$E$19)</formula>
    </cfRule>
    <cfRule type="containsText" dxfId="2338" priority="1826" operator="containsText" text="n/a">
      <formula>NOT(ISERROR(SEARCH("n/a",A6)))</formula>
    </cfRule>
  </conditionalFormatting>
  <conditionalFormatting sqref="D17:D18">
    <cfRule type="expression" dxfId="2337" priority="1">
      <formula>$D$16&gt;0</formula>
    </cfRule>
  </conditionalFormatting>
  <pageMargins left="0.7" right="0.7" top="0.75" bottom="0.75" header="0.3" footer="0.3"/>
  <pageSetup paperSize="9" orientation="portrait" horizontalDpi="0" verticalDpi="0"/>
  <drawing r:id="rId1"/>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25" operator="containsText" id="{9DB24A42-E08E-9F4D-AADB-F019E88AE8B0}">
            <xm:f>NOT(ISERROR(SEARCH("-",C16)))</xm:f>
            <xm:f>"-"</xm:f>
            <x14:dxf>
              <font>
                <color rgb="FF9C0006"/>
              </font>
              <fill>
                <patternFill>
                  <bgColor rgb="FFFFC7CE"/>
                </patternFill>
              </fill>
            </x14:dxf>
          </x14:cfRule>
          <xm:sqref>C16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9EB30915-57B7-6043-932F-94F5EB4491A9}">
          <x14:formula1>
            <xm:f>Calc!$H$3:$H$96</xm:f>
          </x14:formula1>
          <xm:sqref>J7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4D8AE-F0CC-DF43-9206-DEA03559A6E2}">
  <sheetPr codeName="Sheet23">
    <tabColor rgb="FFFFC000"/>
  </sheetPr>
  <dimension ref="A1:BQ193"/>
  <sheetViews>
    <sheetView zoomScaleNormal="100" workbookViewId="0">
      <pane xSplit="1" ySplit="2" topLeftCell="T12" activePane="bottomRight" state="frozen"/>
      <selection pane="topRight" activeCell="B1" sqref="B1"/>
      <selection pane="bottomLeft" activeCell="A3" sqref="A3"/>
      <selection pane="bottomRight" activeCell="X34" sqref="X34"/>
    </sheetView>
  </sheetViews>
  <sheetFormatPr baseColWidth="10" defaultRowHeight="22"/>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3" max="13" width="10.625" customWidth="1"/>
    <col min="14" max="14" width="4.125" customWidth="1"/>
    <col min="15" max="15" width="18.625" bestFit="1" customWidth="1"/>
    <col min="16" max="16" width="8.875" customWidth="1"/>
    <col min="17" max="17" width="10.75" style="672" bestFit="1" customWidth="1"/>
    <col min="18" max="18" width="11.375" style="672" customWidth="1"/>
    <col min="19" max="19" width="9.25" customWidth="1"/>
    <col min="20" max="20" width="8.625" customWidth="1"/>
    <col min="21" max="21" width="28.625" style="1" bestFit="1" customWidth="1"/>
    <col min="22" max="22" width="7.375" style="355" bestFit="1" customWidth="1"/>
    <col min="23" max="23" width="11.75" customWidth="1"/>
    <col min="24" max="25" width="10.5" style="672" customWidth="1"/>
    <col min="26" max="26" width="9.25" style="672" customWidth="1"/>
    <col min="27" max="27" width="10.875" style="672" customWidth="1"/>
    <col min="28" max="28" width="6.25" style="672" customWidth="1"/>
    <col min="29" max="29" width="14" bestFit="1" customWidth="1"/>
    <col min="30" max="30" width="20" customWidth="1"/>
    <col min="31" max="31" width="10.25" style="1" bestFit="1" customWidth="1"/>
    <col min="32" max="32" width="15.125" style="1" bestFit="1" customWidth="1"/>
    <col min="33" max="33" width="15.5" bestFit="1" customWidth="1"/>
    <col min="34" max="34" width="10.75" bestFit="1" customWidth="1"/>
    <col min="35" max="35" width="13" customWidth="1"/>
    <col min="36" max="36" width="10.5" bestFit="1" customWidth="1"/>
    <col min="37" max="37" width="12.5" bestFit="1" customWidth="1"/>
    <col min="38" max="38" width="8.875" bestFit="1" customWidth="1"/>
    <col min="39" max="40" width="10.5" customWidth="1"/>
    <col min="41" max="41" width="14.875" customWidth="1"/>
    <col min="42" max="42" width="10" customWidth="1"/>
    <col min="43" max="43" width="8.5" customWidth="1"/>
    <col min="44" max="44" width="12.25" customWidth="1"/>
    <col min="45" max="45" width="23.375" customWidth="1"/>
    <col min="46" max="46" width="16.875" customWidth="1"/>
    <col min="47" max="47" width="11.5" customWidth="1"/>
    <col min="48" max="48" width="8.625" style="93" customWidth="1"/>
    <col min="49" max="49" width="8.875" customWidth="1"/>
    <col min="50" max="50" width="10.625" customWidth="1"/>
    <col min="51" max="51" width="11.875" style="411" bestFit="1" customWidth="1"/>
    <col min="52" max="52" width="8.125" bestFit="1" customWidth="1"/>
    <col min="53" max="53" width="13.375" bestFit="1" customWidth="1"/>
    <col min="54" max="54" width="9.625" customWidth="1"/>
    <col min="55" max="55" width="19.875" bestFit="1" customWidth="1"/>
    <col min="56" max="56" width="18.625" bestFit="1" customWidth="1"/>
    <col min="57" max="57" width="10.625" customWidth="1"/>
    <col min="60" max="60" width="10.25" bestFit="1" customWidth="1"/>
  </cols>
  <sheetData>
    <row r="1" spans="1:69" ht="91" customHeight="1" thickBot="1">
      <c r="B1" s="666">
        <v>5000</v>
      </c>
      <c r="C1" s="530" t="s">
        <v>1732</v>
      </c>
      <c r="D1" s="500" t="str">
        <f>"REVERSE Sell for cash gain of "&amp;DesiredSaleGain</f>
        <v>REVERSE Sell for cash gain of 5000</v>
      </c>
      <c r="E1" s="664" t="str">
        <f>"REVERSE Buy for virtual gain of "&amp;DesiredBuyGain</f>
        <v>REVERSE Buy for virtual gain of 5000</v>
      </c>
      <c r="F1" s="666">
        <v>5000</v>
      </c>
      <c r="G1" s="531" t="s">
        <v>1885</v>
      </c>
      <c r="H1" s="664" t="s">
        <v>1921</v>
      </c>
      <c r="L1" s="101"/>
      <c r="O1" s="722" t="s">
        <v>2094</v>
      </c>
      <c r="P1" s="1409" t="s">
        <v>2195</v>
      </c>
      <c r="Q1" s="1410"/>
      <c r="R1" s="1410"/>
      <c r="S1" s="1411"/>
      <c r="T1" s="800" t="s">
        <v>183</v>
      </c>
      <c r="U1" s="705" t="s">
        <v>2684</v>
      </c>
      <c r="V1" s="789" t="s">
        <v>2080</v>
      </c>
      <c r="W1" s="716" t="s">
        <v>2089</v>
      </c>
      <c r="X1" s="717" t="s">
        <v>2085</v>
      </c>
      <c r="Y1" s="799" t="s">
        <v>682</v>
      </c>
      <c r="Z1" s="853" t="s">
        <v>2237</v>
      </c>
      <c r="AA1" s="1105" t="s">
        <v>2517</v>
      </c>
      <c r="AB1" s="844" t="s">
        <v>2283</v>
      </c>
      <c r="AC1" s="720" t="s">
        <v>1891</v>
      </c>
      <c r="AD1" s="1418" t="s">
        <v>2616</v>
      </c>
      <c r="AE1" s="1419"/>
      <c r="AF1" s="1419"/>
      <c r="AG1" s="1419"/>
      <c r="AH1" s="1273"/>
      <c r="AI1" s="1273"/>
      <c r="AJ1" s="1273"/>
      <c r="AK1" s="1414" t="s">
        <v>2575</v>
      </c>
      <c r="AL1" s="1414"/>
      <c r="AM1" s="1030"/>
      <c r="AN1" s="1030"/>
      <c r="AO1" s="1416" t="s">
        <v>2358</v>
      </c>
      <c r="AP1" s="1417"/>
      <c r="AQ1" s="1415" t="s">
        <v>2231</v>
      </c>
      <c r="AR1" s="1415"/>
      <c r="AS1" s="816" t="s">
        <v>2229</v>
      </c>
      <c r="AT1" s="1412" t="s">
        <v>2554</v>
      </c>
      <c r="AU1" s="1413"/>
      <c r="AV1" s="1413"/>
      <c r="AW1" s="1406" t="s">
        <v>2196</v>
      </c>
      <c r="AX1" s="1407"/>
      <c r="AY1" s="1407"/>
      <c r="AZ1" s="1408"/>
      <c r="BA1" s="703" t="s">
        <v>2100</v>
      </c>
      <c r="BB1" s="815" t="s">
        <v>1919</v>
      </c>
      <c r="BC1" s="768"/>
      <c r="BD1" s="768"/>
    </row>
    <row r="2" spans="1:69" ht="35" thickBot="1">
      <c r="A2" s="226" t="s">
        <v>547</v>
      </c>
      <c r="B2" s="199" t="s">
        <v>1878</v>
      </c>
      <c r="C2" s="495" t="s">
        <v>1689</v>
      </c>
      <c r="D2" s="351" t="s">
        <v>2079</v>
      </c>
      <c r="E2" s="889" t="s">
        <v>1886</v>
      </c>
      <c r="F2" s="327" t="s">
        <v>1553</v>
      </c>
      <c r="G2" s="642" t="s">
        <v>1882</v>
      </c>
      <c r="H2" s="202" t="s">
        <v>1884</v>
      </c>
      <c r="I2" s="328" t="s">
        <v>1554</v>
      </c>
      <c r="J2" s="396" t="s">
        <v>702</v>
      </c>
      <c r="K2" s="408" t="s">
        <v>1530</v>
      </c>
      <c r="L2" s="408" t="s">
        <v>1531</v>
      </c>
      <c r="M2" s="297" t="s">
        <v>661</v>
      </c>
      <c r="N2" s="297" t="s">
        <v>662</v>
      </c>
      <c r="O2" s="780" t="s">
        <v>2150</v>
      </c>
      <c r="P2" s="721" t="s">
        <v>1685</v>
      </c>
      <c r="Q2" s="699" t="s">
        <v>1690</v>
      </c>
      <c r="R2" s="787" t="s">
        <v>1879</v>
      </c>
      <c r="S2" s="1017" t="s">
        <v>2445</v>
      </c>
      <c r="T2" s="797" t="s">
        <v>544</v>
      </c>
      <c r="U2" s="760" t="s">
        <v>2284</v>
      </c>
      <c r="V2" s="786" t="s">
        <v>1115</v>
      </c>
      <c r="W2" s="1108" t="s">
        <v>677</v>
      </c>
      <c r="X2" s="764" t="s">
        <v>2134</v>
      </c>
      <c r="Y2" s="817" t="s">
        <v>2200</v>
      </c>
      <c r="Z2" s="835" t="s">
        <v>2236</v>
      </c>
      <c r="AA2" s="852" t="s">
        <v>1580</v>
      </c>
      <c r="AB2" s="845" t="s">
        <v>2282</v>
      </c>
      <c r="AC2" s="1162" t="s">
        <v>1608</v>
      </c>
      <c r="AD2" s="758" t="s">
        <v>2576</v>
      </c>
      <c r="AE2" s="1088" t="s">
        <v>2142</v>
      </c>
      <c r="AF2" s="1297" t="s">
        <v>2617</v>
      </c>
      <c r="AG2" s="1297" t="s">
        <v>2721</v>
      </c>
      <c r="AH2" s="1300" t="s">
        <v>2720</v>
      </c>
      <c r="AI2" s="1334" t="s">
        <v>2719</v>
      </c>
      <c r="AJ2" s="773" t="s">
        <v>2457</v>
      </c>
      <c r="AK2" s="1037" t="s">
        <v>2453</v>
      </c>
      <c r="AL2" s="1037" t="s">
        <v>2454</v>
      </c>
      <c r="AM2" s="1397" t="s">
        <v>2624</v>
      </c>
      <c r="AN2" s="1395" t="s">
        <v>2546</v>
      </c>
      <c r="AO2" s="821" t="s">
        <v>2455</v>
      </c>
      <c r="AP2" s="821" t="s">
        <v>2456</v>
      </c>
      <c r="AQ2" s="852" t="s">
        <v>2234</v>
      </c>
      <c r="AR2" s="852" t="s">
        <v>2235</v>
      </c>
      <c r="AS2" s="773" t="s">
        <v>2199</v>
      </c>
      <c r="AT2" s="747" t="s">
        <v>2146</v>
      </c>
      <c r="AU2" s="822" t="s">
        <v>2144</v>
      </c>
      <c r="AV2" s="724" t="s">
        <v>2104</v>
      </c>
      <c r="AW2" s="668" t="s">
        <v>1447</v>
      </c>
      <c r="AX2" s="739" t="s">
        <v>1687</v>
      </c>
      <c r="AY2" s="669" t="s">
        <v>1881</v>
      </c>
      <c r="AZ2" s="1016" t="s">
        <v>2444</v>
      </c>
      <c r="BA2" s="704" t="s">
        <v>2081</v>
      </c>
      <c r="BB2" s="643" t="s">
        <v>1880</v>
      </c>
      <c r="BC2" s="643" t="s">
        <v>2216</v>
      </c>
      <c r="BD2" s="698" t="s">
        <v>2088</v>
      </c>
      <c r="BE2" s="698" t="s">
        <v>2133</v>
      </c>
      <c r="BF2" s="674" t="s">
        <v>1887</v>
      </c>
      <c r="BG2" s="1" t="s">
        <v>1883</v>
      </c>
      <c r="BH2" s="772" t="s">
        <v>2143</v>
      </c>
      <c r="BI2" s="975" t="s">
        <v>2734</v>
      </c>
      <c r="BJ2" s="687" t="s">
        <v>2214</v>
      </c>
      <c r="BK2" s="687" t="s">
        <v>2359</v>
      </c>
      <c r="BL2" s="767" t="s">
        <v>2360</v>
      </c>
      <c r="BM2" s="1389" t="s">
        <v>2082</v>
      </c>
      <c r="BN2" s="687" t="s">
        <v>2086</v>
      </c>
      <c r="BO2" s="687" t="s">
        <v>2087</v>
      </c>
      <c r="BP2" s="1387" t="s">
        <v>2735</v>
      </c>
    </row>
    <row r="3" spans="1:69" hidden="1">
      <c r="A3" s="225">
        <f ca="1">IF(_xlfn.XLOOKUP(TabTRADER[[#This Row],[ClickTick]],TabCalc[Ticker],TabCalc[Cur])="GBp",0.01,1)</f>
        <v>1</v>
      </c>
      <c r="B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-248.52x200=    +2,860 USD</v>
      </c>
      <c r="C3"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5.4%</v>
      </c>
      <c r="D3" s="697" t="str" cm="1">
        <f t="array" aca="1" ref="D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 s="765" t="str">
        <f ca="1">IF(      AND(TabTRADER[[#This Row],[A]]&lt;TabTRADER[[#This Row],[M]],    _xlfn.XLOOKUP(TabTRADER[[#This Row],[ClickTick]],TabCalc[Ticker],TabCalc[L_Sp])&gt;TabTRADER[[#This Row],[M]]),"BUY  "&amp;TEXT(DesiredBuyGain/TabTRADER[[#This Row],[Scale]]/(_xlfn.XLOOKUP(TabTRADER[[#This Row],[ClickTick]],TabCalc[Ticker],TabCalc[L_Sp])-TabTRADER[[#This Row],[M]]),"#,##0"),"")</f>
        <v>BUY  6,579</v>
      </c>
      <c r="F3" s="228" t="str">
        <f ca="1">TRUNC(TabCalc[[#This Row],[L_B1p]],2)&amp;"x"&amp;TabCalc[[#This Row],[L_B1n]]&amp;"=   "&amp;TEXT(TabCalc[[#This Row],[ReverseS1]],"#,#0")&amp;"$"</f>
        <v>-200.7x300=   18,636$</v>
      </c>
      <c r="G3" s="227" t="str">
        <f ca="1">IFERROR(TRUNC(_xlfn.XLOOKUP(TabTRADER[[#This Row],[ClickTick]],TabCalc[Ticker],ListLastSalep),2)&amp;"x"&amp;_xlfn.XLOOKUP(TabTRADER[[#This Row],[ClickTick]],TabCalc[Ticker],ListLastSalen)&amp;"=   "&amp;TEXT(-_xlfn.XLOOKUP(TabTRADER[[#This Row],[ClickTick]],TabCalc[Ticker],ListReverseB),"#,#0")&amp;"$","")</f>
        <v>263.58x500=   -380$</v>
      </c>
      <c r="H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0.3% = 6,579</v>
      </c>
      <c r="I3" s="228" t="str">
        <f ca="1">IFERROR(TRUNC(TabCalc[[#This Row],[L_S1p]],2)&amp;"x"&amp;TabCalc[[#This Row],[L_S1n]]&amp;"=   "&amp;TEXT(TabCalc[[#This Row],[ReverseB1]],"#,#0"),"")</f>
        <v>253.62x200=   -1,840</v>
      </c>
      <c r="J3" s="297">
        <f ca="1">_xlfn.XLOOKUP(TabTRADER[[#This Row],[ClickTick]],TabCalc[Ticker],ListGravity)</f>
        <v>0.94426329807472797</v>
      </c>
      <c r="K3" s="324" cm="1">
        <f t="array" aca="1" ref="K3" ca="1">IF(_xlfn.XLOOKUP(TabTRADER[[#This Row],[ClickTick]],TabTRADER[ClickTick],ListExtra_n)&gt;0,_xlfn.XLOOKUP(TabTRADER[[#This Row],[ClickTick]],TabTRADER[ClickTick],ListExtra_n),"")</f>
        <v>5000</v>
      </c>
      <c r="L3" s="322">
        <f ca="1">IF(_xlfn.XLOOKUP(TabTRADER[[#This Row],[ClickTick]],TabCalc[Ticker],ListExtra_n)&gt;0,_xlfn.XLOOKUP(TabTRADER[[#This Row],[ClickTick]],TabCalc[Ticker],ListExtra_n)*TabTRADER[[#This Row],[M]]*_xlfn.XLOOKUP(TabTRADER[[#This Row],[ClickTick]],TabCalc[Ticker],ListScale),"")</f>
        <v>1314100</v>
      </c>
      <c r="M3" s="325">
        <f ca="1">_xlfn.XLOOKUP(TabTRADER[[#This Row],[ClickTick]],TabCalc[Ticker],TabCalc[Agiotage])</f>
        <v>0.72655349107793532</v>
      </c>
      <c r="N3" s="326" cm="1">
        <f t="array" aca="1" ref="N3" ca="1">_xlfn.XLOOKUP(TabTRADER[[#This Row],[ClickTick]],ListTickers,Tab2RSIConventional[RSIConv20])</f>
        <v>57</v>
      </c>
      <c r="O3" s="712" t="str">
        <f ca="1">TEXT(_xlfn.XLOOKUP(TabTRADER[[#This Row],[ClickTick]],TabCalc[Ticker],TabCalc[Nbegin]),"#,#0")&amp;": "&amp;_xlfn.XLOOKUP(TabTRADER[[#This Row],[ClickTick]],TabCalc[Ticker],TabCalc[Pile?])</f>
        <v xml:space="preserve">5,000: </v>
      </c>
      <c r="P3" s="746">
        <f ca="1">_xlfn.XLOOKUP(TabTRADER[[#This Row],[ClickTick]],TabCalc[Ticker],TabCalc[L_Bn])</f>
        <v>200</v>
      </c>
      <c r="Q3" s="740">
        <f ca="1">_xlfn.XLOOKUP(TabTRADER[[#This Row],[ClickTick]],TabCalc[Ticker],TabCalc[L_Bp])</f>
        <v>-248.52</v>
      </c>
      <c r="R3" s="778">
        <f ca="1">(TabTRADER[[#This Row],[M]]+TabTRADER[[#This Row],[L_Bp]])/ABS(TabTRADER[[#This Row],[L_Bp]])</f>
        <v>5.7540640592306382E-2</v>
      </c>
      <c r="S3" s="692">
        <f ca="1">_xlfn.XLOOKUP(TabTRADER[[#This Row],[ClickTick]],TabCalc[Ticker],TabCalc[Rev(MinStock)])*(1-Commission)</f>
        <v>2852.5639999999962</v>
      </c>
      <c r="T3" s="798">
        <f ca="1">_xlfn.XLOOKUP(TabTRADER[[#This Row],[ClickTick]],TabCalc[Ticker],TabCalc[Agiotage])</f>
        <v>0.72655349107793532</v>
      </c>
      <c r="U3" s="759" t="str" cm="1">
        <f t="array" aca="1" ref="U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16,300/16,300=&gt;1.2% / 1.2%</v>
      </c>
      <c r="V3" s="751" t="str">
        <f ca="1">_xlfn.XLOOKUP(TabTRADER[[#This Row],[ClickTick]],[1]!RTData[Ticker symbol],[1]!RTData[Currency])</f>
        <v>USD</v>
      </c>
      <c r="W3" s="761">
        <f ca="1">_xlfn.XLOOKUP(TabTRADER[[#This Row],[ClickTick]],TabCalc[Ticker],TabCalc[M])</f>
        <v>262.82</v>
      </c>
      <c r="X3" s="762" t="str">
        <f ca="1">SORTING!B3</f>
        <v>AAPL</v>
      </c>
      <c r="Y3" s="818">
        <f ca="1">_xlfn.XLOOKUP(TabTRADER[[#This Row],[ClickTick]],TabCalc[Ticker],TabCalc[Y])</f>
        <v>248.17128</v>
      </c>
      <c r="Z3" s="835">
        <f ca="1">_xlfn.XLOOKUP(TabTRADER[[#This Row],[ClickTick]],[1]!RTData[Ticker symbol],[1]!RTData[YTChange])</f>
        <v>1.1663935428641284E-2</v>
      </c>
      <c r="AA3" s="851">
        <f ca="1">-_xlfn.XLOOKUP(TabTRADER[[#This Row],[ClickTick]]&amp;2,Consolid!B$3:JZ$3,Consolid!B$4:JZ$4)</f>
        <v>212.634761</v>
      </c>
      <c r="AB3" s="835" cm="1">
        <f t="array" aca="1" ref="AB3" ca="1">_xlfn.XLOOKUP(TabTRADER[[#This Row],[ClickTick]],ListTickers,Tab1ChangePercent[Change%19])</f>
        <v>1.2482E-2</v>
      </c>
      <c r="AC3" s="782">
        <f ca="1">_xlfn.XLOOKUP(TabTRADER[[#This Row],[ClickTick]],TabCalc[Ticker],TabCalc[NAfter])</f>
        <v>10000</v>
      </c>
      <c r="AD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^1,080/2,628 K$</v>
      </c>
      <c r="AE3" s="1299" t="str" cm="1">
        <f t="array" aca="1" ref="AE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3" s="1280" t="str" cm="1">
        <f t="array" aca="1" ref="AF3" ca="1">_xlfn.IFS(       TabTRADER[[#This Row],[Traps]]=RePurchaseGain,TEXT(TabTRADER[[#This Row],[L_Sn]],"#,#0")&amp;" x "&amp;TEXT(TabTRADER[[#This Row],[L_Sp]],"#,#0.#0"),     TabTRADER[[#This Row],[Traps]]=ReSaleGain,TEXT(TabTRADER[[#This Row],[L_Bn]],"#0,#0")&amp;" x "&amp;TEXT(TabTRADER[[#This Row],[L_Bp]],"#,#0.#0"),               TRUE,"")</f>
        <v>500 x 263.58</v>
      </c>
      <c r="AG3" s="1281" cm="1">
        <f t="array" aca="1" ref="AG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379.01199999999545</v>
      </c>
      <c r="AH3" s="1281" t="str" cm="1">
        <f t="array" aca="1" ref="AH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 s="1281" cm="1">
        <f t="array" aca="1" ref="AI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379.01199999999545</v>
      </c>
      <c r="AJ3" s="1289" cm="1">
        <f t="array" aca="1" ref="AJ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2.8833750663934707E-3</v>
      </c>
      <c r="AK3" s="1290" t="str" cm="1">
        <f t="array" aca="1" ref="AK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3" s="843" t="str" cm="1">
        <f t="array" aca="1" ref="AL3" ca="1">_xlfn.IFS(   TabTRADER[[#This Row],[Traps]]=SellMorePercentGain,                     MIN(TabTRADER[[#This Row],[L_Sn]],TabTRADER[[#This Row],[N]])*(TabTRADER[[#This Row],[M]]-TabTRADER[[#This Row],[L_Sp]])*(1-Commission)*TabTRADER[[#This Row],[Scale]],                    TRUE,"")</f>
        <v/>
      </c>
      <c r="AM3" s="1039">
        <f ca="1">_xlfn.XLOOKUP(TabTRADER[[#This Row],[ClickTick]],TabCalc[Ticker],TabCalc[Ann%RevLB])</f>
        <v>1.5934331240946382</v>
      </c>
      <c r="AN3" s="1393">
        <f ca="1">_xlfn.XLOOKUP(TabTRADER[[#This Row],[ClickTick]],TabCalc[Ticker],TabCalc[Up20])</f>
        <v>0.5</v>
      </c>
      <c r="AO3" s="312" t="str" cm="1">
        <f t="array" aca="1" ref="AO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3" s="843" t="str" cm="1">
        <f t="array" aca="1" ref="AP3" ca="1">_xlfn.IFS(         TabTRADER[[#This Row],[Traps]]=MDown,TabTRADER[[#This Row],[L_Bn]]*TabTRADER[[#This Row],[M]]*(-(TabTRADER[[#This Row],[L_Bp]]+TabTRADER[[#This Row],[M]])/TabTRADER[[#This Row],[M]])*(1-Commission)*TabTRADER[[#This Row],[Scale]],                               TRUE,"")</f>
        <v/>
      </c>
      <c r="AQ3" s="1290" t="str" cm="1">
        <f t="array" aca="1" ref="AQ3" ca="1">_xlfn.IFS(   TabTRADER[[#This Row],[Traps]]=MUp,TabTRADER[[#This Row],[TakeGain_A]]-Commission,        TabTRADER[[#This Row],[Traps]]=MDown,(TabTRADER[[#This Row],[A]]-TabTRADER[[#This Row],[M]])/TabTRADER[[#This Row],[M]]-Commission,                              TRUE,"")</f>
        <v/>
      </c>
      <c r="AR3" s="843" cm="1">
        <f t="array" aca="1" ref="AR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500547.57378599991</v>
      </c>
      <c r="AS3" s="774" t="e" cm="1">
        <f t="array" aca="1" ref="AS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#N/A</v>
      </c>
      <c r="AT3" s="748" t="str" cm="1">
        <f t="array" aca="1" ref="AT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3" s="779" cm="1">
        <f t="array" aca="1" ref="AU3" ca="1">_xlfn.IFS(TabTRADER[[#This Row],[Traps]]=ReSaleGain,"",         TabTRADER[[#This Row],[Traps]]=MDown, (TabTRADER[[#This Row],[M]]-TabTRADER[[#This Row],[A]])/TabTRADER[[#This Row],[A]]*ComFactor,             TRUE, IFERROR((TabTRADER[[#This Row],[M]]-TabTRADER[[#This Row],[A]])/TabTRADER[[#This Row],[A]]*ComFactor,""))</f>
        <v>0.23540251435464962</v>
      </c>
      <c r="AV3" s="776" cm="1">
        <f t="array" aca="1" ref="AV3" ca="1">_xlfn.IFS(               TabTRADER[[#This Row],[Traps]]=NoStock,(TabTRADER[[#This Row],[L_Sp]]-TabTRADER[[#This Row],[M]])/TabTRADER[[#This Row],[M]]-Commission,             TabTRADER[[#This Row],[A]]&lt;&gt;0,(TabTRADER[[#This Row],[A]]-TabTRADER[[#This Row],[M]])/TabTRADER[[#This Row],[M]]-Commission)</f>
        <v>-0.19354908682748648</v>
      </c>
      <c r="AW3" s="326">
        <f ca="1">_xlfn.XLOOKUP(TabTRADER[[#This Row],[ClickTick]],TabCalc[Ticker],TabCalc[L_Sn])</f>
        <v>500</v>
      </c>
      <c r="AX3" s="740">
        <f ca="1">_xlfn.XLOOKUP(TabTRADER[[#This Row],[ClickTick]],TabCalc[Ticker],TabCalc[L_Sp])</f>
        <v>263.58</v>
      </c>
      <c r="AY3" s="778">
        <f ca="1">-IFERROR((TabTRADER[[#This Row],[M]]-TabTRADER[[#This Row],[L_Sp]])/TabTRADER[[#This Row],[L_Sp]],0)</f>
        <v>2.8833750663934707E-3</v>
      </c>
      <c r="AZ3" s="741">
        <f ca="1">TabTRADER[[#This Row],[L_Sn]]*(TabTRADER[[#This Row],[M]]-TabTRADER[[#This Row],[L_Sp]])*(1-Commission)*TabTRADER[[#This Row],[Scale]]</f>
        <v>-379.01199999999545</v>
      </c>
      <c r="BA3" s="701">
        <f ca="1">TabTRADER[[#This Row],[L_Sn]]*(TabTRADER[[#This Row],[Agiotage]]-TabTRADER[[#This Row],[M]])/(TabTRADER[[#This Row],[L_Bn]]*TabTRADER[[#This Row],[M]])</f>
        <v>-2.493088867941196</v>
      </c>
      <c r="BB3" s="641">
        <f ca="1">IFERROR((TabTRADER[[#This Row],[M]]-TabTRADER[[#This Row],[A]])/TabTRADER[[#This Row],[A]],0)</f>
        <v>0.23601615636118872</v>
      </c>
      <c r="BC3" s="644" t="str">
        <f ca="1">TEXT(_xlfn.XLOOKUP(TabTRADER[[#This Row],[ClickTick]],TabCalc[Ticker],TabCalc[NAfter]),"#,#0")&amp;" : "&amp;TEXT(_xlfn.XLOOKUP(TabTRADER[[#This Row],[ClickTick]],TabCalc[Ticker],TabCalc[NAfter])*(TabTRADER[[#This Row],[M]]-TabTRADER[[#This Row],[A]])*(1-Commission)*TabTRADER[[#This Row],[Scale]],"#,#0$")</f>
        <v>10,000 : 500,548$</v>
      </c>
      <c r="BD3" s="693">
        <f ca="1">_xlfn.XLOOKUP(TabTRADER[[#This Row],[ClickTick]],TabCalc[[#This Row],[Ticker]],TabCalc[[#This Row],[GL]])*(1-Commission)</f>
        <v>1077484.1135250002</v>
      </c>
      <c r="BE3" s="693"/>
      <c r="BF3" s="675" t="str">
        <f ca="1">TabTRADER[[#This Row],[ClickTick]]&amp;": "&amp;_xlfn.XLOOKUP(TabTRADER[[#This Row],[ClickTick]],TabCalc[Ticker],TabCalc[Pile?])</f>
        <v xml:space="preserve">AAPL: </v>
      </c>
      <c r="BG3" s="352" t="s">
        <v>1922</v>
      </c>
      <c r="BH3" s="770" t="str" cm="1">
        <f t="array" aca="1" ref="BH3" ca="1">_xlfn.TEXTJOIN("",,INDEX({"M","A","Y"}, _xlfn.SORTBY({1,2,3}, -CHOOSE({1,2,3}, TabTRADER[[#This Row],[M]], TabTRADER[[#This Row],[A]], TabTRADER[[#This Row],[Agiotage]]))))</f>
        <v>MAY</v>
      </c>
      <c r="BI3" s="976" t="str" cm="1">
        <f t="array" aca="1" ref="BI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3" s="688">
        <f ca="1">TabTRADER[[#This Row],[L_Sn]]*TabTRADER[[#This Row],[L_Sp]]+TabTRADER[[#This Row],[SellMore]]*TabTRADER[[#This Row],[M]]</f>
        <v>184354</v>
      </c>
      <c r="BK3" s="688">
        <f ca="1">INDEX(
  INDEX(TabConsolid[], , _xlfn.XMATCH(TabTRADER[[#This Row],[ClickTick]]&amp;1, TabConsolid[#Headers])),
  MATCH(
    -TabTRADER[[#This Row],[M]],
    INDEX(TabConsolid[], , _xlfn.XMATCH(TabTRADER[[#This Row],[ClickTick]]&amp;2, TabConsolid[#Headers])),
    -1
  )
)</f>
        <v>200</v>
      </c>
      <c r="BL3" s="688" cm="1">
        <f t="array" aca="1" ref="BL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3" s="1260">
        <f ca="1">TabTRADER[[#This Row],[ReBuy]]/(TabTRADER[[#This Row],[L_Sn]]+TabTRADER[[#This Row],[SellMore]])</f>
        <v>263.36285714285714</v>
      </c>
      <c r="BN3" s="696">
        <f ca="1">((_xlfn.XLOOKUP(TabTRADER[[#This Row],[ClickTick]],TabCalc[Ticker],TabCalc[NAfter])+TabTRADER[[#This Row],[L_Sn]])*(TabTRADER[[#This Row],[Agiotage]]-TabTRADER[[#This Row],[M]]))/(TabTRADER[[#This Row],[L_Sn]]*_xlfn.XLOOKUP(TabTRADER[[#This Row],[ClickTick]],TabCalc[Ticker],TabCalc[NAfter]))</f>
        <v>-0.55039623766873624</v>
      </c>
      <c r="BO3" s="696">
        <f ca="1">(TabTRADER[[#This Row],[M]]-TabTRADER[[#This Row],[Agiotage]])/(TabTRADER[[#This Row],[M]]-TabTRADER[[#This Row],[A]])-1</f>
        <v>4.2225206401611857</v>
      </c>
      <c r="BP3" s="1388">
        <f ca="1">_xlfn.XMATCH(TabTRADER[[#This Row],[ClickTick]]&amp;1, TabConsolid[#Headers])</f>
        <v>2</v>
      </c>
      <c r="BQ3" t="b">
        <f ca="1">IF(ABS(TabTRADER[[#This Row],[L_Bp]])&gt;=TabTRADER[[#This Row],[M]],"OK")</f>
        <v>0</v>
      </c>
    </row>
    <row r="4" spans="1:69" hidden="1">
      <c r="A4" s="225">
        <f ca="1">IF(_xlfn.XLOOKUP(TabTRADER[[#This Row],[ClickTick]],TabCalc[Ticker],TabCalc[Cur])="GBp",0.01,1)</f>
        <v>1</v>
      </c>
      <c r="B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-14.25x190=    +542 USD</v>
      </c>
      <c r="C4"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16.7%</v>
      </c>
      <c r="D4" s="697" t="str" cm="1">
        <f t="array" aca="1" ref="D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 s="228" t="str">
        <f ca="1">TRUNC(TabCalc[[#This Row],[L_B1p]],2)&amp;"x"&amp;TabCalc[[#This Row],[L_B1n]]&amp;"=   "&amp;TEXT(TabCalc[[#This Row],[ReverseS1]],"#,#0")&amp;"$"</f>
        <v>-13.02x2800=   11,424$</v>
      </c>
      <c r="G4" s="227" t="str">
        <f ca="1">IFERROR(TRUNC(_xlfn.XLOOKUP(TabTRADER[[#This Row],[ClickTick]],TabCalc[Ticker],ListLastSalep),2)&amp;"x"&amp;_xlfn.XLOOKUP(TabTRADER[[#This Row],[ClickTick]],TabCalc[Ticker],ListLastSalen)&amp;"=   "&amp;TEXT(-_xlfn.XLOOKUP(TabTRADER[[#This Row],[ClickTick]],TabCalc[Ticker],ListReverseB),"#,#0")&amp;"$","")</f>
        <v>16.86x1000=   240$</v>
      </c>
      <c r="H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-1.4% = 0</v>
      </c>
      <c r="I4" s="228" t="str">
        <f ca="1">IFERROR(TRUNC(TabCalc[[#This Row],[L_S1p]],2)&amp;"x"&amp;TabCalc[[#This Row],[L_S1n]]&amp;"=   "&amp;TEXT(TabCalc[[#This Row],[ReverseB1]],"#,#0"),"")</f>
        <v>16.67x2990=   -1,286</v>
      </c>
      <c r="J4" s="297">
        <f ca="1">_xlfn.XLOOKUP(TabTRADER[[#This Row],[ClickTick]],TabCalc[Ticker],ListGravity)</f>
        <v>1.208577192982456</v>
      </c>
      <c r="K4" s="324" t="str" cm="1">
        <f t="array" aca="1" ref="K4" ca="1">IF(_xlfn.XLOOKUP(TabTRADER[[#This Row],[ClickTick]],TabTRADER[ClickTick],ListExtra_n)&gt;0,_xlfn.XLOOKUP(TabTRADER[[#This Row],[ClickTick]],TabTRADER[ClickTick],ListExtra_n),"")</f>
        <v/>
      </c>
      <c r="L4" s="322" t="str">
        <f ca="1">IF(_xlfn.XLOOKUP(TabTRADER[[#This Row],[ClickTick]],TabCalc[Ticker],ListExtra_n)&gt;0,_xlfn.XLOOKUP(TabTRADER[[#This Row],[ClickTick]],TabCalc[Ticker],ListExtra_n)*TabTRADER[[#This Row],[M]]*_xlfn.XLOOKUP(TabTRADER[[#This Row],[ClickTick]],TabCalc[Ticker],ListScale),"")</f>
        <v/>
      </c>
      <c r="M4" s="325">
        <f ca="1">_xlfn.XLOOKUP(TabTRADER[[#This Row],[ClickTick]],TabCalc[Ticker],TabCalc[Agiotage])</f>
        <v>0.68498517708641593</v>
      </c>
      <c r="N4" s="326" cm="1">
        <f t="array" aca="1" ref="N4" ca="1">_xlfn.XLOOKUP(TabTRADER[[#This Row],[ClickTick]],ListTickers,Tab2RSIConventional[RSIConv20])</f>
        <v>54</v>
      </c>
      <c r="O4" s="712" t="str">
        <f ca="1">TEXT(_xlfn.XLOOKUP(TabTRADER[[#This Row],[ClickTick]],TabCalc[Ticker],TabCalc[Nbegin]),"#,#0")&amp;": "&amp;_xlfn.XLOOKUP(TabTRADER[[#This Row],[ClickTick]],TabCalc[Ticker],TabCalc[Pile?])</f>
        <v>9,000: Pile</v>
      </c>
      <c r="P4" s="746">
        <f ca="1">_xlfn.XLOOKUP(TabTRADER[[#This Row],[ClickTick]],TabCalc[Ticker],TabCalc[L_Bn])</f>
        <v>190</v>
      </c>
      <c r="Q4" s="740">
        <f ca="1">_xlfn.XLOOKUP(TabTRADER[[#This Row],[ClickTick]],TabCalc[Ticker],TabCalc[L_Bp])</f>
        <v>-14.25</v>
      </c>
      <c r="R4" s="778">
        <f ca="1">(TabTRADER[[#This Row],[M]]+TabTRADER[[#This Row],[L_Bp]])/ABS(TabTRADER[[#This Row],[L_Bp]])</f>
        <v>0.20000000000000009</v>
      </c>
      <c r="S4" s="692">
        <f ca="1">_xlfn.XLOOKUP(TabTRADER[[#This Row],[ClickTick]],TabCalc[Ticker],TabCalc[Rev(MinStock)])*(1-Commission)</f>
        <v>540.09210000000019</v>
      </c>
      <c r="T4" s="798">
        <f ca="1">_xlfn.XLOOKUP(TabTRADER[[#This Row],[ClickTick]],TabCalc[Ticker],TabCalc[Agiotage])</f>
        <v>0.68498517708641593</v>
      </c>
      <c r="U4" s="759" t="str" cm="1">
        <f t="array" aca="1" ref="U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50/50=&gt;2.0% / 2.0%</v>
      </c>
      <c r="V4" s="751" t="str">
        <f ca="1">_xlfn.XLOOKUP(TabTRADER[[#This Row],[ClickTick]],[1]!RTData[Ticker symbol],[1]!RTData[Currency])</f>
        <v>USD</v>
      </c>
      <c r="W4" s="761">
        <f ca="1">_xlfn.XLOOKUP(TabTRADER[[#This Row],[ClickTick]],TabCalc[Ticker],TabCalc[M])</f>
        <v>17.100000000000001</v>
      </c>
      <c r="X4" s="762" t="str">
        <f ca="1">SORTING!B4</f>
        <v>ADEA</v>
      </c>
      <c r="Y4" s="819">
        <f ca="1">_xlfn.XLOOKUP(TabTRADER[[#This Row],[ClickTick]],TabCalc[Ticker],TabCalc[Y])</f>
        <v>20.66667</v>
      </c>
      <c r="Z4" s="835">
        <f ca="1">_xlfn.XLOOKUP(TabTRADER[[#This Row],[ClickTick]],[1]!RTData[Ticker symbol],[1]!RTData[YTChange])</f>
        <v>0.34811937377690799</v>
      </c>
      <c r="AA4" s="851">
        <f ca="1">-_xlfn.XLOOKUP(TabTRADER[[#This Row],[ClickTick]]&amp;2,Consolid!B$3:JZ$3,Consolid!B$4:JZ$4)</f>
        <v>13.074779999999999</v>
      </c>
      <c r="AB4" s="835" cm="1">
        <f t="array" aca="1" ref="AB4" ca="1">_xlfn.XLOOKUP(TabTRADER[[#This Row],[ClickTick]],ListTickers,Tab1ChangePercent[Change%19])</f>
        <v>1.9678000000000001E-2</v>
      </c>
      <c r="AC4" s="782">
        <f ca="1">_xlfn.XLOOKUP(TabTRADER[[#This Row],[ClickTick]],TabCalc[Ticker],TabCalc[NAfter])</f>
        <v>5000</v>
      </c>
      <c r="AD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^56/86 K$</v>
      </c>
      <c r="AE4" s="1299" t="str" cm="1">
        <f t="array" aca="1" ref="AE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4" s="1280" t="str" cm="1">
        <f t="array" aca="1" ref="AF4" ca="1">_xlfn.IFS(       TabTRADER[[#This Row],[Traps]]=RePurchaseGain,TEXT(TabTRADER[[#This Row],[L_Sn]],"#,#0")&amp;" x "&amp;TEXT(TabTRADER[[#This Row],[L_Sp]],"#,#0.#0"),     TabTRADER[[#This Row],[Traps]]=ReSaleGain,TEXT(TabTRADER[[#This Row],[L_Bn]],"#0,#0")&amp;" x "&amp;TEXT(TabTRADER[[#This Row],[L_Bp]],"#,#0.#0"),               TRUE,"")</f>
        <v/>
      </c>
      <c r="AG4" s="1281" t="str" cm="1">
        <f t="array" aca="1" ref="AG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16.86</v>
      </c>
      <c r="AH4" s="1281" cm="1">
        <f t="array" aca="1" ref="AH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239.37600000000197</v>
      </c>
      <c r="AI4" s="1281" cm="1">
        <f t="array" aca="1" ref="AI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20073.772140000012</v>
      </c>
      <c r="AJ4" s="1290" cm="1">
        <f t="array" aca="1" ref="AJ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0.30786139422613634</v>
      </c>
      <c r="AK4" s="1290" cm="1">
        <f t="array" aca="1" ref="AK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1.143508771929836E-2</v>
      </c>
      <c r="AL4" s="843" cm="1">
        <f t="array" aca="1" ref="AL4" ca="1">_xlfn.IFS(   TabTRADER[[#This Row],[Traps]]=SellMorePercentGain,                     MIN(TabTRADER[[#This Row],[L_Sn]],TabTRADER[[#This Row],[N]])*(TabTRADER[[#This Row],[M]]-TabTRADER[[#This Row],[L_Sp]])*(1-Commission)*TabTRADER[[#This Row],[Scale]],                    TRUE,"")</f>
        <v>239.37600000000197</v>
      </c>
      <c r="AM4" s="1039">
        <f ca="1">_xlfn.XLOOKUP(TabTRADER[[#This Row],[ClickTick]],TabCalc[Ticker],TabCalc[Ann%RevLB])</f>
        <v>0.71287128712871317</v>
      </c>
      <c r="AN4" s="1038">
        <f ca="1">_xlfn.XLOOKUP(TabTRADER[[#This Row],[ClickTick]],TabCalc[Ticker],TabCalc[Up20])</f>
        <v>0.16666666666666666</v>
      </c>
      <c r="AO4" s="312" t="str" cm="1">
        <f t="array" aca="1" ref="AO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 s="843" t="str" cm="1">
        <f t="array" aca="1" ref="AP4" ca="1">_xlfn.IFS(         TabTRADER[[#This Row],[Traps]]=MDown,TabTRADER[[#This Row],[L_Bn]]*TabTRADER[[#This Row],[M]]*(-(TabTRADER[[#This Row],[L_Bp]]+TabTRADER[[#This Row],[M]])/TabTRADER[[#This Row],[M]])*(1-Commission)*TabTRADER[[#This Row],[Scale]],                               TRUE,"")</f>
        <v/>
      </c>
      <c r="AQ4" s="1290" cm="1">
        <f t="array" aca="1" ref="AQ4" ca="1">_xlfn.IFS(   TabTRADER[[#This Row],[Traps]]=MUp,TabTRADER[[#This Row],[TakeGain_A]]-Commission,        TabTRADER[[#This Row],[Traps]]=MDown,(TabTRADER[[#This Row],[A]]-TabTRADER[[#This Row],[M]])/TabTRADER[[#This Row],[M]]-Commission,                              TRUE,"")</f>
        <v>0.30526139422613635</v>
      </c>
      <c r="AR4" s="843" cm="1">
        <f t="array" aca="1" ref="AR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26253.711618398185</v>
      </c>
      <c r="AS4" s="774" t="str" cm="1">
        <f t="array" aca="1" ref="AS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T4" s="748" t="str" cm="1">
        <f t="array" aca="1" ref="AT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190x4.02</v>
      </c>
      <c r="AU4" s="779" cm="1">
        <f t="array" aca="1" ref="AU4" ca="1">_xlfn.IFS(TabTRADER[[#This Row],[Traps]]=ReSaleGain,"",         TabTRADER[[#This Row],[Traps]]=MDown, (TabTRADER[[#This Row],[M]]-TabTRADER[[#This Row],[A]])/TabTRADER[[#This Row],[A]]*ComFactor,             TRUE, IFERROR((TabTRADER[[#This Row],[M]]-TabTRADER[[#This Row],[A]])/TabTRADER[[#This Row],[A]]*ComFactor,""))</f>
        <v>0.30706095460114835</v>
      </c>
      <c r="AV4" s="776" cm="1">
        <f t="array" aca="1" ref="AV4" ca="1">_xlfn.IFS(               TabTRADER[[#This Row],[Traps]]=NoStock,(TabTRADER[[#This Row],[L_Sp]]-TabTRADER[[#This Row],[M]])/TabTRADER[[#This Row],[M]]-Commission,             TabTRADER[[#This Row],[A]]&lt;&gt;0,(TabTRADER[[#This Row],[A]]-TabTRADER[[#This Row],[M]])/TabTRADER[[#This Row],[M]]-Commission)</f>
        <v>-0.23799298245614048</v>
      </c>
      <c r="AW4" s="326">
        <f ca="1">_xlfn.XLOOKUP(TabTRADER[[#This Row],[ClickTick]],TabCalc[Ticker],TabCalc[L_Sn])</f>
        <v>1000</v>
      </c>
      <c r="AX4" s="740">
        <f ca="1">_xlfn.XLOOKUP(TabTRADER[[#This Row],[ClickTick]],TabCalc[Ticker],TabCalc[L_Sp])</f>
        <v>16.86</v>
      </c>
      <c r="AY4" s="778">
        <f ca="1">-IFERROR((TabTRADER[[#This Row],[M]]-TabTRADER[[#This Row],[L_Sp]])/TabTRADER[[#This Row],[L_Sp]],0)</f>
        <v>-1.4234875444839977E-2</v>
      </c>
      <c r="AZ4" s="741">
        <f ca="1">TabTRADER[[#This Row],[L_Sn]]*(TabTRADER[[#This Row],[M]]-TabTRADER[[#This Row],[L_Sp]])*(1-Commission)*TabTRADER[[#This Row],[Scale]]</f>
        <v>239.37600000000197</v>
      </c>
      <c r="BA4" s="701">
        <f ca="1">TabTRADER[[#This Row],[L_Sn]]*(TabTRADER[[#This Row],[Agiotage]]-TabTRADER[[#This Row],[M]])/(TabTRADER[[#This Row],[L_Bn]]*TabTRADER[[#This Row],[M]])</f>
        <v>-5.052328354236252</v>
      </c>
      <c r="BB4" s="641">
        <f ca="1">IFERROR((TabTRADER[[#This Row],[M]]-TabTRADER[[#This Row],[A]])/TabTRADER[[#This Row],[A]],0)</f>
        <v>0.30786139422613634</v>
      </c>
      <c r="BC4" s="644" t="str">
        <f ca="1">TEXT(_xlfn.XLOOKUP(TabTRADER[[#This Row],[ClickTick]],TabCalc[Ticker],TabCalc[NAfter]),"#,#0")&amp;" : "&amp;TEXT(_xlfn.XLOOKUP(TabTRADER[[#This Row],[ClickTick]],TabCalc[Ticker],TabCalc[NAfter])*(TabTRADER[[#This Row],[M]]-TabTRADER[[#This Row],[A]])*(1-Commission)*TabTRADER[[#This Row],[Scale]],"#,#0$")</f>
        <v>5,000 : 20,074$</v>
      </c>
      <c r="BD4" s="693">
        <f ca="1">_xlfn.XLOOKUP(TabTRADER[[#This Row],[ClickTick]],TabCalc[[#This Row],[Ticker]],TabCalc[[#This Row],[GL]])*(1-Commission)</f>
        <v>55770.713135046804</v>
      </c>
      <c r="BE4" s="693"/>
      <c r="BF4" s="675" t="str">
        <f ca="1">TabTRADER[[#This Row],[ClickTick]]&amp;": "&amp;_xlfn.XLOOKUP(TabTRADER[[#This Row],[ClickTick]],TabCalc[Ticker],TabCalc[Pile?])</f>
        <v>ADEA: Pile</v>
      </c>
      <c r="BG4" s="353" t="s">
        <v>1923</v>
      </c>
      <c r="BH4" s="769" t="str" cm="1">
        <f t="array" aca="1" ref="BH4" ca="1">_xlfn.TEXTJOIN("",,INDEX({"M","A","Y"}, _xlfn.SORTBY({1,2,3}, -CHOOSE({1,2,3}, TabTRADER[[#This Row],[M]], TabTRADER[[#This Row],[A]], TabTRADER[[#This Row],[Agiotage]]))))</f>
        <v>MAY</v>
      </c>
      <c r="BI4" s="976" cm="1">
        <f t="array" aca="1" ref="BI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1.403508771929836E-2</v>
      </c>
      <c r="BJ4" s="688">
        <f ca="1">TabTRADER[[#This Row],[L_Sn]]*TabTRADER[[#This Row],[L_Sp]]+TabTRADER[[#This Row],[SellMore]]*TabTRADER[[#This Row],[M]]</f>
        <v>20109</v>
      </c>
      <c r="BK4" s="688">
        <f ca="1">INDEX(
  INDEX(TabConsolid[], , _xlfn.XMATCH(TabTRADER[[#This Row],[ClickTick]]&amp;1, TabConsolid[#Headers])),
  MATCH(
    -TabTRADER[[#This Row],[M]],
    INDEX(TabConsolid[], , _xlfn.XMATCH(TabTRADER[[#This Row],[ClickTick]]&amp;2, TabConsolid[#Headers])),
    -1
  )
)</f>
        <v>190</v>
      </c>
      <c r="BL4" s="688" cm="1">
        <f t="array" aca="1" ref="BL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190</v>
      </c>
      <c r="BM4" s="1260">
        <f ca="1">TabTRADER[[#This Row],[ReBuy]]/(TabTRADER[[#This Row],[L_Sn]]+TabTRADER[[#This Row],[SellMore]])</f>
        <v>16.898319327731091</v>
      </c>
      <c r="BN4" s="696">
        <f ca="1">((_xlfn.XLOOKUP(TabTRADER[[#This Row],[ClickTick]],TabCalc[Ticker],TabCalc[NAfter])+TabTRADER[[#This Row],[L_Sn]])*(TabTRADER[[#This Row],[Agiotage]]-TabTRADER[[#This Row],[M]]))/(TabTRADER[[#This Row],[L_Sn]]*_xlfn.XLOOKUP(TabTRADER[[#This Row],[ClickTick]],TabCalc[Ticker],TabCalc[NAfter]))</f>
        <v>-1.9698017787496299E-2</v>
      </c>
      <c r="BO4" s="696">
        <f ca="1">(TabTRADER[[#This Row],[M]]-TabTRADER[[#This Row],[Agiotage]])/(TabTRADER[[#This Row],[M]]-TabTRADER[[#This Row],[A]])-1</f>
        <v>3.0780416531055623</v>
      </c>
      <c r="BP4" s="1388">
        <f ca="1">_xlfn.XMATCH(TabTRADER[[#This Row],[ClickTick]]&amp;1, TabConsolid[#Headers])</f>
        <v>5</v>
      </c>
      <c r="BQ4" t="b">
        <f ca="1">IF(ABS(TabTRADER[[#This Row],[L_Bp]])&gt;=TabTRADER[[#This Row],[M]],"OK")</f>
        <v>0</v>
      </c>
    </row>
    <row r="5" spans="1:69" ht="27" hidden="1">
      <c r="A5" s="225">
        <f ca="1">IF(_xlfn.XLOOKUP(TabTRADER[[#This Row],[ClickTick]],TabCalc[Ticker],TabCalc[Cur])="GBp",0.01,1)</f>
        <v>0.01</v>
      </c>
      <c r="B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-45.6x10000=    +20 GBp</v>
      </c>
      <c r="C5"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0.4%</v>
      </c>
      <c r="D5" s="697" t="str" cm="1">
        <f t="array" aca="1" ref="D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 s="228" t="str">
        <f ca="1">TRUNC(TabCalc[[#This Row],[L_B1p]],2)&amp;"x"&amp;TabCalc[[#This Row],[L_B1n]]&amp;"=   "&amp;TEXT(TabCalc[[#This Row],[ReverseS1]],"#,#0")&amp;"$"</f>
        <v>-45.8x10000=   0$</v>
      </c>
      <c r="G5" s="227" t="str">
        <f ca="1">IFERROR(TRUNC(_xlfn.XLOOKUP(TabTRADER[[#This Row],[ClickTick]],TabCalc[Ticker],ListLastSalep),2)&amp;"x"&amp;_xlfn.XLOOKUP(TabTRADER[[#This Row],[ClickTick]],TabCalc[Ticker],ListLastSalen)&amp;"=   "&amp;TEXT(-_xlfn.XLOOKUP(TabTRADER[[#This Row],[ClickTick]],TabCalc[Ticker],ListReverseB),"#,#0")&amp;"$","")</f>
        <v>52.01x20000=   -1,242$</v>
      </c>
      <c r="H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13.6% = 805</v>
      </c>
      <c r="I5" s="228" t="str">
        <f ca="1">IFERROR(TRUNC(TabCalc[[#This Row],[L_S1p]],2)&amp;"x"&amp;TabCalc[[#This Row],[L_S1n]]&amp;"=   "&amp;TEXT(TabCalc[[#This Row],[ReverseB1]],"#,#0"),"")</f>
        <v>53.62x90000=   7,038</v>
      </c>
      <c r="J5" s="297">
        <f ca="1">_xlfn.XLOOKUP(TabTRADER[[#This Row],[ClickTick]],TabCalc[Ticker],ListGravity)</f>
        <v>2.0755458515283847</v>
      </c>
      <c r="K5" s="324" cm="1">
        <f t="array" aca="1" ref="K5" ca="1">IF(_xlfn.XLOOKUP(TabTRADER[[#This Row],[ClickTick]],TabTRADER[ClickTick],ListExtra_n)&gt;0,_xlfn.XLOOKUP(TabTRADER[[#This Row],[ClickTick]],TabTRADER[ClickTick],ListExtra_n),"")</f>
        <v>420000</v>
      </c>
      <c r="L5" s="322">
        <f ca="1">IF(_xlfn.XLOOKUP(TabTRADER[[#This Row],[ClickTick]],TabCalc[Ticker],ListExtra_n)&gt;0,_xlfn.XLOOKUP(TabTRADER[[#This Row],[ClickTick]],TabCalc[Ticker],ListExtra_n)*TabTRADER[[#This Row],[M]]*_xlfn.XLOOKUP(TabTRADER[[#This Row],[ClickTick]],TabCalc[Ticker],ListScale),"")</f>
        <v>192360</v>
      </c>
      <c r="M5" s="325">
        <f ca="1">_xlfn.XLOOKUP(TabTRADER[[#This Row],[ClickTick]],TabCalc[Ticker],TabCalc[Agiotage])</f>
        <v>0.26618830322220155</v>
      </c>
      <c r="N5" s="326" cm="1">
        <f t="array" aca="1" ref="N5" ca="1">_xlfn.XLOOKUP(TabTRADER[[#This Row],[ClickTick]],ListTickers,Tab2RSIConventional[RSIConv20])</f>
        <v>66</v>
      </c>
      <c r="O5" s="712" t="str">
        <f ca="1">TEXT(_xlfn.XLOOKUP(TabTRADER[[#This Row],[ClickTick]],TabCalc[Ticker],TabCalc[Nbegin]),"#,#0")&amp;": "&amp;_xlfn.XLOOKUP(TabTRADER[[#This Row],[ClickTick]],TabCalc[Ticker],TabCalc[Pile?])</f>
        <v xml:space="preserve">400,000: </v>
      </c>
      <c r="P5" s="323">
        <f ca="1">_xlfn.XLOOKUP(TabTRADER[[#This Row],[ClickTick]],TabCalc[Ticker],TabCalc[L_Bn])</f>
        <v>10000</v>
      </c>
      <c r="Q5" s="690">
        <f ca="1">_xlfn.XLOOKUP(TabTRADER[[#This Row],[ClickTick]],TabCalc[Ticker],TabCalc[L_Bp])</f>
        <v>-45.6</v>
      </c>
      <c r="R5" s="778">
        <f ca="1">(TabTRADER[[#This Row],[M]]+TabTRADER[[#This Row],[L_Bp]])/ABS(TabTRADER[[#This Row],[L_Bp]])</f>
        <v>4.3859649122806078E-3</v>
      </c>
      <c r="S5" s="692">
        <f ca="1">_xlfn.XLOOKUP(TabTRADER[[#This Row],[ClickTick]],TabCalc[Ticker],TabCalc[Rev(MinStock)])*(1-Commission)</f>
        <v>19.947999999999574</v>
      </c>
      <c r="T5" s="798">
        <f ca="1">_xlfn.XLOOKUP(TabTRADER[[#This Row],[ClickTick]],TabCalc[Ticker],TabCalc[Agiotage])</f>
        <v>0.26618830322220155</v>
      </c>
      <c r="U5" s="759" t="str" cm="1">
        <f t="array" aca="1" ref="U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7,380/7,380=&gt;3.2% / 3.2%</v>
      </c>
      <c r="V5" s="751" t="str">
        <f ca="1">_xlfn.XLOOKUP(TabTRADER[[#This Row],[ClickTick]],[1]!RTData[Ticker symbol],[1]!RTData[Currency])</f>
        <v>GBp</v>
      </c>
      <c r="W5" s="1163">
        <f ca="1">_xlfn.XLOOKUP(TabTRADER[[#This Row],[ClickTick]],TabCalc[Ticker],TabCalc[M])</f>
        <v>45.8</v>
      </c>
      <c r="X5" s="762" t="str">
        <f ca="1">SORTING!B5</f>
        <v>AET</v>
      </c>
      <c r="Y5" s="819">
        <f ca="1">_xlfn.XLOOKUP(TabTRADER[[#This Row],[ClickTick]],TabCalc[Ticker],TabCalc[Y])</f>
        <v>95.06</v>
      </c>
      <c r="Z5" s="835">
        <f ca="1">_xlfn.XLOOKUP(TabTRADER[[#This Row],[ClickTick]],[1]!RTData[Ticker symbol],[1]!RTData[YTChange])</f>
        <v>3.371030882992615E-2</v>
      </c>
      <c r="AA5" s="851">
        <f ca="1">-_xlfn.XLOOKUP(TabTRADER[[#This Row],[ClickTick]]&amp;2,Consolid!B$3:JZ$3,Consolid!B$4:JZ$4)</f>
        <v>49.237027903292685</v>
      </c>
      <c r="AB5" s="835" cm="1">
        <f t="array" aca="1" ref="AB5" ca="1">_xlfn.XLOOKUP(TabTRADER[[#This Row],[ClickTick]],ListTickers,Tab1ChangePercent[Change%19])</f>
        <v>3.1531999999999998E-2</v>
      </c>
      <c r="AC5" s="782">
        <f ca="1">_xlfn.XLOOKUP(TabTRADER[[#This Row],[ClickTick]],TabCalc[Ticker],TabCalc[NAfter])</f>
        <v>820000</v>
      </c>
      <c r="AD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^33/376 K$</v>
      </c>
      <c r="AE5" s="1277" t="str" cm="1">
        <f t="array" aca="1" ref="AE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5" s="1280" t="str" cm="1">
        <f t="array" aca="1" ref="AF5" ca="1">_xlfn.IFS(       TabTRADER[[#This Row],[Traps]]=RePurchaseGain,TEXT(TabTRADER[[#This Row],[L_Sn]],"#,#0")&amp;" x "&amp;TEXT(TabTRADER[[#This Row],[L_Sp]],"#,#0.#0"),     TabTRADER[[#This Row],[Traps]]=ReSaleGain,TEXT(TabTRADER[[#This Row],[L_Bn]],"#0,#0")&amp;" x "&amp;TEXT(TabTRADER[[#This Row],[L_Bp]],"#,#0.#0"),               TRUE,"")</f>
        <v>10,000 x -45.60</v>
      </c>
      <c r="AG5" s="1281" cm="1">
        <f t="array" aca="1" ref="AG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19.947999999999574</v>
      </c>
      <c r="AH5" s="1281" t="str" cm="1">
        <f t="array" aca="1" ref="AH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 s="1281" cm="1">
        <f t="array" aca="1" ref="AI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19.947999999999574</v>
      </c>
      <c r="AJ5" s="1290" cm="1">
        <f t="array" aca="1" ref="AJ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4.3859649122806078E-3</v>
      </c>
      <c r="AK5" s="1290" t="str" cm="1">
        <f t="array" aca="1" ref="AK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 s="843" t="str" cm="1">
        <f t="array" aca="1" ref="AL5" ca="1">_xlfn.IFS(   TabTRADER[[#This Row],[Traps]]=SellMorePercentGain,                     MIN(TabTRADER[[#This Row],[L_Sn]],TabTRADER[[#This Row],[N]])*(TabTRADER[[#This Row],[M]]-TabTRADER[[#This Row],[L_Sp]])*(1-Commission)*TabTRADER[[#This Row],[Scale]],                    TRUE,"")</f>
        <v/>
      </c>
      <c r="AM5" s="1296">
        <f ca="1">_xlfn.XLOOKUP(TabTRADER[[#This Row],[ClickTick]],TabCalc[Ticker],TabCalc[Ann%RevLB])</f>
        <v>0.10526315789473457</v>
      </c>
      <c r="AN5" s="1296">
        <f ca="1">_xlfn.XLOOKUP(TabTRADER[[#This Row],[ClickTick]],TabCalc[Ticker],TabCalc[Up20])</f>
        <v>0.2</v>
      </c>
      <c r="AO5" s="1368" t="str" cm="1">
        <f t="array" aca="1" ref="AO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 s="843" t="str" cm="1">
        <f t="array" aca="1" ref="AP5" ca="1">_xlfn.IFS(         TabTRADER[[#This Row],[Traps]]=MDown,TabTRADER[[#This Row],[L_Bn]]*TabTRADER[[#This Row],[M]]*(-(TabTRADER[[#This Row],[L_Bp]]+TabTRADER[[#This Row],[M]])/TabTRADER[[#This Row],[M]])*(1-Commission)*TabTRADER[[#This Row],[Scale]],                               TRUE,"")</f>
        <v/>
      </c>
      <c r="AQ5" s="1290" t="str" cm="1">
        <f t="array" aca="1" ref="AQ5" ca="1">_xlfn.IFS(   TabTRADER[[#This Row],[Traps]]=MUp,TabTRADER[[#This Row],[TakeGain_A]]-Commission,        TabTRADER[[#This Row],[Traps]]=MDown,(TabTRADER[[#This Row],[A]]-TabTRADER[[#This Row],[M]])/TabTRADER[[#This Row],[M]]-Commission,                              TRUE,"")</f>
        <v/>
      </c>
      <c r="AR5" s="843" cm="1">
        <f t="array" aca="1" ref="AR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-26148.087073228209</v>
      </c>
      <c r="AS5" s="774" t="e" cm="1">
        <f t="array" aca="1" ref="AS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#N/A</v>
      </c>
      <c r="AT5" s="748" t="str" cm="1">
        <f t="array" aca="1" ref="AT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5" s="779" t="str" cm="1">
        <f t="array" aca="1" ref="AU5" ca="1">_xlfn.IFS(TabTRADER[[#This Row],[Traps]]=ReSaleGain,"",         TabTRADER[[#This Row],[Traps]]=MDown, (TabTRADER[[#This Row],[M]]-TabTRADER[[#This Row],[A]])/TabTRADER[[#This Row],[A]]*ComFactor,             TRUE, IFERROR((TabTRADER[[#This Row],[M]]-TabTRADER[[#This Row],[A]])/TabTRADER[[#This Row],[A]]*ComFactor,""))</f>
        <v/>
      </c>
      <c r="AV5" s="776" cm="1">
        <f t="array" aca="1" ref="AV5" ca="1">_xlfn.IFS(               TabTRADER[[#This Row],[Traps]]=NoStock,(TabTRADER[[#This Row],[L_Sp]]-TabTRADER[[#This Row],[M]])/TabTRADER[[#This Row],[M]]-Commission,             TabTRADER[[#This Row],[A]]&lt;&gt;0,(TabTRADER[[#This Row],[A]]-TabTRADER[[#This Row],[M]])/TabTRADER[[#This Row],[M]]-Commission)</f>
        <v>7.2444277364469151E-2</v>
      </c>
      <c r="AW5" s="326">
        <f ca="1">_xlfn.XLOOKUP(TabTRADER[[#This Row],[ClickTick]],TabCalc[Ticker],TabCalc[L_Sn])</f>
        <v>20000</v>
      </c>
      <c r="AX5" s="740">
        <f ca="1">_xlfn.XLOOKUP(TabTRADER[[#This Row],[ClickTick]],TabCalc[Ticker],TabCalc[L_Sp])</f>
        <v>52.01</v>
      </c>
      <c r="AY5" s="778">
        <f ca="1">-IFERROR((TabTRADER[[#This Row],[M]]-TabTRADER[[#This Row],[L_Sp]])/TabTRADER[[#This Row],[L_Sp]],0)</f>
        <v>0.11940011536243032</v>
      </c>
      <c r="AZ5" s="741">
        <f ca="1">TabTRADER[[#This Row],[L_Sn]]*(TabTRADER[[#This Row],[M]]-TabTRADER[[#This Row],[L_Sp]])*(1-Commission)*TabTRADER[[#This Row],[Scale]]</f>
        <v>-1238.7708</v>
      </c>
      <c r="BA5" s="701">
        <f ca="1">TabTRADER[[#This Row],[L_Sn]]*(TabTRADER[[#This Row],[Agiotage]]-TabTRADER[[#This Row],[M]])/(TabTRADER[[#This Row],[L_Bn]]*TabTRADER[[#This Row],[M]])</f>
        <v>-1.9883760566278514</v>
      </c>
      <c r="BB5" s="641">
        <f ca="1">IFERROR((TabTRADER[[#This Row],[M]]-TabTRADER[[#This Row],[A]])/TabTRADER[[#This Row],[A]],0)</f>
        <v>-6.9805754929875424E-2</v>
      </c>
      <c r="BC5" s="644" t="str">
        <f ca="1">TEXT(_xlfn.XLOOKUP(TabTRADER[[#This Row],[ClickTick]],TabCalc[Ticker],TabCalc[NAfter]),"#,#0")&amp;" : "&amp;TEXT(_xlfn.XLOOKUP(TabTRADER[[#This Row],[ClickTick]],TabCalc[Ticker],TabCalc[NAfter])*(TabTRADER[[#This Row],[M]]-TabTRADER[[#This Row],[A]])*(1-Commission)*TabTRADER[[#This Row],[Scale]],"#,#0$")</f>
        <v>820,000 : -28,110$</v>
      </c>
      <c r="BD5" s="693">
        <f ca="1">_xlfn.XLOOKUP(TabTRADER[[#This Row],[ClickTick]],TabCalc[[#This Row],[Ticker]],TabCalc[[#This Row],[GL]])*(1-Commission)</f>
        <v>32713.686886098192</v>
      </c>
      <c r="BE5" s="693"/>
      <c r="BF5" s="675" t="str">
        <f ca="1">TabTRADER[[#This Row],[ClickTick]]&amp;": "&amp;_xlfn.XLOOKUP(TabTRADER[[#This Row],[ClickTick]],TabCalc[Ticker],TabCalc[Pile?])</f>
        <v xml:space="preserve">AET: </v>
      </c>
      <c r="BG5" s="353" t="s">
        <v>1924</v>
      </c>
      <c r="BH5" s="769" t="str" cm="1">
        <f t="array" aca="1" ref="BH5" ca="1">_xlfn.TEXTJOIN("",,INDEX({"M","A","Y"}, _xlfn.SORTBY({1,2,3}, -CHOOSE({1,2,3}, TabTRADER[[#This Row],[M]], TabTRADER[[#This Row],[A]], TabTRADER[[#This Row],[Agiotage]]))))</f>
        <v>AMY</v>
      </c>
      <c r="BI5" s="976" t="str" cm="1">
        <f t="array" aca="1" ref="BI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 s="688" t="e">
        <f ca="1">TabTRADER[[#This Row],[L_Sn]]*TabTRADER[[#This Row],[L_Sp]]+TabTRADER[[#This Row],[SellMore]]*TabTRADER[[#This Row],[M]]</f>
        <v>#N/A</v>
      </c>
      <c r="BK5" s="688" t="e">
        <f ca="1">INDEX(
  INDEX(TabConsolid[], , _xlfn.XMATCH(TabTRADER[[#This Row],[ClickTick]]&amp;1, TabConsolid[#Headers])),
  MATCH(
    -TabTRADER[[#This Row],[M]],
    INDEX(TabConsolid[], , _xlfn.XMATCH(TabTRADER[[#This Row],[ClickTick]]&amp;2, TabConsolid[#Headers])),
    -1
  )
)</f>
        <v>#N/A</v>
      </c>
      <c r="BL5" s="688" cm="1">
        <f t="array" aca="1" ref="BL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M5" s="1260" t="e">
        <f ca="1">TabTRADER[[#This Row],[ReBuy]]/(TabTRADER[[#This Row],[L_Sn]]+TabTRADER[[#This Row],[SellMore]])</f>
        <v>#N/A</v>
      </c>
      <c r="BN5" s="696">
        <f ca="1">((_xlfn.XLOOKUP(TabTRADER[[#This Row],[ClickTick]],TabCalc[Ticker],TabCalc[NAfter])+TabTRADER[[#This Row],[L_Sn]])*(TabTRADER[[#This Row],[Agiotage]]-TabTRADER[[#This Row],[M]]))/(TabTRADER[[#This Row],[L_Sn]]*_xlfn.XLOOKUP(TabTRADER[[#This Row],[ClickTick]],TabCalc[Ticker],TabCalc[NAfter]))</f>
        <v>-2.3322196234934968E-3</v>
      </c>
      <c r="BO5" s="696">
        <f ca="1">(TabTRADER[[#This Row],[M]]-TabTRADER[[#This Row],[Agiotage]])/(TabTRADER[[#This Row],[M]]-TabTRADER[[#This Row],[A]])-1</f>
        <v>-14.248019212516782</v>
      </c>
      <c r="BP5" s="1388">
        <f ca="1">_xlfn.XMATCH(TabTRADER[[#This Row],[ClickTick]]&amp;1, TabConsolid[#Headers])</f>
        <v>8</v>
      </c>
      <c r="BQ5" t="b">
        <f ca="1">IF(ABS(TabTRADER[[#This Row],[L_Bp]])&gt;=TabTRADER[[#This Row],[M]],"OK")</f>
        <v>0</v>
      </c>
    </row>
    <row r="6" spans="1:69" hidden="1">
      <c r="A6" s="225">
        <f ca="1">IF(_xlfn.XLOOKUP(TabTRADER[[#This Row],[ClickTick]],TabCalc[Ticker],TabCalc[Cur])="GBp",0.01,1)</f>
        <v>1</v>
      </c>
      <c r="B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-215.02x2000=    +18,380 USD</v>
      </c>
      <c r="C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4.1%</v>
      </c>
      <c r="D6" s="697" t="str" cm="1">
        <f t="array" aca="1" ref="D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544/12,000=121,986</v>
      </c>
      <c r="E6"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 s="228" t="str">
        <f ca="1">TRUNC(TabCalc[[#This Row],[L_B1p]],2)&amp;"x"&amp;TabCalc[[#This Row],[L_B1n]]&amp;"=   "&amp;TEXT(TabCalc[[#This Row],[ReverseS1]],"#,#0")&amp;"$"</f>
        <v>-212.98x500=   5,615$</v>
      </c>
      <c r="G6" s="227" t="str">
        <f ca="1">IFERROR(TRUNC(_xlfn.XLOOKUP(TabTRADER[[#This Row],[ClickTick]],TabCalc[Ticker],ListLastSalep),2)&amp;"x"&amp;_xlfn.XLOOKUP(TabTRADER[[#This Row],[ClickTick]],TabCalc[Ticker],ListLastSalen)&amp;"=   "&amp;TEXT(-_xlfn.XLOOKUP(TabTRADER[[#This Row],[ClickTick]],TabCalc[Ticker],ListReverseB),"#,#0")&amp;"$","")</f>
        <v>221.51x200=   539$</v>
      </c>
      <c r="H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-1.2% = 0</v>
      </c>
      <c r="I6" s="228" t="str">
        <f ca="1">IFERROR(TRUNC(TabCalc[[#This Row],[L_S1p]],2)&amp;"x"&amp;TabCalc[[#This Row],[L_S1n]]&amp;"=   "&amp;TEXT(TabCalc[[#This Row],[ReverseB1]],"#,#0"),"")</f>
        <v>234.24x500=   5,015</v>
      </c>
      <c r="J6" s="297">
        <f ca="1">_xlfn.XLOOKUP(TabTRADER[[#This Row],[ClickTick]],TabCalc[Ticker],ListGravity)</f>
        <v>1.188905490388475</v>
      </c>
      <c r="K6" s="324" cm="1">
        <f t="array" aca="1" ref="K6" ca="1">IF(_xlfn.XLOOKUP(TabTRADER[[#This Row],[ClickTick]],TabTRADER[ClickTick],ListExtra_n)&gt;0,_xlfn.XLOOKUP(TabTRADER[[#This Row],[ClickTick]],TabTRADER[ClickTick],ListExtra_n),"")</f>
        <v>4000</v>
      </c>
      <c r="L6" s="322">
        <f ca="1">IF(_xlfn.XLOOKUP(TabTRADER[[#This Row],[ClickTick]],TabCalc[Ticker],ListExtra_n)&gt;0,_xlfn.XLOOKUP(TabTRADER[[#This Row],[ClickTick]],TabCalc[Ticker],ListExtra_n)*TabTRADER[[#This Row],[M]]*_xlfn.XLOOKUP(TabTRADER[[#This Row],[ClickTick]],TabCalc[Ticker],ListScale),"")</f>
        <v>896840</v>
      </c>
      <c r="M6" s="325">
        <f ca="1">_xlfn.XLOOKUP(TabTRADER[[#This Row],[ClickTick]],TabCalc[Ticker],TabCalc[Agiotage])</f>
        <v>0.80389560397611193</v>
      </c>
      <c r="N6" s="326" cm="1">
        <f t="array" aca="1" ref="N6" ca="1">_xlfn.XLOOKUP(TabTRADER[[#This Row],[ClickTick]],ListTickers,Tab2RSIConventional[RSIConv20])</f>
        <v>63</v>
      </c>
      <c r="O6" s="712" t="str">
        <f ca="1">TEXT(_xlfn.XLOOKUP(TabTRADER[[#This Row],[ClickTick]],TabCalc[Ticker],TabCalc[Nbegin]),"#,#0")&amp;": "&amp;_xlfn.XLOOKUP(TabTRADER[[#This Row],[ClickTick]],TabCalc[Ticker],TabCalc[Pile?])</f>
        <v>8,000: Pile</v>
      </c>
      <c r="P6" s="746">
        <f ca="1">_xlfn.XLOOKUP(TabTRADER[[#This Row],[ClickTick]],TabCalc[Ticker],TabCalc[L_Bn])</f>
        <v>2000</v>
      </c>
      <c r="Q6" s="740">
        <f ca="1">_xlfn.XLOOKUP(TabTRADER[[#This Row],[ClickTick]],TabCalc[Ticker],TabCalc[L_Bp])</f>
        <v>-215.02</v>
      </c>
      <c r="R6" s="778">
        <f ca="1">(TabTRADER[[#This Row],[M]]+TabTRADER[[#This Row],[L_Bp]])/ABS(TabTRADER[[#This Row],[L_Bp]])</f>
        <v>4.2740210213003428E-2</v>
      </c>
      <c r="S6" s="692">
        <f ca="1">_xlfn.XLOOKUP(TabTRADER[[#This Row],[ClickTick]],TabCalc[Ticker],TabCalc[Rev(MinStock)])*(1-Commission)</f>
        <v>18332.211999999996</v>
      </c>
      <c r="T6" s="798">
        <f ca="1">_xlfn.XLOOKUP(TabTRADER[[#This Row],[ClickTick]],TabCalc[Ticker],TabCalc[Agiotage])</f>
        <v>0.80389560397611193</v>
      </c>
      <c r="U6" s="759" t="str" cm="1">
        <f t="array" aca="1" ref="U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26,880/26,880=&gt;1.4% / 1.4%</v>
      </c>
      <c r="V6" s="751" t="str">
        <f ca="1">_xlfn.XLOOKUP(TabTRADER[[#This Row],[ClickTick]],[1]!RTData[Ticker symbol],[1]!RTData[Currency])</f>
        <v>USD</v>
      </c>
      <c r="W6" s="718">
        <f ca="1">_xlfn.XLOOKUP(TabTRADER[[#This Row],[ClickTick]],TabCalc[Ticker],TabCalc[M])</f>
        <v>224.21</v>
      </c>
      <c r="X6" s="719" t="str">
        <f ca="1">SORTING!B6</f>
        <v>AMZN</v>
      </c>
      <c r="Y6" s="819">
        <f ca="1">_xlfn.XLOOKUP(TabTRADER[[#This Row],[ClickTick]],TabCalc[Ticker],TabCalc[Y])</f>
        <v>266.56450000000001</v>
      </c>
      <c r="Z6" s="835">
        <f ca="1">_xlfn.XLOOKUP(TabTRADER[[#This Row],[ClickTick]],[1]!RTData[Ticker symbol],[1]!RTData[YTChange])</f>
        <v>0.11551933377971209</v>
      </c>
      <c r="AA6" s="851">
        <f ca="1">-_xlfn.XLOOKUP(TabTRADER[[#This Row],[ClickTick]]&amp;2,Consolid!B$3:JZ$3,Consolid!B$4:JZ$4)</f>
        <v>203.15856500000001</v>
      </c>
      <c r="AB6" s="835" cm="1">
        <f t="array" aca="1" ref="AB6" ca="1">_xlfn.XLOOKUP(TabTRADER[[#This Row],[ClickTick]],ListTickers,Tab1ChangePercent[Change%19])</f>
        <v>1.4112E-2</v>
      </c>
      <c r="AC6" s="782">
        <f ca="1">_xlfn.XLOOKUP(TabTRADER[[#This Row],[ClickTick]],TabCalc[Ticker],TabCalc[NAfter])</f>
        <v>12000</v>
      </c>
      <c r="AD6"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^728/2,691 K$</v>
      </c>
      <c r="AE6" s="1277" t="str" cm="1">
        <f t="array" aca="1" ref="AE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 s="1280" t="str" cm="1">
        <f t="array" aca="1" ref="AF6" ca="1">_xlfn.IFS(       TabTRADER[[#This Row],[Traps]]=RePurchaseGain,TEXT(TabTRADER[[#This Row],[L_Sn]],"#,#0")&amp;" x "&amp;TEXT(TabTRADER[[#This Row],[L_Sp]],"#,#0.#0"),     TabTRADER[[#This Row],[Traps]]=ReSaleGain,TEXT(TabTRADER[[#This Row],[L_Bn]],"#0,#0")&amp;" x "&amp;TEXT(TabTRADER[[#This Row],[L_Bp]],"#,#0.#0"),               TRUE,"")</f>
        <v/>
      </c>
      <c r="AG6" s="1281" t="str" cm="1">
        <f t="array" aca="1" ref="AG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 x 221.52</v>
      </c>
      <c r="AH6" s="1281" cm="1">
        <f t="array" aca="1" ref="AH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537.59860000000424</v>
      </c>
      <c r="AI6" s="1281" cm="1">
        <f t="array" aca="1" ref="AI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251960.41522799997</v>
      </c>
      <c r="AJ6" s="1290" cm="1">
        <f t="array" aca="1" ref="AJ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0.10362071124099541</v>
      </c>
      <c r="AK6" s="1290" cm="1">
        <f t="array" aca="1" ref="AK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9.4199812675617566E-3</v>
      </c>
      <c r="AL6" s="843" cm="1">
        <f t="array" aca="1" ref="AL6" ca="1">_xlfn.IFS(   TabTRADER[[#This Row],[Traps]]=SellMorePercentGain,                     MIN(TabTRADER[[#This Row],[L_Sn]],TabTRADER[[#This Row],[N]])*(TabTRADER[[#This Row],[M]]-TabTRADER[[#This Row],[L_Sp]])*(1-Commission)*TabTRADER[[#This Row],[Scale]],                    TRUE,"")</f>
        <v>537.59860000000424</v>
      </c>
      <c r="AM6" s="1039">
        <f ca="1">_xlfn.XLOOKUP(TabTRADER[[#This Row],[ClickTick]],TabCalc[Ticker],TabCalc[Ann%RevLB])</f>
        <v>0.17891250786838644</v>
      </c>
      <c r="AN6" s="1038">
        <f ca="1">_xlfn.XLOOKUP(TabTRADER[[#This Row],[ClickTick]],TabCalc[Ticker],TabCalc[Up20])</f>
        <v>0.1</v>
      </c>
      <c r="AO6" s="312" t="str" cm="1">
        <f t="array" aca="1" ref="AO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 s="843" t="str" cm="1">
        <f t="array" aca="1" ref="AP6" ca="1">_xlfn.IFS(         TabTRADER[[#This Row],[Traps]]=MDown,TabTRADER[[#This Row],[L_Bn]]*TabTRADER[[#This Row],[M]]*(-(TabTRADER[[#This Row],[L_Bp]]+TabTRADER[[#This Row],[M]])/TabTRADER[[#This Row],[M]])*(1-Commission)*TabTRADER[[#This Row],[Scale]],                               TRUE,"")</f>
        <v/>
      </c>
      <c r="AQ6" s="1290" cm="1">
        <f t="array" aca="1" ref="AQ6" ca="1">_xlfn.IFS(   TabTRADER[[#This Row],[Traps]]=MUp,TabTRADER[[#This Row],[TakeGain_A]]-Commission,        TabTRADER[[#This Row],[Traps]]=MDown,(TabTRADER[[#This Row],[A]]-TabTRADER[[#This Row],[M]])/TabTRADER[[#This Row],[M]]-Commission,                              TRUE,"")</f>
        <v>0.1010207112409954</v>
      </c>
      <c r="AR6" s="774" cm="1">
        <f t="array" aca="1" ref="AR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278068.73265850183</v>
      </c>
      <c r="AS6" s="774" t="str" cm="1">
        <f t="array" aca="1" ref="AS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T6" s="748" t="str" cm="1">
        <f t="array" aca="1" ref="AT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2,000x21.05</v>
      </c>
      <c r="AU6" s="779" cm="1">
        <f t="array" aca="1" ref="AU6" ca="1">_xlfn.IFS(TabTRADER[[#This Row],[Traps]]=ReSaleGain,"",         TabTRADER[[#This Row],[Traps]]=MDown, (TabTRADER[[#This Row],[M]]-TabTRADER[[#This Row],[A]])/TabTRADER[[#This Row],[A]]*ComFactor,             TRUE, IFERROR((TabTRADER[[#This Row],[M]]-TabTRADER[[#This Row],[A]])/TabTRADER[[#This Row],[A]]*ComFactor,""))</f>
        <v>0.10335129739176882</v>
      </c>
      <c r="AV6" s="776" cm="1">
        <f t="array" aca="1" ref="AV6" ca="1">_xlfn.IFS(               TabTRADER[[#This Row],[Traps]]=NoStock,(TabTRADER[[#This Row],[L_Sp]]-TabTRADER[[#This Row],[M]])/TabTRADER[[#This Row],[M]]-Commission,             TabTRADER[[#This Row],[A]]&lt;&gt;0,(TabTRADER[[#This Row],[A]]-TabTRADER[[#This Row],[M]])/TabTRADER[[#This Row],[M]]-Commission)</f>
        <v>-9.6491597163373619E-2</v>
      </c>
      <c r="AW6" s="326">
        <f ca="1">_xlfn.XLOOKUP(TabTRADER[[#This Row],[ClickTick]],TabCalc[Ticker],TabCalc[L_Sn])</f>
        <v>200</v>
      </c>
      <c r="AX6" s="740">
        <f ca="1">_xlfn.XLOOKUP(TabTRADER[[#This Row],[ClickTick]],TabCalc[Ticker],TabCalc[L_Sp])</f>
        <v>221.51499999999999</v>
      </c>
      <c r="AY6" s="778">
        <f ca="1">-IFERROR((TabTRADER[[#This Row],[M]]-TabTRADER[[#This Row],[L_Sp]])/TabTRADER[[#This Row],[L_Sp]],0)</f>
        <v>-1.2166218991941953E-2</v>
      </c>
      <c r="AZ6" s="741">
        <f ca="1">TabTRADER[[#This Row],[L_Sn]]*(TabTRADER[[#This Row],[M]]-TabTRADER[[#This Row],[L_Sp]])*(1-Commission)*TabTRADER[[#This Row],[Scale]]</f>
        <v>537.59860000000424</v>
      </c>
      <c r="BA6" s="701">
        <f ca="1">TabTRADER[[#This Row],[L_Sn]]*(TabTRADER[[#This Row],[Agiotage]]-TabTRADER[[#This Row],[M]])/(TabTRADER[[#This Row],[L_Bn]]*TabTRADER[[#This Row],[M]])</f>
        <v>-9.9641454170654245E-2</v>
      </c>
      <c r="BB6" s="641">
        <f ca="1">IFERROR((TabTRADER[[#This Row],[M]]-TabTRADER[[#This Row],[A]])/TabTRADER[[#This Row],[A]],0)</f>
        <v>0.10362071124099541</v>
      </c>
      <c r="BC6" s="644" t="str">
        <f ca="1">TEXT(_xlfn.XLOOKUP(TabTRADER[[#This Row],[ClickTick]],TabCalc[Ticker],TabCalc[NAfter]),"#,#0")&amp;" : "&amp;TEXT(_xlfn.XLOOKUP(TabTRADER[[#This Row],[ClickTick]],TabCalc[Ticker],TabCalc[NAfter])*(TabTRADER[[#This Row],[M]]-TabTRADER[[#This Row],[A]])*(1-Commission)*TabTRADER[[#This Row],[Scale]],"#,#0$")</f>
        <v>12,000 : 251,960$</v>
      </c>
      <c r="BD6" s="693">
        <f ca="1">_xlfn.XLOOKUP(TabTRADER[[#This Row],[ClickTick]],TabCalc[[#This Row],[Ticker]],TabCalc[[#This Row],[GL]])*(1-Commission)</f>
        <v>726262.57497199997</v>
      </c>
      <c r="BE6" s="693"/>
      <c r="BF6" s="675" t="str">
        <f ca="1">TabTRADER[[#This Row],[ClickTick]]&amp;": "&amp;_xlfn.XLOOKUP(TabTRADER[[#This Row],[ClickTick]],TabCalc[Ticker],TabCalc[Pile?])</f>
        <v>AMZN: Pile</v>
      </c>
      <c r="BG6" s="353" t="s">
        <v>1929</v>
      </c>
      <c r="BH6" s="769" t="str" cm="1">
        <f t="array" aca="1" ref="BH6" ca="1">_xlfn.TEXTJOIN("",,INDEX({"M","A","Y"}, _xlfn.SORTBY({1,2,3}, -CHOOSE({1,2,3}, TabTRADER[[#This Row],[M]], TabTRADER[[#This Row],[A]], TabTRADER[[#This Row],[Agiotage]]))))</f>
        <v>MAY</v>
      </c>
      <c r="BI6" s="976" cm="1">
        <f t="array" aca="1" ref="BI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1.2019981267561756E-2</v>
      </c>
      <c r="BJ6" s="688">
        <f ca="1">TabTRADER[[#This Row],[L_Sn]]*TabTRADER[[#This Row],[L_Sp]]+TabTRADER[[#This Row],[SellMore]]*TabTRADER[[#This Row],[M]]</f>
        <v>156408</v>
      </c>
      <c r="BK6" s="688">
        <f ca="1">INDEX(
  INDEX(TabConsolid[], , _xlfn.XMATCH(TabTRADER[[#This Row],[ClickTick]]&amp;1, TabConsolid[#Headers])),
  MATCH(
    -TabTRADER[[#This Row],[M]],
    INDEX(TabConsolid[], , _xlfn.XMATCH(TabTRADER[[#This Row],[ClickTick]]&amp;2, TabConsolid[#Headers])),
    -1
  )
)</f>
        <v>500</v>
      </c>
      <c r="BL6" s="688" cm="1">
        <f t="array" aca="1" ref="BL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6" s="1260">
        <f ca="1">TabTRADER[[#This Row],[ReBuy]]/(TabTRADER[[#This Row],[L_Sn]]+TabTRADER[[#This Row],[SellMore]])</f>
        <v>223.44</v>
      </c>
      <c r="BN6" s="696">
        <f ca="1">((_xlfn.XLOOKUP(TabTRADER[[#This Row],[ClickTick]],TabCalc[Ticker],TabCalc[NAfter])+TabTRADER[[#This Row],[L_Sn]])*(TabTRADER[[#This Row],[Agiotage]]-TabTRADER[[#This Row],[M]]))/(TabTRADER[[#This Row],[L_Sn]]*_xlfn.XLOOKUP(TabTRADER[[#This Row],[ClickTick]],TabCalc[Ticker],TabCalc[NAfter]))</f>
        <v>-1.1356476973464547</v>
      </c>
      <c r="BO6" s="696">
        <f ca="1">(TabTRADER[[#This Row],[M]]-TabTRADER[[#This Row],[Agiotage]])/(TabTRADER[[#This Row],[M]]-TabTRADER[[#This Row],[A]])-1</f>
        <v>9.6123931407062706</v>
      </c>
      <c r="BP6" s="1388">
        <f ca="1">_xlfn.XMATCH(TabTRADER[[#This Row],[ClickTick]]&amp;1, TabConsolid[#Headers])</f>
        <v>11</v>
      </c>
      <c r="BQ6" t="b">
        <f ca="1">IF(ABS(TabTRADER[[#This Row],[L_Bp]])&gt;=TabTRADER[[#This Row],[M]],"OK")</f>
        <v>0</v>
      </c>
    </row>
    <row r="7" spans="1:69" hidden="1">
      <c r="A7" s="225">
        <f ca="1">IF(_xlfn.XLOOKUP(TabTRADER[[#This Row],[ClickTick]],TabCalc[Ticker],TabCalc[Cur])="GBp",0.01,1)</f>
        <v>1</v>
      </c>
      <c r="B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-0.93x15000=    -1,560 EUR</v>
      </c>
      <c r="C7"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-12.6%</v>
      </c>
      <c r="D7" s="697" t="str" cm="1">
        <f t="array" aca="1" ref="D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 s="228" t="str">
        <f ca="1">TRUNC(TabCalc[[#This Row],[L_B1p]],2)&amp;"x"&amp;TabCalc[[#This Row],[L_B1n]]&amp;"=   "&amp;TEXT(TabCalc[[#This Row],[ReverseS1]],"#,#0")&amp;"$"</f>
        <v>-1.2x15000=   -5,610$</v>
      </c>
      <c r="G7" s="227" t="str">
        <f ca="1">IFERROR(TRUNC(_xlfn.XLOOKUP(TabTRADER[[#This Row],[ClickTick]],TabCalc[Ticker],ListLastSalep),2)&amp;"x"&amp;_xlfn.XLOOKUP(TabTRADER[[#This Row],[ClickTick]],TabCalc[Ticker],ListLastSalen)&amp;"=   "&amp;TEXT(-_xlfn.XLOOKUP(TabTRADER[[#This Row],[ClickTick]],TabCalc[Ticker],ListReverseB),"#,#0")&amp;"$","")</f>
        <v>0x0=   0$</v>
      </c>
      <c r="H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7" s="228" t="str">
        <f ca="1">IFERROR(TRUNC(TabCalc[[#This Row],[L_S1p]],2)&amp;"x"&amp;TabCalc[[#This Row],[L_S1n]]&amp;"=   "&amp;TEXT(TabCalc[[#This Row],[ReverseB1]],"#,#0"),"")</f>
        <v>0x0=   0</v>
      </c>
      <c r="J7" s="297">
        <f ca="1">_xlfn.XLOOKUP(TabTRADER[[#This Row],[ClickTick]],TabCalc[Ticker],ListGravity)</f>
        <v>1.8563317191283295</v>
      </c>
      <c r="K7" s="324" cm="1">
        <f t="array" aca="1" ref="K7" ca="1">IF(_xlfn.XLOOKUP(TabTRADER[[#This Row],[ClickTick]],TabTRADER[ClickTick],ListExtra_n)&gt;0,_xlfn.XLOOKUP(TabTRADER[[#This Row],[ClickTick]],TabTRADER[ClickTick],ListExtra_n),"")</f>
        <v>81950</v>
      </c>
      <c r="L7" s="322">
        <f ca="1">IF(_xlfn.XLOOKUP(TabTRADER[[#This Row],[ClickTick]],TabCalc[Ticker],ListExtra_n)&gt;0,_xlfn.XLOOKUP(TabTRADER[[#This Row],[ClickTick]],TabCalc[Ticker],ListExtra_n)*TabTRADER[[#This Row],[M]]*_xlfn.XLOOKUP(TabTRADER[[#This Row],[ClickTick]],TabCalc[Ticker],ListScale),"")</f>
        <v>67690.7</v>
      </c>
      <c r="M7" s="325">
        <f ca="1">_xlfn.XLOOKUP(TabTRADER[[#This Row],[ClickTick]],TabCalc[Ticker],TabCalc[Agiotage])</f>
        <v>1.7439469320066334</v>
      </c>
      <c r="N7" s="326" cm="1">
        <f t="array" aca="1" ref="N7" ca="1">_xlfn.XLOOKUP(TabTRADER[[#This Row],[ClickTick]],ListTickers,Tab2RSIConventional[RSIConv20])</f>
        <v>37</v>
      </c>
      <c r="O7" s="712" t="str">
        <f ca="1">TEXT(_xlfn.XLOOKUP(TabTRADER[[#This Row],[ClickTick]],TabCalc[Ticker],TabCalc[Nbegin]),"#,#0")&amp;": "&amp;_xlfn.XLOOKUP(TabTRADER[[#This Row],[ClickTick]],TabCalc[Ticker],TabCalc[Pile?])</f>
        <v>2,448,050: Pile</v>
      </c>
      <c r="P7" s="877">
        <f ca="1">_xlfn.XLOOKUP(TabTRADER[[#This Row],[ClickTick]],TabCalc[Ticker],TabCalc[L_Bn])</f>
        <v>15000</v>
      </c>
      <c r="Q7" s="740">
        <f ca="1">_xlfn.XLOOKUP(TabTRADER[[#This Row],[ClickTick]],TabCalc[Ticker],TabCalc[L_Bp])</f>
        <v>-0.93</v>
      </c>
      <c r="R7" s="778">
        <f ca="1">(TabTRADER[[#This Row],[M]]+TabTRADER[[#This Row],[L_Bp]])/ABS(TabTRADER[[#This Row],[L_Bp]])</f>
        <v>-0.1118279569892474</v>
      </c>
      <c r="S7" s="692">
        <f ca="1">_xlfn.XLOOKUP(TabTRADER[[#This Row],[ClickTick]],TabCalc[Ticker],TabCalc[Rev(MinStock)])*(1-Commission)</f>
        <v>-1555.9440000000013</v>
      </c>
      <c r="T7" s="798">
        <f ca="1">_xlfn.XLOOKUP(TabTRADER[[#This Row],[ClickTick]],TabCalc[Ticker],TabCalc[Agiotage])</f>
        <v>1.7439469320066334</v>
      </c>
      <c r="U7" s="759" t="str" cm="1">
        <f t="array" aca="1" ref="U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15,180/15,180=&gt;-1.4% / -1.4%</v>
      </c>
      <c r="V7" s="751" t="str">
        <f ca="1">_xlfn.XLOOKUP(TabTRADER[[#This Row],[ClickTick]],[1]!RTData[Ticker symbol],[1]!RTData[Currency])</f>
        <v>EUR</v>
      </c>
      <c r="W7" s="761">
        <f ca="1">_xlfn.XLOOKUP(TabTRADER[[#This Row],[ClickTick]],TabCalc[Ticker],TabCalc[M])</f>
        <v>0.82599999999999996</v>
      </c>
      <c r="X7" s="762" t="str">
        <f ca="1">SORTING!B7</f>
        <v>ALDNE</v>
      </c>
      <c r="Y7" s="819">
        <f ca="1">_xlfn.XLOOKUP(TabTRADER[[#This Row],[ClickTick]],TabCalc[Ticker],TabCalc[Y])</f>
        <v>1.5333300000000001</v>
      </c>
      <c r="Z7" s="835">
        <f ca="1">_xlfn.XLOOKUP(TabTRADER[[#This Row],[ClickTick]],[1]!RTData[Ticker symbol],[1]!RTData[YTChange])</f>
        <v>-0.60379069767441851</v>
      </c>
      <c r="AA7" s="851">
        <f ca="1">-_xlfn.XLOOKUP(TabTRADER[[#This Row],[ClickTick]]&amp;2,Consolid!B$3:JZ$3,Consolid!B$4:JZ$4)</f>
        <v>1.1669648384441569</v>
      </c>
      <c r="AB7" s="835" cm="1">
        <f t="array" aca="1" ref="AB7" ca="1">_xlfn.XLOOKUP(TabTRADER[[#This Row],[ClickTick]],ListTickers,Tab1ChangePercent[Change%19])</f>
        <v>-1.4319999999999999E-2</v>
      </c>
      <c r="AC7" s="782">
        <f ca="1">_xlfn.XLOOKUP(TabTRADER[[#This Row],[ClickTick]],TabCalc[Ticker],TabCalc[NAfter])</f>
        <v>2530000</v>
      </c>
      <c r="AD7"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-863/2,090 K$</v>
      </c>
      <c r="AE7" s="1299" t="str" cm="1">
        <f t="array" aca="1" ref="AE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7" s="1280" t="str" cm="1">
        <f t="array" aca="1" ref="AF7" ca="1">_xlfn.IFS(       TabTRADER[[#This Row],[Traps]]=RePurchaseGain,TEXT(TabTRADER[[#This Row],[L_Sn]],"#,#0")&amp;" x "&amp;TEXT(TabTRADER[[#This Row],[L_Sp]],"#,#0.#0"),     TabTRADER[[#This Row],[Traps]]=ReSaleGain,TEXT(TabTRADER[[#This Row],[L_Bn]],"#0,#0")&amp;" x "&amp;TEXT(TabTRADER[[#This Row],[L_Bp]],"#,#0.#0"),               TRUE,"")</f>
        <v/>
      </c>
      <c r="AG7" s="1281" t="str" cm="1">
        <f t="array" aca="1" ref="AG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15,000 x -0.93</v>
      </c>
      <c r="AH7" s="1281" cm="1">
        <f t="array" aca="1" ref="AH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1555.9440000000013</v>
      </c>
      <c r="AI7" s="1281" cm="1">
        <f t="array" aca="1" ref="AI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2089780</v>
      </c>
      <c r="AJ7" s="1290" cm="1">
        <f t="array" aca="1" ref="AJ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0.29218090143893671</v>
      </c>
      <c r="AK7" s="1290" cm="1">
        <f t="array" aca="1" ref="AK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0.12330799031477009</v>
      </c>
      <c r="AL7" s="843" t="str" cm="1">
        <f t="array" aca="1" ref="AL7" ca="1">_xlfn.IFS(   TabTRADER[[#This Row],[Traps]]=SellMorePercentGain,                     MIN(TabTRADER[[#This Row],[L_Sn]],TabTRADER[[#This Row],[N]])*(TabTRADER[[#This Row],[M]]-TabTRADER[[#This Row],[L_Sp]])*(1-Commission)*TabTRADER[[#This Row],[Scale]],                    TRUE,"")</f>
        <v/>
      </c>
      <c r="AM7" s="1039">
        <f ca="1">_xlfn.XLOOKUP(TabTRADER[[#This Row],[ClickTick]],TabCalc[Ticker],TabCalc[Ann%RevLB])</f>
        <v>-0.18134263295553635</v>
      </c>
      <c r="AN7" s="1038">
        <f ca="1">_xlfn.XLOOKUP(TabTRADER[[#This Row],[ClickTick]],TabCalc[Ticker],TabCalc[Up20])</f>
        <v>0.2857142857142857</v>
      </c>
      <c r="AO7" s="1368" cm="1">
        <f t="array" aca="1" ref="AO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0.1259079903147701</v>
      </c>
      <c r="AP7" s="843" cm="1">
        <f t="array" aca="1" ref="AP7" ca="1">_xlfn.IFS(         TabTRADER[[#This Row],[Traps]]=MDown,TabTRADER[[#This Row],[L_Bn]]*TabTRADER[[#This Row],[M]]*(-(TabTRADER[[#This Row],[L_Bp]]+TabTRADER[[#This Row],[M]])/TabTRADER[[#This Row],[M]])*(1-Commission)*TabTRADER[[#This Row],[Scale]],                               TRUE,"")</f>
        <v>1555.9440000000016</v>
      </c>
      <c r="AQ7" s="1290" cm="1">
        <f t="array" aca="1" ref="AQ7" ca="1">_xlfn.IFS(   TabTRADER[[#This Row],[Traps]]=MUp,TabTRADER[[#This Row],[TakeGain_A]]-Commission,        TabTRADER[[#This Row],[Traps]]=MDown,(TabTRADER[[#This Row],[A]]-TabTRADER[[#This Row],[M]])/TabTRADER[[#This Row],[M]]-Commission,                              TRUE,"")</f>
        <v>0.41019036131253866</v>
      </c>
      <c r="AR7" s="843" cm="1">
        <f t="array" aca="1" ref="AR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860398.17455643124</v>
      </c>
      <c r="AS7" s="774" t="e" cm="1">
        <f t="array" aca="1" ref="AS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#N/A</v>
      </c>
      <c r="AT7" s="748" cm="1">
        <f t="array" aca="1" ref="AT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v>
      </c>
      <c r="AU7" s="779" cm="1">
        <f t="array" aca="1" ref="AU7" ca="1">_xlfn.IFS(TabTRADER[[#This Row],[Traps]]=ReSaleGain,"",         TabTRADER[[#This Row],[Traps]]=MDown, (TabTRADER[[#This Row],[M]]-TabTRADER[[#This Row],[A]])/TabTRADER[[#This Row],[A]]*ComFactor,             TRUE, IFERROR((TabTRADER[[#This Row],[M]]-TabTRADER[[#This Row],[A]])/TabTRADER[[#This Row],[A]]*ComFactor,""))</f>
        <v>-0.29142123109519547</v>
      </c>
      <c r="AV7" s="776" cm="1">
        <f t="array" aca="1" ref="AV7" ca="1">_xlfn.IFS(               TabTRADER[[#This Row],[Traps]]=NoStock,(TabTRADER[[#This Row],[L_Sp]]-TabTRADER[[#This Row],[M]])/TabTRADER[[#This Row],[M]]-Commission,             TabTRADER[[#This Row],[A]]&lt;&gt;0,(TabTRADER[[#This Row],[A]]-TabTRADER[[#This Row],[M]])/TabTRADER[[#This Row],[M]]-Commission)</f>
        <v>0.41019036131253866</v>
      </c>
      <c r="AW7" s="326">
        <f ca="1">_xlfn.XLOOKUP(TabTRADER[[#This Row],[ClickTick]],TabCalc[Ticker],TabCalc[L_Sn])</f>
        <v>0</v>
      </c>
      <c r="AX7" s="740">
        <f ca="1">_xlfn.XLOOKUP(TabTRADER[[#This Row],[ClickTick]],TabCalc[Ticker],TabCalc[L_Sp])</f>
        <v>0</v>
      </c>
      <c r="AY7" s="778">
        <f ca="1">-IFERROR((TabTRADER[[#This Row],[M]]-TabTRADER[[#This Row],[L_Sp]])/TabTRADER[[#This Row],[L_Sp]],0)</f>
        <v>0</v>
      </c>
      <c r="AZ7" s="741">
        <f ca="1">TabTRADER[[#This Row],[L_Sn]]*(TabTRADER[[#This Row],[M]]-TabTRADER[[#This Row],[L_Sp]])*(1-Commission)*TabTRADER[[#This Row],[Scale]]</f>
        <v>0</v>
      </c>
      <c r="BA7" s="701">
        <f ca="1">TabTRADER[[#This Row],[L_Sn]]*(TabTRADER[[#This Row],[Agiotage]]-TabTRADER[[#This Row],[M]])/(TabTRADER[[#This Row],[L_Bn]]*TabTRADER[[#This Row],[M]])</f>
        <v>0</v>
      </c>
      <c r="BB7" s="641">
        <f ca="1">IFERROR((TabTRADER[[#This Row],[M]]-TabTRADER[[#This Row],[A]])/TabTRADER[[#This Row],[A]],0)</f>
        <v>-0.29218090143893671</v>
      </c>
      <c r="BC7" s="644" t="str">
        <f ca="1">TEXT(_xlfn.XLOOKUP(TabTRADER[[#This Row],[ClickTick]],TabCalc[Ticker],TabCalc[NAfter]),"#,#0")&amp;" : "&amp;TEXT(_xlfn.XLOOKUP(TabTRADER[[#This Row],[ClickTick]],TabCalc[Ticker],TabCalc[NAfter])*(TabTRADER[[#This Row],[M]]-TabTRADER[[#This Row],[A]])*(1-Commission)*TabTRADER[[#This Row],[Scale]],"#,#0$")</f>
        <v>2,530,000 : -860,398$</v>
      </c>
      <c r="BD7" s="693">
        <f ca="1">_xlfn.XLOOKUP(TabTRADER[[#This Row],[ClickTick]],TabCalc[[#This Row],[Ticker]],TabCalc[[#This Row],[GL]])*(1-Commission)</f>
        <v>-860398.17455643101</v>
      </c>
      <c r="BE7" s="693"/>
      <c r="BF7" s="675" t="str">
        <f ca="1">TabTRADER[[#This Row],[ClickTick]]&amp;": "&amp;_xlfn.XLOOKUP(TabTRADER[[#This Row],[ClickTick]],TabCalc[Ticker],TabCalc[Pile?])</f>
        <v>ALDNE: Pile</v>
      </c>
      <c r="BG7" s="353" t="s">
        <v>1931</v>
      </c>
      <c r="BH7" s="769" t="str" cm="1">
        <f t="array" aca="1" ref="BH7" ca="1">_xlfn.TEXTJOIN("",,INDEX({"M","A","Y"}, _xlfn.SORTBY({1,2,3}, -CHOOSE({1,2,3}, TabTRADER[[#This Row],[M]], TabTRADER[[#This Row],[A]], TabTRADER[[#This Row],[Agiotage]]))))</f>
        <v>YAM</v>
      </c>
      <c r="BI7" s="976" cm="1">
        <f t="array" aca="1" ref="BI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0.1259079903147701</v>
      </c>
      <c r="BJ7" s="688" t="e">
        <f ca="1">TabTRADER[[#This Row],[L_Sn]]*TabTRADER[[#This Row],[L_Sp]]+TabTRADER[[#This Row],[SellMore]]*TabTRADER[[#This Row],[M]]</f>
        <v>#N/A</v>
      </c>
      <c r="BK7" s="688" t="e">
        <f ca="1">INDEX(
  INDEX(TabConsolid[], , _xlfn.XMATCH(TabTRADER[[#This Row],[ClickTick]]&amp;1, TabConsolid[#Headers])),
  MATCH(
    -TabTRADER[[#This Row],[M]],
    INDEX(TabConsolid[], , _xlfn.XMATCH(TabTRADER[[#This Row],[ClickTick]]&amp;2, TabConsolid[#Headers])),
    -1
  )
)</f>
        <v>#N/A</v>
      </c>
      <c r="BL7" s="688" cm="1">
        <f t="array" aca="1" ref="BL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15000</v>
      </c>
      <c r="BM7" s="1260" t="e">
        <f ca="1">TabTRADER[[#This Row],[ReBuy]]/(TabTRADER[[#This Row],[L_Sn]]+TabTRADER[[#This Row],[SellMore]])</f>
        <v>#N/A</v>
      </c>
      <c r="BN7" s="696" t="e">
        <f ca="1">((_xlfn.XLOOKUP(TabTRADER[[#This Row],[ClickTick]],TabCalc[Ticker],TabCalc[NAfter])+TabTRADER[[#This Row],[L_Sn]])*(TabTRADER[[#This Row],[Agiotage]]-TabTRADER[[#This Row],[M]]))/(TabTRADER[[#This Row],[L_Sn]]*_xlfn.XLOOKUP(TabTRADER[[#This Row],[ClickTick]],TabCalc[Ticker],TabCalc[NAfter]))</f>
        <v>#DIV/0!</v>
      </c>
      <c r="BO7" s="696">
        <f ca="1">(TabTRADER[[#This Row],[M]]-TabTRADER[[#This Row],[Agiotage]])/(TabTRADER[[#This Row],[M]]-TabTRADER[[#This Row],[A]])-1</f>
        <v>1.6922040882434697</v>
      </c>
      <c r="BP7" s="1388">
        <f ca="1">_xlfn.XMATCH(TabTRADER[[#This Row],[ClickTick]]&amp;1, TabConsolid[#Headers])</f>
        <v>14</v>
      </c>
      <c r="BQ7" t="str">
        <f ca="1">IF(ABS(TabTRADER[[#This Row],[L_Bp]])&gt;=TabTRADER[[#This Row],[M]],"OK")</f>
        <v>OK</v>
      </c>
    </row>
    <row r="8" spans="1:69" hidden="1">
      <c r="A8" s="225">
        <f ca="1">IF(_xlfn.XLOOKUP(TabTRADER[[#This Row],[ClickTick]],TabCalc[Ticker],TabCalc[Cur])="GBp",0.01,1)</f>
        <v>1</v>
      </c>
      <c r="B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-813.9x200=    +16,100 EUR</v>
      </c>
      <c r="C8"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9.0%</v>
      </c>
      <c r="D8" s="697" t="str" cm="1">
        <f t="array" aca="1" ref="D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62/3,700=55,553</v>
      </c>
      <c r="E8" s="765" t="str">
        <f ca="1">IF(      AND(TabTRADER[[#This Row],[A]]&lt;TabTRADER[[#This Row],[M]],    _xlfn.XLOOKUP(TabTRADER[[#This Row],[ClickTick]],TabCalc[Ticker],TabCalc[L_Sp])&gt;TabTRADER[[#This Row],[M]]),"BUY  "&amp;TEXT(DesiredBuyGain/TabTRADER[[#This Row],[Scale]]/(_xlfn.XLOOKUP(TabTRADER[[#This Row],[ClickTick]],TabCalc[Ticker],TabCalc[L_Sp])-TabTRADER[[#This Row],[M]]),"#,##0"),"")</f>
        <v>BUY  14,286</v>
      </c>
      <c r="F8" s="228" t="str">
        <f ca="1">TRUNC(TabCalc[[#This Row],[L_B1p]],2)&amp;"x"&amp;TabCalc[[#This Row],[L_B1n]]&amp;"=   "&amp;TEXT(TabCalc[[#This Row],[ReverseS1]],"#,#0")&amp;"$"</f>
        <v>-804.9x200=   17,900$</v>
      </c>
      <c r="G8" s="227" t="str">
        <f ca="1">IFERROR(TRUNC(_xlfn.XLOOKUP(TabTRADER[[#This Row],[ClickTick]],TabCalc[Ticker],ListLastSalep),2)&amp;"x"&amp;_xlfn.XLOOKUP(TabTRADER[[#This Row],[ClickTick]],TabCalc[Ticker],ListLastSalen)&amp;"=   "&amp;TEXT(-_xlfn.XLOOKUP(TabTRADER[[#This Row],[ClickTick]],TabCalc[Ticker],ListReverseB),"#,#0")&amp;"$","")</f>
        <v>894.75x100=   -35$</v>
      </c>
      <c r="H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0.0% = 14,286</v>
      </c>
      <c r="I8" s="228" t="str">
        <f ca="1">IFERROR(TRUNC(TabCalc[[#This Row],[L_S1p]],2)&amp;"x"&amp;TabCalc[[#This Row],[L_S1n]]&amp;"=   "&amp;TEXT(TabCalc[[#This Row],[ReverseB1]],"#,#0"),"")</f>
        <v>862.6x100=   -3,180</v>
      </c>
      <c r="J8" s="297">
        <f ca="1">_xlfn.XLOOKUP(TabTRADER[[#This Row],[ClickTick]],TabCalc[Ticker],ListGravity)</f>
        <v>0.97708325134168161</v>
      </c>
      <c r="K8" s="324" cm="1">
        <f t="array" aca="1" ref="K8" ca="1">IF(_xlfn.XLOOKUP(TabTRADER[[#This Row],[ClickTick]],TabTRADER[ClickTick],ListExtra_n)&gt;0,_xlfn.XLOOKUP(TabTRADER[[#This Row],[ClickTick]],TabTRADER[ClickTick],ListExtra_n),"")</f>
        <v>3200</v>
      </c>
      <c r="L8" s="322">
        <f ca="1">IF(_xlfn.XLOOKUP(TabTRADER[[#This Row],[ClickTick]],TabCalc[Ticker],ListExtra_n)&gt;0,_xlfn.XLOOKUP(TabTRADER[[#This Row],[ClickTick]],TabCalc[Ticker],ListExtra_n)*TabTRADER[[#This Row],[M]]*_xlfn.XLOOKUP(TabTRADER[[#This Row],[ClickTick]],TabCalc[Ticker],ListScale),"")</f>
        <v>2862080</v>
      </c>
      <c r="M8" s="325">
        <f ca="1">_xlfn.XLOOKUP(TabTRADER[[#This Row],[ClickTick]],TabCalc[Ticker],TabCalc[Agiotage])</f>
        <v>0.67346169889261154</v>
      </c>
      <c r="N8" s="326" cm="1">
        <f t="array" aca="1" ref="N8" ca="1">_xlfn.XLOOKUP(TabTRADER[[#This Row],[ClickTick]],ListTickers,Tab2RSIConventional[RSIConv20])</f>
        <v>57</v>
      </c>
      <c r="O8" s="712" t="str">
        <f ca="1">TEXT(_xlfn.XLOOKUP(TabTRADER[[#This Row],[ClickTick]],TabCalc[Ticker],TabCalc[Nbegin]),"#,#0")&amp;": "&amp;_xlfn.XLOOKUP(TabTRADER[[#This Row],[ClickTick]],TabCalc[Ticker],TabCalc[Pile?])</f>
        <v xml:space="preserve">500: </v>
      </c>
      <c r="P8" s="877">
        <f ca="1">_xlfn.XLOOKUP(TabTRADER[[#This Row],[ClickTick]],TabCalc[Ticker],TabCalc[L_Bn])</f>
        <v>200</v>
      </c>
      <c r="Q8" s="740">
        <f ca="1">_xlfn.XLOOKUP(TabTRADER[[#This Row],[ClickTick]],TabCalc[Ticker],TabCalc[L_Bp])</f>
        <v>-813.9</v>
      </c>
      <c r="R8" s="778">
        <f ca="1">(TabTRADER[[#This Row],[M]]+TabTRADER[[#This Row],[L_Bp]])/ABS(TabTRADER[[#This Row],[L_Bp]])</f>
        <v>9.8906499569971745E-2</v>
      </c>
      <c r="S8" s="692">
        <f ca="1">_xlfn.XLOOKUP(TabTRADER[[#This Row],[ClickTick]],TabCalc[Ticker],TabCalc[Rev(MinStock)])*(1-Commission)</f>
        <v>16058.14</v>
      </c>
      <c r="T8" s="798">
        <f ca="1">_xlfn.XLOOKUP(TabTRADER[[#This Row],[ClickTick]],TabCalc[Ticker],TabCalc[Agiotage])</f>
        <v>0.67346169889261154</v>
      </c>
      <c r="U8" s="759" t="str" cm="1">
        <f t="array" aca="1" ref="U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-20,720/-20,720=&gt;0.8% / 0.8%</v>
      </c>
      <c r="V8" s="751" t="str">
        <f ca="1">_xlfn.XLOOKUP(TabTRADER[[#This Row],[ClickTick]],[1]!RTData[Ticker symbol],[1]!RTData[Currency])</f>
        <v>EUR</v>
      </c>
      <c r="W8" s="761">
        <f ca="1">_xlfn.XLOOKUP(TabTRADER[[#This Row],[ClickTick]],TabCalc[Ticker],TabCalc[M])</f>
        <v>894.4</v>
      </c>
      <c r="X8" s="762" t="str">
        <f ca="1">SORTING!B8</f>
        <v>ASML</v>
      </c>
      <c r="Y8" s="819">
        <f ca="1">_xlfn.XLOOKUP(TabTRADER[[#This Row],[ClickTick]],TabCalc[Ticker],TabCalc[Y])</f>
        <v>873.90326000000005</v>
      </c>
      <c r="Z8" s="835">
        <f ca="1">_xlfn.XLOOKUP(TabTRADER[[#This Row],[ClickTick]],[1]!RTData[Ticker symbol],[1]!RTData[YTChange])</f>
        <v>3.1056962174661983E-2</v>
      </c>
      <c r="AA8" s="851">
        <f ca="1">-_xlfn.XLOOKUP(TabTRADER[[#This Row],[ClickTick]]&amp;2,Consolid!B$3:JZ$3,Consolid!B$4:JZ$4)</f>
        <v>658.69578947368416</v>
      </c>
      <c r="AB8" s="835" cm="1">
        <f t="array" aca="1" ref="AB8" ca="1">_xlfn.XLOOKUP(TabTRADER[[#This Row],[ClickTick]],ListTickers,Tab1ChangePercent[Change%19])</f>
        <v>7.548E-3</v>
      </c>
      <c r="AC8" s="782">
        <f ca="1">_xlfn.XLOOKUP(TabTRADER[[#This Row],[ClickTick]],TabCalc[Ticker],TabCalc[NAfter])</f>
        <v>3700</v>
      </c>
      <c r="AD8"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^803/3,309 K$</v>
      </c>
      <c r="AE8" s="1277" t="str" cm="1">
        <f t="array" aca="1" ref="AE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8" s="1280" t="str" cm="1">
        <f t="array" aca="1" ref="AF8" ca="1">_xlfn.IFS(       TabTRADER[[#This Row],[Traps]]=RePurchaseGain,TEXT(TabTRADER[[#This Row],[L_Sn]],"#,#0")&amp;" x "&amp;TEXT(TabTRADER[[#This Row],[L_Sp]],"#,#0.#0"),     TabTRADER[[#This Row],[Traps]]=ReSaleGain,TEXT(TabTRADER[[#This Row],[L_Bn]],"#0,#0")&amp;" x "&amp;TEXT(TabTRADER[[#This Row],[L_Bp]],"#,#0.#0"),               TRUE,"")</f>
        <v>100 x 894.75</v>
      </c>
      <c r="AG8" s="1281" cm="1">
        <f t="array" aca="1" ref="AG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34.909000000002266</v>
      </c>
      <c r="AH8" s="1281" t="str" cm="1">
        <f t="array" aca="1" ref="AH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 s="1281" cm="1">
        <f t="array" aca="1" ref="AI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34.909000000002266</v>
      </c>
      <c r="AJ8" s="1290" cm="1">
        <f t="array" aca="1" ref="AJ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3.9117071807770075E-4</v>
      </c>
      <c r="AK8" s="1290" t="str" cm="1">
        <f t="array" aca="1" ref="AK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8" s="843" t="str" cm="1">
        <f t="array" aca="1" ref="AL8" ca="1">_xlfn.IFS(   TabTRADER[[#This Row],[Traps]]=SellMorePercentGain,                     MIN(TabTRADER[[#This Row],[L_Sn]],TabTRADER[[#This Row],[N]])*(TabTRADER[[#This Row],[M]]-TabTRADER[[#This Row],[L_Sp]])*(1-Commission)*TabTRADER[[#This Row],[Scale]],                    TRUE,"")</f>
        <v/>
      </c>
      <c r="AM8" s="1279">
        <f ca="1">_xlfn.XLOOKUP(TabTRADER[[#This Row],[ClickTick]],TabCalc[Ticker],TabCalc[Ann%RevLB])</f>
        <v>2.2253962403243643</v>
      </c>
      <c r="AN8" s="1039">
        <f ca="1">_xlfn.XLOOKUP(TabTRADER[[#This Row],[ClickTick]],TabCalc[Ticker],TabCalc[Up20])</f>
        <v>0.36363636363636365</v>
      </c>
      <c r="AO8" s="312" t="str" cm="1">
        <f t="array" aca="1" ref="AO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8" s="843" t="str" cm="1">
        <f t="array" aca="1" ref="AP8" ca="1">_xlfn.IFS(         TabTRADER[[#This Row],[Traps]]=MDown,TabTRADER[[#This Row],[L_Bn]]*TabTRADER[[#This Row],[M]]*(-(TabTRADER[[#This Row],[L_Bp]]+TabTRADER[[#This Row],[M]])/TabTRADER[[#This Row],[M]])*(1-Commission)*TabTRADER[[#This Row],[Scale]],                               TRUE,"")</f>
        <v/>
      </c>
      <c r="AQ8" s="1290" t="str" cm="1">
        <f t="array" aca="1" ref="AQ8" ca="1">_xlfn.IFS(   TabTRADER[[#This Row],[Traps]]=MUp,TabTRADER[[#This Row],[TakeGain_A]]-Commission,        TabTRADER[[#This Row],[Traps]]=MDown,(TabTRADER[[#This Row],[A]]-TabTRADER[[#This Row],[M]])/TabTRADER[[#This Row],[M]]-Commission,                              TRUE,"")</f>
        <v/>
      </c>
      <c r="AR8" s="843" cm="1">
        <f t="array" aca="1" ref="AR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869838.1044421054</v>
      </c>
      <c r="AS8" s="774" t="str" cm="1">
        <f t="array" aca="1" ref="AS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-0.4%</v>
      </c>
      <c r="AT8" s="748" t="str" cm="1">
        <f t="array" aca="1" ref="AT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8" s="779" cm="1">
        <f t="array" aca="1" ref="AU8" ca="1">_xlfn.IFS(TabTRADER[[#This Row],[Traps]]=ReSaleGain,"",         TabTRADER[[#This Row],[Traps]]=MDown, (TabTRADER[[#This Row],[M]]-TabTRADER[[#This Row],[A]])/TabTRADER[[#This Row],[A]]*ComFactor,             TRUE, IFERROR((TabTRADER[[#This Row],[M]]-TabTRADER[[#This Row],[A]])/TabTRADER[[#This Row],[A]]*ComFactor,""))</f>
        <v>0.35690433024749069</v>
      </c>
      <c r="AV8" s="776" cm="1">
        <f t="array" aca="1" ref="AV8" ca="1">_xlfn.IFS(               TabTRADER[[#This Row],[Traps]]=NoStock,(TabTRADER[[#This Row],[L_Sp]]-TabTRADER[[#This Row],[M]])/TabTRADER[[#This Row],[M]]-Commission,             TabTRADER[[#This Row],[A]]&lt;&gt;0,(TabTRADER[[#This Row],[A]]-TabTRADER[[#This Row],[M]])/TabTRADER[[#This Row],[M]]-Commission)</f>
        <v>-0.26613333019489693</v>
      </c>
      <c r="AW8" s="326">
        <f ca="1">_xlfn.XLOOKUP(TabTRADER[[#This Row],[ClickTick]],TabCalc[Ticker],TabCalc[L_Sn])</f>
        <v>100</v>
      </c>
      <c r="AX8" s="740">
        <f ca="1">_xlfn.XLOOKUP(TabTRADER[[#This Row],[ClickTick]],TabCalc[Ticker],TabCalc[L_Sp])</f>
        <v>894.75</v>
      </c>
      <c r="AY8" s="778">
        <f ca="1">-IFERROR((TabTRADER[[#This Row],[M]]-TabTRADER[[#This Row],[L_Sp]])/TabTRADER[[#This Row],[L_Sp]],0)</f>
        <v>3.9117071807770075E-4</v>
      </c>
      <c r="AZ8" s="741">
        <f ca="1">TabTRADER[[#This Row],[L_Sn]]*(TabTRADER[[#This Row],[M]]-TabTRADER[[#This Row],[L_Sp]])*(1-Commission)*TabTRADER[[#This Row],[Scale]]</f>
        <v>-34.909000000002266</v>
      </c>
      <c r="BA8" s="701">
        <f ca="1">TabTRADER[[#This Row],[L_Sn]]*(TabTRADER[[#This Row],[Agiotage]]-TabTRADER[[#This Row],[M]])/(TabTRADER[[#This Row],[L_Bn]]*TabTRADER[[#This Row],[M]])</f>
        <v>-0.49962351201984984</v>
      </c>
      <c r="BB8" s="641">
        <f ca="1">IFERROR((TabTRADER[[#This Row],[M]]-TabTRADER[[#This Row],[A]])/TabTRADER[[#This Row],[A]],0)</f>
        <v>0.35783470046870935</v>
      </c>
      <c r="BC8" s="644" t="str">
        <f ca="1">TEXT(_xlfn.XLOOKUP(TabTRADER[[#This Row],[ClickTick]],TabCalc[Ticker],TabCalc[NAfter]),"#,#0")&amp;" : "&amp;TEXT(_xlfn.XLOOKUP(TabTRADER[[#This Row],[ClickTick]],TabCalc[Ticker],TabCalc[NAfter])*(TabTRADER[[#This Row],[M]]-TabTRADER[[#This Row],[A]])*(1-Commission)*TabTRADER[[#This Row],[Scale]],"#,#0$")</f>
        <v>3,700 : 869,838$</v>
      </c>
      <c r="BD8" s="693">
        <f ca="1">_xlfn.XLOOKUP(TabTRADER[[#This Row],[ClickTick]],TabCalc[[#This Row],[Ticker]],TabCalc[[#This Row],[GL]])*(1-Commission)</f>
        <v>800788.33289399999</v>
      </c>
      <c r="BE8" s="693"/>
      <c r="BF8" s="675" t="str">
        <f ca="1">TabTRADER[[#This Row],[ClickTick]]&amp;": "&amp;_xlfn.XLOOKUP(TabTRADER[[#This Row],[ClickTick]],TabCalc[Ticker],TabCalc[Pile?])</f>
        <v xml:space="preserve">ASML: </v>
      </c>
      <c r="BG8" s="353" t="s">
        <v>1932</v>
      </c>
      <c r="BH8" s="769" t="str" cm="1">
        <f t="array" aca="1" ref="BH8" ca="1">_xlfn.TEXTJOIN("",,INDEX({"M","A","Y"}, _xlfn.SORTBY({1,2,3}, -CHOOSE({1,2,3}, TabTRADER[[#This Row],[M]], TabTRADER[[#This Row],[A]], TabTRADER[[#This Row],[Agiotage]]))))</f>
        <v>MAY</v>
      </c>
      <c r="BI8" s="976" t="str" cm="1">
        <f t="array" aca="1" ref="BI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8" s="688">
        <f ca="1">TabTRADER[[#This Row],[L_Sn]]*TabTRADER[[#This Row],[L_Sp]]+TabTRADER[[#This Row],[SellMore]]*TabTRADER[[#This Row],[M]]</f>
        <v>268355</v>
      </c>
      <c r="BK8" s="688">
        <f ca="1">INDEX(
  INDEX(TabConsolid[], , _xlfn.XMATCH(TabTRADER[[#This Row],[ClickTick]]&amp;1, TabConsolid[#Headers])),
  MATCH(
    -TabTRADER[[#This Row],[M]],
    INDEX(TabConsolid[], , _xlfn.XMATCH(TabTRADER[[#This Row],[ClickTick]]&amp;2, TabConsolid[#Headers])),
    -1
  )
)</f>
        <v>200</v>
      </c>
      <c r="BL8" s="688" cm="1">
        <f t="array" aca="1" ref="BL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8" s="1260">
        <f ca="1">TabTRADER[[#This Row],[ReBuy]]/(TabTRADER[[#This Row],[L_Sn]]+TabTRADER[[#This Row],[SellMore]])</f>
        <v>894.51666666666665</v>
      </c>
      <c r="BN8" s="696">
        <f ca="1">((_xlfn.XLOOKUP(TabTRADER[[#This Row],[ClickTick]],TabCalc[Ticker],TabCalc[NAfter])+TabTRADER[[#This Row],[L_Sn]])*(TabTRADER[[#This Row],[Agiotage]]-TabTRADER[[#This Row],[M]]))/(TabTRADER[[#This Row],[L_Sn]]*_xlfn.XLOOKUP(TabTRADER[[#This Row],[ClickTick]],TabCalc[Ticker],TabCalc[NAfter]))</f>
        <v>-9.1788130960654257</v>
      </c>
      <c r="BO8" s="696">
        <f ca="1">(TabTRADER[[#This Row],[M]]-TabTRADER[[#This Row],[Agiotage]])/(TabTRADER[[#This Row],[M]]-TabTRADER[[#This Row],[A]])-1</f>
        <v>2.7917292029084262</v>
      </c>
      <c r="BP8" s="1388">
        <f ca="1">_xlfn.XMATCH(TabTRADER[[#This Row],[ClickTick]]&amp;1, TabConsolid[#Headers])</f>
        <v>17</v>
      </c>
      <c r="BQ8" t="b">
        <f ca="1">IF(ABS(TabTRADER[[#This Row],[L_Bp]])&gt;=TabTRADER[[#This Row],[M]],"OK")</f>
        <v>0</v>
      </c>
    </row>
    <row r="9" spans="1:69" hidden="1">
      <c r="A9" s="225">
        <f ca="1">IF(_xlfn.XLOOKUP(TabTRADER[[#This Row],[ClickTick]],TabCalc[Ticker],TabCalc[Cur])="GBp",0.01,1)</f>
        <v>1</v>
      </c>
      <c r="B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-69.84x4000=    +6,725 USD</v>
      </c>
      <c r="C9" s="314" t="str">
        <f ca="1">_xlfn.XLOOKUP(TabTRADER[[#This Row],[ClickTick]],TabCalc[Ticker],ListResale)&amp;" @ "&amp;TEXT((_xlfn.XLOOKUP(TabTRADER[[#This Row],[ClickTick]],TabCalc[Ticker],TabCalc[L_Bp])+_xlfn.XLOOKUP(TabTRADER[[#This Row],[ClickTick]],TabCalc[Ticker],TabCalc[M]))/_xlfn.XLOOKUP(TabTRADER[[#This Row],[ClickTick]],TabCalc[Ticker],TabCalc[M]),"#0.0%")</f>
        <v xml:space="preserve"> @ 16.1%</v>
      </c>
      <c r="D9" s="697" t="str" cm="1">
        <f t="array" aca="1" ref="D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372/500=30,963</v>
      </c>
      <c r="E9" s="765" t="str">
        <f ca="1">IF(      AND(TabTRADER[[#This Row],[A]]&lt;TabTRADER[[#This Row],[M]],    _xlfn.XLOOKUP(TabTRADER[[#This Row],[ClickTick]],TabCalc[Ticker],TabCalc[L_Sp])&gt;TabTRADER[[#This Row],[M]]),"BUY  "&amp;TEXT(DesiredBuyGain/TabTRADER[[#This Row],[Scale]]/(_xlfn.XLOOKUP(TabTRADER[[#This Row],[ClickTick]],TabCalc[Ticker],TabCalc[L_Sp])-TabTRADER[[#This Row],[M]]),"#,##0"),"")</f>
        <v>BUY  1,706</v>
      </c>
      <c r="F9" s="228" t="str">
        <f ca="1">TRUNC(TabCalc[[#This Row],[L_B1p]],2)&amp;"x"&amp;TabCalc[[#This Row],[L_B1n]]&amp;"=   "&amp;TEXT(TabCalc[[#This Row],[ReverseS1]],"#,#0")&amp;"$"</f>
        <v>-77.67x800=   2,810$</v>
      </c>
      <c r="G9" s="227" t="str">
        <f ca="1">IFERROR(TRUNC(_xlfn.XLOOKUP(TabTRADER[[#This Row],[ClickTick]],TabCalc[Ticker],ListLastSalep),2)&amp;"x"&amp;_xlfn.XLOOKUP(TabTRADER[[#This Row],[ClickTick]],TabCalc[Ticker],ListLastSalen)&amp;"=   "&amp;TEXT(-_xlfn.XLOOKUP(TabTRADER[[#This Row],[ClickTick]],TabCalc[Ticker],ListReverseB),"#,#0")&amp;"$","")</f>
        <v>86.22x500=   -1,465$</v>
      </c>
      <c r="H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 xml:space="preserve"> @ 3.5% = 1,706</v>
      </c>
      <c r="I9" s="228" t="str">
        <f ca="1">IFERROR(TRUNC(TabCalc[[#This Row],[L_S1p]],2)&amp;"x"&amp;TabCalc[[#This Row],[L_S1n]]&amp;"=   "&amp;TEXT(TabCalc[[#This Row],[ReverseB1]],"#,#0"),"")</f>
        <v>79.51x2000=   -7,560</v>
      </c>
      <c r="J9" s="297">
        <f ca="1">_xlfn.XLOOKUP(TabTRADER[[#This Row],[ClickTick]],TabCalc[Ticker],ListGravity)</f>
        <v>1.0778004562372432</v>
      </c>
      <c r="K9" s="324" t="str" cm="1">
        <f t="array" aca="1" ref="K9" ca="1">IF(_xlfn.XLOOKUP(TabTRADER[[#This Row],[ClickTick]],TabTRADER[ClickTick],ListExtra_n)&gt;0,_xlfn.XLOOKUP(TabTRADER[[#This Row],[ClickTick]],TabTRADER[ClickTick],ListExtra_n),"")</f>
        <v/>
      </c>
      <c r="L9" s="322" t="str">
        <f ca="1">IF(_xlfn.XLOOKUP(TabTRADER[[#This Row],[ClickTick]],TabCalc[Ticker],ListExtra_n)&gt;0,_xlfn.XLOOKUP(TabTRADER[[#This Row],[ClickTick]],TabCalc[Ticker],ListExtra_n)*TabTRADER[[#This Row],[M]]*_xlfn.XLOOKUP(TabTRADER[[#This Row],[ClickTick]],TabCalc[Ticker],ListScale),"")</f>
        <v/>
      </c>
      <c r="M9" s="325">
        <f ca="1">_xlfn.XLOOKUP(TabTRADER[[#This Row],[ClickTick]],TabCalc[Ticker],TabCalc[Agiotage])</f>
        <v>0.4078571579102292</v>
      </c>
      <c r="N9" s="326" cm="1">
        <f t="array" aca="1" ref="N9" ca="1">_xlfn.XLOOKUP(TabTRADER[[#This Row],[ClickTick]],ListTickers,Tab2RSIConventional[RSIConv20])</f>
        <v>32</v>
      </c>
      <c r="O9" s="712" t="str">
        <f ca="1">TEXT(_xlfn.XLOOKUP(TabTRADER[[#This Row],[ClickTick]],TabCalc[Ticker],TabCalc[Nbegin]),"#,#0")&amp;": "&amp;_xlfn.XLOOKUP(TabTRADER[[#This Row],[ClickTick]],TabCalc[Ticker],TabCalc[Pile?])</f>
        <v xml:space="preserve">5,000: </v>
      </c>
      <c r="P9" s="326">
        <f ca="1">_xlfn.XLOOKUP(TabTRADER[[#This Row],[ClickTick]],TabCalc[Ticker],TabCalc[L_Bn])</f>
        <v>4000</v>
      </c>
      <c r="Q9" s="690">
        <f ca="1">_xlfn.XLOOKUP(TabTRADER[[#This Row],[ClickTick]],TabCalc[Ticker],TabCalc[L_Bp])</f>
        <v>-69.84</v>
      </c>
      <c r="R9" s="778">
        <f ca="1">(TabTRADER[[#This Row],[M]]+TabTRADER[[#This Row],[L_Bp]])/ABS(TabTRADER[[#This Row],[L_Bp]])</f>
        <v>0.1925830469644903</v>
      </c>
      <c r="S9" s="692">
        <f ca="1">_xlfn.XLOOKUP(TabTRADER[[#This Row],[ClickTick]],TabCalc[Ticker],TabCalc[Rev(MinStock)])*(1-Commission)</f>
        <v>6707.5150000000012</v>
      </c>
      <c r="T9" s="798">
        <f ca="1">_xlfn.XLOOKUP(TabTRADER[[#This Row],[ClickTick]],TabCalc[Ticker],TabCalc[Agiotage])</f>
        <v>0.4078571579102292</v>
      </c>
      <c r="U9" s="759" t="str" cm="1">
        <f t="array" aca="1" ref="U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-80/-80=&gt;2.9% / -0.1%</v>
      </c>
      <c r="V9" s="751" t="str">
        <f ca="1">_xlfn.XLOOKUP(TabTRADER[[#This Row],[ClickTick]],[1]!RTData[Ticker symbol],[1]!RTData[Currency])</f>
        <v>USD</v>
      </c>
      <c r="W9" s="761">
        <f ca="1">_xlfn.XLOOKUP(TabTRADER[[#This Row],[ClickTick]],TabCalc[Ticker],TabCalc[M])</f>
        <v>83.29</v>
      </c>
      <c r="X9" s="762" t="str">
        <f ca="1">SORTING!B9</f>
        <v>AZN</v>
      </c>
      <c r="Y9" s="819">
        <f ca="1">_xlfn.XLOOKUP(TabTRADER[[#This Row],[ClickTick]],TabCalc[Ticker],TabCalc[Y])</f>
        <v>89.77</v>
      </c>
      <c r="Z9" s="835">
        <f ca="1">_xlfn.XLOOKUP(TabTRADER[[#This Row],[ClickTick]],[1]!RTData[Ticker symbol],[1]!RTData[YTChange])</f>
        <v>-7.6276807428697522E-3</v>
      </c>
      <c r="AA9" s="851">
        <f ca="1">-_xlfn.XLOOKUP(TabTRADER[[#This Row],[ClickTick]]&amp;2,Consolid!B$3:JZ$3,Consolid!B$4:JZ$4)</f>
        <v>69.84</v>
      </c>
      <c r="AB9" s="835" cm="1">
        <f t="array" aca="1" ref="AB9" ca="1">_xlfn.XLOOKUP(TabTRADER[[#This Row],[ClickTick]],ListTickers,Tab1ChangePercent[Change%19])</f>
        <v>2.8580999999999999E-2</v>
      </c>
      <c r="AC9" s="782">
        <f ca="1">_xlfn.XLOOKUP(TabTRADER[[#This Row],[ClickTick]],TabCalc[Ticker],TabCalc[NAfter])</f>
        <v>500</v>
      </c>
      <c r="AD9"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^150/42 K$</v>
      </c>
      <c r="AE9" s="1299" t="str" cm="1">
        <f t="array" aca="1" ref="AE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9" s="1280" t="str" cm="1">
        <f t="array" aca="1" ref="AF9" ca="1">_xlfn.IFS(       TabTRADER[[#This Row],[Traps]]=RePurchaseGain,TEXT(TabTRADER[[#This Row],[L_Sn]],"#,#0")&amp;" x "&amp;TEXT(TabTRADER[[#This Row],[L_Sp]],"#,#0.#0"),     TabTRADER[[#This Row],[Traps]]=ReSaleGain,TEXT(TabTRADER[[#This Row],[L_Bn]],"#0,#0")&amp;" x "&amp;TEXT(TabTRADER[[#This Row],[L_Bp]],"#,#0.#0"),               TRUE,"")</f>
        <v>500 x 86.22</v>
      </c>
      <c r="AG9" s="1281" cm="1">
        <f t="array" aca="1" ref="AG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1461.1909999999964</v>
      </c>
      <c r="AH9" s="1281" t="str" cm="1">
        <f t="array" aca="1" ref="AH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 s="1281" cm="1">
        <f t="array" aca="1" ref="AI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1461.1909999999964</v>
      </c>
      <c r="AJ9" s="1290" cm="1">
        <f t="array" aca="1" ref="AJ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3.3982834609139326E-2</v>
      </c>
      <c r="AK9" s="1290" t="str" cm="1">
        <f t="array" aca="1" ref="AK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 s="843" t="str" cm="1">
        <f t="array" aca="1" ref="AL9" ca="1">_xlfn.IFS(   TabTRADER[[#This Row],[Traps]]=SellMorePercentGain,                     MIN(TabTRADER[[#This Row],[L_Sn]],TabTRADER[[#This Row],[N]])*(TabTRADER[[#This Row],[M]]-TabTRADER[[#This Row],[L_Sp]])*(1-Commission)*TabTRADER[[#This Row],[Scale]],                    TRUE,"")</f>
        <v/>
      </c>
      <c r="AM9" s="1039">
        <f ca="1">_xlfn.XLOOKUP(TabTRADER[[#This Row],[ClickTick]],TabCalc[Ticker],TabCalc[Ann%RevLB])</f>
        <v>0.54163981958762897</v>
      </c>
      <c r="AN9" s="1038">
        <f ca="1">_xlfn.XLOOKUP(TabTRADER[[#This Row],[ClickTick]],TabCalc[Ticker],TabCalc[Up20])</f>
        <v>0</v>
      </c>
      <c r="AO9" s="312" t="str" cm="1">
        <f t="array" aca="1" ref="AO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 s="843" t="str" cm="1">
        <f t="array" aca="1" ref="AP9" ca="1">_xlfn.IFS(         TabTRADER[[#This Row],[Traps]]=MDown,TabTRADER[[#This Row],[L_Bn]]*TabTRADER[[#This Row],[M]]*(-(TabTRADER[[#This Row],[L_Bp]]+TabTRADER[[#This Row],[M]])/TabTRADER[[#This Row],[M]])*(1-Commission)*TabTRADER[[#This Row],[Scale]],                               TRUE,"")</f>
        <v/>
      </c>
      <c r="AQ9" s="1290" t="str" cm="1">
        <f t="array" aca="1" ref="AQ9" ca="1">_xlfn.IFS(   TabTRADER[[#This Row],[Traps]]=MUp,TabTRADER[[#This Row],[TakeGain_A]]-Commission,        TabTRADER[[#This Row],[Traps]]=MDown,(TabTRADER[[#This Row],[A]]-TabTRADER[[#This Row],[M]])/TabTRADER[[#This Row],[M]]-Commission,                              TRUE,"")</f>
        <v/>
      </c>
      <c r="AR9" s="843" cm="1">
        <f t="array" aca="1" ref="AR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6707.5150000000012</v>
      </c>
      <c r="AS9" s="774" t="str" cm="1">
        <f t="array" aca="1" ref="AS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-0.3%</v>
      </c>
      <c r="AT9" s="748" t="str" cm="1">
        <f t="array" aca="1" ref="AT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9" s="779" cm="1">
        <f t="array" aca="1" ref="AU9" ca="1">_xlfn.IFS(TabTRADER[[#This Row],[Traps]]=ReSaleGain,"",         TabTRADER[[#This Row],[Traps]]=MDown, (TabTRADER[[#This Row],[M]]-TabTRADER[[#This Row],[A]])/TabTRADER[[#This Row],[A]]*ComFactor,             TRUE, IFERROR((TabTRADER[[#This Row],[M]]-TabTRADER[[#This Row],[A]])/TabTRADER[[#This Row],[A]]*ComFactor,""))</f>
        <v>0.19208233104238262</v>
      </c>
      <c r="AV9" s="776" cm="1">
        <f t="array" aca="1" ref="AV9" ca="1">_xlfn.IFS(               TabTRADER[[#This Row],[Traps]]=NoStock,(TabTRADER[[#This Row],[L_Sp]]-TabTRADER[[#This Row],[M]])/TabTRADER[[#This Row],[M]]-Commission,             TabTRADER[[#This Row],[A]]&lt;&gt;0,(TabTRADER[[#This Row],[A]]-TabTRADER[[#This Row],[M]])/TabTRADER[[#This Row],[M]]-Commission)</f>
        <v>-0.16408397166526595</v>
      </c>
      <c r="AW9" s="326">
        <f ca="1">_xlfn.XLOOKUP(TabTRADER[[#This Row],[ClickTick]],TabCalc[Ticker],TabCalc[L_Sn])</f>
        <v>500</v>
      </c>
      <c r="AX9" s="740">
        <f ca="1">_xlfn.XLOOKUP(TabTRADER[[#This Row],[ClickTick]],TabCalc[Ticker],TabCalc[L_Sp])</f>
        <v>86.22</v>
      </c>
      <c r="AY9" s="778">
        <f ca="1">-IFERROR((TabTRADER[[#This Row],[M]]-TabTRADER[[#This Row],[L_Sp]])/TabTRADER[[#This Row],[L_Sp]],0)</f>
        <v>3.3982834609139326E-2</v>
      </c>
      <c r="AZ9" s="741">
        <f ca="1">TabTRADER[[#This Row],[L_Sn]]*(TabTRADER[[#This Row],[M]]-TabTRADER[[#This Row],[L_Sp]])*(1-Commission)*TabTRADER[[#This Row],[Scale]]</f>
        <v>-1461.1909999999964</v>
      </c>
      <c r="BA9" s="701">
        <f ca="1">TabTRADER[[#This Row],[L_Sn]]*(TabTRADER[[#This Row],[Agiotage]]-TabTRADER[[#This Row],[M]])/(TabTRADER[[#This Row],[L_Bn]]*TabTRADER[[#This Row],[M]])</f>
        <v>-0.12438789596903856</v>
      </c>
      <c r="BB9" s="641">
        <f ca="1">IFERROR((TabTRADER[[#This Row],[M]]-TabTRADER[[#This Row],[A]])/TabTRADER[[#This Row],[A]],0)</f>
        <v>0.1925830469644903</v>
      </c>
      <c r="BC9" s="644" t="str">
        <f ca="1">TEXT(_xlfn.XLOOKUP(TabTRADER[[#This Row],[ClickTick]],TabCalc[Ticker],TabCalc[NAfter]),"#,#0")&amp;" : "&amp;TEXT(_xlfn.XLOOKUP(TabTRADER[[#This Row],[ClickTick]],TabCalc[Ticker],TabCalc[NAfter])*(TabTRADER[[#This Row],[M]]-TabTRADER[[#This Row],[A]])*(1-Commission)*TabTRADER[[#This Row],[Scale]],"#,#0$")</f>
        <v>500 : 6,708$</v>
      </c>
      <c r="BD9" s="693">
        <f ca="1">_xlfn.XLOOKUP(TabTRADER[[#This Row],[ClickTick]],TabCalc[[#This Row],[Ticker]],TabCalc[[#This Row],[GL]])*(1-Commission)</f>
        <v>149589.45355999997</v>
      </c>
      <c r="BE9" s="693"/>
      <c r="BF9" s="675" t="str">
        <f ca="1">TabTRADER[[#This Row],[ClickTick]]&amp;": "&amp;_xlfn.XLOOKUP(TabTRADER[[#This Row],[ClickTick]],TabCalc[Ticker],TabCalc[Pile?])</f>
        <v xml:space="preserve">AZN: </v>
      </c>
      <c r="BG9" s="353" t="s">
        <v>1933</v>
      </c>
      <c r="BH9" s="769" t="str" cm="1">
        <f t="array" aca="1" ref="BH9" ca="1">_xlfn.TEXTJOIN("",,INDEX({"M","A","Y"}, _xlfn.SORTBY({1,2,3}, -CHOOSE({1,2,3}, TabTRADER[[#This Row],[M]], TabTRADER[[#This Row],[A]], TabTRADER[[#This Row],[Agiotage]]))))</f>
        <v>MAY</v>
      </c>
      <c r="BI9" s="976" t="str" cm="1">
        <f t="array" aca="1" ref="BI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 s="688">
        <f ca="1">TabTRADER[[#This Row],[L_Sn]]*TabTRADER[[#This Row],[L_Sp]]+TabTRADER[[#This Row],[SellMore]]*TabTRADER[[#This Row],[M]]</f>
        <v>126400</v>
      </c>
      <c r="BK9" s="688">
        <f ca="1">INDEX(
  INDEX(TabConsolid[], , _xlfn.XMATCH(TabTRADER[[#This Row],[ClickTick]]&amp;1, TabConsolid[#Headers])),
  MATCH(
    -TabTRADER[[#This Row],[M]],
    INDEX(TabConsolid[], , _xlfn.XMATCH(TabTRADER[[#This Row],[ClickTick]]&amp;2, TabConsolid[#Headers])),
    -1
  )
)</f>
        <v>1000</v>
      </c>
      <c r="BL9" s="688" cm="1">
        <f t="array" aca="1" ref="BL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 s="1260">
        <f ca="1">TabTRADER[[#This Row],[ReBuy]]/(TabTRADER[[#This Row],[L_Sn]]+TabTRADER[[#This Row],[SellMore]])</f>
        <v>84.266666666666666</v>
      </c>
      <c r="BN9" s="696">
        <f ca="1">((_xlfn.XLOOKUP(TabTRADER[[#This Row],[ClickTick]],TabCalc[Ticker],TabCalc[NAfter])+TabTRADER[[#This Row],[L_Sn]])*(TabTRADER[[#This Row],[Agiotage]]-TabTRADER[[#This Row],[M]]))/(TabTRADER[[#This Row],[L_Sn]]*_xlfn.XLOOKUP(TabTRADER[[#This Row],[ClickTick]],TabCalc[Ticker],TabCalc[NAfter]))</f>
        <v>-0.33152857136835912</v>
      </c>
      <c r="BO9" s="696">
        <f ca="1">(TabTRADER[[#This Row],[M]]-TabTRADER[[#This Row],[Agiotage]])/(TabTRADER[[#This Row],[M]]-TabTRADER[[#This Row],[A]])-1</f>
        <v>5.1622411035010973</v>
      </c>
      <c r="BP9" s="1388">
        <f ca="1">_xlfn.XMATCH(TabTRADER[[#This Row],[ClickTick]]&amp;1, TabConsolid[#Headers])</f>
        <v>23</v>
      </c>
      <c r="BQ9" t="b">
        <f ca="1">IF(ABS(TabTRADER[[#This Row],[L_Bp]])&gt;=TabTRADER[[#This Row],[M]],"OK")</f>
        <v>0</v>
      </c>
    </row>
    <row r="10" spans="1:69" hidden="1">
      <c r="A10" s="225">
        <f ca="1">IF(_xlfn.XLOOKUP(TabTRADER[[#This Row],[ClickTick]],TabCalc[Ticker],TabCalc[Cur])="GBp",0.01,1)</f>
        <v>1</v>
      </c>
      <c r="B1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-2.85x6000=    +3,540 USD</v>
      </c>
      <c r="C10" s="314" t="str">
        <f ca="1">_xlfn.XLOOKUP(TabTRADER[[#This Row],[ClickTick]],TabCalc[Ticker],ListResale)&amp;" @ "&amp;TEXT((_xlfn.XLOOKUP(TabTRADER[[#This Row],[ClickTick]],TabCalc[Ticker],TabCalc[L_Bp])+_xlfn.XLOOKUP(TabTRADER[[#This Row],[ClickTick]],TabCalc[Ticker],TabCalc[M]))/_xlfn.XLOOKUP(TabTRADER[[#This Row],[ClickTick]],TabCalc[Ticker],TabCalc[M]),"#0.0%")</f>
        <v xml:space="preserve"> @ 17.2%</v>
      </c>
      <c r="D10" s="697" t="str" cm="1">
        <f t="array" aca="1" ref="D1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0"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0" s="228" t="str">
        <f ca="1">TRUNC(TabCalc[[#This Row],[L_B1p]],2)&amp;"x"&amp;TabCalc[[#This Row],[L_B1n]]&amp;"=   "&amp;TEXT(TabCalc[[#This Row],[ReverseS1]],"#,#0")&amp;"$"</f>
        <v>-1.83x10000=   16,100$</v>
      </c>
      <c r="G10" s="227" t="str">
        <f ca="1">IFERROR(TRUNC(_xlfn.XLOOKUP(TabTRADER[[#This Row],[ClickTick]],TabCalc[Ticker],ListLastSalep),2)&amp;"x"&amp;_xlfn.XLOOKUP(TabTRADER[[#This Row],[ClickTick]],TabCalc[Ticker],ListLastSalen)&amp;"=   "&amp;TEXT(-_xlfn.XLOOKUP(TabTRADER[[#This Row],[ClickTick]],TabCalc[Ticker],ListReverseB),"#,#0")&amp;"$","")</f>
        <v>3.35x6000=   539$</v>
      </c>
      <c r="H1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 xml:space="preserve"> @ -2.6% = 0</v>
      </c>
      <c r="I10" s="228" t="str">
        <f ca="1">IFERROR(TRUNC(TabCalc[[#This Row],[L_S1p]],2)&amp;"x"&amp;TabCalc[[#This Row],[L_S1n]]&amp;"=   "&amp;TEXT(TabCalc[[#This Row],[ReverseB1]],"#,#0"),"")</f>
        <v>1.96x10000=   -14,800</v>
      </c>
      <c r="J10" s="297">
        <f ca="1">_xlfn.XLOOKUP(TabTRADER[[#This Row],[ClickTick]],TabCalc[Ticker],ListGravity)</f>
        <v>0.7071220930232559</v>
      </c>
      <c r="K10" s="324" cm="1">
        <f t="array" aca="1" ref="K10" ca="1">IF(_xlfn.XLOOKUP(TabTRADER[[#This Row],[ClickTick]],TabTRADER[ClickTick],ListExtra_n)&gt;0,_xlfn.XLOOKUP(TabTRADER[[#This Row],[ClickTick]],TabTRADER[ClickTick],ListExtra_n),"")</f>
        <v>10000</v>
      </c>
      <c r="L10" s="322">
        <f ca="1">IF(_xlfn.XLOOKUP(TabTRADER[[#This Row],[ClickTick]],TabCalc[Ticker],ListExtra_n)&gt;0,_xlfn.XLOOKUP(TabTRADER[[#This Row],[ClickTick]],TabCalc[Ticker],ListExtra_n)*TabTRADER[[#This Row],[M]]*_xlfn.XLOOKUP(TabTRADER[[#This Row],[ClickTick]],TabCalc[Ticker],ListScale),"")</f>
        <v>34400</v>
      </c>
      <c r="M10" s="325">
        <f ca="1">_xlfn.XLOOKUP(TabTRADER[[#This Row],[ClickTick]],TabCalc[Ticker],TabCalc[Agiotage])</f>
        <v>0.56929470019675199</v>
      </c>
      <c r="N10" s="326" cm="1">
        <f t="array" aca="1" ref="N10" ca="1">_xlfn.XLOOKUP(TabTRADER[[#This Row],[ClickTick]],ListTickers,Tab2RSIConventional[RSIConv20])</f>
        <v>52</v>
      </c>
      <c r="O10" s="712" t="str">
        <f ca="1">TEXT(_xlfn.XLOOKUP(TabTRADER[[#This Row],[ClickTick]],TabCalc[Ticker],TabCalc[Nbegin]),"#,#0")&amp;": "&amp;_xlfn.XLOOKUP(TabTRADER[[#This Row],[ClickTick]],TabCalc[Ticker],TabCalc[Pile?])</f>
        <v xml:space="preserve">10,000: </v>
      </c>
      <c r="P10" s="323">
        <f ca="1">_xlfn.XLOOKUP(TabTRADER[[#This Row],[ClickTick]],TabCalc[Ticker],TabCalc[L_Bn])</f>
        <v>6000</v>
      </c>
      <c r="Q10" s="740">
        <f ca="1">_xlfn.XLOOKUP(TabTRADER[[#This Row],[ClickTick]],TabCalc[Ticker],TabCalc[L_Bp])</f>
        <v>-2.85</v>
      </c>
      <c r="R10" s="778">
        <f ca="1">(TabTRADER[[#This Row],[M]]+TabTRADER[[#This Row],[L_Bp]])/ABS(TabTRADER[[#This Row],[L_Bp]])</f>
        <v>0.20701754385964907</v>
      </c>
      <c r="S10" s="692">
        <f ca="1">_xlfn.XLOOKUP(TabTRADER[[#This Row],[ClickTick]],TabCalc[Ticker],TabCalc[Rev(MinStock)])*(1-Commission)</f>
        <v>3530.7959999999989</v>
      </c>
      <c r="T10" s="798">
        <f ca="1">_xlfn.XLOOKUP(TabTRADER[[#This Row],[ClickTick]],TabCalc[Ticker],TabCalc[Agiotage])</f>
        <v>0.56929470019675199</v>
      </c>
      <c r="U10" s="759" t="str" cm="1">
        <f t="array" aca="1" ref="U1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1,200/1,200=&gt;-0.1% / 4.9%</v>
      </c>
      <c r="V10" s="751" t="str">
        <f ca="1">_xlfn.XLOOKUP(TabTRADER[[#This Row],[ClickTick]],[1]!RTData[Ticker symbol],[1]!RTData[Currency])</f>
        <v>USD</v>
      </c>
      <c r="W10" s="761">
        <f ca="1">_xlfn.XLOOKUP(TabTRADER[[#This Row],[ClickTick]],TabCalc[Ticker],TabCalc[M])</f>
        <v>3.44</v>
      </c>
      <c r="X10" s="762" t="str">
        <f ca="1">SORTING!B10</f>
        <v>BLDP</v>
      </c>
      <c r="Y10" s="819">
        <f ca="1">_xlfn.XLOOKUP(TabTRADER[[#This Row],[ClickTick]],TabCalc[Ticker],TabCalc[Y])</f>
        <v>2.4325000000000001</v>
      </c>
      <c r="Z10" s="835">
        <f ca="1">_xlfn.XLOOKUP(TabTRADER[[#This Row],[ClickTick]],[1]!RTData[Ticker symbol],[1]!RTData[YTChange])</f>
        <v>-0.10897435897435893</v>
      </c>
      <c r="AA10" s="851">
        <f ca="1">-_xlfn.XLOOKUP(TabTRADER[[#This Row],[ClickTick]]&amp;2,Consolid!B$3:JZ$3,Consolid!B$4:JZ$4)</f>
        <v>2.1440000000000001</v>
      </c>
      <c r="AB10" s="835" cm="1">
        <f t="array" aca="1" ref="AB10" ca="1">_xlfn.XLOOKUP(TabTRADER[[#This Row],[ClickTick]],ListTickers,Tab1ChangePercent[Change%19])</f>
        <v>-1.3189999999999999E-3</v>
      </c>
      <c r="AC10" s="782">
        <f ca="1">_xlfn.XLOOKUP(TabTRADER[[#This Row],[ClickTick]],TabCalc[Ticker],TabCalc[NAfter])</f>
        <v>20000</v>
      </c>
      <c r="AD10"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^37/69 K$</v>
      </c>
      <c r="AE10" s="1299" t="str" cm="1">
        <f t="array" aca="1" ref="AE1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10" s="1280" t="str" cm="1">
        <f t="array" aca="1" ref="AF10" ca="1">_xlfn.IFS(       TabTRADER[[#This Row],[Traps]]=RePurchaseGain,TEXT(TabTRADER[[#This Row],[L_Sn]],"#,#0")&amp;" x "&amp;TEXT(TabTRADER[[#This Row],[L_Sp]],"#,#0.#0"),     TabTRADER[[#This Row],[Traps]]=ReSaleGain,TEXT(TabTRADER[[#This Row],[L_Bn]],"#0,#0")&amp;" x "&amp;TEXT(TabTRADER[[#This Row],[L_Bp]],"#,#0.#0"),               TRUE,"")</f>
        <v/>
      </c>
      <c r="AG10" s="1281" t="str" cm="1">
        <f t="array" aca="1" ref="AG1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6,000 x 3.35</v>
      </c>
      <c r="AH10" s="1281" cm="1">
        <f t="array" aca="1" ref="AH1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537.99756000000048</v>
      </c>
      <c r="AI10" s="1281" cm="1">
        <f t="array" aca="1" ref="AI1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25852.607999999997</v>
      </c>
      <c r="AJ10" s="1290" cm="1">
        <f t="array" aca="1" ref="AJ1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0.60447761194029836</v>
      </c>
      <c r="AK10" s="1290" cm="1">
        <f t="array" aca="1" ref="AK1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2.3533720930232586E-2</v>
      </c>
      <c r="AL10" s="843" cm="1">
        <f t="array" aca="1" ref="AL10" ca="1">_xlfn.IFS(   TabTRADER[[#This Row],[Traps]]=SellMorePercentGain,                     MIN(TabTRADER[[#This Row],[L_Sn]],TabTRADER[[#This Row],[N]])*(TabTRADER[[#This Row],[M]]-TabTRADER[[#This Row],[L_Sp]])*(1-Commission)*TabTRADER[[#This Row],[Scale]],                    TRUE,"")</f>
        <v>537.99756000000048</v>
      </c>
      <c r="AM10" s="1039">
        <f ca="1">_xlfn.XLOOKUP(TabTRADER[[#This Row],[ClickTick]],TabCalc[Ticker],TabCalc[Ann%RevLB])</f>
        <v>0.25522710886806049</v>
      </c>
      <c r="AN10" s="1038">
        <f ca="1">_xlfn.XLOOKUP(TabTRADER[[#This Row],[ClickTick]],TabCalc[Ticker],TabCalc[Up20])</f>
        <v>0</v>
      </c>
      <c r="AO10" s="312" t="str" cm="1">
        <f t="array" aca="1" ref="AO1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10" s="843" t="str" cm="1">
        <f t="array" aca="1" ref="AP10" ca="1">_xlfn.IFS(         TabTRADER[[#This Row],[Traps]]=MDown,TabTRADER[[#This Row],[L_Bn]]*TabTRADER[[#This Row],[M]]*(-(TabTRADER[[#This Row],[L_Bp]]+TabTRADER[[#This Row],[M]])/TabTRADER[[#This Row],[M]])*(1-Commission)*TabTRADER[[#This Row],[Scale]],                               TRUE,"")</f>
        <v/>
      </c>
      <c r="AQ10" s="1290" cm="1">
        <f t="array" aca="1" ref="AQ10" ca="1">_xlfn.IFS(   TabTRADER[[#This Row],[Traps]]=MUp,TabTRADER[[#This Row],[TakeGain_A]]-Commission,        TabTRADER[[#This Row],[Traps]]=MDown,(TabTRADER[[#This Row],[A]]-TabTRADER[[#This Row],[M]])/TabTRADER[[#This Row],[M]]-Commission,                              TRUE,"")</f>
        <v>0.60187761194029832</v>
      </c>
      <c r="AR10" s="843" cm="1">
        <f t="array" aca="1" ref="AR1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41479.930746268648</v>
      </c>
      <c r="AS10" s="774" t="str" cm="1">
        <f t="array" aca="1" ref="AS1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-2.2%</v>
      </c>
      <c r="AT10" s="748" t="str" cm="1">
        <f t="array" aca="1" ref="AT1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6,000x1.29</v>
      </c>
      <c r="AU10" s="779" cm="1">
        <f t="array" aca="1" ref="AU10" ca="1">_xlfn.IFS(TabTRADER[[#This Row],[Traps]]=ReSaleGain,"",         TabTRADER[[#This Row],[Traps]]=MDown, (TabTRADER[[#This Row],[M]]-TabTRADER[[#This Row],[A]])/TabTRADER[[#This Row],[A]]*ComFactor,             TRUE, IFERROR((TabTRADER[[#This Row],[M]]-TabTRADER[[#This Row],[A]])/TabTRADER[[#This Row],[A]]*ComFactor,""))</f>
        <v>0.60290597014925351</v>
      </c>
      <c r="AV10" s="776" cm="1">
        <f t="array" aca="1" ref="AV10" ca="1">_xlfn.IFS(               TabTRADER[[#This Row],[Traps]]=NoStock,(TabTRADER[[#This Row],[L_Sp]]-TabTRADER[[#This Row],[M]])/TabTRADER[[#This Row],[M]]-Commission,             TabTRADER[[#This Row],[A]]&lt;&gt;0,(TabTRADER[[#This Row],[A]]-TabTRADER[[#This Row],[M]])/TabTRADER[[#This Row],[M]]-Commission)</f>
        <v>-0.3793441860465116</v>
      </c>
      <c r="AW10" s="326">
        <f ca="1">_xlfn.XLOOKUP(TabTRADER[[#This Row],[ClickTick]],TabCalc[Ticker],TabCalc[L_Sn])</f>
        <v>6000</v>
      </c>
      <c r="AX10" s="740">
        <f ca="1">_xlfn.XLOOKUP(TabTRADER[[#This Row],[ClickTick]],TabCalc[Ticker],TabCalc[L_Sp])</f>
        <v>3.3500999999999999</v>
      </c>
      <c r="AY10" s="778">
        <f ca="1">-IFERROR((TabTRADER[[#This Row],[M]]-TabTRADER[[#This Row],[L_Sp]])/TabTRADER[[#This Row],[L_Sp]],0)</f>
        <v>-2.6835019850153755E-2</v>
      </c>
      <c r="AZ10" s="741">
        <f ca="1">TabTRADER[[#This Row],[L_Sn]]*(TabTRADER[[#This Row],[M]]-TabTRADER[[#This Row],[L_Sp]])*(1-Commission)*TabTRADER[[#This Row],[Scale]]</f>
        <v>537.99756000000048</v>
      </c>
      <c r="BA10" s="701">
        <f ca="1">TabTRADER[[#This Row],[L_Sn]]*(TabTRADER[[#This Row],[Agiotage]]-TabTRADER[[#This Row],[M]])/(TabTRADER[[#This Row],[L_Bn]]*TabTRADER[[#This Row],[M]])</f>
        <v>-0.83450735459396741</v>
      </c>
      <c r="BB10" s="641">
        <f ca="1">IFERROR((TabTRADER[[#This Row],[M]]-TabTRADER[[#This Row],[A]])/TabTRADER[[#This Row],[A]],0)</f>
        <v>0.60447761194029836</v>
      </c>
      <c r="BC10" s="644" t="str">
        <f ca="1">TEXT(_xlfn.XLOOKUP(TabTRADER[[#This Row],[ClickTick]],TabCalc[Ticker],TabCalc[NAfter]),"#,#0")&amp;" : "&amp;TEXT(_xlfn.XLOOKUP(TabTRADER[[#This Row],[ClickTick]],TabCalc[Ticker],TabCalc[NAfter])*(TabTRADER[[#This Row],[M]]-TabTRADER[[#This Row],[A]])*(1-Commission)*TabTRADER[[#This Row],[Scale]],"#,#0$")</f>
        <v>20,000 : 25,853$</v>
      </c>
      <c r="BD10" s="693">
        <f ca="1">_xlfn.XLOOKUP(TabTRADER[[#This Row],[ClickTick]],TabCalc[[#This Row],[Ticker]],TabCalc[[#This Row],[GL]])*(1-Commission)</f>
        <v>37019.682918999992</v>
      </c>
      <c r="BE10" s="693"/>
      <c r="BF10" s="675" t="str">
        <f ca="1">TabTRADER[[#This Row],[ClickTick]]&amp;": "&amp;_xlfn.XLOOKUP(TabTRADER[[#This Row],[ClickTick]],TabCalc[Ticker],TabCalc[Pile?])</f>
        <v xml:space="preserve">BLDP: </v>
      </c>
      <c r="BG10" s="353" t="s">
        <v>1934</v>
      </c>
      <c r="BH10" s="769" t="str" cm="1">
        <f t="array" aca="1" ref="BH10" ca="1">_xlfn.TEXTJOIN("",,INDEX({"M","A","Y"}, _xlfn.SORTBY({1,2,3}, -CHOOSE({1,2,3}, TabTRADER[[#This Row],[M]], TabTRADER[[#This Row],[A]], TabTRADER[[#This Row],[Agiotage]]))))</f>
        <v>MAY</v>
      </c>
      <c r="BI10" s="976" cm="1">
        <f t="array" aca="1" ref="BI1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2.6133720930232585E-2</v>
      </c>
      <c r="BJ10" s="688">
        <f ca="1">TabTRADER[[#This Row],[L_Sn]]*TabTRADER[[#This Row],[L_Sp]]+TabTRADER[[#This Row],[SellMore]]*TabTRADER[[#This Row],[M]]</f>
        <v>40740.6</v>
      </c>
      <c r="BK10" s="688">
        <f ca="1">INDEX(
  INDEX(TabConsolid[], , _xlfn.XMATCH(TabTRADER[[#This Row],[ClickTick]]&amp;1, TabConsolid[#Headers])),
  MATCH(
    -TabTRADER[[#This Row],[M]],
    INDEX(TabConsolid[], , _xlfn.XMATCH(TabTRADER[[#This Row],[ClickTick]]&amp;2, TabConsolid[#Headers])),
    -1
  )
)</f>
        <v>6000</v>
      </c>
      <c r="BL10" s="688" cm="1">
        <f t="array" aca="1" ref="BL1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6000</v>
      </c>
      <c r="BM10" s="1260">
        <f ca="1">TabTRADER[[#This Row],[ReBuy]]/(TabTRADER[[#This Row],[L_Sn]]+TabTRADER[[#This Row],[SellMore]])</f>
        <v>3.3950499999999999</v>
      </c>
      <c r="BN10" s="696">
        <f ca="1">((_xlfn.XLOOKUP(TabTRADER[[#This Row],[ClickTick]],TabCalc[Ticker],TabCalc[NAfter])+TabTRADER[[#This Row],[L_Sn]])*(TabTRADER[[#This Row],[Agiotage]]-TabTRADER[[#This Row],[M]]))/(TabTRADER[[#This Row],[L_Sn]]*_xlfn.XLOOKUP(TabTRADER[[#This Row],[ClickTick]],TabCalc[Ticker],TabCalc[NAfter]))</f>
        <v>-6.2198614829070365E-4</v>
      </c>
      <c r="BO10" s="696">
        <f ca="1">(TabTRADER[[#This Row],[M]]-TabTRADER[[#This Row],[Agiotage]])/(TabTRADER[[#This Row],[M]]-TabTRADER[[#This Row],[A]])-1</f>
        <v>1.2150503856506547</v>
      </c>
      <c r="BP10" s="1388">
        <f ca="1">_xlfn.XMATCH(TabTRADER[[#This Row],[ClickTick]]&amp;1, TabConsolid[#Headers])</f>
        <v>26</v>
      </c>
      <c r="BQ10" t="b">
        <f ca="1">IF(ABS(TabTRADER[[#This Row],[L_Bp]])&gt;=TabTRADER[[#This Row],[M]],"OK")</f>
        <v>0</v>
      </c>
    </row>
    <row r="11" spans="1:69" hidden="1">
      <c r="A11" s="225">
        <f ca="1">IF(_xlfn.XLOOKUP(TabTRADER[[#This Row],[ClickTick]],TabCalc[Ticker],TabCalc[Cur])="GBp",0.01,1)</f>
        <v>1</v>
      </c>
      <c r="B1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-12.71x12500=    -121,995 USD</v>
      </c>
      <c r="C11"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-329.7%</v>
      </c>
      <c r="D11" s="697" t="str" cm="1">
        <f t="array" aca="1" ref="D1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1" s="228" t="str">
        <f ca="1">TRUNC(TabCalc[[#This Row],[L_B1p]],2)&amp;"x"&amp;TabCalc[[#This Row],[L_B1n]]&amp;"=   "&amp;TEXT(TabCalc[[#This Row],[ReverseS1]],"#,#0")&amp;"$"</f>
        <v>0x0=   0$</v>
      </c>
      <c r="G11" s="227" t="str">
        <f ca="1">IFERROR(TRUNC(_xlfn.XLOOKUP(TabTRADER[[#This Row],[ClickTick]],TabCalc[Ticker],ListLastSalep),2)&amp;"x"&amp;_xlfn.XLOOKUP(TabTRADER[[#This Row],[ClickTick]],TabCalc[Ticker],ListLastSalen)&amp;"=   "&amp;TEXT(-_xlfn.XLOOKUP(TabTRADER[[#This Row],[ClickTick]],TabCalc[Ticker],ListReverseB),"#,#0")&amp;"$","")</f>
        <v>0x0=   0$</v>
      </c>
      <c r="H1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11" s="228" t="str">
        <f ca="1">IFERROR(TRUNC(TabCalc[[#This Row],[L_S1p]],2)&amp;"x"&amp;TabCalc[[#This Row],[L_S1n]]&amp;"=   "&amp;TEXT(TabCalc[[#This Row],[ReverseB1]],"#,#0"),"")</f>
        <v>0x0=   0</v>
      </c>
      <c r="J11" s="297">
        <f ca="1">_xlfn.XLOOKUP(TabTRADER[[#This Row],[ClickTick]],TabCalc[Ticker],ListGravity)</f>
        <v>0</v>
      </c>
      <c r="K11" s="324" t="str" cm="1">
        <f t="array" aca="1" ref="K11" ca="1">IF(_xlfn.XLOOKUP(TabTRADER[[#This Row],[ClickTick]],TabTRADER[ClickTick],ListExtra_n)&gt;0,_xlfn.XLOOKUP(TabTRADER[[#This Row],[ClickTick]],TabTRADER[ClickTick],ListExtra_n),"")</f>
        <v/>
      </c>
      <c r="L11" s="322" t="str">
        <f ca="1">IF(_xlfn.XLOOKUP(TabTRADER[[#This Row],[ClickTick]],TabCalc[Ticker],ListExtra_n)&gt;0,_xlfn.XLOOKUP(TabTRADER[[#This Row],[ClickTick]],TabCalc[Ticker],ListExtra_n)*TabTRADER[[#This Row],[M]]*_xlfn.XLOOKUP(TabTRADER[[#This Row],[ClickTick]],TabCalc[Ticker],ListScale),"")</f>
        <v/>
      </c>
      <c r="M11" s="325">
        <f ca="1">_xlfn.XLOOKUP(TabTRADER[[#This Row],[ClickTick]],TabCalc[Ticker],TabCalc[Agiotage])</f>
        <v>0.12168445010747878</v>
      </c>
      <c r="N11" s="326" cm="1">
        <f t="array" aca="1" ref="N11" ca="1">_xlfn.XLOOKUP(TabTRADER[[#This Row],[ClickTick]],ListTickers,Tab2RSIConventional[RSIConv20])</f>
        <v>53</v>
      </c>
      <c r="O11" s="712" t="str">
        <f ca="1">TEXT(_xlfn.XLOOKUP(TabTRADER[[#This Row],[ClickTick]],TabCalc[Ticker],TabCalc[Nbegin]),"#,#0")&amp;": "&amp;_xlfn.XLOOKUP(TabTRADER[[#This Row],[ClickTick]],TabCalc[Ticker],TabCalc[Pile?])</f>
        <v>15,000: Pile</v>
      </c>
      <c r="P11" s="323">
        <f ca="1">_xlfn.XLOOKUP(TabTRADER[[#This Row],[ClickTick]],TabCalc[Ticker],TabCalc[L_Bn])</f>
        <v>12500</v>
      </c>
      <c r="Q11" s="740">
        <f ca="1">_xlfn.XLOOKUP(TabTRADER[[#This Row],[ClickTick]],TabCalc[Ticker],TabCalc[L_Bp])</f>
        <v>-12.7196</v>
      </c>
      <c r="R11" s="778">
        <f ca="1">(TabTRADER[[#This Row],[M]]+TabTRADER[[#This Row],[L_Bp]])/ABS(TabTRADER[[#This Row],[L_Bp]])</f>
        <v>-0.76728827950564471</v>
      </c>
      <c r="S11" s="692">
        <f ca="1">_xlfn.XLOOKUP(TabTRADER[[#This Row],[ClickTick]],TabCalc[Ticker],TabCalc[Rev(MinStock)])*(1-Commission)</f>
        <v>-121677.81299999998</v>
      </c>
      <c r="T11" s="798">
        <f ca="1">_xlfn.XLOOKUP(TabTRADER[[#This Row],[ClickTick]],TabCalc[Ticker],TabCalc[Agiotage])</f>
        <v>0.12168445010747878</v>
      </c>
      <c r="U11" s="759" t="str" cm="1">
        <f t="array" aca="1" ref="U1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750/750=&gt;4.9% / 1.7%</v>
      </c>
      <c r="V11" s="751" t="str">
        <f ca="1">_xlfn.XLOOKUP(TabTRADER[[#This Row],[ClickTick]],[1]!RTData[Ticker symbol],[1]!RTData[Currency])</f>
        <v>USD</v>
      </c>
      <c r="W11" s="761">
        <f ca="1">_xlfn.XLOOKUP(TabTRADER[[#This Row],[ClickTick]],TabCalc[Ticker],TabCalc[M])</f>
        <v>2.96</v>
      </c>
      <c r="X11" s="762" t="str">
        <f ca="1">SORTING!B11</f>
        <v>BMRA</v>
      </c>
      <c r="Y11" s="819">
        <f ca="1">_xlfn.XLOOKUP(TabTRADER[[#This Row],[ClickTick]],TabCalc[Ticker],TabCalc[Y])</f>
        <v>0</v>
      </c>
      <c r="Z11" s="835">
        <f ca="1">_xlfn.XLOOKUP(TabTRADER[[#This Row],[ClickTick]],[1]!RTData[Ticker symbol],[1]!RTData[YTChange])</f>
        <v>0</v>
      </c>
      <c r="AA11" s="851">
        <f ca="1">-_xlfn.XLOOKUP(TabTRADER[[#This Row],[ClickTick]]&amp;2,Consolid!B$3:JZ$3,Consolid!B$4:JZ$4)</f>
        <v>12.7196</v>
      </c>
      <c r="AB11" s="835" cm="1">
        <f t="array" aca="1" ref="AB11" ca="1">_xlfn.XLOOKUP(TabTRADER[[#This Row],[ClickTick]],ListTickers,Tab1ChangePercent[Change%19])</f>
        <v>4.8780000000000004E-2</v>
      </c>
      <c r="AC11" s="782">
        <f ca="1">_xlfn.XLOOKUP(TabTRADER[[#This Row],[ClickTick]],TabCalc[Ticker],TabCalc[NAfter])</f>
        <v>12500</v>
      </c>
      <c r="AD11"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-122/37 K$</v>
      </c>
      <c r="AE11" s="1299" t="str" cm="1">
        <f t="array" aca="1" ref="AE1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11" s="1280" t="str" cm="1">
        <f t="array" aca="1" ref="AF11" ca="1">_xlfn.IFS(       TabTRADER[[#This Row],[Traps]]=RePurchaseGain,TEXT(TabTRADER[[#This Row],[L_Sn]],"#,#0")&amp;" x "&amp;TEXT(TabTRADER[[#This Row],[L_Sp]],"#,#0.#0"),     TabTRADER[[#This Row],[Traps]]=ReSaleGain,TEXT(TabTRADER[[#This Row],[L_Bn]],"#0,#0")&amp;" x "&amp;TEXT(TabTRADER[[#This Row],[L_Bp]],"#,#0.#0"),               TRUE,"")</f>
        <v/>
      </c>
      <c r="AG11" s="1281" t="str" cm="1">
        <f t="array" aca="1" ref="AG1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12,500 x -12.72</v>
      </c>
      <c r="AH11" s="1281" cm="1">
        <f t="array" aca="1" ref="AH1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121677.81299999998</v>
      </c>
      <c r="AI11" s="1281" cm="1">
        <f t="array" aca="1" ref="AI1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37000</v>
      </c>
      <c r="AJ11" s="1290" cm="1">
        <f t="array" aca="1" ref="AJ1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0.76728827950564471</v>
      </c>
      <c r="AK11" s="1290" cm="1">
        <f t="array" aca="1" ref="AK1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3.2945621621621615</v>
      </c>
      <c r="AL11" s="843" t="str" cm="1">
        <f t="array" aca="1" ref="AL11" ca="1">_xlfn.IFS(   TabTRADER[[#This Row],[Traps]]=SellMorePercentGain,                     MIN(TabTRADER[[#This Row],[L_Sn]],TabTRADER[[#This Row],[N]])*(TabTRADER[[#This Row],[M]]-TabTRADER[[#This Row],[L_Sp]])*(1-Commission)*TabTRADER[[#This Row],[Scale]],                    TRUE,"")</f>
        <v/>
      </c>
      <c r="AM11" s="1039">
        <f ca="1">_xlfn.XLOOKUP(TabTRADER[[#This Row],[ClickTick]],TabCalc[Ticker],TabCalc[Ann%RevLB])</f>
        <v>-5.1039131674433129E-2</v>
      </c>
      <c r="AN11" s="1038">
        <f ca="1">_xlfn.XLOOKUP(TabTRADER[[#This Row],[ClickTick]],TabCalc[Ticker],TabCalc[Up20])</f>
        <v>0</v>
      </c>
      <c r="AO11" s="312" cm="1">
        <f t="array" aca="1" ref="AO1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3.2971621621621616</v>
      </c>
      <c r="AP11" s="843" cm="1">
        <f t="array" aca="1" ref="AP11" ca="1">_xlfn.IFS(         TabTRADER[[#This Row],[Traps]]=MDown,TabTRADER[[#This Row],[L_Bn]]*TabTRADER[[#This Row],[M]]*(-(TabTRADER[[#This Row],[L_Bp]]+TabTRADER[[#This Row],[M]])/TabTRADER[[#This Row],[M]])*(1-Commission)*TabTRADER[[#This Row],[Scale]],                               TRUE,"")</f>
        <v>121677.81299999998</v>
      </c>
      <c r="AQ11" s="1290" cm="1">
        <f t="array" aca="1" ref="AQ11" ca="1">_xlfn.IFS(   TabTRADER[[#This Row],[Traps]]=MUp,TabTRADER[[#This Row],[TakeGain_A]]-Commission,        TabTRADER[[#This Row],[Traps]]=MDown,(TabTRADER[[#This Row],[A]]-TabTRADER[[#This Row],[M]])/TabTRADER[[#This Row],[M]]-Commission,                              TRUE,"")</f>
        <v>3.2945621621621615</v>
      </c>
      <c r="AR11" s="843" cm="1">
        <f t="array" aca="1" ref="AR1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121677.81299999998</v>
      </c>
      <c r="AS11" s="774" t="str" cm="1">
        <f t="array" aca="1" ref="AS1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-1.0%</v>
      </c>
      <c r="AT11" s="748" cm="1">
        <f t="array" aca="1" ref="AT1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-9.75</v>
      </c>
      <c r="AU11" s="779" cm="1">
        <f t="array" aca="1" ref="AU11" ca="1">_xlfn.IFS(TabTRADER[[#This Row],[Traps]]=ReSaleGain,"",         TabTRADER[[#This Row],[Traps]]=MDown, (TabTRADER[[#This Row],[M]]-TabTRADER[[#This Row],[A]])/TabTRADER[[#This Row],[A]]*ComFactor,             TRUE, IFERROR((TabTRADER[[#This Row],[M]]-TabTRADER[[#This Row],[A]])/TabTRADER[[#This Row],[A]]*ComFactor,""))</f>
        <v>-0.76529332997892996</v>
      </c>
      <c r="AV11" s="776" cm="1">
        <f t="array" aca="1" ref="AV11" ca="1">_xlfn.IFS(               TabTRADER[[#This Row],[Traps]]=NoStock,(TabTRADER[[#This Row],[L_Sp]]-TabTRADER[[#This Row],[M]])/TabTRADER[[#This Row],[M]]-Commission,             TabTRADER[[#This Row],[A]]&lt;&gt;0,(TabTRADER[[#This Row],[A]]-TabTRADER[[#This Row],[M]])/TabTRADER[[#This Row],[M]]-Commission)</f>
        <v>3.2945621621621615</v>
      </c>
      <c r="AW11" s="326">
        <f ca="1">_xlfn.XLOOKUP(TabTRADER[[#This Row],[ClickTick]],TabCalc[Ticker],TabCalc[L_Sn])</f>
        <v>0</v>
      </c>
      <c r="AX11" s="740">
        <f ca="1">_xlfn.XLOOKUP(TabTRADER[[#This Row],[ClickTick]],TabCalc[Ticker],TabCalc[L_Sp])</f>
        <v>0</v>
      </c>
      <c r="AY11" s="778">
        <f ca="1">-IFERROR((TabTRADER[[#This Row],[M]]-TabTRADER[[#This Row],[L_Sp]])/TabTRADER[[#This Row],[L_Sp]],0)</f>
        <v>0</v>
      </c>
      <c r="AZ11" s="741">
        <f ca="1">TabTRADER[[#This Row],[L_Sn]]*(TabTRADER[[#This Row],[M]]-TabTRADER[[#This Row],[L_Sp]])*(1-Commission)*TabTRADER[[#This Row],[Scale]]</f>
        <v>0</v>
      </c>
      <c r="BA11" s="701">
        <f ca="1">TabTRADER[[#This Row],[L_Sn]]*(TabTRADER[[#This Row],[Agiotage]]-TabTRADER[[#This Row],[M]])/(TabTRADER[[#This Row],[L_Bn]]*TabTRADER[[#This Row],[M]])</f>
        <v>0</v>
      </c>
      <c r="BB11" s="641">
        <f ca="1">IFERROR((TabTRADER[[#This Row],[M]]-TabTRADER[[#This Row],[A]])/TabTRADER[[#This Row],[A]],0)</f>
        <v>-0.76728827950564471</v>
      </c>
      <c r="BC11" s="644" t="str">
        <f ca="1">TEXT(_xlfn.XLOOKUP(TabTRADER[[#This Row],[ClickTick]],TabCalc[Ticker],TabCalc[NAfter]),"#,#0")&amp;" : "&amp;TEXT(_xlfn.XLOOKUP(TabTRADER[[#This Row],[ClickTick]],TabCalc[Ticker],TabCalc[NAfter])*(TabTRADER[[#This Row],[M]]-TabTRADER[[#This Row],[A]])*(1-Commission)*TabTRADER[[#This Row],[Scale]],"#,#0$")</f>
        <v>12,500 : -121,678$</v>
      </c>
      <c r="BD11" s="693">
        <f ca="1">_xlfn.XLOOKUP(TabTRADER[[#This Row],[ClickTick]],TabCalc[[#This Row],[Ticker]],TabCalc[[#This Row],[GL]])*(1-Commission)</f>
        <v>-121677.81299999999</v>
      </c>
      <c r="BE11" s="693"/>
      <c r="BF11" s="675" t="str">
        <f ca="1">TabTRADER[[#This Row],[ClickTick]]&amp;": "&amp;_xlfn.XLOOKUP(TabTRADER[[#This Row],[ClickTick]],TabCalc[Ticker],TabCalc[Pile?])</f>
        <v>BMRA: Pile</v>
      </c>
      <c r="BG11" s="353" t="s">
        <v>1935</v>
      </c>
      <c r="BH11" s="769" t="str" cm="1">
        <f t="array" aca="1" ref="BH11" ca="1">_xlfn.TEXTJOIN("",,INDEX({"M","A","Y"}, _xlfn.SORTBY({1,2,3}, -CHOOSE({1,2,3}, TabTRADER[[#This Row],[M]], TabTRADER[[#This Row],[A]], TabTRADER[[#This Row],[Agiotage]]))))</f>
        <v>AMY</v>
      </c>
      <c r="BI11" s="976" cm="1">
        <f t="array" aca="1" ref="BI1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3.2971621621621616</v>
      </c>
      <c r="BJ11" s="688" t="e">
        <f ca="1">TabTRADER[[#This Row],[L_Sn]]*TabTRADER[[#This Row],[L_Sp]]+TabTRADER[[#This Row],[SellMore]]*TabTRADER[[#This Row],[M]]</f>
        <v>#N/A</v>
      </c>
      <c r="BK11" s="688" t="e">
        <f ca="1">INDEX(
  INDEX(TabConsolid[], , _xlfn.XMATCH(TabTRADER[[#This Row],[ClickTick]]&amp;1, TabConsolid[#Headers])),
  MATCH(
    -TabTRADER[[#This Row],[M]],
    INDEX(TabConsolid[], , _xlfn.XMATCH(TabTRADER[[#This Row],[ClickTick]]&amp;2, TabConsolid[#Headers])),
    -1
  )
)</f>
        <v>#N/A</v>
      </c>
      <c r="BL11" s="688" cm="1">
        <f t="array" aca="1" ref="BL1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11" s="1260" t="e">
        <f ca="1">TabTRADER[[#This Row],[ReBuy]]/(TabTRADER[[#This Row],[L_Sn]]+TabTRADER[[#This Row],[SellMore]])</f>
        <v>#N/A</v>
      </c>
      <c r="BN11" s="696" t="e">
        <f ca="1">((_xlfn.XLOOKUP(TabTRADER[[#This Row],[ClickTick]],TabCalc[Ticker],TabCalc[NAfter])+TabTRADER[[#This Row],[L_Sn]])*(TabTRADER[[#This Row],[Agiotage]]-TabTRADER[[#This Row],[M]]))/(TabTRADER[[#This Row],[L_Sn]]*_xlfn.XLOOKUP(TabTRADER[[#This Row],[ClickTick]],TabCalc[Ticker],TabCalc[NAfter]))</f>
        <v>#DIV/0!</v>
      </c>
      <c r="BO11" s="696">
        <f ca="1">(TabTRADER[[#This Row],[M]]-TabTRADER[[#This Row],[Agiotage]])/(TabTRADER[[#This Row],[M]]-TabTRADER[[#This Row],[A]])-1</f>
        <v>-1.2908229384290875</v>
      </c>
      <c r="BP11" s="1388">
        <f ca="1">_xlfn.XMATCH(TabTRADER[[#This Row],[ClickTick]]&amp;1, TabConsolid[#Headers])</f>
        <v>29</v>
      </c>
      <c r="BQ11" t="str">
        <f ca="1">IF(ABS(TabTRADER[[#This Row],[L_Bp]])&gt;=TabTRADER[[#This Row],[M]],"OK")</f>
        <v>OK</v>
      </c>
    </row>
    <row r="12" spans="1:69" hidden="1">
      <c r="A12" s="225">
        <f ca="1">IF(_xlfn.XLOOKUP(TabTRADER[[#This Row],[ClickTick]],TabCalc[Ticker],TabCalc[Cur])="GBp",0.01,1)</f>
        <v>1</v>
      </c>
      <c r="B1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-62.75x500=    +180 USD</v>
      </c>
      <c r="C12"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36.5%</v>
      </c>
      <c r="D12" s="697" t="str" cm="1">
        <f t="array" aca="1" ref="D1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2"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2" s="228" t="str">
        <f ca="1">TRUNC(TabCalc[[#This Row],[L_B1p]],2)&amp;"x"&amp;TabCalc[[#This Row],[L_B1n]]&amp;"=   "&amp;TEXT(TabCalc[[#This Row],[ReverseS1]],"#,#0")&amp;"$"</f>
        <v>-73.18x1000=   128$</v>
      </c>
      <c r="G12" s="227" t="str">
        <f ca="1">IFERROR(TRUNC(_xlfn.XLOOKUP(TabTRADER[[#This Row],[ClickTick]],TabCalc[Ticker],ListLastSalep),2)&amp;"x"&amp;_xlfn.XLOOKUP(TabTRADER[[#This Row],[ClickTick]],TabCalc[Ticker],ListLastSalen)&amp;"=   "&amp;TEXT(-_xlfn.XLOOKUP(TabTRADER[[#This Row],[ClickTick]],TabCalc[Ticker],ListReverseB),"#,#0")&amp;"$","")</f>
        <v>97.37x95=   133$</v>
      </c>
      <c r="H1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-1.4% = 0</v>
      </c>
      <c r="I12" s="228" t="str">
        <f ca="1">IFERROR(TRUNC(TabCalc[[#This Row],[L_S1p]],2)&amp;"x"&amp;TabCalc[[#This Row],[L_S1n]]&amp;"=   "&amp;TEXT(TabCalc[[#This Row],[ReverseB1]],"#,#0"),"")</f>
        <v>82.67x500=   -8,055</v>
      </c>
      <c r="J12" s="297">
        <f ca="1">_xlfn.XLOOKUP(TabTRADER[[#This Row],[ClickTick]],TabCalc[Ticker],ListGravity)</f>
        <v>1.0067827495444421</v>
      </c>
      <c r="K12" s="324" t="str" cm="1">
        <f t="array" aca="1" ref="K12" ca="1">IF(_xlfn.XLOOKUP(TabTRADER[[#This Row],[ClickTick]],TabTRADER[ClickTick],ListExtra_n)&gt;0,_xlfn.XLOOKUP(TabTRADER[[#This Row],[ClickTick]],TabTRADER[ClickTick],ListExtra_n),"")</f>
        <v/>
      </c>
      <c r="L12" s="322" t="str">
        <f ca="1">IF(_xlfn.XLOOKUP(TabTRADER[[#This Row],[ClickTick]],TabCalc[Ticker],ListExtra_n)&gt;0,_xlfn.XLOOKUP(TabTRADER[[#This Row],[ClickTick]],TabCalc[Ticker],ListExtra_n)*TabTRADER[[#This Row],[M]]*_xlfn.XLOOKUP(TabTRADER[[#This Row],[ClickTick]],TabCalc[Ticker],ListScale),"")</f>
        <v/>
      </c>
      <c r="M12" s="325">
        <f ca="1">_xlfn.XLOOKUP(TabTRADER[[#This Row],[ClickTick]],TabCalc[Ticker],TabCalc[Agiotage])</f>
        <v>0.82499260016945075</v>
      </c>
      <c r="N12" s="326" cm="1">
        <f t="array" aca="1" ref="N12" ca="1">_xlfn.XLOOKUP(TabTRADER[[#This Row],[ClickTick]],ListTickers,Tab2RSIConventional[RSIConv20])</f>
        <v>49</v>
      </c>
      <c r="O12" s="712" t="str">
        <f ca="1">TEXT(_xlfn.XLOOKUP(TabTRADER[[#This Row],[ClickTick]],TabCalc[Ticker],TabCalc[Nbegin]),"#,#0")&amp;": "&amp;_xlfn.XLOOKUP(TabTRADER[[#This Row],[ClickTick]],TabCalc[Ticker],TabCalc[Pile?])</f>
        <v xml:space="preserve">100: </v>
      </c>
      <c r="P12" s="746">
        <f ca="1">_xlfn.XLOOKUP(TabTRADER[[#This Row],[ClickTick]],TabCalc[Ticker],TabCalc[L_Bn])</f>
        <v>500</v>
      </c>
      <c r="Q12" s="690">
        <f ca="1">_xlfn.XLOOKUP(TabTRADER[[#This Row],[ClickTick]],TabCalc[Ticker],TabCalc[L_Bp])</f>
        <v>-62.75</v>
      </c>
      <c r="R12" s="778">
        <f ca="1">(TabTRADER[[#This Row],[M]]+TabTRADER[[#This Row],[L_Bp]])/ABS(TabTRADER[[#This Row],[L_Bp]])</f>
        <v>0.57418326693227095</v>
      </c>
      <c r="S12" s="692">
        <f ca="1">_xlfn.XLOOKUP(TabTRADER[[#This Row],[ClickTick]],TabCalc[Ticker],TabCalc[Rev(MinStock)])*(1-Commission)</f>
        <v>179.68161000000001</v>
      </c>
      <c r="T12" s="798">
        <f ca="1">_xlfn.XLOOKUP(TabTRADER[[#This Row],[ClickTick]],TabCalc[Ticker],TabCalc[Agiotage])</f>
        <v>0.82499260016945075</v>
      </c>
      <c r="U12" s="759" t="str" cm="1">
        <f t="array" aca="1" ref="U1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7/7=&gt;1.7% / 2.2%</v>
      </c>
      <c r="V12" s="751" t="str">
        <f ca="1">_xlfn.XLOOKUP(TabTRADER[[#This Row],[ClickTick]],[1]!RTData[Ticker symbol],[1]!RTData[Currency])</f>
        <v>USD</v>
      </c>
      <c r="W12" s="761">
        <f ca="1">_xlfn.XLOOKUP(TabTRADER[[#This Row],[ClickTick]],TabCalc[Ticker],TabCalc[M])</f>
        <v>98.78</v>
      </c>
      <c r="X12" s="762" t="str">
        <f ca="1">SORTING!B12</f>
        <v>C</v>
      </c>
      <c r="Y12" s="819">
        <f ca="1">_xlfn.XLOOKUP(TabTRADER[[#This Row],[ClickTick]],TabCalc[Ticker],TabCalc[Y])</f>
        <v>99.45</v>
      </c>
      <c r="Z12" s="835">
        <f ca="1">_xlfn.XLOOKUP(TabTRADER[[#This Row],[ClickTick]],[1]!RTData[Ticker symbol],[1]!RTData[YTChange])</f>
        <v>0.13813229571984445</v>
      </c>
      <c r="AA12" s="851">
        <f ca="1">-_xlfn.XLOOKUP(TabTRADER[[#This Row],[ClickTick]]&amp;2,Consolid!B$3:JZ$3,Consolid!B$4:JZ$4)</f>
        <v>62.75</v>
      </c>
      <c r="AB12" s="835" cm="1">
        <f t="array" aca="1" ref="AB12" ca="1">_xlfn.XLOOKUP(TabTRADER[[#This Row],[ClickTick]],ListTickers,Tab1ChangePercent[Change%19])</f>
        <v>1.7181999999999999E-2</v>
      </c>
      <c r="AC12" s="782">
        <f ca="1">_xlfn.XLOOKUP(TabTRADER[[#This Row],[ClickTick]],TabCalc[Ticker],TabCalc[NAfter])</f>
        <v>5</v>
      </c>
      <c r="AD12"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^40/0 K$</v>
      </c>
      <c r="AE12" s="1299" t="str" cm="1">
        <f t="array" aca="1" ref="AE1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12" s="1280" t="str" cm="1">
        <f t="array" aca="1" ref="AF12" ca="1">_xlfn.IFS(       TabTRADER[[#This Row],[Traps]]=RePurchaseGain,TEXT(TabTRADER[[#This Row],[L_Sn]],"#,#0")&amp;" x "&amp;TEXT(TabTRADER[[#This Row],[L_Sp]],"#,#0.#0"),     TabTRADER[[#This Row],[Traps]]=ReSaleGain,TEXT(TabTRADER[[#This Row],[L_Bn]],"#0,#0")&amp;" x "&amp;TEXT(TabTRADER[[#This Row],[L_Bp]],"#,#0.#0"),               TRUE,"")</f>
        <v/>
      </c>
      <c r="AG12" s="1281" t="str" cm="1">
        <f t="array" aca="1" ref="AG1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 x 97.38</v>
      </c>
      <c r="AH12" s="1281" cm="1">
        <f t="array" aca="1" ref="AH1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7.0067350000000053</v>
      </c>
      <c r="AI12" s="1281" cm="1">
        <f t="array" aca="1" ref="AI1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179.68161000000001</v>
      </c>
      <c r="AJ12" s="1290" cm="1">
        <f t="array" aca="1" ref="AJ1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0.57418326693227095</v>
      </c>
      <c r="AK12" s="1290" cm="1">
        <f t="array" aca="1" ref="AK1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1.1623527029763121E-2</v>
      </c>
      <c r="AL12" s="843" cm="1">
        <f t="array" aca="1" ref="AL12" ca="1">_xlfn.IFS(   TabTRADER[[#This Row],[Traps]]=SellMorePercentGain,                     MIN(TabTRADER[[#This Row],[L_Sn]],TabTRADER[[#This Row],[N]])*(TabTRADER[[#This Row],[M]]-TabTRADER[[#This Row],[L_Sp]])*(1-Commission)*TabTRADER[[#This Row],[Scale]],                    TRUE,"")</f>
        <v>7.0067350000000053</v>
      </c>
      <c r="AM12" s="1039">
        <f ca="1">_xlfn.XLOOKUP(TabTRADER[[#This Row],[ClickTick]],TabCalc[Ticker],TabCalc[Ann%RevLB])</f>
        <v>1.076593625498008</v>
      </c>
      <c r="AN12" s="1038">
        <f ca="1">_xlfn.XLOOKUP(TabTRADER[[#This Row],[ClickTick]],TabCalc[Ticker],TabCalc[Up20])</f>
        <v>0.5</v>
      </c>
      <c r="AO12" s="312" t="str" cm="1">
        <f t="array" aca="1" ref="AO1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2" s="843" t="str" cm="1">
        <f t="array" aca="1" ref="AP12" ca="1">_xlfn.IFS(         TabTRADER[[#This Row],[Traps]]=MDown,TabTRADER[[#This Row],[L_Bn]]*TabTRADER[[#This Row],[M]]*(-(TabTRADER[[#This Row],[L_Bp]]+TabTRADER[[#This Row],[M]])/TabTRADER[[#This Row],[M]])*(1-Commission)*TabTRADER[[#This Row],[Scale]],                               TRUE,"")</f>
        <v/>
      </c>
      <c r="AQ12" s="1290" cm="1">
        <f t="array" aca="1" ref="AQ12" ca="1">_xlfn.IFS(   TabTRADER[[#This Row],[Traps]]=MUp,TabTRADER[[#This Row],[TakeGain_A]]-Commission,        TabTRADER[[#This Row],[Traps]]=MDown,(TabTRADER[[#This Row],[A]]-TabTRADER[[#This Row],[M]])/TabTRADER[[#This Row],[M]]-Commission,                              TRUE,"")</f>
        <v>0.57158326693227091</v>
      </c>
      <c r="AR12" s="843" cm="1">
        <f t="array" aca="1" ref="AR1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282.85178383745017</v>
      </c>
      <c r="AS12" s="774" t="str" cm="1">
        <f t="array" aca="1" ref="AS1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T12" s="748" t="str" cm="1">
        <f t="array" aca="1" ref="AT1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5x36.03</v>
      </c>
      <c r="AU12" s="779" cm="1">
        <f t="array" aca="1" ref="AU12" ca="1">_xlfn.IFS(TabTRADER[[#This Row],[Traps]]=ReSaleGain,"",         TabTRADER[[#This Row],[Traps]]=MDown, (TabTRADER[[#This Row],[M]]-TabTRADER[[#This Row],[A]])/TabTRADER[[#This Row],[A]]*ComFactor,             TRUE, IFERROR((TabTRADER[[#This Row],[M]]-TabTRADER[[#This Row],[A]])/TabTRADER[[#This Row],[A]]*ComFactor,""))</f>
        <v>0.57269039043824699</v>
      </c>
      <c r="AV12" s="776" cm="1">
        <f t="array" aca="1" ref="AV12" ca="1">_xlfn.IFS(               TabTRADER[[#This Row],[Traps]]=NoStock,(TabTRADER[[#This Row],[L_Sp]]-TabTRADER[[#This Row],[M]])/TabTRADER[[#This Row],[M]]-Commission,             TabTRADER[[#This Row],[A]]&lt;&gt;0,(TabTRADER[[#This Row],[A]]-TabTRADER[[#This Row],[M]])/TabTRADER[[#This Row],[M]]-Commission)</f>
        <v>-0.36734994938246607</v>
      </c>
      <c r="AW12" s="326">
        <f ca="1">_xlfn.XLOOKUP(TabTRADER[[#This Row],[ClickTick]],TabCalc[Ticker],TabCalc[L_Sn])</f>
        <v>95</v>
      </c>
      <c r="AX12" s="740">
        <f ca="1">_xlfn.XLOOKUP(TabTRADER[[#This Row],[ClickTick]],TabCalc[Ticker],TabCalc[L_Sp])</f>
        <v>97.375</v>
      </c>
      <c r="AY12" s="778">
        <f ca="1">-IFERROR((TabTRADER[[#This Row],[M]]-TabTRADER[[#This Row],[L_Sp]])/TabTRADER[[#This Row],[L_Sp]],0)</f>
        <v>-1.442875481386394E-2</v>
      </c>
      <c r="AZ12" s="741">
        <f ca="1">TabTRADER[[#This Row],[L_Sn]]*(TabTRADER[[#This Row],[M]]-TabTRADER[[#This Row],[L_Sp]])*(1-Commission)*TabTRADER[[#This Row],[Scale]]</f>
        <v>133.1279650000001</v>
      </c>
      <c r="BA12" s="701">
        <f ca="1">TabTRADER[[#This Row],[L_Sn]]*(TabTRADER[[#This Row],[Agiotage]]-TabTRADER[[#This Row],[M]])/(TabTRADER[[#This Row],[L_Bn]]*TabTRADER[[#This Row],[M]])</f>
        <v>-0.18841315454512861</v>
      </c>
      <c r="BB12" s="641">
        <f ca="1">IFERROR((TabTRADER[[#This Row],[M]]-TabTRADER[[#This Row],[A]])/TabTRADER[[#This Row],[A]],0)</f>
        <v>0.57418326693227095</v>
      </c>
      <c r="BC12" s="644" t="str">
        <f ca="1">TEXT(_xlfn.XLOOKUP(TabTRADER[[#This Row],[ClickTick]],TabCalc[Ticker],TabCalc[NAfter]),"#,#0")&amp;" : "&amp;TEXT(_xlfn.XLOOKUP(TabTRADER[[#This Row],[ClickTick]],TabCalc[Ticker],TabCalc[NAfter])*(TabTRADER[[#This Row],[M]]-TabTRADER[[#This Row],[A]])*(1-Commission)*TabTRADER[[#This Row],[Scale]],"#,#0$")</f>
        <v>5 : 180$</v>
      </c>
      <c r="BD12" s="693">
        <f ca="1">_xlfn.XLOOKUP(TabTRADER[[#This Row],[ClickTick]],TabCalc[[#This Row],[Ticker]],TabCalc[[#This Row],[GL]])*(1-Commission)</f>
        <v>40387.982511000002</v>
      </c>
      <c r="BE12" s="693"/>
      <c r="BF12" s="675" t="str">
        <f ca="1">TabTRADER[[#This Row],[ClickTick]]&amp;": "&amp;_xlfn.XLOOKUP(TabTRADER[[#This Row],[ClickTick]],TabCalc[Ticker],TabCalc[Pile?])</f>
        <v xml:space="preserve">C: </v>
      </c>
      <c r="BG12" s="353" t="s">
        <v>1940</v>
      </c>
      <c r="BH12" s="769" t="str" cm="1">
        <f t="array" aca="1" ref="BH12" ca="1">_xlfn.TEXTJOIN("",,INDEX({"M","A","Y"}, _xlfn.SORTBY({1,2,3}, -CHOOSE({1,2,3}, TabTRADER[[#This Row],[M]], TabTRADER[[#This Row],[A]], TabTRADER[[#This Row],[Agiotage]]))))</f>
        <v>MAY</v>
      </c>
      <c r="BI12" s="976" cm="1">
        <f t="array" aca="1" ref="BI1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1.422352702976312E-2</v>
      </c>
      <c r="BJ12" s="688">
        <f ca="1">TabTRADER[[#This Row],[L_Sn]]*TabTRADER[[#This Row],[L_Sp]]+TabTRADER[[#This Row],[SellMore]]*TabTRADER[[#This Row],[M]]</f>
        <v>9744.5249999999996</v>
      </c>
      <c r="BK12" s="688">
        <f ca="1">INDEX(
  INDEX(TabConsolid[], , _xlfn.XMATCH(TabTRADER[[#This Row],[ClickTick]]&amp;1, TabConsolid[#Headers])),
  MATCH(
    -TabTRADER[[#This Row],[M]],
    INDEX(TabConsolid[], , _xlfn.XMATCH(TabTRADER[[#This Row],[ClickTick]]&amp;2, TabConsolid[#Headers])),
    -1
  )
)</f>
        <v>5</v>
      </c>
      <c r="BL12" s="688" cm="1">
        <f t="array" aca="1" ref="BL1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2" s="1260">
        <f ca="1">TabTRADER[[#This Row],[ReBuy]]/(TabTRADER[[#This Row],[L_Sn]]+TabTRADER[[#This Row],[SellMore]])</f>
        <v>97.445250000000001</v>
      </c>
      <c r="BN12" s="696">
        <f ca="1">((_xlfn.XLOOKUP(TabTRADER[[#This Row],[ClickTick]],TabCalc[Ticker],TabCalc[NAfter])+TabTRADER[[#This Row],[L_Sn]])*(TabTRADER[[#This Row],[Agiotage]]-TabTRADER[[#This Row],[M]]))/(TabTRADER[[#This Row],[L_Sn]]*_xlfn.XLOOKUP(TabTRADER[[#This Row],[ClickTick]],TabCalc[Ticker],TabCalc[NAfter]))</f>
        <v>-20.62210682101696</v>
      </c>
      <c r="BO12" s="696">
        <f ca="1">(TabTRADER[[#This Row],[M]]-TabTRADER[[#This Row],[Agiotage]])/(TabTRADER[[#This Row],[M]]-TabTRADER[[#This Row],[A]])-1</f>
        <v>1.7187068387407867</v>
      </c>
      <c r="BP12" s="1388">
        <f ca="1">_xlfn.XMATCH(TabTRADER[[#This Row],[ClickTick]]&amp;1, TabConsolid[#Headers])</f>
        <v>32</v>
      </c>
      <c r="BQ12" t="b">
        <f ca="1">IF(ABS(TabTRADER[[#This Row],[L_Bp]])&gt;=TabTRADER[[#This Row],[M]],"OK")</f>
        <v>0</v>
      </c>
    </row>
    <row r="13" spans="1:69" hidden="1">
      <c r="A13" s="225">
        <f ca="1">IF(_xlfn.XLOOKUP(TabTRADER[[#This Row],[ClickTick]],TabCalc[Ticker],TabCalc[Cur])="GBp",0.01,1)</f>
        <v>1</v>
      </c>
      <c r="B1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-67.2x1000=    +3,430 USD</v>
      </c>
      <c r="C13"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4.9%</v>
      </c>
      <c r="D13" s="697" t="str" cm="1">
        <f t="array" aca="1" ref="D1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3"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3" s="228" t="str">
        <f ca="1">TRUNC(TabCalc[[#This Row],[L_B1p]],2)&amp;"x"&amp;TabCalc[[#This Row],[L_B1n]]&amp;"=   "&amp;TEXT(TabCalc[[#This Row],[ReverseS1]],"#,#0")&amp;"$"</f>
        <v>-58.93x1990=   11,695$</v>
      </c>
      <c r="G13" s="227" t="str">
        <f ca="1">IFERROR(TRUNC(_xlfn.XLOOKUP(TabTRADER[[#This Row],[ClickTick]],TabCalc[Ticker],ListLastSalep),2)&amp;"x"&amp;_xlfn.XLOOKUP(TabTRADER[[#This Row],[ClickTick]],TabCalc[Ticker],ListLastSalen)&amp;"=   "&amp;TEXT(-_xlfn.XLOOKUP(TabTRADER[[#This Row],[ClickTick]],TabCalc[Ticker],ListReverseB),"#,#0")&amp;"$","")</f>
        <v>69.34x1000=   1,290$</v>
      </c>
      <c r="H1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-1.8% = 0</v>
      </c>
      <c r="I13" s="228" t="str">
        <f ca="1">IFERROR(TRUNC(TabCalc[[#This Row],[L_S1p]],2)&amp;"x"&amp;TabCalc[[#This Row],[L_S1n]]&amp;"=   "&amp;TEXT(TabCalc[[#This Row],[ReverseB1]],"#,#0"),"")</f>
        <v>68.32x1000=   -2,310</v>
      </c>
      <c r="J13" s="297">
        <f ca="1">_xlfn.XLOOKUP(TabTRADER[[#This Row],[ClickTick]],TabCalc[Ticker],ListGravity)</f>
        <v>1.0801493699561093</v>
      </c>
      <c r="K13" s="324" t="str" cm="1">
        <f t="array" aca="1" ref="K13" ca="1">IF(_xlfn.XLOOKUP(TabTRADER[[#This Row],[ClickTick]],TabTRADER[ClickTick],ListExtra_n)&gt;0,_xlfn.XLOOKUP(TabTRADER[[#This Row],[ClickTick]],TabTRADER[ClickTick],ListExtra_n),"")</f>
        <v/>
      </c>
      <c r="L13" s="322" t="str">
        <f ca="1">IF(_xlfn.XLOOKUP(TabTRADER[[#This Row],[ClickTick]],TabCalc[Ticker],ListExtra_n)&gt;0,_xlfn.XLOOKUP(TabTRADER[[#This Row],[ClickTick]],TabCalc[Ticker],ListExtra_n)*TabTRADER[[#This Row],[M]]*_xlfn.XLOOKUP(TabTRADER[[#This Row],[ClickTick]],TabCalc[Ticker],ListScale),"")</f>
        <v/>
      </c>
      <c r="M13" s="325">
        <f ca="1">_xlfn.XLOOKUP(TabTRADER[[#This Row],[ClickTick]],TabCalc[Ticker],TabCalc[Agiotage])</f>
        <v>0.69410491809962072</v>
      </c>
      <c r="N13" s="326" cm="1">
        <f t="array" aca="1" ref="N13" ca="1">_xlfn.XLOOKUP(TabTRADER[[#This Row],[ClickTick]],ListTickers,Tab2RSIConventional[RSIConv20])</f>
        <v>71</v>
      </c>
      <c r="O13" s="712" t="str">
        <f ca="1">TEXT(_xlfn.XLOOKUP(TabTRADER[[#This Row],[ClickTick]],TabCalc[Ticker],TabCalc[Nbegin]),"#,#0")&amp;": "&amp;_xlfn.XLOOKUP(TabTRADER[[#This Row],[ClickTick]],TabCalc[Ticker],TabCalc[Pile?])</f>
        <v>5,000: Pile</v>
      </c>
      <c r="P13" s="326">
        <f ca="1">_xlfn.XLOOKUP(TabTRADER[[#This Row],[ClickTick]],TabCalc[Ticker],TabCalc[L_Bn])</f>
        <v>1000</v>
      </c>
      <c r="Q13" s="690">
        <f ca="1">_xlfn.XLOOKUP(TabTRADER[[#This Row],[ClickTick]],TabCalc[Ticker],TabCalc[L_Bp])</f>
        <v>-67.2</v>
      </c>
      <c r="R13" s="778">
        <f ca="1">(TabTRADER[[#This Row],[M]]+TabTRADER[[#This Row],[L_Bp]])/ABS(TabTRADER[[#This Row],[L_Bp]])</f>
        <v>5.1041666666666555E-2</v>
      </c>
      <c r="S13" s="692">
        <f ca="1">_xlfn.XLOOKUP(TabTRADER[[#This Row],[ClickTick]],TabCalc[Ticker],TabCalc[Rev(MinStock)])*(1-Commission)</f>
        <v>3421.0819999999926</v>
      </c>
      <c r="T13" s="798">
        <f ca="1">_xlfn.XLOOKUP(TabTRADER[[#This Row],[ClickTick]],TabCalc[Ticker],TabCalc[Agiotage])</f>
        <v>0.69410491809962072</v>
      </c>
      <c r="U13" s="759" t="str" cm="1">
        <f t="array" aca="1" ref="U1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-5/-5=&gt;2.2% / 0.5%</v>
      </c>
      <c r="V13" s="751" t="str">
        <f ca="1">_xlfn.XLOOKUP(TabTRADER[[#This Row],[ClickTick]],[1]!RTData[Ticker symbol],[1]!RTData[Currency])</f>
        <v>USD</v>
      </c>
      <c r="W13" s="761">
        <f ca="1">_xlfn.XLOOKUP(TabTRADER[[#This Row],[ClickTick]],TabCalc[Ticker],TabCalc[M])</f>
        <v>70.63</v>
      </c>
      <c r="X13" s="762" t="str">
        <f ca="1">SORTING!B13</f>
        <v>CSCO</v>
      </c>
      <c r="Y13" s="819">
        <f ca="1">_xlfn.XLOOKUP(TabTRADER[[#This Row],[ClickTick]],TabCalc[Ticker],TabCalc[Y])</f>
        <v>76.290949999999995</v>
      </c>
      <c r="Z13" s="835">
        <f ca="1">_xlfn.XLOOKUP(TabTRADER[[#This Row],[ClickTick]],[1]!RTData[Ticker symbol],[1]!RTData[YTChange])</f>
        <v>0.38610010901162783</v>
      </c>
      <c r="AA13" s="851">
        <f ca="1">-_xlfn.XLOOKUP(TabTRADER[[#This Row],[ClickTick]]&amp;2,Consolid!B$3:JZ$3,Consolid!B$4:JZ$4)</f>
        <v>67.2</v>
      </c>
      <c r="AB13" s="835" cm="1">
        <f t="array" aca="1" ref="AB13" ca="1">_xlfn.XLOOKUP(TabTRADER[[#This Row],[ClickTick]],ListTickers,Tab1ChangePercent[Change%19])</f>
        <v>2.1770999999999999E-2</v>
      </c>
      <c r="AC13" s="782">
        <f ca="1">_xlfn.XLOOKUP(TabTRADER[[#This Row],[ClickTick]],TabCalc[Ticker],TabCalc[NAfter])</f>
        <v>1000</v>
      </c>
      <c r="AD1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^131/71 K$</v>
      </c>
      <c r="AE13" s="1299" t="str" cm="1">
        <f t="array" aca="1" ref="AE1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13" s="1280" t="str" cm="1">
        <f t="array" aca="1" ref="AF13" ca="1">_xlfn.IFS(       TabTRADER[[#This Row],[Traps]]=RePurchaseGain,TEXT(TabTRADER[[#This Row],[L_Sn]],"#,#0")&amp;" x "&amp;TEXT(TabTRADER[[#This Row],[L_Sp]],"#,#0.#0"),     TabTRADER[[#This Row],[Traps]]=ReSaleGain,TEXT(TabTRADER[[#This Row],[L_Bn]],"#0,#0")&amp;" x "&amp;TEXT(TabTRADER[[#This Row],[L_Bp]],"#,#0.#0"),               TRUE,"")</f>
        <v/>
      </c>
      <c r="AG13" s="1281" t="str" cm="1">
        <f t="array" aca="1" ref="AG1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69.34</v>
      </c>
      <c r="AH13" s="1281" cm="1">
        <f t="array" aca="1" ref="AH1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1286.645999999992</v>
      </c>
      <c r="AI13" s="1281" cm="1">
        <f t="array" aca="1" ref="AI1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3421.0819999999926</v>
      </c>
      <c r="AJ13" s="1290" cm="1">
        <f t="array" aca="1" ref="AJ1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5.1041666666666555E-2</v>
      </c>
      <c r="AK13" s="1290" cm="1">
        <f t="array" aca="1" ref="AK1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1.5664193685402693E-2</v>
      </c>
      <c r="AL13" s="843" cm="1">
        <f t="array" aca="1" ref="AL13" ca="1">_xlfn.IFS(   TabTRADER[[#This Row],[Traps]]=SellMorePercentGain,                     MIN(TabTRADER[[#This Row],[L_Sn]],TabTRADER[[#This Row],[N]])*(TabTRADER[[#This Row],[M]]-TabTRADER[[#This Row],[L_Sp]])*(1-Commission)*TabTRADER[[#This Row],[Scale]],                    TRUE,"")</f>
        <v>1286.645999999992</v>
      </c>
      <c r="AM13" s="1039">
        <f ca="1">_xlfn.XLOOKUP(TabTRADER[[#This Row],[ClickTick]],TabCalc[Ticker],TabCalc[Ann%RevLB])</f>
        <v>0.6124999999999986</v>
      </c>
      <c r="AN13" s="1038">
        <f ca="1">_xlfn.XLOOKUP(TabTRADER[[#This Row],[ClickTick]],TabCalc[Ticker],TabCalc[Up20])</f>
        <v>0.6</v>
      </c>
      <c r="AO13" s="312" t="str" cm="1">
        <f t="array" aca="1" ref="AO1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3" s="843" t="str" cm="1">
        <f t="array" aca="1" ref="AP13" ca="1">_xlfn.IFS(         TabTRADER[[#This Row],[Traps]]=MDown,TabTRADER[[#This Row],[L_Bn]]*TabTRADER[[#This Row],[M]]*(-(TabTRADER[[#This Row],[L_Bp]]+TabTRADER[[#This Row],[M]])/TabTRADER[[#This Row],[M]])*(1-Commission)*TabTRADER[[#This Row],[Scale]],                               TRUE,"")</f>
        <v/>
      </c>
      <c r="AQ13" s="1290" cm="1">
        <f t="array" aca="1" ref="AQ13" ca="1">_xlfn.IFS(   TabTRADER[[#This Row],[Traps]]=MUp,TabTRADER[[#This Row],[TakeGain_A]]-Commission,        TabTRADER[[#This Row],[Traps]]=MDown,(TabTRADER[[#This Row],[A]]-TabTRADER[[#This Row],[M]])/TabTRADER[[#This Row],[M]]-Commission,                              TRUE,"")</f>
        <v>4.8441666666666557E-2</v>
      </c>
      <c r="AR13" s="843" cm="1">
        <f t="array" aca="1" ref="AR1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3595.6997270833253</v>
      </c>
      <c r="AS13" s="774" t="str" cm="1">
        <f t="array" aca="1" ref="AS1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0.1%</v>
      </c>
      <c r="AT13" s="748" t="str" cm="1">
        <f t="array" aca="1" ref="AT1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1,000x3.42</v>
      </c>
      <c r="AU13" s="779" cm="1">
        <f t="array" aca="1" ref="AU13" ca="1">_xlfn.IFS(TabTRADER[[#This Row],[Traps]]=ReSaleGain,"",         TabTRADER[[#This Row],[Traps]]=MDown, (TabTRADER[[#This Row],[M]]-TabTRADER[[#This Row],[A]])/TabTRADER[[#This Row],[A]]*ComFactor,             TRUE, IFERROR((TabTRADER[[#This Row],[M]]-TabTRADER[[#This Row],[A]])/TabTRADER[[#This Row],[A]]*ComFactor,""))</f>
        <v>5.0908958333333219E-2</v>
      </c>
      <c r="AV13" s="776" cm="1">
        <f t="array" aca="1" ref="AV13" ca="1">_xlfn.IFS(               TabTRADER[[#This Row],[Traps]]=NoStock,(TabTRADER[[#This Row],[L_Sp]]-TabTRADER[[#This Row],[M]])/TabTRADER[[#This Row],[M]]-Commission,             TabTRADER[[#This Row],[A]]&lt;&gt;0,(TabTRADER[[#This Row],[A]]-TabTRADER[[#This Row],[M]])/TabTRADER[[#This Row],[M]]-Commission)</f>
        <v>-5.1162933597621307E-2</v>
      </c>
      <c r="AW13" s="326">
        <f ca="1">_xlfn.XLOOKUP(TabTRADER[[#This Row],[ClickTick]],TabCalc[Ticker],TabCalc[L_Sn])</f>
        <v>1000</v>
      </c>
      <c r="AX13" s="740">
        <f ca="1">_xlfn.XLOOKUP(TabTRADER[[#This Row],[ClickTick]],TabCalc[Ticker],TabCalc[L_Sp])</f>
        <v>69.34</v>
      </c>
      <c r="AY13" s="778">
        <f ca="1">-IFERROR((TabTRADER[[#This Row],[M]]-TabTRADER[[#This Row],[L_Sp]])/TabTRADER[[#This Row],[L_Sp]],0)</f>
        <v>-1.8603980386501181E-2</v>
      </c>
      <c r="AZ13" s="741">
        <f ca="1">TabTRADER[[#This Row],[L_Sn]]*(TabTRADER[[#This Row],[M]]-TabTRADER[[#This Row],[L_Sp]])*(1-Commission)*TabTRADER[[#This Row],[Scale]]</f>
        <v>1286.645999999992</v>
      </c>
      <c r="BA13" s="701">
        <f ca="1">TabTRADER[[#This Row],[L_Sn]]*(TabTRADER[[#This Row],[Agiotage]]-TabTRADER[[#This Row],[M]])/(TabTRADER[[#This Row],[L_Bn]]*TabTRADER[[#This Row],[M]])</f>
        <v>-0.99017266150219974</v>
      </c>
      <c r="BB13" s="641">
        <f ca="1">IFERROR((TabTRADER[[#This Row],[M]]-TabTRADER[[#This Row],[A]])/TabTRADER[[#This Row],[A]],0)</f>
        <v>5.1041666666666555E-2</v>
      </c>
      <c r="BC13" s="644" t="str">
        <f ca="1">TEXT(_xlfn.XLOOKUP(TabTRADER[[#This Row],[ClickTick]],TabCalc[Ticker],TabCalc[NAfter]),"#,#0")&amp;" : "&amp;TEXT(_xlfn.XLOOKUP(TabTRADER[[#This Row],[ClickTick]],TabCalc[Ticker],TabCalc[NAfter])*(TabTRADER[[#This Row],[M]]-TabTRADER[[#This Row],[A]])*(1-Commission)*TabTRADER[[#This Row],[Scale]],"#,#0$")</f>
        <v>1,000 : 3,421$</v>
      </c>
      <c r="BD13" s="693">
        <f ca="1">_xlfn.XLOOKUP(TabTRADER[[#This Row],[ClickTick]],TabCalc[[#This Row],[Ticker]],TabCalc[[#This Row],[GL]])*(1-Commission)</f>
        <v>130927.55098999997</v>
      </c>
      <c r="BE13" s="693"/>
      <c r="BF13" s="675" t="str">
        <f ca="1">TabTRADER[[#This Row],[ClickTick]]&amp;": "&amp;_xlfn.XLOOKUP(TabTRADER[[#This Row],[ClickTick]],TabCalc[Ticker],TabCalc[Pile?])</f>
        <v>CSCO: Pile</v>
      </c>
      <c r="BG13" s="353" t="s">
        <v>1945</v>
      </c>
      <c r="BH13" s="769" t="str" cm="1">
        <f t="array" aca="1" ref="BH13" ca="1">_xlfn.TEXTJOIN("",,INDEX({"M","A","Y"}, _xlfn.SORTBY({1,2,3}, -CHOOSE({1,2,3}, TabTRADER[[#This Row],[M]], TabTRADER[[#This Row],[A]], TabTRADER[[#This Row],[Agiotage]]))))</f>
        <v>MAY</v>
      </c>
      <c r="BI13" s="976" cm="1">
        <f t="array" aca="1" ref="BI1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1.8264193685402691E-2</v>
      </c>
      <c r="BJ13" s="688">
        <f ca="1">TabTRADER[[#This Row],[L_Sn]]*TabTRADER[[#This Row],[L_Sp]]+TabTRADER[[#This Row],[SellMore]]*TabTRADER[[#This Row],[M]]</f>
        <v>139970</v>
      </c>
      <c r="BK13" s="688">
        <f ca="1">INDEX(
  INDEX(TabConsolid[], , _xlfn.XMATCH(TabTRADER[[#This Row],[ClickTick]]&amp;1, TabConsolid[#Headers])),
  MATCH(
    -TabTRADER[[#This Row],[M]],
    INDEX(TabConsolid[], , _xlfn.XMATCH(TabTRADER[[#This Row],[ClickTick]]&amp;2, TabConsolid[#Headers])),
    -1
  )
)</f>
        <v>1000</v>
      </c>
      <c r="BL13" s="688" cm="1">
        <f t="array" aca="1" ref="BL1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3" s="1260">
        <f ca="1">TabTRADER[[#This Row],[ReBuy]]/(TabTRADER[[#This Row],[L_Sn]]+TabTRADER[[#This Row],[SellMore]])</f>
        <v>69.984999999999999</v>
      </c>
      <c r="BN13" s="696">
        <f ca="1">((_xlfn.XLOOKUP(TabTRADER[[#This Row],[ClickTick]],TabCalc[Ticker],TabCalc[NAfter])+TabTRADER[[#This Row],[L_Sn]])*(TabTRADER[[#This Row],[Agiotage]]-TabTRADER[[#This Row],[M]]))/(TabTRADER[[#This Row],[L_Sn]]*_xlfn.XLOOKUP(TabTRADER[[#This Row],[ClickTick]],TabCalc[Ticker],TabCalc[NAfter]))</f>
        <v>-0.13987179016380072</v>
      </c>
      <c r="BO13" s="696">
        <f ca="1">(TabTRADER[[#This Row],[M]]-TabTRADER[[#This Row],[Agiotage]])/(TabTRADER[[#This Row],[M]]-TabTRADER[[#This Row],[A]])-1</f>
        <v>19.389473784810647</v>
      </c>
      <c r="BP13" s="1388">
        <f ca="1">_xlfn.XMATCH(TabTRADER[[#This Row],[ClickTick]]&amp;1, TabConsolid[#Headers])</f>
        <v>35</v>
      </c>
      <c r="BQ13" t="b">
        <f ca="1">IF(ABS(TabTRADER[[#This Row],[L_Bp]])&gt;=TabTRADER[[#This Row],[M]],"OK")</f>
        <v>0</v>
      </c>
    </row>
    <row r="14" spans="1:69" hidden="1">
      <c r="A14" s="225">
        <f ca="1">IF(_xlfn.XLOOKUP(TabTRADER[[#This Row],[ClickTick]],TabCalc[Ticker],TabCalc[Cur])="GBp",0.01,1)</f>
        <v>1</v>
      </c>
      <c r="B1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-56.05x2000=    +26 USD</v>
      </c>
      <c r="C14"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31.6%</v>
      </c>
      <c r="D14" s="697" t="str" cm="1">
        <f t="array" aca="1" ref="D1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4" s="228" t="str">
        <f ca="1">TRUNC(TabCalc[[#This Row],[L_B1p]],2)&amp;"x"&amp;TabCalc[[#This Row],[L_B1n]]&amp;"=   "&amp;TEXT(TabCalc[[#This Row],[ReverseS1]],"#,#0")&amp;"$"</f>
        <v>-46.24x2300=   36$</v>
      </c>
      <c r="G14" s="227" t="str">
        <f ca="1">IFERROR(TRUNC(_xlfn.XLOOKUP(TabTRADER[[#This Row],[ClickTick]],TabCalc[Ticker],ListLastSalep),2)&amp;"x"&amp;_xlfn.XLOOKUP(TabTRADER[[#This Row],[ClickTick]],TabCalc[Ticker],ListLastSalen)&amp;"=   "&amp;TEXT(-_xlfn.XLOOKUP(TabTRADER[[#This Row],[ClickTick]],TabCalc[Ticker],ListReverseB),"#,#0")&amp;"$","")</f>
        <v>74.68x249=   1,804$</v>
      </c>
      <c r="H1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-8.8% = 0</v>
      </c>
      <c r="I14" s="228" t="str">
        <f ca="1">IFERROR(TRUNC(TabCalc[[#This Row],[L_S1p]],2)&amp;"x"&amp;TabCalc[[#This Row],[L_S1n]]&amp;"=   "&amp;TEXT(TabCalc[[#This Row],[ReverseB1]],"#,#0"),"")</f>
        <v>62.73x750=   -14,396</v>
      </c>
      <c r="J14" s="297">
        <f ca="1">_xlfn.XLOOKUP(TabTRADER[[#This Row],[ClickTick]],TabCalc[Ticker],ListGravity)</f>
        <v>1.0227226901013058</v>
      </c>
      <c r="K14" s="324" t="str" cm="1">
        <f t="array" aca="1" ref="K14" ca="1">IF(_xlfn.XLOOKUP(TabTRADER[[#This Row],[ClickTick]],TabTRADER[ClickTick],ListExtra_n)&gt;0,_xlfn.XLOOKUP(TabTRADER[[#This Row],[ClickTick]],TabTRADER[ClickTick],ListExtra_n),"")</f>
        <v/>
      </c>
      <c r="L14" s="322" t="str">
        <f ca="1">IF(_xlfn.XLOOKUP(TabTRADER[[#This Row],[ClickTick]],TabCalc[Ticker],ListExtra_n)&gt;0,_xlfn.XLOOKUP(TabTRADER[[#This Row],[ClickTick]],TabCalc[Ticker],ListExtra_n)*TabTRADER[[#This Row],[M]]*_xlfn.XLOOKUP(TabTRADER[[#This Row],[ClickTick]],TabCalc[Ticker],ListScale),"")</f>
        <v/>
      </c>
      <c r="M14" s="325">
        <f ca="1">_xlfn.XLOOKUP(TabTRADER[[#This Row],[ClickTick]],TabCalc[Ticker],TabCalc[Agiotage])</f>
        <v>0.76801882949153322</v>
      </c>
      <c r="N14" s="326" cm="1">
        <f t="array" aca="1" ref="N14" ca="1">_xlfn.XLOOKUP(TabTRADER[[#This Row],[ClickTick]],ListTickers,Tab2RSIConventional[RSIConv20])</f>
        <v>69</v>
      </c>
      <c r="O14" s="712" t="str">
        <f ca="1">TEXT(_xlfn.XLOOKUP(TabTRADER[[#This Row],[ClickTick]],TabCalc[Ticker],TabCalc[Nbegin]),"#,#0")&amp;": "&amp;_xlfn.XLOOKUP(TabTRADER[[#This Row],[ClickTick]],TabCalc[Ticker],TabCalc[Pile?])</f>
        <v xml:space="preserve">2,000: </v>
      </c>
      <c r="P14" s="323">
        <f ca="1">_xlfn.XLOOKUP(TabTRADER[[#This Row],[ClickTick]],TabCalc[Ticker],TabCalc[L_Bn])</f>
        <v>2000</v>
      </c>
      <c r="Q14" s="690">
        <f ca="1">_xlfn.XLOOKUP(TabTRADER[[#This Row],[ClickTick]],TabCalc[Ticker],TabCalc[L_Bp])</f>
        <v>-56.056190000000001</v>
      </c>
      <c r="R14" s="778">
        <f ca="1">(TabTRADER[[#This Row],[M]]+TabTRADER[[#This Row],[L_Bp]])/ABS(TabTRADER[[#This Row],[L_Bp]])</f>
        <v>0.46156918620405712</v>
      </c>
      <c r="S14" s="692">
        <f ca="1">_xlfn.XLOOKUP(TabTRADER[[#This Row],[ClickTick]],TabCalc[Ticker],TabCalc[Rev(MinStock)])*(1-Commission)</f>
        <v>25.806538094000004</v>
      </c>
      <c r="T14" s="798">
        <f ca="1">_xlfn.XLOOKUP(TabTRADER[[#This Row],[ClickTick]],TabCalc[Ticker],TabCalc[Agiotage])</f>
        <v>0.76801882949153322</v>
      </c>
      <c r="U14" s="759" t="str" cm="1">
        <f t="array" aca="1" ref="U1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0/0=&gt;0.5% / 1.1%</v>
      </c>
      <c r="V14" s="751" t="str">
        <f ca="1">_xlfn.XLOOKUP(TabTRADER[[#This Row],[ClickTick]],[1]!RTData[Ticker symbol],[1]!RTData[Currency])</f>
        <v>USD</v>
      </c>
      <c r="W14" s="718">
        <f ca="1">_xlfn.XLOOKUP(TabTRADER[[#This Row],[ClickTick]],TabCalc[Ticker],TabCalc[M])</f>
        <v>81.93</v>
      </c>
      <c r="X14" s="762" t="str">
        <f ca="1">SORTING!B14</f>
        <v>CVS</v>
      </c>
      <c r="Y14" s="819">
        <f ca="1">_xlfn.XLOOKUP(TabTRADER[[#This Row],[ClickTick]],TabCalc[Ticker],TabCalc[Y])</f>
        <v>83.791669999999996</v>
      </c>
      <c r="Z14" s="835">
        <f ca="1">_xlfn.XLOOKUP(TabTRADER[[#This Row],[ClickTick]],[1]!RTData[Ticker symbol],[1]!RTData[YTChange])</f>
        <v>0.15894426002766252</v>
      </c>
      <c r="AA14" s="851">
        <f ca="1">-_xlfn.XLOOKUP(TabTRADER[[#This Row],[ClickTick]]&amp;2,Consolid!B$3:JZ$3,Consolid!B$4:JZ$4)</f>
        <v>56.056190000000001</v>
      </c>
      <c r="AB14" s="835" cm="1">
        <f t="array" aca="1" ref="AB14" ca="1">_xlfn.XLOOKUP(TabTRADER[[#This Row],[ClickTick]],ListTickers,Tab1ChangePercent[Change%19])</f>
        <v>5.1229999999999999E-3</v>
      </c>
      <c r="AC14" s="782">
        <f ca="1">_xlfn.XLOOKUP(TabTRADER[[#This Row],[ClickTick]],TabCalc[Ticker],TabCalc[NAfter])</f>
        <v>1</v>
      </c>
      <c r="AD1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-44/0 K$</v>
      </c>
      <c r="AE14" s="1299" t="str" cm="1">
        <f t="array" aca="1" ref="AE1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14" s="1281" t="str" cm="1">
        <f t="array" aca="1" ref="AF14" ca="1">_xlfn.IFS(       TabTRADER[[#This Row],[Traps]]=RePurchaseGain,TEXT(TabTRADER[[#This Row],[L_Sn]],"#,#0")&amp;" x "&amp;TEXT(TabTRADER[[#This Row],[L_Sp]],"#,#0.#0"),     TabTRADER[[#This Row],[Traps]]=ReSaleGain,TEXT(TabTRADER[[#This Row],[L_Bn]],"#0,#0")&amp;" x "&amp;TEXT(TabTRADER[[#This Row],[L_Bp]],"#,#0.#0"),               TRUE,"")</f>
        <v/>
      </c>
      <c r="AG14" s="1281" t="str" cm="1">
        <f t="array" aca="1" ref="AG1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 x 74.69</v>
      </c>
      <c r="AH14" s="1281" cm="1">
        <f t="array" aca="1" ref="AH1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7.2261630000000041</v>
      </c>
      <c r="AI14" s="1281" cm="1">
        <f t="array" aca="1" ref="AI1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25.806538094000004</v>
      </c>
      <c r="AJ14" s="1290" cm="1">
        <f t="array" aca="1" ref="AJ1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0.46156918620405712</v>
      </c>
      <c r="AK14" s="1290" cm="1">
        <f t="array" aca="1" ref="AK1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8.5829146832662073E-2</v>
      </c>
      <c r="AL14" s="843" cm="1">
        <f t="array" aca="1" ref="AL14" ca="1">_xlfn.IFS(   TabTRADER[[#This Row],[Traps]]=SellMorePercentGain,                     MIN(TabTRADER[[#This Row],[L_Sn]],TabTRADER[[#This Row],[N]])*(TabTRADER[[#This Row],[M]]-TabTRADER[[#This Row],[L_Sp]])*(1-Commission)*TabTRADER[[#This Row],[Scale]],                    TRUE,"")</f>
        <v>7.2261630000000041</v>
      </c>
      <c r="AM14" s="1039">
        <f ca="1">_xlfn.XLOOKUP(TabTRADER[[#This Row],[ClickTick]],TabCalc[Ticker],TabCalc[Ann%RevLB])</f>
        <v>0.61090039350536973</v>
      </c>
      <c r="AN14" s="1038">
        <f ca="1">_xlfn.XLOOKUP(TabTRADER[[#This Row],[ClickTick]],TabCalc[Ticker],TabCalc[Up20])</f>
        <v>0.4</v>
      </c>
      <c r="AO14" s="312" t="str" cm="1">
        <f t="array" aca="1" ref="AO1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4" s="843" t="str" cm="1">
        <f t="array" aca="1" ref="AP14" ca="1">_xlfn.IFS(         TabTRADER[[#This Row],[Traps]]=MDown,TabTRADER[[#This Row],[L_Bn]]*TabTRADER[[#This Row],[M]]*(-(TabTRADER[[#This Row],[L_Bp]]+TabTRADER[[#This Row],[M]])/TabTRADER[[#This Row],[M]])*(1-Commission)*TabTRADER[[#This Row],[Scale]],                               TRUE,"")</f>
        <v/>
      </c>
      <c r="AQ14" s="1290" cm="1">
        <f t="array" aca="1" ref="AQ14" ca="1">_xlfn.IFS(   TabTRADER[[#This Row],[Traps]]=MUp,TabTRADER[[#This Row],[TakeGain_A]]-Commission,        TabTRADER[[#This Row],[Traps]]=MDown,(TabTRADER[[#This Row],[A]]-TabTRADER[[#This Row],[M]])/TabTRADER[[#This Row],[M]]-Commission,                              TRUE,"")</f>
        <v>0.45896918620405713</v>
      </c>
      <c r="AR14" s="843" cm="1">
        <f t="array" aca="1" ref="AR1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37.718040880791591</v>
      </c>
      <c r="AS14" s="774" t="str" cm="1">
        <f t="array" aca="1" ref="AS1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T14" s="748" t="str" cm="1">
        <f t="array" aca="1" ref="AT1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1x25.87</v>
      </c>
      <c r="AU14" s="779" cm="1">
        <f t="array" aca="1" ref="AU14" ca="1">_xlfn.IFS(TabTRADER[[#This Row],[Traps]]=ReSaleGain,"",         TabTRADER[[#This Row],[Traps]]=MDown, (TabTRADER[[#This Row],[M]]-TabTRADER[[#This Row],[A]])/TabTRADER[[#This Row],[A]]*ComFactor,             TRUE, IFERROR((TabTRADER[[#This Row],[M]]-TabTRADER[[#This Row],[A]])/TabTRADER[[#This Row],[A]]*ComFactor,""))</f>
        <v>0.46036910631992656</v>
      </c>
      <c r="AV14" s="776" cm="1">
        <f t="array" aca="1" ref="AV14" ca="1">_xlfn.IFS(               TabTRADER[[#This Row],[Traps]]=NoStock,(TabTRADER[[#This Row],[L_Sp]]-TabTRADER[[#This Row],[M]])/TabTRADER[[#This Row],[M]]-Commission,             TabTRADER[[#This Row],[A]]&lt;&gt;0,(TabTRADER[[#This Row],[A]]-TabTRADER[[#This Row],[M]])/TabTRADER[[#This Row],[M]]-Commission)</f>
        <v>-0.31840385695105583</v>
      </c>
      <c r="AW14" s="326">
        <f ca="1">_xlfn.XLOOKUP(TabTRADER[[#This Row],[ClickTick]],TabCalc[Ticker],TabCalc[L_Sn])</f>
        <v>249</v>
      </c>
      <c r="AX14" s="740">
        <f ca="1">_xlfn.XLOOKUP(TabTRADER[[#This Row],[ClickTick]],TabCalc[Ticker],TabCalc[L_Sp])</f>
        <v>74.685000000000002</v>
      </c>
      <c r="AY14" s="778">
        <f ca="1">-IFERROR((TabTRADER[[#This Row],[M]]-TabTRADER[[#This Row],[L_Sp]])/TabTRADER[[#This Row],[L_Sp]],0)</f>
        <v>-9.7007431211086625E-2</v>
      </c>
      <c r="AZ14" s="741">
        <f ca="1">TabTRADER[[#This Row],[L_Sn]]*(TabTRADER[[#This Row],[M]]-TabTRADER[[#This Row],[L_Sp]])*(1-Commission)*TabTRADER[[#This Row],[Scale]]</f>
        <v>1799.314587000001</v>
      </c>
      <c r="BA14" s="701">
        <f ca="1">TabTRADER[[#This Row],[L_Sn]]*(TabTRADER[[#This Row],[Agiotage]]-TabTRADER[[#This Row],[M]])/(TabTRADER[[#This Row],[L_Bn]]*TabTRADER[[#This Row],[M]])</f>
        <v>-0.1233329263484475</v>
      </c>
      <c r="BB14" s="641">
        <f ca="1">IFERROR((TabTRADER[[#This Row],[M]]-TabTRADER[[#This Row],[A]])/TabTRADER[[#This Row],[A]],0)</f>
        <v>0.46156918620405712</v>
      </c>
      <c r="BC14" s="644" t="str">
        <f ca="1">TEXT(_xlfn.XLOOKUP(TabTRADER[[#This Row],[ClickTick]],TabCalc[Ticker],TabCalc[NAfter]),"#,#0")&amp;" : "&amp;TEXT(_xlfn.XLOOKUP(TabTRADER[[#This Row],[ClickTick]],TabCalc[Ticker],TabCalc[NAfter])*(TabTRADER[[#This Row],[M]]-TabTRADER[[#This Row],[A]])*(1-Commission)*TabTRADER[[#This Row],[Scale]],"#,#0$")</f>
        <v>1 : 26$</v>
      </c>
      <c r="BD14" s="693">
        <f ca="1">_xlfn.XLOOKUP(TabTRADER[[#This Row],[ClickTick]],TabCalc[[#This Row],[Ticker]],TabCalc[[#This Row],[GL]])*(1-Commission)</f>
        <v>-44327.084149000002</v>
      </c>
      <c r="BE14" s="693"/>
      <c r="BF14" s="675" t="str">
        <f ca="1">TabTRADER[[#This Row],[ClickTick]]&amp;": "&amp;_xlfn.XLOOKUP(TabTRADER[[#This Row],[ClickTick]],TabCalc[Ticker],TabCalc[Pile?])</f>
        <v xml:space="preserve">CVS: </v>
      </c>
      <c r="BG14" s="353" t="s">
        <v>1946</v>
      </c>
      <c r="BH14" s="769" t="str" cm="1">
        <f t="array" aca="1" ref="BH14" ca="1">_xlfn.TEXTJOIN("",,INDEX({"M","A","Y"}, _xlfn.SORTBY({1,2,3}, -CHOOSE({1,2,3}, TabTRADER[[#This Row],[M]], TabTRADER[[#This Row],[A]], TabTRADER[[#This Row],[Agiotage]]))))</f>
        <v>MAY</v>
      </c>
      <c r="BI14" s="976" cm="1">
        <f t="array" aca="1" ref="BI1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8.8429146832662078E-2</v>
      </c>
      <c r="BJ14" s="688">
        <f ca="1">TabTRADER[[#This Row],[L_Sn]]*TabTRADER[[#This Row],[L_Sp]]+TabTRADER[[#This Row],[SellMore]]*TabTRADER[[#This Row],[M]]</f>
        <v>18678.495000000003</v>
      </c>
      <c r="BK14" s="688">
        <f ca="1">INDEX(
  INDEX(TabConsolid[], , _xlfn.XMATCH(TabTRADER[[#This Row],[ClickTick]]&amp;1, TabConsolid[#Headers])),
  MATCH(
    -TabTRADER[[#This Row],[M]],
    INDEX(TabConsolid[], , _xlfn.XMATCH(TabTRADER[[#This Row],[ClickTick]]&amp;2, TabConsolid[#Headers])),
    -1
  )
)</f>
        <v>1</v>
      </c>
      <c r="BL14" s="688" cm="1">
        <f t="array" aca="1" ref="BL1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4" s="1260">
        <f ca="1">TabTRADER[[#This Row],[ReBuy]]/(TabTRADER[[#This Row],[L_Sn]]+TabTRADER[[#This Row],[SellMore]])</f>
        <v>74.713980000000006</v>
      </c>
      <c r="BN14" s="696">
        <f ca="1">((_xlfn.XLOOKUP(TabTRADER[[#This Row],[ClickTick]],TabCalc[Ticker],TabCalc[NAfter])+TabTRADER[[#This Row],[L_Sn]])*(TabTRADER[[#This Row],[Agiotage]]-TabTRADER[[#This Row],[M]]))/(TabTRADER[[#This Row],[L_Sn]]*_xlfn.XLOOKUP(TabTRADER[[#This Row],[ClickTick]],TabCalc[Ticker],TabCalc[NAfter]))</f>
        <v>-81.487932902116938</v>
      </c>
      <c r="BO14" s="696">
        <f ca="1">(TabTRADER[[#This Row],[M]]-TabTRADER[[#This Row],[Agiotage]])/(TabTRADER[[#This Row],[M]]-TabTRADER[[#This Row],[A]])-1</f>
        <v>2.1368391887591525</v>
      </c>
      <c r="BP14" s="1388">
        <f ca="1">_xlfn.XMATCH(TabTRADER[[#This Row],[ClickTick]]&amp;1, TabConsolid[#Headers])</f>
        <v>38</v>
      </c>
      <c r="BQ14" t="b">
        <f ca="1">IF(ABS(TabTRADER[[#This Row],[L_Bp]])&gt;=TabTRADER[[#This Row],[M]],"OK")</f>
        <v>0</v>
      </c>
    </row>
    <row r="15" spans="1:69" hidden="1">
      <c r="A15" s="225">
        <f ca="1">IF(_xlfn.XLOOKUP(TabTRADER[[#This Row],[ClickTick]],TabCalc[Ticker],TabCalc[Cur])="GBp",0.01,1)</f>
        <v>1</v>
      </c>
      <c r="B1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-1.91x20000=    +24,400 USD</v>
      </c>
      <c r="C15"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39.0%</v>
      </c>
      <c r="D15" s="697" t="str" cm="1">
        <f t="array" aca="1" ref="D1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4,098/85,000=12,828</v>
      </c>
      <c r="E15" s="765" t="str">
        <f ca="1">IF(      AND(TabTRADER[[#This Row],[A]]&lt;TabTRADER[[#This Row],[M]],    _xlfn.XLOOKUP(TabTRADER[[#This Row],[ClickTick]],TabCalc[Ticker],TabCalc[L_Sp])&gt;TabTRADER[[#This Row],[M]]),"BUY  "&amp;TEXT(DesiredBuyGain/TabTRADER[[#This Row],[Scale]]/(_xlfn.XLOOKUP(TabTRADER[[#This Row],[ClickTick]],TabCalc[Ticker],TabCalc[L_Sp])-TabTRADER[[#This Row],[M]]),"#,##0"),"")</f>
        <v>BUY  250,000</v>
      </c>
      <c r="F15" s="228" t="str">
        <f ca="1">TRUNC(TabCalc[[#This Row],[L_B1p]],2)&amp;"x"&amp;TabCalc[[#This Row],[L_B1n]]&amp;"=   "&amp;TEXT(TabCalc[[#This Row],[ReverseS1]],"#,#0")&amp;"$"</f>
        <v>-3.66x15000=   -7,950$</v>
      </c>
      <c r="G15" s="227" t="str">
        <f ca="1">IFERROR(TRUNC(_xlfn.XLOOKUP(TabTRADER[[#This Row],[ClickTick]],TabCalc[Ticker],ListLastSalep),2)&amp;"x"&amp;_xlfn.XLOOKUP(TabTRADER[[#This Row],[ClickTick]],TabCalc[Ticker],ListLastSalen)&amp;"=   "&amp;TEXT(-_xlfn.XLOOKUP(TabTRADER[[#This Row],[ClickTick]],TabCalc[Ticker],ListReverseB),"#,#0")&amp;"$","")</f>
        <v>3.15x10000=   -200$</v>
      </c>
      <c r="H1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0.6% = 250,000</v>
      </c>
      <c r="I15" s="228" t="str">
        <f ca="1">IFERROR(TRUNC(TabCalc[[#This Row],[L_S1p]],2)&amp;"x"&amp;TabCalc[[#This Row],[L_S1n]]&amp;"=   "&amp;TEXT(TabCalc[[#This Row],[ReverseB1]],"#,#0"),"")</f>
        <v>3.08x5000=   -250</v>
      </c>
      <c r="J15" s="297">
        <f ca="1">_xlfn.XLOOKUP(TabTRADER[[#This Row],[ClickTick]],TabCalc[Ticker],ListGravity)</f>
        <v>1.0383386581469649</v>
      </c>
      <c r="K15" s="324" cm="1">
        <f t="array" aca="1" ref="K15" ca="1">IF(_xlfn.XLOOKUP(TabTRADER[[#This Row],[ClickTick]],TabTRADER[ClickTick],ListExtra_n)&gt;0,_xlfn.XLOOKUP(TabTRADER[[#This Row],[ClickTick]],TabTRADER[ClickTick],ListExtra_n),"")</f>
        <v>45000</v>
      </c>
      <c r="L15" s="322">
        <f ca="1">IF(_xlfn.XLOOKUP(TabTRADER[[#This Row],[ClickTick]],TabCalc[Ticker],ListExtra_n)&gt;0,_xlfn.XLOOKUP(TabTRADER[[#This Row],[ClickTick]],TabCalc[Ticker],ListExtra_n)*TabTRADER[[#This Row],[M]]*_xlfn.XLOOKUP(TabTRADER[[#This Row],[ClickTick]],TabCalc[Ticker],ListScale),"")</f>
        <v>140850</v>
      </c>
      <c r="M15" s="325">
        <f ca="1">_xlfn.XLOOKUP(TabTRADER[[#This Row],[ClickTick]],TabCalc[Ticker],TabCalc[Agiotage])</f>
        <v>0.66744662603510774</v>
      </c>
      <c r="N15" s="326" cm="1">
        <f t="array" aca="1" ref="N15" ca="1">_xlfn.XLOOKUP(TabTRADER[[#This Row],[ClickTick]],ListTickers,Tab2RSIConventional[RSIConv20])</f>
        <v>46</v>
      </c>
      <c r="O15" s="712" t="str">
        <f ca="1">TEXT(_xlfn.XLOOKUP(TabTRADER[[#This Row],[ClickTick]],TabCalc[Ticker],TabCalc[Nbegin]),"#,#0")&amp;": "&amp;_xlfn.XLOOKUP(TabTRADER[[#This Row],[ClickTick]],TabCalc[Ticker],TabCalc[Pile?])</f>
        <v xml:space="preserve">40,000: </v>
      </c>
      <c r="P15" s="746">
        <f ca="1">_xlfn.XLOOKUP(TabTRADER[[#This Row],[ClickTick]],TabCalc[Ticker],TabCalc[L_Bn])</f>
        <v>20000</v>
      </c>
      <c r="Q15" s="740">
        <f ca="1">_xlfn.XLOOKUP(TabTRADER[[#This Row],[ClickTick]],TabCalc[Ticker],TabCalc[L_Bp])</f>
        <v>-1.91</v>
      </c>
      <c r="R15" s="778">
        <f ca="1">(TabTRADER[[#This Row],[M]]+TabTRADER[[#This Row],[L_Bp]])/ABS(TabTRADER[[#This Row],[L_Bp]])</f>
        <v>0.63874345549738221</v>
      </c>
      <c r="S15" s="692">
        <f ca="1">_xlfn.XLOOKUP(TabTRADER[[#This Row],[ClickTick]],TabCalc[Ticker],TabCalc[Rev(MinStock)])*(1-Commission)</f>
        <v>24336.559999999998</v>
      </c>
      <c r="T15" s="798">
        <f ca="1">_xlfn.XLOOKUP(TabTRADER[[#This Row],[ClickTick]],TabCalc[Ticker],TabCalc[Agiotage])</f>
        <v>0.66744662603510774</v>
      </c>
      <c r="U15" s="759" t="str" cm="1">
        <f t="array" aca="1" ref="U1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-4,250/-4,250=&gt;1.0% / 1.6%</v>
      </c>
      <c r="V15" s="751" t="str">
        <f ca="1">_xlfn.XLOOKUP(TabTRADER[[#This Row],[ClickTick]],[1]!RTData[Ticker symbol],[1]!RTData[Currency])</f>
        <v>USD</v>
      </c>
      <c r="W15" s="761">
        <f ca="1">_xlfn.XLOOKUP(TabTRADER[[#This Row],[ClickTick]],TabCalc[Ticker],TabCalc[M])</f>
        <v>3.13</v>
      </c>
      <c r="X15" s="762" t="str">
        <f ca="1">SORTING!B15</f>
        <v>DDD</v>
      </c>
      <c r="Y15" s="819">
        <f ca="1">_xlfn.XLOOKUP(TabTRADER[[#This Row],[ClickTick]],TabCalc[Ticker],TabCalc[Y])</f>
        <v>3.25</v>
      </c>
      <c r="Z15" s="835">
        <f ca="1">_xlfn.XLOOKUP(TabTRADER[[#This Row],[ClickTick]],[1]!RTData[Ticker symbol],[1]!RTData[YTChange])</f>
        <v>-0.17512690355329949</v>
      </c>
      <c r="AA15" s="851">
        <f ca="1">-_xlfn.XLOOKUP(TabTRADER[[#This Row],[ClickTick]]&amp;2,Consolid!B$3:JZ$3,Consolid!B$4:JZ$4)</f>
        <v>2.9870588235294115</v>
      </c>
      <c r="AB15" s="835" cm="1">
        <f t="array" aca="1" ref="AB15" ca="1">_xlfn.XLOOKUP(TabTRADER[[#This Row],[ClickTick]],ListTickers,Tab1ChangePercent[Change%19])</f>
        <v>1.0238000000000001E-2</v>
      </c>
      <c r="AC15" s="782">
        <f ca="1">_xlfn.XLOOKUP(TabTRADER[[#This Row],[ClickTick]],TabCalc[Ticker],TabCalc[NAfter])</f>
        <v>85000</v>
      </c>
      <c r="AD1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-247/266 K$</v>
      </c>
      <c r="AE15" s="1299" t="str" cm="1">
        <f t="array" aca="1" ref="AE1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5" s="1281" t="str" cm="1">
        <f t="array" aca="1" ref="AF15" ca="1">_xlfn.IFS(       TabTRADER[[#This Row],[Traps]]=RePurchaseGain,TEXT(TabTRADER[[#This Row],[L_Sn]],"#,#0")&amp;" x "&amp;TEXT(TabTRADER[[#This Row],[L_Sp]],"#,#0.#0"),     TabTRADER[[#This Row],[Traps]]=ReSaleGain,TEXT(TabTRADER[[#This Row],[L_Bn]],"#0,#0")&amp;" x "&amp;TEXT(TabTRADER[[#This Row],[L_Bp]],"#,#0.#0"),               TRUE,"")</f>
        <v>10,000 x 3.15</v>
      </c>
      <c r="AG15" s="1281" cm="1">
        <f t="array" aca="1" ref="AG1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199.48000000000016</v>
      </c>
      <c r="AH15" s="1281" t="str" cm="1">
        <f t="array" aca="1" ref="AH1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5" s="1281" cm="1">
        <f t="array" aca="1" ref="AI1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199.48000000000016</v>
      </c>
      <c r="AJ15" s="1290" cm="1">
        <f t="array" aca="1" ref="AJ1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6.3492063492063553E-3</v>
      </c>
      <c r="AK15" s="1290" t="str" cm="1">
        <f t="array" aca="1" ref="AK1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5" s="843" t="str" cm="1">
        <f t="array" aca="1" ref="AL15" ca="1">_xlfn.IFS(   TabTRADER[[#This Row],[Traps]]=SellMorePercentGain,                     MIN(TabTRADER[[#This Row],[L_Sn]],TabTRADER[[#This Row],[N]])*(TabTRADER[[#This Row],[M]]-TabTRADER[[#This Row],[L_Sp]])*(1-Commission)*TabTRADER[[#This Row],[Scale]],                    TRUE,"")</f>
        <v/>
      </c>
      <c r="AM15" s="1039">
        <f ca="1">_xlfn.XLOOKUP(TabTRADER[[#This Row],[ClickTick]],TabCalc[Ticker],TabCalc[Ann%RevLB])</f>
        <v>1.3852267709581783</v>
      </c>
      <c r="AN15" s="1038">
        <f ca="1">_xlfn.XLOOKUP(TabTRADER[[#This Row],[ClickTick]],TabCalc[Ticker],TabCalc[Up20])</f>
        <v>0</v>
      </c>
      <c r="AO15" s="312" t="str" cm="1">
        <f t="array" aca="1" ref="AO1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5" s="843" t="str" cm="1">
        <f t="array" aca="1" ref="AP15" ca="1">_xlfn.IFS(         TabTRADER[[#This Row],[Traps]]=MDown,TabTRADER[[#This Row],[L_Bn]]*TabTRADER[[#This Row],[M]]*(-(TabTRADER[[#This Row],[L_Bp]]+TabTRADER[[#This Row],[M]])/TabTRADER[[#This Row],[M]])*(1-Commission)*TabTRADER[[#This Row],[Scale]],                               TRUE,"")</f>
        <v/>
      </c>
      <c r="AQ15" s="1290" t="str" cm="1">
        <f t="array" aca="1" ref="AQ15" ca="1">_xlfn.IFS(   TabTRADER[[#This Row],[Traps]]=MUp,TabTRADER[[#This Row],[TakeGain_A]]-Commission,        TabTRADER[[#This Row],[Traps]]=MDown,(TabTRADER[[#This Row],[A]]-TabTRADER[[#This Row],[M]])/TabTRADER[[#This Row],[M]]-Commission,                              TRUE,"")</f>
        <v/>
      </c>
      <c r="AR15" s="843" cm="1">
        <f t="array" aca="1" ref="AR1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12118.410000000009</v>
      </c>
      <c r="AS15" s="774" t="str" cm="1">
        <f t="array" aca="1" ref="AS1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-1.6%</v>
      </c>
      <c r="AT15" s="748" t="str" cm="1">
        <f t="array" aca="1" ref="AT1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5" s="779" cm="1">
        <f t="array" aca="1" ref="AU15" ca="1">_xlfn.IFS(TabTRADER[[#This Row],[Traps]]=ReSaleGain,"",         TabTRADER[[#This Row],[Traps]]=MDown, (TabTRADER[[#This Row],[M]]-TabTRADER[[#This Row],[A]])/TabTRADER[[#This Row],[A]]*ComFactor,             TRUE, IFERROR((TabTRADER[[#This Row],[M]]-TabTRADER[[#This Row],[A]])/TabTRADER[[#This Row],[A]]*ComFactor,""))</f>
        <v>4.7729066561638479E-2</v>
      </c>
      <c r="AV15" s="776" cm="1">
        <f t="array" aca="1" ref="AV15" ca="1">_xlfn.IFS(               TabTRADER[[#This Row],[Traps]]=NoStock,(TabTRADER[[#This Row],[L_Sp]]-TabTRADER[[#This Row],[M]])/TabTRADER[[#This Row],[M]]-Commission,             TabTRADER[[#This Row],[A]]&lt;&gt;0,(TabTRADER[[#This Row],[A]]-TabTRADER[[#This Row],[M]])/TabTRADER[[#This Row],[M]]-Commission)</f>
        <v>-4.8268107498590528E-2</v>
      </c>
      <c r="AW15" s="326">
        <f ca="1">_xlfn.XLOOKUP(TabTRADER[[#This Row],[ClickTick]],TabCalc[Ticker],TabCalc[L_Sn])</f>
        <v>10000</v>
      </c>
      <c r="AX15" s="740">
        <f ca="1">_xlfn.XLOOKUP(TabTRADER[[#This Row],[ClickTick]],TabCalc[Ticker],TabCalc[L_Sp])</f>
        <v>3.15</v>
      </c>
      <c r="AY15" s="778">
        <f ca="1">-IFERROR((TabTRADER[[#This Row],[M]]-TabTRADER[[#This Row],[L_Sp]])/TabTRADER[[#This Row],[L_Sp]],0)</f>
        <v>6.3492063492063553E-3</v>
      </c>
      <c r="AZ15" s="741">
        <f ca="1">TabTRADER[[#This Row],[L_Sn]]*(TabTRADER[[#This Row],[M]]-TabTRADER[[#This Row],[L_Sp]])*(1-Commission)*TabTRADER[[#This Row],[Scale]]</f>
        <v>-199.48000000000016</v>
      </c>
      <c r="BA15" s="701">
        <f ca="1">TabTRADER[[#This Row],[L_Sn]]*(TabTRADER[[#This Row],[Agiotage]]-TabTRADER[[#This Row],[M]])/(TabTRADER[[#This Row],[L_Bn]]*TabTRADER[[#This Row],[M]])</f>
        <v>-0.3933791332212288</v>
      </c>
      <c r="BB15" s="641">
        <f ca="1">IFERROR((TabTRADER[[#This Row],[M]]-TabTRADER[[#This Row],[A]])/TabTRADER[[#This Row],[A]],0)</f>
        <v>4.785348562426156E-2</v>
      </c>
      <c r="BC15" s="644" t="str">
        <f ca="1">TEXT(_xlfn.XLOOKUP(TabTRADER[[#This Row],[ClickTick]],TabCalc[Ticker],TabCalc[NAfter]),"#,#0")&amp;" : "&amp;TEXT(_xlfn.XLOOKUP(TabTRADER[[#This Row],[ClickTick]],TabCalc[Ticker],TabCalc[NAfter])*(TabTRADER[[#This Row],[M]]-TabTRADER[[#This Row],[A]])*(1-Commission)*TabTRADER[[#This Row],[Scale]],"#,#0$")</f>
        <v>85,000 : 12,118$</v>
      </c>
      <c r="BD15" s="693">
        <f ca="1">_xlfn.XLOOKUP(TabTRADER[[#This Row],[ClickTick]],TabCalc[[#This Row],[Ticker]],TabCalc[[#This Row],[GL]])*(1-Commission)</f>
        <v>-245923.43229999999</v>
      </c>
      <c r="BE15" s="693"/>
      <c r="BF15" s="675" t="str">
        <f ca="1">TabTRADER[[#This Row],[ClickTick]]&amp;": "&amp;_xlfn.XLOOKUP(TabTRADER[[#This Row],[ClickTick]],TabCalc[Ticker],TabCalc[Pile?])</f>
        <v xml:space="preserve">DDD: </v>
      </c>
      <c r="BG15" s="353" t="s">
        <v>1947</v>
      </c>
      <c r="BH15" s="769" t="str" cm="1">
        <f t="array" aca="1" ref="BH15" ca="1">_xlfn.TEXTJOIN("",,INDEX({"M","A","Y"}, _xlfn.SORTBY({1,2,3}, -CHOOSE({1,2,3}, TabTRADER[[#This Row],[M]], TabTRADER[[#This Row],[A]], TabTRADER[[#This Row],[Agiotage]]))))</f>
        <v>MAY</v>
      </c>
      <c r="BI15" s="976" t="str" cm="1">
        <f t="array" aca="1" ref="BI1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5" s="688">
        <f ca="1">TabTRADER[[#This Row],[L_Sn]]*TabTRADER[[#This Row],[L_Sp]]+TabTRADER[[#This Row],[SellMore]]*TabTRADER[[#This Row],[M]]</f>
        <v>47150</v>
      </c>
      <c r="BK15" s="688">
        <f ca="1">INDEX(
  INDEX(TabConsolid[], , _xlfn.XMATCH(TabTRADER[[#This Row],[ClickTick]]&amp;1, TabConsolid[#Headers])),
  MATCH(
    -TabTRADER[[#This Row],[M]],
    INDEX(TabConsolid[], , _xlfn.XMATCH(TabTRADER[[#This Row],[ClickTick]]&amp;2, TabConsolid[#Headers])),
    -1
  )
)</f>
        <v>5000</v>
      </c>
      <c r="BL15" s="688" cm="1">
        <f t="array" aca="1" ref="BL1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5000</v>
      </c>
      <c r="BM15" s="1260">
        <f ca="1">TabTRADER[[#This Row],[ReBuy]]/(TabTRADER[[#This Row],[L_Sn]]+TabTRADER[[#This Row],[SellMore]])</f>
        <v>3.1433333333333335</v>
      </c>
      <c r="BN15" s="696">
        <f ca="1">((_xlfn.XLOOKUP(TabTRADER[[#This Row],[ClickTick]],TabCalc[Ticker],TabCalc[NAfter])+TabTRADER[[#This Row],[L_Sn]])*(TabTRADER[[#This Row],[Agiotage]]-TabTRADER[[#This Row],[M]]))/(TabTRADER[[#This Row],[L_Sn]]*_xlfn.XLOOKUP(TabTRADER[[#This Row],[ClickTick]],TabCalc[Ticker],TabCalc[NAfter]))</f>
        <v>-2.7522655356078206E-4</v>
      </c>
      <c r="BO15" s="696">
        <f ca="1">(TabTRADER[[#This Row],[M]]-TabTRADER[[#This Row],[Agiotage]])/(TabTRADER[[#This Row],[M]]-TabTRADER[[#This Row],[A]])-1</f>
        <v>16.227739653252318</v>
      </c>
      <c r="BP15" s="1388">
        <f ca="1">_xlfn.XMATCH(TabTRADER[[#This Row],[ClickTick]]&amp;1, TabConsolid[#Headers])</f>
        <v>41</v>
      </c>
      <c r="BQ15" t="b">
        <f ca="1">IF(ABS(TabTRADER[[#This Row],[L_Bp]])&gt;=TabTRADER[[#This Row],[M]],"OK")</f>
        <v>0</v>
      </c>
    </row>
    <row r="16" spans="1:69" ht="23" hidden="1" customHeight="1">
      <c r="A16" s="225">
        <f ca="1">IF(_xlfn.XLOOKUP(TabTRADER[[#This Row],[ClickTick]],TabCalc[Ticker],TabCalc[Cur])="GBp",0.01,1)</f>
        <v>1</v>
      </c>
      <c r="B1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-115.89x800=    -3,374 USD</v>
      </c>
      <c r="C1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-3.8%</v>
      </c>
      <c r="D16" s="697" t="str" cm="1">
        <f t="array" aca="1" ref="D1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6"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6" s="228" t="str">
        <f ca="1">TRUNC(TabCalc[[#This Row],[L_B1p]],2)&amp;"x"&amp;TabCalc[[#This Row],[L_B1n]]&amp;"=   "&amp;TEXT(TabCalc[[#This Row],[ReverseS1]],"#,#0")&amp;"$"</f>
        <v>-109.28x800=   1,920$</v>
      </c>
      <c r="G16" s="227" t="str">
        <f ca="1">IFERROR(TRUNC(_xlfn.XLOOKUP(TabTRADER[[#This Row],[ClickTick]],TabCalc[Ticker],ListLastSalep),2)&amp;"x"&amp;_xlfn.XLOOKUP(TabTRADER[[#This Row],[ClickTick]],TabCalc[Ticker],ListLastSalen)&amp;"=   "&amp;TEXT(-_xlfn.XLOOKUP(TabTRADER[[#This Row],[ClickTick]],TabCalc[Ticker],ListReverseB),"#,#0")&amp;"$","")</f>
        <v>119.38x800=   -6,160$</v>
      </c>
      <c r="H1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6.9% = 649</v>
      </c>
      <c r="I16" s="228" t="str">
        <f ca="1">IFERROR(TRUNC(TabCalc[[#This Row],[L_S1p]],2)&amp;"x"&amp;TabCalc[[#This Row],[L_S1n]]&amp;"=   "&amp;TEXT(TabCalc[[#This Row],[ReverseB1]],"#,#0"),"")</f>
        <v>117.4x400=   2,288</v>
      </c>
      <c r="J16" s="297">
        <f ca="1">_xlfn.XLOOKUP(TabTRADER[[#This Row],[ClickTick]],TabCalc[Ticker],ListGravity)</f>
        <v>1.1995787965616047</v>
      </c>
      <c r="K16" s="324" cm="1">
        <f t="array" aca="1" ref="K16" ca="1">IF(_xlfn.XLOOKUP(TabTRADER[[#This Row],[ClickTick]],TabTRADER[ClickTick],ListExtra_n)&gt;0,_xlfn.XLOOKUP(TabTRADER[[#This Row],[ClickTick]],TabTRADER[ClickTick],ListExtra_n),"")</f>
        <v>650</v>
      </c>
      <c r="L16" s="322">
        <f ca="1">IF(_xlfn.XLOOKUP(TabTRADER[[#This Row],[ClickTick]],TabCalc[Ticker],ListExtra_n)&gt;0,_xlfn.XLOOKUP(TabTRADER[[#This Row],[ClickTick]],TabCalc[Ticker],ListExtra_n)*TabTRADER[[#This Row],[M]]*_xlfn.XLOOKUP(TabTRADER[[#This Row],[ClickTick]],TabCalc[Ticker],ListScale),"")</f>
        <v>72592</v>
      </c>
      <c r="M16" s="325">
        <f ca="1">_xlfn.XLOOKUP(TabTRADER[[#This Row],[ClickTick]],TabCalc[Ticker],TabCalc[Agiotage])</f>
        <v>0.69922147030240689</v>
      </c>
      <c r="N16" s="326" cm="1">
        <f t="array" aca="1" ref="N16" ca="1">_xlfn.XLOOKUP(TabTRADER[[#This Row],[ClickTick]],ListTickers,Tab2RSIConventional[RSIConv20])</f>
        <v>47</v>
      </c>
      <c r="O16" s="712" t="str">
        <f ca="1">TEXT(_xlfn.XLOOKUP(TabTRADER[[#This Row],[ClickTick]],TabCalc[Ticker],TabCalc[Nbegin]),"#,#0")&amp;": "&amp;_xlfn.XLOOKUP(TabTRADER[[#This Row],[ClickTick]],TabCalc[Ticker],TabCalc[Pile?])</f>
        <v xml:space="preserve">350: </v>
      </c>
      <c r="P16" s="746">
        <f ca="1">_xlfn.XLOOKUP(TabTRADER[[#This Row],[ClickTick]],TabCalc[Ticker],TabCalc[L_Bn])</f>
        <v>800</v>
      </c>
      <c r="Q16" s="690">
        <f ca="1">_xlfn.XLOOKUP(TabTRADER[[#This Row],[ClickTick]],TabCalc[Ticker],TabCalc[L_Bp])</f>
        <v>-115.89749999999999</v>
      </c>
      <c r="R16" s="778">
        <f ca="1">(TabTRADER[[#This Row],[M]]+TabTRADER[[#This Row],[L_Bp]])/ABS(TabTRADER[[#This Row],[L_Bp]])</f>
        <v>-3.6389913501153927E-2</v>
      </c>
      <c r="S16" s="692">
        <f ca="1">_xlfn.XLOOKUP(TabTRADER[[#This Row],[ClickTick]],TabCalc[Ticker],TabCalc[Rev(MinStock)])*(1-Commission)</f>
        <v>-3365.2275999999893</v>
      </c>
      <c r="T16" s="798">
        <f ca="1">_xlfn.XLOOKUP(TabTRADER[[#This Row],[ClickTick]],TabCalc[Ticker],TabCalc[Agiotage])</f>
        <v>0.69922147030240689</v>
      </c>
      <c r="U16" s="759" t="str" cm="1">
        <f t="array" aca="1" ref="U1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-1,550/-1,550=&gt;1.5% / -1.2%</v>
      </c>
      <c r="V16" s="751" t="str">
        <f ca="1">_xlfn.XLOOKUP(TabTRADER[[#This Row],[ClickTick]],[1]!RTData[Ticker symbol],[1]!RTData[Currency])</f>
        <v>USD</v>
      </c>
      <c r="W16" s="761">
        <f ca="1">_xlfn.XLOOKUP(TabTRADER[[#This Row],[ClickTick]],TabCalc[Ticker],TabCalc[M])</f>
        <v>111.68</v>
      </c>
      <c r="X16" s="762" t="str">
        <f ca="1">SORTING!B16</f>
        <v>DIS</v>
      </c>
      <c r="Y16" s="819">
        <f ca="1">_xlfn.XLOOKUP(TabTRADER[[#This Row],[ClickTick]],TabCalc[Ticker],TabCalc[Y])</f>
        <v>133.96896000000001</v>
      </c>
      <c r="Z16" s="835">
        <f ca="1">_xlfn.XLOOKUP(TabTRADER[[#This Row],[ClickTick]],[1]!RTData[Ticker symbol],[1]!RTData[YTChange])</f>
        <v>0.20454019061319917</v>
      </c>
      <c r="AA16" s="851">
        <f ca="1">-_xlfn.XLOOKUP(TabTRADER[[#This Row],[ClickTick]]&amp;2,Consolid!B$3:JZ$3,Consolid!B$4:JZ$4)</f>
        <v>114.574</v>
      </c>
      <c r="AB16" s="835" cm="1">
        <f t="array" aca="1" ref="AB16" ca="1">_xlfn.XLOOKUP(TabTRADER[[#This Row],[ClickTick]],ListTickers,Tab1ChangePercent[Change%19])</f>
        <v>1.4610000000000001E-2</v>
      </c>
      <c r="AC16" s="782">
        <f ca="1">_xlfn.XLOOKUP(TabTRADER[[#This Row],[ClickTick]],TabCalc[Ticker],TabCalc[NAfter])</f>
        <v>1000</v>
      </c>
      <c r="AD16"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^20/112 K$</v>
      </c>
      <c r="AE16" s="1299" t="str" cm="1">
        <f t="array" aca="1" ref="AE1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16" s="1281" t="str" cm="1">
        <f t="array" aca="1" ref="AF16" ca="1">_xlfn.IFS(       TabTRADER[[#This Row],[Traps]]=RePurchaseGain,TEXT(TabTRADER[[#This Row],[L_Sn]],"#,#0")&amp;" x "&amp;TEXT(TabTRADER[[#This Row],[L_Sp]],"#,#0.#0"),     TabTRADER[[#This Row],[Traps]]=ReSaleGain,TEXT(TabTRADER[[#This Row],[L_Bn]],"#0,#0")&amp;" x "&amp;TEXT(TabTRADER[[#This Row],[L_Bp]],"#,#0.#0"),               TRUE,"")</f>
        <v/>
      </c>
      <c r="AG16" s="1281" t="str" cm="1">
        <f t="array" aca="1" ref="AG1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800 x -115.90</v>
      </c>
      <c r="AH16" s="1281" cm="1">
        <f t="array" aca="1" ref="AH1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3365.2275999999893</v>
      </c>
      <c r="AI16" s="1281" cm="1">
        <f t="array" aca="1" ref="AI1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111680</v>
      </c>
      <c r="AJ16" s="1290" cm="1">
        <f t="array" aca="1" ref="AJ1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2.5258784715554938E-2</v>
      </c>
      <c r="AK16" s="1290" cm="1">
        <f t="array" aca="1" ref="AK1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3.5164147564469797E-2</v>
      </c>
      <c r="AL16" s="843" t="str" cm="1">
        <f t="array" aca="1" ref="AL16" ca="1">_xlfn.IFS(   TabTRADER[[#This Row],[Traps]]=SellMorePercentGain,                     MIN(TabTRADER[[#This Row],[L_Sn]],TabTRADER[[#This Row],[N]])*(TabTRADER[[#This Row],[M]]-TabTRADER[[#This Row],[L_Sp]])*(1-Commission)*TabTRADER[[#This Row],[Scale]],                    TRUE,"")</f>
        <v/>
      </c>
      <c r="AM16" s="1039">
        <f ca="1">_xlfn.XLOOKUP(TabTRADER[[#This Row],[ClickTick]],TabCalc[Ticker],TabCalc[Ann%RevLB])</f>
        <v>-0.28479062740033506</v>
      </c>
      <c r="AN16" s="1038">
        <f ca="1">_xlfn.XLOOKUP(TabTRADER[[#This Row],[ClickTick]],TabCalc[Ticker],TabCalc[Up20])</f>
        <v>0.35714285714285715</v>
      </c>
      <c r="AO16" s="312" cm="1">
        <f t="array" aca="1" ref="AO1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3.7764147564469795E-2</v>
      </c>
      <c r="AP16" s="843" cm="1">
        <f t="array" aca="1" ref="AP16" ca="1">_xlfn.IFS(         TabTRADER[[#This Row],[Traps]]=MDown,TabTRADER[[#This Row],[L_Bn]]*TabTRADER[[#This Row],[M]]*(-(TabTRADER[[#This Row],[L_Bp]]+TabTRADER[[#This Row],[M]])/TabTRADER[[#This Row],[M]])*(1-Commission)*TabTRADER[[#This Row],[Scale]],                               TRUE,"")</f>
        <v>3365.2275999999893</v>
      </c>
      <c r="AQ16" s="1290" cm="1">
        <f t="array" aca="1" ref="AQ16" ca="1">_xlfn.IFS(   TabTRADER[[#This Row],[Traps]]=MUp,TabTRADER[[#This Row],[TakeGain_A]]-Commission,        TabTRADER[[#This Row],[Traps]]=MDown,(TabTRADER[[#This Row],[A]]-TabTRADER[[#This Row],[M]])/TabTRADER[[#This Row],[M]]-Commission,                              TRUE,"")</f>
        <v>2.3313323782234878E-2</v>
      </c>
      <c r="AR16" s="843" cm="1">
        <f t="array" aca="1" ref="AR1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2886.4755999999911</v>
      </c>
      <c r="AS16" s="774" t="str" cm="1">
        <f t="array" aca="1" ref="AS1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0.0%</v>
      </c>
      <c r="AT16" s="748" cm="1">
        <f t="array" aca="1" ref="AT1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-4.21</v>
      </c>
      <c r="AU16" s="779" cm="1">
        <f t="array" aca="1" ref="AU16" ca="1">_xlfn.IFS(TabTRADER[[#This Row],[Traps]]=ReSaleGain,"",         TabTRADER[[#This Row],[Traps]]=MDown, (TabTRADER[[#This Row],[M]]-TabTRADER[[#This Row],[A]])/TabTRADER[[#This Row],[A]]*ComFactor,             TRUE, IFERROR((TabTRADER[[#This Row],[M]]-TabTRADER[[#This Row],[A]])/TabTRADER[[#This Row],[A]]*ComFactor,""))</f>
        <v>-2.5193111875294494E-2</v>
      </c>
      <c r="AV16" s="776" cm="1">
        <f t="array" aca="1" ref="AV16" ca="1">_xlfn.IFS(               TabTRADER[[#This Row],[Traps]]=NoStock,(TabTRADER[[#This Row],[L_Sp]]-TabTRADER[[#This Row],[M]])/TabTRADER[[#This Row],[M]]-Commission,             TabTRADER[[#This Row],[A]]&lt;&gt;0,(TabTRADER[[#This Row],[A]]-TabTRADER[[#This Row],[M]])/TabTRADER[[#This Row],[M]]-Commission)</f>
        <v>2.3313323782234878E-2</v>
      </c>
      <c r="AW16" s="326">
        <f ca="1">_xlfn.XLOOKUP(TabTRADER[[#This Row],[ClickTick]],TabCalc[Ticker],TabCalc[L_Sn])</f>
        <v>800</v>
      </c>
      <c r="AX16" s="740">
        <f ca="1">_xlfn.XLOOKUP(TabTRADER[[#This Row],[ClickTick]],TabCalc[Ticker],TabCalc[L_Sp])</f>
        <v>119.38</v>
      </c>
      <c r="AY16" s="778">
        <f ca="1">-IFERROR((TabTRADER[[#This Row],[M]]-TabTRADER[[#This Row],[L_Sp]])/TabTRADER[[#This Row],[L_Sp]],0)</f>
        <v>6.4499916233874924E-2</v>
      </c>
      <c r="AZ16" s="741">
        <f ca="1">TabTRADER[[#This Row],[L_Sn]]*(TabTRADER[[#This Row],[M]]-TabTRADER[[#This Row],[L_Sp]])*(1-Commission)*TabTRADER[[#This Row],[Scale]]</f>
        <v>-6143.9839999999904</v>
      </c>
      <c r="BA16" s="701">
        <f ca="1">TabTRADER[[#This Row],[L_Sn]]*(TabTRADER[[#This Row],[Agiotage]]-TabTRADER[[#This Row],[M]])/(TabTRADER[[#This Row],[L_Bn]]*TabTRADER[[#This Row],[M]])</f>
        <v>-0.99373906276591695</v>
      </c>
      <c r="BB16" s="641">
        <f ca="1">IFERROR((TabTRADER[[#This Row],[M]]-TabTRADER[[#This Row],[A]])/TabTRADER[[#This Row],[A]],0)</f>
        <v>-2.5258784715554938E-2</v>
      </c>
      <c r="BC16" s="644" t="str">
        <f ca="1">TEXT(_xlfn.XLOOKUP(TabTRADER[[#This Row],[ClickTick]],TabCalc[Ticker],TabCalc[NAfter]),"#,#0")&amp;" : "&amp;TEXT(_xlfn.XLOOKUP(TabTRADER[[#This Row],[ClickTick]],TabCalc[Ticker],TabCalc[NAfter])*(TabTRADER[[#This Row],[M]]-TabTRADER[[#This Row],[A]])*(1-Commission)*TabTRADER[[#This Row],[Scale]],"#,#0$")</f>
        <v>1,000 : -2,886$</v>
      </c>
      <c r="BD16" s="693">
        <f ca="1">_xlfn.XLOOKUP(TabTRADER[[#This Row],[ClickTick]],TabCalc[[#This Row],[Ticker]],TabCalc[[#This Row],[GL]])*(1-Commission)</f>
        <v>19930.533531199952</v>
      </c>
      <c r="BE16" s="693"/>
      <c r="BF16" s="675" t="str">
        <f ca="1">TabTRADER[[#This Row],[ClickTick]]&amp;": "&amp;_xlfn.XLOOKUP(TabTRADER[[#This Row],[ClickTick]],TabCalc[Ticker],TabCalc[Pile?])</f>
        <v xml:space="preserve">DIS: </v>
      </c>
      <c r="BG16" s="353" t="s">
        <v>1952</v>
      </c>
      <c r="BH16" s="769" t="str" cm="1">
        <f t="array" aca="1" ref="BH16" ca="1">_xlfn.TEXTJOIN("",,INDEX({"M","A","Y"}, _xlfn.SORTBY({1,2,3}, -CHOOSE({1,2,3}, TabTRADER[[#This Row],[M]], TabTRADER[[#This Row],[A]], TabTRADER[[#This Row],[Agiotage]]))))</f>
        <v>AMY</v>
      </c>
      <c r="BI16" s="976" cm="1">
        <f t="array" aca="1" ref="BI1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3.7764147564469795E-2</v>
      </c>
      <c r="BJ16" s="688" t="e">
        <f ca="1">TabTRADER[[#This Row],[L_Sn]]*TabTRADER[[#This Row],[L_Sp]]+TabTRADER[[#This Row],[SellMore]]*TabTRADER[[#This Row],[M]]</f>
        <v>#N/A</v>
      </c>
      <c r="BK16" s="688" t="e">
        <f ca="1">INDEX(
  INDEX(TabConsolid[], , _xlfn.XMATCH(TabTRADER[[#This Row],[ClickTick]]&amp;1, TabConsolid[#Headers])),
  MATCH(
    -TabTRADER[[#This Row],[M]],
    INDEX(TabConsolid[], , _xlfn.XMATCH(TabTRADER[[#This Row],[ClickTick]]&amp;2, TabConsolid[#Headers])),
    -1
  )
)</f>
        <v>#N/A</v>
      </c>
      <c r="BL16" s="688" cm="1">
        <f t="array" aca="1" ref="BL1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16" s="1260" t="e">
        <f ca="1">TabTRADER[[#This Row],[ReBuy]]/(TabTRADER[[#This Row],[L_Sn]]+TabTRADER[[#This Row],[SellMore]])</f>
        <v>#N/A</v>
      </c>
      <c r="BN16" s="696">
        <f ca="1">((_xlfn.XLOOKUP(TabTRADER[[#This Row],[ClickTick]],TabCalc[Ticker],TabCalc[NAfter])+TabTRADER[[#This Row],[L_Sn]])*(TabTRADER[[#This Row],[Agiotage]]-TabTRADER[[#This Row],[M]]))/(TabTRADER[[#This Row],[L_Sn]]*_xlfn.XLOOKUP(TabTRADER[[#This Row],[ClickTick]],TabCalc[Ticker],TabCalc[NAfter]))</f>
        <v>-0.24970675169181958</v>
      </c>
      <c r="BO16" s="696">
        <f ca="1">(TabTRADER[[#This Row],[M]]-TabTRADER[[#This Row],[Agiotage]])/(TabTRADER[[#This Row],[M]]-TabTRADER[[#This Row],[A]])-1</f>
        <v>-39.34857585684103</v>
      </c>
      <c r="BP16" s="1388">
        <f ca="1">_xlfn.XMATCH(TabTRADER[[#This Row],[ClickTick]]&amp;1, TabConsolid[#Headers])</f>
        <v>44</v>
      </c>
      <c r="BQ16" t="str">
        <f ca="1">IF(ABS(TabTRADER[[#This Row],[L_Bp]])&gt;=TabTRADER[[#This Row],[M]],"OK")</f>
        <v>OK</v>
      </c>
    </row>
    <row r="17" spans="1:69" ht="22" hidden="1" customHeight="1">
      <c r="A17" s="225">
        <f ca="1">IF(_xlfn.XLOOKUP(TabTRADER[[#This Row],[ClickTick]],TabCalc[Ticker],TabCalc[Cur])="GBp",0.01,1)</f>
        <v>1</v>
      </c>
      <c r="B1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-26.64x2000=    -1,900 EUR</v>
      </c>
      <c r="C17"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-3.7%</v>
      </c>
      <c r="D17" s="697" t="str" cm="1">
        <f t="array" aca="1" ref="D1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7" s="228" t="str">
        <f ca="1">TRUNC(TabCalc[[#This Row],[L_B1p]],2)&amp;"x"&amp;TabCalc[[#This Row],[L_B1n]]&amp;"=   "&amp;TEXT(TabCalc[[#This Row],[ReverseS1]],"#,#0")&amp;"$"</f>
        <v>-30.95x500=   -2,630$</v>
      </c>
      <c r="G17" s="227" t="str">
        <f ca="1">IFERROR(TRUNC(_xlfn.XLOOKUP(TabTRADER[[#This Row],[ClickTick]],TabCalc[Ticker],ListLastSalep),2)&amp;"x"&amp;_xlfn.XLOOKUP(TabTRADER[[#This Row],[ClickTick]],TabCalc[Ticker],ListLastSalen)&amp;"=   "&amp;TEXT(-_xlfn.XLOOKUP(TabTRADER[[#This Row],[ClickTick]],TabCalc[Ticker],ListReverseB),"#,#0")&amp;"$","")</f>
        <v>29.14x2000=   -6,900$</v>
      </c>
      <c r="H1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13.4% = 1,449</v>
      </c>
      <c r="I17" s="228" t="str">
        <f ca="1">IFERROR(TRUNC(TabCalc[[#This Row],[L_S1p]],2)&amp;"x"&amp;TabCalc[[#This Row],[L_S1n]]&amp;"=   "&amp;TEXT(TabCalc[[#This Row],[ReverseB1]],"#,#0"),"")</f>
        <v>38.69x500=   6,500</v>
      </c>
      <c r="J17" s="297">
        <f ca="1">_xlfn.XLOOKUP(TabTRADER[[#This Row],[ClickTick]],TabCalc[Ticker],ListGravity)</f>
        <v>1.3841961852861036</v>
      </c>
      <c r="K17" s="324" cm="1">
        <f t="array" aca="1" ref="K17" ca="1">IF(_xlfn.XLOOKUP(TabTRADER[[#This Row],[ClickTick]],TabTRADER[ClickTick],ListExtra_n)&gt;0,_xlfn.XLOOKUP(TabTRADER[[#This Row],[ClickTick]],TabTRADER[ClickTick],ListExtra_n),"")</f>
        <v>3750</v>
      </c>
      <c r="L17" s="322">
        <f ca="1">IF(_xlfn.XLOOKUP(TabTRADER[[#This Row],[ClickTick]],TabCalc[Ticker],ListExtra_n)&gt;0,_xlfn.XLOOKUP(TabTRADER[[#This Row],[ClickTick]],TabCalc[Ticker],ListExtra_n)*TabTRADER[[#This Row],[M]]*_xlfn.XLOOKUP(TabTRADER[[#This Row],[ClickTick]],TabCalc[Ticker],ListScale),"")</f>
        <v>96337.5</v>
      </c>
      <c r="M17" s="325">
        <f ca="1">_xlfn.XLOOKUP(TabTRADER[[#This Row],[ClickTick]],TabCalc[Ticker],TabCalc[Agiotage])</f>
        <v>2.1661298761699901</v>
      </c>
      <c r="N17" s="326" cm="1">
        <f t="array" aca="1" ref="N17" ca="1">_xlfn.XLOOKUP(TabTRADER[[#This Row],[ClickTick]],ListTickers,Tab2RSIConventional[RSIConv20])</f>
        <v>34</v>
      </c>
      <c r="O17" s="712" t="str">
        <f ca="1">TEXT(_xlfn.XLOOKUP(TabTRADER[[#This Row],[ClickTick]],TabCalc[Ticker],TabCalc[Nbegin]),"#,#0")&amp;": "&amp;_xlfn.XLOOKUP(TabTRADER[[#This Row],[ClickTick]],TabCalc[Ticker],TabCalc[Pile?])</f>
        <v>250: Pile</v>
      </c>
      <c r="P17" s="326">
        <f ca="1">_xlfn.XLOOKUP(TabTRADER[[#This Row],[ClickTick]],TabCalc[Ticker],TabCalc[L_Bn])</f>
        <v>2000</v>
      </c>
      <c r="Q17" s="690">
        <f ca="1">_xlfn.XLOOKUP(TabTRADER[[#This Row],[ClickTick]],TabCalc[Ticker],TabCalc[L_Bp])</f>
        <v>-26.64</v>
      </c>
      <c r="R17" s="778">
        <f ca="1">(TabTRADER[[#This Row],[M]]+TabTRADER[[#This Row],[L_Bp]])/ABS(TabTRADER[[#This Row],[L_Bp]])</f>
        <v>-3.5660660660660634E-2</v>
      </c>
      <c r="S17" s="692">
        <f ca="1">_xlfn.XLOOKUP(TabTRADER[[#This Row],[ClickTick]],TabCalc[Ticker],TabCalc[Rev(MinStock)])*(1-Commission)</f>
        <v>-1895.0599999999986</v>
      </c>
      <c r="T17" s="798">
        <f ca="1">_xlfn.XLOOKUP(TabTRADER[[#This Row],[ClickTick]],TabCalc[Ticker],TabCalc[Agiotage])</f>
        <v>2.1661298761699901</v>
      </c>
      <c r="U17" s="759" t="str" cm="1">
        <f t="array" aca="1" ref="U1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-2,440/-2,440=&gt;-1.2% / -2.0%</v>
      </c>
      <c r="V17" s="751" t="str">
        <f ca="1">_xlfn.XLOOKUP(TabTRADER[[#This Row],[ClickTick]],[1]!RTData[Ticker symbol],[1]!RTData[Currency])</f>
        <v>EUR</v>
      </c>
      <c r="W17" s="761">
        <f ca="1">_xlfn.XLOOKUP(TabTRADER[[#This Row],[ClickTick]],TabCalc[Ticker],TabCalc[M])</f>
        <v>25.69</v>
      </c>
      <c r="X17" s="762" t="str">
        <f ca="1">SORTING!B17</f>
        <v>DSY</v>
      </c>
      <c r="Y17" s="819">
        <f ca="1">_xlfn.XLOOKUP(TabTRADER[[#This Row],[ClickTick]],TabCalc[Ticker],TabCalc[Y])</f>
        <v>35.56</v>
      </c>
      <c r="Z17" s="835">
        <f ca="1">_xlfn.XLOOKUP(TabTRADER[[#This Row],[ClickTick]],[1]!RTData[Ticker symbol],[1]!RTData[YTChange])</f>
        <v>-6.3471161443244578E-2</v>
      </c>
      <c r="AA17" s="851">
        <f ca="1">-_xlfn.XLOOKUP(TabTRADER[[#This Row],[ClickTick]]&amp;2,Consolid!B$3:JZ$3,Consolid!B$4:JZ$4)</f>
        <v>30.072500000000002</v>
      </c>
      <c r="AB17" s="835" cm="1">
        <f t="array" aca="1" ref="AB17" ca="1">_xlfn.XLOOKUP(TabTRADER[[#This Row],[ClickTick]],ListTickers,Tab1ChangePercent[Change%19])</f>
        <v>-1.2032000000000001E-2</v>
      </c>
      <c r="AC17" s="782">
        <f ca="1">_xlfn.XLOOKUP(TabTRADER[[#This Row],[ClickTick]],TabCalc[Ticker],TabCalc[NAfter])</f>
        <v>4000</v>
      </c>
      <c r="AD17"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-3/103 K$</v>
      </c>
      <c r="AE17" s="1299" t="str" cm="1">
        <f t="array" aca="1" ref="AE1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7" s="1281" t="str" cm="1">
        <f t="array" aca="1" ref="AF17" ca="1">_xlfn.IFS(       TabTRADER[[#This Row],[Traps]]=RePurchaseGain,TEXT(TabTRADER[[#This Row],[L_Sn]],"#,#0")&amp;" x "&amp;TEXT(TabTRADER[[#This Row],[L_Sp]],"#,#0.#0"),     TabTRADER[[#This Row],[Traps]]=ReSaleGain,TEXT(TabTRADER[[#This Row],[L_Bn]],"#0,#0")&amp;" x "&amp;TEXT(TabTRADER[[#This Row],[L_Bp]],"#,#0.#0"),               TRUE,"")</f>
        <v>2,000 x 29.14</v>
      </c>
      <c r="AG17" s="1281" cm="1">
        <f t="array" aca="1" ref="AG1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6882.0599999999977</v>
      </c>
      <c r="AH17" s="1281" t="str" cm="1">
        <f t="array" aca="1" ref="AH1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7" s="1281" cm="1">
        <f t="array" aca="1" ref="AI1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6882.0599999999977</v>
      </c>
      <c r="AJ17" s="1290" cm="1">
        <f t="array" aca="1" ref="AJ1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0.11839396019217567</v>
      </c>
      <c r="AK17" s="1290" t="str" cm="1">
        <f t="array" aca="1" ref="AK1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7" s="843" t="str" cm="1">
        <f t="array" aca="1" ref="AL17" ca="1">_xlfn.IFS(   TabTRADER[[#This Row],[Traps]]=SellMorePercentGain,                     MIN(TabTRADER[[#This Row],[L_Sn]],TabTRADER[[#This Row],[N]])*(TabTRADER[[#This Row],[M]]-TabTRADER[[#This Row],[L_Sp]])*(1-Commission)*TabTRADER[[#This Row],[Scale]],                    TRUE,"")</f>
        <v/>
      </c>
      <c r="AM17" s="1296">
        <f ca="1">_xlfn.XLOOKUP(TabTRADER[[#This Row],[ClickTick]],TabCalc[Ticker],TabCalc[Ann%RevLB])</f>
        <v>-0.17586079229914833</v>
      </c>
      <c r="AN17" s="1392">
        <f ca="1">_xlfn.XLOOKUP(TabTRADER[[#This Row],[ClickTick]],TabCalc[Ticker],TabCalc[Up20])</f>
        <v>0</v>
      </c>
      <c r="AO17" s="312" t="str" cm="1">
        <f t="array" aca="1" ref="AO1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7" s="843" t="str" cm="1">
        <f t="array" aca="1" ref="AP17" ca="1">_xlfn.IFS(         TabTRADER[[#This Row],[Traps]]=MDown,TabTRADER[[#This Row],[L_Bn]]*TabTRADER[[#This Row],[M]]*(-(TabTRADER[[#This Row],[L_Bp]]+TabTRADER[[#This Row],[M]])/TabTRADER[[#This Row],[M]])*(1-Commission)*TabTRADER[[#This Row],[Scale]],                               TRUE,"")</f>
        <v/>
      </c>
      <c r="AQ17" s="1290" t="str" cm="1">
        <f t="array" aca="1" ref="AQ17" ca="1">_xlfn.IFS(   TabTRADER[[#This Row],[Traps]]=MUp,TabTRADER[[#This Row],[TakeGain_A]]-Commission,        TabTRADER[[#This Row],[Traps]]=MDown,(TabTRADER[[#This Row],[A]]-TabTRADER[[#This Row],[M]])/TabTRADER[[#This Row],[M]]-Commission,                              TRUE,"")</f>
        <v/>
      </c>
      <c r="AR17" s="843" cm="1">
        <f t="array" aca="1" ref="AR1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-17484.421999999999</v>
      </c>
      <c r="AS17" s="774" t="str" cm="1">
        <f t="array" aca="1" ref="AS1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-1.3%</v>
      </c>
      <c r="AT17" s="748" t="str" cm="1">
        <f t="array" aca="1" ref="AT1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7" s="779" cm="1">
        <f t="array" aca="1" ref="AU17" ca="1">_xlfn.IFS(TabTRADER[[#This Row],[Traps]]=ReSaleGain,"",         TabTRADER[[#This Row],[Traps]]=MDown, (TabTRADER[[#This Row],[M]]-TabTRADER[[#This Row],[A]])/TabTRADER[[#This Row],[A]]*ComFactor,             TRUE, IFERROR((TabTRADER[[#This Row],[M]]-TabTRADER[[#This Row],[A]])/TabTRADER[[#This Row],[A]]*ComFactor,""))</f>
        <v>-0.14535224873223043</v>
      </c>
      <c r="AV17" s="776" cm="1">
        <f t="array" aca="1" ref="AV17" ca="1">_xlfn.IFS(               TabTRADER[[#This Row],[Traps]]=NoStock,(TabTRADER[[#This Row],[L_Sp]]-TabTRADER[[#This Row],[M]])/TabTRADER[[#This Row],[M]]-Commission,             TabTRADER[[#This Row],[A]]&lt;&gt;0,(TabTRADER[[#This Row],[A]]-TabTRADER[[#This Row],[M]])/TabTRADER[[#This Row],[M]]-Commission)</f>
        <v>0.16799166991047101</v>
      </c>
      <c r="AW17" s="326">
        <f ca="1">_xlfn.XLOOKUP(TabTRADER[[#This Row],[ClickTick]],TabCalc[Ticker],TabCalc[L_Sn])</f>
        <v>2000</v>
      </c>
      <c r="AX17" s="740">
        <f ca="1">_xlfn.XLOOKUP(TabTRADER[[#This Row],[ClickTick]],TabCalc[Ticker],TabCalc[L_Sp])</f>
        <v>29.14</v>
      </c>
      <c r="AY17" s="778">
        <f ca="1">-IFERROR((TabTRADER[[#This Row],[M]]-TabTRADER[[#This Row],[L_Sp]])/TabTRADER[[#This Row],[L_Sp]],0)</f>
        <v>0.11839396019217567</v>
      </c>
      <c r="AZ17" s="741">
        <f ca="1">TabTRADER[[#This Row],[L_Sn]]*(TabTRADER[[#This Row],[M]]-TabTRADER[[#This Row],[L_Sp]])*(1-Commission)*TabTRADER[[#This Row],[Scale]]</f>
        <v>-6882.0599999999977</v>
      </c>
      <c r="BA17" s="701">
        <f ca="1">TabTRADER[[#This Row],[L_Sn]]*(TabTRADER[[#This Row],[Agiotage]]-TabTRADER[[#This Row],[M]])/(TabTRADER[[#This Row],[L_Bn]]*TabTRADER[[#This Row],[M]])</f>
        <v>-0.91568198224328579</v>
      </c>
      <c r="BB17" s="641">
        <f ca="1">IFERROR((TabTRADER[[#This Row],[M]]-TabTRADER[[#This Row],[A]])/TabTRADER[[#This Row],[A]],0)</f>
        <v>-0.14573114972150636</v>
      </c>
      <c r="BC17" s="644" t="str">
        <f ca="1">TEXT(_xlfn.XLOOKUP(TabTRADER[[#This Row],[ClickTick]],TabCalc[Ticker],TabCalc[NAfter]),"#,#0")&amp;" : "&amp;TEXT(_xlfn.XLOOKUP(TabTRADER[[#This Row],[ClickTick]],TabCalc[Ticker],TabCalc[NAfter])*(TabTRADER[[#This Row],[M]]-TabTRADER[[#This Row],[A]])*(1-Commission)*TabTRADER[[#This Row],[Scale]],"#,#0$")</f>
        <v>4,000 : -17,484$</v>
      </c>
      <c r="BD17" s="693">
        <f ca="1">_xlfn.XLOOKUP(TabTRADER[[#This Row],[ClickTick]],TabCalc[[#This Row],[Ticker]],TabCalc[[#This Row],[GL]])*(1-Commission)</f>
        <v>-3079.5642608000621</v>
      </c>
      <c r="BE17" s="693"/>
      <c r="BF17" s="675" t="str">
        <f ca="1">TabTRADER[[#This Row],[ClickTick]]&amp;": "&amp;_xlfn.XLOOKUP(TabTRADER[[#This Row],[ClickTick]],TabCalc[Ticker],TabCalc[Pile?])</f>
        <v>DSY: Pile</v>
      </c>
      <c r="BG17" s="353" t="s">
        <v>1953</v>
      </c>
      <c r="BH17" s="769" t="str" cm="1">
        <f t="array" aca="1" ref="BH17" ca="1">_xlfn.TEXTJOIN("",,INDEX({"M","A","Y"}, _xlfn.SORTBY({1,2,3}, -CHOOSE({1,2,3}, TabTRADER[[#This Row],[M]], TabTRADER[[#This Row],[A]], TabTRADER[[#This Row],[Agiotage]]))))</f>
        <v>AMY</v>
      </c>
      <c r="BI17" s="976" t="str" cm="1">
        <f t="array" aca="1" ref="BI1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7" s="688" t="e">
        <f ca="1">TabTRADER[[#This Row],[L_Sn]]*TabTRADER[[#This Row],[L_Sp]]+TabTRADER[[#This Row],[SellMore]]*TabTRADER[[#This Row],[M]]</f>
        <v>#N/A</v>
      </c>
      <c r="BK17" s="688" t="e">
        <f ca="1">INDEX(
  INDEX(TabConsolid[], , _xlfn.XMATCH(TabTRADER[[#This Row],[ClickTick]]&amp;1, TabConsolid[#Headers])),
  MATCH(
    -TabTRADER[[#This Row],[M]],
    INDEX(TabConsolid[], , _xlfn.XMATCH(TabTRADER[[#This Row],[ClickTick]]&amp;2, TabConsolid[#Headers])),
    -1
  )
)</f>
        <v>#N/A</v>
      </c>
      <c r="BL17" s="688" cm="1">
        <f t="array" aca="1" ref="BL1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17" s="1260" t="e">
        <f ca="1">TabTRADER[[#This Row],[ReBuy]]/(TabTRADER[[#This Row],[L_Sn]]+TabTRADER[[#This Row],[SellMore]])</f>
        <v>#N/A</v>
      </c>
      <c r="BN17" s="696">
        <f ca="1">((_xlfn.XLOOKUP(TabTRADER[[#This Row],[ClickTick]],TabCalc[Ticker],TabCalc[NAfter])+TabTRADER[[#This Row],[L_Sn]])*(TabTRADER[[#This Row],[Agiotage]]-TabTRADER[[#This Row],[M]]))/(TabTRADER[[#This Row],[L_Sn]]*_xlfn.XLOOKUP(TabTRADER[[#This Row],[ClickTick]],TabCalc[Ticker],TabCalc[NAfter]))</f>
        <v>-1.764290259287251E-2</v>
      </c>
      <c r="BO17" s="696">
        <f ca="1">(TabTRADER[[#This Row],[M]]-TabTRADER[[#This Row],[Agiotage]])/(TabTRADER[[#This Row],[M]]-TabTRADER[[#This Row],[A]])-1</f>
        <v>-6.3676828576908182</v>
      </c>
      <c r="BP17" s="1388">
        <f ca="1">_xlfn.XMATCH(TabTRADER[[#This Row],[ClickTick]]&amp;1, TabConsolid[#Headers])</f>
        <v>47</v>
      </c>
      <c r="BQ17" t="str">
        <f ca="1">IF(ABS(TabTRADER[[#This Row],[L_Bp]])&gt;=TabTRADER[[#This Row],[M]],"OK")</f>
        <v>OK</v>
      </c>
    </row>
    <row r="18" spans="1:69" ht="22" hidden="1" customHeight="1">
      <c r="A18" s="225">
        <f ca="1">IF(_xlfn.XLOOKUP(TabTRADER[[#This Row],[ClickTick]],TabCalc[Ticker],TabCalc[Cur])="GBp",0.01,1)</f>
        <v>1</v>
      </c>
      <c r="B1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-127.09x400=    +840 USD</v>
      </c>
      <c r="C18"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1.6%</v>
      </c>
      <c r="D18" s="697" t="str" cm="1">
        <f t="array" aca="1" ref="D1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8"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8" s="228" t="str">
        <f ca="1">TRUNC(TabCalc[[#This Row],[L_B1p]],2)&amp;"x"&amp;TabCalc[[#This Row],[L_B1n]]&amp;"=   "&amp;TEXT(TabCalc[[#This Row],[ReverseS1]],"#,#0")&amp;"$"</f>
        <v>-140.09x990=   -10,791$</v>
      </c>
      <c r="G18" s="227" t="str">
        <f ca="1">IFERROR(TRUNC(_xlfn.XLOOKUP(TabTRADER[[#This Row],[ClickTick]],TabCalc[Ticker],ListLastSalep),2)&amp;"x"&amp;_xlfn.XLOOKUP(TabTRADER[[#This Row],[ClickTick]],TabCalc[Ticker],ListLastSalen)&amp;"=   "&amp;TEXT(-_xlfn.XLOOKUP(TabTRADER[[#This Row],[ClickTick]],TabCalc[Ticker],ListReverseB),"#,#0")&amp;"$","")</f>
        <v>151.72x400=   -9,012$</v>
      </c>
      <c r="H1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17.4% = 222</v>
      </c>
      <c r="I18" s="228" t="str">
        <f ca="1">IFERROR(TRUNC(TabCalc[[#This Row],[L_S1p]],2)&amp;"x"&amp;TabCalc[[#This Row],[L_S1n]]&amp;"=   "&amp;TEXT(TabCalc[[#This Row],[ReverseB1]],"#,#0"),"")</f>
        <v>150.64x990=   21,236</v>
      </c>
      <c r="J18" s="297">
        <f ca="1">_xlfn.XLOOKUP(TabTRADER[[#This Row],[ClickTick]],TabCalc[Ticker],ListGravity)</f>
        <v>1.1726913847821039</v>
      </c>
      <c r="K18" s="324" cm="1">
        <f t="array" aca="1" ref="K18" ca="1">IF(_xlfn.XLOOKUP(TabTRADER[[#This Row],[ClickTick]],TabTRADER[ClickTick],ListExtra_n)&gt;0,_xlfn.XLOOKUP(TabTRADER[[#This Row],[ClickTick]],TabTRADER[ClickTick],ListExtra_n),"")</f>
        <v>400</v>
      </c>
      <c r="L18" s="322">
        <f ca="1">IF(_xlfn.XLOOKUP(TabTRADER[[#This Row],[ClickTick]],TabCalc[Ticker],ListExtra_n)&gt;0,_xlfn.XLOOKUP(TabTRADER[[#This Row],[ClickTick]],TabCalc[Ticker],ListExtra_n)*TabTRADER[[#This Row],[M]]*_xlfn.XLOOKUP(TabTRADER[[#This Row],[ClickTick]],TabCalc[Ticker],ListScale),"")</f>
        <v>51676</v>
      </c>
      <c r="M18" s="325">
        <f ca="1">_xlfn.XLOOKUP(TabTRADER[[#This Row],[ClickTick]],TabCalc[Ticker],TabCalc[Agiotage])</f>
        <v>0.98065088856976168</v>
      </c>
      <c r="N18" s="326" cm="1">
        <f t="array" aca="1" ref="N18" ca="1">_xlfn.XLOOKUP(TabTRADER[[#This Row],[ClickTick]],ListTickers,Tab2RSIConventional[RSIConv20])</f>
        <v>51</v>
      </c>
      <c r="O18" s="712" t="str">
        <f ca="1">TEXT(_xlfn.XLOOKUP(TabTRADER[[#This Row],[ClickTick]],TabCalc[Ticker],TabCalc[Nbegin]),"#,#0")&amp;": "&amp;_xlfn.XLOOKUP(TabTRADER[[#This Row],[ClickTick]],TabCalc[Ticker],TabCalc[Pile?])</f>
        <v>1,000: Pile</v>
      </c>
      <c r="P18" s="326">
        <f ca="1">_xlfn.XLOOKUP(TabTRADER[[#This Row],[ClickTick]],TabCalc[Ticker],TabCalc[L_Bn])</f>
        <v>400</v>
      </c>
      <c r="Q18" s="740">
        <f ca="1">_xlfn.XLOOKUP(TabTRADER[[#This Row],[ClickTick]],TabCalc[Ticker],TabCalc[L_Bp])</f>
        <v>-127.09</v>
      </c>
      <c r="R18" s="778">
        <f ca="1">(TabTRADER[[#This Row],[M]]+TabTRADER[[#This Row],[L_Bp]])/ABS(TabTRADER[[#This Row],[L_Bp]])</f>
        <v>1.6523723345660511E-2</v>
      </c>
      <c r="S18" s="692">
        <f ca="1">_xlfn.XLOOKUP(TabTRADER[[#This Row],[ClickTick]],TabCalc[Ticker],TabCalc[Rev(MinStock)])*(1-Commission)</f>
        <v>837.81599999999764</v>
      </c>
      <c r="T18" s="798">
        <f ca="1">_xlfn.XLOOKUP(TabTRADER[[#This Row],[ClickTick]],TabCalc[Ticker],TabCalc[Agiotage])</f>
        <v>0.98065088856976168</v>
      </c>
      <c r="U18" s="759" t="str" cm="1">
        <f t="array" aca="1" ref="U1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-140/-140=&gt;-2.0% / 0.9%</v>
      </c>
      <c r="V18" s="751" t="str">
        <f ca="1">_xlfn.XLOOKUP(TabTRADER[[#This Row],[ClickTick]],[1]!RTData[Ticker symbol],[1]!RTData[Currency])</f>
        <v>USD</v>
      </c>
      <c r="W18" s="761">
        <f ca="1">_xlfn.XLOOKUP(TabTRADER[[#This Row],[ClickTick]],TabCalc[Ticker],TabCalc[M])</f>
        <v>129.19</v>
      </c>
      <c r="X18" s="762" t="str">
        <f ca="1">SORTING!B18</f>
        <v>DVA</v>
      </c>
      <c r="Y18" s="819">
        <f ca="1">_xlfn.XLOOKUP(TabTRADER[[#This Row],[ClickTick]],TabCalc[Ticker],TabCalc[Y])</f>
        <v>151.5</v>
      </c>
      <c r="Z18" s="835">
        <f ca="1">_xlfn.XLOOKUP(TabTRADER[[#This Row],[ClickTick]],[1]!RTData[Ticker symbol],[1]!RTData[YTChange])</f>
        <v>-4.0531982267257793E-2</v>
      </c>
      <c r="AA18" s="851">
        <f ca="1">-_xlfn.XLOOKUP(TabTRADER[[#This Row],[ClickTick]]&amp;2,Consolid!B$3:JZ$3,Consolid!B$4:JZ$4)</f>
        <v>136.43592857142858</v>
      </c>
      <c r="AB18" s="835" cm="1">
        <f t="array" aca="1" ref="AB18" ca="1">_xlfn.XLOOKUP(TabTRADER[[#This Row],[ClickTick]],ListTickers,Tab1ChangePercent[Change%19])</f>
        <v>-1.984E-2</v>
      </c>
      <c r="AC18" s="782">
        <f ca="1">_xlfn.XLOOKUP(TabTRADER[[#This Row],[ClickTick]],TabCalc[Ticker],TabCalc[NAfter])</f>
        <v>1400</v>
      </c>
      <c r="AD18"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^37/181 K$</v>
      </c>
      <c r="AE18" s="1299" t="str" cm="1">
        <f t="array" aca="1" ref="AE1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18" s="1281" t="str" cm="1">
        <f t="array" aca="1" ref="AF18" ca="1">_xlfn.IFS(       TabTRADER[[#This Row],[Traps]]=RePurchaseGain,TEXT(TabTRADER[[#This Row],[L_Sn]],"#,#0")&amp;" x "&amp;TEXT(TabTRADER[[#This Row],[L_Sp]],"#,#0.#0"),     TabTRADER[[#This Row],[Traps]]=ReSaleGain,TEXT(TabTRADER[[#This Row],[L_Bn]],"#0,#0")&amp;" x "&amp;TEXT(TabTRADER[[#This Row],[L_Bp]],"#,#0.#0"),               TRUE,"")</f>
        <v>400 x -127.09</v>
      </c>
      <c r="AG18" s="1281" cm="1">
        <f t="array" aca="1" ref="AG1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837.81599999999764</v>
      </c>
      <c r="AH18" s="1281" t="str" cm="1">
        <f t="array" aca="1" ref="AH1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8" s="1281" cm="1">
        <f t="array" aca="1" ref="AI1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837.81599999999764</v>
      </c>
      <c r="AJ18" s="1290" cm="1">
        <f t="array" aca="1" ref="AJ1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1.6523723345660511E-2</v>
      </c>
      <c r="AK18" s="1290" t="str" cm="1">
        <f t="array" aca="1" ref="AK1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8" s="843" t="str" cm="1">
        <f t="array" aca="1" ref="AL18" ca="1">_xlfn.IFS(   TabTRADER[[#This Row],[Traps]]=SellMorePercentGain,                     MIN(TabTRADER[[#This Row],[L_Sn]],TabTRADER[[#This Row],[N]])*(TabTRADER[[#This Row],[M]]-TabTRADER[[#This Row],[L_Sp]])*(1-Commission)*TabTRADER[[#This Row],[Scale]],                    TRUE,"")</f>
        <v/>
      </c>
      <c r="AM18" s="1296">
        <f ca="1">_xlfn.XLOOKUP(TabTRADER[[#This Row],[ClickTick]],TabCalc[Ticker],TabCalc[Ann%RevLB])</f>
        <v>0.3499141414375167</v>
      </c>
      <c r="AN18" s="1392">
        <f ca="1">_xlfn.XLOOKUP(TabTRADER[[#This Row],[ClickTick]],TabCalc[Ticker],TabCalc[Up20])</f>
        <v>0.33333333333333331</v>
      </c>
      <c r="AO18" s="312" t="str" cm="1">
        <f t="array" aca="1" ref="AO1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8" s="843" t="str" cm="1">
        <f t="array" aca="1" ref="AP18" ca="1">_xlfn.IFS(         TabTRADER[[#This Row],[Traps]]=MDown,TabTRADER[[#This Row],[L_Bn]]*TabTRADER[[#This Row],[M]]*(-(TabTRADER[[#This Row],[L_Bp]]+TabTRADER[[#This Row],[M]])/TabTRADER[[#This Row],[M]])*(1-Commission)*TabTRADER[[#This Row],[Scale]],                               TRUE,"")</f>
        <v/>
      </c>
      <c r="AQ18" s="1290" t="str" cm="1">
        <f t="array" aca="1" ref="AQ18" ca="1">_xlfn.IFS(   TabTRADER[[#This Row],[Traps]]=MUp,TabTRADER[[#This Row],[TakeGain_A]]-Commission,        TabTRADER[[#This Row],[Traps]]=MDown,(TabTRADER[[#This Row],[A]]-TabTRADER[[#This Row],[M]])/TabTRADER[[#This Row],[M]]-Commission,                              TRUE,"")</f>
        <v/>
      </c>
      <c r="AR18" s="843" cm="1">
        <f t="array" aca="1" ref="AR1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-9580.5754479948009</v>
      </c>
      <c r="AS18" s="774" t="str" cm="1">
        <f t="array" aca="1" ref="AS1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0.4%</v>
      </c>
      <c r="AT18" s="748" t="str" cm="1">
        <f t="array" aca="1" ref="AT1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18" s="779" t="str" cm="1">
        <f t="array" aca="1" ref="AU18" ca="1">_xlfn.IFS(TabTRADER[[#This Row],[Traps]]=ReSaleGain,"",         TabTRADER[[#This Row],[Traps]]=MDown, (TabTRADER[[#This Row],[M]]-TabTRADER[[#This Row],[A]])/TabTRADER[[#This Row],[A]]*ComFactor,             TRUE, IFERROR((TabTRADER[[#This Row],[M]]-TabTRADER[[#This Row],[A]])/TabTRADER[[#This Row],[A]]*ComFactor,""))</f>
        <v/>
      </c>
      <c r="AV18" s="776" cm="1">
        <f t="array" aca="1" ref="AV18" ca="1">_xlfn.IFS(               TabTRADER[[#This Row],[Traps]]=NoStock,(TabTRADER[[#This Row],[L_Sp]]-TabTRADER[[#This Row],[M]])/TabTRADER[[#This Row],[M]]-Commission,             TabTRADER[[#This Row],[A]]&lt;&gt;0,(TabTRADER[[#This Row],[A]]-TabTRADER[[#This Row],[M]])/TabTRADER[[#This Row],[M]]-Commission)</f>
        <v>5.3487379607001923E-2</v>
      </c>
      <c r="AW18" s="326">
        <f ca="1">_xlfn.XLOOKUP(TabTRADER[[#This Row],[ClickTick]],TabCalc[Ticker],TabCalc[L_Sn])</f>
        <v>400</v>
      </c>
      <c r="AX18" s="740">
        <f ca="1">_xlfn.XLOOKUP(TabTRADER[[#This Row],[ClickTick]],TabCalc[Ticker],TabCalc[L_Sp])</f>
        <v>151.72</v>
      </c>
      <c r="AY18" s="778">
        <f ca="1">-IFERROR((TabTRADER[[#This Row],[M]]-TabTRADER[[#This Row],[L_Sp]])/TabTRADER[[#This Row],[L_Sp]],0)</f>
        <v>0.14849723174268389</v>
      </c>
      <c r="AZ18" s="741">
        <f ca="1">TabTRADER[[#This Row],[L_Sn]]*(TabTRADER[[#This Row],[M]]-TabTRADER[[#This Row],[L_Sp]])*(1-Commission)*TabTRADER[[#This Row],[Scale]]</f>
        <v>-8988.5687999999991</v>
      </c>
      <c r="BA18" s="701">
        <f ca="1">TabTRADER[[#This Row],[L_Sn]]*(TabTRADER[[#This Row],[Agiotage]]-TabTRADER[[#This Row],[M]])/(TabTRADER[[#This Row],[L_Bn]]*TabTRADER[[#This Row],[M]])</f>
        <v>-0.99240923532340153</v>
      </c>
      <c r="BB18" s="641">
        <f ca="1">IFERROR((TabTRADER[[#This Row],[M]]-TabTRADER[[#This Row],[A]])/TabTRADER[[#This Row],[A]],0)</f>
        <v>-5.3108654350053422E-2</v>
      </c>
      <c r="BC18" s="644" t="str">
        <f ca="1">TEXT(_xlfn.XLOOKUP(TabTRADER[[#This Row],[ClickTick]],TabCalc[Ticker],TabCalc[NAfter]),"#,#0")&amp;" : "&amp;TEXT(_xlfn.XLOOKUP(TabTRADER[[#This Row],[ClickTick]],TabCalc[Ticker],TabCalc[NAfter])*(TabTRADER[[#This Row],[M]]-TabTRADER[[#This Row],[A]])*(1-Commission)*TabTRADER[[#This Row],[Scale]],"#,#0$")</f>
        <v>1,400 : -10,118$</v>
      </c>
      <c r="BD18" s="693">
        <f ca="1">_xlfn.XLOOKUP(TabTRADER[[#This Row],[ClickTick]],TabCalc[[#This Row],[Ticker]],TabCalc[[#This Row],[GL]])*(1-Commission)</f>
        <v>37054.596905999941</v>
      </c>
      <c r="BE18" s="693"/>
      <c r="BF18" s="675" t="str">
        <f ca="1">TabTRADER[[#This Row],[ClickTick]]&amp;": "&amp;_xlfn.XLOOKUP(TabTRADER[[#This Row],[ClickTick]],TabCalc[Ticker],TabCalc[Pile?])</f>
        <v>DVA: Pile</v>
      </c>
      <c r="BG18" s="353" t="s">
        <v>1954</v>
      </c>
      <c r="BH18" s="769" t="str" cm="1">
        <f t="array" aca="1" ref="BH18" ca="1">_xlfn.TEXTJOIN("",,INDEX({"M","A","Y"}, _xlfn.SORTBY({1,2,3}, -CHOOSE({1,2,3}, TabTRADER[[#This Row],[M]], TabTRADER[[#This Row],[A]], TabTRADER[[#This Row],[Agiotage]]))))</f>
        <v>AMY</v>
      </c>
      <c r="BI18" s="976" t="str" cm="1">
        <f t="array" aca="1" ref="BI1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8" s="688" t="e">
        <f ca="1">TabTRADER[[#This Row],[L_Sn]]*TabTRADER[[#This Row],[L_Sp]]+TabTRADER[[#This Row],[SellMore]]*TabTRADER[[#This Row],[M]]</f>
        <v>#N/A</v>
      </c>
      <c r="BK18" s="688" t="e">
        <f ca="1">INDEX(
  INDEX(TabConsolid[], , _xlfn.XMATCH(TabTRADER[[#This Row],[ClickTick]]&amp;1, TabConsolid[#Headers])),
  MATCH(
    -TabTRADER[[#This Row],[M]],
    INDEX(TabConsolid[], , _xlfn.XMATCH(TabTRADER[[#This Row],[ClickTick]]&amp;2, TabConsolid[#Headers])),
    -1
  )
)</f>
        <v>#N/A</v>
      </c>
      <c r="BL18" s="688" cm="1">
        <f t="array" aca="1" ref="BL1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v>
      </c>
      <c r="BM18" s="1260" t="e">
        <f ca="1">TabTRADER[[#This Row],[ReBuy]]/(TabTRADER[[#This Row],[L_Sn]]+TabTRADER[[#This Row],[SellMore]])</f>
        <v>#N/A</v>
      </c>
      <c r="BN18" s="696">
        <f ca="1">((_xlfn.XLOOKUP(TabTRADER[[#This Row],[ClickTick]],TabCalc[Ticker],TabCalc[NAfter])+TabTRADER[[#This Row],[L_Sn]])*(TabTRADER[[#This Row],[Agiotage]]-TabTRADER[[#This Row],[M]]))/(TabTRADER[[#This Row],[L_Sn]]*_xlfn.XLOOKUP(TabTRADER[[#This Row],[ClickTick]],TabCalc[Ticker],TabCalc[NAfter]))</f>
        <v>-0.41210147928674007</v>
      </c>
      <c r="BO18" s="696">
        <f ca="1">(TabTRADER[[#This Row],[M]]-TabTRADER[[#This Row],[Agiotage]])/(TabTRADER[[#This Row],[M]]-TabTRADER[[#This Row],[A]])-1</f>
        <v>-18.693984676715218</v>
      </c>
      <c r="BP18" s="1388">
        <f ca="1">_xlfn.XMATCH(TabTRADER[[#This Row],[ClickTick]]&amp;1, TabConsolid[#Headers])</f>
        <v>50</v>
      </c>
      <c r="BQ18" t="b">
        <f ca="1">IF(ABS(TabTRADER[[#This Row],[L_Bp]])&gt;=TabTRADER[[#This Row],[M]],"OK")</f>
        <v>0</v>
      </c>
    </row>
    <row r="19" spans="1:69" ht="22" customHeight="1">
      <c r="A19" s="225">
        <f ca="1">IF(_xlfn.XLOOKUP(TabTRADER[[#This Row],[ClickTick]],TabCalc[Ticker],TabCalc[Cur])="GBp",0.01,1)</f>
        <v>1</v>
      </c>
      <c r="B1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-14.48x4000=    -3,760 USD</v>
      </c>
      <c r="C19"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-6.9%</v>
      </c>
      <c r="D19" s="697" t="str" cm="1">
        <f t="array" aca="1" ref="D1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9"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9" s="228" t="str">
        <f ca="1">TRUNC(TabCalc[[#This Row],[L_B1p]],2)&amp;"x"&amp;TabCalc[[#This Row],[L_B1n]]&amp;"=   "&amp;TEXT(TabCalc[[#This Row],[ReverseS1]],"#,#0")&amp;"$"</f>
        <v>-18.56x4000=   -20,110$</v>
      </c>
      <c r="G19" s="227" t="str">
        <f ca="1">IFERROR(TRUNC(_xlfn.XLOOKUP(TabTRADER[[#This Row],[ClickTick]],TabCalc[Ticker],ListLastSalep),2)&amp;"x"&amp;_xlfn.XLOOKUP(TabTRADER[[#This Row],[ClickTick]],TabCalc[Ticker],ListLastSalen)&amp;"=   "&amp;TEXT(-_xlfn.XLOOKUP(TabTRADER[[#This Row],[ClickTick]],TabCalc[Ticker],ListReverseB),"#,#0")&amp;"$","")</f>
        <v>20.32x4000=   -27,120$</v>
      </c>
      <c r="H1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50.1% = 737</v>
      </c>
      <c r="I19" s="228" t="str">
        <f ca="1">IFERROR(TRUNC(TabCalc[[#This Row],[L_S1p]],2)&amp;"x"&amp;TabCalc[[#This Row],[L_S1n]]&amp;"=   "&amp;TEXT(TabCalc[[#This Row],[ReverseB1]],"#,#0"),"")</f>
        <v>19.33x4000=   23,164</v>
      </c>
      <c r="J19" s="297">
        <f ca="1">_xlfn.XLOOKUP(TabTRADER[[#This Row],[ClickTick]],TabCalc[Ticker],ListGravity)</f>
        <v>1.1170605612998523</v>
      </c>
      <c r="K19" s="324" cm="1">
        <f t="array" aca="1" ref="K19" ca="1">IF(_xlfn.XLOOKUP(TabTRADER[[#This Row],[ClickTick]],TabTRADER[ClickTick],ListExtra_n)&gt;0,_xlfn.XLOOKUP(TabTRADER[[#This Row],[ClickTick]],TabTRADER[ClickTick],ListExtra_n),"")</f>
        <v>4111</v>
      </c>
      <c r="L19" s="322">
        <f ca="1">IF(_xlfn.XLOOKUP(TabTRADER[[#This Row],[ClickTick]],TabCalc[Ticker],ListExtra_n)&gt;0,_xlfn.XLOOKUP(TabTRADER[[#This Row],[ClickTick]],TabCalc[Ticker],ListExtra_n)*TabTRADER[[#This Row],[M]]*_xlfn.XLOOKUP(TabTRADER[[#This Row],[ClickTick]],TabCalc[Ticker],ListScale),"")</f>
        <v>55662.939999999995</v>
      </c>
      <c r="M19" s="325">
        <f ca="1">_xlfn.XLOOKUP(TabTRADER[[#This Row],[ClickTick]],TabCalc[Ticker],TabCalc[Agiotage])</f>
        <v>0.75184594229407342</v>
      </c>
      <c r="N19" s="326" cm="1">
        <f t="array" aca="1" ref="N19" ca="1">_xlfn.XLOOKUP(TabTRADER[[#This Row],[ClickTick]],ListTickers,Tab2RSIConventional[RSIConv20])</f>
        <v>78</v>
      </c>
      <c r="O19" s="712" t="str">
        <f ca="1">TEXT(_xlfn.XLOOKUP(TabTRADER[[#This Row],[ClickTick]],TabCalc[Ticker],TabCalc[Nbegin]),"#,#0")&amp;": "&amp;_xlfn.XLOOKUP(TabTRADER[[#This Row],[ClickTick]],TabCalc[Ticker],TabCalc[Pile?])</f>
        <v xml:space="preserve">1,889: </v>
      </c>
      <c r="P19" s="746">
        <f ca="1">_xlfn.XLOOKUP(TabTRADER[[#This Row],[ClickTick]],TabCalc[Ticker],TabCalc[L_Bn])</f>
        <v>4000</v>
      </c>
      <c r="Q19" s="740">
        <f ca="1">_xlfn.XLOOKUP(TabTRADER[[#This Row],[ClickTick]],TabCalc[Ticker],TabCalc[L_Bp])</f>
        <v>-14.48</v>
      </c>
      <c r="R19" s="778">
        <f ca="1">(TabTRADER[[#This Row],[M]]+TabTRADER[[#This Row],[L_Bp]])/ABS(TabTRADER[[#This Row],[L_Bp]])</f>
        <v>-6.4917127071823288E-2</v>
      </c>
      <c r="S19" s="692">
        <f ca="1">_xlfn.XLOOKUP(TabTRADER[[#This Row],[ClickTick]],TabCalc[Ticker],TabCalc[Rev(MinStock)])*(1-Commission)</f>
        <v>-3750.2240000000047</v>
      </c>
      <c r="T19" s="798">
        <f ca="1">_xlfn.XLOOKUP(TabTRADER[[#This Row],[ClickTick]],TabCalc[Ticker],TabCalc[Agiotage])</f>
        <v>0.75184594229407342</v>
      </c>
      <c r="U19" s="759" t="str" cm="1">
        <f t="array" aca="1" ref="U1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180/180=&gt;0.9% / 1.3%</v>
      </c>
      <c r="V19" s="751" t="str">
        <f ca="1">_xlfn.XLOOKUP(TabTRADER[[#This Row],[ClickTick]],[1]!RTData[Ticker symbol],[1]!RTData[Currency])</f>
        <v>USD</v>
      </c>
      <c r="W19" s="761">
        <f ca="1">_xlfn.XLOOKUP(TabTRADER[[#This Row],[ClickTick]],TabCalc[Ticker],TabCalc[M])</f>
        <v>13.54</v>
      </c>
      <c r="X19" s="762" t="str">
        <f ca="1">SORTING!B19</f>
        <v>DXC</v>
      </c>
      <c r="Y19" s="819">
        <f ca="1">_xlfn.XLOOKUP(TabTRADER[[#This Row],[ClickTick]],TabCalc[Ticker],TabCalc[Y])</f>
        <v>15.125</v>
      </c>
      <c r="Z19" s="835">
        <f ca="1">_xlfn.XLOOKUP(TabTRADER[[#This Row],[ClickTick]],[1]!RTData[Ticker symbol],[1]!RTData[YTChange])</f>
        <v>-0.23495194739504296</v>
      </c>
      <c r="AA19" s="851">
        <f ca="1">-_xlfn.XLOOKUP(TabTRADER[[#This Row],[ClickTick]]&amp;2,Consolid!B$3:JZ$3,Consolid!B$4:JZ$4)</f>
        <v>15.842499999999999</v>
      </c>
      <c r="AB19" s="835" cm="1">
        <f t="array" aca="1" ref="AB19" ca="1">_xlfn.XLOOKUP(TabTRADER[[#This Row],[ClickTick]],ListTickers,Tab1ChangePercent[Change%19])</f>
        <v>9.1390000000000013E-3</v>
      </c>
      <c r="AC19" s="782">
        <f ca="1">_xlfn.XLOOKUP(TabTRADER[[#This Row],[ClickTick]],TabCalc[Ticker],TabCalc[NAfter])</f>
        <v>6000</v>
      </c>
      <c r="AD19"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-46/81 K$</v>
      </c>
      <c r="AE19" s="1299" t="str" cm="1">
        <f t="array" aca="1" ref="AE1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19" s="1281" t="str" cm="1">
        <f t="array" aca="1" ref="AF19" ca="1">_xlfn.IFS(       TabTRADER[[#This Row],[Traps]]=RePurchaseGain,TEXT(TabTRADER[[#This Row],[L_Sn]],"#,#0")&amp;" x "&amp;TEXT(TabTRADER[[#This Row],[L_Sp]],"#,#0.#0"),     TabTRADER[[#This Row],[Traps]]=ReSaleGain,TEXT(TabTRADER[[#This Row],[L_Bn]],"#0,#0")&amp;" x "&amp;TEXT(TabTRADER[[#This Row],[L_Bp]],"#,#0.#0"),               TRUE,"")</f>
        <v/>
      </c>
      <c r="AG19" s="1281" t="str" cm="1">
        <f t="array" aca="1" ref="AG1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4,000 x -14.48</v>
      </c>
      <c r="AH19" s="1281" cm="1">
        <f t="array" aca="1" ref="AH1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3750.2240000000047</v>
      </c>
      <c r="AI19" s="1281" cm="1">
        <f t="array" aca="1" ref="AI1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81240</v>
      </c>
      <c r="AJ19" s="1290" cm="1">
        <f t="array" aca="1" ref="AJ1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0.14533691020987852</v>
      </c>
      <c r="AK19" s="1290" cm="1">
        <f t="array" aca="1" ref="AK1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6.6823929098966117E-2</v>
      </c>
      <c r="AL19" s="843" t="str" cm="1">
        <f t="array" aca="1" ref="AL19" ca="1">_xlfn.IFS(   TabTRADER[[#This Row],[Traps]]=SellMorePercentGain,                     MIN(TabTRADER[[#This Row],[L_Sn]],TabTRADER[[#This Row],[N]])*(TabTRADER[[#This Row],[M]]-TabTRADER[[#This Row],[L_Sp]])*(1-Commission)*TabTRADER[[#This Row],[Scale]],                    TRUE,"")</f>
        <v/>
      </c>
      <c r="AM19" s="1296">
        <f ca="1">_xlfn.XLOOKUP(TabTRADER[[#This Row],[ClickTick]],TabCalc[Ticker],TabCalc[Ann%RevLB])</f>
        <v>-0.2409295437717153</v>
      </c>
      <c r="AN19" s="1392">
        <f ca="1">_xlfn.XLOOKUP(TabTRADER[[#This Row],[ClickTick]],TabCalc[Ticker],TabCalc[Up20])</f>
        <v>0.5</v>
      </c>
      <c r="AO19" s="312" cm="1">
        <f t="array" aca="1" ref="AO1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6.9423929098966122E-2</v>
      </c>
      <c r="AP19" s="843" cm="1">
        <f t="array" aca="1" ref="AP19" ca="1">_xlfn.IFS(         TabTRADER[[#This Row],[Traps]]=MDown,TabTRADER[[#This Row],[L_Bn]]*TabTRADER[[#This Row],[M]]*(-(TabTRADER[[#This Row],[L_Bp]]+TabTRADER[[#This Row],[M]])/TabTRADER[[#This Row],[M]])*(1-Commission)*TabTRADER[[#This Row],[Scale]],                               TRUE,"")</f>
        <v>3750.2240000000047</v>
      </c>
      <c r="AQ19" s="1290" cm="1">
        <f t="array" aca="1" ref="AQ19" ca="1">_xlfn.IFS(   TabTRADER[[#This Row],[Traps]]=MUp,TabTRADER[[#This Row],[TakeGain_A]]-Commission,        TabTRADER[[#This Row],[Traps]]=MDown,(TabTRADER[[#This Row],[A]]-TabTRADER[[#This Row],[M]])/TabTRADER[[#This Row],[M]]-Commission,                              TRUE,"")</f>
        <v>0.16745169867060564</v>
      </c>
      <c r="AR19" s="843" cm="1">
        <f t="array" aca="1" ref="AR1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13779.081000000002</v>
      </c>
      <c r="AS19" s="774" t="str" cm="1">
        <f t="array" aca="1" ref="AS1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0.4%</v>
      </c>
      <c r="AT19" s="748" cm="1">
        <f t="array" aca="1" ref="AT1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-0.94</v>
      </c>
      <c r="AU19" s="779" cm="1">
        <f t="array" aca="1" ref="AU19" ca="1">_xlfn.IFS(TabTRADER[[#This Row],[Traps]]=ReSaleGain,"",         TabTRADER[[#This Row],[Traps]]=MDown, (TabTRADER[[#This Row],[M]]-TabTRADER[[#This Row],[A]])/TabTRADER[[#This Row],[A]]*ComFactor,             TRUE, IFERROR((TabTRADER[[#This Row],[M]]-TabTRADER[[#This Row],[A]])/TabTRADER[[#This Row],[A]]*ComFactor,""))</f>
        <v>-0.14495903424333281</v>
      </c>
      <c r="AV19" s="776" cm="1">
        <f t="array" aca="1" ref="AV19" ca="1">_xlfn.IFS(               TabTRADER[[#This Row],[Traps]]=NoStock,(TabTRADER[[#This Row],[L_Sp]]-TabTRADER[[#This Row],[M]])/TabTRADER[[#This Row],[M]]-Commission,             TabTRADER[[#This Row],[A]]&lt;&gt;0,(TabTRADER[[#This Row],[A]]-TabTRADER[[#This Row],[M]])/TabTRADER[[#This Row],[M]]-Commission)</f>
        <v>0.16745169867060564</v>
      </c>
      <c r="AW19" s="326">
        <f ca="1">_xlfn.XLOOKUP(TabTRADER[[#This Row],[ClickTick]],TabCalc[Ticker],TabCalc[L_Sn])</f>
        <v>4000</v>
      </c>
      <c r="AX19" s="740">
        <f ca="1">_xlfn.XLOOKUP(TabTRADER[[#This Row],[ClickTick]],TabCalc[Ticker],TabCalc[L_Sp])</f>
        <v>20.32</v>
      </c>
      <c r="AY19" s="778">
        <f ca="1">-IFERROR((TabTRADER[[#This Row],[M]]-TabTRADER[[#This Row],[L_Sp]])/TabTRADER[[#This Row],[L_Sp]],0)</f>
        <v>0.33366141732283472</v>
      </c>
      <c r="AZ19" s="741">
        <f ca="1">TabTRADER[[#This Row],[L_Sn]]*(TabTRADER[[#This Row],[M]]-TabTRADER[[#This Row],[L_Sp]])*(1-Commission)*TabTRADER[[#This Row],[Scale]]</f>
        <v>-27049.488000000001</v>
      </c>
      <c r="BA19" s="701">
        <f ca="1">TabTRADER[[#This Row],[L_Sn]]*(TabTRADER[[#This Row],[Agiotage]]-TabTRADER[[#This Row],[M]])/(TabTRADER[[#This Row],[L_Bn]]*TabTRADER[[#This Row],[M]])</f>
        <v>-0.94447223469024566</v>
      </c>
      <c r="BB19" s="641">
        <f ca="1">IFERROR((TabTRADER[[#This Row],[M]]-TabTRADER[[#This Row],[A]])/TabTRADER[[#This Row],[A]],0)</f>
        <v>-0.14533691020987852</v>
      </c>
      <c r="BC19" s="644" t="str">
        <f ca="1">TEXT(_xlfn.XLOOKUP(TabTRADER[[#This Row],[ClickTick]],TabCalc[Ticker],TabCalc[NAfter]),"#,#0")&amp;" : "&amp;TEXT(_xlfn.XLOOKUP(TabTRADER[[#This Row],[ClickTick]],TabCalc[Ticker],TabCalc[NAfter])*(TabTRADER[[#This Row],[M]]-TabTRADER[[#This Row],[A]])*(1-Commission)*TabTRADER[[#This Row],[Scale]],"#,#0$")</f>
        <v>6,000 : -13,779$</v>
      </c>
      <c r="BD19" s="693">
        <f ca="1">_xlfn.XLOOKUP(TabTRADER[[#This Row],[ClickTick]],TabCalc[[#This Row],[Ticker]],TabCalc[[#This Row],[GL]])*(1-Commission)</f>
        <v>-46224.150917799969</v>
      </c>
      <c r="BE19" s="693"/>
      <c r="BF19" s="675" t="str">
        <f ca="1">TabTRADER[[#This Row],[ClickTick]]&amp;": "&amp;_xlfn.XLOOKUP(TabTRADER[[#This Row],[ClickTick]],TabCalc[Ticker],TabCalc[Pile?])</f>
        <v xml:space="preserve">DXC: </v>
      </c>
      <c r="BG19" s="353" t="s">
        <v>1955</v>
      </c>
      <c r="BH19" s="769" t="str" cm="1">
        <f t="array" aca="1" ref="BH19" ca="1">_xlfn.TEXTJOIN("",,INDEX({"M","A","Y"}, _xlfn.SORTBY({1,2,3}, -CHOOSE({1,2,3}, TabTRADER[[#This Row],[M]], TabTRADER[[#This Row],[A]], TabTRADER[[#This Row],[Agiotage]]))))</f>
        <v>AMY</v>
      </c>
      <c r="BI19" s="976" cm="1">
        <f t="array" aca="1" ref="BI1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6.9423929098966122E-2</v>
      </c>
      <c r="BJ19" s="688" t="e">
        <f ca="1">TabTRADER[[#This Row],[L_Sn]]*TabTRADER[[#This Row],[L_Sp]]+TabTRADER[[#This Row],[SellMore]]*TabTRADER[[#This Row],[M]]</f>
        <v>#N/A</v>
      </c>
      <c r="BK19" s="688" t="e">
        <f ca="1">INDEX(
  INDEX(TabConsolid[], , _xlfn.XMATCH(TabTRADER[[#This Row],[ClickTick]]&amp;1, TabConsolid[#Headers])),
  MATCH(
    -TabTRADER[[#This Row],[M]],
    INDEX(TabConsolid[], , _xlfn.XMATCH(TabTRADER[[#This Row],[ClickTick]]&amp;2, TabConsolid[#Headers])),
    -1
  )
)</f>
        <v>#N/A</v>
      </c>
      <c r="BL19" s="688" cm="1">
        <f t="array" aca="1" ref="BL1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M19" s="1260" t="e">
        <f ca="1">TabTRADER[[#This Row],[ReBuy]]/(TabTRADER[[#This Row],[L_Sn]]+TabTRADER[[#This Row],[SellMore]])</f>
        <v>#N/A</v>
      </c>
      <c r="BN19" s="696">
        <f ca="1">((_xlfn.XLOOKUP(TabTRADER[[#This Row],[ClickTick]],TabCalc[Ticker],TabCalc[NAfter])+TabTRADER[[#This Row],[L_Sn]])*(TabTRADER[[#This Row],[Agiotage]]-TabTRADER[[#This Row],[M]]))/(TabTRADER[[#This Row],[L_Sn]]*_xlfn.XLOOKUP(TabTRADER[[#This Row],[ClickTick]],TabCalc[Ticker],TabCalc[NAfter]))</f>
        <v>-5.3283975240441357E-3</v>
      </c>
      <c r="BO19" s="696">
        <f ca="1">(TabTRADER[[#This Row],[M]]-TabTRADER[[#This Row],[Agiotage]])/(TabTRADER[[#This Row],[M]]-TabTRADER[[#This Row],[A]])-1</f>
        <v>-6.5540299924890011</v>
      </c>
      <c r="BP19" s="1388">
        <f ca="1">_xlfn.XMATCH(TabTRADER[[#This Row],[ClickTick]]&amp;1, TabConsolid[#Headers])</f>
        <v>53</v>
      </c>
      <c r="BQ19" t="str">
        <f ca="1">IF(ABS(TabTRADER[[#This Row],[L_Bp]])&gt;=TabTRADER[[#This Row],[M]],"OK")</f>
        <v>OK</v>
      </c>
    </row>
    <row r="20" spans="1:69" ht="22" hidden="1" customHeight="1">
      <c r="A20" s="225">
        <f ca="1">IF(_xlfn.XLOOKUP(TabTRADER[[#This Row],[ClickTick]],TabCalc[Ticker],TabCalc[Cur])="GBp",0.01,1)</f>
        <v>1</v>
      </c>
      <c r="B2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-14.78x5000=    +718 EUR</v>
      </c>
      <c r="C20"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8.1%</v>
      </c>
      <c r="D20" s="697" t="str" cm="1">
        <f t="array" aca="1" ref="D2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0" s="765" t="str">
        <f ca="1">IF(      AND(TabTRADER[[#This Row],[A]]&lt;TabTRADER[[#This Row],[M]],    _xlfn.XLOOKUP(TabTRADER[[#This Row],[ClickTick]],TabCalc[Ticker],TabCalc[L_Sp])&gt;TabTRADER[[#This Row],[M]]),"BUY  "&amp;TEXT(DesiredBuyGain/TabTRADER[[#This Row],[Scale]]/(_xlfn.XLOOKUP(TabTRADER[[#This Row],[ClickTick]],TabCalc[Ticker],TabCalc[L_Sp])-TabTRADER[[#This Row],[M]]),"#,##0"),"")</f>
        <v>BUY  142,857</v>
      </c>
      <c r="F20" s="228" t="str">
        <f ca="1">TRUNC(TabCalc[[#This Row],[L_B1p]],2)&amp;"x"&amp;TabCalc[[#This Row],[L_B1n]]&amp;"=   "&amp;TEXT(TabCalc[[#This Row],[ReverseS1]],"#,#0")&amp;"$"</f>
        <v>-14.7x1250=   762$</v>
      </c>
      <c r="G20" s="227" t="str">
        <f ca="1">IFERROR(TRUNC(_xlfn.XLOOKUP(TabTRADER[[#This Row],[ClickTick]],TabCalc[Ticker],ListLastSalep),2)&amp;"x"&amp;_xlfn.XLOOKUP(TabTRADER[[#This Row],[ClickTick]],TabCalc[Ticker],ListLastSalen)&amp;"=   "&amp;TEXT(-_xlfn.XLOOKUP(TabTRADER[[#This Row],[ClickTick]],TabCalc[Ticker],ListReverseB),"#,#0")&amp;"$","")</f>
        <v>16.12x3200=   -112$</v>
      </c>
      <c r="H2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0.2% = 142,857</v>
      </c>
      <c r="I20" s="228" t="str">
        <f ca="1">IFERROR(TRUNC(TabCalc[[#This Row],[L_S1p]],2)&amp;"x"&amp;TabCalc[[#This Row],[L_S1n]]&amp;"=   "&amp;TEXT(TabCalc[[#This Row],[ReverseB1]],"#,#0"),"")</f>
        <v>15.8x2500=   -713</v>
      </c>
      <c r="J20" s="297">
        <f ca="1">_xlfn.XLOOKUP(TabTRADER[[#This Row],[ClickTick]],TabCalc[Ticker],ListGravity)</f>
        <v>1.0500466272925086</v>
      </c>
      <c r="K20" s="324" t="str" cm="1">
        <f t="array" aca="1" ref="K20" ca="1">IF(_xlfn.XLOOKUP(TabTRADER[[#This Row],[ClickTick]],TabTRADER[ClickTick],ListExtra_n)&gt;0,_xlfn.XLOOKUP(TabTRADER[[#This Row],[ClickTick]],TabTRADER[ClickTick],ListExtra_n),"")</f>
        <v/>
      </c>
      <c r="L20" s="322" t="str">
        <f ca="1">IF(_xlfn.XLOOKUP(TabTRADER[[#This Row],[ClickTick]],TabCalc[Ticker],ListExtra_n)&gt;0,_xlfn.XLOOKUP(TabTRADER[[#This Row],[ClickTick]],TabCalc[Ticker],ListExtra_n)*TabTRADER[[#This Row],[M]]*_xlfn.XLOOKUP(TabTRADER[[#This Row],[ClickTick]],TabCalc[Ticker],ListScale),"")</f>
        <v/>
      </c>
      <c r="M20" s="325">
        <f ca="1">_xlfn.XLOOKUP(TabTRADER[[#This Row],[ClickTick]],TabCalc[Ticker],TabCalc[Agiotage])</f>
        <v>1.1313503925264488</v>
      </c>
      <c r="N20" s="326" cm="1">
        <f t="array" aca="1" ref="N20" ca="1">_xlfn.XLOOKUP(TabTRADER[[#This Row],[ClickTick]],ListTickers,Tab2RSIConventional[RSIConv20])</f>
        <v>43</v>
      </c>
      <c r="O20" s="712" t="str">
        <f ca="1">TEXT(_xlfn.XLOOKUP(TabTRADER[[#This Row],[ClickTick]],TabCalc[Ticker],TabCalc[Nbegin]),"#,#0")&amp;": "&amp;_xlfn.XLOOKUP(TabTRADER[[#This Row],[ClickTick]],TabCalc[Ticker],TabCalc[Pile?])</f>
        <v>340,000: Pile</v>
      </c>
      <c r="P20" s="326">
        <f ca="1">_xlfn.XLOOKUP(TabTRADER[[#This Row],[ClickTick]],TabCalc[Ticker],TabCalc[L_Bn])</f>
        <v>5000</v>
      </c>
      <c r="Q20" s="690">
        <f ca="1">_xlfn.XLOOKUP(TabTRADER[[#This Row],[ClickTick]],TabCalc[Ticker],TabCalc[L_Bp])</f>
        <v>-14.78</v>
      </c>
      <c r="R20" s="778">
        <f ca="1">(TabTRADER[[#This Row],[M]]+TabTRADER[[#This Row],[L_Bp]])/ABS(TabTRADER[[#This Row],[L_Bp]])</f>
        <v>8.8294993234100241E-2</v>
      </c>
      <c r="S20" s="692">
        <f ca="1">_xlfn.XLOOKUP(TabTRADER[[#This Row],[ClickTick]],TabCalc[Ticker],TabCalc[Rev(MinStock)])*(1-Commission)</f>
        <v>715.88385000000073</v>
      </c>
      <c r="T20" s="798">
        <f ca="1">_xlfn.XLOOKUP(TabTRADER[[#This Row],[ClickTick]],TabCalc[Ticker],TabCalc[Agiotage])</f>
        <v>1.1313503925264488</v>
      </c>
      <c r="U20" s="759" t="str" cm="1">
        <f t="array" aca="1" ref="U2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63/63=&gt;1.3% / 0.3%</v>
      </c>
      <c r="V20" s="751" t="str">
        <f ca="1">_xlfn.XLOOKUP(TabTRADER[[#This Row],[ClickTick]],[1]!RTData[Ticker symbol],[1]!RTData[Currency])</f>
        <v>EUR</v>
      </c>
      <c r="W20" s="761">
        <f ca="1">_xlfn.XLOOKUP(TabTRADER[[#This Row],[ClickTick]],TabCalc[Ticker],TabCalc[M])</f>
        <v>16.085000000000001</v>
      </c>
      <c r="X20" s="762" t="str">
        <f ca="1">SORTING!B20</f>
        <v>EOAN</v>
      </c>
      <c r="Y20" s="819">
        <f ca="1">_xlfn.XLOOKUP(TabTRADER[[#This Row],[ClickTick]],TabCalc[Ticker],TabCalc[Y])</f>
        <v>16.89</v>
      </c>
      <c r="Z20" s="835">
        <f ca="1">_xlfn.XLOOKUP(TabTRADER[[#This Row],[ClickTick]],[1]!RTData[Ticker symbol],[1]!RTData[YTChange])</f>
        <v>1.0771992818671437E-2</v>
      </c>
      <c r="AA20" s="851">
        <f ca="1">-_xlfn.XLOOKUP(TabTRADER[[#This Row],[ClickTick]]&amp;2,Consolid!B$3:JZ$3,Consolid!B$4:JZ$4)</f>
        <v>14.78</v>
      </c>
      <c r="AB20" s="835" cm="1">
        <f t="array" aca="1" ref="AB20" ca="1">_xlfn.XLOOKUP(TabTRADER[[#This Row],[ClickTick]],ListTickers,Tab1ChangePercent[Change%19])</f>
        <v>1.2715000000000001E-2</v>
      </c>
      <c r="AC20" s="782">
        <f ca="1">_xlfn.XLOOKUP(TabTRADER[[#This Row],[ClickTick]],TabCalc[Ticker],TabCalc[NAfter])</f>
        <v>550</v>
      </c>
      <c r="AD20"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^1,167/9 K$</v>
      </c>
      <c r="AE20" s="1299" t="str" cm="1">
        <f t="array" aca="1" ref="AE2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20" s="1281" t="str" cm="1">
        <f t="array" aca="1" ref="AF20" ca="1">_xlfn.IFS(       TabTRADER[[#This Row],[Traps]]=RePurchaseGain,TEXT(TabTRADER[[#This Row],[L_Sn]],"#,#0")&amp;" x "&amp;TEXT(TabTRADER[[#This Row],[L_Sp]],"#,#0.#0"),     TabTRADER[[#This Row],[Traps]]=ReSaleGain,TEXT(TabTRADER[[#This Row],[L_Bn]],"#0,#0")&amp;" x "&amp;TEXT(TabTRADER[[#This Row],[L_Bp]],"#,#0.#0"),               TRUE,"")</f>
        <v>3,200 x 16.12</v>
      </c>
      <c r="AG20" s="1281" cm="1">
        <f t="array" aca="1" ref="AG2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111.70880000000045</v>
      </c>
      <c r="AH20" s="1281" t="str" cm="1">
        <f t="array" aca="1" ref="AH2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0" s="1281" cm="1">
        <f t="array" aca="1" ref="AI2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111.70880000000045</v>
      </c>
      <c r="AJ20" s="1290" cm="1">
        <f t="array" aca="1" ref="AJ2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2.171215880893309E-3</v>
      </c>
      <c r="AK20" s="1290" t="str" cm="1">
        <f t="array" aca="1" ref="AK2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0" s="843" t="str" cm="1">
        <f t="array" aca="1" ref="AL20" ca="1">_xlfn.IFS(   TabTRADER[[#This Row],[Traps]]=SellMorePercentGain,                     MIN(TabTRADER[[#This Row],[L_Sn]],TabTRADER[[#This Row],[N]])*(TabTRADER[[#This Row],[M]]-TabTRADER[[#This Row],[L_Sp]])*(1-Commission)*TabTRADER[[#This Row],[Scale]],                    TRUE,"")</f>
        <v/>
      </c>
      <c r="AM20" s="1039">
        <f ca="1">_xlfn.XLOOKUP(TabTRADER[[#This Row],[ClickTick]],TabCalc[Ticker],TabCalc[Ann%RevLB])</f>
        <v>0.58863328822733496</v>
      </c>
      <c r="AN20" s="1038">
        <f ca="1">_xlfn.XLOOKUP(TabTRADER[[#This Row],[ClickTick]],TabCalc[Ticker],TabCalc[Up20])</f>
        <v>0.25</v>
      </c>
      <c r="AO20" s="312" t="str" cm="1">
        <f t="array" aca="1" ref="AO2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0" s="843" t="str" cm="1">
        <f t="array" aca="1" ref="AP20" ca="1">_xlfn.IFS(         TabTRADER[[#This Row],[Traps]]=MDown,TabTRADER[[#This Row],[L_Bn]]*TabTRADER[[#This Row],[M]]*(-(TabTRADER[[#This Row],[L_Bp]]+TabTRADER[[#This Row],[M]])/TabTRADER[[#This Row],[M]])*(1-Commission)*TabTRADER[[#This Row],[Scale]],                               TRUE,"")</f>
        <v/>
      </c>
      <c r="AQ20" s="1290" t="str" cm="1">
        <f t="array" aca="1" ref="AQ20" ca="1">_xlfn.IFS(   TabTRADER[[#This Row],[Traps]]=MUp,TabTRADER[[#This Row],[TakeGain_A]]-Commission,        TabTRADER[[#This Row],[Traps]]=MDown,(TabTRADER[[#This Row],[A]]-TabTRADER[[#This Row],[M]])/TabTRADER[[#This Row],[M]]-Commission,                              TRUE,"")</f>
        <v/>
      </c>
      <c r="AR20" s="843" cm="1">
        <f t="array" aca="1" ref="AR2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715.88385000000073</v>
      </c>
      <c r="AS20" s="774" t="str" cm="1">
        <f t="array" aca="1" ref="AS2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T20" s="748" t="str" cm="1">
        <f t="array" aca="1" ref="AT2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20" s="779" cm="1">
        <f t="array" aca="1" ref="AU20" ca="1">_xlfn.IFS(TabTRADER[[#This Row],[Traps]]=ReSaleGain,"",         TabTRADER[[#This Row],[Traps]]=MDown, (TabTRADER[[#This Row],[M]]-TabTRADER[[#This Row],[A]])/TabTRADER[[#This Row],[A]]*ComFactor,             TRUE, IFERROR((TabTRADER[[#This Row],[M]]-TabTRADER[[#This Row],[A]])/TabTRADER[[#This Row],[A]]*ComFactor,""))</f>
        <v>8.8065426251691573E-2</v>
      </c>
      <c r="AV20" s="776" cm="1">
        <f t="array" aca="1" ref="AV20" ca="1">_xlfn.IFS(               TabTRADER[[#This Row],[Traps]]=NoStock,(TabTRADER[[#This Row],[L_Sp]]-TabTRADER[[#This Row],[M]])/TabTRADER[[#This Row],[M]]-Commission,             TabTRADER[[#This Row],[A]]&lt;&gt;0,(TabTRADER[[#This Row],[A]]-TabTRADER[[#This Row],[M]])/TabTRADER[[#This Row],[M]]-Commission)</f>
        <v>-8.3731488964874201E-2</v>
      </c>
      <c r="AW20" s="326">
        <f ca="1">_xlfn.XLOOKUP(TabTRADER[[#This Row],[ClickTick]],TabCalc[Ticker],TabCalc[L_Sn])</f>
        <v>3200</v>
      </c>
      <c r="AX20" s="740">
        <f ca="1">_xlfn.XLOOKUP(TabTRADER[[#This Row],[ClickTick]],TabCalc[Ticker],TabCalc[L_Sp])</f>
        <v>16.12</v>
      </c>
      <c r="AY20" s="778">
        <f ca="1">-IFERROR((TabTRADER[[#This Row],[M]]-TabTRADER[[#This Row],[L_Sp]])/TabTRADER[[#This Row],[L_Sp]],0)</f>
        <v>2.171215880893309E-3</v>
      </c>
      <c r="AZ20" s="741">
        <f ca="1">TabTRADER[[#This Row],[L_Sn]]*(TabTRADER[[#This Row],[M]]-TabTRADER[[#This Row],[L_Sp]])*(1-Commission)*TabTRADER[[#This Row],[Scale]]</f>
        <v>-111.70880000000045</v>
      </c>
      <c r="BA20" s="701">
        <f ca="1">TabTRADER[[#This Row],[L_Sn]]*(TabTRADER[[#This Row],[Agiotage]]-TabTRADER[[#This Row],[M]])/(TabTRADER[[#This Row],[L_Bn]]*TabTRADER[[#This Row],[M]])</f>
        <v>-0.59498512581803387</v>
      </c>
      <c r="BB20" s="641">
        <f ca="1">IFERROR((TabTRADER[[#This Row],[M]]-TabTRADER[[#This Row],[A]])/TabTRADER[[#This Row],[A]],0)</f>
        <v>8.8294993234100241E-2</v>
      </c>
      <c r="BC20" s="644" t="str">
        <f ca="1">TEXT(_xlfn.XLOOKUP(TabTRADER[[#This Row],[ClickTick]],TabCalc[Ticker],TabCalc[NAfter]),"#,#0")&amp;" : "&amp;TEXT(_xlfn.XLOOKUP(TabTRADER[[#This Row],[ClickTick]],TabCalc[Ticker],TabCalc[NAfter])*(TabTRADER[[#This Row],[M]]-TabTRADER[[#This Row],[A]])*(1-Commission)*TabTRADER[[#This Row],[Scale]],"#,#0$")</f>
        <v>550 : 716$</v>
      </c>
      <c r="BD20" s="693">
        <f ca="1">_xlfn.XLOOKUP(TabTRADER[[#This Row],[ClickTick]],TabCalc[[#This Row],[Ticker]],TabCalc[[#This Row],[GL]])*(1-Commission)</f>
        <v>1163600.00355</v>
      </c>
      <c r="BE20" s="693"/>
      <c r="BF20" s="675" t="str">
        <f ca="1">TabTRADER[[#This Row],[ClickTick]]&amp;": "&amp;_xlfn.XLOOKUP(TabTRADER[[#This Row],[ClickTick]],TabCalc[Ticker],TabCalc[Pile?])</f>
        <v>EOAN: Pile</v>
      </c>
      <c r="BG20" s="353" t="s">
        <v>1956</v>
      </c>
      <c r="BH20" s="769" t="str" cm="1">
        <f t="array" aca="1" ref="BH20" ca="1">_xlfn.TEXTJOIN("",,INDEX({"M","A","Y"}, _xlfn.SORTBY({1,2,3}, -CHOOSE({1,2,3}, TabTRADER[[#This Row],[M]], TabTRADER[[#This Row],[A]], TabTRADER[[#This Row],[Agiotage]]))))</f>
        <v>MAY</v>
      </c>
      <c r="BI20" s="976" t="str" cm="1">
        <f t="array" aca="1" ref="BI2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0" s="688">
        <f ca="1">TabTRADER[[#This Row],[L_Sn]]*TabTRADER[[#This Row],[L_Sp]]+TabTRADER[[#This Row],[SellMore]]*TabTRADER[[#This Row],[M]]</f>
        <v>60430.75</v>
      </c>
      <c r="BK20" s="688">
        <f ca="1">INDEX(
  INDEX(TabConsolid[], , _xlfn.XMATCH(TabTRADER[[#This Row],[ClickTick]]&amp;1, TabConsolid[#Headers])),
  MATCH(
    -TabTRADER[[#This Row],[M]],
    INDEX(TabConsolid[], , _xlfn.XMATCH(TabTRADER[[#This Row],[ClickTick]]&amp;2, TabConsolid[#Headers])),
    -1
  )
)</f>
        <v>550</v>
      </c>
      <c r="BL20" s="688" cm="1">
        <f t="array" aca="1" ref="BL2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0" s="1260">
        <f ca="1">TabTRADER[[#This Row],[ReBuy]]/(TabTRADER[[#This Row],[L_Sn]]+TabTRADER[[#This Row],[SellMore]])</f>
        <v>16.114866666666668</v>
      </c>
      <c r="BN20" s="696">
        <f ca="1">((_xlfn.XLOOKUP(TabTRADER[[#This Row],[ClickTick]],TabCalc[Ticker],TabCalc[NAfter])+TabTRADER[[#This Row],[L_Sn]])*(TabTRADER[[#This Row],[Agiotage]]-TabTRADER[[#This Row],[M]]))/(TabTRADER[[#This Row],[L_Sn]]*_xlfn.XLOOKUP(TabTRADER[[#This Row],[ClickTick]],TabCalc[Ticker],TabCalc[NAfter]))</f>
        <v>-3.186146933410558E-2</v>
      </c>
      <c r="BO20" s="696">
        <f ca="1">(TabTRADER[[#This Row],[M]]-TabTRADER[[#This Row],[Agiotage]])/(TabTRADER[[#This Row],[M]]-TabTRADER[[#This Row],[A]])-1</f>
        <v>10.458735331397346</v>
      </c>
      <c r="BP20" s="1388">
        <f ca="1">_xlfn.XMATCH(TabTRADER[[#This Row],[ClickTick]]&amp;1, TabConsolid[#Headers])</f>
        <v>56</v>
      </c>
      <c r="BQ20" t="b">
        <f ca="1">IF(ABS(TabTRADER[[#This Row],[L_Bp]])&gt;=TabTRADER[[#This Row],[M]],"OK")</f>
        <v>0</v>
      </c>
    </row>
    <row r="21" spans="1:69" ht="22" hidden="1" customHeight="1">
      <c r="A21" s="225">
        <f ca="1">IF(_xlfn.XLOOKUP(TabTRADER[[#This Row],[ClickTick]],TabCalc[Ticker],TabCalc[Cur])="GBp",0.01,1)</f>
        <v>1</v>
      </c>
      <c r="B2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-1.72x12000=    -18,226 USD</v>
      </c>
      <c r="C21"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21" s="697" t="str" cm="1">
        <f t="array" aca="1" ref="D2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21" s="228" t="str">
        <f ca="1">TRUNC(TabCalc[[#This Row],[L_B1p]],2)&amp;"x"&amp;TabCalc[[#This Row],[L_B1n]]&amp;"=   "&amp;TEXT(TabCalc[[#This Row],[ReverseS1]],"#,#0")&amp;"$"</f>
        <v>-1.82x15000=   -24,282$</v>
      </c>
      <c r="G21" s="227" t="str">
        <f ca="1">IFERROR(TRUNC(_xlfn.XLOOKUP(TabTRADER[[#This Row],[ClickTick]],TabCalc[Ticker],ListLastSalep),2)&amp;"x"&amp;_xlfn.XLOOKUP(TabTRADER[[#This Row],[ClickTick]],TabCalc[Ticker],ListLastSalen)&amp;"=   "&amp;TEXT(-_xlfn.XLOOKUP(TabTRADER[[#This Row],[ClickTick]],TabCalc[Ticker],ListReverseB),"#,#0")&amp;"$","")</f>
        <v>5.77x10000=   -55,688$</v>
      </c>
      <c r="H2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2767.8% = 898</v>
      </c>
      <c r="I21" s="228" t="str">
        <f ca="1">IFERROR(TRUNC(TabCalc[[#This Row],[L_S1p]],2)&amp;"x"&amp;TabCalc[[#This Row],[L_S1n]]&amp;"=   "&amp;TEXT(TabCalc[[#This Row],[ReverseB1]],"#,#0"),"")</f>
        <v>5.55x3000=   16,046</v>
      </c>
      <c r="J21" s="297">
        <f ca="1">_xlfn.XLOOKUP(TabTRADER[[#This Row],[ClickTick]],TabCalc[Ticker],ListGravity)</f>
        <v>0</v>
      </c>
      <c r="K21" s="324" cm="1">
        <f t="array" aca="1" ref="K21" ca="1">IF(_xlfn.XLOOKUP(TabTRADER[[#This Row],[ClickTick]],TabTRADER[ClickTick],ListExtra_n)&gt;0,_xlfn.XLOOKUP(TabTRADER[[#This Row],[ClickTick]],TabTRADER[ClickTick],ListExtra_n),"")</f>
        <v>12313</v>
      </c>
      <c r="L21" s="322">
        <f ca="1">IF(_xlfn.XLOOKUP(TabTRADER[[#This Row],[ClickTick]],TabCalc[Ticker],ListExtra_n)&gt;0,_xlfn.XLOOKUP(TabTRADER[[#This Row],[ClickTick]],TabCalc[Ticker],ListExtra_n)*TabTRADER[[#This Row],[M]]*_xlfn.XLOOKUP(TabTRADER[[#This Row],[ClickTick]],TabCalc[Ticker],ListScale),"")</f>
        <v>2477.3755999999998</v>
      </c>
      <c r="M21" s="325">
        <f ca="1">_xlfn.XLOOKUP(TabTRADER[[#This Row],[ClickTick]],TabCalc[Ticker],TabCalc[Agiotage])</f>
        <v>1.8522760022071003</v>
      </c>
      <c r="N21" s="326" cm="1">
        <f t="array" aca="1" ref="N21" ca="1">_xlfn.XLOOKUP(TabTRADER[[#This Row],[ClickTick]],ListTickers,Tab2RSIConventional[RSIConv20])</f>
        <v>0</v>
      </c>
      <c r="O21" s="712" t="str">
        <f ca="1">TEXT(_xlfn.XLOOKUP(TabTRADER[[#This Row],[ClickTick]],TabCalc[Ticker],TabCalc[Nbegin]),"#,#0")&amp;": "&amp;_xlfn.XLOOKUP(TabTRADER[[#This Row],[ClickTick]],TabCalc[Ticker],TabCalc[Pile?])</f>
        <v xml:space="preserve">17,687: </v>
      </c>
      <c r="P21" s="323">
        <f ca="1">_xlfn.XLOOKUP(TabTRADER[[#This Row],[ClickTick]],TabCalc[Ticker],TabCalc[L_Bn])</f>
        <v>12000</v>
      </c>
      <c r="Q21" s="740">
        <f ca="1">_xlfn.XLOOKUP(TabTRADER[[#This Row],[ClickTick]],TabCalc[Ticker],TabCalc[L_Bp])</f>
        <v>-1.72</v>
      </c>
      <c r="R21" s="778">
        <f ca="1">(TabTRADER[[#This Row],[M]]+TabTRADER[[#This Row],[L_Bp]])/ABS(TabTRADER[[#This Row],[L_Bp]])</f>
        <v>-0.88302325581395347</v>
      </c>
      <c r="S21" s="692">
        <f ca="1">_xlfn.XLOOKUP(TabTRADER[[#This Row],[ClickTick]],TabCalc[Ticker],TabCalc[Rev(MinStock)])*(1-Commission)</f>
        <v>-18178.213439999996</v>
      </c>
      <c r="T21" s="798">
        <f ca="1">_xlfn.XLOOKUP(TabTRADER[[#This Row],[ClickTick]],TabCalc[Ticker],TabCalc[Agiotage])</f>
        <v>1.8522760022071003</v>
      </c>
      <c r="U21" s="759" t="str" cm="1">
        <f t="array" aca="1" ref="U2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36/36=&gt;0.5% / 0.0%</v>
      </c>
      <c r="V21" s="751" t="str">
        <f ca="1">_xlfn.XLOOKUP(TabTRADER[[#This Row],[ClickTick]],[1]!RTData[Ticker symbol],[1]!RTData[Currency])</f>
        <v>USD</v>
      </c>
      <c r="W21" s="761">
        <f ca="1">_xlfn.XLOOKUP(TabTRADER[[#This Row],[ClickTick]],TabCalc[Ticker],TabCalc[M])</f>
        <v>0.20119999999999999</v>
      </c>
      <c r="X21" s="762" t="str">
        <f ca="1">SORTING!B21</f>
        <v>EPIX</v>
      </c>
      <c r="Y21" s="819">
        <f ca="1">_xlfn.XLOOKUP(TabTRADER[[#This Row],[ClickTick]],TabCalc[Ticker],TabCalc[Y])</f>
        <v>0</v>
      </c>
      <c r="Z21" s="835">
        <f ca="1">_xlfn.XLOOKUP(TabTRADER[[#This Row],[ClickTick]],[1]!RTData[Ticker symbol],[1]!RTData[YTChange])</f>
        <v>0</v>
      </c>
      <c r="AA21" s="851">
        <f ca="1">-_xlfn.XLOOKUP(TabTRADER[[#This Row],[ClickTick]]&amp;2,Consolid!B$3:JZ$3,Consolid!B$4:JZ$4)</f>
        <v>2.1268799999999999</v>
      </c>
      <c r="AB21" s="835" cm="1">
        <f t="array" aca="1" ref="AB21" ca="1">_xlfn.XLOOKUP(TabTRADER[[#This Row],[ClickTick]],ListTickers,Tab1ChangePercent[Change%19])</f>
        <v>5.006E-3</v>
      </c>
      <c r="AC21" s="782">
        <f ca="1">_xlfn.XLOOKUP(TabTRADER[[#This Row],[ClickTick]],TabCalc[Ticker],TabCalc[NAfter])</f>
        <v>30000</v>
      </c>
      <c r="AD21"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0/6 K$</v>
      </c>
      <c r="AE21" s="1277" t="str" cm="1">
        <f t="array" aca="1" ref="AE2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21" s="1281" t="str" cm="1">
        <f t="array" aca="1" ref="AF21" ca="1">_xlfn.IFS(       TabTRADER[[#This Row],[Traps]]=RePurchaseGain,TEXT(TabTRADER[[#This Row],[L_Sn]],"#,#0")&amp;" x "&amp;TEXT(TabTRADER[[#This Row],[L_Sp]],"#,#0.#0"),     TabTRADER[[#This Row],[Traps]]=ReSaleGain,TEXT(TabTRADER[[#This Row],[L_Bn]],"#0,#0")&amp;" x "&amp;TEXT(TabTRADER[[#This Row],[L_Bp]],"#,#0.#0"),               TRUE,"")</f>
        <v/>
      </c>
      <c r="AG21" s="1281" t="str" cm="1">
        <f t="array" aca="1" ref="AG2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12,000 x -1.72</v>
      </c>
      <c r="AH21" s="1281" cm="1">
        <f t="array" aca="1" ref="AH2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18178.213439999996</v>
      </c>
      <c r="AI21" s="1281" cm="1">
        <f t="array" aca="1" ref="AI2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6036</v>
      </c>
      <c r="AJ21" s="1290" cm="1">
        <f t="array" aca="1" ref="AJ2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0.90540133905062814</v>
      </c>
      <c r="AK21" s="1290" cm="1">
        <f t="array" aca="1" ref="AK2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L21" s="843" t="str" cm="1">
        <f t="array" aca="1" ref="AL21" ca="1">_xlfn.IFS(   TabTRADER[[#This Row],[Traps]]=SellMorePercentGain,                     MIN(TabTRADER[[#This Row],[L_Sn]],TabTRADER[[#This Row],[N]])*(TabTRADER[[#This Row],[M]]-TabTRADER[[#This Row],[L_Sp]])*(1-Commission)*TabTRADER[[#This Row],[Scale]],                    TRUE,"")</f>
        <v/>
      </c>
      <c r="AM21" s="1296">
        <f ca="1">_xlfn.XLOOKUP(TabTRADER[[#This Row],[ClickTick]],TabCalc[Ticker],TabCalc[Ann%RevLB])</f>
        <v>-1.1773643410852714</v>
      </c>
      <c r="AN21" s="1392">
        <f ca="1">_xlfn.XLOOKUP(TabTRADER[[#This Row],[ClickTick]],TabCalc[Ticker],TabCalc[Up20])</f>
        <v>0</v>
      </c>
      <c r="AO21" s="312" cm="1">
        <f t="array" aca="1" ref="AO2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P21" s="843" cm="1">
        <f t="array" aca="1" ref="AP21" ca="1">_xlfn.IFS(         TabTRADER[[#This Row],[Traps]]=MDown,TabTRADER[[#This Row],[L_Bn]]*TabTRADER[[#This Row],[M]]*(-(TabTRADER[[#This Row],[L_Bp]]+TabTRADER[[#This Row],[M]])/TabTRADER[[#This Row],[M]])*(1-Commission)*TabTRADER[[#This Row],[Scale]],                               TRUE,"")</f>
        <v>18178.21344</v>
      </c>
      <c r="AQ21" s="1290" cm="1">
        <f t="array" aca="1" ref="AQ21" ca="1">_xlfn.IFS(   TabTRADER[[#This Row],[Traps]]=MUp,TabTRADER[[#This Row],[TakeGain_A]]-Commission,        TabTRADER[[#This Row],[Traps]]=MDown,(TabTRADER[[#This Row],[A]]-TabTRADER[[#This Row],[M]])/TabTRADER[[#This Row],[M]]-Commission,                              TRUE,"")</f>
        <v>9.5683741550695824</v>
      </c>
      <c r="AR21" s="843" cm="1">
        <f t="array" aca="1" ref="AR2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57620.196959999994</v>
      </c>
      <c r="AS21" s="774" t="str" cm="1">
        <f t="array" aca="1" ref="AS2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0.4%</v>
      </c>
      <c r="AT21" s="748" cm="1">
        <f t="array" aca="1" ref="AT2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U21" s="779" cm="1">
        <f t="array" aca="1" ref="AU21" ca="1">_xlfn.IFS(TabTRADER[[#This Row],[Traps]]=ReSaleGain,"",         TabTRADER[[#This Row],[Traps]]=MDown, (TabTRADER[[#This Row],[M]]-TabTRADER[[#This Row],[A]])/TabTRADER[[#This Row],[A]]*ComFactor,             TRUE, IFERROR((TabTRADER[[#This Row],[M]]-TabTRADER[[#This Row],[A]])/TabTRADER[[#This Row],[A]]*ComFactor,""))</f>
        <v>-0.90304729556909646</v>
      </c>
      <c r="AV21" s="776" cm="1">
        <f t="array" aca="1" ref="AV21" ca="1">_xlfn.IFS(               TabTRADER[[#This Row],[Traps]]=NoStock,(TabTRADER[[#This Row],[L_Sp]]-TabTRADER[[#This Row],[M]])/TabTRADER[[#This Row],[M]]-Commission,             TabTRADER[[#This Row],[A]]&lt;&gt;0,(TabTRADER[[#This Row],[A]]-TabTRADER[[#This Row],[M]])/TabTRADER[[#This Row],[M]]-Commission)</f>
        <v>9.5683741550695824</v>
      </c>
      <c r="AW21" s="326">
        <f ca="1">_xlfn.XLOOKUP(TabTRADER[[#This Row],[ClickTick]],TabCalc[Ticker],TabCalc[L_Sn])</f>
        <v>10000</v>
      </c>
      <c r="AX21" s="740">
        <f ca="1">_xlfn.XLOOKUP(TabTRADER[[#This Row],[ClickTick]],TabCalc[Ticker],TabCalc[L_Sp])</f>
        <v>5.77</v>
      </c>
      <c r="AY21" s="778">
        <f ca="1">-IFERROR((TabTRADER[[#This Row],[M]]-TabTRADER[[#This Row],[L_Sp]])/TabTRADER[[#This Row],[L_Sp]],0)</f>
        <v>0.96512998266897743</v>
      </c>
      <c r="AZ21" s="741">
        <f ca="1">TabTRADER[[#This Row],[L_Sn]]*(TabTRADER[[#This Row],[M]]-TabTRADER[[#This Row],[L_Sp]])*(1-Commission)*TabTRADER[[#This Row],[Scale]]</f>
        <v>-55543.211199999991</v>
      </c>
      <c r="BA21" s="701">
        <f ca="1">TabTRADER[[#This Row],[L_Sn]]*(TabTRADER[[#This Row],[Agiotage]]-TabTRADER[[#This Row],[M]])/(TabTRADER[[#This Row],[L_Bn]]*TabTRADER[[#This Row],[M]])</f>
        <v>6.8384526267689694</v>
      </c>
      <c r="BB21" s="641">
        <f ca="1">IFERROR((TabTRADER[[#This Row],[M]]-TabTRADER[[#This Row],[A]])/TabTRADER[[#This Row],[A]],0)</f>
        <v>-0.90540133905062814</v>
      </c>
      <c r="BC21" s="644" t="str">
        <f ca="1">TEXT(_xlfn.XLOOKUP(TabTRADER[[#This Row],[ClickTick]],TabCalc[Ticker],TabCalc[NAfter]),"#,#0")&amp;" : "&amp;TEXT(_xlfn.XLOOKUP(TabTRADER[[#This Row],[ClickTick]],TabCalc[Ticker],TabCalc[NAfter])*(TabTRADER[[#This Row],[M]]-TabTRADER[[#This Row],[A]])*(1-Commission)*TabTRADER[[#This Row],[Scale]],"#,#0$")</f>
        <v>30,000 : -57,620$</v>
      </c>
      <c r="BD21" s="693">
        <f ca="1">_xlfn.XLOOKUP(TabTRADER[[#This Row],[ClickTick]],TabCalc[[#This Row],[Ticker]],TabCalc[[#This Row],[GL]])*(1-Commission)</f>
        <v>-331.37178743999272</v>
      </c>
      <c r="BE21" s="693"/>
      <c r="BF21" s="675" t="str">
        <f ca="1">TabTRADER[[#This Row],[ClickTick]]&amp;": "&amp;_xlfn.XLOOKUP(TabTRADER[[#This Row],[ClickTick]],TabCalc[Ticker],TabCalc[Pile?])</f>
        <v xml:space="preserve">EPIX: </v>
      </c>
      <c r="BG21" s="353" t="s">
        <v>1957</v>
      </c>
      <c r="BH21" s="769" t="str" cm="1">
        <f t="array" aca="1" ref="BH21" ca="1">_xlfn.TEXTJOIN("",,INDEX({"M","A","Y"}, _xlfn.SORTBY({1,2,3}, -CHOOSE({1,2,3}, TabTRADER[[#This Row],[M]], TabTRADER[[#This Row],[A]], TabTRADER[[#This Row],[Agiotage]]))))</f>
        <v>AYM</v>
      </c>
      <c r="BI21" s="976" cm="1">
        <f t="array" aca="1" ref="BI2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J21" s="688" t="e">
        <f ca="1">TabTRADER[[#This Row],[L_Sn]]*TabTRADER[[#This Row],[L_Sp]]+TabTRADER[[#This Row],[SellMore]]*TabTRADER[[#This Row],[M]]</f>
        <v>#N/A</v>
      </c>
      <c r="BK21" s="688" t="e">
        <f ca="1">INDEX(
  INDEX(TabConsolid[], , _xlfn.XMATCH(TabTRADER[[#This Row],[ClickTick]]&amp;1, TabConsolid[#Headers])),
  MATCH(
    -TabTRADER[[#This Row],[M]],
    INDEX(TabConsolid[], , _xlfn.XMATCH(TabTRADER[[#This Row],[ClickTick]]&amp;2, TabConsolid[#Headers])),
    -1
  )
)</f>
        <v>#N/A</v>
      </c>
      <c r="BL21" s="688" cm="1">
        <f t="array" aca="1" ref="BL2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21" s="1260" t="e">
        <f ca="1">TabTRADER[[#This Row],[ReBuy]]/(TabTRADER[[#This Row],[L_Sn]]+TabTRADER[[#This Row],[SellMore]])</f>
        <v>#N/A</v>
      </c>
      <c r="BN21" s="696">
        <f ca="1">((_xlfn.XLOOKUP(TabTRADER[[#This Row],[ClickTick]],TabCalc[Ticker],TabCalc[NAfter])+TabTRADER[[#This Row],[L_Sn]])*(TabTRADER[[#This Row],[Agiotage]]-TabTRADER[[#This Row],[M]]))/(TabTRADER[[#This Row],[L_Sn]]*_xlfn.XLOOKUP(TabTRADER[[#This Row],[ClickTick]],TabCalc[Ticker],TabCalc[NAfter]))</f>
        <v>2.2014346696094667E-4</v>
      </c>
      <c r="BO21" s="696">
        <f ca="1">(TabTRADER[[#This Row],[M]]-TabTRADER[[#This Row],[Agiotage]])/(TabTRADER[[#This Row],[M]]-TabTRADER[[#This Row],[A]])-1</f>
        <v>-0.1426010540655247</v>
      </c>
      <c r="BP21" s="1388">
        <f ca="1">_xlfn.XMATCH(TabTRADER[[#This Row],[ClickTick]]&amp;1, TabConsolid[#Headers])</f>
        <v>59</v>
      </c>
      <c r="BQ21" t="str">
        <f ca="1">IF(ABS(TabTRADER[[#This Row],[L_Bp]])&gt;=TabTRADER[[#This Row],[M]],"OK")</f>
        <v>OK</v>
      </c>
    </row>
    <row r="22" spans="1:69" ht="22" hidden="1" customHeight="1">
      <c r="A22" s="225">
        <f ca="1">IF(_xlfn.XLOOKUP(TabTRADER[[#This Row],[ClickTick]],TabCalc[Ticker],TabCalc[Cur])="GBp",0.01,1)</f>
        <v>1</v>
      </c>
      <c r="B2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-46.67x990=    +230 USD</v>
      </c>
      <c r="C22"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33.0%</v>
      </c>
      <c r="D22" s="697" t="str" cm="1">
        <f t="array" aca="1" ref="D2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2"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22" s="228" t="str">
        <f ca="1">TRUNC(TabCalc[[#This Row],[L_B1p]],2)&amp;"x"&amp;TabCalc[[#This Row],[L_B1n]]&amp;"=   "&amp;TEXT(TabCalc[[#This Row],[ReverseS1]],"#,#0")&amp;"$"</f>
        <v>-43.55x4000=   261$</v>
      </c>
      <c r="G22" s="227" t="str">
        <f ca="1">IFERROR(TRUNC(_xlfn.XLOOKUP(TabTRADER[[#This Row],[ClickTick]],TabCalc[Ticker],ListLastSalep),2)&amp;"x"&amp;_xlfn.XLOOKUP(TabTRADER[[#This Row],[ClickTick]],TabCalc[Ticker],ListLastSalen)&amp;"=   "&amp;TEXT(-_xlfn.XLOOKUP(TabTRADER[[#This Row],[ClickTick]],TabCalc[Ticker],ListReverseB),"#,#0")&amp;"$","")</f>
        <v>47.63x990=   21,807$</v>
      </c>
      <c r="H2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-31.6% = 0</v>
      </c>
      <c r="I22" s="228" t="str">
        <f ca="1">IFERROR(TRUNC(TabCalc[[#This Row],[L_S1p]],2)&amp;"x"&amp;TabCalc[[#This Row],[L_S1n]]&amp;"=   "&amp;TEXT(TabCalc[[#This Row],[ReverseB1]],"#,#0"),"")</f>
        <v>46.95x990=   -22,483</v>
      </c>
      <c r="J22" s="297">
        <f ca="1">_xlfn.XLOOKUP(TabTRADER[[#This Row],[ClickTick]],TabCalc[Ticker],ListGravity)</f>
        <v>0.91587711742750499</v>
      </c>
      <c r="K22" s="324" t="str" cm="1">
        <f t="array" aca="1" ref="K22" ca="1">IF(_xlfn.XLOOKUP(TabTRADER[[#This Row],[ClickTick]],TabTRADER[ClickTick],ListExtra_n)&gt;0,_xlfn.XLOOKUP(TabTRADER[[#This Row],[ClickTick]],TabTRADER[ClickTick],ListExtra_n),"")</f>
        <v/>
      </c>
      <c r="L22" s="322" t="str">
        <f ca="1">IF(_xlfn.XLOOKUP(TabTRADER[[#This Row],[ClickTick]],TabCalc[Ticker],ListExtra_n)&gt;0,_xlfn.XLOOKUP(TabTRADER[[#This Row],[ClickTick]],TabCalc[Ticker],ListExtra_n)*TabTRADER[[#This Row],[M]]*_xlfn.XLOOKUP(TabTRADER[[#This Row],[ClickTick]],TabCalc[Ticker],ListScale),"")</f>
        <v/>
      </c>
      <c r="M22" s="325">
        <f ca="1">_xlfn.XLOOKUP(TabTRADER[[#This Row],[ClickTick]],TabCalc[Ticker],TabCalc[Agiotage])</f>
        <v>1.2198274247603278</v>
      </c>
      <c r="N22" s="326" cm="1">
        <f t="array" aca="1" ref="N22" ca="1">_xlfn.XLOOKUP(TabTRADER[[#This Row],[ClickTick]],ListTickers,Tab2RSIConventional[RSIConv20])</f>
        <v>84</v>
      </c>
      <c r="O22" s="712" t="str">
        <f ca="1">TEXT(_xlfn.XLOOKUP(TabTRADER[[#This Row],[ClickTick]],TabCalc[Ticker],TabCalc[Nbegin]),"#,#0")&amp;": "&amp;_xlfn.XLOOKUP(TabTRADER[[#This Row],[ClickTick]],TabCalc[Ticker],TabCalc[Pile?])</f>
        <v>1,000: Pile</v>
      </c>
      <c r="P22" s="326">
        <f ca="1">_xlfn.XLOOKUP(TabTRADER[[#This Row],[ClickTick]],TabCalc[Ticker],TabCalc[L_Bn])</f>
        <v>990</v>
      </c>
      <c r="Q22" s="690">
        <f ca="1">_xlfn.XLOOKUP(TabTRADER[[#This Row],[ClickTick]],TabCalc[Ticker],TabCalc[L_Bp])</f>
        <v>-46.676000000000002</v>
      </c>
      <c r="R22" s="778">
        <f ca="1">(TabTRADER[[#This Row],[M]]+TabTRADER[[#This Row],[L_Bp]])/ABS(TabTRADER[[#This Row],[L_Bp]])</f>
        <v>0.49241580255377482</v>
      </c>
      <c r="S22" s="692">
        <f ca="1">_xlfn.XLOOKUP(TabTRADER[[#This Row],[ClickTick]],TabCalc[Ticker],TabCalc[Rev(MinStock)])*(1-Commission)</f>
        <v>229.24241599999993</v>
      </c>
      <c r="T22" s="798">
        <f ca="1">_xlfn.XLOOKUP(TabTRADER[[#This Row],[ClickTick]],TabCalc[Ticker],TabCalc[Agiotage])</f>
        <v>1.2198274247603278</v>
      </c>
      <c r="U22" s="759" t="str" cm="1">
        <f t="array" aca="1" ref="U2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22/22=&gt;0.0% / 4.2%</v>
      </c>
      <c r="V22" s="751" t="str">
        <f ca="1">_xlfn.XLOOKUP(TabTRADER[[#This Row],[ClickTick]],[1]!RTData[Ticker symbol],[1]!RTData[Currency])</f>
        <v>USD</v>
      </c>
      <c r="W22" s="761">
        <f ca="1">_xlfn.XLOOKUP(TabTRADER[[#This Row],[ClickTick]],TabCalc[Ticker],TabCalc[M])</f>
        <v>69.66</v>
      </c>
      <c r="X22" s="762" t="str">
        <f ca="1">SORTING!B22</f>
        <v>GM</v>
      </c>
      <c r="Y22" s="819">
        <f ca="1">_xlfn.XLOOKUP(TabTRADER[[#This Row],[ClickTick]],TabCalc[Ticker],TabCalc[Y])</f>
        <v>63.8</v>
      </c>
      <c r="Z22" s="835">
        <f ca="1">_xlfn.XLOOKUP(TabTRADER[[#This Row],[ClickTick]],[1]!RTData[Ticker symbol],[1]!RTData[YTChange])</f>
        <v>0.13422222222222216</v>
      </c>
      <c r="AA22" s="851">
        <f ca="1">-_xlfn.XLOOKUP(TabTRADER[[#This Row],[ClickTick]]&amp;2,Consolid!B$3:JZ$3,Consolid!B$4:JZ$4)</f>
        <v>46.676000000000002</v>
      </c>
      <c r="AB22" s="835" cm="1">
        <f t="array" aca="1" ref="AB22" ca="1">_xlfn.XLOOKUP(TabTRADER[[#This Row],[ClickTick]],ListTickers,Tab1ChangePercent[Change%19])</f>
        <v>0</v>
      </c>
      <c r="AC22" s="782">
        <f ca="1">_xlfn.XLOOKUP(TabTRADER[[#This Row],[ClickTick]],TabCalc[Ticker],TabCalc[NAfter])</f>
        <v>10</v>
      </c>
      <c r="AD22"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^14/1 K$</v>
      </c>
      <c r="AE22" s="1299" t="str" cm="1">
        <f t="array" aca="1" ref="AE2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22" s="1281" t="str" cm="1">
        <f t="array" aca="1" ref="AF22" ca="1">_xlfn.IFS(       TabTRADER[[#This Row],[Traps]]=RePurchaseGain,TEXT(TabTRADER[[#This Row],[L_Sn]],"#,#0")&amp;" x "&amp;TEXT(TabTRADER[[#This Row],[L_Sp]],"#,#0.#0"),     TabTRADER[[#This Row],[Traps]]=ReSaleGain,TEXT(TabTRADER[[#This Row],[L_Bn]],"#0,#0")&amp;" x "&amp;TEXT(TabTRADER[[#This Row],[L_Bp]],"#,#0.#0"),               TRUE,"")</f>
        <v/>
      </c>
      <c r="AG22" s="1281" t="str" cm="1">
        <f t="array" aca="1" ref="AG2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47.63</v>
      </c>
      <c r="AH22" s="1281" cm="1">
        <f t="array" aca="1" ref="AH2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219.6972979999999</v>
      </c>
      <c r="AI22" s="1281" cm="1">
        <f t="array" aca="1" ref="AI2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229.24241599999993</v>
      </c>
      <c r="AJ22" s="1290" cm="1">
        <f t="array" aca="1" ref="AJ2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0.49241580255377482</v>
      </c>
      <c r="AK22" s="1290" cm="1">
        <f t="array" aca="1" ref="AK2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0.31360729256388165</v>
      </c>
      <c r="AL22" s="843" cm="1">
        <f t="array" aca="1" ref="AL22" ca="1">_xlfn.IFS(   TabTRADER[[#This Row],[Traps]]=SellMorePercentGain,                     MIN(TabTRADER[[#This Row],[L_Sn]],TabTRADER[[#This Row],[N]])*(TabTRADER[[#This Row],[M]]-TabTRADER[[#This Row],[L_Sp]])*(1-Commission)*TabTRADER[[#This Row],[Scale]],                    TRUE,"")</f>
        <v>219.6972979999999</v>
      </c>
      <c r="AM22" s="1039">
        <f ca="1">_xlfn.XLOOKUP(TabTRADER[[#This Row],[ClickTick]],TabCalc[Ticker],TabCalc[Ann%RevLB])</f>
        <v>0.39835885150417738</v>
      </c>
      <c r="AN22" s="1038">
        <f ca="1">_xlfn.XLOOKUP(TabTRADER[[#This Row],[ClickTick]],TabCalc[Ticker],TabCalc[Up20])</f>
        <v>0</v>
      </c>
      <c r="AO22" s="312" t="str" cm="1">
        <f t="array" aca="1" ref="AO2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22" s="843" t="str" cm="1">
        <f t="array" aca="1" ref="AP22" ca="1">_xlfn.IFS(         TabTRADER[[#This Row],[Traps]]=MDown,TabTRADER[[#This Row],[L_Bn]]*TabTRADER[[#This Row],[M]]*(-(TabTRADER[[#This Row],[L_Bp]]+TabTRADER[[#This Row],[M]])/TabTRADER[[#This Row],[M]])*(1-Commission)*TabTRADER[[#This Row],[Scale]],                               TRUE,"")</f>
        <v/>
      </c>
      <c r="AQ22" s="1290" cm="1">
        <f t="array" aca="1" ref="AQ22" ca="1">_xlfn.IFS(   TabTRADER[[#This Row],[Traps]]=MUp,TabTRADER[[#This Row],[TakeGain_A]]-Commission,        TabTRADER[[#This Row],[Traps]]=MDown,(TabTRADER[[#This Row],[A]]-TabTRADER[[#This Row],[M]])/TabTRADER[[#This Row],[M]]-Commission,                              TRUE,"")</f>
        <v>0.48981580255377483</v>
      </c>
      <c r="AR22" s="843" cm="1">
        <f t="array" aca="1" ref="AR2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342.12500425400623</v>
      </c>
      <c r="AS22" s="774" t="str" cm="1">
        <f t="array" aca="1" ref="AS2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1.9%</v>
      </c>
      <c r="AT22" s="748" t="str" cm="1">
        <f t="array" aca="1" ref="AT2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10x22.98</v>
      </c>
      <c r="AU22" s="779" cm="1">
        <f t="array" aca="1" ref="AU22" ca="1">_xlfn.IFS(TabTRADER[[#This Row],[Traps]]=ReSaleGain,"",         TabTRADER[[#This Row],[Traps]]=MDown, (TabTRADER[[#This Row],[M]]-TabTRADER[[#This Row],[A]])/TabTRADER[[#This Row],[A]]*ComFactor,             TRUE, IFERROR((TabTRADER[[#This Row],[M]]-TabTRADER[[#This Row],[A]])/TabTRADER[[#This Row],[A]]*ComFactor,""))</f>
        <v>0.49113552146713496</v>
      </c>
      <c r="AV22" s="776" cm="1">
        <f t="array" aca="1" ref="AV22" ca="1">_xlfn.IFS(               TabTRADER[[#This Row],[Traps]]=NoStock,(TabTRADER[[#This Row],[L_Sp]]-TabTRADER[[#This Row],[M]])/TabTRADER[[#This Row],[M]]-Commission,             TabTRADER[[#This Row],[A]]&lt;&gt;0,(TabTRADER[[#This Row],[A]]-TabTRADER[[#This Row],[M]])/TabTRADER[[#This Row],[M]]-Commission)</f>
        <v>-0.33254544932529423</v>
      </c>
      <c r="AW22" s="326">
        <f ca="1">_xlfn.XLOOKUP(TabTRADER[[#This Row],[ClickTick]],TabCalc[Ticker],TabCalc[L_Sn])</f>
        <v>990</v>
      </c>
      <c r="AX22" s="740">
        <f ca="1">_xlfn.XLOOKUP(TabTRADER[[#This Row],[ClickTick]],TabCalc[Ticker],TabCalc[L_Sp])</f>
        <v>47.633000000000003</v>
      </c>
      <c r="AY22" s="778">
        <f ca="1">-IFERROR((TabTRADER[[#This Row],[M]]-TabTRADER[[#This Row],[L_Sp]])/TabTRADER[[#This Row],[L_Sp]],0)</f>
        <v>-0.46243150756828233</v>
      </c>
      <c r="AZ22" s="741">
        <f ca="1">TabTRADER[[#This Row],[L_Sn]]*(TabTRADER[[#This Row],[M]]-TabTRADER[[#This Row],[L_Sp]])*(1-Commission)*TabTRADER[[#This Row],[Scale]]</f>
        <v>21750.032501999991</v>
      </c>
      <c r="BA22" s="701">
        <f ca="1">TabTRADER[[#This Row],[L_Sn]]*(TabTRADER[[#This Row],[Agiotage]]-TabTRADER[[#This Row],[M]])/(TabTRADER[[#This Row],[L_Bn]]*TabTRADER[[#This Row],[M]])</f>
        <v>-0.98248883972494516</v>
      </c>
      <c r="BB22" s="641">
        <f ca="1">IFERROR((TabTRADER[[#This Row],[M]]-TabTRADER[[#This Row],[A]])/TabTRADER[[#This Row],[A]],0)</f>
        <v>0.49241580255377482</v>
      </c>
      <c r="BC22" s="644" t="str">
        <f ca="1">TEXT(_xlfn.XLOOKUP(TabTRADER[[#This Row],[ClickTick]],TabCalc[Ticker],TabCalc[NAfter]),"#,#0")&amp;" : "&amp;TEXT(_xlfn.XLOOKUP(TabTRADER[[#This Row],[ClickTick]],TabCalc[Ticker],TabCalc[NAfter])*(TabTRADER[[#This Row],[M]]-TabTRADER[[#This Row],[A]])*(1-Commission)*TabTRADER[[#This Row],[Scale]],"#,#0$")</f>
        <v>10 : 229$</v>
      </c>
      <c r="BD22" s="693">
        <f ca="1">_xlfn.XLOOKUP(TabTRADER[[#This Row],[ClickTick]],TabCalc[[#This Row],[Ticker]],TabCalc[[#This Row],[GL]])*(1-Commission)</f>
        <v>14367.078222</v>
      </c>
      <c r="BE22" s="693"/>
      <c r="BF22" s="675" t="str">
        <f ca="1">TabTRADER[[#This Row],[ClickTick]]&amp;": "&amp;_xlfn.XLOOKUP(TabTRADER[[#This Row],[ClickTick]],TabCalc[Ticker],TabCalc[Pile?])</f>
        <v>GM: Pile</v>
      </c>
      <c r="BG22" s="353" t="s">
        <v>1958</v>
      </c>
      <c r="BH22" s="769" t="str" cm="1">
        <f t="array" aca="1" ref="BH22" ca="1">_xlfn.TEXTJOIN("",,INDEX({"M","A","Y"}, _xlfn.SORTBY({1,2,3}, -CHOOSE({1,2,3}, TabTRADER[[#This Row],[M]], TabTRADER[[#This Row],[A]], TabTRADER[[#This Row],[Agiotage]]))))</f>
        <v>MAY</v>
      </c>
      <c r="BI22" s="976" cm="1">
        <f t="array" aca="1" ref="BI2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0.31620729256388164</v>
      </c>
      <c r="BJ22" s="688">
        <f ca="1">TabTRADER[[#This Row],[L_Sn]]*TabTRADER[[#This Row],[L_Sp]]+TabTRADER[[#This Row],[SellMore]]*TabTRADER[[#This Row],[M]]</f>
        <v>47853.270000000004</v>
      </c>
      <c r="BK22" s="688">
        <f ca="1">INDEX(
  INDEX(TabConsolid[], , _xlfn.XMATCH(TabTRADER[[#This Row],[ClickTick]]&amp;1, TabConsolid[#Headers])),
  MATCH(
    -TabTRADER[[#This Row],[M]],
    INDEX(TabConsolid[], , _xlfn.XMATCH(TabTRADER[[#This Row],[ClickTick]]&amp;2, TabConsolid[#Headers])),
    -1
  )
)</f>
        <v>10</v>
      </c>
      <c r="BL22" s="688" cm="1">
        <f t="array" aca="1" ref="BL2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2" s="1260">
        <f ca="1">TabTRADER[[#This Row],[ReBuy]]/(TabTRADER[[#This Row],[L_Sn]]+TabTRADER[[#This Row],[SellMore]])</f>
        <v>47.853270000000002</v>
      </c>
      <c r="BN22" s="696">
        <f ca="1">((_xlfn.XLOOKUP(TabTRADER[[#This Row],[ClickTick]],TabCalc[Ticker],TabCalc[NAfter])+TabTRADER[[#This Row],[L_Sn]])*(TabTRADER[[#This Row],[Agiotage]]-TabTRADER[[#This Row],[M]]))/(TabTRADER[[#This Row],[L_Sn]]*_xlfn.XLOOKUP(TabTRADER[[#This Row],[ClickTick]],TabCalc[Ticker],TabCalc[NAfter]))</f>
        <v>-6.9131487449737046</v>
      </c>
      <c r="BO22" s="696">
        <f ca="1">(TabTRADER[[#This Row],[M]]-TabTRADER[[#This Row],[Agiotage]])/(TabTRADER[[#This Row],[M]]-TabTRADER[[#This Row],[A]])-1</f>
        <v>1.9777311423268227</v>
      </c>
      <c r="BP22" s="1388">
        <f ca="1">_xlfn.XMATCH(TabTRADER[[#This Row],[ClickTick]]&amp;1, TabConsolid[#Headers])</f>
        <v>62</v>
      </c>
      <c r="BQ22" t="b">
        <f ca="1">IF(ABS(TabTRADER[[#This Row],[L_Bp]])&gt;=TabTRADER[[#This Row],[M]],"OK")</f>
        <v>0</v>
      </c>
    </row>
    <row r="23" spans="1:69" ht="22" hidden="1" customHeight="1">
      <c r="A23" s="225">
        <f ca="1">IF(_xlfn.XLOOKUP(TabTRADER[[#This Row],[ClickTick]],TabCalc[Ticker],TabCalc[Cur])="GBp",0.01,1)</f>
        <v>1</v>
      </c>
      <c r="B2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-22.63x1800=    +1,566 USD</v>
      </c>
      <c r="C23"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3.7%</v>
      </c>
      <c r="D23" s="697" t="str" cm="1">
        <f t="array" aca="1" ref="D2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3" s="765" t="str">
        <f ca="1">IF(      AND(TabTRADER[[#This Row],[A]]&lt;TabTRADER[[#This Row],[M]],    _xlfn.XLOOKUP(TabTRADER[[#This Row],[ClickTick]],TabCalc[Ticker],TabCalc[L_Sp])&gt;TabTRADER[[#This Row],[M]]),"BUY  "&amp;TEXT(DesiredBuyGain/TabTRADER[[#This Row],[Scale]]/(_xlfn.XLOOKUP(TabTRADER[[#This Row],[ClickTick]],TabCalc[Ticker],TabCalc[L_Sp])-TabTRADER[[#This Row],[M]]),"#,##0"),"")</f>
        <v>BUY  1,946</v>
      </c>
      <c r="F23" s="228" t="str">
        <f ca="1">TRUNC(TabCalc[[#This Row],[L_B1p]],2)&amp;"x"&amp;TabCalc[[#This Row],[L_B1n]]&amp;"=   "&amp;TEXT(TabCalc[[#This Row],[ReverseS1]],"#,#0")&amp;"$"</f>
        <v>-24.92x1200=   -1,704$</v>
      </c>
      <c r="G23" s="227" t="str">
        <f ca="1">IFERROR(TRUNC(_xlfn.XLOOKUP(TabTRADER[[#This Row],[ClickTick]],TabCalc[Ticker],ListLastSalep),2)&amp;"x"&amp;_xlfn.XLOOKUP(TabTRADER[[#This Row],[ClickTick]],TabCalc[Ticker],ListLastSalen)&amp;"=   "&amp;TEXT(-_xlfn.XLOOKUP(TabTRADER[[#This Row],[ClickTick]],TabCalc[Ticker],ListReverseB),"#,#0")&amp;"$","")</f>
        <v>26.07x1200=   -3,084$</v>
      </c>
      <c r="H2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10.9% = 1,946</v>
      </c>
      <c r="I23" s="228" t="str">
        <f ca="1">IFERROR(TRUNC(TabCalc[[#This Row],[L_S1p]],2)&amp;"x"&amp;TabCalc[[#This Row],[L_S1n]]&amp;"=   "&amp;TEXT(TabCalc[[#This Row],[ReverseB1]],"#,#0"),"")</f>
        <v>24.82x800=   1,056</v>
      </c>
      <c r="J23" s="297">
        <f ca="1">_xlfn.XLOOKUP(TabTRADER[[#This Row],[ClickTick]],TabCalc[Ticker],ListGravity)</f>
        <v>0.97148936170212763</v>
      </c>
      <c r="K23" s="324" t="str" cm="1">
        <f t="array" aca="1" ref="K23" ca="1">IF(_xlfn.XLOOKUP(TabTRADER[[#This Row],[ClickTick]],TabTRADER[ClickTick],ListExtra_n)&gt;0,_xlfn.XLOOKUP(TabTRADER[[#This Row],[ClickTick]],TabTRADER[ClickTick],ListExtra_n),"")</f>
        <v/>
      </c>
      <c r="L23" s="322" t="str">
        <f ca="1">IF(_xlfn.XLOOKUP(TabTRADER[[#This Row],[ClickTick]],TabCalc[Ticker],ListExtra_n)&gt;0,_xlfn.XLOOKUP(TabTRADER[[#This Row],[ClickTick]],TabCalc[Ticker],ListExtra_n)*TabTRADER[[#This Row],[M]]*_xlfn.XLOOKUP(TabTRADER[[#This Row],[ClickTick]],TabCalc[Ticker],ListScale),"")</f>
        <v/>
      </c>
      <c r="M23" s="325">
        <f ca="1">_xlfn.XLOOKUP(TabTRADER[[#This Row],[ClickTick]],TabCalc[Ticker],TabCalc[Agiotage])</f>
        <v>0.56340141882800843</v>
      </c>
      <c r="N23" s="326" cm="1">
        <f t="array" aca="1" ref="N23" ca="1">_xlfn.XLOOKUP(TabTRADER[[#This Row],[ClickTick]],ListTickers,Tab2RSIConventional[RSIConv20])</f>
        <v>55</v>
      </c>
      <c r="O23" s="712" t="str">
        <f ca="1">TEXT(_xlfn.XLOOKUP(TabTRADER[[#This Row],[ClickTick]],TabCalc[Ticker],TabCalc[Nbegin]),"#,#0")&amp;": "&amp;_xlfn.XLOOKUP(TabTRADER[[#This Row],[ClickTick]],TabCalc[Ticker],TabCalc[Pile?])</f>
        <v xml:space="preserve">12,000: </v>
      </c>
      <c r="P23" s="326">
        <f ca="1">_xlfn.XLOOKUP(TabTRADER[[#This Row],[ClickTick]],TabCalc[Ticker],TabCalc[L_Bn])</f>
        <v>1800</v>
      </c>
      <c r="Q23" s="690">
        <f ca="1">_xlfn.XLOOKUP(TabTRADER[[#This Row],[ClickTick]],TabCalc[Ticker],TabCalc[L_Bp])</f>
        <v>-22.63</v>
      </c>
      <c r="R23" s="778">
        <f ca="1">(TabTRADER[[#This Row],[M]]+TabTRADER[[#This Row],[L_Bp]])/ABS(TabTRADER[[#This Row],[L_Bp]])</f>
        <v>3.8444542642509988E-2</v>
      </c>
      <c r="S23" s="692">
        <f ca="1">_xlfn.XLOOKUP(TabTRADER[[#This Row],[ClickTick]],TabCalc[Ticker],TabCalc[Rev(MinStock)])*(1-Commission)</f>
        <v>1561.9284000000018</v>
      </c>
      <c r="T23" s="798">
        <f ca="1">_xlfn.XLOOKUP(TabTRADER[[#This Row],[ClickTick]],TabCalc[Ticker],TabCalc[Agiotage])</f>
        <v>0.56340141882800843</v>
      </c>
      <c r="U23" s="759" t="str" cm="1">
        <f t="array" aca="1" ref="U2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-1,760/-1,760=&gt;4.2% / 1.3%</v>
      </c>
      <c r="V23" s="751" t="str">
        <f ca="1">_xlfn.XLOOKUP(TabTRADER[[#This Row],[ClickTick]],[1]!RTData[Ticker symbol],[1]!RTData[Currency])</f>
        <v>USD</v>
      </c>
      <c r="W23" s="761">
        <f ca="1">_xlfn.XLOOKUP(TabTRADER[[#This Row],[ClickTick]],TabCalc[Ticker],TabCalc[M])</f>
        <v>23.5</v>
      </c>
      <c r="X23" s="762" t="str">
        <f ca="1">SORTING!B23</f>
        <v>HPE</v>
      </c>
      <c r="Y23" s="819">
        <f ca="1">_xlfn.XLOOKUP(TabTRADER[[#This Row],[ClickTick]],TabCalc[Ticker],TabCalc[Y])</f>
        <v>22.83</v>
      </c>
      <c r="Z23" s="835">
        <f ca="1">_xlfn.XLOOKUP(TabTRADER[[#This Row],[ClickTick]],[1]!RTData[Ticker symbol],[1]!RTData[YTChange])</f>
        <v>6.334420121099206E-2</v>
      </c>
      <c r="AA23" s="851">
        <f ca="1">-_xlfn.XLOOKUP(TabTRADER[[#This Row],[ClickTick]]&amp;2,Consolid!B$3:JZ$3,Consolid!B$4:JZ$4)</f>
        <v>20.520893818181818</v>
      </c>
      <c r="AB23" s="835" cm="1">
        <f t="array" aca="1" ref="AB23" ca="1">_xlfn.XLOOKUP(TabTRADER[[#This Row],[ClickTick]],ListTickers,Tab1ChangePercent[Change%19])</f>
        <v>4.2183999999999999E-2</v>
      </c>
      <c r="AC23" s="782">
        <f ca="1">_xlfn.XLOOKUP(TabTRADER[[#This Row],[ClickTick]],TabCalc[Ticker],TabCalc[NAfter])</f>
        <v>11000</v>
      </c>
      <c r="AD2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^179/259 K$</v>
      </c>
      <c r="AE23" s="1299" t="str" cm="1">
        <f t="array" aca="1" ref="AE2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23" s="1281" t="str" cm="1">
        <f t="array" aca="1" ref="AF23" ca="1">_xlfn.IFS(       TabTRADER[[#This Row],[Traps]]=RePurchaseGain,TEXT(TabTRADER[[#This Row],[L_Sn]],"#,#0")&amp;" x "&amp;TEXT(TabTRADER[[#This Row],[L_Sp]],"#,#0.#0"),     TabTRADER[[#This Row],[Traps]]=ReSaleGain,TEXT(TabTRADER[[#This Row],[L_Bn]],"#0,#0")&amp;" x "&amp;TEXT(TabTRADER[[#This Row],[L_Bp]],"#,#0.#0"),               TRUE,"")</f>
        <v>1,800 x -22.63</v>
      </c>
      <c r="AG23" s="1281" cm="1">
        <f t="array" aca="1" ref="AG2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1561.9284000000018</v>
      </c>
      <c r="AH23" s="1281" t="str" cm="1">
        <f t="array" aca="1" ref="AH2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3" s="1281" cm="1">
        <f t="array" aca="1" ref="AI2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1561.9284000000018</v>
      </c>
      <c r="AJ23" s="1290" cm="1">
        <f t="array" aca="1" ref="AJ2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3.8444542642509988E-2</v>
      </c>
      <c r="AK23" s="1290" t="str" cm="1">
        <f t="array" aca="1" ref="AK2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23" s="843" t="str" cm="1">
        <f t="array" aca="1" ref="AL23" ca="1">_xlfn.IFS(   TabTRADER[[#This Row],[Traps]]=SellMorePercentGain,                     MIN(TabTRADER[[#This Row],[L_Sn]],TabTRADER[[#This Row],[N]])*(TabTRADER[[#This Row],[M]]-TabTRADER[[#This Row],[L_Sp]])*(1-Commission)*TabTRADER[[#This Row],[Scale]],                    TRUE,"")</f>
        <v/>
      </c>
      <c r="AM23" s="1279">
        <f ca="1">_xlfn.XLOOKUP(TabTRADER[[#This Row],[ClickTick]],TabCalc[Ticker],TabCalc[Ann%RevLB])</f>
        <v>2.3066725585505994</v>
      </c>
      <c r="AN23" s="1038">
        <f ca="1">_xlfn.XLOOKUP(TabTRADER[[#This Row],[ClickTick]],TabCalc[Ticker],TabCalc[Up20])</f>
        <v>0.44444444444444442</v>
      </c>
      <c r="AO23" s="312" t="str" cm="1">
        <f t="array" aca="1" ref="AO2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23" s="843" t="str" cm="1">
        <f t="array" aca="1" ref="AP23" ca="1">_xlfn.IFS(         TabTRADER[[#This Row],[Traps]]=MDown,TabTRADER[[#This Row],[L_Bn]]*TabTRADER[[#This Row],[M]]*(-(TabTRADER[[#This Row],[L_Bp]]+TabTRADER[[#This Row],[M]])/TabTRADER[[#This Row],[M]])*(1-Commission)*TabTRADER[[#This Row],[Scale]],                               TRUE,"")</f>
        <v/>
      </c>
      <c r="AQ23" s="1290" t="str" cm="1">
        <f t="array" aca="1" ref="AQ23" ca="1">_xlfn.IFS(   TabTRADER[[#This Row],[Traps]]=MUp,TabTRADER[[#This Row],[TakeGain_A]]-Commission,        TabTRADER[[#This Row],[Traps]]=MDown,(TabTRADER[[#This Row],[A]]-TabTRADER[[#This Row],[M]])/TabTRADER[[#This Row],[M]]-Commission,                              TRUE,"")</f>
        <v/>
      </c>
      <c r="AR23" s="843" cm="1">
        <f t="array" aca="1" ref="AR2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37429.98221912999</v>
      </c>
      <c r="AS23" s="774" t="str" cm="1">
        <f t="array" aca="1" ref="AS2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23" s="748" t="str" cm="1">
        <f t="array" aca="1" ref="AT2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23" s="779" t="str" cm="1">
        <f t="array" aca="1" ref="AU23" ca="1">_xlfn.IFS(TabTRADER[[#This Row],[Traps]]=ReSaleGain,"",         TabTRADER[[#This Row],[Traps]]=MDown, (TabTRADER[[#This Row],[M]]-TabTRADER[[#This Row],[A]])/TabTRADER[[#This Row],[A]]*ComFactor,             TRUE, IFERROR((TabTRADER[[#This Row],[M]]-TabTRADER[[#This Row],[A]])/TabTRADER[[#This Row],[A]]*ComFactor,""))</f>
        <v/>
      </c>
      <c r="AV23" s="776" cm="1">
        <f t="array" aca="1" ref="AV23" ca="1">_xlfn.IFS(               TabTRADER[[#This Row],[Traps]]=NoStock,(TabTRADER[[#This Row],[L_Sp]]-TabTRADER[[#This Row],[M]])/TabTRADER[[#This Row],[M]]-Commission,             TabTRADER[[#This Row],[A]]&lt;&gt;0,(TabTRADER[[#This Row],[A]]-TabTRADER[[#This Row],[M]])/TabTRADER[[#This Row],[M]]-Commission)</f>
        <v>-0.12937047582205027</v>
      </c>
      <c r="AW23" s="326">
        <f ca="1">_xlfn.XLOOKUP(TabTRADER[[#This Row],[ClickTick]],TabCalc[Ticker],TabCalc[L_Sn])</f>
        <v>1200</v>
      </c>
      <c r="AX23" s="740">
        <f ca="1">_xlfn.XLOOKUP(TabTRADER[[#This Row],[ClickTick]],TabCalc[Ticker],TabCalc[L_Sp])</f>
        <v>26.07</v>
      </c>
      <c r="AY23" s="778">
        <f ca="1">-IFERROR((TabTRADER[[#This Row],[M]]-TabTRADER[[#This Row],[L_Sp]])/TabTRADER[[#This Row],[L_Sp]],0)</f>
        <v>9.8580744150364413E-2</v>
      </c>
      <c r="AZ23" s="741">
        <f ca="1">TabTRADER[[#This Row],[L_Sn]]*(TabTRADER[[#This Row],[M]]-TabTRADER[[#This Row],[L_Sp]])*(1-Commission)*TabTRADER[[#This Row],[Scale]]</f>
        <v>-3075.9816000000005</v>
      </c>
      <c r="BA23" s="701">
        <f ca="1">TabTRADER[[#This Row],[L_Sn]]*(TabTRADER[[#This Row],[Agiotage]]-TabTRADER[[#This Row],[M]])/(TabTRADER[[#This Row],[L_Bn]]*TabTRADER[[#This Row],[M]])</f>
        <v>-0.6506836476928225</v>
      </c>
      <c r="BB23" s="641">
        <f ca="1">IFERROR((TabTRADER[[#This Row],[M]]-TabTRADER[[#This Row],[A]])/TabTRADER[[#This Row],[A]],0)</f>
        <v>0.14517428959057568</v>
      </c>
      <c r="BC23" s="644" t="str">
        <f ca="1">TEXT(_xlfn.XLOOKUP(TabTRADER[[#This Row],[ClickTick]],TabCalc[Ticker],TabCalc[NAfter]),"#,#0")&amp;" : "&amp;TEXT(_xlfn.XLOOKUP(TabTRADER[[#This Row],[ClickTick]],TabCalc[Ticker],TabCalc[NAfter])*(TabTRADER[[#This Row],[M]]-TabTRADER[[#This Row],[A]])*(1-Commission)*TabTRADER[[#This Row],[Scale]],"#,#0$")</f>
        <v>11,000 : 32,685$</v>
      </c>
      <c r="BD23" s="693">
        <f ca="1">_xlfn.XLOOKUP(TabTRADER[[#This Row],[ClickTick]],TabCalc[[#This Row],[Ticker]],TabCalc[[#This Row],[GL]])*(1-Commission)</f>
        <v>178329.13559999998</v>
      </c>
      <c r="BE23" s="693"/>
      <c r="BF23" s="675" t="str">
        <f ca="1">TabTRADER[[#This Row],[ClickTick]]&amp;": "&amp;_xlfn.XLOOKUP(TabTRADER[[#This Row],[ClickTick]],TabCalc[Ticker],TabCalc[Pile?])</f>
        <v xml:space="preserve">HPE: </v>
      </c>
      <c r="BG23" s="353" t="s">
        <v>1959</v>
      </c>
      <c r="BH23" s="769" t="str" cm="1">
        <f t="array" aca="1" ref="BH23" ca="1">_xlfn.TEXTJOIN("",,INDEX({"M","A","Y"}, _xlfn.SORTBY({1,2,3}, -CHOOSE({1,2,3}, TabTRADER[[#This Row],[M]], TabTRADER[[#This Row],[A]], TabTRADER[[#This Row],[Agiotage]]))))</f>
        <v>MAY</v>
      </c>
      <c r="BI23" s="976" t="str" cm="1">
        <f t="array" aca="1" ref="BI2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23" s="688">
        <f ca="1">TabTRADER[[#This Row],[L_Sn]]*TabTRADER[[#This Row],[L_Sp]]+TabTRADER[[#This Row],[SellMore]]*TabTRADER[[#This Row],[M]]</f>
        <v>73584</v>
      </c>
      <c r="BK23" s="688">
        <f ca="1">INDEX(
  INDEX(TabConsolid[], , _xlfn.XMATCH(TabTRADER[[#This Row],[ClickTick]]&amp;1, TabConsolid[#Headers])),
  MATCH(
    -TabTRADER[[#This Row],[M]],
    INDEX(TabConsolid[], , _xlfn.XMATCH(TabTRADER[[#This Row],[ClickTick]]&amp;2, TabConsolid[#Headers])),
    -1
  )
)</f>
        <v>1800</v>
      </c>
      <c r="BL23" s="688" cm="1">
        <f t="array" aca="1" ref="BL2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1800</v>
      </c>
      <c r="BM23" s="1260">
        <f ca="1">TabTRADER[[#This Row],[ReBuy]]/(TabTRADER[[#This Row],[L_Sn]]+TabTRADER[[#This Row],[SellMore]])</f>
        <v>24.527999999999999</v>
      </c>
      <c r="BN23" s="696">
        <f ca="1">((_xlfn.XLOOKUP(TabTRADER[[#This Row],[ClickTick]],TabCalc[Ticker],TabCalc[NAfter])+TabTRADER[[#This Row],[L_Sn]])*(TabTRADER[[#This Row],[Agiotage]]-TabTRADER[[#This Row],[M]]))/(TabTRADER[[#This Row],[L_Sn]]*_xlfn.XLOOKUP(TabTRADER[[#This Row],[ClickTick]],TabCalc[Ticker],TabCalc[NAfter]))</f>
        <v>-2.1198977476537751E-2</v>
      </c>
      <c r="BO23" s="696">
        <f ca="1">(TabTRADER[[#This Row],[M]]-TabTRADER[[#This Row],[Agiotage]])/(TabTRADER[[#This Row],[M]]-TabTRADER[[#This Row],[A]])-1</f>
        <v>6.69915443805146</v>
      </c>
      <c r="BP23" s="1388">
        <f ca="1">_xlfn.XMATCH(TabTRADER[[#This Row],[ClickTick]]&amp;1, TabConsolid[#Headers])</f>
        <v>65</v>
      </c>
      <c r="BQ23" t="b">
        <f ca="1">IF(ABS(TabTRADER[[#This Row],[L_Bp]])&gt;=TabTRADER[[#This Row],[M]],"OK")</f>
        <v>0</v>
      </c>
    </row>
    <row r="24" spans="1:69" ht="22" customHeight="1">
      <c r="A24" s="225">
        <f ca="1">IF(_xlfn.XLOOKUP(TabTRADER[[#This Row],[ClickTick]],TabCalc[Ticker],TabCalc[Cur])="GBp",0.01,1)</f>
        <v>1</v>
      </c>
      <c r="B2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-27.53x1000=    +130 USD</v>
      </c>
      <c r="C24"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0.5%</v>
      </c>
      <c r="D24" s="697" t="str" cm="1">
        <f t="array" aca="1" ref="D2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4" s="765" t="str">
        <f ca="1">IF(      AND(TabTRADER[[#This Row],[A]]&lt;TabTRADER[[#This Row],[M]],    _xlfn.XLOOKUP(TabTRADER[[#This Row],[ClickTick]],TabCalc[Ticker],TabCalc[L_Sp])&gt;TabTRADER[[#This Row],[M]]),"BUY  "&amp;TEXT(DesiredBuyGain/TabTRADER[[#This Row],[Scale]]/(_xlfn.XLOOKUP(TabTRADER[[#This Row],[ClickTick]],TabCalc[Ticker],TabCalc[L_Sp])-TabTRADER[[#This Row],[M]]),"#,##0"),"")</f>
        <v>BUY  3,906</v>
      </c>
      <c r="F24" s="228" t="str">
        <f ca="1">TRUNC(TabCalc[[#This Row],[L_B1p]],2)&amp;"x"&amp;TabCalc[[#This Row],[L_B1n]]&amp;"=   "&amp;TEXT(TabCalc[[#This Row],[ReverseS1]],"#,#0")&amp;"$"</f>
        <v>-25.74x4000=   7,680$</v>
      </c>
      <c r="G24" s="227" t="str">
        <f ca="1">IFERROR(TRUNC(_xlfn.XLOOKUP(TabTRADER[[#This Row],[ClickTick]],TabCalc[Ticker],ListLastSalep),2)&amp;"x"&amp;_xlfn.XLOOKUP(TabTRADER[[#This Row],[ClickTick]],TabCalc[Ticker],ListLastSalen)&amp;"=   "&amp;TEXT(-_xlfn.XLOOKUP(TabTRADER[[#This Row],[ClickTick]],TabCalc[Ticker],ListReverseB),"#,#0")&amp;"$","")</f>
        <v>28.94x1000=   -1,280$</v>
      </c>
      <c r="H2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4.6% = 3,906</v>
      </c>
      <c r="I24" s="228" t="str">
        <f ca="1">IFERROR(TRUNC(TabCalc[[#This Row],[L_S1p]],2)&amp;"x"&amp;TabCalc[[#This Row],[L_S1n]]&amp;"=   "&amp;TEXT(TabCalc[[#This Row],[ReverseB1]],"#,#0"),"")</f>
        <v>27.08x4000=   -2,320</v>
      </c>
      <c r="J24" s="297">
        <f ca="1">_xlfn.XLOOKUP(TabTRADER[[#This Row],[ClickTick]],TabCalc[Ticker],ListGravity)</f>
        <v>1.0182122198120029</v>
      </c>
      <c r="K24" s="324" cm="1">
        <f t="array" aca="1" ref="K24" ca="1">IF(_xlfn.XLOOKUP(TabTRADER[[#This Row],[ClickTick]],TabTRADER[ClickTick],ListExtra_n)&gt;0,_xlfn.XLOOKUP(TabTRADER[[#This Row],[ClickTick]],TabTRADER[ClickTick],ListExtra_n),"")</f>
        <v>4000</v>
      </c>
      <c r="L24" s="322">
        <f ca="1">IF(_xlfn.XLOOKUP(TabTRADER[[#This Row],[ClickTick]],TabCalc[Ticker],ListExtra_n)&gt;0,_xlfn.XLOOKUP(TabTRADER[[#This Row],[ClickTick]],TabCalc[Ticker],ListExtra_n)*TabTRADER[[#This Row],[M]]*_xlfn.XLOOKUP(TabTRADER[[#This Row],[ClickTick]],TabCalc[Ticker],ListScale),"")</f>
        <v>110640</v>
      </c>
      <c r="M24" s="325">
        <f ca="1">_xlfn.XLOOKUP(TabTRADER[[#This Row],[ClickTick]],TabCalc[Ticker],TabCalc[Agiotage])</f>
        <v>0.71094852552131327</v>
      </c>
      <c r="N24" s="326" cm="1">
        <f t="array" aca="1" ref="N24" ca="1">_xlfn.XLOOKUP(TabTRADER[[#This Row],[ClickTick]],ListTickers,Tab2RSIConventional[RSIConv20])</f>
        <v>63</v>
      </c>
      <c r="O24" s="712" t="str">
        <f ca="1">TEXT(_xlfn.XLOOKUP(TabTRADER[[#This Row],[ClickTick]],TabCalc[Ticker],TabCalc[Nbegin]),"#,#0")&amp;": "&amp;_xlfn.XLOOKUP(TabTRADER[[#This Row],[ClickTick]],TabCalc[Ticker],TabCalc[Pile?])</f>
        <v xml:space="preserve">1,000: </v>
      </c>
      <c r="P24" s="326">
        <f ca="1">_xlfn.XLOOKUP(TabTRADER[[#This Row],[ClickTick]],TabCalc[Ticker],TabCalc[L_Bn])</f>
        <v>1000</v>
      </c>
      <c r="Q24" s="690">
        <f ca="1">_xlfn.XLOOKUP(TabTRADER[[#This Row],[ClickTick]],TabCalc[Ticker],TabCalc[L_Bp])</f>
        <v>-27.53</v>
      </c>
      <c r="R24" s="778">
        <f ca="1">(TabTRADER[[#This Row],[M]]+TabTRADER[[#This Row],[L_Bp]])/ABS(TabTRADER[[#This Row],[L_Bp]])</f>
        <v>4.722121322193934E-3</v>
      </c>
      <c r="S24" s="692">
        <f ca="1">_xlfn.XLOOKUP(TabTRADER[[#This Row],[ClickTick]],TabCalc[Ticker],TabCalc[Rev(MinStock)])*(1-Commission)</f>
        <v>129.66199999999901</v>
      </c>
      <c r="T24" s="798">
        <f ca="1">_xlfn.XLOOKUP(TabTRADER[[#This Row],[ClickTick]],TabCalc[Ticker],TabCalc[Agiotage])</f>
        <v>0.71094852552131327</v>
      </c>
      <c r="U24" s="759" t="str" cm="1">
        <f t="array" aca="1" ref="U2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-3,000/-3,000=&gt;1.3% / -0.6%</v>
      </c>
      <c r="V24" s="751" t="str">
        <f ca="1">_xlfn.XLOOKUP(TabTRADER[[#This Row],[ClickTick]],[1]!RTData[Ticker symbol],[1]!RTData[Currency])</f>
        <v>USD</v>
      </c>
      <c r="W24" s="761">
        <f ca="1">_xlfn.XLOOKUP(TabTRADER[[#This Row],[ClickTick]],TabCalc[Ticker],TabCalc[M])</f>
        <v>27.66</v>
      </c>
      <c r="X24" s="762" t="str">
        <f ca="1">SORTING!B24</f>
        <v>HPQ</v>
      </c>
      <c r="Y24" s="819">
        <f ca="1">_xlfn.XLOOKUP(TabTRADER[[#This Row],[ClickTick]],TabCalc[Ticker],TabCalc[Y])</f>
        <v>28.16375</v>
      </c>
      <c r="Z24" s="835">
        <f ca="1">_xlfn.XLOOKUP(TabTRADER[[#This Row],[ClickTick]],[1]!RTData[Ticker symbol],[1]!RTData[YTChange])</f>
        <v>-0.2232832322118036</v>
      </c>
      <c r="AA24" s="851">
        <f ca="1">-_xlfn.XLOOKUP(TabTRADER[[#This Row],[ClickTick]]&amp;2,Consolid!B$3:JZ$3,Consolid!B$4:JZ$4)</f>
        <v>26.097999999999999</v>
      </c>
      <c r="AB24" s="835" cm="1">
        <f t="array" aca="1" ref="AB24" ca="1">_xlfn.XLOOKUP(TabTRADER[[#This Row],[ClickTick]],ListTickers,Tab1ChangePercent[Change%19])</f>
        <v>1.3368E-2</v>
      </c>
      <c r="AC24" s="782">
        <f ca="1">_xlfn.XLOOKUP(TabTRADER[[#This Row],[ClickTick]],TabCalc[Ticker],TabCalc[NAfter])</f>
        <v>5000</v>
      </c>
      <c r="AD2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^54/138 K$</v>
      </c>
      <c r="AE24" s="1299" t="str" cm="1">
        <f t="array" aca="1" ref="AE2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24" s="1281" t="str" cm="1">
        <f t="array" aca="1" ref="AF24" ca="1">_xlfn.IFS(       TabTRADER[[#This Row],[Traps]]=RePurchaseGain,TEXT(TabTRADER[[#This Row],[L_Sn]],"#,#0")&amp;" x "&amp;TEXT(TabTRADER[[#This Row],[L_Sp]],"#,#0.#0"),     TabTRADER[[#This Row],[Traps]]=ReSaleGain,TEXT(TabTRADER[[#This Row],[L_Bn]],"#0,#0")&amp;" x "&amp;TEXT(TabTRADER[[#This Row],[L_Bp]],"#,#0.#0"),               TRUE,"")</f>
        <v>1,000 x -27.53</v>
      </c>
      <c r="AG24" s="1281" cm="1">
        <f t="array" aca="1" ref="AG2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129.66199999999901</v>
      </c>
      <c r="AH24" s="1281" t="str" cm="1">
        <f t="array" aca="1" ref="AH2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4" s="1281" cm="1">
        <f t="array" aca="1" ref="AI2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129.66199999999901</v>
      </c>
      <c r="AJ24" s="1290" cm="1">
        <f t="array" aca="1" ref="AJ2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4.722121322193934E-3</v>
      </c>
      <c r="AK24" s="1290" t="str" cm="1">
        <f t="array" aca="1" ref="AK2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4" s="843" t="str" cm="1">
        <f t="array" aca="1" ref="AL24" ca="1">_xlfn.IFS(   TabTRADER[[#This Row],[Traps]]=SellMorePercentGain,                     MIN(TabTRADER[[#This Row],[L_Sn]],TabTRADER[[#This Row],[N]])*(TabTRADER[[#This Row],[M]]-TabTRADER[[#This Row],[L_Sp]])*(1-Commission)*TabTRADER[[#This Row],[Scale]],                    TRUE,"")</f>
        <v/>
      </c>
      <c r="AM24" s="1039">
        <f ca="1">_xlfn.XLOOKUP(TabTRADER[[#This Row],[ClickTick]],TabCalc[Ticker],TabCalc[Ann%RevLB])</f>
        <v>0.16999636759898162</v>
      </c>
      <c r="AN24" s="1038">
        <f ca="1">_xlfn.XLOOKUP(TabTRADER[[#This Row],[ClickTick]],TabCalc[Ticker],TabCalc[Up20])</f>
        <v>0.42857142857142855</v>
      </c>
      <c r="AO24" s="312" t="str" cm="1">
        <f t="array" aca="1" ref="AO2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4" s="843" t="str" cm="1">
        <f t="array" aca="1" ref="AP24" ca="1">_xlfn.IFS(         TabTRADER[[#This Row],[Traps]]=MDown,TabTRADER[[#This Row],[L_Bn]]*TabTRADER[[#This Row],[M]]*(-(TabTRADER[[#This Row],[L_Bp]]+TabTRADER[[#This Row],[M]])/TabTRADER[[#This Row],[M]])*(1-Commission)*TabTRADER[[#This Row],[Scale]],                               TRUE,"")</f>
        <v/>
      </c>
      <c r="AQ24" s="1290" t="str" cm="1">
        <f t="array" aca="1" ref="AQ24" ca="1">_xlfn.IFS(   TabTRADER[[#This Row],[Traps]]=MUp,TabTRADER[[#This Row],[TakeGain_A]]-Commission,        TabTRADER[[#This Row],[Traps]]=MDown,(TabTRADER[[#This Row],[A]]-TabTRADER[[#This Row],[M]])/TabTRADER[[#This Row],[M]]-Commission,                              TRUE,"")</f>
        <v/>
      </c>
      <c r="AR24" s="843" cm="1">
        <f t="array" aca="1" ref="AR2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8255.9175431067579</v>
      </c>
      <c r="AS24" s="774" t="str" cm="1">
        <f t="array" aca="1" ref="AS2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&lt;0&lt;-1:      -0.2%</v>
      </c>
      <c r="AT24" s="748" t="str" cm="1">
        <f t="array" aca="1" ref="AT2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24" s="779" t="str" cm="1">
        <f t="array" aca="1" ref="AU24" ca="1">_xlfn.IFS(TabTRADER[[#This Row],[Traps]]=ReSaleGain,"",         TabTRADER[[#This Row],[Traps]]=MDown, (TabTRADER[[#This Row],[M]]-TabTRADER[[#This Row],[A]])/TabTRADER[[#This Row],[A]]*ComFactor,             TRUE, IFERROR((TabTRADER[[#This Row],[M]]-TabTRADER[[#This Row],[A]])/TabTRADER[[#This Row],[A]]*ComFactor,""))</f>
        <v/>
      </c>
      <c r="AV24" s="776" cm="1">
        <f t="array" aca="1" ref="AV24" ca="1">_xlfn.IFS(               TabTRADER[[#This Row],[Traps]]=NoStock,(TabTRADER[[#This Row],[L_Sp]]-TabTRADER[[#This Row],[M]])/TabTRADER[[#This Row],[M]]-Commission,             TabTRADER[[#This Row],[A]]&lt;&gt;0,(TabTRADER[[#This Row],[A]]-TabTRADER[[#This Row],[M]])/TabTRADER[[#This Row],[M]]-Commission)</f>
        <v>-5.9071438900940028E-2</v>
      </c>
      <c r="AW24" s="326">
        <f ca="1">_xlfn.XLOOKUP(TabTRADER[[#This Row],[ClickTick]],TabCalc[Ticker],TabCalc[L_Sn])</f>
        <v>1000</v>
      </c>
      <c r="AX24" s="740">
        <f ca="1">_xlfn.XLOOKUP(TabTRADER[[#This Row],[ClickTick]],TabCalc[Ticker],TabCalc[L_Sp])</f>
        <v>28.94</v>
      </c>
      <c r="AY24" s="778">
        <f ca="1">-IFERROR((TabTRADER[[#This Row],[M]]-TabTRADER[[#This Row],[L_Sp]])/TabTRADER[[#This Row],[L_Sp]],0)</f>
        <v>4.4229440221147241E-2</v>
      </c>
      <c r="AZ24" s="741">
        <f ca="1">TabTRADER[[#This Row],[L_Sn]]*(TabTRADER[[#This Row],[M]]-TabTRADER[[#This Row],[L_Sp]])*(1-Commission)*TabTRADER[[#This Row],[Scale]]</f>
        <v>-1276.6720000000012</v>
      </c>
      <c r="BA24" s="701">
        <f ca="1">TabTRADER[[#This Row],[L_Sn]]*(TabTRADER[[#This Row],[Agiotage]]-TabTRADER[[#This Row],[M]])/(TabTRADER[[#This Row],[L_Bn]]*TabTRADER[[#This Row],[M]])</f>
        <v>-0.97429687181773983</v>
      </c>
      <c r="BB24" s="641">
        <f ca="1">IFERROR((TabTRADER[[#This Row],[M]]-TabTRADER[[#This Row],[A]])/TabTRADER[[#This Row],[A]],0)</f>
        <v>5.9851329603801101E-2</v>
      </c>
      <c r="BC24" s="644" t="str">
        <f ca="1">TEXT(_xlfn.XLOOKUP(TabTRADER[[#This Row],[ClickTick]],TabCalc[Ticker],TabCalc[NAfter]),"#,#0")&amp;" : "&amp;TEXT(_xlfn.XLOOKUP(TabTRADER[[#This Row],[ClickTick]],TabCalc[Ticker],TabCalc[NAfter])*(TabTRADER[[#This Row],[M]]-TabTRADER[[#This Row],[A]])*(1-Commission)*TabTRADER[[#This Row],[Scale]],"#,#0$")</f>
        <v>5,000 : 7,790$</v>
      </c>
      <c r="BD24" s="693">
        <f ca="1">_xlfn.XLOOKUP(TabTRADER[[#This Row],[ClickTick]],TabCalc[[#This Row],[Ticker]],TabCalc[[#This Row],[GL]])*(1-Commission)</f>
        <v>54202.913059200037</v>
      </c>
      <c r="BE24" s="693"/>
      <c r="BF24" s="675" t="str">
        <f ca="1">TabTRADER[[#This Row],[ClickTick]]&amp;": "&amp;_xlfn.XLOOKUP(TabTRADER[[#This Row],[ClickTick]],TabCalc[Ticker],TabCalc[Pile?])</f>
        <v xml:space="preserve">HPQ: </v>
      </c>
      <c r="BG24" s="353" t="s">
        <v>1960</v>
      </c>
      <c r="BH24" s="769" t="str" cm="1">
        <f t="array" aca="1" ref="BH24" ca="1">_xlfn.TEXTJOIN("",,INDEX({"M","A","Y"}, _xlfn.SORTBY({1,2,3}, -CHOOSE({1,2,3}, TabTRADER[[#This Row],[M]], TabTRADER[[#This Row],[A]], TabTRADER[[#This Row],[Agiotage]]))))</f>
        <v>MAY</v>
      </c>
      <c r="BI24" s="976" t="str" cm="1">
        <f t="array" aca="1" ref="BI2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4" s="688">
        <f ca="1">TabTRADER[[#This Row],[L_Sn]]*TabTRADER[[#This Row],[L_Sp]]+TabTRADER[[#This Row],[SellMore]]*TabTRADER[[#This Row],[M]]</f>
        <v>56600</v>
      </c>
      <c r="BK24" s="688">
        <f ca="1">INDEX(
  INDEX(TabConsolid[], , _xlfn.XMATCH(TabTRADER[[#This Row],[ClickTick]]&amp;1, TabConsolid[#Headers])),
  MATCH(
    -TabTRADER[[#This Row],[M]],
    INDEX(TabConsolid[], , _xlfn.XMATCH(TabTRADER[[#This Row],[ClickTick]]&amp;2, TabConsolid[#Headers])),
    -1
  )
)</f>
        <v>1000</v>
      </c>
      <c r="BL24" s="688" cm="1">
        <f t="array" aca="1" ref="BL2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24" s="1260">
        <f ca="1">TabTRADER[[#This Row],[ReBuy]]/(TabTRADER[[#This Row],[L_Sn]]+TabTRADER[[#This Row],[SellMore]])</f>
        <v>28.3</v>
      </c>
      <c r="BN24" s="696">
        <f ca="1">((_xlfn.XLOOKUP(TabTRADER[[#This Row],[ClickTick]],TabCalc[Ticker],TabCalc[NAfter])+TabTRADER[[#This Row],[L_Sn]])*(TabTRADER[[#This Row],[Agiotage]]-TabTRADER[[#This Row],[M]]))/(TabTRADER[[#This Row],[L_Sn]]*_xlfn.XLOOKUP(TabTRADER[[#This Row],[ClickTick]],TabCalc[Ticker],TabCalc[NAfter]))</f>
        <v>-3.2338861769374422E-2</v>
      </c>
      <c r="BO24" s="696">
        <f ca="1">(TabTRADER[[#This Row],[M]]-TabTRADER[[#This Row],[Agiotage]])/(TabTRADER[[#This Row],[M]]-TabTRADER[[#This Row],[A]])-1</f>
        <v>16.2529138761067</v>
      </c>
      <c r="BP24" s="1388">
        <f ca="1">_xlfn.XMATCH(TabTRADER[[#This Row],[ClickTick]]&amp;1, TabConsolid[#Headers])</f>
        <v>68</v>
      </c>
      <c r="BQ24" t="b">
        <f ca="1">IF(ABS(TabTRADER[[#This Row],[L_Bp]])&gt;=TabTRADER[[#This Row],[M]],"OK")</f>
        <v>0</v>
      </c>
    </row>
    <row r="25" spans="1:69" ht="22" customHeight="1">
      <c r="A25" s="225">
        <f ca="1">IF(_xlfn.XLOOKUP(TabTRADER[[#This Row],[ClickTick]],TabCalc[Ticker],TabCalc[Cur])="GBp",0.01,1)</f>
        <v>0.01</v>
      </c>
      <c r="B2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-249.01x20000=    +32,198 GBp</v>
      </c>
      <c r="C25"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39.3%</v>
      </c>
      <c r="D25" s="697" t="str" cm="1">
        <f t="array" aca="1" ref="D2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3,106/200,000=12,734</v>
      </c>
      <c r="E2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25" s="228" t="str">
        <f ca="1">TRUNC(TabCalc[[#This Row],[L_B1p]],2)&amp;"x"&amp;TabCalc[[#This Row],[L_B1n]]&amp;"=   "&amp;TEXT(TabCalc[[#This Row],[ReverseS1]],"#,#0")&amp;"$"</f>
        <v>-284.47x20000=   25,104$</v>
      </c>
      <c r="G25" s="227" t="str">
        <f ca="1">IFERROR(TRUNC(_xlfn.XLOOKUP(TabTRADER[[#This Row],[ClickTick]],TabCalc[Ticker],ListLastSalep),2)&amp;"x"&amp;_xlfn.XLOOKUP(TabTRADER[[#This Row],[ClickTick]],TabCalc[Ticker],ListLastSalen)&amp;"=   "&amp;TEXT(-_xlfn.XLOOKUP(TabTRADER[[#This Row],[ClickTick]],TabCalc[Ticker],ListReverseB),"#,#0")&amp;"$","")</f>
        <v>406.2x20000=   760$</v>
      </c>
      <c r="H2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-0.9% = 0</v>
      </c>
      <c r="I25" s="228" t="str">
        <f ca="1">IFERROR(TRUNC(TabCalc[[#This Row],[L_S1p]],2)&amp;"x"&amp;TabCalc[[#This Row],[L_S1n]]&amp;"=   "&amp;TEXT(TabCalc[[#This Row],[ReverseB1]],"#,#0"),"")</f>
        <v>405.01x10000=   -499</v>
      </c>
      <c r="J25" s="297">
        <f ca="1">_xlfn.XLOOKUP(TabTRADER[[#This Row],[ClickTick]],TabCalc[Ticker],ListGravity)</f>
        <v>1.0694051707317074</v>
      </c>
      <c r="K25" s="324" t="str" cm="1">
        <f t="array" aca="1" ref="K25" ca="1">IF(_xlfn.XLOOKUP(TabTRADER[[#This Row],[ClickTick]],TabTRADER[ClickTick],ListExtra_n)&gt;0,_xlfn.XLOOKUP(TabTRADER[[#This Row],[ClickTick]],TabTRADER[ClickTick],ListExtra_n),"")</f>
        <v/>
      </c>
      <c r="L25" s="322" t="str">
        <f ca="1">IF(_xlfn.XLOOKUP(TabTRADER[[#This Row],[ClickTick]],TabCalc[Ticker],ListExtra_n)&gt;0,_xlfn.XLOOKUP(TabTRADER[[#This Row],[ClickTick]],TabCalc[Ticker],ListExtra_n)*TabTRADER[[#This Row],[M]]*_xlfn.XLOOKUP(TabTRADER[[#This Row],[ClickTick]],TabCalc[Ticker],ListScale),"")</f>
        <v/>
      </c>
      <c r="M25" s="325">
        <f ca="1">_xlfn.XLOOKUP(TabTRADER[[#This Row],[ClickTick]],TabCalc[Ticker],TabCalc[Agiotage])</f>
        <v>1.2126103721618735</v>
      </c>
      <c r="N25" s="326" cm="1">
        <f t="array" aca="1" ref="N25" ca="1">_xlfn.XLOOKUP(TabTRADER[[#This Row],[ClickTick]],ListTickers,Tab2RSIConventional[RSIConv20])</f>
        <v>69</v>
      </c>
      <c r="O25" s="712" t="str">
        <f ca="1">TEXT(_xlfn.XLOOKUP(TabTRADER[[#This Row],[ClickTick]],TabCalc[Ticker],TabCalc[Nbegin]),"#,#0")&amp;": "&amp;_xlfn.XLOOKUP(TabTRADER[[#This Row],[ClickTick]],TabCalc[Ticker],TabCalc[Pile?])</f>
        <v>500,000: Pile</v>
      </c>
      <c r="P25" s="326">
        <f ca="1">_xlfn.XLOOKUP(TabTRADER[[#This Row],[ClickTick]],TabCalc[Ticker],TabCalc[L_Bn])</f>
        <v>20000</v>
      </c>
      <c r="Q25" s="690">
        <f ca="1">_xlfn.XLOOKUP(TabTRADER[[#This Row],[ClickTick]],TabCalc[Ticker],TabCalc[L_Bp])</f>
        <v>-249.012</v>
      </c>
      <c r="R25" s="778">
        <f ca="1">(TabTRADER[[#This Row],[M]]+TabTRADER[[#This Row],[L_Bp]])/ABS(TabTRADER[[#This Row],[L_Bp]])</f>
        <v>0.64650699564679615</v>
      </c>
      <c r="S25" s="692">
        <f ca="1">_xlfn.XLOOKUP(TabTRADER[[#This Row],[ClickTick]],TabCalc[Ticker],TabCalc[Rev(MinStock)])*(1-Commission)</f>
        <v>32113.88624</v>
      </c>
      <c r="T25" s="798">
        <f ca="1">_xlfn.XLOOKUP(TabTRADER[[#This Row],[ClickTick]],TabCalc[Ticker],TabCalc[Agiotage])</f>
        <v>1.2126103721618735</v>
      </c>
      <c r="U25" s="759" t="str" cm="1">
        <f t="array" aca="1" ref="U2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4,800/4,800=&gt;-0.6% / 1.6%</v>
      </c>
      <c r="V25" s="751" t="str">
        <f ca="1">_xlfn.XLOOKUP(TabTRADER[[#This Row],[ClickTick]],[1]!RTData[Ticker symbol],[1]!RTData[Currency])</f>
        <v>GBp</v>
      </c>
      <c r="W25" s="761">
        <f ca="1">_xlfn.XLOOKUP(TabTRADER[[#This Row],[ClickTick]],TabCalc[Ticker],TabCalc[M])</f>
        <v>410</v>
      </c>
      <c r="X25" s="762" t="str">
        <f ca="1">SORTING!B25</f>
        <v>IAG</v>
      </c>
      <c r="Y25" s="819">
        <f ca="1">_xlfn.XLOOKUP(TabTRADER[[#This Row],[ClickTick]],TabCalc[Ticker],TabCalc[Y])</f>
        <v>438.45612</v>
      </c>
      <c r="Z25" s="835">
        <f ca="1">_xlfn.XLOOKUP(TabTRADER[[#This Row],[ClickTick]],[1]!RTData[Ticker symbol],[1]!RTData[YTChange])</f>
        <v>0.11538061561943519</v>
      </c>
      <c r="AA25" s="851">
        <f ca="1">-_xlfn.XLOOKUP(TabTRADER[[#This Row],[ClickTick]]&amp;2,Consolid!B$3:JZ$3,Consolid!B$4:JZ$4)</f>
        <v>218.24453636363637</v>
      </c>
      <c r="AB25" s="835" cm="1">
        <f t="array" aca="1" ref="AB25" ca="1">_xlfn.XLOOKUP(TabTRADER[[#This Row],[ClickTick]],ListTickers,Tab1ChangePercent[Change%19])</f>
        <v>-6.1089999999999998E-3</v>
      </c>
      <c r="AC25" s="782">
        <f ca="1">_xlfn.XLOOKUP(TabTRADER[[#This Row],[ClickTick]],TabCalc[Ticker],TabCalc[NAfter])</f>
        <v>200000</v>
      </c>
      <c r="AD2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^1,178/820 K$</v>
      </c>
      <c r="AE25" s="1277" t="str" cm="1">
        <f t="array" aca="1" ref="AE2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25" s="1281" t="str" cm="1">
        <f t="array" aca="1" ref="AF25" ca="1">_xlfn.IFS(       TabTRADER[[#This Row],[Traps]]=RePurchaseGain,TEXT(TabTRADER[[#This Row],[L_Sn]],"#,#0")&amp;" x "&amp;TEXT(TabTRADER[[#This Row],[L_Sp]],"#,#0.#0"),     TabTRADER[[#This Row],[Traps]]=ReSaleGain,TEXT(TabTRADER[[#This Row],[L_Bn]],"#0,#0")&amp;" x "&amp;TEXT(TabTRADER[[#This Row],[L_Bp]],"#,#0.#0"),               TRUE,"")</f>
        <v/>
      </c>
      <c r="AG25" s="1281" t="str" cm="1">
        <f t="array" aca="1" ref="AG2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20,000 x 406.20</v>
      </c>
      <c r="AH25" s="1281" cm="1">
        <f t="array" aca="1" ref="AH2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758.02400000000227</v>
      </c>
      <c r="AI25" s="1281" cm="1">
        <f t="array" aca="1" ref="AI2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382513.79886181816</v>
      </c>
      <c r="AJ25" s="1290" cm="1">
        <f t="array" aca="1" ref="AJ2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0.8786266397838387</v>
      </c>
      <c r="AK25" s="1290" cm="1">
        <f t="array" aca="1" ref="AK2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6.6682926829268567E-3</v>
      </c>
      <c r="AL25" s="843" cm="1">
        <f t="array" aca="1" ref="AL25" ca="1">_xlfn.IFS(   TabTRADER[[#This Row],[Traps]]=SellMorePercentGain,                     MIN(TabTRADER[[#This Row],[L_Sn]],TabTRADER[[#This Row],[N]])*(TabTRADER[[#This Row],[M]]-TabTRADER[[#This Row],[L_Sp]])*(1-Commission)*TabTRADER[[#This Row],[Scale]],                    TRUE,"")</f>
        <v>758.02400000000227</v>
      </c>
      <c r="AM25" s="1296">
        <f ca="1">_xlfn.XLOOKUP(TabTRADER[[#This Row],[ClickTick]],TabCalc[Ticker],TabCalc[Ann%RevLB])</f>
        <v>1.1189544155425319</v>
      </c>
      <c r="AN25" s="1296">
        <f ca="1">_xlfn.XLOOKUP(TabTRADER[[#This Row],[ClickTick]],TabCalc[Ticker],TabCalc[Up20])</f>
        <v>0</v>
      </c>
      <c r="AO25" s="312" t="str" cm="1">
        <f t="array" aca="1" ref="AO2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5" s="843" t="str" cm="1">
        <f t="array" aca="1" ref="AP25" ca="1">_xlfn.IFS(         TabTRADER[[#This Row],[Traps]]=MDown,TabTRADER[[#This Row],[L_Bn]]*TabTRADER[[#This Row],[M]]*(-(TabTRADER[[#This Row],[L_Bp]]+TabTRADER[[#This Row],[M]])/TabTRADER[[#This Row],[M]])*(1-Commission)*TabTRADER[[#This Row],[Scale]],                               TRUE,"")</f>
        <v/>
      </c>
      <c r="AQ25" s="1290" cm="1">
        <f t="array" aca="1" ref="AQ25" ca="1">_xlfn.IFS(   TabTRADER[[#This Row],[Traps]]=MUp,TabTRADER[[#This Row],[TakeGain_A]]-Commission,        TabTRADER[[#This Row],[Traps]]=MDown,(TabTRADER[[#This Row],[A]]-TabTRADER[[#This Row],[M]])/TabTRADER[[#This Row],[M]]-Commission,                              TRUE,"")</f>
        <v>0.87602663978383866</v>
      </c>
      <c r="AR25" s="843" cm="1">
        <f t="array" aca="1" ref="AR2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718600.6126267286</v>
      </c>
      <c r="AS25" s="774" t="str" cm="1">
        <f t="array" aca="1" ref="AS2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T25" s="748" t="str" cm="1">
        <f t="array" aca="1" ref="AT2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20,000x1.9175</v>
      </c>
      <c r="AU25" s="779" cm="1">
        <f t="array" aca="1" ref="AU25" ca="1">_xlfn.IFS(TabTRADER[[#This Row],[Traps]]=ReSaleGain,"",         TabTRADER[[#This Row],[Traps]]=MDown, (TabTRADER[[#This Row],[M]]-TabTRADER[[#This Row],[A]])/TabTRADER[[#This Row],[A]]*ComFactor,             TRUE, IFERROR((TabTRADER[[#This Row],[M]]-TabTRADER[[#This Row],[A]])/TabTRADER[[#This Row],[A]]*ComFactor,""))</f>
        <v>0.87634221052040073</v>
      </c>
      <c r="AV25" s="776" cm="1">
        <f t="array" aca="1" ref="AV25" ca="1">_xlfn.IFS(               TabTRADER[[#This Row],[Traps]]=NoStock,(TabTRADER[[#This Row],[L_Sp]]-TabTRADER[[#This Row],[M]])/TabTRADER[[#This Row],[M]]-Commission,             TabTRADER[[#This Row],[A]]&lt;&gt;0,(TabTRADER[[#This Row],[A]]-TabTRADER[[#This Row],[M]])/TabTRADER[[#This Row],[M]]-Commission)</f>
        <v>-0.47029625277161857</v>
      </c>
      <c r="AW25" s="326">
        <f ca="1">_xlfn.XLOOKUP(TabTRADER[[#This Row],[ClickTick]],TabCalc[Ticker],TabCalc[L_Sn])</f>
        <v>20000</v>
      </c>
      <c r="AX25" s="740">
        <f ca="1">_xlfn.XLOOKUP(TabTRADER[[#This Row],[ClickTick]],TabCalc[Ticker],TabCalc[L_Sp])</f>
        <v>406.2</v>
      </c>
      <c r="AY25" s="778">
        <f ca="1">-IFERROR((TabTRADER[[#This Row],[M]]-TabTRADER[[#This Row],[L_Sp]])/TabTRADER[[#This Row],[L_Sp]],0)</f>
        <v>-9.3549975381585701E-3</v>
      </c>
      <c r="AZ25" s="741">
        <f ca="1">TabTRADER[[#This Row],[L_Sn]]*(TabTRADER[[#This Row],[M]]-TabTRADER[[#This Row],[L_Sp]])*(1-Commission)*TabTRADER[[#This Row],[Scale]]</f>
        <v>758.02400000000227</v>
      </c>
      <c r="BA25" s="701">
        <f ca="1">TabTRADER[[#This Row],[L_Sn]]*(TabTRADER[[#This Row],[Agiotage]]-TabTRADER[[#This Row],[M]])/(TabTRADER[[#This Row],[L_Bn]]*TabTRADER[[#This Row],[M]])</f>
        <v>-0.99704241372643443</v>
      </c>
      <c r="BB25" s="641">
        <f ca="1">IFERROR((TabTRADER[[#This Row],[M]]-TabTRADER[[#This Row],[A]])/TabTRADER[[#This Row],[A]],0)</f>
        <v>0.8786266397838387</v>
      </c>
      <c r="BC25" s="644" t="str">
        <f ca="1">TEXT(_xlfn.XLOOKUP(TabTRADER[[#This Row],[ClickTick]],TabCalc[Ticker],TabCalc[NAfter]),"#,#0")&amp;" : "&amp;TEXT(_xlfn.XLOOKUP(TabTRADER[[#This Row],[ClickTick]],TabCalc[Ticker],TabCalc[NAfter])*(TabTRADER[[#This Row],[M]]-TabTRADER[[#This Row],[A]])*(1-Commission)*TabTRADER[[#This Row],[Scale]],"#,#0$")</f>
        <v>200,000 : 382,514$</v>
      </c>
      <c r="BD25" s="693">
        <f ca="1">_xlfn.XLOOKUP(TabTRADER[[#This Row],[ClickTick]],TabCalc[[#This Row],[Ticker]],TabCalc[[#This Row],[GL]])*(1-Commission)</f>
        <v>1174960.3068655399</v>
      </c>
      <c r="BE25" s="693"/>
      <c r="BF25" s="675" t="str">
        <f ca="1">TabTRADER[[#This Row],[ClickTick]]&amp;": "&amp;_xlfn.XLOOKUP(TabTRADER[[#This Row],[ClickTick]],TabCalc[Ticker],TabCalc[Pile?])</f>
        <v>IAG: Pile</v>
      </c>
      <c r="BG25" s="353" t="s">
        <v>1965</v>
      </c>
      <c r="BH25" s="769" t="str" cm="1">
        <f t="array" aca="1" ref="BH25" ca="1">_xlfn.TEXTJOIN("",,INDEX({"M","A","Y"}, _xlfn.SORTBY({1,2,3}, -CHOOSE({1,2,3}, TabTRADER[[#This Row],[M]], TabTRADER[[#This Row],[A]], TabTRADER[[#This Row],[Agiotage]]))))</f>
        <v>MAY</v>
      </c>
      <c r="BI25" s="976" cm="1">
        <f t="array" aca="1" ref="BI2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9.2682926829268566E-3</v>
      </c>
      <c r="BJ25" s="688">
        <f ca="1">TabTRADER[[#This Row],[L_Sn]]*TabTRADER[[#This Row],[L_Sp]]+TabTRADER[[#This Row],[SellMore]]*TabTRADER[[#This Row],[M]]</f>
        <v>12224000</v>
      </c>
      <c r="BK25" s="688">
        <f ca="1">INDEX(
  INDEX(TabConsolid[], , _xlfn.XMATCH(TabTRADER[[#This Row],[ClickTick]]&amp;1, TabConsolid[#Headers])),
  MATCH(
    -TabTRADER[[#This Row],[M]],
    INDEX(TabConsolid[], , _xlfn.XMATCH(TabTRADER[[#This Row],[ClickTick]]&amp;2, TabConsolid[#Headers])),
    -1
  )
)</f>
        <v>10000</v>
      </c>
      <c r="BL25" s="688" cm="1">
        <f t="array" aca="1" ref="BL2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M25" s="1260">
        <f ca="1">TabTRADER[[#This Row],[ReBuy]]/(TabTRADER[[#This Row],[L_Sn]]+TabTRADER[[#This Row],[SellMore]])</f>
        <v>407.46666666666664</v>
      </c>
      <c r="BN25" s="696">
        <f ca="1">((_xlfn.XLOOKUP(TabTRADER[[#This Row],[ClickTick]],TabCalc[Ticker],TabCalc[NAfter])+TabTRADER[[#This Row],[L_Sn]])*(TabTRADER[[#This Row],[Agiotage]]-TabTRADER[[#This Row],[M]]))/(TabTRADER[[#This Row],[L_Sn]]*_xlfn.XLOOKUP(TabTRADER[[#This Row],[ClickTick]],TabCalc[Ticker],TabCalc[NAfter]))</f>
        <v>-2.2483306429531096E-2</v>
      </c>
      <c r="BO25" s="696">
        <f ca="1">(TabTRADER[[#This Row],[M]]-TabTRADER[[#This Row],[Agiotage]])/(TabTRADER[[#This Row],[M]]-TabTRADER[[#This Row],[A]])-1</f>
        <v>1.1318161259959925</v>
      </c>
      <c r="BP25" s="1388">
        <f ca="1">_xlfn.XMATCH(TabTRADER[[#This Row],[ClickTick]]&amp;1, TabConsolid[#Headers])</f>
        <v>71</v>
      </c>
      <c r="BQ25" t="b">
        <f ca="1">IF(ABS(TabTRADER[[#This Row],[L_Bp]])&gt;=TabTRADER[[#This Row],[M]],"OK")</f>
        <v>0</v>
      </c>
    </row>
    <row r="26" spans="1:69" ht="22" hidden="1" customHeight="1">
      <c r="A26" s="225">
        <f ca="1">IF(_xlfn.XLOOKUP(TabTRADER[[#This Row],[ClickTick]],TabCalc[Ticker],TabCalc[Cur])="GBp",0.01,1)</f>
        <v>1</v>
      </c>
      <c r="B2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-66.99x1000=    +115 USD</v>
      </c>
      <c r="C2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0.2%</v>
      </c>
      <c r="D26" s="697" t="str" cm="1">
        <f t="array" aca="1" ref="D2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6"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26" s="228" t="str">
        <f ca="1">TRUNC(TabCalc[[#This Row],[L_B1p]],2)&amp;"x"&amp;TabCalc[[#This Row],[L_B1n]]&amp;"=   "&amp;TEXT(TabCalc[[#This Row],[ReverseS1]],"#,#0")&amp;"$"</f>
        <v>-68.98x1340=   -2,506$</v>
      </c>
      <c r="G26" s="227" t="str">
        <f ca="1">IFERROR(TRUNC(_xlfn.XLOOKUP(TabTRADER[[#This Row],[ClickTick]],TabCalc[Ticker],ListLastSalep),2)&amp;"x"&amp;_xlfn.XLOOKUP(TabTRADER[[#This Row],[ClickTick]],TabCalc[Ticker],ListLastSalen)&amp;"=   "&amp;TEXT(-_xlfn.XLOOKUP(TabTRADER[[#This Row],[ClickTick]],TabCalc[Ticker],ListReverseB),"#,#0")&amp;"$","")</f>
        <v>71.82x1000=   -4,710$</v>
      </c>
      <c r="H2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7.0% = 1,062</v>
      </c>
      <c r="I26" s="228" t="str">
        <f ca="1">IFERROR(TRUNC(TabCalc[[#This Row],[L_S1p]],2)&amp;"x"&amp;TabCalc[[#This Row],[L_S1n]]&amp;"=   "&amp;TEXT(TabCalc[[#This Row],[ReverseB1]],"#,#0"),"")</f>
        <v>69.12x1000=   2,010</v>
      </c>
      <c r="J26" s="297">
        <f ca="1">_xlfn.XLOOKUP(TabTRADER[[#This Row],[ClickTick]],TabCalc[Ticker],ListGravity)</f>
        <v>1.1365330055133362</v>
      </c>
      <c r="K26" s="324" t="str" cm="1">
        <f t="array" aca="1" ref="K26" ca="1">IF(_xlfn.XLOOKUP(TabTRADER[[#This Row],[ClickTick]],TabTRADER[ClickTick],ListExtra_n)&gt;0,_xlfn.XLOOKUP(TabTRADER[[#This Row],[ClickTick]],TabTRADER[ClickTick],ListExtra_n),"")</f>
        <v/>
      </c>
      <c r="L26" s="322" t="str">
        <f ca="1">IF(_xlfn.XLOOKUP(TabTRADER[[#This Row],[ClickTick]],TabCalc[Ticker],ListExtra_n)&gt;0,_xlfn.XLOOKUP(TabTRADER[[#This Row],[ClickTick]],TabCalc[Ticker],ListExtra_n)*TabTRADER[[#This Row],[M]]*_xlfn.XLOOKUP(TabTRADER[[#This Row],[ClickTick]],TabCalc[Ticker],ListScale),"")</f>
        <v/>
      </c>
      <c r="M26" s="325">
        <f ca="1">_xlfn.XLOOKUP(TabTRADER[[#This Row],[ClickTick]],TabCalc[Ticker],TabCalc[Agiotage])</f>
        <v>0.90546778801189931</v>
      </c>
      <c r="N26" s="326" cm="1">
        <f t="array" aca="1" ref="N26" ca="1">_xlfn.XLOOKUP(TabTRADER[[#This Row],[ClickTick]],ListTickers,Tab2RSIConventional[RSIConv20])</f>
        <v>51</v>
      </c>
      <c r="O26" s="712" t="str">
        <f ca="1">TEXT(_xlfn.XLOOKUP(TabTRADER[[#This Row],[ClickTick]],TabCalc[Ticker],TabCalc[Nbegin]),"#,#0")&amp;": "&amp;_xlfn.XLOOKUP(TabTRADER[[#This Row],[ClickTick]],TabCalc[Ticker],TabCalc[Pile?])</f>
        <v>5,000: Pile</v>
      </c>
      <c r="P26" s="326">
        <f ca="1">_xlfn.XLOOKUP(TabTRADER[[#This Row],[ClickTick]],TabCalc[Ticker],TabCalc[L_Bn])</f>
        <v>1000</v>
      </c>
      <c r="Q26" s="690">
        <f ca="1">_xlfn.XLOOKUP(TabTRADER[[#This Row],[ClickTick]],TabCalc[Ticker],TabCalc[L_Bp])</f>
        <v>-66.995000000000005</v>
      </c>
      <c r="R26" s="778">
        <f ca="1">(TabTRADER[[#This Row],[M]]+TabTRADER[[#This Row],[L_Bp]])/ABS(TabTRADER[[#This Row],[L_Bp]])</f>
        <v>1.7165460108962592E-3</v>
      </c>
      <c r="S26" s="692">
        <f ca="1">_xlfn.XLOOKUP(TabTRADER[[#This Row],[ClickTick]],TabCalc[Ticker],TabCalc[Rev(MinStock)])*(1-Commission)</f>
        <v>114.70099999999489</v>
      </c>
      <c r="T26" s="798">
        <f ca="1">_xlfn.XLOOKUP(TabTRADER[[#This Row],[ClickTick]],TabCalc[Ticker],TabCalc[Agiotage])</f>
        <v>0.90546778801189931</v>
      </c>
      <c r="U26" s="759" t="str" cm="1">
        <f t="array" aca="1" ref="U2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-8,800/-8,800=&gt;1.6% / -2.3%</v>
      </c>
      <c r="V26" s="751" t="str">
        <f ca="1">_xlfn.XLOOKUP(TabTRADER[[#This Row],[ClickTick]],[1]!RTData[Ticker symbol],[1]!RTData[Currency])</f>
        <v>USD</v>
      </c>
      <c r="W26" s="761">
        <f ca="1">_xlfn.XLOOKUP(TabTRADER[[#This Row],[ClickTick]],TabCalc[Ticker],TabCalc[M])</f>
        <v>67.11</v>
      </c>
      <c r="X26" s="762" t="str">
        <f ca="1">SORTING!B26</f>
        <v>KR</v>
      </c>
      <c r="Y26" s="819">
        <f ca="1">_xlfn.XLOOKUP(TabTRADER[[#This Row],[ClickTick]],TabCalc[Ticker],TabCalc[Y])</f>
        <v>76.272729999999996</v>
      </c>
      <c r="Z26" s="835">
        <f ca="1">_xlfn.XLOOKUP(TabTRADER[[#This Row],[ClickTick]],[1]!RTData[Ticker symbol],[1]!RTData[YTChange])</f>
        <v>0.14695834586466158</v>
      </c>
      <c r="AA26" s="851">
        <f ca="1">-_xlfn.XLOOKUP(TabTRADER[[#This Row],[ClickTick]]&amp;2,Consolid!B$3:JZ$3,Consolid!B$4:JZ$4)</f>
        <v>68.392750000000007</v>
      </c>
      <c r="AB26" s="835" cm="1">
        <f t="array" aca="1" ref="AB26" ca="1">_xlfn.XLOOKUP(TabTRADER[[#This Row],[ClickTick]],ListTickers,Tab1ChangePercent[Change%19])</f>
        <v>1.6108999999999998E-2</v>
      </c>
      <c r="AC26" s="782">
        <f ca="1">_xlfn.XLOOKUP(TabTRADER[[#This Row],[ClickTick]],TabCalc[Ticker],TabCalc[NAfter])</f>
        <v>5000</v>
      </c>
      <c r="AD26"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^109/336 K$</v>
      </c>
      <c r="AE26" s="1277" t="str" cm="1">
        <f t="array" aca="1" ref="AE2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26" s="1281" t="str" cm="1">
        <f t="array" aca="1" ref="AF26" ca="1">_xlfn.IFS(       TabTRADER[[#This Row],[Traps]]=RePurchaseGain,TEXT(TabTRADER[[#This Row],[L_Sn]],"#,#0")&amp;" x "&amp;TEXT(TabTRADER[[#This Row],[L_Sp]],"#,#0.#0"),     TabTRADER[[#This Row],[Traps]]=ReSaleGain,TEXT(TabTRADER[[#This Row],[L_Bn]],"#0,#0")&amp;" x "&amp;TEXT(TabTRADER[[#This Row],[L_Bp]],"#,#0.#0"),               TRUE,"")</f>
        <v>1,000 x -67.0</v>
      </c>
      <c r="AG26" s="1281" cm="1">
        <f t="array" aca="1" ref="AG2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114.70099999999489</v>
      </c>
      <c r="AH26" s="1281" t="str" cm="1">
        <f t="array" aca="1" ref="AH2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6" s="1281" cm="1">
        <f t="array" aca="1" ref="AI2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114.70099999999489</v>
      </c>
      <c r="AJ26" s="1290" cm="1">
        <f t="array" aca="1" ref="AJ2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1.7165460108962592E-3</v>
      </c>
      <c r="AK26" s="1290" t="str" cm="1">
        <f t="array" aca="1" ref="AK2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6" s="843" t="str" cm="1">
        <f t="array" aca="1" ref="AL26" ca="1">_xlfn.IFS(   TabTRADER[[#This Row],[Traps]]=SellMorePercentGain,                     MIN(TabTRADER[[#This Row],[L_Sn]],TabTRADER[[#This Row],[N]])*(TabTRADER[[#This Row],[M]]-TabTRADER[[#This Row],[L_Sp]])*(1-Commission)*TabTRADER[[#This Row],[Scale]],                    TRUE,"")</f>
        <v/>
      </c>
      <c r="AM26" s="1296">
        <f ca="1">_xlfn.XLOOKUP(TabTRADER[[#This Row],[ClickTick]],TabCalc[Ticker],TabCalc[Ann%RevLB])</f>
        <v>0.30897828196132665</v>
      </c>
      <c r="AN26" s="1392">
        <f ca="1">_xlfn.XLOOKUP(TabTRADER[[#This Row],[ClickTick]],TabCalc[Ticker],TabCalc[Up20])</f>
        <v>0</v>
      </c>
      <c r="AO26" s="312" t="str" cm="1">
        <f t="array" aca="1" ref="AO2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6" s="843" t="str" cm="1">
        <f t="array" aca="1" ref="AP26" ca="1">_xlfn.IFS(         TabTRADER[[#This Row],[Traps]]=MDown,TabTRADER[[#This Row],[L_Bn]]*TabTRADER[[#This Row],[M]]*(-(TabTRADER[[#This Row],[L_Bp]]+TabTRADER[[#This Row],[M]])/TabTRADER[[#This Row],[M]])*(1-Commission)*TabTRADER[[#This Row],[Scale]],                               TRUE,"")</f>
        <v/>
      </c>
      <c r="AQ26" s="1290" t="str" cm="1">
        <f t="array" aca="1" ref="AQ26" ca="1">_xlfn.IFS(   TabTRADER[[#This Row],[Traps]]=MUp,TabTRADER[[#This Row],[TakeGain_A]]-Commission,        TabTRADER[[#This Row],[Traps]]=MDown,(TabTRADER[[#This Row],[A]]-TabTRADER[[#This Row],[M]])/TabTRADER[[#This Row],[M]]-Commission,                              TRUE,"")</f>
        <v/>
      </c>
      <c r="AR26" s="843" cm="1">
        <f t="array" aca="1" ref="AR2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-6277.0930093833376</v>
      </c>
      <c r="AS26" s="774" t="str" cm="1">
        <f t="array" aca="1" ref="AS2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-0.4%</v>
      </c>
      <c r="AT26" s="748" t="str" cm="1">
        <f t="array" aca="1" ref="AT2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26" s="779" t="str" cm="1">
        <f t="array" aca="1" ref="AU26" ca="1">_xlfn.IFS(TabTRADER[[#This Row],[Traps]]=ReSaleGain,"",         TabTRADER[[#This Row],[Traps]]=MDown, (TabTRADER[[#This Row],[M]]-TabTRADER[[#This Row],[A]])/TabTRADER[[#This Row],[A]]*ComFactor,             TRUE, IFERROR((TabTRADER[[#This Row],[M]]-TabTRADER[[#This Row],[A]])/TabTRADER[[#This Row],[A]]*ComFactor,""))</f>
        <v/>
      </c>
      <c r="AV26" s="776" cm="1">
        <f t="array" aca="1" ref="AV26" ca="1">_xlfn.IFS(               TabTRADER[[#This Row],[Traps]]=NoStock,(TabTRADER[[#This Row],[L_Sp]]-TabTRADER[[#This Row],[M]])/TabTRADER[[#This Row],[M]]-Commission,             TabTRADER[[#This Row],[A]]&lt;&gt;0,(TabTRADER[[#This Row],[A]]-TabTRADER[[#This Row],[M]])/TabTRADER[[#This Row],[M]]-Commission)</f>
        <v>1.6514140962598824E-2</v>
      </c>
      <c r="AW26" s="326">
        <f ca="1">_xlfn.XLOOKUP(TabTRADER[[#This Row],[ClickTick]],TabCalc[Ticker],TabCalc[L_Sn])</f>
        <v>1000</v>
      </c>
      <c r="AX26" s="740">
        <f ca="1">_xlfn.XLOOKUP(TabTRADER[[#This Row],[ClickTick]],TabCalc[Ticker],TabCalc[L_Sp])</f>
        <v>71.819999999999993</v>
      </c>
      <c r="AY26" s="778">
        <f ca="1">-IFERROR((TabTRADER[[#This Row],[M]]-TabTRADER[[#This Row],[L_Sp]])/TabTRADER[[#This Row],[L_Sp]],0)</f>
        <v>6.5580618212197073E-2</v>
      </c>
      <c r="AZ26" s="741">
        <f ca="1">TabTRADER[[#This Row],[L_Sn]]*(TabTRADER[[#This Row],[M]]-TabTRADER[[#This Row],[L_Sp]])*(1-Commission)*TabTRADER[[#This Row],[Scale]]</f>
        <v>-4697.7539999999935</v>
      </c>
      <c r="BA26" s="701">
        <f ca="1">TabTRADER[[#This Row],[L_Sn]]*(TabTRADER[[#This Row],[Agiotage]]-TabTRADER[[#This Row],[M]])/(TabTRADER[[#This Row],[L_Bn]]*TabTRADER[[#This Row],[M]])</f>
        <v>-0.98650770692874534</v>
      </c>
      <c r="BB26" s="641">
        <f ca="1">IFERROR((TabTRADER[[#This Row],[M]]-TabTRADER[[#This Row],[A]])/TabTRADER[[#This Row],[A]],0)</f>
        <v>-1.8755642959231891E-2</v>
      </c>
      <c r="BC26" s="644" t="str">
        <f ca="1">TEXT(_xlfn.XLOOKUP(TabTRADER[[#This Row],[ClickTick]],TabCalc[Ticker],TabCalc[NAfter]),"#,#0")&amp;" : "&amp;TEXT(_xlfn.XLOOKUP(TabTRADER[[#This Row],[ClickTick]],TabCalc[Ticker],TabCalc[NAfter])*(TabTRADER[[#This Row],[M]]-TabTRADER[[#This Row],[A]])*(1-Commission)*TabTRADER[[#This Row],[Scale]],"#,#0$")</f>
        <v>5,000 : -6,397$</v>
      </c>
      <c r="BD26" s="693">
        <f ca="1">_xlfn.XLOOKUP(TabTRADER[[#This Row],[ClickTick]],TabCalc[[#This Row],[Ticker]],TabCalc[[#This Row],[GL]])*(1-Commission)</f>
        <v>109033.76322599998</v>
      </c>
      <c r="BE26" s="693"/>
      <c r="BF26" s="675" t="str">
        <f ca="1">TabTRADER[[#This Row],[ClickTick]]&amp;": "&amp;_xlfn.XLOOKUP(TabTRADER[[#This Row],[ClickTick]],TabCalc[Ticker],TabCalc[Pile?])</f>
        <v>KR: Pile</v>
      </c>
      <c r="BG26" s="353" t="s">
        <v>1970</v>
      </c>
      <c r="BH26" s="769" t="str" cm="1">
        <f t="array" aca="1" ref="BH26" ca="1">_xlfn.TEXTJOIN("",,INDEX({"M","A","Y"}, _xlfn.SORTBY({1,2,3}, -CHOOSE({1,2,3}, TabTRADER[[#This Row],[M]], TabTRADER[[#This Row],[A]], TabTRADER[[#This Row],[Agiotage]]))))</f>
        <v>AMY</v>
      </c>
      <c r="BI26" s="976" t="str" cm="1">
        <f t="array" aca="1" ref="BI2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6" s="688" t="e">
        <f ca="1">TabTRADER[[#This Row],[L_Sn]]*TabTRADER[[#This Row],[L_Sp]]+TabTRADER[[#This Row],[SellMore]]*TabTRADER[[#This Row],[M]]</f>
        <v>#N/A</v>
      </c>
      <c r="BK26" s="688" t="e">
        <f ca="1">INDEX(
  INDEX(TabConsolid[], , _xlfn.XMATCH(TabTRADER[[#This Row],[ClickTick]]&amp;1, TabConsolid[#Headers])),
  MATCH(
    -TabTRADER[[#This Row],[M]],
    INDEX(TabConsolid[], , _xlfn.XMATCH(TabTRADER[[#This Row],[ClickTick]]&amp;2, TabConsolid[#Headers])),
    -1
  )
)</f>
        <v>#N/A</v>
      </c>
      <c r="BL26" s="688" cm="1">
        <f t="array" aca="1" ref="BL2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660</v>
      </c>
      <c r="BM26" s="1260" t="e">
        <f ca="1">TabTRADER[[#This Row],[ReBuy]]/(TabTRADER[[#This Row],[L_Sn]]+TabTRADER[[#This Row],[SellMore]])</f>
        <v>#N/A</v>
      </c>
      <c r="BN26" s="696">
        <f ca="1">((_xlfn.XLOOKUP(TabTRADER[[#This Row],[ClickTick]],TabCalc[Ticker],TabCalc[NAfter])+TabTRADER[[#This Row],[L_Sn]])*(TabTRADER[[#This Row],[Agiotage]]-TabTRADER[[#This Row],[M]]))/(TabTRADER[[#This Row],[L_Sn]]*_xlfn.XLOOKUP(TabTRADER[[#This Row],[ClickTick]],TabCalc[Ticker],TabCalc[NAfter]))</f>
        <v>-7.9445438654385719E-2</v>
      </c>
      <c r="BO26" s="696">
        <f ca="1">(TabTRADER[[#This Row],[M]]-TabTRADER[[#This Row],[Agiotage]])/(TabTRADER[[#This Row],[M]]-TabTRADER[[#This Row],[A]])-1</f>
        <v>-52.611406908585245</v>
      </c>
      <c r="BP26" s="1388">
        <f ca="1">_xlfn.XMATCH(TabTRADER[[#This Row],[ClickTick]]&amp;1, TabConsolid[#Headers])</f>
        <v>74</v>
      </c>
      <c r="BQ26" t="b">
        <f ca="1">IF(ABS(TabTRADER[[#This Row],[L_Bp]])&gt;=TabTRADER[[#This Row],[M]],"OK")</f>
        <v>0</v>
      </c>
    </row>
    <row r="27" spans="1:69" ht="22" hidden="1" customHeight="1">
      <c r="A27" s="225">
        <f ca="1">IF(_xlfn.XLOOKUP(TabTRADER[[#This Row],[ClickTick]],TabCalc[Ticker],TabCalc[Cur])="GBp",0.01,1)</f>
        <v>1</v>
      </c>
      <c r="B2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-7.42x3000=    0 USD</v>
      </c>
      <c r="C27"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38.0%</v>
      </c>
      <c r="D27" s="697" t="str" cm="1">
        <f t="array" aca="1" ref="D2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27" s="228" t="str">
        <f ca="1">TRUNC(TabCalc[[#This Row],[L_B1p]],2)&amp;"x"&amp;TabCalc[[#This Row],[L_B1n]]&amp;"=   "&amp;TEXT(TabCalc[[#This Row],[ReverseS1]],"#,#0")&amp;"$"</f>
        <v>-3.92x5000=   0$</v>
      </c>
      <c r="G27" s="227" t="str">
        <f ca="1">IFERROR(TRUNC(_xlfn.XLOOKUP(TabTRADER[[#This Row],[ClickTick]],TabCalc[Ticker],ListLastSalep),2)&amp;"x"&amp;_xlfn.XLOOKUP(TabTRADER[[#This Row],[ClickTick]],TabCalc[Ticker],ListLastSalen)&amp;"=   "&amp;TEXT(-_xlfn.XLOOKUP(TabTRADER[[#This Row],[ClickTick]],TabCalc[Ticker],ListReverseB),"#,#0")&amp;"$","")</f>
        <v>8.46x3000=   10,530$</v>
      </c>
      <c r="H2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29.3% = 0</v>
      </c>
      <c r="I27" s="228" t="str">
        <f ca="1">IFERROR(TRUNC(TabCalc[[#This Row],[L_S1p]],2)&amp;"x"&amp;TabCalc[[#This Row],[L_S1n]]&amp;"=   "&amp;TEXT(TabCalc[[#This Row],[ReverseB1]],"#,#0"),"")</f>
        <v>4.96x2276=   -15,948</v>
      </c>
      <c r="J27" s="297">
        <f ca="1">_xlfn.XLOOKUP(TabTRADER[[#This Row],[ClickTick]],TabCalc[Ticker],ListGravity)</f>
        <v>1.2531328320802004</v>
      </c>
      <c r="K27" s="324" t="str" cm="1">
        <f t="array" aca="1" ref="K27" ca="1">IF(_xlfn.XLOOKUP(TabTRADER[[#This Row],[ClickTick]],TabTRADER[ClickTick],ListExtra_n)&gt;0,_xlfn.XLOOKUP(TabTRADER[[#This Row],[ClickTick]],TabTRADER[ClickTick],ListExtra_n),"")</f>
        <v/>
      </c>
      <c r="L27" s="322" t="str">
        <f ca="1">IF(_xlfn.XLOOKUP(TabTRADER[[#This Row],[ClickTick]],TabCalc[Ticker],ListExtra_n)&gt;0,_xlfn.XLOOKUP(TabTRADER[[#This Row],[ClickTick]],TabCalc[Ticker],ListExtra_n)*TabTRADER[[#This Row],[M]]*_xlfn.XLOOKUP(TabTRADER[[#This Row],[ClickTick]],TabCalc[Ticker],ListScale),"")</f>
        <v/>
      </c>
      <c r="M27" s="325">
        <f ca="1">_xlfn.XLOOKUP(TabTRADER[[#This Row],[ClickTick]],TabCalc[Ticker],TabCalc[Agiotage])</f>
        <v>0.99786689419795227</v>
      </c>
      <c r="N27" s="326" cm="1">
        <f t="array" aca="1" ref="N27" ca="1">_xlfn.XLOOKUP(TabTRADER[[#This Row],[ClickTick]],ListTickers,Tab2RSIConventional[RSIConv20])</f>
        <v>46</v>
      </c>
      <c r="O27" s="712" t="str">
        <f ca="1">TEXT(_xlfn.XLOOKUP(TabTRADER[[#This Row],[ClickTick]],TabCalc[Ticker],TabCalc[Nbegin]),"#,#0")&amp;": "&amp;_xlfn.XLOOKUP(TabTRADER[[#This Row],[ClickTick]],TabCalc[Ticker],TabCalc[Pile?])</f>
        <v>2,276: Pile</v>
      </c>
      <c r="P27" s="326">
        <f ca="1">_xlfn.XLOOKUP(TabTRADER[[#This Row],[ClickTick]],TabCalc[Ticker],TabCalc[L_Bn])</f>
        <v>3000</v>
      </c>
      <c r="Q27" s="690">
        <f ca="1">_xlfn.XLOOKUP(TabTRADER[[#This Row],[ClickTick]],TabCalc[Ticker],TabCalc[L_Bp])</f>
        <v>-7.42</v>
      </c>
      <c r="R27" s="778">
        <f ca="1">(TabTRADER[[#This Row],[M]]+TabTRADER[[#This Row],[L_Bp]])/ABS(TabTRADER[[#This Row],[L_Bp]])</f>
        <v>0.61320754716981141</v>
      </c>
      <c r="S27" s="692">
        <f ca="1">_xlfn.XLOOKUP(TabTRADER[[#This Row],[ClickTick]],TabCalc[Ticker],TabCalc[Rev(MinStock)])*(1-Commission)</f>
        <v>0</v>
      </c>
      <c r="T27" s="798">
        <f ca="1">_xlfn.XLOOKUP(TabTRADER[[#This Row],[ClickTick]],TabCalc[Ticker],TabCalc[Agiotage])</f>
        <v>0.99786689419795227</v>
      </c>
      <c r="U27" s="759" t="str" cm="1">
        <f t="array" aca="1" ref="U2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0/0=&gt;-2.3% / -0.1%</v>
      </c>
      <c r="V27" s="751" t="str">
        <f ca="1">_xlfn.XLOOKUP(TabTRADER[[#This Row],[ClickTick]],[1]!RTData[Ticker symbol],[1]!RTData[Currency])</f>
        <v>USD</v>
      </c>
      <c r="W27" s="761">
        <f ca="1">_xlfn.XLOOKUP(TabTRADER[[#This Row],[ClickTick]],TabCalc[Ticker],TabCalc[M])</f>
        <v>11.97</v>
      </c>
      <c r="X27" s="762" t="str">
        <f ca="1">SORTING!B27</f>
        <v>LNSR</v>
      </c>
      <c r="Y27" s="819">
        <f ca="1">_xlfn.XLOOKUP(TabTRADER[[#This Row],[ClickTick]],TabCalc[Ticker],TabCalc[Y])</f>
        <v>15</v>
      </c>
      <c r="Z27" s="835">
        <f ca="1">_xlfn.XLOOKUP(TabTRADER[[#This Row],[ClickTick]],[1]!RTData[Ticker symbol],[1]!RTData[YTChange])</f>
        <v>-3.2258064516129031E-2</v>
      </c>
      <c r="AA27" s="851">
        <f ca="1">-_xlfn.XLOOKUP(TabTRADER[[#This Row],[ClickTick]]&amp;2,Consolid!B$3:JZ$3,Consolid!B$4:JZ$4)</f>
        <v>0</v>
      </c>
      <c r="AB27" s="835" cm="1">
        <f t="array" aca="1" ref="AB27" ca="1">_xlfn.XLOOKUP(TabTRADER[[#This Row],[ClickTick]],ListTickers,Tab1ChangePercent[Change%19])</f>
        <v>-2.2721000000000002E-2</v>
      </c>
      <c r="AC27" s="782">
        <f ca="1">_xlfn.XLOOKUP(TabTRADER[[#This Row],[ClickTick]],TabCalc[Ticker],TabCalc[NAfter])</f>
        <v>0</v>
      </c>
      <c r="AD27"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-16/0 K$</v>
      </c>
      <c r="AE27" s="1299" t="str" cm="1">
        <f t="array" aca="1" ref="AE2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27" s="1281" t="str" cm="1">
        <f t="array" aca="1" ref="AF27" ca="1">_xlfn.IFS(       TabTRADER[[#This Row],[Traps]]=RePurchaseGain,TEXT(TabTRADER[[#This Row],[L_Sn]],"#,#0")&amp;" x "&amp;TEXT(TabTRADER[[#This Row],[L_Sp]],"#,#0.#0"),     TabTRADER[[#This Row],[Traps]]=ReSaleGain,TEXT(TabTRADER[[#This Row],[L_Bn]],"#0,#0")&amp;" x "&amp;TEXT(TabTRADER[[#This Row],[L_Bp]],"#,#0.#0"),               TRUE,"")</f>
        <v/>
      </c>
      <c r="AG27" s="1281" t="str" cm="1">
        <f t="array" aca="1" ref="AG2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27" s="1281" t="str" cm="1">
        <f t="array" aca="1" ref="AH2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7" s="1281" t="str" cm="1">
        <f t="array" aca="1" ref="AI2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27" s="1290" t="str" cm="1">
        <f t="array" aca="1" ref="AJ2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27" s="1290" t="str" cm="1">
        <f t="array" aca="1" ref="AK2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7" s="843" t="str" cm="1">
        <f t="array" aca="1" ref="AL27" ca="1">_xlfn.IFS(   TabTRADER[[#This Row],[Traps]]=SellMorePercentGain,                     MIN(TabTRADER[[#This Row],[L_Sn]],TabTRADER[[#This Row],[N]])*(TabTRADER[[#This Row],[M]]-TabTRADER[[#This Row],[L_Sp]])*(1-Commission)*TabTRADER[[#This Row],[Scale]],                    TRUE,"")</f>
        <v/>
      </c>
      <c r="AM27" s="1039">
        <f ca="1">_xlfn.XLOOKUP(TabTRADER[[#This Row],[ClickTick]],TabCalc[Ticker],TabCalc[Ann%RevLB])</f>
        <v>0.70528663572246686</v>
      </c>
      <c r="AN27" s="1038">
        <f ca="1">_xlfn.XLOOKUP(TabTRADER[[#This Row],[ClickTick]],TabCalc[Ticker],TabCalc[Up20])</f>
        <v>0.42857142857142855</v>
      </c>
      <c r="AO27" s="312" t="str" cm="1">
        <f t="array" aca="1" ref="AO2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7" s="843" t="str" cm="1">
        <f t="array" aca="1" ref="AP27" ca="1">_xlfn.IFS(         TabTRADER[[#This Row],[Traps]]=MDown,TabTRADER[[#This Row],[L_Bn]]*TabTRADER[[#This Row],[M]]*(-(TabTRADER[[#This Row],[L_Bp]]+TabTRADER[[#This Row],[M]])/TabTRADER[[#This Row],[M]])*(1-Commission)*TabTRADER[[#This Row],[Scale]],                               TRUE,"")</f>
        <v/>
      </c>
      <c r="AQ27" s="1290" t="str" cm="1">
        <f t="array" aca="1" ref="AQ27" ca="1">_xlfn.IFS(   TabTRADER[[#This Row],[Traps]]=MUp,TabTRADER[[#This Row],[TakeGain_A]]-Commission,        TabTRADER[[#This Row],[Traps]]=MDown,(TabTRADER[[#This Row],[A]]-TabTRADER[[#This Row],[M]])/TabTRADER[[#This Row],[M]]-Commission,                              TRUE,"")</f>
        <v/>
      </c>
      <c r="AR27" s="774" cm="1">
        <f t="array" aca="1" ref="AR2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27" s="774" t="str" cm="1">
        <f t="array" aca="1" ref="AS2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0.6%</v>
      </c>
      <c r="AT27" s="748" t="str" cm="1">
        <f t="array" aca="1" ref="AT2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0x11.97</v>
      </c>
      <c r="AU27" s="779" t="str" cm="1">
        <f t="array" aca="1" ref="AU27" ca="1">_xlfn.IFS(TabTRADER[[#This Row],[Traps]]=ReSaleGain,"",         TabTRADER[[#This Row],[Traps]]=MDown, (TabTRADER[[#This Row],[M]]-TabTRADER[[#This Row],[A]])/TabTRADER[[#This Row],[A]]*ComFactor,             TRUE, IFERROR((TabTRADER[[#This Row],[M]]-TabTRADER[[#This Row],[A]])/TabTRADER[[#This Row],[A]]*ComFactor,""))</f>
        <v/>
      </c>
      <c r="AV27" s="776" cm="1">
        <f t="array" aca="1" ref="AV27" ca="1">_xlfn.IFS(               TabTRADER[[#This Row],[Traps]]=NoStock,(TabTRADER[[#This Row],[L_Sp]]-TabTRADER[[#This Row],[M]])/TabTRADER[[#This Row],[M]]-Commission,             TabTRADER[[#This Row],[A]]&lt;&gt;0,(TabTRADER[[#This Row],[A]]-TabTRADER[[#This Row],[M]])/TabTRADER[[#This Row],[M]]-Commission)</f>
        <v>-0.29583308270676689</v>
      </c>
      <c r="AW27" s="326">
        <f ca="1">_xlfn.XLOOKUP(TabTRADER[[#This Row],[ClickTick]],TabCalc[Ticker],TabCalc[L_Sn])</f>
        <v>3000</v>
      </c>
      <c r="AX27" s="740">
        <f ca="1">_xlfn.XLOOKUP(TabTRADER[[#This Row],[ClickTick]],TabCalc[Ticker],TabCalc[L_Sp])</f>
        <v>8.4600000000000009</v>
      </c>
      <c r="AY27" s="778">
        <f ca="1">-IFERROR((TabTRADER[[#This Row],[M]]-TabTRADER[[#This Row],[L_Sp]])/TabTRADER[[#This Row],[L_Sp]],0)</f>
        <v>-0.41489361702127653</v>
      </c>
      <c r="AZ27" s="741">
        <f ca="1">TabTRADER[[#This Row],[L_Sn]]*(TabTRADER[[#This Row],[M]]-TabTRADER[[#This Row],[L_Sp]])*(1-Commission)*TabTRADER[[#This Row],[Scale]]</f>
        <v>10502.621999999999</v>
      </c>
      <c r="BA27" s="701">
        <f ca="1">TabTRADER[[#This Row],[L_Sn]]*(TabTRADER[[#This Row],[Agiotage]]-TabTRADER[[#This Row],[M]])/(TabTRADER[[#This Row],[L_Bn]]*TabTRADER[[#This Row],[M]])</f>
        <v>-0.91663601552230967</v>
      </c>
      <c r="BB27" s="641">
        <f ca="1">IFERROR((TabTRADER[[#This Row],[M]]-TabTRADER[[#This Row],[A]])/TabTRADER[[#This Row],[A]],0)</f>
        <v>0</v>
      </c>
      <c r="BC27" s="644" t="str">
        <f ca="1">TEXT(_xlfn.XLOOKUP(TabTRADER[[#This Row],[ClickTick]],TabCalc[Ticker],TabCalc[NAfter]),"#,#0")&amp;" : "&amp;TEXT(_xlfn.XLOOKUP(TabTRADER[[#This Row],[ClickTick]],TabCalc[Ticker],TabCalc[NAfter])*(TabTRADER[[#This Row],[M]]-TabTRADER[[#This Row],[A]])*(1-Commission)*TabTRADER[[#This Row],[Scale]],"#,#0$")</f>
        <v>0 : 0$</v>
      </c>
      <c r="BD27" s="693">
        <f ca="1">_xlfn.XLOOKUP(TabTRADER[[#This Row],[ClickTick]],TabCalc[[#This Row],[Ticker]],TabCalc[[#This Row],[GL]])*(1-Commission)</f>
        <v>-15987.309439519993</v>
      </c>
      <c r="BE27" s="693"/>
      <c r="BF27" s="675" t="str">
        <f ca="1">TabTRADER[[#This Row],[ClickTick]]&amp;": "&amp;_xlfn.XLOOKUP(TabTRADER[[#This Row],[ClickTick]],TabCalc[Ticker],TabCalc[Pile?])</f>
        <v>LNSR: Pile</v>
      </c>
      <c r="BG27" s="353" t="s">
        <v>1971</v>
      </c>
      <c r="BH27" s="769" t="str" cm="1">
        <f t="array" aca="1" ref="BH27" ca="1">_xlfn.TEXTJOIN("",,INDEX({"M","A","Y"}, _xlfn.SORTBY({1,2,3}, -CHOOSE({1,2,3}, TabTRADER[[#This Row],[M]], TabTRADER[[#This Row],[A]], TabTRADER[[#This Row],[Agiotage]]))))</f>
        <v>MYA</v>
      </c>
      <c r="BI27" s="976" t="str" cm="1">
        <f t="array" aca="1" ref="BI2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7" s="688" t="e">
        <f ca="1">TabTRADER[[#This Row],[L_Sn]]*TabTRADER[[#This Row],[L_Sp]]+TabTRADER[[#This Row],[SellMore]]*TabTRADER[[#This Row],[M]]</f>
        <v>#N/A</v>
      </c>
      <c r="BK27" s="688" t="e">
        <f ca="1">INDEX(
  INDEX(TabConsolid[], , _xlfn.XMATCH(TabTRADER[[#This Row],[ClickTick]]&amp;1, TabConsolid[#Headers])),
  MATCH(
    -TabTRADER[[#This Row],[M]],
    INDEX(TabConsolid[], , _xlfn.XMATCH(TabTRADER[[#This Row],[ClickTick]]&amp;2, TabConsolid[#Headers])),
    -1
  )
)</f>
        <v>#N/A</v>
      </c>
      <c r="BL27" s="688" cm="1">
        <f t="array" aca="1" ref="BL2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7" s="1260" t="e">
        <f ca="1">TabTRADER[[#This Row],[ReBuy]]/(TabTRADER[[#This Row],[L_Sn]]+TabTRADER[[#This Row],[SellMore]])</f>
        <v>#N/A</v>
      </c>
      <c r="BN27" s="696" t="e">
        <f ca="1">((_xlfn.XLOOKUP(TabTRADER[[#This Row],[ClickTick]],TabCalc[Ticker],TabCalc[NAfter])+TabTRADER[[#This Row],[L_Sn]])*(TabTRADER[[#This Row],[Agiotage]]-TabTRADER[[#This Row],[M]]))/(TabTRADER[[#This Row],[L_Sn]]*_xlfn.XLOOKUP(TabTRADER[[#This Row],[ClickTick]],TabCalc[Ticker],TabCalc[NAfter]))</f>
        <v>#DIV/0!</v>
      </c>
      <c r="BO27" s="696">
        <f ca="1">(TabTRADER[[#This Row],[M]]-TabTRADER[[#This Row],[Agiotage]])/(TabTRADER[[#This Row],[M]]-TabTRADER[[#This Row],[A]])-1</f>
        <v>-8.3363984477690334E-2</v>
      </c>
      <c r="BP27" s="1388">
        <f ca="1">_xlfn.XMATCH(TabTRADER[[#This Row],[ClickTick]]&amp;1, TabConsolid[#Headers])</f>
        <v>77</v>
      </c>
      <c r="BQ27" t="b">
        <f ca="1">IF(ABS(TabTRADER[[#This Row],[L_Bp]])&gt;=TabTRADER[[#This Row],[M]],"OK")</f>
        <v>0</v>
      </c>
    </row>
    <row r="28" spans="1:69" ht="22" hidden="1" customHeight="1">
      <c r="A28" s="225">
        <f ca="1">IF(_xlfn.XLOOKUP(TabTRADER[[#This Row],[ClickTick]],TabCalc[Ticker],TabCalc[Cur])="GBp",0.01,1)</f>
        <v>1</v>
      </c>
      <c r="B2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-5.06x2000=    +30 USD</v>
      </c>
      <c r="C2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37.4%</v>
      </c>
      <c r="D28" s="697" t="str" cm="1">
        <f t="array" aca="1" ref="D2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8"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28" s="228" t="str">
        <f ca="1">TRUNC(TabCalc[[#This Row],[L_B1p]],2)&amp;"x"&amp;TabCalc[[#This Row],[L_B1n]]&amp;"=   "&amp;TEXT(TabCalc[[#This Row],[ReverseS1]],"#,#0")&amp;"$"</f>
        <v>-2.98x15000=   51$</v>
      </c>
      <c r="G28" s="227" t="str">
        <f ca="1">IFERROR(TRUNC(_xlfn.XLOOKUP(TabTRADER[[#This Row],[ClickTick]],TabCalc[Ticker],ListLastSalep),2)&amp;"x"&amp;_xlfn.XLOOKUP(TabTRADER[[#This Row],[ClickTick]],TabCalc[Ticker],ListLastSalen)&amp;"=   "&amp;TEXT(-_xlfn.XLOOKUP(TabTRADER[[#This Row],[ClickTick]],TabCalc[Ticker],ListReverseB),"#,#0")&amp;"$","")</f>
        <v>6.8x990=   1,277$</v>
      </c>
      <c r="H2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15.9% = 0</v>
      </c>
      <c r="I28" s="228" t="str">
        <f ca="1">IFERROR(TRUNC(TabCalc[[#This Row],[L_S1p]],2)&amp;"x"&amp;TabCalc[[#This Row],[L_S1n]]&amp;"=   "&amp;TEXT(TabCalc[[#This Row],[ReverseB1]],"#,#0"),"")</f>
        <v>5.56x1000=   -2,530</v>
      </c>
      <c r="J28" s="297">
        <f ca="1">_xlfn.XLOOKUP(TabTRADER[[#This Row],[ClickTick]],TabCalc[Ticker],ListGravity)</f>
        <v>0.64816316440049448</v>
      </c>
      <c r="K28" s="324" t="str" cm="1">
        <f t="array" aca="1" ref="K28" ca="1">IF(_xlfn.XLOOKUP(TabTRADER[[#This Row],[ClickTick]],TabTRADER[ClickTick],ListExtra_n)&gt;0,_xlfn.XLOOKUP(TabTRADER[[#This Row],[ClickTick]],TabTRADER[ClickTick],ListExtra_n),"")</f>
        <v/>
      </c>
      <c r="L28" s="322" t="str">
        <f ca="1">IF(_xlfn.XLOOKUP(TabTRADER[[#This Row],[ClickTick]],TabCalc[Ticker],ListExtra_n)&gt;0,_xlfn.XLOOKUP(TabTRADER[[#This Row],[ClickTick]],TabCalc[Ticker],ListExtra_n)*TabTRADER[[#This Row],[M]]*_xlfn.XLOOKUP(TabTRADER[[#This Row],[ClickTick]],TabCalc[Ticker],ListScale),"")</f>
        <v/>
      </c>
      <c r="M28" s="325">
        <f ca="1">_xlfn.XLOOKUP(TabTRADER[[#This Row],[ClickTick]],TabCalc[Ticker],TabCalc[Agiotage])</f>
        <v>1.5440348459384818</v>
      </c>
      <c r="N28" s="326" cm="1">
        <f t="array" aca="1" ref="N28" ca="1">_xlfn.XLOOKUP(TabTRADER[[#This Row],[ClickTick]],ListTickers,Tab2RSIConventional[RSIConv20])</f>
        <v>67</v>
      </c>
      <c r="O28" s="712" t="str">
        <f ca="1">TEXT(_xlfn.XLOOKUP(TabTRADER[[#This Row],[ClickTick]],TabCalc[Ticker],TabCalc[Nbegin]),"#,#0")&amp;": "&amp;_xlfn.XLOOKUP(TabTRADER[[#This Row],[ClickTick]],TabCalc[Ticker],TabCalc[Pile?])</f>
        <v xml:space="preserve">2,000: </v>
      </c>
      <c r="P28" s="323">
        <f ca="1">_xlfn.XLOOKUP(TabTRADER[[#This Row],[ClickTick]],TabCalc[Ticker],TabCalc[L_Bn])</f>
        <v>2000</v>
      </c>
      <c r="Q28" s="690">
        <f ca="1">_xlfn.XLOOKUP(TabTRADER[[#This Row],[ClickTick]],TabCalc[Ticker],TabCalc[L_Bp])</f>
        <v>-5.0682999999999998</v>
      </c>
      <c r="R28" s="778">
        <f ca="1">(TabTRADER[[#This Row],[M]]+TabTRADER[[#This Row],[L_Bp]])/ABS(TabTRADER[[#This Row],[L_Bp]])</f>
        <v>0.59619596314346035</v>
      </c>
      <c r="S28" s="692">
        <f ca="1">_xlfn.XLOOKUP(TabTRADER[[#This Row],[ClickTick]],TabCalc[Ticker],TabCalc[Rev(MinStock)])*(1-Commission)</f>
        <v>30.138435799999996</v>
      </c>
      <c r="T28" s="798">
        <f ca="1">_xlfn.XLOOKUP(TabTRADER[[#This Row],[ClickTick]],TabCalc[Ticker],TabCalc[Agiotage])</f>
        <v>1.5440348459384818</v>
      </c>
      <c r="U28" s="759" t="str" cm="1">
        <f t="array" aca="1" ref="U2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1/1=&gt;-0.1% / 3.9%</v>
      </c>
      <c r="V28" s="751" t="str">
        <f ca="1">_xlfn.XLOOKUP(TabTRADER[[#This Row],[ClickTick]],[1]!RTData[Ticker symbol],[1]!RTData[Currency])</f>
        <v>USD</v>
      </c>
      <c r="W28" s="761">
        <f ca="1">_xlfn.XLOOKUP(TabTRADER[[#This Row],[ClickTick]],TabCalc[Ticker],TabCalc[M])</f>
        <v>8.09</v>
      </c>
      <c r="X28" s="719" t="str">
        <f ca="1">SORTING!B28</f>
        <v>LUMN</v>
      </c>
      <c r="Y28" s="819">
        <f ca="1">_xlfn.XLOOKUP(TabTRADER[[#This Row],[ClickTick]],TabCalc[Ticker],TabCalc[Y])</f>
        <v>5.2436400000000001</v>
      </c>
      <c r="Z28" s="835">
        <f ca="1">_xlfn.XLOOKUP(TabTRADER[[#This Row],[ClickTick]],[1]!RTData[Ticker symbol],[1]!RTData[YTChange])</f>
        <v>0.13498701298701299</v>
      </c>
      <c r="AA28" s="851">
        <f ca="1">-_xlfn.XLOOKUP(TabTRADER[[#This Row],[ClickTick]]&amp;2,Consolid!B$3:JZ$3,Consolid!B$4:JZ$4)</f>
        <v>5.0682999999999998</v>
      </c>
      <c r="AB28" s="835" cm="1">
        <f t="array" aca="1" ref="AB28" ca="1">_xlfn.XLOOKUP(TabTRADER[[#This Row],[ClickTick]],ListTickers,Tab1ChangePercent[Change%19])</f>
        <v>-8.3470000000000007E-4</v>
      </c>
      <c r="AC28" s="782">
        <f ca="1">_xlfn.XLOOKUP(TabTRADER[[#This Row],[ClickTick]],TabCalc[Ticker],TabCalc[NAfter])</f>
        <v>10</v>
      </c>
      <c r="AD28"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^15/0 K$</v>
      </c>
      <c r="AE28" s="1277" t="str" cm="1">
        <f t="array" aca="1" ref="AE2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28" s="1281" t="str" cm="1">
        <f t="array" aca="1" ref="AF28" ca="1">_xlfn.IFS(       TabTRADER[[#This Row],[Traps]]=RePurchaseGain,TEXT(TabTRADER[[#This Row],[L_Sn]],"#,#0")&amp;" x "&amp;TEXT(TabTRADER[[#This Row],[L_Sp]],"#,#0.#0"),     TabTRADER[[#This Row],[Traps]]=ReSaleGain,TEXT(TabTRADER[[#This Row],[L_Bn]],"#0,#0")&amp;" x "&amp;TEXT(TabTRADER[[#This Row],[L_Bp]],"#,#0.#0"),               TRUE,"")</f>
        <v/>
      </c>
      <c r="AG28" s="1281" t="str" cm="1">
        <f t="array" aca="1" ref="AG2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6.80</v>
      </c>
      <c r="AH28" s="1281" cm="1">
        <f t="array" aca="1" ref="AH2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12.86646</v>
      </c>
      <c r="AI28" s="1281" cm="1">
        <f t="array" aca="1" ref="AI2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30.138435799999996</v>
      </c>
      <c r="AJ28" s="1290" cm="1">
        <f t="array" aca="1" ref="AJ2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0.59619596314346035</v>
      </c>
      <c r="AK28" s="1290" cm="1">
        <f t="array" aca="1" ref="AK2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0.15685611866501856</v>
      </c>
      <c r="AL28" s="843" cm="1">
        <f t="array" aca="1" ref="AL28" ca="1">_xlfn.IFS(   TabTRADER[[#This Row],[Traps]]=SellMorePercentGain,                     MIN(TabTRADER[[#This Row],[L_Sn]],TabTRADER[[#This Row],[N]])*(TabTRADER[[#This Row],[M]]-TabTRADER[[#This Row],[L_Sp]])*(1-Commission)*TabTRADER[[#This Row],[Scale]],                    TRUE,"")</f>
        <v>12.86646</v>
      </c>
      <c r="AM28" s="1296">
        <f ca="1">_xlfn.XLOOKUP(TabTRADER[[#This Row],[ClickTick]],TabCalc[Ticker],TabCalc[Ann%RevLB])</f>
        <v>0.78908289239575635</v>
      </c>
      <c r="AN28" s="1392">
        <f ca="1">_xlfn.XLOOKUP(TabTRADER[[#This Row],[ClickTick]],TabCalc[Ticker],TabCalc[Up20])</f>
        <v>0</v>
      </c>
      <c r="AO28" s="312" t="str" cm="1">
        <f t="array" aca="1" ref="AO2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28" s="843" t="str" cm="1">
        <f t="array" aca="1" ref="AP28" ca="1">_xlfn.IFS(         TabTRADER[[#This Row],[Traps]]=MDown,TabTRADER[[#This Row],[L_Bn]]*TabTRADER[[#This Row],[M]]*(-(TabTRADER[[#This Row],[L_Bp]]+TabTRADER[[#This Row],[M]])/TabTRADER[[#This Row],[M]])*(1-Commission)*TabTRADER[[#This Row],[Scale]],                               TRUE,"")</f>
        <v/>
      </c>
      <c r="AQ28" s="1290" cm="1">
        <f t="array" aca="1" ref="AQ28" ca="1">_xlfn.IFS(   TabTRADER[[#This Row],[Traps]]=MUp,TabTRADER[[#This Row],[TakeGain_A]]-Commission,        TabTRADER[[#This Row],[Traps]]=MDown,(TabTRADER[[#This Row],[A]]-TabTRADER[[#This Row],[M]])/TabTRADER[[#This Row],[M]]-Commission,                              TRUE,"")</f>
        <v>0.5935959631434603</v>
      </c>
      <c r="AR28" s="843" cm="1">
        <f t="array" aca="1" ref="AR2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48.10684955941835</v>
      </c>
      <c r="AS28" s="774" t="str" cm="1">
        <f t="array" aca="1" ref="AS2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0.8%</v>
      </c>
      <c r="AT28" s="748" t="str" cm="1">
        <f t="array" aca="1" ref="AT2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10x3.02</v>
      </c>
      <c r="AU28" s="779" cm="1">
        <f t="array" aca="1" ref="AU28" ca="1">_xlfn.IFS(TabTRADER[[#This Row],[Traps]]=ReSaleGain,"",         TabTRADER[[#This Row],[Traps]]=MDown, (TabTRADER[[#This Row],[M]]-TabTRADER[[#This Row],[A]])/TabTRADER[[#This Row],[A]]*ComFactor,             TRUE, IFERROR((TabTRADER[[#This Row],[M]]-TabTRADER[[#This Row],[A]])/TabTRADER[[#This Row],[A]]*ComFactor,""))</f>
        <v>0.59464585363928735</v>
      </c>
      <c r="AV28" s="776" cm="1">
        <f t="array" aca="1" ref="AV28" ca="1">_xlfn.IFS(               TabTRADER[[#This Row],[Traps]]=NoStock,(TabTRADER[[#This Row],[L_Sp]]-TabTRADER[[#This Row],[M]])/TabTRADER[[#This Row],[M]]-Commission,             TabTRADER[[#This Row],[A]]&lt;&gt;0,(TabTRADER[[#This Row],[A]]-TabTRADER[[#This Row],[M]])/TabTRADER[[#This Row],[M]]-Commission)</f>
        <v>-0.37611050679851671</v>
      </c>
      <c r="AW28" s="326">
        <f ca="1">_xlfn.XLOOKUP(TabTRADER[[#This Row],[ClickTick]],TabCalc[Ticker],TabCalc[L_Sn])</f>
        <v>990</v>
      </c>
      <c r="AX28" s="740">
        <f ca="1">_xlfn.XLOOKUP(TabTRADER[[#This Row],[ClickTick]],TabCalc[Ticker],TabCalc[L_Sp])</f>
        <v>6.8</v>
      </c>
      <c r="AY28" s="778">
        <f ca="1">-IFERROR((TabTRADER[[#This Row],[M]]-TabTRADER[[#This Row],[L_Sp]])/TabTRADER[[#This Row],[L_Sp]],0)</f>
        <v>-0.1897058823529412</v>
      </c>
      <c r="AZ28" s="741">
        <f ca="1">TabTRADER[[#This Row],[L_Sn]]*(TabTRADER[[#This Row],[M]]-TabTRADER[[#This Row],[L_Sp]])*(1-Commission)*TabTRADER[[#This Row],[Scale]]</f>
        <v>1273.77954</v>
      </c>
      <c r="BA28" s="701">
        <f ca="1">TabTRADER[[#This Row],[L_Sn]]*(TabTRADER[[#This Row],[Agiotage]]-TabTRADER[[#This Row],[M]])/(TabTRADER[[#This Row],[L_Bn]]*TabTRADER[[#This Row],[M]])</f>
        <v>-0.40052568000747235</v>
      </c>
      <c r="BB28" s="641">
        <f ca="1">IFERROR((TabTRADER[[#This Row],[M]]-TabTRADER[[#This Row],[A]])/TabTRADER[[#This Row],[A]],0)</f>
        <v>0.59619596314346035</v>
      </c>
      <c r="BC28" s="644" t="str">
        <f ca="1">TEXT(_xlfn.XLOOKUP(TabTRADER[[#This Row],[ClickTick]],TabCalc[Ticker],TabCalc[NAfter]),"#,#0")&amp;" : "&amp;TEXT(_xlfn.XLOOKUP(TabTRADER[[#This Row],[ClickTick]],TabCalc[Ticker],TabCalc[NAfter])*(TabTRADER[[#This Row],[M]]-TabTRADER[[#This Row],[A]])*(1-Commission)*TabTRADER[[#This Row],[Scale]],"#,#0$")</f>
        <v>10 : 30$</v>
      </c>
      <c r="BD28" s="693">
        <f ca="1">_xlfn.XLOOKUP(TabTRADER[[#This Row],[ClickTick]],TabCalc[[#This Row],[Ticker]],TabCalc[[#This Row],[GL]])*(1-Commission)</f>
        <v>14733.393319999999</v>
      </c>
      <c r="BE28" s="693"/>
      <c r="BF28" s="675" t="str">
        <f ca="1">TabTRADER[[#This Row],[ClickTick]]&amp;": "&amp;_xlfn.XLOOKUP(TabTRADER[[#This Row],[ClickTick]],TabCalc[Ticker],TabCalc[Pile?])</f>
        <v xml:space="preserve">LUMN: </v>
      </c>
      <c r="BG28" s="353" t="s">
        <v>1972</v>
      </c>
      <c r="BH28" s="769" t="str" cm="1">
        <f t="array" aca="1" ref="BH28" ca="1">_xlfn.TEXTJOIN("",,INDEX({"M","A","Y"}, _xlfn.SORTBY({1,2,3}, -CHOOSE({1,2,3}, TabTRADER[[#This Row],[M]], TabTRADER[[#This Row],[A]], TabTRADER[[#This Row],[Agiotage]]))))</f>
        <v>MAY</v>
      </c>
      <c r="BI28" s="976" cm="1">
        <f t="array" aca="1" ref="BI2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0.15945611866501855</v>
      </c>
      <c r="BJ28" s="688">
        <f ca="1">TabTRADER[[#This Row],[L_Sn]]*TabTRADER[[#This Row],[L_Sp]]+TabTRADER[[#This Row],[SellMore]]*TabTRADER[[#This Row],[M]]</f>
        <v>6812.9</v>
      </c>
      <c r="BK28" s="688">
        <f ca="1">INDEX(
  INDEX(TabConsolid[], , _xlfn.XMATCH(TabTRADER[[#This Row],[ClickTick]]&amp;1, TabConsolid[#Headers])),
  MATCH(
    -TabTRADER[[#This Row],[M]],
    INDEX(TabConsolid[], , _xlfn.XMATCH(TabTRADER[[#This Row],[ClickTick]]&amp;2, TabConsolid[#Headers])),
    -1
  )
)</f>
        <v>10</v>
      </c>
      <c r="BL28" s="688" cm="1">
        <f t="array" aca="1" ref="BL2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8" s="1260">
        <f ca="1">TabTRADER[[#This Row],[ReBuy]]/(TabTRADER[[#This Row],[L_Sn]]+TabTRADER[[#This Row],[SellMore]])</f>
        <v>6.8129</v>
      </c>
      <c r="BN28" s="696">
        <f ca="1">((_xlfn.XLOOKUP(TabTRADER[[#This Row],[ClickTick]],TabCalc[Ticker],TabCalc[NAfter])+TabTRADER[[#This Row],[L_Sn]])*(TabTRADER[[#This Row],[Agiotage]]-TabTRADER[[#This Row],[M]]))/(TabTRADER[[#This Row],[L_Sn]]*_xlfn.XLOOKUP(TabTRADER[[#This Row],[ClickTick]],TabCalc[Ticker],TabCalc[NAfter]))</f>
        <v>-0.66120860142035531</v>
      </c>
      <c r="BO28" s="696">
        <f ca="1">(TabTRADER[[#This Row],[M]]-TabTRADER[[#This Row],[Agiotage]])/(TabTRADER[[#This Row],[M]]-TabTRADER[[#This Row],[A]])-1</f>
        <v>1.1663186795716047</v>
      </c>
      <c r="BP28" s="1388">
        <f ca="1">_xlfn.XMATCH(TabTRADER[[#This Row],[ClickTick]]&amp;1, TabConsolid[#Headers])</f>
        <v>80</v>
      </c>
      <c r="BQ28" t="b">
        <f ca="1">IF(ABS(TabTRADER[[#This Row],[L_Bp]])&gt;=TabTRADER[[#This Row],[M]],"OK")</f>
        <v>0</v>
      </c>
    </row>
    <row r="29" spans="1:69" ht="22" hidden="1" customHeight="1">
      <c r="A29" s="225">
        <f ca="1">IF(_xlfn.XLOOKUP(TabTRADER[[#This Row],[ClickTick]],TabCalc[Ticker],TabCalc[Cur])="GBp",0.01,1)</f>
        <v>1</v>
      </c>
      <c r="B2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-41.35x3000=    -43,830 USD</v>
      </c>
      <c r="C29"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-54.6%</v>
      </c>
      <c r="D29" s="697" t="str" cm="1">
        <f t="array" aca="1" ref="D2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9"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29" s="228" t="str">
        <f ca="1">TRUNC(TabCalc[[#This Row],[L_B1p]],2)&amp;"x"&amp;TabCalc[[#This Row],[L_B1n]]&amp;"=   "&amp;TEXT(TabCalc[[#This Row],[ReverseS1]],"#,#0")&amp;"$"</f>
        <v>-47.13x1000=   -20,390$</v>
      </c>
      <c r="G29" s="227" t="str">
        <f ca="1">IFERROR(TRUNC(_xlfn.XLOOKUP(TabTRADER[[#This Row],[ClickTick]],TabCalc[Ticker],ListLastSalep),2)&amp;"x"&amp;_xlfn.XLOOKUP(TabTRADER[[#This Row],[ClickTick]],TabCalc[Ticker],ListLastSalen)&amp;"=   "&amp;TEXT(-_xlfn.XLOOKUP(TabTRADER[[#This Row],[ClickTick]],TabCalc[Ticker],ListReverseB),"#,#0")&amp;"$","")</f>
        <v>88.24x1500=   -92,250$</v>
      </c>
      <c r="H2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230.0% = 81</v>
      </c>
      <c r="I29" s="228" t="str">
        <f ca="1">IFERROR(TRUNC(TabCalc[[#This Row],[L_S1p]],2)&amp;"x"&amp;TabCalc[[#This Row],[L_S1n]]&amp;"=   "&amp;TEXT(TabCalc[[#This Row],[ReverseB1]],"#,#0"),"")</f>
        <v>125.31x2800=   275,996</v>
      </c>
      <c r="J29" s="297">
        <f ca="1">_xlfn.XLOOKUP(TabTRADER[[#This Row],[ClickTick]],TabCalc[Ticker],ListGravity)</f>
        <v>1.6566940912490651</v>
      </c>
      <c r="K29" s="324" cm="1">
        <f t="array" aca="1" ref="K29" ca="1">IF(_xlfn.XLOOKUP(TabTRADER[[#This Row],[ClickTick]],TabTRADER[ClickTick],ListExtra_n)&gt;0,_xlfn.XLOOKUP(TabTRADER[[#This Row],[ClickTick]],TabTRADER[ClickTick],ListExtra_n),"")</f>
        <v>11800</v>
      </c>
      <c r="L29" s="322">
        <f ca="1">IF(_xlfn.XLOOKUP(TabTRADER[[#This Row],[ClickTick]],TabCalc[Ticker],ListExtra_n)&gt;0,_xlfn.XLOOKUP(TabTRADER[[#This Row],[ClickTick]],TabCalc[Ticker],ListExtra_n)*TabTRADER[[#This Row],[M]]*_xlfn.XLOOKUP(TabTRADER[[#This Row],[ClickTick]],TabCalc[Ticker],ListScale),"")</f>
        <v>315532</v>
      </c>
      <c r="M29" s="325">
        <f ca="1">_xlfn.XLOOKUP(TabTRADER[[#This Row],[ClickTick]],TabCalc[Ticker],TabCalc[Agiotage])</f>
        <v>0.66029390577287095</v>
      </c>
      <c r="N29" s="326" cm="1">
        <f t="array" aca="1" ref="N29" ca="1">_xlfn.XLOOKUP(TabTRADER[[#This Row],[ClickTick]],ListTickers,Tab2RSIConventional[RSIConv20])</f>
        <v>45</v>
      </c>
      <c r="O29" s="712" t="str">
        <f ca="1">TEXT(_xlfn.XLOOKUP(TabTRADER[[#This Row],[ClickTick]],TabCalc[Ticker],TabCalc[Nbegin]),"#,#0")&amp;": "&amp;_xlfn.XLOOKUP(TabTRADER[[#This Row],[ClickTick]],TabCalc[Ticker],TabCalc[Pile?])</f>
        <v>200: Pile</v>
      </c>
      <c r="P29" s="323">
        <f ca="1">_xlfn.XLOOKUP(TabTRADER[[#This Row],[ClickTick]],TabCalc[Ticker],TabCalc[L_Bn])</f>
        <v>3000</v>
      </c>
      <c r="Q29" s="740">
        <f ca="1">_xlfn.XLOOKUP(TabTRADER[[#This Row],[ClickTick]],TabCalc[Ticker],TabCalc[L_Bp])</f>
        <v>-41.35</v>
      </c>
      <c r="R29" s="778">
        <f ca="1">(TabTRADER[[#This Row],[M]]+TabTRADER[[#This Row],[L_Bp]])/ABS(TabTRADER[[#This Row],[L_Bp]])</f>
        <v>-0.35332527206771469</v>
      </c>
      <c r="S29" s="692">
        <f ca="1">_xlfn.XLOOKUP(TabTRADER[[#This Row],[ClickTick]],TabCalc[Ticker],TabCalc[Rev(MinStock)])*(1-Commission)</f>
        <v>-43716.042000000009</v>
      </c>
      <c r="T29" s="798">
        <f ca="1">_xlfn.XLOOKUP(TabTRADER[[#This Row],[ClickTick]],TabCalc[Ticker],TabCalc[Agiotage])</f>
        <v>0.66029390577287095</v>
      </c>
      <c r="U29" s="759" t="str" cm="1">
        <f t="array" aca="1" ref="U2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2,640/2,640=&gt;3.8% / 1.9%</v>
      </c>
      <c r="V29" s="751" t="str">
        <f ca="1">_xlfn.XLOOKUP(TabTRADER[[#This Row],[ClickTick]],[1]!RTData[Ticker symbol],[1]!RTData[Currency])</f>
        <v>USD</v>
      </c>
      <c r="W29" s="761">
        <f ca="1">_xlfn.XLOOKUP(TabTRADER[[#This Row],[ClickTick]],TabCalc[Ticker],TabCalc[M])</f>
        <v>26.74</v>
      </c>
      <c r="X29" s="762" t="str">
        <f ca="1">SORTING!B29</f>
        <v>MRNA</v>
      </c>
      <c r="Y29" s="819">
        <f ca="1">_xlfn.XLOOKUP(TabTRADER[[#This Row],[ClickTick]],TabCalc[Ticker],TabCalc[Y])</f>
        <v>44.3</v>
      </c>
      <c r="Z29" s="835">
        <f ca="1">_xlfn.XLOOKUP(TabTRADER[[#This Row],[ClickTick]],[1]!RTData[Ticker symbol],[1]!RTData[YTChange])</f>
        <v>-0.5562456175498347</v>
      </c>
      <c r="AA29" s="851">
        <f ca="1">-_xlfn.XLOOKUP(TabTRADER[[#This Row],[ClickTick]]&amp;2,Consolid!B$3:JZ$3,Consolid!B$4:JZ$4)</f>
        <v>71.645336666666665</v>
      </c>
      <c r="AB29" s="835" cm="1">
        <f t="array" aca="1" ref="AB29" ca="1">_xlfn.XLOOKUP(TabTRADER[[#This Row],[ClickTick]],ListTickers,Tab1ChangePercent[Change%19])</f>
        <v>3.7869E-2</v>
      </c>
      <c r="AC29" s="782">
        <f ca="1">_xlfn.XLOOKUP(TabTRADER[[#This Row],[ClickTick]],TabCalc[Ticker],TabCalc[NAfter])</f>
        <v>12000</v>
      </c>
      <c r="AD29"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-492/321 K$</v>
      </c>
      <c r="AE29" s="1299" t="str" cm="1">
        <f t="array" aca="1" ref="AE2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29" s="1281" t="str" cm="1">
        <f t="array" aca="1" ref="AF29" ca="1">_xlfn.IFS(       TabTRADER[[#This Row],[Traps]]=RePurchaseGain,TEXT(TabTRADER[[#This Row],[L_Sn]],"#,#0")&amp;" x "&amp;TEXT(TabTRADER[[#This Row],[L_Sp]],"#,#0.#0"),     TabTRADER[[#This Row],[Traps]]=ReSaleGain,TEXT(TabTRADER[[#This Row],[L_Bn]],"#0,#0")&amp;" x "&amp;TEXT(TabTRADER[[#This Row],[L_Bp]],"#,#0.#0"),               TRUE,"")</f>
        <v/>
      </c>
      <c r="AG29" s="1281" t="str" cm="1">
        <f t="array" aca="1" ref="AG2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3,000 x -41.35</v>
      </c>
      <c r="AH29" s="1281" cm="1">
        <f t="array" aca="1" ref="AH2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43716.042000000009</v>
      </c>
      <c r="AI29" s="1281" cm="1">
        <f t="array" aca="1" ref="AI2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320880</v>
      </c>
      <c r="AJ29" s="1290" cm="1">
        <f t="array" aca="1" ref="AJ2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0.6267726380516695</v>
      </c>
      <c r="AK29" s="1290" cm="1">
        <f t="array" aca="1" ref="AK2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0.5437724756918475</v>
      </c>
      <c r="AL29" s="843" t="str" cm="1">
        <f t="array" aca="1" ref="AL29" ca="1">_xlfn.IFS(   TabTRADER[[#This Row],[Traps]]=SellMorePercentGain,                     MIN(TabTRADER[[#This Row],[L_Sn]],TabTRADER[[#This Row],[N]])*(TabTRADER[[#This Row],[M]]-TabTRADER[[#This Row],[L_Sp]])*(1-Commission)*TabTRADER[[#This Row],[Scale]],                    TRUE,"")</f>
        <v/>
      </c>
      <c r="AM29" s="1279">
        <f ca="1">_xlfn.XLOOKUP(TabTRADER[[#This Row],[ClickTick]],TabCalc[Ticker],TabCalc[Ann%RevLB])</f>
        <v>-0.47110036275695288</v>
      </c>
      <c r="AN29" s="1038">
        <f ca="1">_xlfn.XLOOKUP(TabTRADER[[#This Row],[ClickTick]],TabCalc[Ticker],TabCalc[Up20])</f>
        <v>0</v>
      </c>
      <c r="AO29" s="1291" cm="1">
        <f t="array" aca="1" ref="AO2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0.54637247569184755</v>
      </c>
      <c r="AP29" s="843" cm="1">
        <f t="array" aca="1" ref="AP29" ca="1">_xlfn.IFS(         TabTRADER[[#This Row],[Traps]]=MDown,TabTRADER[[#This Row],[L_Bn]]*TabTRADER[[#This Row],[M]]*(-(TabTRADER[[#This Row],[L_Bp]]+TabTRADER[[#This Row],[M]])/TabTRADER[[#This Row],[M]])*(1-Commission)*TabTRADER[[#This Row],[Scale]],                               TRUE,"")</f>
        <v>43716.042000000009</v>
      </c>
      <c r="AQ29" s="1290" cm="1">
        <f t="array" aca="1" ref="AQ29" ca="1">_xlfn.IFS(   TabTRADER[[#This Row],[Traps]]=MUp,TabTRADER[[#This Row],[TakeGain_A]]-Commission,        TabTRADER[[#This Row],[Traps]]=MDown,(TabTRADER[[#This Row],[A]]-TabTRADER[[#This Row],[M]])/TabTRADER[[#This Row],[M]]-Commission,                              TRUE,"")</f>
        <v>1.6767319621042138</v>
      </c>
      <c r="AR29" s="843" cm="1">
        <f t="array" aca="1" ref="AR2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537462.99349600007</v>
      </c>
      <c r="AS29" s="774" t="str" cm="1">
        <f t="array" aca="1" ref="AS2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&lt;0&lt;-1:      -0.9%</v>
      </c>
      <c r="AT29" s="748" cm="1">
        <f t="array" aca="1" ref="AT2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-14.61</v>
      </c>
      <c r="AU29" s="779" cm="1">
        <f t="array" aca="1" ref="AU29" ca="1">_xlfn.IFS(TabTRADER[[#This Row],[Traps]]=ReSaleGain,"",         TabTRADER[[#This Row],[Traps]]=MDown, (TabTRADER[[#This Row],[M]]-TabTRADER[[#This Row],[A]])/TabTRADER[[#This Row],[A]]*ComFactor,             TRUE, IFERROR((TabTRADER[[#This Row],[M]]-TabTRADER[[#This Row],[A]])/TabTRADER[[#This Row],[A]]*ComFactor,""))</f>
        <v>-0.62514302919273512</v>
      </c>
      <c r="AV29" s="776" cm="1">
        <f t="array" aca="1" ref="AV29" ca="1">_xlfn.IFS(               TabTRADER[[#This Row],[Traps]]=NoStock,(TabTRADER[[#This Row],[L_Sp]]-TabTRADER[[#This Row],[M]])/TabTRADER[[#This Row],[M]]-Commission,             TabTRADER[[#This Row],[A]]&lt;&gt;0,(TabTRADER[[#This Row],[A]]-TabTRADER[[#This Row],[M]])/TabTRADER[[#This Row],[M]]-Commission)</f>
        <v>1.6767319621042138</v>
      </c>
      <c r="AW29" s="326">
        <f ca="1">_xlfn.XLOOKUP(TabTRADER[[#This Row],[ClickTick]],TabCalc[Ticker],TabCalc[L_Sn])</f>
        <v>1500</v>
      </c>
      <c r="AX29" s="740">
        <f ca="1">_xlfn.XLOOKUP(TabTRADER[[#This Row],[ClickTick]],TabCalc[Ticker],TabCalc[L_Sp])</f>
        <v>88.24</v>
      </c>
      <c r="AY29" s="778">
        <f ca="1">-IFERROR((TabTRADER[[#This Row],[M]]-TabTRADER[[#This Row],[L_Sp]])/TabTRADER[[#This Row],[L_Sp]],0)</f>
        <v>0.69696282864913872</v>
      </c>
      <c r="AZ29" s="741">
        <f ca="1">TabTRADER[[#This Row],[L_Sn]]*(TabTRADER[[#This Row],[M]]-TabTRADER[[#This Row],[L_Sp]])*(1-Commission)*TabTRADER[[#This Row],[Scale]]</f>
        <v>-92010.15</v>
      </c>
      <c r="BA29" s="701">
        <f ca="1">TabTRADER[[#This Row],[L_Sn]]*(TabTRADER[[#This Row],[Agiotage]]-TabTRADER[[#This Row],[M]])/(TabTRADER[[#This Row],[L_Bn]]*TabTRADER[[#This Row],[M]])</f>
        <v>-0.48765344230043239</v>
      </c>
      <c r="BB29" s="641">
        <f ca="1">IFERROR((TabTRADER[[#This Row],[M]]-TabTRADER[[#This Row],[A]])/TabTRADER[[#This Row],[A]],0)</f>
        <v>-0.6267726380516695</v>
      </c>
      <c r="BC29" s="644" t="str">
        <f ca="1">TEXT(_xlfn.XLOOKUP(TabTRADER[[#This Row],[ClickTick]],TabCalc[Ticker],TabCalc[NAfter]),"#,#0")&amp;" : "&amp;TEXT(_xlfn.XLOOKUP(TabTRADER[[#This Row],[ClickTick]],TabCalc[Ticker],TabCalc[NAfter])*(TabTRADER[[#This Row],[M]]-TabTRADER[[#This Row],[A]])*(1-Commission)*TabTRADER[[#This Row],[Scale]],"#,#0$")</f>
        <v>12,000 : -537,463$</v>
      </c>
      <c r="BD29" s="693">
        <f ca="1">_xlfn.XLOOKUP(TabTRADER[[#This Row],[ClickTick]],TabCalc[[#This Row],[Ticker]],TabCalc[[#This Row],[GL]])*(1-Commission)</f>
        <v>-491041.93287799996</v>
      </c>
      <c r="BE29" s="693"/>
      <c r="BF29" s="675" t="str">
        <f ca="1">TabTRADER[[#This Row],[ClickTick]]&amp;": "&amp;_xlfn.XLOOKUP(TabTRADER[[#This Row],[ClickTick]],TabCalc[Ticker],TabCalc[Pile?])</f>
        <v>MRNA: Pile</v>
      </c>
      <c r="BG29" s="353" t="s">
        <v>1973</v>
      </c>
      <c r="BH29" s="769" t="str" cm="1">
        <f t="array" aca="1" ref="BH29" ca="1">_xlfn.TEXTJOIN("",,INDEX({"M","A","Y"}, _xlfn.SORTBY({1,2,3}, -CHOOSE({1,2,3}, TabTRADER[[#This Row],[M]], TabTRADER[[#This Row],[A]], TabTRADER[[#This Row],[Agiotage]]))))</f>
        <v>AMY</v>
      </c>
      <c r="BI29" s="976" cm="1">
        <f t="array" aca="1" ref="BI2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0.54637247569184755</v>
      </c>
      <c r="BJ29" s="688" t="e">
        <f ca="1">TabTRADER[[#This Row],[L_Sn]]*TabTRADER[[#This Row],[L_Sp]]+TabTRADER[[#This Row],[SellMore]]*TabTRADER[[#This Row],[M]]</f>
        <v>#N/A</v>
      </c>
      <c r="BK29" s="688" t="e">
        <f ca="1">INDEX(
  INDEX(TabConsolid[], , _xlfn.XMATCH(TabTRADER[[#This Row],[ClickTick]]&amp;1, TabConsolid[#Headers])),
  MATCH(
    -TabTRADER[[#This Row],[M]],
    INDEX(TabConsolid[], , _xlfn.XMATCH(TabTRADER[[#This Row],[ClickTick]]&amp;2, TabConsolid[#Headers])),
    -1
  )
)</f>
        <v>#N/A</v>
      </c>
      <c r="BL29" s="688" cm="1">
        <f t="array" aca="1" ref="BL2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2300</v>
      </c>
      <c r="BM29" s="1260" t="e">
        <f ca="1">TabTRADER[[#This Row],[ReBuy]]/(TabTRADER[[#This Row],[L_Sn]]+TabTRADER[[#This Row],[SellMore]])</f>
        <v>#N/A</v>
      </c>
      <c r="BN29" s="696">
        <f ca="1">((_xlfn.XLOOKUP(TabTRADER[[#This Row],[ClickTick]],TabCalc[Ticker],TabCalc[NAfter])+TabTRADER[[#This Row],[L_Sn]])*(TabTRADER[[#This Row],[Agiotage]]-TabTRADER[[#This Row],[M]]))/(TabTRADER[[#This Row],[L_Sn]]*_xlfn.XLOOKUP(TabTRADER[[#This Row],[ClickTick]],TabCalc[Ticker],TabCalc[NAfter]))</f>
        <v>-1.9559779570670347E-2</v>
      </c>
      <c r="BO29" s="696">
        <f ca="1">(TabTRADER[[#This Row],[M]]-TabTRADER[[#This Row],[Agiotage]])/(TabTRADER[[#This Row],[M]]-TabTRADER[[#This Row],[A]])-1</f>
        <v>-1.5807707508757227</v>
      </c>
      <c r="BP29" s="1388">
        <f ca="1">_xlfn.XMATCH(TabTRADER[[#This Row],[ClickTick]]&amp;1, TabConsolid[#Headers])</f>
        <v>83</v>
      </c>
      <c r="BQ29" t="str">
        <f ca="1">IF(ABS(TabTRADER[[#This Row],[L_Bp]])&gt;=TabTRADER[[#This Row],[M]],"OK")</f>
        <v>OK</v>
      </c>
    </row>
    <row r="30" spans="1:69" ht="22" hidden="1" customHeight="1">
      <c r="A30" s="225">
        <f ca="1">IF(_xlfn.XLOOKUP(TabTRADER[[#This Row],[ClickTick]],TabCalc[Ticker],TabCalc[Cur])="GBp",0.01,1)</f>
        <v>1</v>
      </c>
      <c r="B3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-513.83x150=    +1,467 USD</v>
      </c>
      <c r="C30"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1.9%</v>
      </c>
      <c r="D30" s="697" t="str" cm="1">
        <f t="array" aca="1" ref="D3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0" s="765" t="str">
        <f ca="1">IF(      AND(TabTRADER[[#This Row],[A]]&lt;TabTRADER[[#This Row],[M]],    _xlfn.XLOOKUP(TabTRADER[[#This Row],[ClickTick]],TabCalc[Ticker],TabCalc[L_Sp])&gt;TabTRADER[[#This Row],[M]]),"BUY  "&amp;TEXT(DesiredBuyGain/TabTRADER[[#This Row],[Scale]]/(_xlfn.XLOOKUP(TabTRADER[[#This Row],[ClickTick]],TabCalc[Ticker],TabCalc[L_Sp])-TabTRADER[[#This Row],[M]]),"#,##0"),"")</f>
        <v>BUY  16,129</v>
      </c>
      <c r="F30" s="228" t="str">
        <f ca="1">TRUNC(TabCalc[[#This Row],[L_B1p]],2)&amp;"x"&amp;TabCalc[[#This Row],[L_B1n]]&amp;"=   "&amp;TEXT(TabCalc[[#This Row],[ReverseS1]],"#,#0")&amp;"$"</f>
        <v>-378.43x150=   21,777$</v>
      </c>
      <c r="G30" s="227" t="str">
        <f ca="1">IFERROR(TRUNC(_xlfn.XLOOKUP(TabTRADER[[#This Row],[ClickTick]],TabCalc[Ticker],ListLastSalep),2)&amp;"x"&amp;_xlfn.XLOOKUP(TabTRADER[[#This Row],[ClickTick]],TabCalc[Ticker],ListLastSalen)&amp;"=   "&amp;TEXT(-_xlfn.XLOOKUP(TabTRADER[[#This Row],[ClickTick]],TabCalc[Ticker],ListReverseB),"#,#0")&amp;"$","")</f>
        <v>523.92x150=   -46$</v>
      </c>
      <c r="H3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0.1% = 16,129</v>
      </c>
      <c r="I30" s="228" t="str">
        <f ca="1">IFERROR(TRUNC(TabCalc[[#This Row],[L_S1p]],2)&amp;"x"&amp;TabCalc[[#This Row],[L_S1n]]&amp;"=   "&amp;TEXT(TabCalc[[#This Row],[ReverseB1]],"#,#0"),"")</f>
        <v>515.24x200=   -1,673</v>
      </c>
      <c r="J30" s="297">
        <f ca="1">_xlfn.XLOOKUP(TabTRADER[[#This Row],[ClickTick]],TabCalc[Ticker],ListGravity)</f>
        <v>1.1854947384503733</v>
      </c>
      <c r="K30" s="324" t="str" cm="1">
        <f t="array" aca="1" ref="K30" ca="1">IF(_xlfn.XLOOKUP(TabTRADER[[#This Row],[ClickTick]],TabTRADER[ClickTick],ListExtra_n)&gt;0,_xlfn.XLOOKUP(TabTRADER[[#This Row],[ClickTick]],TabTRADER[ClickTick],ListExtra_n),"")</f>
        <v/>
      </c>
      <c r="L30" s="322" t="str">
        <f ca="1">IF(_xlfn.XLOOKUP(TabTRADER[[#This Row],[ClickTick]],TabCalc[Ticker],ListExtra_n)&gt;0,_xlfn.XLOOKUP(TabTRADER[[#This Row],[ClickTick]],TabCalc[Ticker],ListExtra_n)*TabTRADER[[#This Row],[M]]*_xlfn.XLOOKUP(TabTRADER[[#This Row],[ClickTick]],TabCalc[Ticker],ListScale),"")</f>
        <v/>
      </c>
      <c r="M30" s="325">
        <f ca="1">_xlfn.XLOOKUP(TabTRADER[[#This Row],[ClickTick]],TabCalc[Ticker],TabCalc[Agiotage])</f>
        <v>0.82918306541212305</v>
      </c>
      <c r="N30" s="326" cm="1">
        <f t="array" aca="1" ref="N30" ca="1">_xlfn.XLOOKUP(TabTRADER[[#This Row],[ClickTick]],ListTickers,Tab2RSIConventional[RSIConv20])</f>
        <v>69</v>
      </c>
      <c r="O30" s="712" t="str">
        <f ca="1">TEXT(_xlfn.XLOOKUP(TabTRADER[[#This Row],[ClickTick]],TabCalc[Ticker],TabCalc[Nbegin]),"#,#0")&amp;": "&amp;_xlfn.XLOOKUP(TabTRADER[[#This Row],[ClickTick]],TabCalc[Ticker],TabCalc[Pile?])</f>
        <v xml:space="preserve">10,000: </v>
      </c>
      <c r="P30" s="323">
        <f ca="1">_xlfn.XLOOKUP(TabTRADER[[#This Row],[ClickTick]],TabCalc[Ticker],TabCalc[L_Bn])</f>
        <v>150</v>
      </c>
      <c r="Q30" s="690">
        <f ca="1">_xlfn.XLOOKUP(TabTRADER[[#This Row],[ClickTick]],TabCalc[Ticker],TabCalc[L_Bp])</f>
        <v>-513.83000000000004</v>
      </c>
      <c r="R30" s="778">
        <f ca="1">(TabTRADER[[#This Row],[M]]+TabTRADER[[#This Row],[L_Bp]])/ABS(TabTRADER[[#This Row],[L_Bp]])</f>
        <v>1.903353249129084E-2</v>
      </c>
      <c r="S30" s="692">
        <f ca="1">_xlfn.XLOOKUP(TabTRADER[[#This Row],[ClickTick]],TabCalc[Ticker],TabCalc[Rev(MinStock)])*(1-Commission)</f>
        <v>1463.1857999999959</v>
      </c>
      <c r="T30" s="798">
        <f ca="1">_xlfn.XLOOKUP(TabTRADER[[#This Row],[ClickTick]],TabCalc[Ticker],TabCalc[Agiotage])</f>
        <v>0.82918306541212305</v>
      </c>
      <c r="U30" s="759" t="str" cm="1">
        <f t="array" aca="1" ref="U3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8,036/8,036=&gt;1.9% / 0.6%</v>
      </c>
      <c r="V30" s="751" t="str">
        <f ca="1">_xlfn.XLOOKUP(TabTRADER[[#This Row],[ClickTick]],[1]!RTData[Ticker symbol],[1]!RTData[Currency])</f>
        <v>USD</v>
      </c>
      <c r="W30" s="761">
        <f ca="1">_xlfn.XLOOKUP(TabTRADER[[#This Row],[ClickTick]],TabCalc[Ticker],TabCalc[M])</f>
        <v>523.61</v>
      </c>
      <c r="X30" s="762" t="str">
        <f ca="1">SORTING!B30</f>
        <v>MSFT</v>
      </c>
      <c r="Y30" s="819">
        <f ca="1">_xlfn.XLOOKUP(TabTRADER[[#This Row],[ClickTick]],TabCalc[Ticker],TabCalc[Y])</f>
        <v>620.73689999999999</v>
      </c>
      <c r="Z30" s="835">
        <f ca="1">_xlfn.XLOOKUP(TabTRADER[[#This Row],[ClickTick]],[1]!RTData[Ticker symbol],[1]!RTData[YTChange])</f>
        <v>0.22689824880420603</v>
      </c>
      <c r="AA30" s="851">
        <f ca="1">-_xlfn.XLOOKUP(TabTRADER[[#This Row],[ClickTick]]&amp;2,Consolid!B$3:JZ$3,Consolid!B$4:JZ$4)</f>
        <v>333.98097959183673</v>
      </c>
      <c r="AB30" s="835" cm="1">
        <f t="array" aca="1" ref="AB30" ca="1">_xlfn.XLOOKUP(TabTRADER[[#This Row],[ClickTick]],ListTickers,Tab1ChangePercent[Change%19])</f>
        <v>1.8667E-2</v>
      </c>
      <c r="AC30" s="782">
        <f ca="1">_xlfn.XLOOKUP(TabTRADER[[#This Row],[ClickTick]],TabCalc[Ticker],TabCalc[NAfter])</f>
        <v>9800</v>
      </c>
      <c r="AD30"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^4,217/5,131 K$</v>
      </c>
      <c r="AE30" s="1299" t="str" cm="1">
        <f t="array" aca="1" ref="AE3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30" s="1281" t="str" cm="1">
        <f t="array" aca="1" ref="AF30" ca="1">_xlfn.IFS(       TabTRADER[[#This Row],[Traps]]=RePurchaseGain,TEXT(TabTRADER[[#This Row],[L_Sn]],"#,#0")&amp;" x "&amp;TEXT(TabTRADER[[#This Row],[L_Sp]],"#,#0.#0"),     TabTRADER[[#This Row],[Traps]]=ReSaleGain,TEXT(TabTRADER[[#This Row],[L_Bn]],"#0,#0")&amp;" x "&amp;TEXT(TabTRADER[[#This Row],[L_Bp]],"#,#0.#0"),               TRUE,"")</f>
        <v>150 x -513.83</v>
      </c>
      <c r="AG30" s="1281" cm="1">
        <f t="array" aca="1" ref="AG3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1463.1857999999959</v>
      </c>
      <c r="AH30" s="1281" t="str" cm="1">
        <f t="array" aca="1" ref="AH3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0" s="1281" cm="1">
        <f t="array" aca="1" ref="AI3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1463.1857999999959</v>
      </c>
      <c r="AJ30" s="1290" cm="1">
        <f t="array" aca="1" ref="AJ3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1.903353249129084E-2</v>
      </c>
      <c r="AK30" s="1290" t="str" cm="1">
        <f t="array" aca="1" ref="AK3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0" s="843" t="str" cm="1">
        <f t="array" aca="1" ref="AL30" ca="1">_xlfn.IFS(   TabTRADER[[#This Row],[Traps]]=SellMorePercentGain,                     MIN(TabTRADER[[#This Row],[L_Sn]],TabTRADER[[#This Row],[N]])*(TabTRADER[[#This Row],[M]]-TabTRADER[[#This Row],[L_Sp]])*(1-Commission)*TabTRADER[[#This Row],[Scale]],                    TRUE,"")</f>
        <v/>
      </c>
      <c r="AM30" s="1039">
        <f ca="1">_xlfn.XLOOKUP(TabTRADER[[#This Row],[ClickTick]],TabCalc[Ticker],TabCalc[Ann%RevLB])</f>
        <v>0.52708243822036172</v>
      </c>
      <c r="AN30" s="1038">
        <f ca="1">_xlfn.XLOOKUP(TabTRADER[[#This Row],[ClickTick]],TabCalc[Ticker],TabCalc[Up20])</f>
        <v>0.42857142857142855</v>
      </c>
      <c r="AO30" s="1291" t="str" cm="1">
        <f t="array" aca="1" ref="AO3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0" s="843" t="str" cm="1">
        <f t="array" aca="1" ref="AP30" ca="1">_xlfn.IFS(         TabTRADER[[#This Row],[Traps]]=MDown,TabTRADER[[#This Row],[L_Bn]]*TabTRADER[[#This Row],[M]]*(-(TabTRADER[[#This Row],[L_Bp]]+TabTRADER[[#This Row],[M]])/TabTRADER[[#This Row],[M]])*(1-Commission)*TabTRADER[[#This Row],[Scale]],                               TRUE,"")</f>
        <v/>
      </c>
      <c r="AQ30" s="1290" t="str" cm="1">
        <f t="array" aca="1" ref="AQ30" ca="1">_xlfn.IFS(   TabTRADER[[#This Row],[Traps]]=MUp,TabTRADER[[#This Row],[TakeGain_A]]-Commission,        TabTRADER[[#This Row],[Traps]]=MDown,(TabTRADER[[#This Row],[A]]-TabTRADER[[#This Row],[M]])/TabTRADER[[#This Row],[M]]-Commission,                              TRUE,"")</f>
        <v/>
      </c>
      <c r="AR30" s="843" cm="1">
        <f t="array" aca="1" ref="AR3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2905938.6357661416</v>
      </c>
      <c r="AS30" s="774" t="str" cm="1">
        <f t="array" aca="1" ref="AS3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0.4%</v>
      </c>
      <c r="AT30" s="748" t="str" cm="1">
        <f t="array" aca="1" ref="AT3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30" s="779" t="str" cm="1">
        <f t="array" aca="1" ref="AU30" ca="1">_xlfn.IFS(TabTRADER[[#This Row],[Traps]]=ReSaleGain,"",         TabTRADER[[#This Row],[Traps]]=MDown, (TabTRADER[[#This Row],[M]]-TabTRADER[[#This Row],[A]])/TabTRADER[[#This Row],[A]]*ComFactor,             TRUE, IFERROR((TabTRADER[[#This Row],[M]]-TabTRADER[[#This Row],[A]])/TabTRADER[[#This Row],[A]]*ComFactor,""))</f>
        <v/>
      </c>
      <c r="AV30" s="776" cm="1">
        <f t="array" aca="1" ref="AV30" ca="1">_xlfn.IFS(               TabTRADER[[#This Row],[Traps]]=NoStock,(TabTRADER[[#This Row],[L_Sp]]-TabTRADER[[#This Row],[M]])/TabTRADER[[#This Row],[M]]-Commission,             TabTRADER[[#This Row],[A]]&lt;&gt;0,(TabTRADER[[#This Row],[A]]-TabTRADER[[#This Row],[M]])/TabTRADER[[#This Row],[M]]-Commission)</f>
        <v>-0.36475698785004734</v>
      </c>
      <c r="AW30" s="326">
        <f ca="1">_xlfn.XLOOKUP(TabTRADER[[#This Row],[ClickTick]],TabCalc[Ticker],TabCalc[L_Sn])</f>
        <v>150</v>
      </c>
      <c r="AX30" s="740">
        <f ca="1">_xlfn.XLOOKUP(TabTRADER[[#This Row],[ClickTick]],TabCalc[Ticker],TabCalc[L_Sp])</f>
        <v>523.91999999999996</v>
      </c>
      <c r="AY30" s="778">
        <f ca="1">-IFERROR((TabTRADER[[#This Row],[M]]-TabTRADER[[#This Row],[L_Sp]])/TabTRADER[[#This Row],[L_Sp]],0)</f>
        <v>5.9169338830345364E-4</v>
      </c>
      <c r="AZ30" s="741">
        <f ca="1">TabTRADER[[#This Row],[L_Sn]]*(TabTRADER[[#This Row],[M]]-TabTRADER[[#This Row],[L_Sp]])*(1-Commission)*TabTRADER[[#This Row],[Scale]]</f>
        <v>-46.379099999991837</v>
      </c>
      <c r="BA30" s="701">
        <f ca="1">TabTRADER[[#This Row],[L_Sn]]*(TabTRADER[[#This Row],[Agiotage]]-TabTRADER[[#This Row],[M]])/(TabTRADER[[#This Row],[L_Bn]]*TabTRADER[[#This Row],[M]])</f>
        <v>-0.99841641094438205</v>
      </c>
      <c r="BB30" s="641">
        <f ca="1">IFERROR((TabTRADER[[#This Row],[M]]-TabTRADER[[#This Row],[A]])/TabTRADER[[#This Row],[A]],0)</f>
        <v>0.56778389188483669</v>
      </c>
      <c r="BC30" s="644" t="str">
        <f ca="1">TEXT(_xlfn.XLOOKUP(TabTRADER[[#This Row],[ClickTick]],TabCalc[Ticker],TabCalc[NAfter]),"#,#0")&amp;" : "&amp;TEXT(_xlfn.XLOOKUP(TabTRADER[[#This Row],[ClickTick]],TabCalc[Ticker],TabCalc[NAfter])*(TabTRADER[[#This Row],[M]]-TabTRADER[[#This Row],[A]])*(1-Commission)*TabTRADER[[#This Row],[Scale]],"#,#0$")</f>
        <v>9,800 : 1,853,533$</v>
      </c>
      <c r="BD30" s="693">
        <f ca="1">_xlfn.XLOOKUP(TabTRADER[[#This Row],[ClickTick]],TabCalc[[#This Row],[Ticker]],TabCalc[[#This Row],[GL]])*(1-Commission)</f>
        <v>4205963.5483440002</v>
      </c>
      <c r="BE30" s="693"/>
      <c r="BF30" s="675" t="str">
        <f ca="1">TabTRADER[[#This Row],[ClickTick]]&amp;": "&amp;_xlfn.XLOOKUP(TabTRADER[[#This Row],[ClickTick]],TabCalc[Ticker],TabCalc[Pile?])</f>
        <v xml:space="preserve">MSFT: </v>
      </c>
      <c r="BG30" s="353" t="s">
        <v>1978</v>
      </c>
      <c r="BH30" s="769" t="str" cm="1">
        <f t="array" aca="1" ref="BH30" ca="1">_xlfn.TEXTJOIN("",,INDEX({"M","A","Y"}, _xlfn.SORTBY({1,2,3}, -CHOOSE({1,2,3}, TabTRADER[[#This Row],[M]], TabTRADER[[#This Row],[A]], TabTRADER[[#This Row],[Agiotage]]))))</f>
        <v>MAY</v>
      </c>
      <c r="BI30" s="976" t="str" cm="1">
        <f t="array" aca="1" ref="BI3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0" s="688">
        <f ca="1">TabTRADER[[#This Row],[L_Sn]]*TabTRADER[[#This Row],[L_Sp]]+TabTRADER[[#This Row],[SellMore]]*TabTRADER[[#This Row],[M]]</f>
        <v>157129.5</v>
      </c>
      <c r="BK30" s="688">
        <f ca="1">INDEX(
  INDEX(TabConsolid[], , _xlfn.XMATCH(TabTRADER[[#This Row],[ClickTick]]&amp;1, TabConsolid[#Headers])),
  MATCH(
    -TabTRADER[[#This Row],[M]],
    INDEX(TabConsolid[], , _xlfn.XMATCH(TabTRADER[[#This Row],[ClickTick]]&amp;2, TabConsolid[#Headers])),
    -1
  )
)</f>
        <v>150</v>
      </c>
      <c r="BL30" s="688" cm="1">
        <f t="array" aca="1" ref="BL3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v>
      </c>
      <c r="BM30" s="1260">
        <f ca="1">TabTRADER[[#This Row],[ReBuy]]/(TabTRADER[[#This Row],[L_Sn]]+TabTRADER[[#This Row],[SellMore]])</f>
        <v>523.76499999999999</v>
      </c>
      <c r="BN30" s="696">
        <f ca="1">((_xlfn.XLOOKUP(TabTRADER[[#This Row],[ClickTick]],TabCalc[Ticker],TabCalc[NAfter])+TabTRADER[[#This Row],[L_Sn]])*(TabTRADER[[#This Row],[Agiotage]]-TabTRADER[[#This Row],[M]]))/(TabTRADER[[#This Row],[L_Sn]]*_xlfn.XLOOKUP(TabTRADER[[#This Row],[ClickTick]],TabCalc[Ticker],TabCalc[NAfter]))</f>
        <v>-3.5385504275504416</v>
      </c>
      <c r="BO30" s="696">
        <f ca="1">(TabTRADER[[#This Row],[M]]-TabTRADER[[#This Row],[Agiotage]])/(TabTRADER[[#This Row],[M]]-TabTRADER[[#This Row],[A]])-1</f>
        <v>1.756860821246339</v>
      </c>
      <c r="BP30" s="1388">
        <f ca="1">_xlfn.XMATCH(TabTRADER[[#This Row],[ClickTick]]&amp;1, TabConsolid[#Headers])</f>
        <v>86</v>
      </c>
      <c r="BQ30" t="b">
        <f ca="1">IF(ABS(TabTRADER[[#This Row],[L_Bp]])&gt;=TabTRADER[[#This Row],[M]],"OK")</f>
        <v>0</v>
      </c>
    </row>
    <row r="31" spans="1:69" ht="22" customHeight="1">
      <c r="A31" s="225">
        <f ca="1">IF(_xlfn.XLOOKUP(TabTRADER[[#This Row],[ClickTick]],TabCalc[Ticker],TabCalc[Cur])="GBp",0.01,1)</f>
        <v>1</v>
      </c>
      <c r="B3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-71x4000=    +5,364 USD</v>
      </c>
      <c r="C31"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15.9%</v>
      </c>
      <c r="D31" s="697" t="str" cm="1">
        <f t="array" aca="1" ref="D3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373/400=31,474</v>
      </c>
      <c r="E31" s="765" t="str">
        <f ca="1">IF(      AND(TabTRADER[[#This Row],[A]]&lt;TabTRADER[[#This Row],[M]],    _xlfn.XLOOKUP(TabTRADER[[#This Row],[ClickTick]],TabCalc[Ticker],TabCalc[L_Sp])&gt;TabTRADER[[#This Row],[M]]),"BUY  "&amp;TEXT(DesiredBuyGain/TabTRADER[[#This Row],[Scale]]/(_xlfn.XLOOKUP(TabTRADER[[#This Row],[ClickTick]],TabCalc[Ticker],TabCalc[L_Sp])-TabTRADER[[#This Row],[M]]),"#,##0"),"")</f>
        <v>BUY  16,949</v>
      </c>
      <c r="F31" s="228" t="str">
        <f ca="1">TRUNC(TabCalc[[#This Row],[L_B1p]],2)&amp;"x"&amp;TabCalc[[#This Row],[L_B1n]]&amp;"=   "&amp;TEXT(TabCalc[[#This Row],[ReverseS1]],"#,#0")&amp;"$"</f>
        <v>-72.56x3000=   4,740$</v>
      </c>
      <c r="G31" s="227" t="str">
        <f ca="1">IFERROR(TRUNC(_xlfn.XLOOKUP(TabTRADER[[#This Row],[ClickTick]],TabCalc[Ticker],ListLastSalep),2)&amp;"x"&amp;_xlfn.XLOOKUP(TabTRADER[[#This Row],[ClickTick]],TabCalc[Ticker],ListLastSalen)&amp;"=   "&amp;TEXT(-_xlfn.XLOOKUP(TabTRADER[[#This Row],[ClickTick]],TabCalc[Ticker],ListReverseB),"#,#0")&amp;"$","")</f>
        <v>84.7x300=   -89$</v>
      </c>
      <c r="H3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0.3% = 16,949</v>
      </c>
      <c r="I31" s="228" t="str">
        <f ca="1">IFERROR(TRUNC(TabCalc[[#This Row],[L_S1p]],2)&amp;"x"&amp;TabCalc[[#This Row],[L_S1n]]&amp;"=   "&amp;TEXT(TabCalc[[#This Row],[ReverseB1]],"#,#0"),"")</f>
        <v>81.84x500=   -1,285</v>
      </c>
      <c r="J31" s="297">
        <f ca="1">_xlfn.XLOOKUP(TabTRADER[[#This Row],[ClickTick]],TabCalc[Ticker],ListGravity)</f>
        <v>1.0036988508470559</v>
      </c>
      <c r="K31" s="324" t="str" cm="1">
        <f t="array" aca="1" ref="K31" ca="1">IF(_xlfn.XLOOKUP(TabTRADER[[#This Row],[ClickTick]],TabTRADER[ClickTick],ListExtra_n)&gt;0,_xlfn.XLOOKUP(TabTRADER[[#This Row],[ClickTick]],TabTRADER[ClickTick],ListExtra_n),"")</f>
        <v/>
      </c>
      <c r="L31" s="322" t="str">
        <f ca="1">IF(_xlfn.XLOOKUP(TabTRADER[[#This Row],[ClickTick]],TabCalc[Ticker],ListExtra_n)&gt;0,_xlfn.XLOOKUP(TabTRADER[[#This Row],[ClickTick]],TabCalc[Ticker],ListExtra_n)*TabTRADER[[#This Row],[M]]*_xlfn.XLOOKUP(TabTRADER[[#This Row],[ClickTick]],TabCalc[Ticker],ListScale),"")</f>
        <v/>
      </c>
      <c r="M31" s="325">
        <f ca="1">_xlfn.XLOOKUP(TabTRADER[[#This Row],[ClickTick]],TabCalc[Ticker],TabCalc[Agiotage])</f>
        <v>0.61039410669672867</v>
      </c>
      <c r="N31" s="326" cm="1">
        <f t="array" aca="1" ref="N31" ca="1">_xlfn.XLOOKUP(TabTRADER[[#This Row],[ClickTick]],ListTickers,Tab2RSIConventional[RSIConv20])</f>
        <v>50</v>
      </c>
      <c r="O31" s="712" t="str">
        <f ca="1">TEXT(_xlfn.XLOOKUP(TabTRADER[[#This Row],[ClickTick]],TabCalc[Ticker],TabCalc[Nbegin]),"#,#0")&amp;": "&amp;_xlfn.XLOOKUP(TabTRADER[[#This Row],[ClickTick]],TabCalc[Ticker],TabCalc[Pile?])</f>
        <v xml:space="preserve">4,200: </v>
      </c>
      <c r="P31" s="746">
        <f ca="1">_xlfn.XLOOKUP(TabTRADER[[#This Row],[ClickTick]],TabCalc[Ticker],TabCalc[L_Bn])</f>
        <v>4000</v>
      </c>
      <c r="Q31" s="690">
        <f ca="1">_xlfn.XLOOKUP(TabTRADER[[#This Row],[ClickTick]],TabCalc[Ticker],TabCalc[L_Bp])</f>
        <v>-71.000443000000004</v>
      </c>
      <c r="R31" s="778">
        <f ca="1">(TabTRADER[[#This Row],[M]]+TabTRADER[[#This Row],[L_Bp]])/ABS(TabTRADER[[#This Row],[L_Bp]])</f>
        <v>0.18886582158367649</v>
      </c>
      <c r="S31" s="692">
        <f ca="1">_xlfn.XLOOKUP(TabTRADER[[#This Row],[ClickTick]],TabCalc[Ticker],TabCalc[Rev(MinStock)])*(1-Commission)</f>
        <v>5349.8768607199972</v>
      </c>
      <c r="T31" s="798">
        <f ca="1">_xlfn.XLOOKUP(TabTRADER[[#This Row],[ClickTick]],TabCalc[Ticker],TabCalc[Agiotage])</f>
        <v>0.61039410669672867</v>
      </c>
      <c r="U31" s="759" t="str" cm="1">
        <f t="array" aca="1" ref="U3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332/332=&gt;0.6% / 1.4%</v>
      </c>
      <c r="V31" s="751" t="str">
        <f ca="1">_xlfn.XLOOKUP(TabTRADER[[#This Row],[ClickTick]],[1]!RTData[Ticker symbol],[1]!RTData[Currency])</f>
        <v>USD</v>
      </c>
      <c r="W31" s="761">
        <f ca="1">_xlfn.XLOOKUP(TabTRADER[[#This Row],[ClickTick]],TabCalc[Ticker],TabCalc[M])</f>
        <v>84.41</v>
      </c>
      <c r="X31" s="762" t="str">
        <f ca="1">SORTING!B31</f>
        <v>NEE</v>
      </c>
      <c r="Y31" s="819">
        <f ca="1">_xlfn.XLOOKUP(TabTRADER[[#This Row],[ClickTick]],TabCalc[Ticker],TabCalc[Y])</f>
        <v>84.722219999999993</v>
      </c>
      <c r="Z31" s="835">
        <f ca="1">_xlfn.XLOOKUP(TabTRADER[[#This Row],[ClickTick]],[1]!RTData[Ticker symbol],[1]!RTData[YTChange])</f>
        <v>4.4663625154130693E-2</v>
      </c>
      <c r="AA31" s="851">
        <f ca="1">-_xlfn.XLOOKUP(TabTRADER[[#This Row],[ClickTick]]&amp;2,Consolid!B$3:JZ$3,Consolid!B$4:JZ$4)</f>
        <v>71.000443000000004</v>
      </c>
      <c r="AB31" s="835" cm="1">
        <f t="array" aca="1" ref="AB31" ca="1">_xlfn.XLOOKUP(TabTRADER[[#This Row],[ClickTick]],ListTickers,Tab1ChangePercent[Change%19])</f>
        <v>5.8589999999999996E-3</v>
      </c>
      <c r="AC31" s="782">
        <f ca="1">_xlfn.XLOOKUP(TabTRADER[[#This Row],[ClickTick]],TabCalc[Ticker],TabCalc[NAfter])</f>
        <v>400</v>
      </c>
      <c r="AD31"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^68/34 K$</v>
      </c>
      <c r="AE31" s="1299" t="str" cm="1">
        <f t="array" aca="1" ref="AE3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31" s="1281" t="str" cm="1">
        <f t="array" aca="1" ref="AF31" ca="1">_xlfn.IFS(       TabTRADER[[#This Row],[Traps]]=RePurchaseGain,TEXT(TabTRADER[[#This Row],[L_Sn]],"#,#0")&amp;" x "&amp;TEXT(TabTRADER[[#This Row],[L_Sp]],"#,#0.#0"),     TabTRADER[[#This Row],[Traps]]=ReSaleGain,TEXT(TabTRADER[[#This Row],[L_Bn]],"#0,#0")&amp;" x "&amp;TEXT(TabTRADER[[#This Row],[L_Bp]],"#,#0.#0"),               TRUE,"")</f>
        <v>300 x 84.71</v>
      </c>
      <c r="AG31" s="1281" cm="1">
        <f t="array" aca="1" ref="AG3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88.269900000000504</v>
      </c>
      <c r="AH31" s="1281" t="str" cm="1">
        <f t="array" aca="1" ref="AH3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1" s="1281" cm="1">
        <f t="array" aca="1" ref="AI3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88.269900000000504</v>
      </c>
      <c r="AJ31" s="1290" cm="1">
        <f t="array" aca="1" ref="AJ3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3.4826751667552296E-3</v>
      </c>
      <c r="AK31" s="1290" t="str" cm="1">
        <f t="array" aca="1" ref="AK3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1" s="843" t="str" cm="1">
        <f t="array" aca="1" ref="AL31" ca="1">_xlfn.IFS(   TabTRADER[[#This Row],[Traps]]=SellMorePercentGain,                     MIN(TabTRADER[[#This Row],[L_Sn]],TabTRADER[[#This Row],[N]])*(TabTRADER[[#This Row],[M]]-TabTRADER[[#This Row],[L_Sp]])*(1-Commission)*TabTRADER[[#This Row],[Scale]],                    TRUE,"")</f>
        <v/>
      </c>
      <c r="AM31" s="1039">
        <f ca="1">_xlfn.XLOOKUP(TabTRADER[[#This Row],[ClickTick]],TabCalc[Ticker],TabCalc[Ann%RevLB])</f>
        <v>1.4780803428287725</v>
      </c>
      <c r="AN31" s="1038">
        <f ca="1">_xlfn.XLOOKUP(TabTRADER[[#This Row],[ClickTick]],TabCalc[Ticker],TabCalc[Up20])</f>
        <v>0.5</v>
      </c>
      <c r="AO31" s="1291" t="str" cm="1">
        <f t="array" aca="1" ref="AO3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1" s="843" t="str" cm="1">
        <f t="array" aca="1" ref="AP31" ca="1">_xlfn.IFS(         TabTRADER[[#This Row],[Traps]]=MDown,TabTRADER[[#This Row],[L_Bn]]*TabTRADER[[#This Row],[M]]*(-(TabTRADER[[#This Row],[L_Bp]]+TabTRADER[[#This Row],[M]])/TabTRADER[[#This Row],[M]])*(1-Commission)*TabTRADER[[#This Row],[Scale]],                               TRUE,"")</f>
        <v/>
      </c>
      <c r="AQ31" s="1290" t="str" cm="1">
        <f t="array" aca="1" ref="AQ31" ca="1">_xlfn.IFS(   TabTRADER[[#This Row],[Traps]]=MUp,TabTRADER[[#This Row],[TakeGain_A]]-Commission,        TabTRADER[[#This Row],[Traps]]=MDown,(TabTRADER[[#This Row],[A]]-TabTRADER[[#This Row],[M]])/TabTRADER[[#This Row],[M]]-Commission,                              TRUE,"")</f>
        <v/>
      </c>
      <c r="AR31" s="843" cm="1">
        <f t="array" aca="1" ref="AR3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5349.8768607199972</v>
      </c>
      <c r="AS31" s="774" t="str" cm="1">
        <f t="array" aca="1" ref="AS3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-1.0%</v>
      </c>
      <c r="AT31" s="748" t="str" cm="1">
        <f t="array" aca="1" ref="AT3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31" s="779" cm="1">
        <f t="array" aca="1" ref="AU31" ca="1">_xlfn.IFS(TabTRADER[[#This Row],[Traps]]=ReSaleGain,"",         TabTRADER[[#This Row],[Traps]]=MDown, (TabTRADER[[#This Row],[M]]-TabTRADER[[#This Row],[A]])/TabTRADER[[#This Row],[A]]*ComFactor,             TRUE, IFERROR((TabTRADER[[#This Row],[M]]-TabTRADER[[#This Row],[A]])/TabTRADER[[#This Row],[A]]*ComFactor,""))</f>
        <v>0.18837477044755893</v>
      </c>
      <c r="AV31" s="776" cm="1">
        <f t="array" aca="1" ref="AV31" ca="1">_xlfn.IFS(               TabTRADER[[#This Row],[Traps]]=NoStock,(TabTRADER[[#This Row],[L_Sp]]-TabTRADER[[#This Row],[M]])/TabTRADER[[#This Row],[M]]-Commission,             TabTRADER[[#This Row],[A]]&lt;&gt;0,(TabTRADER[[#This Row],[A]]-TabTRADER[[#This Row],[M]])/TabTRADER[[#This Row],[M]]-Commission)</f>
        <v>-0.16146218457528719</v>
      </c>
      <c r="AW31" s="326">
        <f ca="1">_xlfn.XLOOKUP(TabTRADER[[#This Row],[ClickTick]],TabCalc[Ticker],TabCalc[L_Sn])</f>
        <v>300</v>
      </c>
      <c r="AX31" s="740">
        <f ca="1">_xlfn.XLOOKUP(TabTRADER[[#This Row],[ClickTick]],TabCalc[Ticker],TabCalc[L_Sp])</f>
        <v>84.704999999999998</v>
      </c>
      <c r="AY31" s="778">
        <f ca="1">-IFERROR((TabTRADER[[#This Row],[M]]-TabTRADER[[#This Row],[L_Sp]])/TabTRADER[[#This Row],[L_Sp]],0)</f>
        <v>3.4826751667552296E-3</v>
      </c>
      <c r="AZ31" s="741">
        <f ca="1">TabTRADER[[#This Row],[L_Sn]]*(TabTRADER[[#This Row],[M]]-TabTRADER[[#This Row],[L_Sp]])*(1-Commission)*TabTRADER[[#This Row],[Scale]]</f>
        <v>-88.269900000000504</v>
      </c>
      <c r="BA31" s="701">
        <f ca="1">TabTRADER[[#This Row],[L_Sn]]*(TabTRADER[[#This Row],[Agiotage]]-TabTRADER[[#This Row],[M]])/(TabTRADER[[#This Row],[L_Bn]]*TabTRADER[[#This Row],[M]])</f>
        <v>-7.4457652434518962E-2</v>
      </c>
      <c r="BB31" s="641">
        <f ca="1">IFERROR((TabTRADER[[#This Row],[M]]-TabTRADER[[#This Row],[A]])/TabTRADER[[#This Row],[A]],0)</f>
        <v>0.18886582158367649</v>
      </c>
      <c r="BC31" s="644" t="str">
        <f ca="1">TEXT(_xlfn.XLOOKUP(TabTRADER[[#This Row],[ClickTick]],TabCalc[Ticker],TabCalc[NAfter]),"#,#0")&amp;" : "&amp;TEXT(_xlfn.XLOOKUP(TabTRADER[[#This Row],[ClickTick]],TabCalc[Ticker],TabCalc[NAfter])*(TabTRADER[[#This Row],[M]]-TabTRADER[[#This Row],[A]])*(1-Commission)*TabTRADER[[#This Row],[Scale]],"#,#0$")</f>
        <v>400 : 5,350$</v>
      </c>
      <c r="BD31" s="693">
        <f ca="1">_xlfn.XLOOKUP(TabTRADER[[#This Row],[ClickTick]],TabCalc[[#This Row],[Ticker]],TabCalc[[#This Row],[GL]])*(1-Commission)</f>
        <v>67555.918742799971</v>
      </c>
      <c r="BE31" s="693"/>
      <c r="BF31" s="675" t="str">
        <f ca="1">TabTRADER[[#This Row],[ClickTick]]&amp;": "&amp;_xlfn.XLOOKUP(TabTRADER[[#This Row],[ClickTick]],TabCalc[Ticker],TabCalc[Pile?])</f>
        <v xml:space="preserve">NEE: </v>
      </c>
      <c r="BG31" s="353" t="s">
        <v>1983</v>
      </c>
      <c r="BH31" s="769" t="str" cm="1">
        <f t="array" aca="1" ref="BH31" ca="1">_xlfn.TEXTJOIN("",,INDEX({"M","A","Y"}, _xlfn.SORTBY({1,2,3}, -CHOOSE({1,2,3}, TabTRADER[[#This Row],[M]], TabTRADER[[#This Row],[A]], TabTRADER[[#This Row],[Agiotage]]))))</f>
        <v>MAY</v>
      </c>
      <c r="BI31" s="976" t="str" cm="1">
        <f t="array" aca="1" ref="BI3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1" s="688">
        <f ca="1">TabTRADER[[#This Row],[L_Sn]]*TabTRADER[[#This Row],[L_Sp]]+TabTRADER[[#This Row],[SellMore]]*TabTRADER[[#This Row],[M]]</f>
        <v>59175.5</v>
      </c>
      <c r="BK31" s="688">
        <f ca="1">INDEX(
  INDEX(TabConsolid[], , _xlfn.XMATCH(TabTRADER[[#This Row],[ClickTick]]&amp;1, TabConsolid[#Headers])),
  MATCH(
    -TabTRADER[[#This Row],[M]],
    INDEX(TabConsolid[], , _xlfn.XMATCH(TabTRADER[[#This Row],[ClickTick]]&amp;2, TabConsolid[#Headers])),
    -1
  )
)</f>
        <v>400</v>
      </c>
      <c r="BL31" s="688" cm="1">
        <f t="array" aca="1" ref="BL3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31" s="1260">
        <f ca="1">TabTRADER[[#This Row],[ReBuy]]/(TabTRADER[[#This Row],[L_Sn]]+TabTRADER[[#This Row],[SellMore]])</f>
        <v>84.536428571428573</v>
      </c>
      <c r="BN31" s="696">
        <f ca="1">((_xlfn.XLOOKUP(TabTRADER[[#This Row],[ClickTick]],TabCalc[Ticker],TabCalc[NAfter])+TabTRADER[[#This Row],[L_Sn]])*(TabTRADER[[#This Row],[Agiotage]]-TabTRADER[[#This Row],[M]]))/(TabTRADER[[#This Row],[L_Sn]]*_xlfn.XLOOKUP(TabTRADER[[#This Row],[ClickTick]],TabCalc[Ticker],TabCalc[NAfter]))</f>
        <v>-0.48883103437760239</v>
      </c>
      <c r="BO31" s="696">
        <f ca="1">(TabTRADER[[#This Row],[M]]-TabTRADER[[#This Row],[Agiotage]])/(TabTRADER[[#This Row],[M]]-TabTRADER[[#This Row],[A]])-1</f>
        <v>5.2492449148993749</v>
      </c>
      <c r="BP31" s="1388">
        <f ca="1">_xlfn.XMATCH(TabTRADER[[#This Row],[ClickTick]]&amp;1, TabConsolid[#Headers])</f>
        <v>89</v>
      </c>
      <c r="BQ31" t="b">
        <f ca="1">IF(ABS(TabTRADER[[#This Row],[L_Bp]])&gt;=TabTRADER[[#This Row],[M]],"OK")</f>
        <v>0</v>
      </c>
    </row>
    <row r="32" spans="1:69" ht="22" hidden="1" customHeight="1">
      <c r="A32" s="225">
        <f ca="1">IF(_xlfn.XLOOKUP(TabTRADER[[#This Row],[ClickTick]],TabCalc[Ticker],TabCalc[Cur])="GBp",0.01,1)</f>
        <v>1</v>
      </c>
      <c r="B3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-83.5x2000=    -263 USD</v>
      </c>
      <c r="C32"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-0.2%</v>
      </c>
      <c r="D32" s="697" t="str" cm="1">
        <f t="array" aca="1" ref="D3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2" s="765" t="str">
        <f ca="1">IF(      AND(TabTRADER[[#This Row],[A]]&lt;TabTRADER[[#This Row],[M]],    _xlfn.XLOOKUP(TabTRADER[[#This Row],[ClickTick]],TabCalc[Ticker],TabCalc[L_Sp])&gt;TabTRADER[[#This Row],[M]]),"BUY  "&amp;TEXT(DesiredBuyGain/TabTRADER[[#This Row],[Scale]]/(_xlfn.XLOOKUP(TabTRADER[[#This Row],[ClickTick]],TabCalc[Ticker],TabCalc[L_Sp])-TabTRADER[[#This Row],[M]]),"#,##0"),"")</f>
        <v>BUY  461</v>
      </c>
      <c r="F32" s="228" t="str">
        <f ca="1">TRUNC(TabCalc[[#This Row],[L_B1p]],2)&amp;"x"&amp;TabCalc[[#This Row],[L_B1n]]&amp;"=   "&amp;TEXT(TabCalc[[#This Row],[ReverseS1]],"#,#0")&amp;"$"</f>
        <v>-86.41x2000=   -6,080$</v>
      </c>
      <c r="G32" s="227" t="str">
        <f ca="1">IFERROR(TRUNC(_xlfn.XLOOKUP(TabTRADER[[#This Row],[ClickTick]],TabCalc[Ticker],ListLastSalep),2)&amp;"x"&amp;_xlfn.XLOOKUP(TabTRADER[[#This Row],[ClickTick]],TabCalc[Ticker],ListLastSalen)&amp;"=   "&amp;TEXT(-_xlfn.XLOOKUP(TabTRADER[[#This Row],[ClickTick]],TabCalc[Ticker],ListReverseB),"#,#0")&amp;"$","")</f>
        <v>94.22x1000=   -10,850$</v>
      </c>
      <c r="H3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13.0% = 461</v>
      </c>
      <c r="I32" s="228" t="str">
        <f ca="1">IFERROR(TRUNC(TabCalc[[#This Row],[L_S1p]],2)&amp;"x"&amp;TabCalc[[#This Row],[L_S1n]]&amp;"=   "&amp;TEXT(TabCalc[[#This Row],[ReverseB1]],"#,#0"),"")</f>
        <v>85.32x200=   390</v>
      </c>
      <c r="J32" s="297">
        <f ca="1">_xlfn.XLOOKUP(TabTRADER[[#This Row],[ClickTick]],TabCalc[Ticker],ListGravity)</f>
        <v>1.0940326256447164</v>
      </c>
      <c r="K32" s="324" cm="1">
        <f t="array" aca="1" ref="K32" ca="1">IF(_xlfn.XLOOKUP(TabTRADER[[#This Row],[ClickTick]],TabTRADER[ClickTick],ListExtra_n)&gt;0,_xlfn.XLOOKUP(TabTRADER[[#This Row],[ClickTick]],TabTRADER[ClickTick],ListExtra_n),"")</f>
        <v>2000</v>
      </c>
      <c r="L32" s="322">
        <f ca="1">IF(_xlfn.XLOOKUP(TabTRADER[[#This Row],[ClickTick]],TabCalc[Ticker],ListExtra_n)&gt;0,_xlfn.XLOOKUP(TabTRADER[[#This Row],[ClickTick]],TabCalc[Ticker],ListExtra_n)*TabTRADER[[#This Row],[M]]*_xlfn.XLOOKUP(TabTRADER[[#This Row],[ClickTick]],TabCalc[Ticker],ListScale),"")</f>
        <v>166740</v>
      </c>
      <c r="M32" s="325">
        <f ca="1">_xlfn.XLOOKUP(TabTRADER[[#This Row],[ClickTick]],TabCalc[Ticker],TabCalc[Agiotage])</f>
        <v>1.6303912010571617</v>
      </c>
      <c r="N32" s="326" cm="1">
        <f t="array" aca="1" ref="N32" ca="1">_xlfn.XLOOKUP(TabTRADER[[#This Row],[ClickTick]],ListTickers,Tab2RSIConventional[RSIConv20])</f>
        <v>43</v>
      </c>
      <c r="O32" s="712" t="str">
        <f ca="1">TEXT(_xlfn.XLOOKUP(TabTRADER[[#This Row],[ClickTick]],TabCalc[Ticker],TabCalc[Nbegin]),"#,#0")&amp;": "&amp;_xlfn.XLOOKUP(TabTRADER[[#This Row],[ClickTick]],TabCalc[Ticker],TabCalc[Pile?])</f>
        <v xml:space="preserve">15,000: </v>
      </c>
      <c r="P32" s="323">
        <f ca="1">_xlfn.XLOOKUP(TabTRADER[[#This Row],[ClickTick]],TabCalc[Ticker],TabCalc[L_Bn])</f>
        <v>2000</v>
      </c>
      <c r="Q32" s="690">
        <f ca="1">_xlfn.XLOOKUP(TabTRADER[[#This Row],[ClickTick]],TabCalc[Ticker],TabCalc[L_Bp])</f>
        <v>-83.501670000000004</v>
      </c>
      <c r="R32" s="778">
        <f ca="1">(TabTRADER[[#This Row],[M]]+TabTRADER[[#This Row],[L_Bp]])/ABS(TabTRADER[[#This Row],[L_Bp]])</f>
        <v>-1.5768546904510979E-3</v>
      </c>
      <c r="S32" s="692">
        <f ca="1">_xlfn.XLOOKUP(TabTRADER[[#This Row],[ClickTick]],TabCalc[Ticker],TabCalc[Rev(MinStock)])*(1-Commission)</f>
        <v>-262.65531599999946</v>
      </c>
      <c r="T32" s="798">
        <f ca="1">_xlfn.XLOOKUP(TabTRADER[[#This Row],[ClickTick]],TabCalc[Ticker],TabCalc[Agiotage])</f>
        <v>1.6303912010571617</v>
      </c>
      <c r="U32" s="759" t="str" cm="1">
        <f t="array" aca="1" ref="U3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14,110/14,110=&gt;1.4% / -6.2%</v>
      </c>
      <c r="V32" s="751" t="str">
        <f ca="1">_xlfn.XLOOKUP(TabTRADER[[#This Row],[ClickTick]],[1]!RTData[Ticker symbol],[1]!RTData[Currency])</f>
        <v>USD</v>
      </c>
      <c r="W32" s="761">
        <f ca="1">_xlfn.XLOOKUP(TabTRADER[[#This Row],[ClickTick]],TabCalc[Ticker],TabCalc[M])</f>
        <v>83.37</v>
      </c>
      <c r="X32" s="762" t="str">
        <f ca="1">SORTING!B32</f>
        <v>NEM</v>
      </c>
      <c r="Y32" s="819">
        <f ca="1">_xlfn.XLOOKUP(TabTRADER[[#This Row],[ClickTick]],TabCalc[Ticker],TabCalc[Y])</f>
        <v>91.209500000000006</v>
      </c>
      <c r="Z32" s="835">
        <f ca="1">_xlfn.XLOOKUP(TabTRADER[[#This Row],[ClickTick]],[1]!RTData[Ticker symbol],[1]!RTData[YTChange])</f>
        <v>0.53267518064190911</v>
      </c>
      <c r="AA32" s="851">
        <f ca="1">-_xlfn.XLOOKUP(TabTRADER[[#This Row],[ClickTick]]&amp;2,Consolid!B$3:JZ$3,Consolid!B$4:JZ$4)</f>
        <v>51.007316666666668</v>
      </c>
      <c r="AB32" s="835" cm="1">
        <f t="array" aca="1" ref="AB32" ca="1">_xlfn.XLOOKUP(TabTRADER[[#This Row],[ClickTick]],ListTickers,Tab1ChangePercent[Change%19])</f>
        <v>1.3934E-2</v>
      </c>
      <c r="AC32" s="782">
        <f ca="1">_xlfn.XLOOKUP(TabTRADER[[#This Row],[ClickTick]],TabCalc[Ticker],TabCalc[NAfter])</f>
        <v>17000</v>
      </c>
      <c r="AD32"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^1,171/1,417 K$</v>
      </c>
      <c r="AE32" s="1299" t="str" cm="1">
        <f t="array" aca="1" ref="AE3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2" s="1281" t="str" cm="1">
        <f t="array" aca="1" ref="AF32" ca="1">_xlfn.IFS(       TabTRADER[[#This Row],[Traps]]=RePurchaseGain,TEXT(TabTRADER[[#This Row],[L_Sn]],"#,#0")&amp;" x "&amp;TEXT(TabTRADER[[#This Row],[L_Sp]],"#,#0.#0"),     TabTRADER[[#This Row],[Traps]]=ReSaleGain,TEXT(TabTRADER[[#This Row],[L_Bn]],"#0,#0")&amp;" x "&amp;TEXT(TabTRADER[[#This Row],[L_Bp]],"#,#0.#0"),               TRUE,"")</f>
        <v/>
      </c>
      <c r="AG32" s="1281" t="str" cm="1">
        <f t="array" aca="1" ref="AG3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2,000 x -83.50</v>
      </c>
      <c r="AH32" s="1281" cm="1">
        <f t="array" aca="1" ref="AH3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262.65531599999946</v>
      </c>
      <c r="AI32" s="1281" cm="1">
        <f t="array" aca="1" ref="AI3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1417290</v>
      </c>
      <c r="AJ32" s="1290" cm="1">
        <f t="array" aca="1" ref="AJ3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-0.63447139446334333</v>
      </c>
      <c r="AK32" s="1290" cm="1">
        <f t="array" aca="1" ref="AK3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-1.0206549118387941E-3</v>
      </c>
      <c r="AL32" s="843" t="str" cm="1">
        <f t="array" aca="1" ref="AL32" ca="1">_xlfn.IFS(   TabTRADER[[#This Row],[Traps]]=SellMorePercentGain,                     MIN(TabTRADER[[#This Row],[L_Sn]],TabTRADER[[#This Row],[N]])*(TabTRADER[[#This Row],[M]]-TabTRADER[[#This Row],[L_Sp]])*(1-Commission)*TabTRADER[[#This Row],[Scale]],                    TRUE,"")</f>
        <v/>
      </c>
      <c r="AM32" s="1039">
        <f ca="1">_xlfn.XLOOKUP(TabTRADER[[#This Row],[ClickTick]],TabCalc[Ticker],TabCalc[Ann%RevLB])</f>
        <v>-0.28383384428119762</v>
      </c>
      <c r="AN32" s="1038">
        <f ca="1">_xlfn.XLOOKUP(TabTRADER[[#This Row],[ClickTick]],TabCalc[Ticker],TabCalc[Up20])</f>
        <v>0</v>
      </c>
      <c r="AO32" s="1291" cm="1">
        <f t="array" aca="1" ref="AO3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1.5793450881612058E-3</v>
      </c>
      <c r="AP32" s="843" cm="1">
        <f t="array" aca="1" ref="AP32" ca="1">_xlfn.IFS(         TabTRADER[[#This Row],[Traps]]=MDown,TabTRADER[[#This Row],[L_Bn]]*TabTRADER[[#This Row],[M]]*(-(TabTRADER[[#This Row],[L_Bp]]+TabTRADER[[#This Row],[M]])/TabTRADER[[#This Row],[M]])*(1-Commission)*TabTRADER[[#This Row],[Scale]],                               TRUE,"")</f>
        <v>262.65531599999946</v>
      </c>
      <c r="AQ32" s="1290" cm="1">
        <f t="array" aca="1" ref="AQ32" ca="1">_xlfn.IFS(   TabTRADER[[#This Row],[Traps]]=MUp,TabTRADER[[#This Row],[TakeGain_A]]-Commission,        TabTRADER[[#This Row],[Traps]]=MDown,(TabTRADER[[#This Row],[A]]-TabTRADER[[#This Row],[M]])/TabTRADER[[#This Row],[M]]-Commission,                              TRUE,"")</f>
        <v>-0.3907814001839191</v>
      </c>
      <c r="AR32" s="774" cm="1">
        <f t="array" aca="1" ref="AR3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-548735.1860633333</v>
      </c>
      <c r="AS32" s="774" t="str" cm="1">
        <f t="array" aca="1" ref="AS3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-1.7%</v>
      </c>
      <c r="AT32" s="748" cm="1">
        <f t="array" aca="1" ref="AT3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-0.13</v>
      </c>
      <c r="AU32" s="779" cm="1">
        <f t="array" aca="1" ref="AU32" ca="1">_xlfn.IFS(TabTRADER[[#This Row],[Traps]]=ReSaleGain,"",         TabTRADER[[#This Row],[Traps]]=MDown, (TabTRADER[[#This Row],[M]]-TabTRADER[[#This Row],[A]])/TabTRADER[[#This Row],[A]]*ComFactor,             TRUE, IFERROR((TabTRADER[[#This Row],[M]]-TabTRADER[[#This Row],[A]])/TabTRADER[[#This Row],[A]]*ComFactor,""))</f>
        <v>0.63282176883773866</v>
      </c>
      <c r="AV32" s="776" cm="1">
        <f t="array" aca="1" ref="AV32" ca="1">_xlfn.IFS(               TabTRADER[[#This Row],[Traps]]=NoStock,(TabTRADER[[#This Row],[L_Sp]]-TabTRADER[[#This Row],[M]])/TabTRADER[[#This Row],[M]]-Commission,             TabTRADER[[#This Row],[A]]&lt;&gt;0,(TabTRADER[[#This Row],[A]]-TabTRADER[[#This Row],[M]])/TabTRADER[[#This Row],[M]]-Commission)</f>
        <v>-0.3907814001839191</v>
      </c>
      <c r="AW32" s="326">
        <f ca="1">_xlfn.XLOOKUP(TabTRADER[[#This Row],[ClickTick]],TabCalc[Ticker],TabCalc[L_Sn])</f>
        <v>1000</v>
      </c>
      <c r="AX32" s="740">
        <f ca="1">_xlfn.XLOOKUP(TabTRADER[[#This Row],[ClickTick]],TabCalc[Ticker],TabCalc[L_Sp])</f>
        <v>94.22</v>
      </c>
      <c r="AY32" s="778">
        <f ca="1">-IFERROR((TabTRADER[[#This Row],[M]]-TabTRADER[[#This Row],[L_Sp]])/TabTRADER[[#This Row],[L_Sp]],0)</f>
        <v>0.11515601783060915</v>
      </c>
      <c r="AZ32" s="741">
        <f ca="1">TabTRADER[[#This Row],[L_Sn]]*(TabTRADER[[#This Row],[M]]-TabTRADER[[#This Row],[L_Sp]])*(1-Commission)*TabTRADER[[#This Row],[Scale]]</f>
        <v>-10821.789999999994</v>
      </c>
      <c r="BA32" s="701">
        <f ca="1">TabTRADER[[#This Row],[L_Sn]]*(TabTRADER[[#This Row],[Agiotage]]-TabTRADER[[#This Row],[M]])/(TabTRADER[[#This Row],[L_Bn]]*TabTRADER[[#This Row],[M]])</f>
        <v>-0.49022195513339833</v>
      </c>
      <c r="BB32" s="641">
        <f ca="1">IFERROR((TabTRADER[[#This Row],[M]]-TabTRADER[[#This Row],[A]])/TabTRADER[[#This Row],[A]],0)</f>
        <v>0.63447139446334333</v>
      </c>
      <c r="BC32" s="644" t="str">
        <f ca="1">TEXT(_xlfn.XLOOKUP(TabTRADER[[#This Row],[ClickTick]],TabCalc[Ticker],TabCalc[NAfter]),"#,#0")&amp;" : "&amp;TEXT(_xlfn.XLOOKUP(TabTRADER[[#This Row],[ClickTick]],TabCalc[Ticker],TabCalc[NAfter])*(TabTRADER[[#This Row],[M]]-TabTRADER[[#This Row],[A]])*(1-Commission)*TabTRADER[[#This Row],[Scale]],"#,#0$")</f>
        <v>17,000 : 548,735$</v>
      </c>
      <c r="BD32" s="693">
        <f ca="1">_xlfn.XLOOKUP(TabTRADER[[#This Row],[ClickTick]],TabCalc[[#This Row],[Ticker]],TabCalc[[#This Row],[GL]])*(1-Commission)</f>
        <v>1167839.6317820002</v>
      </c>
      <c r="BE32" s="693"/>
      <c r="BF32" s="675" t="str">
        <f ca="1">TabTRADER[[#This Row],[ClickTick]]&amp;": "&amp;_xlfn.XLOOKUP(TabTRADER[[#This Row],[ClickTick]],TabCalc[Ticker],TabCalc[Pile?])</f>
        <v xml:space="preserve">NEM: </v>
      </c>
      <c r="BG32" s="353" t="s">
        <v>1988</v>
      </c>
      <c r="BH32" s="769" t="str" cm="1">
        <f t="array" aca="1" ref="BH32" ca="1">_xlfn.TEXTJOIN("",,INDEX({"M","A","Y"}, _xlfn.SORTBY({1,2,3}, -CHOOSE({1,2,3}, TabTRADER[[#This Row],[M]], TabTRADER[[#This Row],[A]], TabTRADER[[#This Row],[Agiotage]]))))</f>
        <v>MAY</v>
      </c>
      <c r="BI32" s="976" cm="1">
        <f t="array" aca="1" ref="BI3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1.5793450881612058E-3</v>
      </c>
      <c r="BJ32" s="688">
        <f ca="1">TabTRADER[[#This Row],[L_Sn]]*TabTRADER[[#This Row],[L_Sp]]+TabTRADER[[#This Row],[SellMore]]*TabTRADER[[#This Row],[M]]</f>
        <v>177590</v>
      </c>
      <c r="BK32" s="688">
        <f ca="1">INDEX(
  INDEX(TabConsolid[], , _xlfn.XMATCH(TabTRADER[[#This Row],[ClickTick]]&amp;1, TabConsolid[#Headers])),
  MATCH(
    -TabTRADER[[#This Row],[M]],
    INDEX(TabConsolid[], , _xlfn.XMATCH(TabTRADER[[#This Row],[ClickTick]]&amp;2, TabConsolid[#Headers])),
    -1
  )
)</f>
        <v>1000</v>
      </c>
      <c r="BL32" s="688" cm="1">
        <f t="array" aca="1" ref="BL3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32" s="1260">
        <f ca="1">TabTRADER[[#This Row],[ReBuy]]/(TabTRADER[[#This Row],[L_Sn]]+TabTRADER[[#This Row],[SellMore]])</f>
        <v>88.795000000000002</v>
      </c>
      <c r="BN32" s="696">
        <f ca="1">((_xlfn.XLOOKUP(TabTRADER[[#This Row],[ClickTick]],TabCalc[Ticker],TabCalc[NAfter])+TabTRADER[[#This Row],[L_Sn]])*(TabTRADER[[#This Row],[Agiotage]]-TabTRADER[[#This Row],[M]]))/(TabTRADER[[#This Row],[L_Sn]]*_xlfn.XLOOKUP(TabTRADER[[#This Row],[ClickTick]],TabCalc[Ticker],TabCalc[NAfter]))</f>
        <v>-8.65478210812336E-2</v>
      </c>
      <c r="BO32" s="696">
        <f ca="1">(TabTRADER[[#This Row],[M]]-TabTRADER[[#This Row],[Agiotage]])/(TabTRADER[[#This Row],[M]]-TabTRADER[[#This Row],[A]])-1</f>
        <v>1.5257364464198067</v>
      </c>
      <c r="BP32" s="1388">
        <f ca="1">_xlfn.XMATCH(TabTRADER[[#This Row],[ClickTick]]&amp;1, TabConsolid[#Headers])</f>
        <v>92</v>
      </c>
      <c r="BQ32" t="str">
        <f ca="1">IF(ABS(TabTRADER[[#This Row],[L_Bp]])&gt;=TabTRADER[[#This Row],[M]],"OK")</f>
        <v>OK</v>
      </c>
    </row>
    <row r="33" spans="1:69" ht="22" hidden="1" customHeight="1">
      <c r="A33" s="225">
        <f ca="1">IF(_xlfn.XLOOKUP(TabTRADER[[#This Row],[ClickTick]],TabCalc[Ticker],TabCalc[Cur])="GBp",0.01,1)</f>
        <v>1</v>
      </c>
      <c r="B3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-1096.88x500=    -1,095 USD</v>
      </c>
      <c r="C33"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-0.2%</v>
      </c>
      <c r="D33" s="697" t="str" cm="1">
        <f t="array" aca="1" ref="D3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3"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33" s="228" t="str">
        <f ca="1">TRUNC(TabCalc[[#This Row],[L_B1p]],2)&amp;"x"&amp;TabCalc[[#This Row],[L_B1n]]&amp;"=   "&amp;TEXT(TabCalc[[#This Row],[ReverseS1]],"#,#0")&amp;"$"</f>
        <v>-1103.56x500=   -4,435$</v>
      </c>
      <c r="G33" s="227" t="str">
        <f ca="1">IFERROR(TRUNC(_xlfn.XLOOKUP(TabTRADER[[#This Row],[ClickTick]],TabCalc[Ticker],ListLastSalep),2)&amp;"x"&amp;_xlfn.XLOOKUP(TabTRADER[[#This Row],[ClickTick]],TabCalc[Ticker],ListLastSalen)&amp;"=   "&amp;TEXT(-_xlfn.XLOOKUP(TabTRADER[[#This Row],[ClickTick]],TabCalc[Ticker],ListReverseB),"#,#0")&amp;"$","")</f>
        <v>1233.56x100=   -13,887$</v>
      </c>
      <c r="H3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12.7% = 36</v>
      </c>
      <c r="I33" s="228" t="str">
        <f ca="1">IFERROR(TRUNC(TabCalc[[#This Row],[L_S1p]],2)&amp;"x"&amp;TabCalc[[#This Row],[L_S1n]]&amp;"=   "&amp;TEXT(TabCalc[[#This Row],[ReverseB1]],"#,#0"),"")</f>
        <v>1235.33x100=   14,064</v>
      </c>
      <c r="J33" s="297">
        <f ca="1">_xlfn.XLOOKUP(TabTRADER[[#This Row],[ClickTick]],TabCalc[Ticker],ListGravity)</f>
        <v>1.2410915418977062</v>
      </c>
      <c r="K33" s="324" t="str" cm="1">
        <f t="array" aca="1" ref="K33" ca="1">IF(_xlfn.XLOOKUP(TabTRADER[[#This Row],[ClickTick]],TabTRADER[ClickTick],ListExtra_n)&gt;0,_xlfn.XLOOKUP(TabTRADER[[#This Row],[ClickTick]],TabTRADER[ClickTick],ListExtra_n),"")</f>
        <v/>
      </c>
      <c r="L33" s="322" t="str">
        <f ca="1">IF(_xlfn.XLOOKUP(TabTRADER[[#This Row],[ClickTick]],TabCalc[Ticker],ListExtra_n)&gt;0,_xlfn.XLOOKUP(TabTRADER[[#This Row],[ClickTick]],TabCalc[Ticker],ListExtra_n)*TabTRADER[[#This Row],[M]]*_xlfn.XLOOKUP(TabTRADER[[#This Row],[ClickTick]],TabCalc[Ticker],ListScale),"")</f>
        <v/>
      </c>
      <c r="M33" s="325">
        <f ca="1">_xlfn.XLOOKUP(TabTRADER[[#This Row],[ClickTick]],TabCalc[Ticker],TabCalc[Agiotage])</f>
        <v>1.5614994580883679</v>
      </c>
      <c r="N33" s="326" cm="1">
        <f t="array" aca="1" ref="N33" ca="1">_xlfn.XLOOKUP(TabTRADER[[#This Row],[ClickTick]],ListTickers,Tab2RSIConventional[RSIConv20])</f>
        <v>27</v>
      </c>
      <c r="O33" s="712" t="str">
        <f ca="1">TEXT(_xlfn.XLOOKUP(TabTRADER[[#This Row],[ClickTick]],TabCalc[Ticker],TabCalc[Nbegin]),"#,#0")&amp;": "&amp;_xlfn.XLOOKUP(TabTRADER[[#This Row],[ClickTick]],TabCalc[Ticker],TabCalc[Pile?])</f>
        <v>4,000: Pile</v>
      </c>
      <c r="P33" s="746">
        <f ca="1">_xlfn.XLOOKUP(TabTRADER[[#This Row],[ClickTick]],TabCalc[Ticker],TabCalc[L_Bn])</f>
        <v>500</v>
      </c>
      <c r="Q33" s="740">
        <f ca="1">_xlfn.XLOOKUP(TabTRADER[[#This Row],[ClickTick]],TabCalc[Ticker],TabCalc[L_Bp])</f>
        <v>-1096.8800000000001</v>
      </c>
      <c r="R33" s="778">
        <f ca="1">(TabTRADER[[#This Row],[M]]+TabTRADER[[#This Row],[L_Bp]])/ABS(TabTRADER[[#This Row],[L_Bp]])</f>
        <v>-1.9965720953979051E-3</v>
      </c>
      <c r="S33" s="692">
        <f ca="1">_xlfn.XLOOKUP(TabTRADER[[#This Row],[ClickTick]],TabCalc[Ticker],TabCalc[Rev(MinStock)])*(1-Commission)</f>
        <v>-1092.1530000000271</v>
      </c>
      <c r="T33" s="798">
        <f ca="1">_xlfn.XLOOKUP(TabTRADER[[#This Row],[ClickTick]],TabCalc[Ticker],TabCalc[Agiotage])</f>
        <v>1.5614994580883679</v>
      </c>
      <c r="U33" s="759" t="str" cm="1">
        <f t="array" aca="1" ref="U3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-48,930/-48,930=&gt;-6.3% / -1.7%</v>
      </c>
      <c r="V33" s="751" t="str">
        <f ca="1">_xlfn.XLOOKUP(TabTRADER[[#This Row],[ClickTick]],[1]!RTData[Ticker symbol],[1]!RTData[Currency])</f>
        <v>USD</v>
      </c>
      <c r="W33" s="761">
        <f ca="1">_xlfn.XLOOKUP(TabTRADER[[#This Row],[ClickTick]],TabCalc[Ticker],TabCalc[M])</f>
        <v>1094.69</v>
      </c>
      <c r="X33" s="762" t="str">
        <f ca="1">SORTING!B33</f>
        <v>NFLX</v>
      </c>
      <c r="Y33" s="819">
        <f ca="1">_xlfn.XLOOKUP(TabTRADER[[#This Row],[ClickTick]],TabCalc[Ticker],TabCalc[Y])</f>
        <v>1358.6105</v>
      </c>
      <c r="Z33" s="835">
        <f ca="1">_xlfn.XLOOKUP(TabTRADER[[#This Row],[ClickTick]],[1]!RTData[Ticker symbol],[1]!RTData[YTChange])</f>
        <v>0.77749496297459242</v>
      </c>
      <c r="AA33" s="851">
        <f ca="1">-_xlfn.XLOOKUP(TabTRADER[[#This Row],[ClickTick]]&amp;2,Consolid!B$3:JZ$3,Consolid!B$4:JZ$4)</f>
        <v>1135.346</v>
      </c>
      <c r="AB33" s="836" cm="1">
        <f t="array" aca="1" ref="AB33" ca="1">_xlfn.XLOOKUP(TabTRADER[[#This Row],[ClickTick]],ListTickers,Tab1ChangePercent[Change%19])</f>
        <v>-6.2759999999999996E-2</v>
      </c>
      <c r="AC33" s="782">
        <f ca="1">_xlfn.XLOOKUP(TabTRADER[[#This Row],[ClickTick]],TabCalc[Ticker],TabCalc[NAfter])</f>
        <v>3000</v>
      </c>
      <c r="AD3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^1,449/3,284 K$</v>
      </c>
      <c r="AE33" s="1299" t="str" cm="1">
        <f t="array" aca="1" ref="AE3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3" s="1281" t="str" cm="1">
        <f t="array" aca="1" ref="AF33" ca="1">_xlfn.IFS(       TabTRADER[[#This Row],[Traps]]=RePurchaseGain,TEXT(TabTRADER[[#This Row],[L_Sn]],"#,#0")&amp;" x "&amp;TEXT(TabTRADER[[#This Row],[L_Sp]],"#,#0.#0"),     TabTRADER[[#This Row],[Traps]]=ReSaleGain,TEXT(TabTRADER[[#This Row],[L_Bn]],"#0,#0")&amp;" x "&amp;TEXT(TabTRADER[[#This Row],[L_Bp]],"#,#0.#0"),               TRUE,"")</f>
        <v/>
      </c>
      <c r="AG33" s="1281" t="str" cm="1">
        <f t="array" aca="1" ref="AG3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 x -1,096.88</v>
      </c>
      <c r="AH33" s="1281" cm="1">
        <f t="array" aca="1" ref="AH3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1092.1530000000271</v>
      </c>
      <c r="AI33" s="1281" cm="1">
        <f t="array" aca="1" ref="AI3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3284070</v>
      </c>
      <c r="AJ33" s="1290" cm="1">
        <f t="array" aca="1" ref="AJ3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3.5809347987309552E-2</v>
      </c>
      <c r="AK33" s="1290" cm="1">
        <f t="array" aca="1" ref="AK3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-5.9943362961198659E-4</v>
      </c>
      <c r="AL33" s="843" t="str" cm="1">
        <f t="array" aca="1" ref="AL33" ca="1">_xlfn.IFS(   TabTRADER[[#This Row],[Traps]]=SellMorePercentGain,                     MIN(TabTRADER[[#This Row],[L_Sn]],TabTRADER[[#This Row],[N]])*(TabTRADER[[#This Row],[M]]-TabTRADER[[#This Row],[L_Sp]])*(1-Commission)*TabTRADER[[#This Row],[Scale]],                    TRUE,"")</f>
        <v/>
      </c>
      <c r="AM33" s="1296">
        <f ca="1">_xlfn.XLOOKUP(TabTRADER[[#This Row],[ClickTick]],TabCalc[Ticker],TabCalc[Ann%RevLB])</f>
        <v>-0.35938297717162293</v>
      </c>
      <c r="AN33" s="1392">
        <f ca="1">_xlfn.XLOOKUP(TabTRADER[[#This Row],[ClickTick]],TabCalc[Ticker],TabCalc[Up20])</f>
        <v>0.33333333333333331</v>
      </c>
      <c r="AO33" s="1291" cm="1">
        <f t="array" aca="1" ref="AO3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2.0005663703880133E-3</v>
      </c>
      <c r="AP33" s="843" cm="1">
        <f t="array" aca="1" ref="AP33" ca="1">_xlfn.IFS(         TabTRADER[[#This Row],[Traps]]=MDown,TabTRADER[[#This Row],[L_Bn]]*TabTRADER[[#This Row],[M]]*(-(TabTRADER[[#This Row],[L_Bp]]+TabTRADER[[#This Row],[M]])/TabTRADER[[#This Row],[M]])*(1-Commission)*TabTRADER[[#This Row],[Scale]],                               TRUE,"")</f>
        <v>1092.1530000000269</v>
      </c>
      <c r="AQ33" s="1290" cm="1">
        <f t="array" aca="1" ref="AQ33" ca="1">_xlfn.IFS(   TabTRADER[[#This Row],[Traps]]=MUp,TabTRADER[[#This Row],[TakeGain_A]]-Commission,        TabTRADER[[#This Row],[Traps]]=MDown,(TabTRADER[[#This Row],[A]]-TabTRADER[[#This Row],[M]])/TabTRADER[[#This Row],[M]]-Commission,                              TRUE,"")</f>
        <v>3.4539281440407743E-2</v>
      </c>
      <c r="AR33" s="843" cm="1">
        <f t="array" aca="1" ref="AR3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121650.88319999985</v>
      </c>
      <c r="AS33" s="774" t="str" cm="1">
        <f t="array" aca="1" ref="AS3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-1.4%</v>
      </c>
      <c r="AT33" s="748" cm="1">
        <f t="array" aca="1" ref="AT3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-2.19</v>
      </c>
      <c r="AU33" s="779" cm="1">
        <f t="array" aca="1" ref="AU33" ca="1">_xlfn.IFS(TabTRADER[[#This Row],[Traps]]=ReSaleGain,"",         TabTRADER[[#This Row],[Traps]]=MDown, (TabTRADER[[#This Row],[M]]-TabTRADER[[#This Row],[A]])/TabTRADER[[#This Row],[A]]*ComFactor,             TRUE, IFERROR((TabTRADER[[#This Row],[M]]-TabTRADER[[#This Row],[A]])/TabTRADER[[#This Row],[A]]*ComFactor,""))</f>
        <v>-3.5716243682542545E-2</v>
      </c>
      <c r="AV33" s="776" cm="1">
        <f t="array" aca="1" ref="AV33" ca="1">_xlfn.IFS(               TabTRADER[[#This Row],[Traps]]=NoStock,(TabTRADER[[#This Row],[L_Sp]]-TabTRADER[[#This Row],[M]])/TabTRADER[[#This Row],[M]]-Commission,             TabTRADER[[#This Row],[A]]&lt;&gt;0,(TabTRADER[[#This Row],[A]]-TabTRADER[[#This Row],[M]])/TabTRADER[[#This Row],[M]]-Commission)</f>
        <v>3.4539281440407743E-2</v>
      </c>
      <c r="AW33" s="326">
        <f ca="1">_xlfn.XLOOKUP(TabTRADER[[#This Row],[ClickTick]],TabCalc[Ticker],TabCalc[L_Sn])</f>
        <v>100</v>
      </c>
      <c r="AX33" s="740">
        <f ca="1">_xlfn.XLOOKUP(TabTRADER[[#This Row],[ClickTick]],TabCalc[Ticker],TabCalc[L_Sp])</f>
        <v>1233.56</v>
      </c>
      <c r="AY33" s="778">
        <f ca="1">-IFERROR((TabTRADER[[#This Row],[M]]-TabTRADER[[#This Row],[L_Sp]])/TabTRADER[[#This Row],[L_Sp]],0)</f>
        <v>0.11257660754239752</v>
      </c>
      <c r="AZ33" s="741">
        <f ca="1">TabTRADER[[#This Row],[L_Sn]]*(TabTRADER[[#This Row],[M]]-TabTRADER[[#This Row],[L_Sp]])*(1-Commission)*TabTRADER[[#This Row],[Scale]]</f>
        <v>-13850.893799999989</v>
      </c>
      <c r="BA33" s="701">
        <f ca="1">TabTRADER[[#This Row],[L_Sn]]*(TabTRADER[[#This Row],[Agiotage]]-TabTRADER[[#This Row],[M]])/(TabTRADER[[#This Row],[L_Bn]]*TabTRADER[[#This Row],[M]])</f>
        <v>-0.19971471385358627</v>
      </c>
      <c r="BB33" s="641">
        <f ca="1">IFERROR((TabTRADER[[#This Row],[M]]-TabTRADER[[#This Row],[A]])/TabTRADER[[#This Row],[A]],0)</f>
        <v>-3.5809347987309552E-2</v>
      </c>
      <c r="BC33" s="644" t="str">
        <f ca="1">TEXT(_xlfn.XLOOKUP(TabTRADER[[#This Row],[ClickTick]],TabCalc[Ticker],TabCalc[NAfter]),"#,#0")&amp;" : "&amp;TEXT(_xlfn.XLOOKUP(TabTRADER[[#This Row],[ClickTick]],TabCalc[Ticker],TabCalc[NAfter])*(TabTRADER[[#This Row],[M]]-TabTRADER[[#This Row],[A]])*(1-Commission)*TabTRADER[[#This Row],[Scale]],"#,#0$")</f>
        <v>3,000 : -121,651$</v>
      </c>
      <c r="BD33" s="693">
        <f ca="1">_xlfn.XLOOKUP(TabTRADER[[#This Row],[ClickTick]],TabCalc[[#This Row],[Ticker]],TabCalc[[#This Row],[GL]])*(1-Commission)</f>
        <v>1445231.5926259998</v>
      </c>
      <c r="BE33" s="693"/>
      <c r="BF33" s="675" t="str">
        <f ca="1">TabTRADER[[#This Row],[ClickTick]]&amp;": "&amp;_xlfn.XLOOKUP(TabTRADER[[#This Row],[ClickTick]],TabCalc[Ticker],TabCalc[Pile?])</f>
        <v>NFLX: Pile</v>
      </c>
      <c r="BG33" s="353" t="s">
        <v>1993</v>
      </c>
      <c r="BH33" s="769" t="str" cm="1">
        <f t="array" aca="1" ref="BH33" ca="1">_xlfn.TEXTJOIN("",,INDEX({"M","A","Y"}, _xlfn.SORTBY({1,2,3}, -CHOOSE({1,2,3}, TabTRADER[[#This Row],[M]], TabTRADER[[#This Row],[A]], TabTRADER[[#This Row],[Agiotage]]))))</f>
        <v>AMY</v>
      </c>
      <c r="BI33" s="976" cm="1">
        <f t="array" aca="1" ref="BI3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2.0005663703880133E-3</v>
      </c>
      <c r="BJ33" s="688" t="e">
        <f ca="1">TabTRADER[[#This Row],[L_Sn]]*TabTRADER[[#This Row],[L_Sp]]+TabTRADER[[#This Row],[SellMore]]*TabTRADER[[#This Row],[M]]</f>
        <v>#N/A</v>
      </c>
      <c r="BK33" s="688" t="e">
        <f ca="1">INDEX(
  INDEX(TabConsolid[], , _xlfn.XMATCH(TabTRADER[[#This Row],[ClickTick]]&amp;1, TabConsolid[#Headers])),
  MATCH(
    -TabTRADER[[#This Row],[M]],
    INDEX(TabConsolid[], , _xlfn.XMATCH(TabTRADER[[#This Row],[ClickTick]]&amp;2, TabConsolid[#Headers])),
    -1
  )
)</f>
        <v>#N/A</v>
      </c>
      <c r="BL33" s="688" cm="1">
        <f t="array" aca="1" ref="BL3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v>
      </c>
      <c r="BM33" s="1260" t="e">
        <f ca="1">TabTRADER[[#This Row],[ReBuy]]/(TabTRADER[[#This Row],[L_Sn]]+TabTRADER[[#This Row],[SellMore]])</f>
        <v>#N/A</v>
      </c>
      <c r="BN33" s="696">
        <f ca="1">((_xlfn.XLOOKUP(TabTRADER[[#This Row],[ClickTick]],TabCalc[Ticker],TabCalc[NAfter])+TabTRADER[[#This Row],[L_Sn]])*(TabTRADER[[#This Row],[Agiotage]]-TabTRADER[[#This Row],[M]]))/(TabTRADER[[#This Row],[L_Sn]]*_xlfn.XLOOKUP(TabTRADER[[#This Row],[ClickTick]],TabCalc[Ticker],TabCalc[NAfter]))</f>
        <v>-11.295661172266421</v>
      </c>
      <c r="BO33" s="696">
        <f ca="1">(TabTRADER[[#This Row],[M]]-TabTRADER[[#This Row],[Agiotage]])/(TabTRADER[[#This Row],[M]]-TabTRADER[[#This Row],[A]])-1</f>
        <v>-27.887261426158823</v>
      </c>
      <c r="BP33" s="1388">
        <f ca="1">_xlfn.XMATCH(TabTRADER[[#This Row],[ClickTick]]&amp;1, TabConsolid[#Headers])</f>
        <v>95</v>
      </c>
      <c r="BQ33" t="str">
        <f ca="1">IF(ABS(TabTRADER[[#This Row],[L_Bp]])&gt;=TabTRADER[[#This Row],[M]],"OK")</f>
        <v>OK</v>
      </c>
    </row>
    <row r="34" spans="1:69" ht="22" hidden="1" customHeight="1">
      <c r="A34" s="225">
        <f ca="1">IF(_xlfn.XLOOKUP(TabTRADER[[#This Row],[ClickTick]],TabCalc[Ticker],TabCalc[Cur])="GBp",0.01,1)</f>
        <v>1</v>
      </c>
      <c r="B3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-5.4x2500=    -2,575 USD</v>
      </c>
      <c r="C34"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-23.6%</v>
      </c>
      <c r="D34" s="697" t="str" cm="1">
        <f t="array" aca="1" ref="D3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34" s="228" t="str">
        <f ca="1">TRUNC(TabCalc[[#This Row],[L_B1p]],2)&amp;"x"&amp;TabCalc[[#This Row],[L_B1n]]&amp;"=   "&amp;TEXT(TabCalc[[#This Row],[ReverseS1]],"#,#0")&amp;"$"</f>
        <v>-9.85x24167=   -132,496$</v>
      </c>
      <c r="G34" s="227" t="str">
        <f ca="1">IFERROR(TRUNC(_xlfn.XLOOKUP(TabTRADER[[#This Row],[ClickTick]],TabCalc[Ticker],ListLastSalep),2)&amp;"x"&amp;_xlfn.XLOOKUP(TabTRADER[[#This Row],[ClickTick]],TabCalc[Ticker],ListLastSalen)&amp;"=   "&amp;TEXT(-_xlfn.XLOOKUP(TabTRADER[[#This Row],[ClickTick]],TabCalc[Ticker],ListReverseB),"#,#0")&amp;"$","")</f>
        <v>0x0=   0$</v>
      </c>
      <c r="H3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34" s="228" t="str">
        <f ca="1">IFERROR(TRUNC(TabCalc[[#This Row],[L_S1p]],2)&amp;"x"&amp;TabCalc[[#This Row],[L_S1n]]&amp;"=   "&amp;TEXT(TabCalc[[#This Row],[ReverseB1]],"#,#0"),"")</f>
        <v>0x0=   0</v>
      </c>
      <c r="J34" s="297">
        <f ca="1">_xlfn.XLOOKUP(TabTRADER[[#This Row],[ClickTick]],TabCalc[Ticker],ListGravity)</f>
        <v>7.2082379862700225</v>
      </c>
      <c r="K34" s="324" t="str" cm="1">
        <f t="array" aca="1" ref="K34" ca="1">IF(_xlfn.XLOOKUP(TabTRADER[[#This Row],[ClickTick]],TabTRADER[ClickTick],ListExtra_n)&gt;0,_xlfn.XLOOKUP(TabTRADER[[#This Row],[ClickTick]],TabTRADER[ClickTick],ListExtra_n),"")</f>
        <v/>
      </c>
      <c r="L34" s="322" t="str">
        <f ca="1">IF(_xlfn.XLOOKUP(TabTRADER[[#This Row],[ClickTick]],TabCalc[Ticker],ListExtra_n)&gt;0,_xlfn.XLOOKUP(TabTRADER[[#This Row],[ClickTick]],TabCalc[Ticker],ListExtra_n)*TabTRADER[[#This Row],[M]]*_xlfn.XLOOKUP(TabTRADER[[#This Row],[ClickTick]],TabCalc[Ticker],ListScale),"")</f>
        <v/>
      </c>
      <c r="M34" s="325">
        <f ca="1">_xlfn.XLOOKUP(TabTRADER[[#This Row],[ClickTick]],TabCalc[Ticker],TabCalc[Agiotage])</f>
        <v>0.73766131524346279</v>
      </c>
      <c r="N34" s="326" cm="1">
        <f t="array" aca="1" ref="N34" ca="1">_xlfn.XLOOKUP(TabTRADER[[#This Row],[ClickTick]],ListTickers,Tab2RSIConventional[RSIConv20])</f>
        <v>29</v>
      </c>
      <c r="O34" s="712" t="str">
        <f ca="1">TEXT(_xlfn.XLOOKUP(TabTRADER[[#This Row],[ClickTick]],TabCalc[Ticker],TabCalc[Nbegin]),"#,#0")&amp;": "&amp;_xlfn.XLOOKUP(TabTRADER[[#This Row],[ClickTick]],TabCalc[Ticker],TabCalc[Pile?])</f>
        <v>30,000: Pile</v>
      </c>
      <c r="P34" s="746">
        <f ca="1">_xlfn.XLOOKUP(TabTRADER[[#This Row],[ClickTick]],TabCalc[Ticker],TabCalc[L_Bn])</f>
        <v>2500</v>
      </c>
      <c r="Q34" s="740">
        <f ca="1">_xlfn.XLOOKUP(TabTRADER[[#This Row],[ClickTick]],TabCalc[Ticker],TabCalc[L_Bp])</f>
        <v>-5.4</v>
      </c>
      <c r="R34" s="778">
        <f ca="1">(TabTRADER[[#This Row],[M]]+TabTRADER[[#This Row],[L_Bp]])/ABS(TabTRADER[[#This Row],[L_Bp]])</f>
        <v>-0.19074074074074077</v>
      </c>
      <c r="S34" s="692">
        <f ca="1">_xlfn.XLOOKUP(TabTRADER[[#This Row],[ClickTick]],TabCalc[Ticker],TabCalc[Rev(MinStock)])*(1-Commission)</f>
        <v>-2568.3050000000003</v>
      </c>
      <c r="T34" s="798">
        <f ca="1">_xlfn.XLOOKUP(TabTRADER[[#This Row],[ClickTick]],TabCalc[Ticker],TabCalc[Agiotage])</f>
        <v>0.73766131524346279</v>
      </c>
      <c r="U34" s="759" t="str" cm="1">
        <f t="array" aca="1" ref="U3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-2,933/-2,933=&gt;-1.7% / -1.8%</v>
      </c>
      <c r="V34" s="751" t="str">
        <f ca="1">_xlfn.XLOOKUP(TabTRADER[[#This Row],[ClickTick]],[1]!RTData[Ticker symbol],[1]!RTData[Currency])</f>
        <v>USD</v>
      </c>
      <c r="W34" s="761">
        <f ca="1">_xlfn.XLOOKUP(TabTRADER[[#This Row],[ClickTick]],TabCalc[Ticker],TabCalc[M])</f>
        <v>4.37</v>
      </c>
      <c r="X34" s="762" t="str">
        <f ca="1">SORTING!B34</f>
        <v>NOTE</v>
      </c>
      <c r="Y34" s="819">
        <f ca="1">_xlfn.XLOOKUP(TabTRADER[[#This Row],[ClickTick]],TabCalc[Ticker],TabCalc[Y])</f>
        <v>31.5</v>
      </c>
      <c r="Z34" s="835">
        <f ca="1">_xlfn.XLOOKUP(TabTRADER[[#This Row],[ClickTick]],[1]!RTData[Ticker symbol],[1]!RTData[YTChange])</f>
        <v>0</v>
      </c>
      <c r="AA34" s="851">
        <f ca="1">-_xlfn.XLOOKUP(TabTRADER[[#This Row],[ClickTick]]&amp;2,Consolid!B$3:JZ$3,Consolid!B$4:JZ$4)</f>
        <v>9.4350833427082161</v>
      </c>
      <c r="AB34" s="835" cm="1">
        <f t="array" aca="1" ref="AB34" ca="1">_xlfn.XLOOKUP(TabTRADER[[#This Row],[ClickTick]],ListTickers,Tab1ChangePercent[Change%19])</f>
        <v>-1.6972000000000001E-2</v>
      </c>
      <c r="AC34" s="782">
        <f ca="1">_xlfn.XLOOKUP(TabTRADER[[#This Row],[ClickTick]],TabCalc[Ticker],TabCalc[NAfter])</f>
        <v>26667</v>
      </c>
      <c r="AD3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-135/117 K$</v>
      </c>
      <c r="AE34" s="1299" t="str" cm="1">
        <f t="array" aca="1" ref="AE3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4" s="1281" t="str" cm="1">
        <f t="array" aca="1" ref="AF34" ca="1">_xlfn.IFS(       TabTRADER[[#This Row],[Traps]]=RePurchaseGain,TEXT(TabTRADER[[#This Row],[L_Sn]],"#,#0")&amp;" x "&amp;TEXT(TabTRADER[[#This Row],[L_Sp]],"#,#0.#0"),     TabTRADER[[#This Row],[Traps]]=ReSaleGain,TEXT(TabTRADER[[#This Row],[L_Bn]],"#0,#0")&amp;" x "&amp;TEXT(TabTRADER[[#This Row],[L_Bp]],"#,#0.#0"),               TRUE,"")</f>
        <v/>
      </c>
      <c r="AG34" s="1281" t="str" cm="1">
        <f t="array" aca="1" ref="AG3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2,500 x -5.40</v>
      </c>
      <c r="AH34" s="1281" cm="1">
        <f t="array" aca="1" ref="AH3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2568.3050000000003</v>
      </c>
      <c r="AI34" s="1281" cm="1">
        <f t="array" aca="1" ref="AI3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116534.79000000001</v>
      </c>
      <c r="AJ34" s="1290" cm="1">
        <f t="array" aca="1" ref="AJ3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0.53683503989635672</v>
      </c>
      <c r="AK34" s="1290" cm="1">
        <f t="array" aca="1" ref="AK3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0.23309794050343255</v>
      </c>
      <c r="AL34" s="843" t="str" cm="1">
        <f t="array" aca="1" ref="AL34" ca="1">_xlfn.IFS(   TabTRADER[[#This Row],[Traps]]=SellMorePercentGain,                     MIN(TabTRADER[[#This Row],[L_Sn]],TabTRADER[[#This Row],[N]])*(TabTRADER[[#This Row],[M]]-TabTRADER[[#This Row],[L_Sp]])*(1-Commission)*TabTRADER[[#This Row],[Scale]],                    TRUE,"")</f>
        <v/>
      </c>
      <c r="AM34" s="1039">
        <f ca="1">_xlfn.XLOOKUP(TabTRADER[[#This Row],[ClickTick]],TabCalc[Ticker],TabCalc[Ann%RevLB])</f>
        <v>-1.2955974842767297</v>
      </c>
      <c r="AN34" s="1038">
        <f ca="1">_xlfn.XLOOKUP(TabTRADER[[#This Row],[ClickTick]],TabCalc[Ticker],TabCalc[Up20])</f>
        <v>0.66666666666666663</v>
      </c>
      <c r="AO34" s="1291" cm="1">
        <f t="array" aca="1" ref="AO3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0.23569794050343254</v>
      </c>
      <c r="AP34" s="843" cm="1">
        <f t="array" aca="1" ref="AP34" ca="1">_xlfn.IFS(         TabTRADER[[#This Row],[Traps]]=MDown,TabTRADER[[#This Row],[L_Bn]]*TabTRADER[[#This Row],[M]]*(-(TabTRADER[[#This Row],[L_Bp]]+TabTRADER[[#This Row],[M]])/TabTRADER[[#This Row],[M]])*(1-Commission)*TabTRADER[[#This Row],[Scale]],                               TRUE,"")</f>
        <v>2568.3050000000003</v>
      </c>
      <c r="AQ34" s="1290" cm="1">
        <f t="array" aca="1" ref="AQ34" ca="1">_xlfn.IFS(   TabTRADER[[#This Row],[Traps]]=MUp,TabTRADER[[#This Row],[TakeGain_A]]-Commission,        TabTRADER[[#This Row],[Traps]]=MDown,(TabTRADER[[#This Row],[A]]-TabTRADER[[#This Row],[M]])/TabTRADER[[#This Row],[M]]-Commission,                              TRUE,"")</f>
        <v>1.1564579731597748</v>
      </c>
      <c r="AR34" s="843" cm="1">
        <f t="array" aca="1" ref="AR3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134719.39399849999</v>
      </c>
      <c r="AS34" s="774" t="str" cm="1">
        <f t="array" aca="1" ref="AS3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34" s="748" cm="1">
        <f t="array" aca="1" ref="AT3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-1.03</v>
      </c>
      <c r="AU34" s="779" cm="1">
        <f t="array" aca="1" ref="AU34" ca="1">_xlfn.IFS(TabTRADER[[#This Row],[Traps]]=ReSaleGain,"",         TabTRADER[[#This Row],[Traps]]=MDown, (TabTRADER[[#This Row],[M]]-TabTRADER[[#This Row],[A]])/TabTRADER[[#This Row],[A]]*ComFactor,             TRUE, IFERROR((TabTRADER[[#This Row],[M]]-TabTRADER[[#This Row],[A]])/TabTRADER[[#This Row],[A]]*ComFactor,""))</f>
        <v>-0.53543926879262616</v>
      </c>
      <c r="AV34" s="776" cm="1">
        <f t="array" aca="1" ref="AV34" ca="1">_xlfn.IFS(               TabTRADER[[#This Row],[Traps]]=NoStock,(TabTRADER[[#This Row],[L_Sp]]-TabTRADER[[#This Row],[M]])/TabTRADER[[#This Row],[M]]-Commission,             TabTRADER[[#This Row],[A]]&lt;&gt;0,(TabTRADER[[#This Row],[A]]-TabTRADER[[#This Row],[M]])/TabTRADER[[#This Row],[M]]-Commission)</f>
        <v>1.1564579731597748</v>
      </c>
      <c r="AW34" s="326">
        <f ca="1">_xlfn.XLOOKUP(TabTRADER[[#This Row],[ClickTick]],TabCalc[Ticker],TabCalc[L_Sn])</f>
        <v>0</v>
      </c>
      <c r="AX34" s="740">
        <f ca="1">_xlfn.XLOOKUP(TabTRADER[[#This Row],[ClickTick]],TabCalc[Ticker],TabCalc[L_Sp])</f>
        <v>0</v>
      </c>
      <c r="AY34" s="778">
        <f ca="1">-IFERROR((TabTRADER[[#This Row],[M]]-TabTRADER[[#This Row],[L_Sp]])/TabTRADER[[#This Row],[L_Sp]],0)</f>
        <v>0</v>
      </c>
      <c r="AZ34" s="741">
        <f ca="1">TabTRADER[[#This Row],[L_Sn]]*(TabTRADER[[#This Row],[M]]-TabTRADER[[#This Row],[L_Sp]])*(1-Commission)*TabTRADER[[#This Row],[Scale]]</f>
        <v>0</v>
      </c>
      <c r="BA34" s="701">
        <f ca="1">TabTRADER[[#This Row],[L_Sn]]*(TabTRADER[[#This Row],[Agiotage]]-TabTRADER[[#This Row],[M]])/(TabTRADER[[#This Row],[L_Bn]]*TabTRADER[[#This Row],[M]])</f>
        <v>0</v>
      </c>
      <c r="BB34" s="641">
        <f ca="1">IFERROR((TabTRADER[[#This Row],[M]]-TabTRADER[[#This Row],[A]])/TabTRADER[[#This Row],[A]],0)</f>
        <v>-0.53683503989635672</v>
      </c>
      <c r="BC34" s="644" t="str">
        <f ca="1">TEXT(_xlfn.XLOOKUP(TabTRADER[[#This Row],[ClickTick]],TabCalc[Ticker],TabCalc[NAfter]),"#,#0")&amp;" : "&amp;TEXT(_xlfn.XLOOKUP(TabTRADER[[#This Row],[ClickTick]],TabCalc[Ticker],TabCalc[NAfter])*(TabTRADER[[#This Row],[M]]-TabTRADER[[#This Row],[A]])*(1-Commission)*TabTRADER[[#This Row],[Scale]],"#,#0$")</f>
        <v>26,667 : -134,719$</v>
      </c>
      <c r="BD34" s="693">
        <f ca="1">_xlfn.XLOOKUP(TabTRADER[[#This Row],[ClickTick]],TabCalc[[#This Row],[Ticker]],TabCalc[[#This Row],[GL]])*(1-Commission)</f>
        <v>-134719.39399849999</v>
      </c>
      <c r="BE34" s="693"/>
      <c r="BF34" s="675" t="str">
        <f ca="1">TabTRADER[[#This Row],[ClickTick]]&amp;": "&amp;_xlfn.XLOOKUP(TabTRADER[[#This Row],[ClickTick]],TabCalc[Ticker],TabCalc[Pile?])</f>
        <v>NOTE: Pile</v>
      </c>
      <c r="BG34" s="353" t="s">
        <v>1994</v>
      </c>
      <c r="BH34" s="769" t="str" cm="1">
        <f t="array" aca="1" ref="BH34" ca="1">_xlfn.TEXTJOIN("",,INDEX({"M","A","Y"}, _xlfn.SORTBY({1,2,3}, -CHOOSE({1,2,3}, TabTRADER[[#This Row],[M]], TabTRADER[[#This Row],[A]], TabTRADER[[#This Row],[Agiotage]]))))</f>
        <v>AMY</v>
      </c>
      <c r="BI34" s="976" cm="1">
        <f t="array" aca="1" ref="BI3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0.23569794050343254</v>
      </c>
      <c r="BJ34" s="688" t="e">
        <f ca="1">TabTRADER[[#This Row],[L_Sn]]*TabTRADER[[#This Row],[L_Sp]]+TabTRADER[[#This Row],[SellMore]]*TabTRADER[[#This Row],[M]]</f>
        <v>#N/A</v>
      </c>
      <c r="BK34" s="688" t="e">
        <f ca="1">INDEX(
  INDEX(TabConsolid[], , _xlfn.XMATCH(TabTRADER[[#This Row],[ClickTick]]&amp;1, TabConsolid[#Headers])),
  MATCH(
    -TabTRADER[[#This Row],[M]],
    INDEX(TabConsolid[], , _xlfn.XMATCH(TabTRADER[[#This Row],[ClickTick]]&amp;2, TabConsolid[#Headers])),
    -1
  )
)</f>
        <v>#N/A</v>
      </c>
      <c r="BL34" s="688" cm="1">
        <f t="array" aca="1" ref="BL3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2500</v>
      </c>
      <c r="BM34" s="1260" t="e">
        <f ca="1">TabTRADER[[#This Row],[ReBuy]]/(TabTRADER[[#This Row],[L_Sn]]+TabTRADER[[#This Row],[SellMore]])</f>
        <v>#N/A</v>
      </c>
      <c r="BN34" s="696" t="e">
        <f ca="1">((_xlfn.XLOOKUP(TabTRADER[[#This Row],[ClickTick]],TabCalc[Ticker],TabCalc[NAfter])+TabTRADER[[#This Row],[L_Sn]])*(TabTRADER[[#This Row],[Agiotage]]-TabTRADER[[#This Row],[M]]))/(TabTRADER[[#This Row],[L_Sn]]*_xlfn.XLOOKUP(TabTRADER[[#This Row],[ClickTick]],TabCalc[Ticker],TabCalc[NAfter]))</f>
        <v>#DIV/0!</v>
      </c>
      <c r="BO34" s="696">
        <f ca="1">(TabTRADER[[#This Row],[M]]-TabTRADER[[#This Row],[Agiotage]])/(TabTRADER[[#This Row],[M]]-TabTRADER[[#This Row],[A]])-1</f>
        <v>-1.7171330536911533</v>
      </c>
      <c r="BP34" s="1388">
        <f ca="1">_xlfn.XMATCH(TabTRADER[[#This Row],[ClickTick]]&amp;1, TabConsolid[#Headers])</f>
        <v>98</v>
      </c>
      <c r="BQ34" t="str">
        <f ca="1">IF(ABS(TabTRADER[[#This Row],[L_Bp]])&gt;=TabTRADER[[#This Row],[M]],"OK")</f>
        <v>OK</v>
      </c>
    </row>
    <row r="35" spans="1:69" ht="22" hidden="1" customHeight="1">
      <c r="A35" s="225">
        <f ca="1">IF(_xlfn.XLOOKUP(TabTRADER[[#This Row],[ClickTick]],TabCalc[Ticker],TabCalc[Cur])="GBp",0.01,1)</f>
        <v>1</v>
      </c>
      <c r="B3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-35.72x1500=    +930 USD</v>
      </c>
      <c r="C35"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1.7%</v>
      </c>
      <c r="D35" s="697" t="str" cm="1">
        <f t="array" aca="1" ref="D3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5" s="765" t="str">
        <f ca="1">IF(      AND(TabTRADER[[#This Row],[A]]&lt;TabTRADER[[#This Row],[M]],    _xlfn.XLOOKUP(TabTRADER[[#This Row],[ClickTick]],TabCalc[Ticker],TabCalc[L_Sp])&gt;TabTRADER[[#This Row],[M]]),"BUY  "&amp;TEXT(DesiredBuyGain/TabTRADER[[#This Row],[Scale]]/(_xlfn.XLOOKUP(TabTRADER[[#This Row],[ClickTick]],TabCalc[Ticker],TabCalc[L_Sp])-TabTRADER[[#This Row],[M]]),"#,##0"),"")</f>
        <v>BUY  1,689</v>
      </c>
      <c r="F35" s="228" t="str">
        <f ca="1">TRUNC(TabCalc[[#This Row],[L_B1p]],2)&amp;"x"&amp;TabCalc[[#This Row],[L_B1n]]&amp;"=   "&amp;TEXT(TabCalc[[#This Row],[ReverseS1]],"#,#0")&amp;"$"</f>
        <v>-27.53x1000=   8,810$</v>
      </c>
      <c r="G35" s="227" t="str">
        <f ca="1">IFERROR(TRUNC(_xlfn.XLOOKUP(TabTRADER[[#This Row],[ClickTick]],TabCalc[Ticker],ListLastSalep),2)&amp;"x"&amp;_xlfn.XLOOKUP(TabTRADER[[#This Row],[ClickTick]],TabCalc[Ticker],ListLastSalen)&amp;"=   "&amp;TEXT(-_xlfn.XLOOKUP(TabTRADER[[#This Row],[ClickTick]],TabCalc[Ticker],ListReverseB),"#,#0")&amp;"$","")</f>
        <v>39.3x500=   -1,480$</v>
      </c>
      <c r="H3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8.1% = 1,689</v>
      </c>
      <c r="I35" s="228" t="str">
        <f ca="1">IFERROR(TRUNC(TabCalc[[#This Row],[L_S1p]],2)&amp;"x"&amp;TabCalc[[#This Row],[L_S1n]]&amp;"=   "&amp;TEXT(TabCalc[[#This Row],[ReverseB1]],"#,#0"),"")</f>
        <v>36.29x1000=   -50</v>
      </c>
      <c r="J35" s="297">
        <f ca="1">_xlfn.XLOOKUP(TabTRADER[[#This Row],[ClickTick]],TabCalc[Ticker],ListGravity)</f>
        <v>1.2245459548706659</v>
      </c>
      <c r="K35" s="324" cm="1">
        <f t="array" aca="1" ref="K35" ca="1">IF(_xlfn.XLOOKUP(TabTRADER[[#This Row],[ClickTick]],TabTRADER[ClickTick],ListExtra_n)&gt;0,_xlfn.XLOOKUP(TabTRADER[[#This Row],[ClickTick]],TabTRADER[ClickTick],ListExtra_n),"")</f>
        <v>1000</v>
      </c>
      <c r="L35" s="322">
        <f ca="1">IF(_xlfn.XLOOKUP(TabTRADER[[#This Row],[ClickTick]],TabCalc[Ticker],ListExtra_n)&gt;0,_xlfn.XLOOKUP(TabTRADER[[#This Row],[ClickTick]],TabCalc[Ticker],ListExtra_n)*TabTRADER[[#This Row],[M]]*_xlfn.XLOOKUP(TabTRADER[[#This Row],[ClickTick]],TabCalc[Ticker],ListScale),"")</f>
        <v>36340</v>
      </c>
      <c r="M35" s="325">
        <f ca="1">_xlfn.XLOOKUP(TabTRADER[[#This Row],[ClickTick]],TabCalc[Ticker],TabCalc[Agiotage])</f>
        <v>0.52479457239055072</v>
      </c>
      <c r="N35" s="326" cm="1">
        <f t="array" aca="1" ref="N35" ca="1">_xlfn.XLOOKUP(TabTRADER[[#This Row],[ClickTick]],ListTickers,Tab2RSIConventional[RSIConv20])</f>
        <v>40</v>
      </c>
      <c r="O35" s="712" t="str">
        <f ca="1">TEXT(_xlfn.XLOOKUP(TabTRADER[[#This Row],[ClickTick]],TabCalc[Ticker],TabCalc[Nbegin]),"#,#0")&amp;": "&amp;_xlfn.XLOOKUP(TabTRADER[[#This Row],[ClickTick]],TabCalc[Ticker],TabCalc[Pile?])</f>
        <v xml:space="preserve">3,000: </v>
      </c>
      <c r="P35" s="746">
        <f ca="1">_xlfn.XLOOKUP(TabTRADER[[#This Row],[ClickTick]],TabCalc[Ticker],TabCalc[L_Bn])</f>
        <v>1500</v>
      </c>
      <c r="Q35" s="690">
        <f ca="1">_xlfn.XLOOKUP(TabTRADER[[#This Row],[ClickTick]],TabCalc[Ticker],TabCalc[L_Bp])</f>
        <v>-35.72</v>
      </c>
      <c r="R35" s="778">
        <f ca="1">(TabTRADER[[#This Row],[M]]+TabTRADER[[#This Row],[L_Bp]])/ABS(TabTRADER[[#This Row],[L_Bp]])</f>
        <v>1.7357222844345033E-2</v>
      </c>
      <c r="S35" s="692">
        <f ca="1">_xlfn.XLOOKUP(TabTRADER[[#This Row],[ClickTick]],TabCalc[Ticker],TabCalc[Rev(MinStock)])*(1-Commission)</f>
        <v>927.58200000000681</v>
      </c>
      <c r="T35" s="798">
        <f ca="1">_xlfn.XLOOKUP(TabTRADER[[#This Row],[ClickTick]],TabCalc[Ticker],TabCalc[Agiotage])</f>
        <v>0.52479457239055072</v>
      </c>
      <c r="U35" s="759" t="str" cm="1">
        <f t="array" aca="1" ref="U3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2,880/2,880=&gt;-1.8% / 0.3%</v>
      </c>
      <c r="V35" s="751" t="str">
        <f ca="1">_xlfn.XLOOKUP(TabTRADER[[#This Row],[ClickTick]],[1]!RTData[Ticker symbol],[1]!RTData[Currency])</f>
        <v>USD</v>
      </c>
      <c r="W35" s="761">
        <f ca="1">_xlfn.XLOOKUP(TabTRADER[[#This Row],[ClickTick]],TabCalc[Ticker],TabCalc[M])</f>
        <v>36.340000000000003</v>
      </c>
      <c r="X35" s="762" t="str">
        <f ca="1">SORTING!B35</f>
        <v>PAAS</v>
      </c>
      <c r="Y35" s="819">
        <f ca="1">_xlfn.XLOOKUP(TabTRADER[[#This Row],[ClickTick]],TabCalc[Ticker],TabCalc[Y])</f>
        <v>44.5</v>
      </c>
      <c r="Z35" s="835">
        <f ca="1">_xlfn.XLOOKUP(TabTRADER[[#This Row],[ClickTick]],[1]!RTData[Ticker symbol],[1]!RTData[YTChange])</f>
        <v>0.21951219512195116</v>
      </c>
      <c r="AA35" s="851">
        <f ca="1">-_xlfn.XLOOKUP(TabTRADER[[#This Row],[ClickTick]]&amp;2,Consolid!B$3:JZ$3,Consolid!B$4:JZ$4)</f>
        <v>29.252500000000001</v>
      </c>
      <c r="AB35" s="835" cm="1">
        <f t="array" aca="1" ref="AB35" ca="1">_xlfn.XLOOKUP(TabTRADER[[#This Row],[ClickTick]],ListTickers,Tab1ChangePercent[Change%19])</f>
        <v>-1.7978000000000001E-2</v>
      </c>
      <c r="AC35" s="782">
        <f ca="1">_xlfn.XLOOKUP(TabTRADER[[#This Row],[ClickTick]],TabCalc[Ticker],TabCalc[NAfter])</f>
        <v>4000</v>
      </c>
      <c r="AD3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^78/145 K$</v>
      </c>
      <c r="AE35" s="1299" t="str" cm="1">
        <f t="array" aca="1" ref="AE3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35" s="1281" t="str" cm="1">
        <f t="array" aca="1" ref="AF35" ca="1">_xlfn.IFS(       TabTRADER[[#This Row],[Traps]]=RePurchaseGain,TEXT(TabTRADER[[#This Row],[L_Sn]],"#,#0")&amp;" x "&amp;TEXT(TabTRADER[[#This Row],[L_Sp]],"#,#0.#0"),     TabTRADER[[#This Row],[Traps]]=ReSaleGain,TEXT(TabTRADER[[#This Row],[L_Bn]],"#0,#0")&amp;" x "&amp;TEXT(TabTRADER[[#This Row],[L_Bp]],"#,#0.#0"),               TRUE,"")</f>
        <v>1,500 x -35.72</v>
      </c>
      <c r="AG35" s="1281" cm="1">
        <f t="array" aca="1" ref="AG3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927.58200000000681</v>
      </c>
      <c r="AH35" s="1281" t="str" cm="1">
        <f t="array" aca="1" ref="AH3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5" s="1281" cm="1">
        <f t="array" aca="1" ref="AI3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927.58200000000681</v>
      </c>
      <c r="AJ35" s="1290" cm="1">
        <f t="array" aca="1" ref="AJ3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1.7357222844345033E-2</v>
      </c>
      <c r="AK35" s="1290" t="str" cm="1">
        <f t="array" aca="1" ref="AK3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5" s="843" t="str" cm="1">
        <f t="array" aca="1" ref="AL35" ca="1">_xlfn.IFS(   TabTRADER[[#This Row],[Traps]]=SellMorePercentGain,                     MIN(TabTRADER[[#This Row],[L_Sn]],TabTRADER[[#This Row],[N]])*(TabTRADER[[#This Row],[M]]-TabTRADER[[#This Row],[L_Sp]])*(1-Commission)*TabTRADER[[#This Row],[Scale]],                    TRUE,"")</f>
        <v/>
      </c>
      <c r="AM35" s="1296">
        <f ca="1">_xlfn.XLOOKUP(TabTRADER[[#This Row],[ClickTick]],TabCalc[Ticker],TabCalc[Ann%RevLB])</f>
        <v>1.2497200447928425</v>
      </c>
      <c r="AN35" s="1392">
        <f ca="1">_xlfn.XLOOKUP(TabTRADER[[#This Row],[ClickTick]],TabCalc[Ticker],TabCalc[Up20])</f>
        <v>0.54545454545454541</v>
      </c>
      <c r="AO35" s="1291" t="str" cm="1">
        <f t="array" aca="1" ref="AO3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5" s="843" t="str" cm="1">
        <f t="array" aca="1" ref="AP35" ca="1">_xlfn.IFS(         TabTRADER[[#This Row],[Traps]]=MDown,TabTRADER[[#This Row],[L_Bn]]*TabTRADER[[#This Row],[M]]*(-(TabTRADER[[#This Row],[L_Bp]]+TabTRADER[[#This Row],[M]])/TabTRADER[[#This Row],[M]])*(1-Commission)*TabTRADER[[#This Row],[Scale]],                               TRUE,"")</f>
        <v/>
      </c>
      <c r="AQ35" s="1290" t="str" cm="1">
        <f t="array" aca="1" ref="AQ35" ca="1">_xlfn.IFS(   TabTRADER[[#This Row],[Traps]]=MUp,TabTRADER[[#This Row],[TakeGain_A]]-Commission,        TabTRADER[[#This Row],[Traps]]=MDown,(TabTRADER[[#This Row],[A]]-TabTRADER[[#This Row],[M]])/TabTRADER[[#This Row],[M]]-Commission,                              TRUE,"")</f>
        <v/>
      </c>
      <c r="AR35" s="774" cm="1">
        <f t="array" aca="1" ref="AR3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35127.267023331347</v>
      </c>
      <c r="AS35" s="774" t="str" cm="1">
        <f t="array" aca="1" ref="AS3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-1.0%</v>
      </c>
      <c r="AT35" s="748" t="str" cm="1">
        <f t="array" aca="1" ref="AT3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35" s="779" t="str" cm="1">
        <f t="array" aca="1" ref="AU35" ca="1">_xlfn.IFS(TabTRADER[[#This Row],[Traps]]=ReSaleGain,"",         TabTRADER[[#This Row],[Traps]]=MDown, (TabTRADER[[#This Row],[M]]-TabTRADER[[#This Row],[A]])/TabTRADER[[#This Row],[A]]*ComFactor,             TRUE, IFERROR((TabTRADER[[#This Row],[M]]-TabTRADER[[#This Row],[A]])/TabTRADER[[#This Row],[A]]*ComFactor,""))</f>
        <v/>
      </c>
      <c r="AV35" s="776" cm="1">
        <f t="array" aca="1" ref="AV35" ca="1">_xlfn.IFS(               TabTRADER[[#This Row],[Traps]]=NoStock,(TabTRADER[[#This Row],[L_Sp]]-TabTRADER[[#This Row],[M]])/TabTRADER[[#This Row],[M]]-Commission,             TabTRADER[[#This Row],[A]]&lt;&gt;0,(TabTRADER[[#This Row],[A]]-TabTRADER[[#This Row],[M]])/TabTRADER[[#This Row],[M]]-Commission)</f>
        <v>-0.19763302146395159</v>
      </c>
      <c r="AW35" s="326">
        <f ca="1">_xlfn.XLOOKUP(TabTRADER[[#This Row],[ClickTick]],TabCalc[Ticker],TabCalc[L_Sn])</f>
        <v>500</v>
      </c>
      <c r="AX35" s="740">
        <f ca="1">_xlfn.XLOOKUP(TabTRADER[[#This Row],[ClickTick]],TabCalc[Ticker],TabCalc[L_Sp])</f>
        <v>39.3005</v>
      </c>
      <c r="AY35" s="778">
        <f ca="1">-IFERROR((TabTRADER[[#This Row],[M]]-TabTRADER[[#This Row],[L_Sp]])/TabTRADER[[#This Row],[L_Sp]],0)</f>
        <v>7.5329830409282234E-2</v>
      </c>
      <c r="AZ35" s="741">
        <f ca="1">TabTRADER[[#This Row],[L_Sn]]*(TabTRADER[[#This Row],[M]]-TabTRADER[[#This Row],[L_Sp]])*(1-Commission)*TabTRADER[[#This Row],[Scale]]</f>
        <v>-1476.401349999998</v>
      </c>
      <c r="BA35" s="701">
        <f ca="1">TabTRADER[[#This Row],[L_Sn]]*(TabTRADER[[#This Row],[Agiotage]]-TabTRADER[[#This Row],[M]])/(TabTRADER[[#This Row],[L_Bn]]*TabTRADER[[#This Row],[M]])</f>
        <v>-0.32851958748495186</v>
      </c>
      <c r="BB35" s="641">
        <f ca="1">IFERROR((TabTRADER[[#This Row],[M]]-TabTRADER[[#This Row],[A]])/TabTRADER[[#This Row],[A]],0)</f>
        <v>0.24228698401846002</v>
      </c>
      <c r="BC35" s="644" t="str">
        <f ca="1">TEXT(_xlfn.XLOOKUP(TabTRADER[[#This Row],[ClickTick]],TabCalc[Ticker],TabCalc[NAfter]),"#,#0")&amp;" : "&amp;TEXT(_xlfn.XLOOKUP(TabTRADER[[#This Row],[ClickTick]],TabCalc[Ticker],TabCalc[NAfter])*(TabTRADER[[#This Row],[M]]-TabTRADER[[#This Row],[A]])*(1-Commission)*TabTRADER[[#This Row],[Scale]],"#,#0$")</f>
        <v>4,000 : 28,276$</v>
      </c>
      <c r="BD35" s="693">
        <f ca="1">_xlfn.XLOOKUP(TabTRADER[[#This Row],[ClickTick]],TabCalc[[#This Row],[Ticker]],TabCalc[[#This Row],[GL]])*(1-Commission)</f>
        <v>77914.444369999983</v>
      </c>
      <c r="BE35" s="693"/>
      <c r="BF35" s="675" t="str">
        <f ca="1">TabTRADER[[#This Row],[ClickTick]]&amp;": "&amp;_xlfn.XLOOKUP(TabTRADER[[#This Row],[ClickTick]],TabCalc[Ticker],TabCalc[Pile?])</f>
        <v xml:space="preserve">PAAS: </v>
      </c>
      <c r="BG35" s="353" t="s">
        <v>1995</v>
      </c>
      <c r="BH35" s="769" t="str" cm="1">
        <f t="array" aca="1" ref="BH35" ca="1">_xlfn.TEXTJOIN("",,INDEX({"M","A","Y"}, _xlfn.SORTBY({1,2,3}, -CHOOSE({1,2,3}, TabTRADER[[#This Row],[M]], TabTRADER[[#This Row],[A]], TabTRADER[[#This Row],[Agiotage]]))))</f>
        <v>MAY</v>
      </c>
      <c r="BI35" s="976" t="str" cm="1">
        <f t="array" aca="1" ref="BI3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5" s="688">
        <f ca="1">TabTRADER[[#This Row],[L_Sn]]*TabTRADER[[#This Row],[L_Sp]]+TabTRADER[[#This Row],[SellMore]]*TabTRADER[[#This Row],[M]]</f>
        <v>74160.25</v>
      </c>
      <c r="BK35" s="688">
        <f ca="1">INDEX(
  INDEX(TabConsolid[], , _xlfn.XMATCH(TabTRADER[[#This Row],[ClickTick]]&amp;1, TabConsolid[#Headers])),
  MATCH(
    -TabTRADER[[#This Row],[M]],
    INDEX(TabConsolid[], , _xlfn.XMATCH(TabTRADER[[#This Row],[ClickTick]]&amp;2, TabConsolid[#Headers])),
    -1
  )
)</f>
        <v>1500</v>
      </c>
      <c r="BL35" s="688" cm="1">
        <f t="array" aca="1" ref="BL3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M35" s="1260">
        <f ca="1">TabTRADER[[#This Row],[ReBuy]]/(TabTRADER[[#This Row],[L_Sn]]+TabTRADER[[#This Row],[SellMore]])</f>
        <v>37.080125000000002</v>
      </c>
      <c r="BN35" s="696">
        <f ca="1">((_xlfn.XLOOKUP(TabTRADER[[#This Row],[ClickTick]],TabCalc[Ticker],TabCalc[NAfter])+TabTRADER[[#This Row],[L_Sn]])*(TabTRADER[[#This Row],[Agiotage]]-TabTRADER[[#This Row],[M]]))/(TabTRADER[[#This Row],[L_Sn]]*_xlfn.XLOOKUP(TabTRADER[[#This Row],[ClickTick]],TabCalc[Ticker],TabCalc[NAfter]))</f>
        <v>-8.0584212212121267E-2</v>
      </c>
      <c r="BO35" s="696">
        <f ca="1">(TabTRADER[[#This Row],[M]]-TabTRADER[[#This Row],[Agiotage]])/(TabTRADER[[#This Row],[M]]-TabTRADER[[#This Row],[A]])-1</f>
        <v>4.0532917710912795</v>
      </c>
      <c r="BP35" s="1388">
        <f ca="1">_xlfn.XMATCH(TabTRADER[[#This Row],[ClickTick]]&amp;1, TabConsolid[#Headers])</f>
        <v>101</v>
      </c>
      <c r="BQ35" t="b">
        <f ca="1">IF(ABS(TabTRADER[[#This Row],[L_Bp]])&gt;=TabTRADER[[#This Row],[M]],"OK")</f>
        <v>0</v>
      </c>
    </row>
    <row r="36" spans="1:69" ht="22" customHeight="1">
      <c r="A36" s="225">
        <f ca="1">IF(_xlfn.XLOOKUP(TabTRADER[[#This Row],[ClickTick]],TabCalc[Ticker],TabCalc[Cur])="GBp",0.01,1)</f>
        <v>1</v>
      </c>
      <c r="B3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-5.19x4000=    +1,240 USD</v>
      </c>
      <c r="C3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5.6%</v>
      </c>
      <c r="D36" s="697" t="str" cm="1">
        <f t="array" aca="1" ref="D3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6" s="765" t="str">
        <f ca="1">IF(      AND(TabTRADER[[#This Row],[A]]&lt;TabTRADER[[#This Row],[M]],    _xlfn.XLOOKUP(TabTRADER[[#This Row],[ClickTick]],TabCalc[Ticker],TabCalc[L_Sp])&gt;TabTRADER[[#This Row],[M]]),"BUY  "&amp;TEXT(DesiredBuyGain/TabTRADER[[#This Row],[Scale]]/(_xlfn.XLOOKUP(TabTRADER[[#This Row],[ClickTick]],TabCalc[Ticker],TabCalc[L_Sp])-TabTRADER[[#This Row],[M]]),"#,##0"),"")</f>
        <v>BUY  45,455</v>
      </c>
      <c r="F36" s="228" t="str">
        <f ca="1">TRUNC(TabCalc[[#This Row],[L_B1p]],2)&amp;"x"&amp;TabCalc[[#This Row],[L_B1n]]&amp;"=   "&amp;TEXT(TabCalc[[#This Row],[ReverseS1]],"#,#0")&amp;"$"</f>
        <v>-6.22x2000=   -1,450$</v>
      </c>
      <c r="G36" s="227" t="str">
        <f ca="1">IFERROR(TRUNC(_xlfn.XLOOKUP(TabTRADER[[#This Row],[ClickTick]],TabCalc[Ticker],ListLastSalep),2)&amp;"x"&amp;_xlfn.XLOOKUP(TabTRADER[[#This Row],[ClickTick]],TabCalc[Ticker],ListLastSalen)&amp;"=   "&amp;TEXT(-_xlfn.XLOOKUP(TabTRADER[[#This Row],[ClickTick]],TabCalc[Ticker],ListReverseB),"#,#0")&amp;"$","")</f>
        <v>5.61x2000=   -220$</v>
      </c>
      <c r="H3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2.0% = 45,455</v>
      </c>
      <c r="I36" s="228" t="str">
        <f ca="1">IFERROR(TRUNC(TabCalc[[#This Row],[L_S1p]],2)&amp;"x"&amp;TabCalc[[#This Row],[L_S1n]]&amp;"=   "&amp;TEXT(TabCalc[[#This Row],[ReverseB1]],"#,#0"),"")</f>
        <v>6.93x2000=   2,860</v>
      </c>
      <c r="J36" s="297">
        <f ca="1">_xlfn.XLOOKUP(TabTRADER[[#This Row],[ClickTick]],TabCalc[Ticker],ListGravity)</f>
        <v>2.1999999999999997</v>
      </c>
      <c r="K36" s="324" t="str" cm="1">
        <f t="array" aca="1" ref="K36" ca="1">IF(_xlfn.XLOOKUP(TabTRADER[[#This Row],[ClickTick]],TabTRADER[ClickTick],ListExtra_n)&gt;0,_xlfn.XLOOKUP(TabTRADER[[#This Row],[ClickTick]],TabTRADER[ClickTick],ListExtra_n),"")</f>
        <v/>
      </c>
      <c r="L36" s="322" t="str">
        <f ca="1">IF(_xlfn.XLOOKUP(TabTRADER[[#This Row],[ClickTick]],TabCalc[Ticker],ListExtra_n)&gt;0,_xlfn.XLOOKUP(TabTRADER[[#This Row],[ClickTick]],TabCalc[Ticker],ListExtra_n)*TabTRADER[[#This Row],[M]]*_xlfn.XLOOKUP(TabTRADER[[#This Row],[ClickTick]],TabCalc[Ticker],ListScale),"")</f>
        <v/>
      </c>
      <c r="M36" s="325">
        <f ca="1">_xlfn.XLOOKUP(TabTRADER[[#This Row],[ClickTick]],TabCalc[Ticker],TabCalc[Agiotage])</f>
        <v>0.70349137663733641</v>
      </c>
      <c r="N36" s="326" cm="1">
        <f t="array" aca="1" ref="N36" ca="1">_xlfn.XLOOKUP(TabTRADER[[#This Row],[ClickTick]],ListTickers,Tab2RSIConventional[RSIConv20])</f>
        <v>33</v>
      </c>
      <c r="O36" s="712" t="str">
        <f ca="1">TEXT(_xlfn.XLOOKUP(TabTRADER[[#This Row],[ClickTick]],TabCalc[Ticker],TabCalc[Nbegin]),"#,#0")&amp;": "&amp;_xlfn.XLOOKUP(TabTRADER[[#This Row],[ClickTick]],TabCalc[Ticker],TabCalc[Pile?])</f>
        <v xml:space="preserve">6,000: </v>
      </c>
      <c r="P36" s="746">
        <f ca="1">_xlfn.XLOOKUP(TabTRADER[[#This Row],[ClickTick]],TabCalc[Ticker],TabCalc[L_Bn])</f>
        <v>4000</v>
      </c>
      <c r="Q36" s="690">
        <f ca="1">_xlfn.XLOOKUP(TabTRADER[[#This Row],[ClickTick]],TabCalc[Ticker],TabCalc[L_Bp])</f>
        <v>-5.19</v>
      </c>
      <c r="R36" s="778">
        <f ca="1">(TabTRADER[[#This Row],[M]]+TabTRADER[[#This Row],[L_Bp]])/ABS(TabTRADER[[#This Row],[L_Bp]])</f>
        <v>5.9730250481695488E-2</v>
      </c>
      <c r="S36" s="692">
        <f ca="1">_xlfn.XLOOKUP(TabTRADER[[#This Row],[ClickTick]],TabCalc[Ticker],TabCalc[Rev(MinStock)])*(1-Commission)</f>
        <v>1236.7759999999982</v>
      </c>
      <c r="T36" s="798">
        <f ca="1">_xlfn.XLOOKUP(TabTRADER[[#This Row],[ClickTick]],TabCalc[Ticker],TabCalc[Agiotage])</f>
        <v>0.70349137663733641</v>
      </c>
      <c r="U36" s="759" t="str" cm="1">
        <f t="array" aca="1" ref="U3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480/480=&gt;0.3% / 3.7%</v>
      </c>
      <c r="V36" s="751" t="str">
        <f ca="1">_xlfn.XLOOKUP(TabTRADER[[#This Row],[ClickTick]],[1]!RTData[Ticker symbol],[1]!RTData[Currency])</f>
        <v>USD</v>
      </c>
      <c r="W36" s="761">
        <f ca="1">_xlfn.XLOOKUP(TabTRADER[[#This Row],[ClickTick]],TabCalc[Ticker],TabCalc[M])</f>
        <v>5.5</v>
      </c>
      <c r="X36" s="762" t="str">
        <f ca="1">SORTING!B36</f>
        <v>PROF</v>
      </c>
      <c r="Y36" s="819">
        <f ca="1">_xlfn.XLOOKUP(TabTRADER[[#This Row],[ClickTick]],TabCalc[Ticker],TabCalc[Y])</f>
        <v>12.1</v>
      </c>
      <c r="Z36" s="835">
        <f ca="1">_xlfn.XLOOKUP(TabTRADER[[#This Row],[ClickTick]],[1]!RTData[Ticker symbol],[1]!RTData[YTChange])</f>
        <v>-0.20237310481212922</v>
      </c>
      <c r="AA36" s="851">
        <f ca="1">-_xlfn.XLOOKUP(TabTRADER[[#This Row],[ClickTick]]&amp;2,Consolid!B$3:JZ$3,Consolid!B$4:JZ$4)</f>
        <v>5.19</v>
      </c>
      <c r="AB36" s="835" cm="1">
        <f t="array" aca="1" ref="AB36" ca="1">_xlfn.XLOOKUP(TabTRADER[[#This Row],[ClickTick]],ListTickers,Tab1ChangePercent[Change%19])</f>
        <v>3.0370000000000002E-3</v>
      </c>
      <c r="AC36" s="782">
        <f ca="1">_xlfn.XLOOKUP(TabTRADER[[#This Row],[ClickTick]],TabCalc[Ticker],TabCalc[NAfter])</f>
        <v>4000</v>
      </c>
      <c r="AD36"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^3/22 K$</v>
      </c>
      <c r="AE36" s="1299" t="str" cm="1">
        <f t="array" aca="1" ref="AE3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36" s="1281" t="str" cm="1">
        <f t="array" aca="1" ref="AF36" ca="1">_xlfn.IFS(       TabTRADER[[#This Row],[Traps]]=RePurchaseGain,TEXT(TabTRADER[[#This Row],[L_Sn]],"#,#0")&amp;" x "&amp;TEXT(TabTRADER[[#This Row],[L_Sp]],"#,#0.#0"),     TabTRADER[[#This Row],[Traps]]=ReSaleGain,TEXT(TabTRADER[[#This Row],[L_Bn]],"#0,#0")&amp;" x "&amp;TEXT(TabTRADER[[#This Row],[L_Bp]],"#,#0.#0"),               TRUE,"")</f>
        <v>2,000 x 5.61</v>
      </c>
      <c r="AG36" s="1281" cm="1">
        <f t="array" aca="1" ref="AG3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219.42800000000062</v>
      </c>
      <c r="AH36" s="1281" t="str" cm="1">
        <f t="array" aca="1" ref="AH3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6" s="1281" cm="1">
        <f t="array" aca="1" ref="AI3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219.42800000000062</v>
      </c>
      <c r="AJ36" s="1290" cm="1">
        <f t="array" aca="1" ref="AJ3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1.9607843137254957E-2</v>
      </c>
      <c r="AK36" s="1290" t="str" cm="1">
        <f t="array" aca="1" ref="AK3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6" s="843" t="str" cm="1">
        <f t="array" aca="1" ref="AL36" ca="1">_xlfn.IFS(   TabTRADER[[#This Row],[Traps]]=SellMorePercentGain,                     MIN(TabTRADER[[#This Row],[L_Sn]],TabTRADER[[#This Row],[N]])*(TabTRADER[[#This Row],[M]]-TabTRADER[[#This Row],[L_Sp]])*(1-Commission)*TabTRADER[[#This Row],[Scale]],                    TRUE,"")</f>
        <v/>
      </c>
      <c r="AM36" s="1392">
        <f ca="1">_xlfn.XLOOKUP(TabTRADER[[#This Row],[ClickTick]],TabCalc[Ticker],TabCalc[Ann%RevLB])</f>
        <v>0.67196531791907421</v>
      </c>
      <c r="AN36" s="1392">
        <f ca="1">_xlfn.XLOOKUP(TabTRADER[[#This Row],[ClickTick]],TabCalc[Ticker],TabCalc[Up20])</f>
        <v>0.30769230769230771</v>
      </c>
      <c r="AO36" s="1291" t="str" cm="1">
        <f t="array" aca="1" ref="AO3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6" s="843" t="str" cm="1">
        <f t="array" aca="1" ref="AP36" ca="1">_xlfn.IFS(         TabTRADER[[#This Row],[Traps]]=MDown,TabTRADER[[#This Row],[L_Bn]]*TabTRADER[[#This Row],[M]]*(-(TabTRADER[[#This Row],[L_Bp]]+TabTRADER[[#This Row],[M]])/TabTRADER[[#This Row],[M]])*(1-Commission)*TabTRADER[[#This Row],[Scale]],                               TRUE,"")</f>
        <v/>
      </c>
      <c r="AQ36" s="1290" t="str" cm="1">
        <f t="array" aca="1" ref="AQ36" ca="1">_xlfn.IFS(   TabTRADER[[#This Row],[Traps]]=MUp,TabTRADER[[#This Row],[TakeGain_A]]-Commission,        TabTRADER[[#This Row],[Traps]]=MDown,(TabTRADER[[#This Row],[A]]-TabTRADER[[#This Row],[M]])/TabTRADER[[#This Row],[M]]-Commission,                              TRUE,"")</f>
        <v/>
      </c>
      <c r="AR36" s="843" cm="1">
        <f t="array" aca="1" ref="AR3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1236.7759999999982</v>
      </c>
      <c r="AS36" s="774" t="str" cm="1">
        <f t="array" aca="1" ref="AS3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&lt;0&lt;-1:      -0.3%</v>
      </c>
      <c r="AT36" s="748" t="str" cm="1">
        <f t="array" aca="1" ref="AT3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36" s="779" cm="1">
        <f t="array" aca="1" ref="AU36" ca="1">_xlfn.IFS(TabTRADER[[#This Row],[Traps]]=ReSaleGain,"",         TabTRADER[[#This Row],[Traps]]=MDown, (TabTRADER[[#This Row],[M]]-TabTRADER[[#This Row],[A]])/TabTRADER[[#This Row],[A]]*ComFactor,             TRUE, IFERROR((TabTRADER[[#This Row],[M]]-TabTRADER[[#This Row],[A]])/TabTRADER[[#This Row],[A]]*ComFactor,""))</f>
        <v>5.9574951830443076E-2</v>
      </c>
      <c r="AV36" s="776" cm="1">
        <f t="array" aca="1" ref="AV36" ca="1">_xlfn.IFS(               TabTRADER[[#This Row],[Traps]]=NoStock,(TabTRADER[[#This Row],[L_Sp]]-TabTRADER[[#This Row],[M]])/TabTRADER[[#This Row],[M]]-Commission,             TabTRADER[[#This Row],[A]]&lt;&gt;0,(TabTRADER[[#This Row],[A]]-TabTRADER[[#This Row],[M]])/TabTRADER[[#This Row],[M]]-Commission)</f>
        <v>-5.8963636363636288E-2</v>
      </c>
      <c r="AW36" s="326">
        <f ca="1">_xlfn.XLOOKUP(TabTRADER[[#This Row],[ClickTick]],TabCalc[Ticker],TabCalc[L_Sn])</f>
        <v>2000</v>
      </c>
      <c r="AX36" s="740">
        <f ca="1">_xlfn.XLOOKUP(TabTRADER[[#This Row],[ClickTick]],TabCalc[Ticker],TabCalc[L_Sp])</f>
        <v>5.61</v>
      </c>
      <c r="AY36" s="778">
        <f ca="1">-IFERROR((TabTRADER[[#This Row],[M]]-TabTRADER[[#This Row],[L_Sp]])/TabTRADER[[#This Row],[L_Sp]],0)</f>
        <v>1.9607843137254957E-2</v>
      </c>
      <c r="AZ36" s="741">
        <f ca="1">TabTRADER[[#This Row],[L_Sn]]*(TabTRADER[[#This Row],[M]]-TabTRADER[[#This Row],[L_Sp]])*(1-Commission)*TabTRADER[[#This Row],[Scale]]</f>
        <v>-219.42800000000062</v>
      </c>
      <c r="BA36" s="701">
        <f ca="1">TabTRADER[[#This Row],[L_Sn]]*(TabTRADER[[#This Row],[Agiotage]]-TabTRADER[[#This Row],[M]])/(TabTRADER[[#This Row],[L_Bn]]*TabTRADER[[#This Row],[M]])</f>
        <v>-0.43604623848751495</v>
      </c>
      <c r="BB36" s="641">
        <f ca="1">IFERROR((TabTRADER[[#This Row],[M]]-TabTRADER[[#This Row],[A]])/TabTRADER[[#This Row],[A]],0)</f>
        <v>5.9730250481695488E-2</v>
      </c>
      <c r="BC36" s="644" t="str">
        <f ca="1">TEXT(_xlfn.XLOOKUP(TabTRADER[[#This Row],[ClickTick]],TabCalc[Ticker],TabCalc[NAfter]),"#,#0")&amp;" : "&amp;TEXT(_xlfn.XLOOKUP(TabTRADER[[#This Row],[ClickTick]],TabCalc[Ticker],TabCalc[NAfter])*(TabTRADER[[#This Row],[M]]-TabTRADER[[#This Row],[A]])*(1-Commission)*TabTRADER[[#This Row],[Scale]],"#,#0$")</f>
        <v>4,000 : 1,237$</v>
      </c>
      <c r="BD36" s="693">
        <f ca="1">_xlfn.XLOOKUP(TabTRADER[[#This Row],[ClickTick]],TabCalc[[#This Row],[Ticker]],TabCalc[[#This Row],[GL]])*(1-Commission)</f>
        <v>2520.8088120000261</v>
      </c>
      <c r="BE36" s="693"/>
      <c r="BF36" s="675" t="str">
        <f ca="1">TabTRADER[[#This Row],[ClickTick]]&amp;": "&amp;_xlfn.XLOOKUP(TabTRADER[[#This Row],[ClickTick]],TabCalc[Ticker],TabCalc[Pile?])</f>
        <v xml:space="preserve">PROF: </v>
      </c>
      <c r="BG36" s="353" t="s">
        <v>1996</v>
      </c>
      <c r="BH36" s="769" t="str" cm="1">
        <f t="array" aca="1" ref="BH36" ca="1">_xlfn.TEXTJOIN("",,INDEX({"M","A","Y"}, _xlfn.SORTBY({1,2,3}, -CHOOSE({1,2,3}, TabTRADER[[#This Row],[M]], TabTRADER[[#This Row],[A]], TabTRADER[[#This Row],[Agiotage]]))))</f>
        <v>MAY</v>
      </c>
      <c r="BI36" s="976" t="str" cm="1">
        <f t="array" aca="1" ref="BI3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6" s="688">
        <f ca="1">TabTRADER[[#This Row],[L_Sn]]*TabTRADER[[#This Row],[L_Sp]]+TabTRADER[[#This Row],[SellMore]]*TabTRADER[[#This Row],[M]]</f>
        <v>33220</v>
      </c>
      <c r="BK36" s="688">
        <f ca="1">INDEX(
  INDEX(TabConsolid[], , _xlfn.XMATCH(TabTRADER[[#This Row],[ClickTick]]&amp;1, TabConsolid[#Headers])),
  MATCH(
    -TabTRADER[[#This Row],[M]],
    INDEX(TabConsolid[], , _xlfn.XMATCH(TabTRADER[[#This Row],[ClickTick]]&amp;2, TabConsolid[#Headers])),
    -1
  )
)</f>
        <v>4000</v>
      </c>
      <c r="BL36" s="688" cm="1">
        <f t="array" aca="1" ref="BL3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36" s="1260">
        <f ca="1">TabTRADER[[#This Row],[ReBuy]]/(TabTRADER[[#This Row],[L_Sn]]+TabTRADER[[#This Row],[SellMore]])</f>
        <v>5.5366666666666671</v>
      </c>
      <c r="BN36" s="696">
        <f ca="1">((_xlfn.XLOOKUP(TabTRADER[[#This Row],[ClickTick]],TabCalc[Ticker],TabCalc[NAfter])+TabTRADER[[#This Row],[L_Sn]])*(TabTRADER[[#This Row],[Agiotage]]-TabTRADER[[#This Row],[M]]))/(TabTRADER[[#This Row],[L_Sn]]*_xlfn.XLOOKUP(TabTRADER[[#This Row],[ClickTick]],TabCalc[Ticker],TabCalc[NAfter]))</f>
        <v>-3.5973814675219979E-3</v>
      </c>
      <c r="BO36" s="696">
        <f ca="1">(TabTRADER[[#This Row],[M]]-TabTRADER[[#This Row],[Agiotage]])/(TabTRADER[[#This Row],[M]]-TabTRADER[[#This Row],[A]])-1</f>
        <v>14.472608462460226</v>
      </c>
      <c r="BP36" s="1388">
        <f ca="1">_xlfn.XMATCH(TabTRADER[[#This Row],[ClickTick]]&amp;1, TabConsolid[#Headers])</f>
        <v>104</v>
      </c>
      <c r="BQ36" t="b">
        <f ca="1">IF(ABS(TabTRADER[[#This Row],[L_Bp]])&gt;=TabTRADER[[#This Row],[M]],"OK")</f>
        <v>0</v>
      </c>
    </row>
    <row r="37" spans="1:69" hidden="1">
      <c r="A37" s="225">
        <f ca="1">IF(_xlfn.XLOOKUP(TabTRADER[[#This Row],[ClickTick]],TabCalc[Ticker],TabCalc[Cur])="GBp",0.01,1)</f>
        <v>1</v>
      </c>
      <c r="B3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-5.12x2500=    +7,775 USD</v>
      </c>
      <c r="C37"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37.8%</v>
      </c>
      <c r="D37" s="697" t="str" cm="1">
        <f t="array" aca="1" ref="D3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1,608/45,000=13,232</v>
      </c>
      <c r="E37" s="765" t="str">
        <f ca="1">IF(      AND(TabTRADER[[#This Row],[A]]&lt;TabTRADER[[#This Row],[M]],    _xlfn.XLOOKUP(TabTRADER[[#This Row],[ClickTick]],TabCalc[Ticker],TabCalc[L_Sp])&gt;TabTRADER[[#This Row],[M]]),"BUY  "&amp;TEXT(DesiredBuyGain/TabTRADER[[#This Row],[Scale]]/(_xlfn.XLOOKUP(TabTRADER[[#This Row],[ClickTick]],TabCalc[Ticker],TabCalc[L_Sp])-TabTRADER[[#This Row],[M]]),"#,##0"),"")</f>
        <v>BUY  5,952</v>
      </c>
      <c r="F37" s="228" t="str">
        <f ca="1">TRUNC(TabCalc[[#This Row],[L_B1p]],2)&amp;"x"&amp;TabCalc[[#This Row],[L_B1n]]&amp;"=   "&amp;TEXT(TabCalc[[#This Row],[ReverseS1]],"#,#0")&amp;"$"</f>
        <v>-3.78x7000=   31,150$</v>
      </c>
      <c r="G37" s="227" t="str">
        <f ca="1">IFERROR(TRUNC(_xlfn.XLOOKUP(TabTRADER[[#This Row],[ClickTick]],TabCalc[Ticker],ListLastSalep),2)&amp;"x"&amp;_xlfn.XLOOKUP(TabTRADER[[#This Row],[ClickTick]],TabCalc[Ticker],ListLastSalen)&amp;"=   "&amp;TEXT(-_xlfn.XLOOKUP(TabTRADER[[#This Row],[ClickTick]],TabCalc[Ticker],ListReverseB),"#,#0")&amp;"$","")</f>
        <v>9.07x2500=   -2,100$</v>
      </c>
      <c r="H3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10.2% = 5,952</v>
      </c>
      <c r="I37" s="228" t="str">
        <f ca="1">IFERROR(TRUNC(TabCalc[[#This Row],[L_S1p]],2)&amp;"x"&amp;TabCalc[[#This Row],[L_S1n]]&amp;"=   "&amp;TEXT(TabCalc[[#This Row],[ReverseB1]],"#,#0"),"")</f>
        <v>7.4x2500=   -2,075</v>
      </c>
      <c r="J37" s="297">
        <f ca="1">_xlfn.XLOOKUP(TabTRADER[[#This Row],[ClickTick]],TabCalc[Ticker],ListGravity)</f>
        <v>0.80599392466585662</v>
      </c>
      <c r="K37" s="324" t="str" cm="1">
        <f t="array" aca="1" ref="K37" ca="1">IF(_xlfn.XLOOKUP(TabTRADER[[#This Row],[ClickTick]],TabTRADER[ClickTick],ListExtra_n)&gt;0,_xlfn.XLOOKUP(TabTRADER[[#This Row],[ClickTick]],TabTRADER[ClickTick],ListExtra_n),"")</f>
        <v/>
      </c>
      <c r="L37" s="322" t="str">
        <f ca="1">IF(_xlfn.XLOOKUP(TabTRADER[[#This Row],[ClickTick]],TabCalc[Ticker],ListExtra_n)&gt;0,_xlfn.XLOOKUP(TabTRADER[[#This Row],[ClickTick]],TabCalc[Ticker],ListExtra_n)*TabTRADER[[#This Row],[M]]*_xlfn.XLOOKUP(TabTRADER[[#This Row],[ClickTick]],TabCalc[Ticker],ListScale),"")</f>
        <v/>
      </c>
      <c r="M37" s="325">
        <f ca="1">_xlfn.XLOOKUP(TabTRADER[[#This Row],[ClickTick]],TabCalc[Ticker],TabCalc[Agiotage])</f>
        <v>1.322523558249018</v>
      </c>
      <c r="N37" s="326" cm="1">
        <f t="array" aca="1" ref="N37" ca="1">_xlfn.XLOOKUP(TabTRADER[[#This Row],[ClickTick]],ListTickers,Tab2RSIConventional[RSIConv20])</f>
        <v>57</v>
      </c>
      <c r="O37" s="712" t="str">
        <f ca="1">TEXT(_xlfn.XLOOKUP(TabTRADER[[#This Row],[ClickTick]],TabCalc[Ticker],TabCalc[Nbegin]),"#,#0")&amp;": "&amp;_xlfn.XLOOKUP(TabTRADER[[#This Row],[ClickTick]],TabCalc[Ticker],TabCalc[Pile?])</f>
        <v xml:space="preserve">45,000: </v>
      </c>
      <c r="P37" s="746">
        <f ca="1">_xlfn.XLOOKUP(TabTRADER[[#This Row],[ClickTick]],TabCalc[Ticker],TabCalc[L_Bn])</f>
        <v>2500</v>
      </c>
      <c r="Q37" s="690">
        <f ca="1">_xlfn.XLOOKUP(TabTRADER[[#This Row],[ClickTick]],TabCalc[Ticker],TabCalc[L_Bp])</f>
        <v>-5.12</v>
      </c>
      <c r="R37" s="778">
        <f ca="1">(TabTRADER[[#This Row],[M]]+TabTRADER[[#This Row],[L_Bp]])/ABS(TabTRADER[[#This Row],[L_Bp]])</f>
        <v>0.607421875</v>
      </c>
      <c r="S37" s="692">
        <f ca="1">_xlfn.XLOOKUP(TabTRADER[[#This Row],[ClickTick]],TabCalc[Ticker],TabCalc[Rev(MinStock)])*(1-Commission)</f>
        <v>7754.7850000000008</v>
      </c>
      <c r="T37" s="798">
        <f ca="1">_xlfn.XLOOKUP(TabTRADER[[#This Row],[ClickTick]],TabCalc[Ticker],TabCalc[Agiotage])</f>
        <v>1.322523558249018</v>
      </c>
      <c r="U37" s="759" t="str" cm="1">
        <f t="array" aca="1" ref="U3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29,475/29,475=&gt;3.7% / 12.6%</v>
      </c>
      <c r="V37" s="751" t="str">
        <f ca="1">_xlfn.XLOOKUP(TabTRADER[[#This Row],[ClickTick]],[1]!RTData[Ticker symbol],[1]!RTData[Currency])</f>
        <v>USD</v>
      </c>
      <c r="W37" s="761">
        <f ca="1">_xlfn.XLOOKUP(TabTRADER[[#This Row],[ClickTick]],TabCalc[Ticker],TabCalc[M])</f>
        <v>8.23</v>
      </c>
      <c r="X37" s="719" t="str">
        <f ca="1">SORTING!B37</f>
        <v>POET</v>
      </c>
      <c r="Y37" s="819">
        <f ca="1">_xlfn.XLOOKUP(TabTRADER[[#This Row],[ClickTick]],TabCalc[Ticker],TabCalc[Y])</f>
        <v>6.6333299999999999</v>
      </c>
      <c r="Z37" s="835">
        <f ca="1">_xlfn.XLOOKUP(TabTRADER[[#This Row],[ClickTick]],[1]!RTData[Ticker symbol],[1]!RTData[YTChange])</f>
        <v>0.54263488372093027</v>
      </c>
      <c r="AA37" s="851">
        <f ca="1">-_xlfn.XLOOKUP(TabTRADER[[#This Row],[ClickTick]]&amp;2,Consolid!B$3:JZ$3,Consolid!B$4:JZ$4)</f>
        <v>5.725200148148148</v>
      </c>
      <c r="AB37" s="835" cm="1">
        <f t="array" aca="1" ref="AB37" ca="1">_xlfn.XLOOKUP(TabTRADER[[#This Row],[ClickTick]],ListTickers,Tab1ChangePercent[Change%19])</f>
        <v>3.6562000000000004E-2</v>
      </c>
      <c r="AC37" s="782">
        <f ca="1">_xlfn.XLOOKUP(TabTRADER[[#This Row],[ClickTick]],TabCalc[Ticker],TabCalc[NAfter])</f>
        <v>45000</v>
      </c>
      <c r="AD37"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^115/370 K$</v>
      </c>
      <c r="AE37" s="1299" t="str" cm="1">
        <f t="array" aca="1" ref="AE3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37" s="1281" t="str" cm="1">
        <f t="array" aca="1" ref="AF37" ca="1">_xlfn.IFS(       TabTRADER[[#This Row],[Traps]]=RePurchaseGain,TEXT(TabTRADER[[#This Row],[L_Sn]],"#,#0")&amp;" x "&amp;TEXT(TabTRADER[[#This Row],[L_Sp]],"#,#0.#0"),     TabTRADER[[#This Row],[Traps]]=ReSaleGain,TEXT(TabTRADER[[#This Row],[L_Bn]],"#0,#0")&amp;" x "&amp;TEXT(TabTRADER[[#This Row],[L_Bp]],"#,#0.#0"),               TRUE,"")</f>
        <v>2,500 x 9.07</v>
      </c>
      <c r="AG37" s="1281" cm="1">
        <f t="array" aca="1" ref="AG3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2094.5399999999995</v>
      </c>
      <c r="AH37" s="1281" t="str" cm="1">
        <f t="array" aca="1" ref="AH3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7" s="1281" cm="1">
        <f t="array" aca="1" ref="AI3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2094.5399999999995</v>
      </c>
      <c r="AJ37" s="1290" cm="1">
        <f t="array" aca="1" ref="AJ3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9.2613009922822467E-2</v>
      </c>
      <c r="AK37" s="1290" t="str" cm="1">
        <f t="array" aca="1" ref="AK3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37" s="843" t="str" cm="1">
        <f t="array" aca="1" ref="AL37" ca="1">_xlfn.IFS(   TabTRADER[[#This Row],[Traps]]=SellMorePercentGain,                     MIN(TabTRADER[[#This Row],[L_Sn]],TabTRADER[[#This Row],[N]])*(TabTRADER[[#This Row],[M]]-TabTRADER[[#This Row],[L_Sp]])*(1-Commission)*TabTRADER[[#This Row],[Scale]],                    TRUE,"")</f>
        <v/>
      </c>
      <c r="AM37" s="1039">
        <f ca="1">_xlfn.XLOOKUP(TabTRADER[[#This Row],[ClickTick]],TabCalc[Ticker],TabCalc[Ann%RevLB])</f>
        <v>1.7778201219512195</v>
      </c>
      <c r="AN37" s="1038">
        <f ca="1">_xlfn.XLOOKUP(TabTRADER[[#This Row],[ClickTick]],TabCalc[Ticker],TabCalc[Up20])</f>
        <v>0</v>
      </c>
      <c r="AO37" s="1291" t="str" cm="1">
        <f t="array" aca="1" ref="AO3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37" s="843" t="str" cm="1">
        <f t="array" aca="1" ref="AP37" ca="1">_xlfn.IFS(         TabTRADER[[#This Row],[Traps]]=MDown,TabTRADER[[#This Row],[L_Bn]]*TabTRADER[[#This Row],[M]]*(-(TabTRADER[[#This Row],[L_Bp]]+TabTRADER[[#This Row],[M]])/TabTRADER[[#This Row],[M]])*(1-Commission)*TabTRADER[[#This Row],[Scale]],                               TRUE,"")</f>
        <v/>
      </c>
      <c r="AQ37" s="1290" t="str" cm="1">
        <f t="array" aca="1" ref="AQ37" ca="1">_xlfn.IFS(   TabTRADER[[#This Row],[Traps]]=MUp,TabTRADER[[#This Row],[TakeGain_A]]-Commission,        TabTRADER[[#This Row],[Traps]]=MDown,(TabTRADER[[#This Row],[A]]-TabTRADER[[#This Row],[M]])/TabTRADER[[#This Row],[M]]-Commission,                              TRUE,"")</f>
        <v/>
      </c>
      <c r="AR37" s="843" cm="1">
        <f t="array" aca="1" ref="AR3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112422.93175066668</v>
      </c>
      <c r="AS37" s="774" t="str" cm="1">
        <f t="array" aca="1" ref="AS3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-0.7%</v>
      </c>
      <c r="AT37" s="748" t="str" cm="1">
        <f t="array" aca="1" ref="AT3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37" s="779" cm="1">
        <f t="array" aca="1" ref="AU37" ca="1">_xlfn.IFS(TabTRADER[[#This Row],[Traps]]=ReSaleGain,"",         TabTRADER[[#This Row],[Traps]]=MDown, (TabTRADER[[#This Row],[M]]-TabTRADER[[#This Row],[A]])/TabTRADER[[#This Row],[A]]*ComFactor,             TRUE, IFERROR((TabTRADER[[#This Row],[M]]-TabTRADER[[#This Row],[A]])/TabTRADER[[#This Row],[A]]*ComFactor,""))</f>
        <v>0.43636681820549522</v>
      </c>
      <c r="AV37" s="776" cm="1">
        <f t="array" aca="1" ref="AV37" ca="1">_xlfn.IFS(               TabTRADER[[#This Row],[Traps]]=NoStock,(TabTRADER[[#This Row],[L_Sp]]-TabTRADER[[#This Row],[M]])/TabTRADER[[#This Row],[M]]-Commission,             TabTRADER[[#This Row],[A]]&lt;&gt;0,(TabTRADER[[#This Row],[A]]-TabTRADER[[#This Row],[M]])/TabTRADER[[#This Row],[M]]-Commission)</f>
        <v>-0.30694992124566856</v>
      </c>
      <c r="AW37" s="326">
        <f ca="1">_xlfn.XLOOKUP(TabTRADER[[#This Row],[ClickTick]],TabCalc[Ticker],TabCalc[L_Sn])</f>
        <v>2500</v>
      </c>
      <c r="AX37" s="740">
        <f ca="1">_xlfn.XLOOKUP(TabTRADER[[#This Row],[ClickTick]],TabCalc[Ticker],TabCalc[L_Sp])</f>
        <v>9.07</v>
      </c>
      <c r="AY37" s="778">
        <f ca="1">-IFERROR((TabTRADER[[#This Row],[M]]-TabTRADER[[#This Row],[L_Sp]])/TabTRADER[[#This Row],[L_Sp]],0)</f>
        <v>9.2613009922822467E-2</v>
      </c>
      <c r="AZ37" s="741">
        <f ca="1">TabTRADER[[#This Row],[L_Sn]]*(TabTRADER[[#This Row],[M]]-TabTRADER[[#This Row],[L_Sp]])*(1-Commission)*TabTRADER[[#This Row],[Scale]]</f>
        <v>-2094.5399999999995</v>
      </c>
      <c r="BA37" s="701">
        <f ca="1">TabTRADER[[#This Row],[L_Sn]]*(TabTRADER[[#This Row],[Agiotage]]-TabTRADER[[#This Row],[M]])/(TabTRADER[[#This Row],[L_Bn]]*TabTRADER[[#This Row],[M]])</f>
        <v>-0.83930454942296262</v>
      </c>
      <c r="BB37" s="641">
        <f ca="1">IFERROR((TabTRADER[[#This Row],[M]]-TabTRADER[[#This Row],[A]])/TabTRADER[[#This Row],[A]],0)</f>
        <v>0.43750432946209672</v>
      </c>
      <c r="BC37" s="644" t="str">
        <f ca="1">TEXT(_xlfn.XLOOKUP(TabTRADER[[#This Row],[ClickTick]],TabCalc[Ticker],TabCalc[NAfter]),"#,#0")&amp;" : "&amp;TEXT(_xlfn.XLOOKUP(TabTRADER[[#This Row],[ClickTick]],TabCalc[Ticker],TabCalc[NAfter])*(TabTRADER[[#This Row],[M]]-TabTRADER[[#This Row],[A]])*(1-Commission)*TabTRADER[[#This Row],[Scale]],"#,#0$")</f>
        <v>45,000 : 112,423$</v>
      </c>
      <c r="BD37" s="693">
        <f ca="1">_xlfn.XLOOKUP(TabTRADER[[#This Row],[ClickTick]],TabCalc[[#This Row],[Ticker]],TabCalc[[#This Row],[GL]])*(1-Commission)</f>
        <v>114768.31452599999</v>
      </c>
      <c r="BE37" s="693"/>
      <c r="BF37" s="675" t="str">
        <f ca="1">TabTRADER[[#This Row],[ClickTick]]&amp;": "&amp;_xlfn.XLOOKUP(TabTRADER[[#This Row],[ClickTick]],TabCalc[Ticker],TabCalc[Pile?])</f>
        <v xml:space="preserve">POET: </v>
      </c>
      <c r="BG37" s="353" t="s">
        <v>1997</v>
      </c>
      <c r="BH37" s="769" t="str" cm="1">
        <f t="array" aca="1" ref="BH37" ca="1">_xlfn.TEXTJOIN("",,INDEX({"M","A","Y"}, _xlfn.SORTBY({1,2,3}, -CHOOSE({1,2,3}, TabTRADER[[#This Row],[M]], TabTRADER[[#This Row],[A]], TabTRADER[[#This Row],[Agiotage]]))))</f>
        <v>MAY</v>
      </c>
      <c r="BI37" s="976" t="str" cm="1">
        <f t="array" aca="1" ref="BI3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37" s="688">
        <f ca="1">TabTRADER[[#This Row],[L_Sn]]*TabTRADER[[#This Row],[L_Sp]]+TabTRADER[[#This Row],[SellMore]]*TabTRADER[[#This Row],[M]]</f>
        <v>26790</v>
      </c>
      <c r="BK37" s="688">
        <f ca="1">INDEX(
  INDEX(TabConsolid[], , _xlfn.XMATCH(TabTRADER[[#This Row],[ClickTick]]&amp;1, TabConsolid[#Headers])),
  MATCH(
    -TabTRADER[[#This Row],[M]],
    INDEX(TabConsolid[], , _xlfn.XMATCH(TabTRADER[[#This Row],[ClickTick]]&amp;2, TabConsolid[#Headers])),
    -1
  )
)</f>
        <v>500</v>
      </c>
      <c r="BL37" s="688" cm="1">
        <f t="array" aca="1" ref="BL3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v>
      </c>
      <c r="BM37" s="1260">
        <f ca="1">TabTRADER[[#This Row],[ReBuy]]/(TabTRADER[[#This Row],[L_Sn]]+TabTRADER[[#This Row],[SellMore]])</f>
        <v>8.93</v>
      </c>
      <c r="BN37" s="696">
        <f ca="1">((_xlfn.XLOOKUP(TabTRADER[[#This Row],[ClickTick]],TabCalc[Ticker],TabCalc[NAfter])+TabTRADER[[#This Row],[L_Sn]])*(TabTRADER[[#This Row],[Agiotage]]-TabTRADER[[#This Row],[M]]))/(TabTRADER[[#This Row],[L_Sn]]*_xlfn.XLOOKUP(TabTRADER[[#This Row],[ClickTick]],TabCalc[Ticker],TabCalc[NAfter]))</f>
        <v>-2.9164900531837485E-3</v>
      </c>
      <c r="BO37" s="696">
        <f ca="1">(TabTRADER[[#This Row],[M]]-TabTRADER[[#This Row],[Agiotage]])/(TabTRADER[[#This Row],[M]]-TabTRADER[[#This Row],[A]])-1</f>
        <v>1.7576959638687844</v>
      </c>
      <c r="BP37" s="1388">
        <f ca="1">_xlfn.XMATCH(TabTRADER[[#This Row],[ClickTick]]&amp;1, TabConsolid[#Headers])</f>
        <v>107</v>
      </c>
      <c r="BQ37" t="b">
        <f ca="1">IF(ABS(TabTRADER[[#This Row],[L_Bp]])&gt;=TabTRADER[[#This Row],[M]],"OK")</f>
        <v>0</v>
      </c>
    </row>
    <row r="38" spans="1:69" hidden="1">
      <c r="A38" s="225">
        <f ca="1">IF(_xlfn.XLOOKUP(TabTRADER[[#This Row],[ClickTick]],TabCalc[Ticker],TabCalc[Cur])="GBp",0.01,1)</f>
        <v>1</v>
      </c>
      <c r="B3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-1.19x6006=    -2,655 USD</v>
      </c>
      <c r="C38"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-58.7%</v>
      </c>
      <c r="D38" s="697" t="str" cm="1">
        <f t="array" aca="1" ref="D3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8"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38" s="228" t="str">
        <f ca="1">TRUNC(TabCalc[[#This Row],[L_B1p]],2)&amp;"x"&amp;TabCalc[[#This Row],[L_B1n]]&amp;"=   "&amp;TEXT(TabCalc[[#This Row],[ReverseS1]],"#,#0")&amp;"$"</f>
        <v>-0.85x3006=   -290$</v>
      </c>
      <c r="G38" s="227" t="str">
        <f ca="1">IFERROR(TRUNC(_xlfn.XLOOKUP(TabTRADER[[#This Row],[ClickTick]],TabCalc[Ticker],ListLastSalep),2)&amp;"x"&amp;_xlfn.XLOOKUP(TabTRADER[[#This Row],[ClickTick]],TabCalc[Ticker],ListLastSalen)&amp;"=   "&amp;TEXT(-_xlfn.XLOOKUP(TabTRADER[[#This Row],[ClickTick]],TabCalc[Ticker],ListReverseB),"#,#0")&amp;"$","")</f>
        <v>1.54x3006=   -2,364$</v>
      </c>
      <c r="H3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104.4% = 6,357</v>
      </c>
      <c r="I38" s="228" t="str">
        <f ca="1">IFERROR(TRUNC(TabCalc[[#This Row],[L_S1p]],2)&amp;"x"&amp;TabCalc[[#This Row],[L_S1n]]&amp;"=   "&amp;TEXT(TabCalc[[#This Row],[ReverseB1]],"#,#0"),"")</f>
        <v>1.39x3006=   1,913</v>
      </c>
      <c r="J38" s="297">
        <f ca="1">_xlfn.XLOOKUP(TabTRADER[[#This Row],[ClickTick]],TabCalc[Ticker],ListGravity)</f>
        <v>0</v>
      </c>
      <c r="K38" s="324" cm="1">
        <f t="array" aca="1" ref="K38" ca="1">IF(_xlfn.XLOOKUP(TabTRADER[[#This Row],[ClickTick]],TabTRADER[ClickTick],ListExtra_n)&gt;0,_xlfn.XLOOKUP(TabTRADER[[#This Row],[ClickTick]],TabTRADER[ClickTick],ListExtra_n),"")</f>
        <v>7000</v>
      </c>
      <c r="L38" s="322">
        <f ca="1">IF(_xlfn.XLOOKUP(TabTRADER[[#This Row],[ClickTick]],TabCalc[Ticker],ListExtra_n)&gt;0,_xlfn.XLOOKUP(TabTRADER[[#This Row],[ClickTick]],TabCalc[Ticker],ListExtra_n)*TabTRADER[[#This Row],[M]]*_xlfn.XLOOKUP(TabTRADER[[#This Row],[ClickTick]],TabCalc[Ticker],ListScale),"")</f>
        <v>5274.5</v>
      </c>
      <c r="M38" s="325">
        <f ca="1">_xlfn.XLOOKUP(TabTRADER[[#This Row],[ClickTick]],TabCalc[Ticker],TabCalc[Agiotage])</f>
        <v>4.7314187776941727</v>
      </c>
      <c r="N38" s="326" cm="1">
        <f t="array" aca="1" ref="N38" ca="1">_xlfn.XLOOKUP(TabTRADER[[#This Row],[ClickTick]],ListTickers,Tab2RSIConventional[RSIConv20])</f>
        <v>13</v>
      </c>
      <c r="O38" s="712" t="str">
        <f ca="1">TEXT(_xlfn.XLOOKUP(TabTRADER[[#This Row],[ClickTick]],TabCalc[Ticker],TabCalc[Nbegin]),"#,#0")&amp;": "&amp;_xlfn.XLOOKUP(TabTRADER[[#This Row],[ClickTick]],TabCalc[Ticker],TabCalc[Pile?])</f>
        <v xml:space="preserve">3,000: </v>
      </c>
      <c r="P38" s="746">
        <f ca="1">_xlfn.XLOOKUP(TabTRADER[[#This Row],[ClickTick]],TabCalc[Ticker],TabCalc[L_Bn])</f>
        <v>6006</v>
      </c>
      <c r="Q38" s="740">
        <f ca="1">_xlfn.XLOOKUP(TabTRADER[[#This Row],[ClickTick]],TabCalc[Ticker],TabCalc[L_Bp])</f>
        <v>-1.1955</v>
      </c>
      <c r="R38" s="778">
        <f ca="1">(TabTRADER[[#This Row],[M]]+TabTRADER[[#This Row],[L_Bp]])/ABS(TabTRADER[[#This Row],[L_Bp]])</f>
        <v>-0.36971978251777504</v>
      </c>
      <c r="S38" s="692">
        <f ca="1">_xlfn.XLOOKUP(TabTRADER[[#This Row],[ClickTick]],TabCalc[Ticker],TabCalc[Rev(MinStock)])*(1-Commission)</f>
        <v>-2647.7499048000004</v>
      </c>
      <c r="T38" s="798">
        <f ca="1">_xlfn.XLOOKUP(TabTRADER[[#This Row],[ClickTick]],TabCalc[Ticker],TabCalc[Agiotage])</f>
        <v>4.7314187776941727</v>
      </c>
      <c r="U38" s="759" t="str" cm="1">
        <f t="array" aca="1" ref="U3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435/435=&gt;12.6% / 7.2%</v>
      </c>
      <c r="V38" s="751" t="str">
        <f ca="1">_xlfn.XLOOKUP(TabTRADER[[#This Row],[ClickTick]],[1]!RTData[Ticker symbol],[1]!RTData[Currency])</f>
        <v>USD</v>
      </c>
      <c r="W38" s="761">
        <f ca="1">_xlfn.XLOOKUP(TabTRADER[[#This Row],[ClickTick]],TabCalc[Ticker],TabCalc[M])</f>
        <v>0.75349999999999995</v>
      </c>
      <c r="X38" s="762" t="str">
        <f ca="1">SORTING!B38</f>
        <v>PW</v>
      </c>
      <c r="Y38" s="819">
        <f ca="1">_xlfn.XLOOKUP(TabTRADER[[#This Row],[ClickTick]],TabCalc[Ticker],TabCalc[Y])</f>
        <v>0</v>
      </c>
      <c r="Z38" s="835">
        <f ca="1">_xlfn.XLOOKUP(TabTRADER[[#This Row],[ClickTick]],[1]!RTData[Ticker symbol],[1]!RTData[YTChange])</f>
        <v>0</v>
      </c>
      <c r="AA38" s="851">
        <f ca="1">-_xlfn.XLOOKUP(TabTRADER[[#This Row],[ClickTick]]&amp;2,Consolid!B$3:JZ$3,Consolid!B$4:JZ$4)</f>
        <v>1.0663400199999999</v>
      </c>
      <c r="AB38" s="835" cm="1">
        <f t="array" aca="1" ref="AB38" ca="1">_xlfn.XLOOKUP(TabTRADER[[#This Row],[ClickTick]],ListTickers,Tab1ChangePercent[Change%19])</f>
        <v>0.12585499999999999</v>
      </c>
      <c r="AC38" s="782">
        <f ca="1">_xlfn.XLOOKUP(TabTRADER[[#This Row],[ClickTick]],TabCalc[Ticker],TabCalc[NAfter])</f>
        <v>10000</v>
      </c>
      <c r="AD38"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-7/8 K$</v>
      </c>
      <c r="AE38" s="1277" t="str" cm="1">
        <f t="array" aca="1" ref="AE3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8" s="1281" t="str" cm="1">
        <f t="array" aca="1" ref="AF38" ca="1">_xlfn.IFS(       TabTRADER[[#This Row],[Traps]]=RePurchaseGain,TEXT(TabTRADER[[#This Row],[L_Sn]],"#,#0")&amp;" x "&amp;TEXT(TabTRADER[[#This Row],[L_Sp]],"#,#0.#0"),     TabTRADER[[#This Row],[Traps]]=ReSaleGain,TEXT(TabTRADER[[#This Row],[L_Bn]],"#0,#0")&amp;" x "&amp;TEXT(TabTRADER[[#This Row],[L_Bp]],"#,#0.#0"),               TRUE,"")</f>
        <v/>
      </c>
      <c r="AG38" s="1281" t="str" cm="1">
        <f t="array" aca="1" ref="AG3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6,006 x -1.20</v>
      </c>
      <c r="AH38" s="1281" cm="1">
        <f t="array" aca="1" ref="AH3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2647.7499048000004</v>
      </c>
      <c r="AI38" s="1281" cm="1">
        <f t="array" aca="1" ref="AI3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7534.9999999999991</v>
      </c>
      <c r="AJ38" s="1290" cm="1">
        <f t="array" aca="1" ref="AJ3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0.29337736006569465</v>
      </c>
      <c r="AK38" s="1290" cm="1">
        <f t="array" aca="1" ref="AK3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0.58399588586595896</v>
      </c>
      <c r="AL38" s="843" t="str" cm="1">
        <f t="array" aca="1" ref="AL38" ca="1">_xlfn.IFS(   TabTRADER[[#This Row],[Traps]]=SellMorePercentGain,                     MIN(TabTRADER[[#This Row],[L_Sn]],TabTRADER[[#This Row],[N]])*(TabTRADER[[#This Row],[M]]-TabTRADER[[#This Row],[L_Sp]])*(1-Commission)*TabTRADER[[#This Row],[Scale]],                    TRUE,"")</f>
        <v/>
      </c>
      <c r="AM38" s="1039">
        <f ca="1">_xlfn.XLOOKUP(TabTRADER[[#This Row],[ClickTick]],TabCalc[Ticker],TabCalc[Ann%RevLB])</f>
        <v>-0.48050224442743328</v>
      </c>
      <c r="AN38" s="1038">
        <f ca="1">_xlfn.XLOOKUP(TabTRADER[[#This Row],[ClickTick]],TabCalc[Ticker],TabCalc[Up20])</f>
        <v>0</v>
      </c>
      <c r="AO38" s="1291" cm="1">
        <f t="array" aca="1" ref="AO3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0.58659588586595901</v>
      </c>
      <c r="AP38" s="843" cm="1">
        <f t="array" aca="1" ref="AP38" ca="1">_xlfn.IFS(         TabTRADER[[#This Row],[Traps]]=MDown,TabTRADER[[#This Row],[L_Bn]]*TabTRADER[[#This Row],[M]]*(-(TabTRADER[[#This Row],[L_Bp]]+TabTRADER[[#This Row],[M]])/TabTRADER[[#This Row],[M]])*(1-Commission)*TabTRADER[[#This Row],[Scale]],                               TRUE,"")</f>
        <v>2647.7499048000004</v>
      </c>
      <c r="AQ38" s="1290" cm="1">
        <f t="array" aca="1" ref="AQ38" ca="1">_xlfn.IFS(   TabTRADER[[#This Row],[Traps]]=MUp,TabTRADER[[#This Row],[TakeGain_A]]-Commission,        TabTRADER[[#This Row],[Traps]]=MDown,(TabTRADER[[#This Row],[A]]-TabTRADER[[#This Row],[M]])/TabTRADER[[#This Row],[M]]-Commission,                              TRUE,"")</f>
        <v>0.41258250829462512</v>
      </c>
      <c r="AR38" s="843" cm="1">
        <f t="array" aca="1" ref="AR3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3120.2663594800001</v>
      </c>
      <c r="AS38" s="774" t="str" cm="1">
        <f t="array" aca="1" ref="AS3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-1.0%</v>
      </c>
      <c r="AT38" s="748" cm="1">
        <f t="array" aca="1" ref="AT3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-0.44</v>
      </c>
      <c r="AU38" s="779" cm="1">
        <f t="array" aca="1" ref="AU38" ca="1">_xlfn.IFS(TabTRADER[[#This Row],[Traps]]=ReSaleGain,"",         TabTRADER[[#This Row],[Traps]]=MDown, (TabTRADER[[#This Row],[M]]-TabTRADER[[#This Row],[A]])/TabTRADER[[#This Row],[A]]*ComFactor,             TRUE, IFERROR((TabTRADER[[#This Row],[M]]-TabTRADER[[#This Row],[A]])/TabTRADER[[#This Row],[A]]*ComFactor,""))</f>
        <v>-0.29261457892952381</v>
      </c>
      <c r="AV38" s="776" cm="1">
        <f t="array" aca="1" ref="AV38" ca="1">_xlfn.IFS(               TabTRADER[[#This Row],[Traps]]=NoStock,(TabTRADER[[#This Row],[L_Sp]]-TabTRADER[[#This Row],[M]])/TabTRADER[[#This Row],[M]]-Commission,             TabTRADER[[#This Row],[A]]&lt;&gt;0,(TabTRADER[[#This Row],[A]]-TabTRADER[[#This Row],[M]])/TabTRADER[[#This Row],[M]]-Commission)</f>
        <v>0.41258250829462512</v>
      </c>
      <c r="AW38" s="326">
        <f ca="1">_xlfn.XLOOKUP(TabTRADER[[#This Row],[ClickTick]],TabCalc[Ticker],TabCalc[L_Sn])</f>
        <v>3006</v>
      </c>
      <c r="AX38" s="740">
        <f ca="1">_xlfn.XLOOKUP(TabTRADER[[#This Row],[ClickTick]],TabCalc[Ticker],TabCalc[L_Sp])</f>
        <v>1.54</v>
      </c>
      <c r="AY38" s="778">
        <f ca="1">-IFERROR((TabTRADER[[#This Row],[M]]-TabTRADER[[#This Row],[L_Sp]])/TabTRADER[[#This Row],[L_Sp]],0)</f>
        <v>0.51071428571428579</v>
      </c>
      <c r="AZ38" s="741">
        <f ca="1">TabTRADER[[#This Row],[L_Sn]]*(TabTRADER[[#This Row],[M]]-TabTRADER[[#This Row],[L_Sp]])*(1-Commission)*TabTRADER[[#This Row],[Scale]]</f>
        <v>-2358.0720305999998</v>
      </c>
      <c r="BA38" s="701">
        <f ca="1">TabTRADER[[#This Row],[L_Sn]]*(TabTRADER[[#This Row],[Agiotage]]-TabTRADER[[#This Row],[M]])/(TabTRADER[[#This Row],[L_Bn]]*TabTRADER[[#This Row],[M]])</f>
        <v>2.6422645803099098</v>
      </c>
      <c r="BB38" s="641">
        <f ca="1">IFERROR((TabTRADER[[#This Row],[M]]-TabTRADER[[#This Row],[A]])/TabTRADER[[#This Row],[A]],0)</f>
        <v>-0.29337736006569465</v>
      </c>
      <c r="BC38" s="644" t="str">
        <f ca="1">TEXT(_xlfn.XLOOKUP(TabTRADER[[#This Row],[ClickTick]],TabCalc[Ticker],TabCalc[NAfter]),"#,#0")&amp;" : "&amp;TEXT(_xlfn.XLOOKUP(TabTRADER[[#This Row],[ClickTick]],TabCalc[Ticker],TabCalc[NAfter])*(TabTRADER[[#This Row],[M]]-TabTRADER[[#This Row],[A]])*(1-Commission)*TabTRADER[[#This Row],[Scale]],"#,#0$")</f>
        <v>10,000 : -3,120$</v>
      </c>
      <c r="BD38" s="693">
        <f ca="1">_xlfn.XLOOKUP(TabTRADER[[#This Row],[ClickTick]],TabCalc[[#This Row],[Ticker]],TabCalc[[#This Row],[GL]])*(1-Commission)</f>
        <v>-6957.0076281999973</v>
      </c>
      <c r="BE38" s="693"/>
      <c r="BF38" s="675" t="str">
        <f ca="1">TabTRADER[[#This Row],[ClickTick]]&amp;": "&amp;_xlfn.XLOOKUP(TabTRADER[[#This Row],[ClickTick]],TabCalc[Ticker],TabCalc[Pile?])</f>
        <v xml:space="preserve">PW: </v>
      </c>
      <c r="BG38" s="353" t="s">
        <v>1998</v>
      </c>
      <c r="BH38" s="769" t="str" cm="1">
        <f t="array" aca="1" ref="BH38" ca="1">_xlfn.TEXTJOIN("",,INDEX({"M","A","Y"}, _xlfn.SORTBY({1,2,3}, -CHOOSE({1,2,3}, TabTRADER[[#This Row],[M]], TabTRADER[[#This Row],[A]], TabTRADER[[#This Row],[Agiotage]]))))</f>
        <v>YAM</v>
      </c>
      <c r="BI38" s="976" cm="1">
        <f t="array" aca="1" ref="BI3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0.58659588586595901</v>
      </c>
      <c r="BJ38" s="688" t="e">
        <f ca="1">TabTRADER[[#This Row],[L_Sn]]*TabTRADER[[#This Row],[L_Sp]]+TabTRADER[[#This Row],[SellMore]]*TabTRADER[[#This Row],[M]]</f>
        <v>#N/A</v>
      </c>
      <c r="BK38" s="688" t="e">
        <f ca="1">INDEX(
  INDEX(TabConsolid[], , _xlfn.XMATCH(TabTRADER[[#This Row],[ClickTick]]&amp;1, TabConsolid[#Headers])),
  MATCH(
    -TabTRADER[[#This Row],[M]],
    INDEX(TabConsolid[], , _xlfn.XMATCH(TabTRADER[[#This Row],[ClickTick]]&amp;2, TabConsolid[#Headers])),
    -1
  )
)</f>
        <v>#N/A</v>
      </c>
      <c r="BL38" s="688" cm="1">
        <f t="array" aca="1" ref="BL3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3006</v>
      </c>
      <c r="BM38" s="1260" t="e">
        <f ca="1">TabTRADER[[#This Row],[ReBuy]]/(TabTRADER[[#This Row],[L_Sn]]+TabTRADER[[#This Row],[SellMore]])</f>
        <v>#N/A</v>
      </c>
      <c r="BN38" s="696">
        <f ca="1">((_xlfn.XLOOKUP(TabTRADER[[#This Row],[ClickTick]],TabCalc[Ticker],TabCalc[NAfter])+TabTRADER[[#This Row],[L_Sn]])*(TabTRADER[[#This Row],[Agiotage]]-TabTRADER[[#This Row],[M]]))/(TabTRADER[[#This Row],[L_Sn]]*_xlfn.XLOOKUP(TabTRADER[[#This Row],[ClickTick]],TabCalc[Ticker],TabCalc[NAfter]))</f>
        <v>1.7211181511207721E-3</v>
      </c>
      <c r="BO38" s="696">
        <f ca="1">(TabTRADER[[#This Row],[M]]-TabTRADER[[#This Row],[Agiotage]])/(TabTRADER[[#This Row],[M]]-TabTRADER[[#This Row],[A]])-1</f>
        <v>11.715504805600553</v>
      </c>
      <c r="BP38" s="1388">
        <f ca="1">_xlfn.XMATCH(TabTRADER[[#This Row],[ClickTick]]&amp;1, TabConsolid[#Headers])</f>
        <v>110</v>
      </c>
      <c r="BQ38" t="str">
        <f ca="1">IF(ABS(TabTRADER[[#This Row],[L_Bp]])&gt;=TabTRADER[[#This Row],[M]],"OK")</f>
        <v>OK</v>
      </c>
    </row>
    <row r="39" spans="1:69" hidden="1">
      <c r="A39" s="225">
        <f ca="1">IF(_xlfn.XLOOKUP(TabTRADER[[#This Row],[ClickTick]],TabCalc[Ticker],TabCalc[Cur])="GBp",0.01,1)</f>
        <v>1</v>
      </c>
      <c r="B3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-28.54x2000=    +2,850 USD</v>
      </c>
      <c r="C39"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4.8%</v>
      </c>
      <c r="D39" s="697" t="str" cm="1">
        <f t="array" aca="1" ref="D3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9"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39" s="228" t="str">
        <f ca="1">TRUNC(TabCalc[[#This Row],[L_B1p]],2)&amp;"x"&amp;TabCalc[[#This Row],[L_B1n]]&amp;"=   "&amp;TEXT(TabCalc[[#This Row],[ReverseS1]],"#,#0")&amp;"$"</f>
        <v>-18.65x2000=   22,640$</v>
      </c>
      <c r="G39" s="227" t="str">
        <f ca="1">IFERROR(TRUNC(_xlfn.XLOOKUP(TabTRADER[[#This Row],[ClickTick]],TabCalc[Ticker],ListLastSalep),2)&amp;"x"&amp;_xlfn.XLOOKUP(TabTRADER[[#This Row],[ClickTick]],TabCalc[Ticker],ListLastSalen)&amp;"=   "&amp;TEXT(-_xlfn.XLOOKUP(TabTRADER[[#This Row],[ClickTick]],TabCalc[Ticker],ListReverseB),"#,#0")&amp;"$","")</f>
        <v>29.92x2000=   100$</v>
      </c>
      <c r="H3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-0.2% = 0</v>
      </c>
      <c r="I39" s="228" t="str">
        <f ca="1">IFERROR(TRUNC(TabCalc[[#This Row],[L_S1p]],2)&amp;"x"&amp;TabCalc[[#This Row],[L_S1n]]&amp;"=   "&amp;TEXT(TabCalc[[#This Row],[ReverseB1]],"#,#0"),"")</f>
        <v>38.72x1000=   8,750</v>
      </c>
      <c r="J39" s="297">
        <f ca="1">_xlfn.XLOOKUP(TabTRADER[[#This Row],[ClickTick]],TabCalc[Ticker],ListGravity)</f>
        <v>1.2789456122789455</v>
      </c>
      <c r="K39" s="324" t="str" cm="1">
        <f t="array" aca="1" ref="K39" ca="1">IF(_xlfn.XLOOKUP(TabTRADER[[#This Row],[ClickTick]],TabTRADER[ClickTick],ListExtra_n)&gt;0,_xlfn.XLOOKUP(TabTRADER[[#This Row],[ClickTick]],TabTRADER[ClickTick],ListExtra_n),"")</f>
        <v/>
      </c>
      <c r="L39" s="322" t="str">
        <f ca="1">IF(_xlfn.XLOOKUP(TabTRADER[[#This Row],[ClickTick]],TabCalc[Ticker],ListExtra_n)&gt;0,_xlfn.XLOOKUP(TabTRADER[[#This Row],[ClickTick]],TabCalc[Ticker],ListExtra_n)*TabTRADER[[#This Row],[M]]*_xlfn.XLOOKUP(TabTRADER[[#This Row],[ClickTick]],TabCalc[Ticker],ListScale),"")</f>
        <v/>
      </c>
      <c r="M39" s="325">
        <f ca="1">_xlfn.XLOOKUP(TabTRADER[[#This Row],[ClickTick]],TabCalc[Ticker],TabCalc[Agiotage])</f>
        <v>0.48854361342578145</v>
      </c>
      <c r="N39" s="326" cm="1">
        <f t="array" aca="1" ref="N39" ca="1">_xlfn.XLOOKUP(TabTRADER[[#This Row],[ClickTick]],ListTickers,Tab2RSIConventional[RSIConv20])</f>
        <v>54</v>
      </c>
      <c r="O39" s="712" t="str">
        <f ca="1">TEXT(_xlfn.XLOOKUP(TabTRADER[[#This Row],[ClickTick]],TabCalc[Ticker],TabCalc[Nbegin]),"#,#0")&amp;": "&amp;_xlfn.XLOOKUP(TabTRADER[[#This Row],[ClickTick]],TabCalc[Ticker],TabCalc[Pile?])</f>
        <v xml:space="preserve">2,700: </v>
      </c>
      <c r="P39" s="323">
        <f ca="1">_xlfn.XLOOKUP(TabTRADER[[#This Row],[ClickTick]],TabCalc[Ticker],TabCalc[L_Bn])</f>
        <v>2000</v>
      </c>
      <c r="Q39" s="690">
        <f ca="1">_xlfn.XLOOKUP(TabTRADER[[#This Row],[ClickTick]],TabCalc[Ticker],TabCalc[L_Bp])</f>
        <v>-28.545245000000001</v>
      </c>
      <c r="R39" s="778">
        <f ca="1">(TabTRADER[[#This Row],[M]]+TabTRADER[[#This Row],[L_Bp]])/ABS(TabTRADER[[#This Row],[L_Bp]])</f>
        <v>4.9912165756503313E-2</v>
      </c>
      <c r="S39" s="692">
        <f ca="1">_xlfn.XLOOKUP(TabTRADER[[#This Row],[ClickTick]],TabCalc[Ticker],TabCalc[Rev(MinStock)])*(1-Commission)</f>
        <v>2842.1012739999951</v>
      </c>
      <c r="T39" s="798">
        <f ca="1">_xlfn.XLOOKUP(TabTRADER[[#This Row],[ClickTick]],TabCalc[Ticker],TabCalc[Agiotage])</f>
        <v>0.48854361342578145</v>
      </c>
      <c r="U39" s="759" t="str" cm="1">
        <f t="array" aca="1" ref="U3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520/520=&gt;7.2% / 2.0%</v>
      </c>
      <c r="V39" s="751" t="str">
        <f ca="1">_xlfn.XLOOKUP(TabTRADER[[#This Row],[ClickTick]],[1]!RTData[Ticker symbol],[1]!RTData[Currency])</f>
        <v>USD</v>
      </c>
      <c r="W39" s="761">
        <f ca="1">_xlfn.XLOOKUP(TabTRADER[[#This Row],[ClickTick]],TabCalc[Ticker],TabCalc[M])</f>
        <v>29.97</v>
      </c>
      <c r="X39" s="762" t="str">
        <f ca="1">SORTING!B39</f>
        <v>RIGL</v>
      </c>
      <c r="Y39" s="819">
        <f ca="1">_xlfn.XLOOKUP(TabTRADER[[#This Row],[ClickTick]],TabCalc[Ticker],TabCalc[Y])</f>
        <v>38.33</v>
      </c>
      <c r="Z39" s="835">
        <f ca="1">_xlfn.XLOOKUP(TabTRADER[[#This Row],[ClickTick]],[1]!RTData[Ticker symbol],[1]!RTData[YTChange])</f>
        <v>0.13604030823947824</v>
      </c>
      <c r="AA39" s="851">
        <f ca="1">-_xlfn.XLOOKUP(TabTRADER[[#This Row],[ClickTick]]&amp;2,Consolid!B$3:JZ$3,Consolid!B$4:JZ$4)</f>
        <v>28.545245000000001</v>
      </c>
      <c r="AB39" s="835" cm="1">
        <f t="array" aca="1" ref="AB39" ca="1">_xlfn.XLOOKUP(TabTRADER[[#This Row],[ClickTick]],ListTickers,Tab1ChangePercent[Change%19])</f>
        <v>7.1986999999999995E-2</v>
      </c>
      <c r="AC39" s="782">
        <f ca="1">_xlfn.XLOOKUP(TabTRADER[[#This Row],[ClickTick]],TabCalc[Ticker],TabCalc[NAfter])</f>
        <v>2000</v>
      </c>
      <c r="AD39"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^124/60 K$</v>
      </c>
      <c r="AE39" s="1299" t="str" cm="1">
        <f t="array" aca="1" ref="AE3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39" s="1281" t="str" cm="1">
        <f t="array" aca="1" ref="AF39" ca="1">_xlfn.IFS(       TabTRADER[[#This Row],[Traps]]=RePurchaseGain,TEXT(TabTRADER[[#This Row],[L_Sn]],"#,#0")&amp;" x "&amp;TEXT(TabTRADER[[#This Row],[L_Sp]],"#,#0.#0"),     TabTRADER[[#This Row],[Traps]]=ReSaleGain,TEXT(TabTRADER[[#This Row],[L_Bn]],"#0,#0")&amp;" x "&amp;TEXT(TabTRADER[[#This Row],[L_Bp]],"#,#0.#0"),               TRUE,"")</f>
        <v/>
      </c>
      <c r="AG39" s="1281" t="str" cm="1">
        <f t="array" aca="1" ref="AG3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2,000 x 29.92</v>
      </c>
      <c r="AH39" s="1281" cm="1">
        <f t="array" aca="1" ref="AH3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99.739999999994325</v>
      </c>
      <c r="AI39" s="1281" cm="1">
        <f t="array" aca="1" ref="AI3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2842.1012739999951</v>
      </c>
      <c r="AJ39" s="1290" cm="1">
        <f t="array" aca="1" ref="AJ3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4.9912165756503313E-2</v>
      </c>
      <c r="AK39" s="1290" cm="1">
        <f t="array" aca="1" ref="AK3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-9.3166499833175973E-4</v>
      </c>
      <c r="AL39" s="843" cm="1">
        <f t="array" aca="1" ref="AL39" ca="1">_xlfn.IFS(   TabTRADER[[#This Row],[Traps]]=SellMorePercentGain,                     MIN(TabTRADER[[#This Row],[L_Sn]],TabTRADER[[#This Row],[N]])*(TabTRADER[[#This Row],[M]]-TabTRADER[[#This Row],[L_Sp]])*(1-Commission)*TabTRADER[[#This Row],[Scale]],                    TRUE,"")</f>
        <v>99.739999999994325</v>
      </c>
      <c r="AM39" s="1039">
        <f ca="1">_xlfn.XLOOKUP(TabTRADER[[#This Row],[ClickTick]],TabCalc[Ticker],TabCalc[Ann%RevLB])</f>
        <v>0.59894598907803975</v>
      </c>
      <c r="AN39" s="1038">
        <f ca="1">_xlfn.XLOOKUP(TabTRADER[[#This Row],[ClickTick]],TabCalc[Ticker],TabCalc[Up20])</f>
        <v>0</v>
      </c>
      <c r="AO39" s="1291" t="str" cm="1">
        <f t="array" aca="1" ref="AO3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9" s="843" t="str" cm="1">
        <f t="array" aca="1" ref="AP39" ca="1">_xlfn.IFS(         TabTRADER[[#This Row],[Traps]]=MDown,TabTRADER[[#This Row],[L_Bn]]*TabTRADER[[#This Row],[M]]*(-(TabTRADER[[#This Row],[L_Bp]]+TabTRADER[[#This Row],[M]])/TabTRADER[[#This Row],[M]])*(1-Commission)*TabTRADER[[#This Row],[Scale]],                               TRUE,"")</f>
        <v/>
      </c>
      <c r="AQ39" s="1290" cm="1">
        <f t="array" aca="1" ref="AQ39" ca="1">_xlfn.IFS(   TabTRADER[[#This Row],[Traps]]=MUp,TabTRADER[[#This Row],[TakeGain_A]]-Commission,        TabTRADER[[#This Row],[Traps]]=MDown,(TabTRADER[[#This Row],[A]]-TabTRADER[[#This Row],[M]])/TabTRADER[[#This Row],[M]]-Commission,                              TRUE,"")</f>
        <v>4.7312165756503315E-2</v>
      </c>
      <c r="AR39" s="843" cm="1">
        <f t="array" aca="1" ref="AR3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2983.9567038846517</v>
      </c>
      <c r="AS39" s="774" t="str" cm="1">
        <f t="array" aca="1" ref="AS3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0.8%</v>
      </c>
      <c r="AT39" s="748" t="str" cm="1">
        <f t="array" aca="1" ref="AT3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2,000x1.42</v>
      </c>
      <c r="AU39" s="779" cm="1">
        <f t="array" aca="1" ref="AU39" ca="1">_xlfn.IFS(TabTRADER[[#This Row],[Traps]]=ReSaleGain,"",         TabTRADER[[#This Row],[Traps]]=MDown, (TabTRADER[[#This Row],[M]]-TabTRADER[[#This Row],[A]])/TabTRADER[[#This Row],[A]]*ComFactor,             TRUE, IFERROR((TabTRADER[[#This Row],[M]]-TabTRADER[[#This Row],[A]])/TabTRADER[[#This Row],[A]]*ComFactor,""))</f>
        <v>4.9782394125536401E-2</v>
      </c>
      <c r="AV39" s="776" cm="1">
        <f t="array" aca="1" ref="AV39" ca="1">_xlfn.IFS(               TabTRADER[[#This Row],[Traps]]=NoStock,(TabTRADER[[#This Row],[L_Sp]]-TabTRADER[[#This Row],[M]])/TabTRADER[[#This Row],[M]]-Commission,             TabTRADER[[#This Row],[A]]&lt;&gt;0,(TabTRADER[[#This Row],[A]]-TabTRADER[[#This Row],[M]])/TabTRADER[[#This Row],[M]]-Commission)</f>
        <v>-5.0139372706039291E-2</v>
      </c>
      <c r="AW39" s="326">
        <f ca="1">_xlfn.XLOOKUP(TabTRADER[[#This Row],[ClickTick]],TabCalc[Ticker],TabCalc[L_Sn])</f>
        <v>2000</v>
      </c>
      <c r="AX39" s="740">
        <f ca="1">_xlfn.XLOOKUP(TabTRADER[[#This Row],[ClickTick]],TabCalc[Ticker],TabCalc[L_Sp])</f>
        <v>29.92</v>
      </c>
      <c r="AY39" s="778">
        <f ca="1">-IFERROR((TabTRADER[[#This Row],[M]]-TabTRADER[[#This Row],[L_Sp]])/TabTRADER[[#This Row],[L_Sp]],0)</f>
        <v>-1.6711229946523114E-3</v>
      </c>
      <c r="AZ39" s="741">
        <f ca="1">TabTRADER[[#This Row],[L_Sn]]*(TabTRADER[[#This Row],[M]]-TabTRADER[[#This Row],[L_Sp]])*(1-Commission)*TabTRADER[[#This Row],[Scale]]</f>
        <v>99.739999999994325</v>
      </c>
      <c r="BA39" s="701">
        <f ca="1">TabTRADER[[#This Row],[L_Sn]]*(TabTRADER[[#This Row],[Agiotage]]-TabTRADER[[#This Row],[M]])/(TabTRADER[[#This Row],[L_Bn]]*TabTRADER[[#This Row],[M]])</f>
        <v>-0.98369891179760482</v>
      </c>
      <c r="BB39" s="641">
        <f ca="1">IFERROR((TabTRADER[[#This Row],[M]]-TabTRADER[[#This Row],[A]])/TabTRADER[[#This Row],[A]],0)</f>
        <v>4.9912165756503313E-2</v>
      </c>
      <c r="BC39" s="644" t="str">
        <f ca="1">TEXT(_xlfn.XLOOKUP(TabTRADER[[#This Row],[ClickTick]],TabCalc[Ticker],TabCalc[NAfter]),"#,#0")&amp;" : "&amp;TEXT(_xlfn.XLOOKUP(TabTRADER[[#This Row],[ClickTick]],TabCalc[Ticker],TabCalc[NAfter])*(TabTRADER[[#This Row],[M]]-TabTRADER[[#This Row],[A]])*(1-Commission)*TabTRADER[[#This Row],[Scale]],"#,#0$")</f>
        <v>2,000 : 2,842$</v>
      </c>
      <c r="BD39" s="693">
        <f ca="1">_xlfn.XLOOKUP(TabTRADER[[#This Row],[ClickTick]],TabCalc[[#This Row],[Ticker]],TabCalc[[#This Row],[GL]])*(1-Commission)</f>
        <v>123604.01182800012</v>
      </c>
      <c r="BE39" s="693"/>
      <c r="BF39" s="675" t="str">
        <f ca="1">TabTRADER[[#This Row],[ClickTick]]&amp;": "&amp;_xlfn.XLOOKUP(TabTRADER[[#This Row],[ClickTick]],TabCalc[Ticker],TabCalc[Pile?])</f>
        <v xml:space="preserve">RIGL: </v>
      </c>
      <c r="BG39" s="353" t="s">
        <v>1999</v>
      </c>
      <c r="BH39" s="769" t="str" cm="1">
        <f t="array" aca="1" ref="BH39" ca="1">_xlfn.TEXTJOIN("",,INDEX({"M","A","Y"}, _xlfn.SORTBY({1,2,3}, -CHOOSE({1,2,3}, TabTRADER[[#This Row],[M]], TabTRADER[[#This Row],[A]], TabTRADER[[#This Row],[Agiotage]]))))</f>
        <v>MAY</v>
      </c>
      <c r="BI39" s="976" cm="1">
        <f t="array" aca="1" ref="BI3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1.6683350016682402E-3</v>
      </c>
      <c r="BJ39" s="688">
        <f ca="1">TabTRADER[[#This Row],[L_Sn]]*TabTRADER[[#This Row],[L_Sp]]+TabTRADER[[#This Row],[SellMore]]*TabTRADER[[#This Row],[M]]</f>
        <v>119780</v>
      </c>
      <c r="BK39" s="688">
        <f ca="1">INDEX(
  INDEX(TabConsolid[], , _xlfn.XMATCH(TabTRADER[[#This Row],[ClickTick]]&amp;1, TabConsolid[#Headers])),
  MATCH(
    -TabTRADER[[#This Row],[M]],
    INDEX(TabConsolid[], , _xlfn.XMATCH(TabTRADER[[#This Row],[ClickTick]]&amp;2, TabConsolid[#Headers])),
    -1
  )
)</f>
        <v>2000</v>
      </c>
      <c r="BL39" s="688" cm="1">
        <f t="array" aca="1" ref="BL3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39" s="1260">
        <f ca="1">TabTRADER[[#This Row],[ReBuy]]/(TabTRADER[[#This Row],[L_Sn]]+TabTRADER[[#This Row],[SellMore]])</f>
        <v>29.945</v>
      </c>
      <c r="BN39" s="696">
        <f ca="1">((_xlfn.XLOOKUP(TabTRADER[[#This Row],[ClickTick]],TabCalc[Ticker],TabCalc[NAfter])+TabTRADER[[#This Row],[L_Sn]])*(TabTRADER[[#This Row],[Agiotage]]-TabTRADER[[#This Row],[M]]))/(TabTRADER[[#This Row],[L_Sn]]*_xlfn.XLOOKUP(TabTRADER[[#This Row],[ClickTick]],TabCalc[Ticker],TabCalc[NAfter]))</f>
        <v>-2.9481456386574217E-2</v>
      </c>
      <c r="BO39" s="696">
        <f ca="1">(TabTRADER[[#This Row],[M]]-TabTRADER[[#This Row],[Agiotage]])/(TabTRADER[[#This Row],[M]]-TabTRADER[[#This Row],[A]])-1</f>
        <v>19.692298947239536</v>
      </c>
      <c r="BP39" s="1388">
        <f ca="1">_xlfn.XMATCH(TabTRADER[[#This Row],[ClickTick]]&amp;1, TabConsolid[#Headers])</f>
        <v>113</v>
      </c>
      <c r="BQ39" t="b">
        <f ca="1">IF(ABS(TabTRADER[[#This Row],[L_Bp]])&gt;=TabTRADER[[#This Row],[M]],"OK")</f>
        <v>0</v>
      </c>
    </row>
    <row r="40" spans="1:69" hidden="1">
      <c r="A40" s="225">
        <f ca="1">IF(_xlfn.XLOOKUP(TabTRADER[[#This Row],[ClickTick]],TabCalc[Ticker],TabCalc[Cur])="GBp",0.01,1)</f>
        <v>1</v>
      </c>
      <c r="B4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-28.37x4000=    +610 EUR</v>
      </c>
      <c r="C40"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30.1%</v>
      </c>
      <c r="D40" s="697" t="str" cm="1">
        <f t="array" aca="1" ref="D4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0"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0" s="228" t="str">
        <f ca="1">TRUNC(TabCalc[[#This Row],[L_B1p]],2)&amp;"x"&amp;TabCalc[[#This Row],[L_B1n]]&amp;"=   "&amp;TEXT(TabCalc[[#This Row],[ReverseS1]],"#,#0")&amp;"$"</f>
        <v>-29.23x4000=   567$</v>
      </c>
      <c r="G40" s="227" t="str">
        <f ca="1">IFERROR(TRUNC(_xlfn.XLOOKUP(TabTRADER[[#This Row],[ClickTick]],TabCalc[Ticker],ListLastSalep),2)&amp;"x"&amp;_xlfn.XLOOKUP(TabTRADER[[#This Row],[ClickTick]],TabCalc[Ticker],ListLastSalen)&amp;"=   "&amp;TEXT(-_xlfn.XLOOKUP(TabTRADER[[#This Row],[ClickTick]],TabCalc[Ticker],ListReverseB),"#,#0")&amp;"$","")</f>
        <v>33.36x3200=   23,072$</v>
      </c>
      <c r="H4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-17.8% = 0</v>
      </c>
      <c r="I40" s="228" t="str">
        <f ca="1">IFERROR(TRUNC(TabCalc[[#This Row],[L_S1p]],2)&amp;"x"&amp;TabCalc[[#This Row],[L_S1n]]&amp;"=   "&amp;TEXT(TabCalc[[#This Row],[ReverseB1]],"#,#0"),"")</f>
        <v>32.24x1500=   -12,495</v>
      </c>
      <c r="J40" s="297">
        <f ca="1">_xlfn.XLOOKUP(TabTRADER[[#This Row],[ClickTick]],TabCalc[Ticker],ListGravity)</f>
        <v>1.0841101799359132</v>
      </c>
      <c r="K40" s="324" t="str" cm="1">
        <f t="array" aca="1" ref="K40" ca="1">IF(_xlfn.XLOOKUP(TabTRADER[[#This Row],[ClickTick]],TabTRADER[ClickTick],ListExtra_n)&gt;0,_xlfn.XLOOKUP(TabTRADER[[#This Row],[ClickTick]],TabTRADER[ClickTick],ListExtra_n),"")</f>
        <v/>
      </c>
      <c r="L40" s="322" t="str">
        <f ca="1">IF(_xlfn.XLOOKUP(TabTRADER[[#This Row],[ClickTick]],TabCalc[Ticker],ListExtra_n)&gt;0,_xlfn.XLOOKUP(TabTRADER[[#This Row],[ClickTick]],TabCalc[Ticker],ListExtra_n)*TabTRADER[[#This Row],[M]]*_xlfn.XLOOKUP(TabTRADER[[#This Row],[ClickTick]],TabCalc[Ticker],ListScale),"")</f>
        <v/>
      </c>
      <c r="M40" s="325">
        <f ca="1">_xlfn.XLOOKUP(TabTRADER[[#This Row],[ClickTick]],TabCalc[Ticker],TabCalc[Agiotage])</f>
        <v>0.73562425007112731</v>
      </c>
      <c r="N40" s="326" cm="1">
        <f t="array" aca="1" ref="N40" ca="1">_xlfn.XLOOKUP(TabTRADER[[#This Row],[ClickTick]],ListTickers,Tab2RSIConventional[RSIConv20])</f>
        <v>56</v>
      </c>
      <c r="O40" s="712" t="str">
        <f ca="1">TEXT(_xlfn.XLOOKUP(TabTRADER[[#This Row],[ClickTick]],TabCalc[Ticker],TabCalc[Nbegin]),"#,#0")&amp;": "&amp;_xlfn.XLOOKUP(TabTRADER[[#This Row],[ClickTick]],TabCalc[Ticker],TabCalc[Pile?])</f>
        <v>30,000: Pile</v>
      </c>
      <c r="P40" s="326">
        <f ca="1">_xlfn.XLOOKUP(TabTRADER[[#This Row],[ClickTick]],TabCalc[Ticker],TabCalc[L_Bn])</f>
        <v>4000</v>
      </c>
      <c r="Q40" s="690">
        <f ca="1">_xlfn.XLOOKUP(TabTRADER[[#This Row],[ClickTick]],TabCalc[Ticker],TabCalc[L_Bp])</f>
        <v>-28.37</v>
      </c>
      <c r="R40" s="778">
        <f ca="1">(TabTRADER[[#This Row],[M]]+TabTRADER[[#This Row],[L_Bp]])/ABS(TabTRADER[[#This Row],[L_Bp]])</f>
        <v>0.43003172365174475</v>
      </c>
      <c r="S40" s="692">
        <f ca="1">_xlfn.XLOOKUP(TabTRADER[[#This Row],[ClickTick]],TabCalc[Ticker],TabCalc[Rev(MinStock)])*(1-Commission)</f>
        <v>608.41399999999999</v>
      </c>
      <c r="T40" s="798">
        <f ca="1">_xlfn.XLOOKUP(TabTRADER[[#This Row],[ClickTick]],TabCalc[Ticker],TabCalc[Agiotage])</f>
        <v>0.73562425007112731</v>
      </c>
      <c r="U40" s="759" t="str" cm="1">
        <f t="array" aca="1" ref="U4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12/12=&gt;2.0% / 0.3%</v>
      </c>
      <c r="V40" s="751" t="str">
        <f ca="1">_xlfn.XLOOKUP(TabTRADER[[#This Row],[ClickTick]],[1]!RTData[Ticker symbol],[1]!RTData[Currency])</f>
        <v>EUR</v>
      </c>
      <c r="W40" s="761">
        <f ca="1">_xlfn.XLOOKUP(TabTRADER[[#This Row],[ClickTick]],TabCalc[Ticker],TabCalc[M])</f>
        <v>40.57</v>
      </c>
      <c r="X40" s="719" t="str">
        <f ca="1">SORTING!B40</f>
        <v>RWE</v>
      </c>
      <c r="Y40" s="819">
        <f ca="1">_xlfn.XLOOKUP(TabTRADER[[#This Row],[ClickTick]],TabCalc[Ticker],TabCalc[Y])</f>
        <v>43.982349999999997</v>
      </c>
      <c r="Z40" s="835">
        <f ca="1">_xlfn.XLOOKUP(TabTRADER[[#This Row],[ClickTick]],[1]!RTData[Ticker symbol],[1]!RTData[YTChange])</f>
        <v>-9.4065315315315732E-3</v>
      </c>
      <c r="AA40" s="851">
        <f ca="1">-_xlfn.XLOOKUP(TabTRADER[[#This Row],[ClickTick]]&amp;2,Consolid!B$3:JZ$3,Consolid!B$4:JZ$4)</f>
        <v>28.37</v>
      </c>
      <c r="AB40" s="835" cm="1">
        <f t="array" aca="1" ref="AB40" ca="1">_xlfn.XLOOKUP(TabTRADER[[#This Row],[ClickTick]],ListTickers,Tab1ChangePercent[Change%19])</f>
        <v>1.9734999999999999E-2</v>
      </c>
      <c r="AC40" s="782">
        <f ca="1">_xlfn.XLOOKUP(TabTRADER[[#This Row],[ClickTick]],TabCalc[Ticker],TabCalc[NAfter])</f>
        <v>50</v>
      </c>
      <c r="AD40"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^36/2 K$</v>
      </c>
      <c r="AE40" s="1299" t="str" cm="1">
        <f t="array" aca="1" ref="AE4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40" s="1281" t="str" cm="1">
        <f t="array" aca="1" ref="AF40" ca="1">_xlfn.IFS(       TabTRADER[[#This Row],[Traps]]=RePurchaseGain,TEXT(TabTRADER[[#This Row],[L_Sn]],"#,#0")&amp;" x "&amp;TEXT(TabTRADER[[#This Row],[L_Sp]],"#,#0.#0"),     TabTRADER[[#This Row],[Traps]]=ReSaleGain,TEXT(TabTRADER[[#This Row],[L_Bn]],"#0,#0")&amp;" x "&amp;TEXT(TabTRADER[[#This Row],[L_Bp]],"#,#0.#0"),               TRUE,"")</f>
        <v/>
      </c>
      <c r="AG40" s="1281" t="str" cm="1">
        <f t="array" aca="1" ref="AG4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 x 33.36</v>
      </c>
      <c r="AH40" s="1281" cm="1">
        <f t="array" aca="1" ref="AH4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359.56270000000006</v>
      </c>
      <c r="AI40" s="1281" cm="1">
        <f t="array" aca="1" ref="AI4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608.41399999999999</v>
      </c>
      <c r="AJ40" s="1290" cm="1">
        <f t="array" aca="1" ref="AJ4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0.43003172365174475</v>
      </c>
      <c r="AK40" s="1290" cm="1">
        <f t="array" aca="1" ref="AK4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0.17511752526497415</v>
      </c>
      <c r="AL40" s="843" cm="1">
        <f t="array" aca="1" ref="AL40" ca="1">_xlfn.IFS(   TabTRADER[[#This Row],[Traps]]=SellMorePercentGain,                     MIN(TabTRADER[[#This Row],[L_Sn]],TabTRADER[[#This Row],[N]])*(TabTRADER[[#This Row],[M]]-TabTRADER[[#This Row],[L_Sp]])*(1-Commission)*TabTRADER[[#This Row],[Scale]],                    TRUE,"")</f>
        <v>359.56270000000006</v>
      </c>
      <c r="AM40" s="1279">
        <f ca="1">_xlfn.XLOOKUP(TabTRADER[[#This Row],[ClickTick]],TabCalc[Ticker],TabCalc[Ann%RevLB])</f>
        <v>0.61677856778736295</v>
      </c>
      <c r="AN40" s="1039">
        <f ca="1">_xlfn.XLOOKUP(TabTRADER[[#This Row],[ClickTick]],TabCalc[Ticker],TabCalc[Up20])</f>
        <v>0</v>
      </c>
      <c r="AO40" s="1291" t="str" cm="1">
        <f t="array" aca="1" ref="AO4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0" s="843" t="str" cm="1">
        <f t="array" aca="1" ref="AP40" ca="1">_xlfn.IFS(         TabTRADER[[#This Row],[Traps]]=MDown,TabTRADER[[#This Row],[L_Bn]]*TabTRADER[[#This Row],[M]]*(-(TabTRADER[[#This Row],[L_Bp]]+TabTRADER[[#This Row],[M]])/TabTRADER[[#This Row],[M]])*(1-Commission)*TabTRADER[[#This Row],[Scale]],                               TRUE,"")</f>
        <v/>
      </c>
      <c r="AQ40" s="1290" cm="1">
        <f t="array" aca="1" ref="AQ40" ca="1">_xlfn.IFS(   TabTRADER[[#This Row],[Traps]]=MUp,TabTRADER[[#This Row],[TakeGain_A]]-Commission,        TabTRADER[[#This Row],[Traps]]=MDown,(TabTRADER[[#This Row],[A]]-TabTRADER[[#This Row],[M]])/TabTRADER[[#This Row],[M]]-Commission,                              TRUE,"")</f>
        <v>0.42743172365174475</v>
      </c>
      <c r="AR40" s="843" cm="1">
        <f t="array" aca="1" ref="AR4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870.05132111385251</v>
      </c>
      <c r="AS40" s="774" t="str" cm="1">
        <f t="array" aca="1" ref="AS4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-0.9%</v>
      </c>
      <c r="AT40" s="748" t="str" cm="1">
        <f t="array" aca="1" ref="AT4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50x12.2</v>
      </c>
      <c r="AU40" s="779" cm="1">
        <f t="array" aca="1" ref="AU40" ca="1">_xlfn.IFS(TabTRADER[[#This Row],[Traps]]=ReSaleGain,"",         TabTRADER[[#This Row],[Traps]]=MDown, (TabTRADER[[#This Row],[M]]-TabTRADER[[#This Row],[A]])/TabTRADER[[#This Row],[A]]*ComFactor,             TRUE, IFERROR((TabTRADER[[#This Row],[M]]-TabTRADER[[#This Row],[A]])/TabTRADER[[#This Row],[A]]*ComFactor,""))</f>
        <v>0.42891364117025021</v>
      </c>
      <c r="AV40" s="776" cm="1">
        <f t="array" aca="1" ref="AV40" ca="1">_xlfn.IFS(               TabTRADER[[#This Row],[Traps]]=NoStock,(TabTRADER[[#This Row],[L_Sp]]-TabTRADER[[#This Row],[M]])/TabTRADER[[#This Row],[M]]-Commission,             TabTRADER[[#This Row],[A]]&lt;&gt;0,(TabTRADER[[#This Row],[A]]-TabTRADER[[#This Row],[M]])/TabTRADER[[#This Row],[M]]-Commission)</f>
        <v>-0.30331481390189791</v>
      </c>
      <c r="AW40" s="326">
        <f ca="1">_xlfn.XLOOKUP(TabTRADER[[#This Row],[ClickTick]],TabCalc[Ticker],TabCalc[L_Sn])</f>
        <v>3200</v>
      </c>
      <c r="AX40" s="740">
        <f ca="1">_xlfn.XLOOKUP(TabTRADER[[#This Row],[ClickTick]],TabCalc[Ticker],TabCalc[L_Sp])</f>
        <v>33.36</v>
      </c>
      <c r="AY40" s="778">
        <f ca="1">-IFERROR((TabTRADER[[#This Row],[M]]-TabTRADER[[#This Row],[L_Sp]])/TabTRADER[[#This Row],[L_Sp]],0)</f>
        <v>-0.21612709832134294</v>
      </c>
      <c r="AZ40" s="741">
        <f ca="1">TabTRADER[[#This Row],[L_Sn]]*(TabTRADER[[#This Row],[M]]-TabTRADER[[#This Row],[L_Sp]])*(1-Commission)*TabTRADER[[#This Row],[Scale]]</f>
        <v>23012.012800000004</v>
      </c>
      <c r="BA40" s="701">
        <f ca="1">TabTRADER[[#This Row],[L_Sn]]*(TabTRADER[[#This Row],[Agiotage]]-TabTRADER[[#This Row],[M]])/(TabTRADER[[#This Row],[L_Bn]]*TabTRADER[[#This Row],[M]])</f>
        <v>-0.7854942223303697</v>
      </c>
      <c r="BB40" s="641">
        <f ca="1">IFERROR((TabTRADER[[#This Row],[M]]-TabTRADER[[#This Row],[A]])/TabTRADER[[#This Row],[A]],0)</f>
        <v>0.43003172365174475</v>
      </c>
      <c r="BC40" s="644" t="str">
        <f ca="1">TEXT(_xlfn.XLOOKUP(TabTRADER[[#This Row],[ClickTick]],TabCalc[Ticker],TabCalc[NAfter]),"#,#0")&amp;" : "&amp;TEXT(_xlfn.XLOOKUP(TabTRADER[[#This Row],[ClickTick]],TabCalc[Ticker],TabCalc[NAfter])*(TabTRADER[[#This Row],[M]]-TabTRADER[[#This Row],[A]])*(1-Commission)*TabTRADER[[#This Row],[Scale]],"#,#0$")</f>
        <v>50 : 608$</v>
      </c>
      <c r="BD40" s="693">
        <f ca="1">_xlfn.XLOOKUP(TabTRADER[[#This Row],[ClickTick]],TabCalc[[#This Row],[Ticker]],TabCalc[[#This Row],[GL]])*(1-Commission)</f>
        <v>36067.83168349992</v>
      </c>
      <c r="BE40" s="693"/>
      <c r="BF40" s="675" t="str">
        <f ca="1">TabTRADER[[#This Row],[ClickTick]]&amp;": "&amp;_xlfn.XLOOKUP(TabTRADER[[#This Row],[ClickTick]],TabCalc[Ticker],TabCalc[Pile?])</f>
        <v>RWE: Pile</v>
      </c>
      <c r="BG40" s="353" t="s">
        <v>2000</v>
      </c>
      <c r="BH40" s="769" t="str" cm="1">
        <f t="array" aca="1" ref="BH40" ca="1">_xlfn.TEXTJOIN("",,INDEX({"M","A","Y"}, _xlfn.SORTBY({1,2,3}, -CHOOSE({1,2,3}, TabTRADER[[#This Row],[M]], TabTRADER[[#This Row],[A]], TabTRADER[[#This Row],[Agiotage]]))))</f>
        <v>MAY</v>
      </c>
      <c r="BI40" s="976" cm="1">
        <f t="array" aca="1" ref="BI4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0.17771752526497414</v>
      </c>
      <c r="BJ40" s="688">
        <f ca="1">TabTRADER[[#This Row],[L_Sn]]*TabTRADER[[#This Row],[L_Sp]]+TabTRADER[[#This Row],[SellMore]]*TabTRADER[[#This Row],[M]]</f>
        <v>108780.5</v>
      </c>
      <c r="BK40" s="688">
        <f ca="1">INDEX(
  INDEX(TabConsolid[], , _xlfn.XMATCH(TabTRADER[[#This Row],[ClickTick]]&amp;1, TabConsolid[#Headers])),
  MATCH(
    -TabTRADER[[#This Row],[M]],
    INDEX(TabConsolid[], , _xlfn.XMATCH(TabTRADER[[#This Row],[ClickTick]]&amp;2, TabConsolid[#Headers])),
    -1
  )
)</f>
        <v>50</v>
      </c>
      <c r="BL40" s="688" cm="1">
        <f t="array" aca="1" ref="BL4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0" s="1260">
        <f ca="1">TabTRADER[[#This Row],[ReBuy]]/(TabTRADER[[#This Row],[L_Sn]]+TabTRADER[[#This Row],[SellMore]])</f>
        <v>33.470923076923079</v>
      </c>
      <c r="BN40" s="696">
        <f ca="1">((_xlfn.XLOOKUP(TabTRADER[[#This Row],[ClickTick]],TabCalc[Ticker],TabCalc[NAfter])+TabTRADER[[#This Row],[L_Sn]])*(TabTRADER[[#This Row],[Agiotage]]-TabTRADER[[#This Row],[M]]))/(TabTRADER[[#This Row],[L_Sn]]*_xlfn.XLOOKUP(TabTRADER[[#This Row],[ClickTick]],TabCalc[Ticker],TabCalc[NAfter]))</f>
        <v>-0.8091357574204302</v>
      </c>
      <c r="BO40" s="696">
        <f ca="1">(TabTRADER[[#This Row],[M]]-TabTRADER[[#This Row],[Agiotage]])/(TabTRADER[[#This Row],[M]]-TabTRADER[[#This Row],[A]])-1</f>
        <v>2.2651127663876127</v>
      </c>
      <c r="BP40" s="1388">
        <f ca="1">_xlfn.XMATCH(TabTRADER[[#This Row],[ClickTick]]&amp;1, TabConsolid[#Headers])</f>
        <v>116</v>
      </c>
      <c r="BQ40" t="b">
        <f ca="1">IF(ABS(TabTRADER[[#This Row],[L_Bp]])&gt;=TabTRADER[[#This Row],[M]],"OK")</f>
        <v>0</v>
      </c>
    </row>
    <row r="41" spans="1:69" hidden="1">
      <c r="A41" s="225">
        <f ca="1">IF(_xlfn.XLOOKUP(TabTRADER[[#This Row],[ClickTick]],TabCalc[Ticker],TabCalc[Cur])="GBp",0.01,1)</f>
        <v>1</v>
      </c>
      <c r="B4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-232.35x500=    +500 EUR</v>
      </c>
      <c r="C41"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0.4%</v>
      </c>
      <c r="D41" s="697" t="str" cm="1">
        <f t="array" aca="1" ref="D4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1" s="228" t="str">
        <f ca="1">TRUNC(TabCalc[[#This Row],[L_B1p]],2)&amp;"x"&amp;TabCalc[[#This Row],[L_B1n]]&amp;"=   "&amp;TEXT(TabCalc[[#This Row],[ReverseS1]],"#,#0")&amp;"$"</f>
        <v>-227.55x1000=   5,800$</v>
      </c>
      <c r="G41" s="227" t="str">
        <f ca="1">IFERROR(TRUNC(_xlfn.XLOOKUP(TabTRADER[[#This Row],[ClickTick]],TabCalc[Ticker],ListLastSalep),2)&amp;"x"&amp;_xlfn.XLOOKUP(TabTRADER[[#This Row],[ClickTick]],TabCalc[Ticker],ListLastSalen)&amp;"=   "&amp;TEXT(-_xlfn.XLOOKUP(TabTRADER[[#This Row],[ClickTick]],TabCalc[Ticker],ListReverseB),"#,#0")&amp;"$","")</f>
        <v>237.8x200=   -890$</v>
      </c>
      <c r="H4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1.9% = 1,124</v>
      </c>
      <c r="I41" s="228" t="str">
        <f ca="1">IFERROR(TRUNC(TabCalc[[#This Row],[L_S1p]],2)&amp;"x"&amp;TabCalc[[#This Row],[L_S1n]]&amp;"=   "&amp;TEXT(TabCalc[[#This Row],[ReverseB1]],"#,#0"),"")</f>
        <v>265.05x500=   15,850</v>
      </c>
      <c r="J41" s="297">
        <f ca="1">_xlfn.XLOOKUP(TabTRADER[[#This Row],[ClickTick]],TabCalc[Ticker],ListGravity)</f>
        <v>1.2324949646453827</v>
      </c>
      <c r="K41" s="324" cm="1">
        <f t="array" aca="1" ref="K41" ca="1">IF(_xlfn.XLOOKUP(TabTRADER[[#This Row],[ClickTick]],TabTRADER[ClickTick],ListExtra_n)&gt;0,_xlfn.XLOOKUP(TabTRADER[[#This Row],[ClickTick]],TabTRADER[ClickTick],ListExtra_n),"")</f>
        <v>2300</v>
      </c>
      <c r="L41" s="322">
        <f ca="1">IF(_xlfn.XLOOKUP(TabTRADER[[#This Row],[ClickTick]],TabCalc[Ticker],ListExtra_n)&gt;0,_xlfn.XLOOKUP(TabTRADER[[#This Row],[ClickTick]],TabCalc[Ticker],ListExtra_n)*TabTRADER[[#This Row],[M]]*_xlfn.XLOOKUP(TabTRADER[[#This Row],[ClickTick]],TabCalc[Ticker],ListScale),"")</f>
        <v>536705</v>
      </c>
      <c r="M41" s="325">
        <f ca="1">_xlfn.XLOOKUP(TabTRADER[[#This Row],[ClickTick]],TabCalc[Ticker],TabCalc[Agiotage])</f>
        <v>1.4654710415921433</v>
      </c>
      <c r="N41" s="326" cm="1">
        <f t="array" aca="1" ref="N41" ca="1">_xlfn.XLOOKUP(TabTRADER[[#This Row],[ClickTick]],ListTickers,Tab2RSIConventional[RSIConv20])</f>
        <v>52</v>
      </c>
      <c r="O41" s="712" t="str">
        <f ca="1">TEXT(_xlfn.XLOOKUP(TabTRADER[[#This Row],[ClickTick]],TabCalc[Ticker],TabCalc[Nbegin]),"#,#0")&amp;": "&amp;_xlfn.XLOOKUP(TabTRADER[[#This Row],[ClickTick]],TabCalc[Ticker],TabCalc[Pile?])</f>
        <v>1,500: Pile</v>
      </c>
      <c r="P41" s="877">
        <f ca="1">_xlfn.XLOOKUP(TabTRADER[[#This Row],[ClickTick]],TabCalc[Ticker],TabCalc[L_Bn])</f>
        <v>500</v>
      </c>
      <c r="Q41" s="740">
        <f ca="1">_xlfn.XLOOKUP(TabTRADER[[#This Row],[ClickTick]],TabCalc[Ticker],TabCalc[L_Bp])</f>
        <v>-232.35</v>
      </c>
      <c r="R41" s="778">
        <f ca="1">(TabTRADER[[#This Row],[M]]+TabTRADER[[#This Row],[L_Bp]])/ABS(TabTRADER[[#This Row],[L_Bp]])</f>
        <v>4.303851947493006E-3</v>
      </c>
      <c r="S41" s="692">
        <f ca="1">_xlfn.XLOOKUP(TabTRADER[[#This Row],[ClickTick]],TabCalc[Ticker],TabCalc[Rev(MinStock)])*(1-Commission)</f>
        <v>498.7</v>
      </c>
      <c r="T41" s="798">
        <f ca="1">_xlfn.XLOOKUP(TabTRADER[[#This Row],[ClickTick]],TabCalc[Ticker],TabCalc[Agiotage])</f>
        <v>1.4654710415921433</v>
      </c>
      <c r="U41" s="759" t="str" cm="1">
        <f t="array" aca="1" ref="U4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-30,020/-30,020=&gt;1.2% / -3.6%</v>
      </c>
      <c r="V41" s="751" t="str">
        <f ca="1">_xlfn.XLOOKUP(TabTRADER[[#This Row],[ClickTick]],[1]!RTData[Ticker symbol],[1]!RTData[Currency])</f>
        <v>EUR</v>
      </c>
      <c r="W41" s="761">
        <f ca="1">_xlfn.XLOOKUP(TabTRADER[[#This Row],[ClickTick]],TabCalc[Ticker],TabCalc[M])</f>
        <v>233.35</v>
      </c>
      <c r="X41" s="762" t="str">
        <f ca="1">SORTING!B41</f>
        <v>SAP</v>
      </c>
      <c r="Y41" s="819">
        <f ca="1">_xlfn.XLOOKUP(TabTRADER[[#This Row],[ClickTick]],TabCalc[Ticker],TabCalc[Y])</f>
        <v>287.60270000000003</v>
      </c>
      <c r="Z41" s="835">
        <f ca="1">_xlfn.XLOOKUP(TabTRADER[[#This Row],[ClickTick]],[1]!RTData[Ticker symbol],[1]!RTData[YTChange])</f>
        <v>-0.13197507017173199</v>
      </c>
      <c r="AA41" s="851">
        <f ca="1">-_xlfn.XLOOKUP(TabTRADER[[#This Row],[ClickTick]]&amp;2,Consolid!B$3:JZ$3,Consolid!B$4:JZ$4)</f>
        <v>240.53301315789471</v>
      </c>
      <c r="AB41" s="835" cm="1">
        <f t="array" aca="1" ref="AB41" ca="1">_xlfn.XLOOKUP(TabTRADER[[#This Row],[ClickTick]],ListTickers,Tab1ChangePercent[Change%19])</f>
        <v>1.2E-2</v>
      </c>
      <c r="AC41" s="782">
        <f ca="1">_xlfn.XLOOKUP(TabTRADER[[#This Row],[ClickTick]],TabCalc[Ticker],TabCalc[NAfter])</f>
        <v>3800</v>
      </c>
      <c r="AD41"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^58/887 K$</v>
      </c>
      <c r="AE41" s="1277" t="str" cm="1">
        <f t="array" aca="1" ref="AE4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1" s="1281" t="str" cm="1">
        <f t="array" aca="1" ref="AF41" ca="1">_xlfn.IFS(       TabTRADER[[#This Row],[Traps]]=RePurchaseGain,TEXT(TabTRADER[[#This Row],[L_Sn]],"#,#0")&amp;" x "&amp;TEXT(TabTRADER[[#This Row],[L_Sp]],"#,#0.#0"),     TabTRADER[[#This Row],[Traps]]=ReSaleGain,TEXT(TabTRADER[[#This Row],[L_Bn]],"#0,#0")&amp;" x "&amp;TEXT(TabTRADER[[#This Row],[L_Bp]],"#,#0.#0"),               TRUE,"")</f>
        <v>200 x 237.80</v>
      </c>
      <c r="AG41" s="1281" cm="1">
        <f t="array" aca="1" ref="AG4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887.68600000000333</v>
      </c>
      <c r="AH41" s="1281" t="str" cm="1">
        <f t="array" aca="1" ref="AH4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1" s="1281" cm="1">
        <f t="array" aca="1" ref="AI4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887.68600000000333</v>
      </c>
      <c r="AJ41" s="1290" cm="1">
        <f t="array" aca="1" ref="AJ4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1.8713204373423116E-2</v>
      </c>
      <c r="AK41" s="1290" t="str" cm="1">
        <f t="array" aca="1" ref="AK4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1" s="843" t="str" cm="1">
        <f t="array" aca="1" ref="AL41" ca="1">_xlfn.IFS(   TabTRADER[[#This Row],[Traps]]=SellMorePercentGain,                     MIN(TabTRADER[[#This Row],[L_Sn]],TabTRADER[[#This Row],[N]])*(TabTRADER[[#This Row],[M]]-TabTRADER[[#This Row],[L_Sp]])*(1-Commission)*TabTRADER[[#This Row],[Scale]],                    TRUE,"")</f>
        <v/>
      </c>
      <c r="AM41" s="1296">
        <f ca="1">_xlfn.XLOOKUP(TabTRADER[[#This Row],[ClickTick]],TabCalc[Ticker],TabCalc[Ann%RevLB])</f>
        <v>6.4557779212395083E-2</v>
      </c>
      <c r="AN41" s="1392">
        <f ca="1">_xlfn.XLOOKUP(TabTRADER[[#This Row],[ClickTick]],TabCalc[Ticker],TabCalc[Up20])</f>
        <v>0</v>
      </c>
      <c r="AO41" s="1291" t="str" cm="1">
        <f t="array" aca="1" ref="AO4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1" s="843" t="str" cm="1">
        <f t="array" aca="1" ref="AP41" ca="1">_xlfn.IFS(         TabTRADER[[#This Row],[Traps]]=MDown,TabTRADER[[#This Row],[L_Bn]]*TabTRADER[[#This Row],[M]]*(-(TabTRADER[[#This Row],[L_Bp]]+TabTRADER[[#This Row],[M]])/TabTRADER[[#This Row],[M]])*(1-Commission)*TabTRADER[[#This Row],[Scale]],                               TRUE,"")</f>
        <v/>
      </c>
      <c r="AQ41" s="1290" t="str" cm="1">
        <f t="array" aca="1" ref="AQ41" ca="1">_xlfn.IFS(   TabTRADER[[#This Row],[Traps]]=MUp,TabTRADER[[#This Row],[TakeGain_A]]-Commission,        TabTRADER[[#This Row],[Traps]]=MDown,(TabTRADER[[#This Row],[A]]-TabTRADER[[#This Row],[M]])/TabTRADER[[#This Row],[M]]-Commission,                              TRUE,"")</f>
        <v/>
      </c>
      <c r="AR41" s="843" cm="1">
        <f t="array" aca="1" ref="AR4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-27224.481829999939</v>
      </c>
      <c r="AS41" s="774" t="str" cm="1">
        <f t="array" aca="1" ref="AS4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-0.6%</v>
      </c>
      <c r="AT41" s="748" t="str" cm="1">
        <f t="array" aca="1" ref="AT4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1" s="779" cm="1">
        <f t="array" aca="1" ref="AU41" ca="1">_xlfn.IFS(TabTRADER[[#This Row],[Traps]]=ReSaleGain,"",         TabTRADER[[#This Row],[Traps]]=MDown, (TabTRADER[[#This Row],[M]]-TabTRADER[[#This Row],[A]])/TabTRADER[[#This Row],[A]]*ComFactor,             TRUE, IFERROR((TabTRADER[[#This Row],[M]]-TabTRADER[[#This Row],[A]])/TabTRADER[[#This Row],[A]]*ComFactor,""))</f>
        <v>-2.9785255793479206E-2</v>
      </c>
      <c r="AV41" s="776" cm="1">
        <f t="array" aca="1" ref="AV41" ca="1">_xlfn.IFS(               TabTRADER[[#This Row],[Traps]]=NoStock,(TabTRADER[[#This Row],[L_Sp]]-TabTRADER[[#This Row],[M]])/TabTRADER[[#This Row],[M]]-Commission,             TabTRADER[[#This Row],[A]]&lt;&gt;0,(TabTRADER[[#This Row],[A]]-TabTRADER[[#This Row],[M]])/TabTRADER[[#This Row],[M]]-Commission)</f>
        <v>2.8182143380735894E-2</v>
      </c>
      <c r="AW41" s="326">
        <f ca="1">_xlfn.XLOOKUP(TabTRADER[[#This Row],[ClickTick]],TabCalc[Ticker],TabCalc[L_Sn])</f>
        <v>200</v>
      </c>
      <c r="AX41" s="740">
        <f ca="1">_xlfn.XLOOKUP(TabTRADER[[#This Row],[ClickTick]],TabCalc[Ticker],TabCalc[L_Sp])</f>
        <v>237.8</v>
      </c>
      <c r="AY41" s="778">
        <f ca="1">-IFERROR((TabTRADER[[#This Row],[M]]-TabTRADER[[#This Row],[L_Sp]])/TabTRADER[[#This Row],[L_Sp]],0)</f>
        <v>1.8713204373423116E-2</v>
      </c>
      <c r="AZ41" s="741">
        <f ca="1">TabTRADER[[#This Row],[L_Sn]]*(TabTRADER[[#This Row],[M]]-TabTRADER[[#This Row],[L_Sp]])*(1-Commission)*TabTRADER[[#This Row],[Scale]]</f>
        <v>-887.68600000000333</v>
      </c>
      <c r="BA41" s="701">
        <f ca="1">TabTRADER[[#This Row],[L_Sn]]*(TabTRADER[[#This Row],[Agiotage]]-TabTRADER[[#This Row],[M]])/(TabTRADER[[#This Row],[L_Bn]]*TabTRADER[[#This Row],[M]])</f>
        <v>-0.39748794336131626</v>
      </c>
      <c r="BB41" s="641">
        <f ca="1">IFERROR((TabTRADER[[#This Row],[M]]-TabTRADER[[#This Row],[A]])/TabTRADER[[#This Row],[A]],0)</f>
        <v>-2.9862899331741737E-2</v>
      </c>
      <c r="BC41" s="644" t="str">
        <f ca="1">TEXT(_xlfn.XLOOKUP(TabTRADER[[#This Row],[ClickTick]],TabCalc[Ticker],TabCalc[NAfter]),"#,#0")&amp;" : "&amp;TEXT(_xlfn.XLOOKUP(TabTRADER[[#This Row],[ClickTick]],TabCalc[Ticker],TabCalc[NAfter])*(TabTRADER[[#This Row],[M]]-TabTRADER[[#This Row],[A]])*(1-Commission)*TabTRADER[[#This Row],[Scale]],"#,#0$")</f>
        <v>3,800 : -27,224$</v>
      </c>
      <c r="BD41" s="693">
        <f ca="1">_xlfn.XLOOKUP(TabTRADER[[#This Row],[ClickTick]],TabCalc[[#This Row],[Ticker]],TabCalc[[#This Row],[GL]])*(1-Commission)</f>
        <v>58212.228664999857</v>
      </c>
      <c r="BE41" s="693"/>
      <c r="BF41" s="675" t="str">
        <f ca="1">TabTRADER[[#This Row],[ClickTick]]&amp;": "&amp;_xlfn.XLOOKUP(TabTRADER[[#This Row],[ClickTick]],TabCalc[Ticker],TabCalc[Pile?])</f>
        <v>SAP: Pile</v>
      </c>
      <c r="BG41" s="353" t="s">
        <v>2001</v>
      </c>
      <c r="BH41" s="769" t="str" cm="1">
        <f t="array" aca="1" ref="BH41" ca="1">_xlfn.TEXTJOIN("",,INDEX({"M","A","Y"}, _xlfn.SORTBY({1,2,3}, -CHOOSE({1,2,3}, TabTRADER[[#This Row],[M]], TabTRADER[[#This Row],[A]], TabTRADER[[#This Row],[Agiotage]]))))</f>
        <v>AMY</v>
      </c>
      <c r="BI41" s="976" t="str" cm="1">
        <f t="array" aca="1" ref="BI4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1" s="688" t="e">
        <f ca="1">TabTRADER[[#This Row],[L_Sn]]*TabTRADER[[#This Row],[L_Sp]]+TabTRADER[[#This Row],[SellMore]]*TabTRADER[[#This Row],[M]]</f>
        <v>#N/A</v>
      </c>
      <c r="BK41" s="688" t="e">
        <f ca="1">INDEX(
  INDEX(TabConsolid[], , _xlfn.XMATCH(TabTRADER[[#This Row],[ClickTick]]&amp;1, TabConsolid[#Headers])),
  MATCH(
    -TabTRADER[[#This Row],[M]],
    INDEX(TabConsolid[], , _xlfn.XMATCH(TabTRADER[[#This Row],[ClickTick]]&amp;2, TabConsolid[#Headers])),
    -1
  )
)</f>
        <v>#N/A</v>
      </c>
      <c r="BL41" s="688" cm="1">
        <f t="array" aca="1" ref="BL4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499</v>
      </c>
      <c r="BM41" s="1260" t="e">
        <f ca="1">TabTRADER[[#This Row],[ReBuy]]/(TabTRADER[[#This Row],[L_Sn]]+TabTRADER[[#This Row],[SellMore]])</f>
        <v>#N/A</v>
      </c>
      <c r="BN41" s="696">
        <f ca="1">((_xlfn.XLOOKUP(TabTRADER[[#This Row],[ClickTick]],TabCalc[Ticker],TabCalc[NAfter])+TabTRADER[[#This Row],[L_Sn]])*(TabTRADER[[#This Row],[Agiotage]]-TabTRADER[[#This Row],[M]]))/(TabTRADER[[#This Row],[L_Sn]]*_xlfn.XLOOKUP(TabTRADER[[#This Row],[ClickTick]],TabCalc[Ticker],TabCalc[NAfter]))</f>
        <v>-1.2204448892547781</v>
      </c>
      <c r="BO41" s="696">
        <f ca="1">(TabTRADER[[#This Row],[M]]-TabTRADER[[#This Row],[Agiotage]])/(TabTRADER[[#This Row],[M]]-TabTRADER[[#This Row],[A]])-1</f>
        <v>-33.282347792102783</v>
      </c>
      <c r="BP41" s="1388">
        <f ca="1">_xlfn.XMATCH(TabTRADER[[#This Row],[ClickTick]]&amp;1, TabConsolid[#Headers])</f>
        <v>119</v>
      </c>
      <c r="BQ41" t="b">
        <f ca="1">IF(ABS(TabTRADER[[#This Row],[L_Bp]])&gt;=TabTRADER[[#This Row],[M]],"OK")</f>
        <v>0</v>
      </c>
    </row>
    <row r="42" spans="1:69" hidden="1">
      <c r="A42" s="225">
        <f ca="1">IF(_xlfn.XLOOKUP(TabTRADER[[#This Row],[ClickTick]],TabCalc[Ticker],TabCalc[Cur])="GBp",0.01,1)</f>
        <v>1</v>
      </c>
      <c r="B4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-15.45x3000=    +660 USD</v>
      </c>
      <c r="C42"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1.4%</v>
      </c>
      <c r="D42" s="697" t="str" cm="1">
        <f t="array" aca="1" ref="D4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2"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2" s="228" t="str">
        <f ca="1">TRUNC(TabCalc[[#This Row],[L_B1p]],2)&amp;"x"&amp;TabCalc[[#This Row],[L_B1n]]&amp;"=   "&amp;TEXT(TabCalc[[#This Row],[ReverseS1]],"#,#0")&amp;"$"</f>
        <v>-14.16x4000=   6,007$</v>
      </c>
      <c r="G42" s="227" t="str">
        <f ca="1">IFERROR(TRUNC(_xlfn.XLOOKUP(TabTRADER[[#This Row],[ClickTick]],TabCalc[Ticker],ListLastSalep),2)&amp;"x"&amp;_xlfn.XLOOKUP(TabTRADER[[#This Row],[ClickTick]],TabCalc[Ticker],ListLastSalen)&amp;"=   "&amp;TEXT(-_xlfn.XLOOKUP(TabTRADER[[#This Row],[ClickTick]],TabCalc[Ticker],ListReverseB),"#,#0")&amp;"$","")</f>
        <v>16.54x632=   -550$</v>
      </c>
      <c r="H4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5.6% = 5,747</v>
      </c>
      <c r="I42" s="228" t="str">
        <f ca="1">IFERROR(TRUNC(TabCalc[[#This Row],[L_S1p]],2)&amp;"x"&amp;TabCalc[[#This Row],[L_S1n]]&amp;"=   "&amp;TEXT(TabCalc[[#This Row],[ReverseB1]],"#,#0"),"")</f>
        <v>21.02x1000=   5,351</v>
      </c>
      <c r="J42" s="297">
        <f ca="1">_xlfn.XLOOKUP(TabTRADER[[#This Row],[ClickTick]],TabCalc[Ticker],ListGravity)</f>
        <v>0</v>
      </c>
      <c r="K42" s="324" cm="1">
        <f t="array" aca="1" ref="K42" ca="1">IF(_xlfn.XLOOKUP(TabTRADER[[#This Row],[ClickTick]],TabTRADER[ClickTick],ListExtra_n)&gt;0,_xlfn.XLOOKUP(TabTRADER[[#This Row],[ClickTick]],TabTRADER[ClickTick],ListExtra_n),"")</f>
        <v>9868</v>
      </c>
      <c r="L42" s="322">
        <f ca="1">IF(_xlfn.XLOOKUP(TabTRADER[[#This Row],[ClickTick]],TabCalc[Ticker],ListExtra_n)&gt;0,_xlfn.XLOOKUP(TabTRADER[[#This Row],[ClickTick]],TabCalc[Ticker],ListExtra_n)*TabTRADER[[#This Row],[M]]*_xlfn.XLOOKUP(TabTRADER[[#This Row],[ClickTick]],TabCalc[Ticker],ListScale),"")</f>
        <v>154631.56</v>
      </c>
      <c r="M42" s="325">
        <f ca="1">_xlfn.XLOOKUP(TabTRADER[[#This Row],[ClickTick]],TabCalc[Ticker],TabCalc[Agiotage])</f>
        <v>2.6870142640134636E-2</v>
      </c>
      <c r="N42" s="326" cm="1">
        <f t="array" aca="1" ref="N42" ca="1">_xlfn.XLOOKUP(TabTRADER[[#This Row],[ClickTick]],ListTickers,Tab2RSIConventional[RSIConv20])</f>
        <v>30</v>
      </c>
      <c r="O42" s="712" t="str">
        <f ca="1">TEXT(_xlfn.XLOOKUP(TabTRADER[[#This Row],[ClickTick]],TabCalc[Ticker],TabCalc[Nbegin]),"#,#0")&amp;": "&amp;_xlfn.XLOOKUP(TabTRADER[[#This Row],[ClickTick]],TabCalc[Ticker],TabCalc[Pile?])</f>
        <v xml:space="preserve">12,500: </v>
      </c>
      <c r="P42" s="326">
        <f ca="1">_xlfn.XLOOKUP(TabTRADER[[#This Row],[ClickTick]],TabCalc[Ticker],TabCalc[L_Bn])</f>
        <v>3000</v>
      </c>
      <c r="Q42" s="740">
        <f ca="1">_xlfn.XLOOKUP(TabTRADER[[#This Row],[ClickTick]],TabCalc[Ticker],TabCalc[L_Bp])</f>
        <v>-15.45</v>
      </c>
      <c r="R42" s="778">
        <f ca="1">(TabTRADER[[#This Row],[M]]+TabTRADER[[#This Row],[L_Bp]])/ABS(TabTRADER[[#This Row],[L_Bp]])</f>
        <v>1.4239482200647292E-2</v>
      </c>
      <c r="S42" s="692">
        <f ca="1">_xlfn.XLOOKUP(TabTRADER[[#This Row],[ClickTick]],TabCalc[Ticker],TabCalc[Rev(MinStock)])*(1-Commission)</f>
        <v>658.28400000000192</v>
      </c>
      <c r="T42" s="798">
        <f ca="1">_xlfn.XLOOKUP(TabTRADER[[#This Row],[ClickTick]],TabCalc[Ticker],TabCalc[Agiotage])</f>
        <v>2.6870142640134636E-2</v>
      </c>
      <c r="U42" s="759" t="str" cm="1">
        <f t="array" aca="1" ref="U4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-1,789/-1,789=&gt;-3.6% / -3.0%</v>
      </c>
      <c r="V42" s="751" t="str">
        <f ca="1">_xlfn.XLOOKUP(TabTRADER[[#This Row],[ClickTick]],[1]!RTData[Ticker symbol],[1]!RTData[Currency])</f>
        <v>USD</v>
      </c>
      <c r="W42" s="761">
        <f ca="1">_xlfn.XLOOKUP(TabTRADER[[#This Row],[ClickTick]],TabCalc[Ticker],TabCalc[M])</f>
        <v>15.67</v>
      </c>
      <c r="X42" s="762" t="str">
        <f ca="1">SORTING!B42</f>
        <v>SHECY</v>
      </c>
      <c r="Y42" s="819">
        <f ca="1">_xlfn.XLOOKUP(TabTRADER[[#This Row],[ClickTick]],TabCalc[Ticker],TabCalc[Y])</f>
        <v>0</v>
      </c>
      <c r="Z42" s="835">
        <f ca="1">_xlfn.XLOOKUP(TabTRADER[[#This Row],[ClickTick]],[1]!RTData[Ticker symbol],[1]!RTData[YTChange])</f>
        <v>0</v>
      </c>
      <c r="AA42" s="851">
        <f ca="1">-_xlfn.XLOOKUP(TabTRADER[[#This Row],[ClickTick]]&amp;2,Consolid!B$3:JZ$3,Consolid!B$4:JZ$4)</f>
        <v>17.004960658082975</v>
      </c>
      <c r="AB42" s="835" cm="1">
        <f t="array" aca="1" ref="AB42" ca="1">_xlfn.XLOOKUP(TabTRADER[[#This Row],[ClickTick]],ListTickers,Tab1ChangePercent[Change%19])</f>
        <v>-3.5743999999999998E-2</v>
      </c>
      <c r="AC42" s="782">
        <f ca="1">_xlfn.XLOOKUP(TabTRADER[[#This Row],[ClickTick]],TabCalc[Ticker],TabCalc[NAfter])</f>
        <v>22368</v>
      </c>
      <c r="AD42"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^84/351 K$</v>
      </c>
      <c r="AE42" s="1299" t="str" cm="1">
        <f t="array" aca="1" ref="AE4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2" s="1281" t="str" cm="1">
        <f t="array" aca="1" ref="AF42" ca="1">_xlfn.IFS(       TabTRADER[[#This Row],[Traps]]=RePurchaseGain,TEXT(TabTRADER[[#This Row],[L_Sn]],"#,#0")&amp;" x "&amp;TEXT(TabTRADER[[#This Row],[L_Sp]],"#,#0.#0"),     TabTRADER[[#This Row],[Traps]]=ReSaleGain,TEXT(TabTRADER[[#This Row],[L_Bn]],"#0,#0")&amp;" x "&amp;TEXT(TabTRADER[[#This Row],[L_Bp]],"#,#0.#0"),               TRUE,"")</f>
        <v>632 x 16.54</v>
      </c>
      <c r="AG42" s="1281" cm="1">
        <f t="array" aca="1" ref="AG4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548.41041599999949</v>
      </c>
      <c r="AH42" s="1281" t="str" cm="1">
        <f t="array" aca="1" ref="AH4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2" s="1281" cm="1">
        <f t="array" aca="1" ref="AI4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548.41041599999949</v>
      </c>
      <c r="AJ42" s="1290" cm="1">
        <f t="array" aca="1" ref="AJ4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5.2599758162031392E-2</v>
      </c>
      <c r="AK42" s="1290" t="str" cm="1">
        <f t="array" aca="1" ref="AK4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2" s="843" t="str" cm="1">
        <f t="array" aca="1" ref="AL42" ca="1">_xlfn.IFS(   TabTRADER[[#This Row],[Traps]]=SellMorePercentGain,                     MIN(TabTRADER[[#This Row],[L_Sn]],TabTRADER[[#This Row],[N]])*(TabTRADER[[#This Row],[M]]-TabTRADER[[#This Row],[L_Sp]])*(1-Commission)*TabTRADER[[#This Row],[Scale]],                    TRUE,"")</f>
        <v/>
      </c>
      <c r="AM42" s="1296">
        <f ca="1">_xlfn.XLOOKUP(TabTRADER[[#This Row],[ClickTick]],TabCalc[Ticker],TabCalc[Ann%RevLB])</f>
        <v>4.1676533270187194E-2</v>
      </c>
      <c r="AN42" s="1392">
        <f ca="1">_xlfn.XLOOKUP(TabTRADER[[#This Row],[ClickTick]],TabCalc[Ticker],TabCalc[Up20])</f>
        <v>0.22222222222222221</v>
      </c>
      <c r="AO42" s="1291" t="str" cm="1">
        <f t="array" aca="1" ref="AO4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2" s="843" t="str" cm="1">
        <f t="array" aca="1" ref="AP42" ca="1">_xlfn.IFS(         TabTRADER[[#This Row],[Traps]]=MDown,TabTRADER[[#This Row],[L_Bn]]*TabTRADER[[#This Row],[M]]*(-(TabTRADER[[#This Row],[L_Bp]]+TabTRADER[[#This Row],[M]])/TabTRADER[[#This Row],[M]])*(1-Commission)*TabTRADER[[#This Row],[Scale]],                               TRUE,"")</f>
        <v/>
      </c>
      <c r="AQ42" s="1290" t="str" cm="1">
        <f t="array" aca="1" ref="AQ42" ca="1">_xlfn.IFS(   TabTRADER[[#This Row],[Traps]]=MUp,TabTRADER[[#This Row],[TakeGain_A]]-Commission,        TabTRADER[[#This Row],[Traps]]=MDown,(TabTRADER[[#This Row],[A]]-TabTRADER[[#This Row],[M]])/TabTRADER[[#This Row],[M]]-Commission,                              TRUE,"")</f>
        <v/>
      </c>
      <c r="AR42" s="774" cm="1">
        <f t="array" aca="1" ref="AR4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-29782.762959999993</v>
      </c>
      <c r="AS42" s="774" t="str" cm="1">
        <f t="array" aca="1" ref="AS4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-0.6%</v>
      </c>
      <c r="AT42" s="748" t="str" cm="1">
        <f t="array" aca="1" ref="AT4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2" s="779" cm="1">
        <f t="array" aca="1" ref="AU42" ca="1">_xlfn.IFS(TabTRADER[[#This Row],[Traps]]=ReSaleGain,"",         TabTRADER[[#This Row],[Traps]]=MDown, (TabTRADER[[#This Row],[M]]-TabTRADER[[#This Row],[A]])/TabTRADER[[#This Row],[A]]*ComFactor,             TRUE, IFERROR((TabTRADER[[#This Row],[M]]-TabTRADER[[#This Row],[A]])/TabTRADER[[#This Row],[A]]*ComFactor,""))</f>
        <v>-7.8300078850171415E-2</v>
      </c>
      <c r="AV42" s="776" cm="1">
        <f t="array" aca="1" ref="AV42" ca="1">_xlfn.IFS(               TabTRADER[[#This Row],[Traps]]=NoStock,(TabTRADER[[#This Row],[L_Sp]]-TabTRADER[[#This Row],[M]])/TabTRADER[[#This Row],[M]]-Commission,             TabTRADER[[#This Row],[A]]&lt;&gt;0,(TabTRADER[[#This Row],[A]]-TabTRADER[[#This Row],[M]])/TabTRADER[[#This Row],[M]]-Commission)</f>
        <v>8.2592128786405566E-2</v>
      </c>
      <c r="AW42" s="326">
        <f ca="1">_xlfn.XLOOKUP(TabTRADER[[#This Row],[ClickTick]],TabCalc[Ticker],TabCalc[L_Sn])</f>
        <v>632</v>
      </c>
      <c r="AX42" s="740">
        <f ca="1">_xlfn.XLOOKUP(TabTRADER[[#This Row],[ClickTick]],TabCalc[Ticker],TabCalc[L_Sp])</f>
        <v>16.54</v>
      </c>
      <c r="AY42" s="778">
        <f ca="1">-IFERROR((TabTRADER[[#This Row],[M]]-TabTRADER[[#This Row],[L_Sp]])/TabTRADER[[#This Row],[L_Sp]],0)</f>
        <v>5.2599758162031392E-2</v>
      </c>
      <c r="AZ42" s="741">
        <f ca="1">TabTRADER[[#This Row],[L_Sn]]*(TabTRADER[[#This Row],[M]]-TabTRADER[[#This Row],[L_Sp]])*(1-Commission)*TabTRADER[[#This Row],[Scale]]</f>
        <v>-548.41041599999949</v>
      </c>
      <c r="BA42" s="701">
        <f ca="1">TabTRADER[[#This Row],[L_Sn]]*(TabTRADER[[#This Row],[Agiotage]]-TabTRADER[[#This Row],[M]])/(TabTRADER[[#This Row],[L_Bn]]*TabTRADER[[#This Row],[M]])</f>
        <v>-0.21030542586367654</v>
      </c>
      <c r="BB42" s="641">
        <f ca="1">IFERROR((TabTRADER[[#This Row],[M]]-TabTRADER[[#This Row],[A]])/TabTRADER[[#This Row],[A]],0)</f>
        <v>-7.8504189743504524E-2</v>
      </c>
      <c r="BC42" s="644" t="str">
        <f ca="1">TEXT(_xlfn.XLOOKUP(TabTRADER[[#This Row],[ClickTick]],TabCalc[Ticker],TabCalc[NAfter]),"#,#0")&amp;" : "&amp;TEXT(_xlfn.XLOOKUP(TabTRADER[[#This Row],[ClickTick]],TabCalc[Ticker],TabCalc[NAfter])*(TabTRADER[[#This Row],[M]]-TabTRADER[[#This Row],[A]])*(1-Commission)*TabTRADER[[#This Row],[Scale]],"#,#0$")</f>
        <v>22,368 : -29,783$</v>
      </c>
      <c r="BD42" s="693">
        <f ca="1">_xlfn.XLOOKUP(TabTRADER[[#This Row],[ClickTick]],TabCalc[[#This Row],[Ticker]],TabCalc[[#This Row],[GL]])*(1-Commission)</f>
        <v>83938.371331999995</v>
      </c>
      <c r="BE42" s="693"/>
      <c r="BF42" s="675" t="str">
        <f ca="1">TabTRADER[[#This Row],[ClickTick]]&amp;": "&amp;_xlfn.XLOOKUP(TabTRADER[[#This Row],[ClickTick]],TabCalc[Ticker],TabCalc[Pile?])</f>
        <v xml:space="preserve">SHECY: </v>
      </c>
      <c r="BG42" s="353" t="s">
        <v>2002</v>
      </c>
      <c r="BH42" s="769" t="str" cm="1">
        <f t="array" aca="1" ref="BH42" ca="1">_xlfn.TEXTJOIN("",,INDEX({"M","A","Y"}, _xlfn.SORTBY({1,2,3}, -CHOOSE({1,2,3}, TabTRADER[[#This Row],[M]], TabTRADER[[#This Row],[A]], TabTRADER[[#This Row],[Agiotage]]))))</f>
        <v>AMY</v>
      </c>
      <c r="BI42" s="976" t="str" cm="1">
        <f t="array" aca="1" ref="BI4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2" s="688" t="e">
        <f ca="1">TabTRADER[[#This Row],[L_Sn]]*TabTRADER[[#This Row],[L_Sp]]+TabTRADER[[#This Row],[SellMore]]*TabTRADER[[#This Row],[M]]</f>
        <v>#N/A</v>
      </c>
      <c r="BK42" s="688" t="e">
        <f ca="1">INDEX(
  INDEX(TabConsolid[], , _xlfn.XMATCH(TabTRADER[[#This Row],[ClickTick]]&amp;1, TabConsolid[#Headers])),
  MATCH(
    -TabTRADER[[#This Row],[M]],
    INDEX(TabConsolid[], , _xlfn.XMATCH(TabTRADER[[#This Row],[ClickTick]]&amp;2, TabConsolid[#Headers])),
    -1
  )
)</f>
        <v>#N/A</v>
      </c>
      <c r="BL42" s="688" cm="1">
        <f t="array" aca="1" ref="BL4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42" s="1260" t="e">
        <f ca="1">TabTRADER[[#This Row],[ReBuy]]/(TabTRADER[[#This Row],[L_Sn]]+TabTRADER[[#This Row],[SellMore]])</f>
        <v>#N/A</v>
      </c>
      <c r="BN42" s="696">
        <f ca="1">((_xlfn.XLOOKUP(TabTRADER[[#This Row],[ClickTick]],TabCalc[Ticker],TabCalc[NAfter])+TabTRADER[[#This Row],[L_Sn]])*(TabTRADER[[#This Row],[Agiotage]]-TabTRADER[[#This Row],[M]]))/(TabTRADER[[#This Row],[L_Sn]]*_xlfn.XLOOKUP(TabTRADER[[#This Row],[ClickTick]],TabCalc[Ticker],TabCalc[NAfter]))</f>
        <v>-2.5451140836315448E-2</v>
      </c>
      <c r="BO42" s="696">
        <f ca="1">(TabTRADER[[#This Row],[M]]-TabTRADER[[#This Row],[Agiotage]])/(TabTRADER[[#This Row],[M]]-TabTRADER[[#This Row],[A]])-1</f>
        <v>-12.718045593810718</v>
      </c>
      <c r="BP42" s="1388">
        <f ca="1">_xlfn.XMATCH(TabTRADER[[#This Row],[ClickTick]]&amp;1, TabConsolid[#Headers])</f>
        <v>122</v>
      </c>
      <c r="BQ42" t="b">
        <f ca="1">IF(ABS(TabTRADER[[#This Row],[L_Bp]])&gt;=TabTRADER[[#This Row],[M]],"OK")</f>
        <v>0</v>
      </c>
    </row>
    <row r="43" spans="1:69" hidden="1">
      <c r="A43" s="225">
        <f ca="1">IF(_xlfn.XLOOKUP(TabTRADER[[#This Row],[ClickTick]],TabCalc[Ticker],TabCalc[Cur])="GBp",0.01,1)</f>
        <v>1</v>
      </c>
      <c r="B4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-9.25x3000=    +8,220 USD</v>
      </c>
      <c r="C43"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22.9%</v>
      </c>
      <c r="D43" s="697" t="str" cm="1">
        <f t="array" aca="1" ref="D4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3"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3" s="228" t="str">
        <f ca="1">TRUNC(TabCalc[[#This Row],[L_B1p]],2)&amp;"x"&amp;TabCalc[[#This Row],[L_B1n]]&amp;"=   "&amp;TEXT(TabCalc[[#This Row],[ReverseS1]],"#,#0")&amp;"$"</f>
        <v>-9.11x4000=   11,494$</v>
      </c>
      <c r="G43" s="227" t="str">
        <f ca="1">IFERROR(TRUNC(_xlfn.XLOOKUP(TabTRADER[[#This Row],[ClickTick]],TabCalc[Ticker],ListLastSalep),2)&amp;"x"&amp;_xlfn.XLOOKUP(TabTRADER[[#This Row],[ClickTick]],TabCalc[Ticker],ListLastSalen)&amp;"=   "&amp;TEXT(-_xlfn.XLOOKUP(TabTRADER[[#This Row],[ClickTick]],TabCalc[Ticker],ListReverseB),"#,#0")&amp;"$","")</f>
        <v>12.76x3000=   -2,333$</v>
      </c>
      <c r="H4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6.5% = 6,431</v>
      </c>
      <c r="I43" s="228" t="str">
        <f ca="1">IFERROR(TRUNC(TabCalc[[#This Row],[L_S1p]],2)&amp;"x"&amp;TabCalc[[#This Row],[L_S1n]]&amp;"=   "&amp;TEXT(TabCalc[[#This Row],[ReverseB1]],"#,#0"),"")</f>
        <v>10.36x4000=   -6,520</v>
      </c>
      <c r="J43" s="297">
        <f ca="1">_xlfn.XLOOKUP(TabTRADER[[#This Row],[ClickTick]],TabCalc[Ticker],ListGravity)</f>
        <v>1.1120375312760633</v>
      </c>
      <c r="K43" s="324" t="str" cm="1">
        <f t="array" aca="1" ref="K43" ca="1">IF(_xlfn.XLOOKUP(TabTRADER[[#This Row],[ClickTick]],TabTRADER[ClickTick],ListExtra_n)&gt;0,_xlfn.XLOOKUP(TabTRADER[[#This Row],[ClickTick]],TabTRADER[ClickTick],ListExtra_n),"")</f>
        <v/>
      </c>
      <c r="L43" s="322" t="str">
        <f ca="1">IF(_xlfn.XLOOKUP(TabTRADER[[#This Row],[ClickTick]],TabCalc[Ticker],ListExtra_n)&gt;0,_xlfn.XLOOKUP(TabTRADER[[#This Row],[ClickTick]],TabCalc[Ticker],ListExtra_n)*TabTRADER[[#This Row],[M]]*_xlfn.XLOOKUP(TabTRADER[[#This Row],[ClickTick]],TabCalc[Ticker],ListScale),"")</f>
        <v/>
      </c>
      <c r="M43" s="325">
        <f ca="1">_xlfn.XLOOKUP(TabTRADER[[#This Row],[ClickTick]],TabCalc[Ticker],TabCalc[Agiotage])</f>
        <v>0.83446883714636</v>
      </c>
      <c r="N43" s="326" cm="1">
        <f t="array" aca="1" ref="N43" ca="1">_xlfn.XLOOKUP(TabTRADER[[#This Row],[ClickTick]],ListTickers,Tab2RSIConventional[RSIConv20])</f>
        <v>51</v>
      </c>
      <c r="O43" s="712" t="str">
        <f ca="1">TEXT(_xlfn.XLOOKUP(TabTRADER[[#This Row],[ClickTick]],TabCalc[Ticker],TabCalc[Nbegin]),"#,#0")&amp;": "&amp;_xlfn.XLOOKUP(TabTRADER[[#This Row],[ClickTick]],TabCalc[Ticker],TabCalc[Pile?])</f>
        <v xml:space="preserve">16,000: </v>
      </c>
      <c r="P43" s="323">
        <f ca="1">_xlfn.XLOOKUP(TabTRADER[[#This Row],[ClickTick]],TabCalc[Ticker],TabCalc[L_Bn])</f>
        <v>3000</v>
      </c>
      <c r="Q43" s="690">
        <f ca="1">_xlfn.XLOOKUP(TabTRADER[[#This Row],[ClickTick]],TabCalc[Ticker],TabCalc[L_Bp])</f>
        <v>-9.25</v>
      </c>
      <c r="R43" s="778">
        <f ca="1">(TabTRADER[[#This Row],[M]]+TabTRADER[[#This Row],[L_Bp]])/ABS(TabTRADER[[#This Row],[L_Bp]])</f>
        <v>0.29621621621621624</v>
      </c>
      <c r="S43" s="692">
        <f ca="1">_xlfn.XLOOKUP(TabTRADER[[#This Row],[ClickTick]],TabCalc[Ticker],TabCalc[Rev(MinStock)])*(1-Commission)</f>
        <v>8198.6279999999988</v>
      </c>
      <c r="T43" s="798">
        <f ca="1">_xlfn.XLOOKUP(TabTRADER[[#This Row],[ClickTick]],TabCalc[Ticker],TabCalc[Agiotage])</f>
        <v>0.83446883714636</v>
      </c>
      <c r="U43" s="759" t="str" cm="1">
        <f t="array" aca="1" ref="U4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1,056/1,056=&gt;-3.0% / 1.8%</v>
      </c>
      <c r="V43" s="751" t="str">
        <f ca="1">_xlfn.XLOOKUP(TabTRADER[[#This Row],[ClickTick]],[1]!RTData[Ticker symbol],[1]!RTData[Currency])</f>
        <v>USD</v>
      </c>
      <c r="W43" s="761">
        <f ca="1">_xlfn.XLOOKUP(TabTRADER[[#This Row],[ClickTick]],TabCalc[Ticker],TabCalc[M])</f>
        <v>11.99</v>
      </c>
      <c r="X43" s="762" t="str">
        <f ca="1">SORTING!B43</f>
        <v>SSYS</v>
      </c>
      <c r="Y43" s="819">
        <f ca="1">_xlfn.XLOOKUP(TabTRADER[[#This Row],[ClickTick]],TabCalc[Ticker],TabCalc[Y])</f>
        <v>13.33333</v>
      </c>
      <c r="Z43" s="835">
        <f ca="1">_xlfn.XLOOKUP(TabTRADER[[#This Row],[ClickTick]],[1]!RTData[Ticker symbol],[1]!RTData[YTChange])</f>
        <v>0.12994322033898301</v>
      </c>
      <c r="AA43" s="851">
        <f ca="1">-_xlfn.XLOOKUP(TabTRADER[[#This Row],[ClickTick]]&amp;2,Consolid!B$3:JZ$3,Consolid!B$4:JZ$4)</f>
        <v>29.196618125000001</v>
      </c>
      <c r="AB43" s="835" cm="1">
        <f t="array" aca="1" ref="AB43" ca="1">_xlfn.XLOOKUP(TabTRADER[[#This Row],[ClickTick]],ListTickers,Tab1ChangePercent[Change%19])</f>
        <v>-2.9721000000000001E-2</v>
      </c>
      <c r="AC43" s="782">
        <f ca="1">_xlfn.XLOOKUP(TabTRADER[[#This Row],[ClickTick]],TabCalc[Ticker],TabCalc[NAfter])</f>
        <v>16000</v>
      </c>
      <c r="AD4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-665/192 K$</v>
      </c>
      <c r="AE43" s="1299" t="str" cm="1">
        <f t="array" aca="1" ref="AE4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3" s="1281" t="str" cm="1">
        <f t="array" aca="1" ref="AF43" ca="1">_xlfn.IFS(       TabTRADER[[#This Row],[Traps]]=RePurchaseGain,TEXT(TabTRADER[[#This Row],[L_Sn]],"#,#0")&amp;" x "&amp;TEXT(TabTRADER[[#This Row],[L_Sp]],"#,#0.#0"),     TabTRADER[[#This Row],[Traps]]=ReSaleGain,TEXT(TabTRADER[[#This Row],[L_Bn]],"#0,#0")&amp;" x "&amp;TEXT(TabTRADER[[#This Row],[L_Bp]],"#,#0.#0"),               TRUE,"")</f>
        <v>3,000 x 12.77</v>
      </c>
      <c r="AG43" s="1281" cm="1">
        <f t="array" aca="1" ref="AG4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2326.5351402599999</v>
      </c>
      <c r="AH43" s="1281" t="str" cm="1">
        <f t="array" aca="1" ref="AH4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3" s="1281" cm="1">
        <f t="array" aca="1" ref="AI4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2326.5351402599999</v>
      </c>
      <c r="AJ43" s="1290" cm="1">
        <f t="array" aca="1" ref="AJ4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6.0899257650653627E-2</v>
      </c>
      <c r="AK43" s="1290" t="str" cm="1">
        <f t="array" aca="1" ref="AK4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3" s="843" t="str" cm="1">
        <f t="array" aca="1" ref="AL43" ca="1">_xlfn.IFS(   TabTRADER[[#This Row],[Traps]]=SellMorePercentGain,                     MIN(TabTRADER[[#This Row],[L_Sn]],TabTRADER[[#This Row],[N]])*(TabTRADER[[#This Row],[M]]-TabTRADER[[#This Row],[L_Sp]])*(1-Commission)*TabTRADER[[#This Row],[Scale]],                    TRUE,"")</f>
        <v/>
      </c>
      <c r="AM43" s="1039">
        <f ca="1">_xlfn.XLOOKUP(TabTRADER[[#This Row],[ClickTick]],TabCalc[Ticker],TabCalc[Ann%RevLB])</f>
        <v>0.36519807478711591</v>
      </c>
      <c r="AN43" s="1038">
        <f ca="1">_xlfn.XLOOKUP(TabTRADER[[#This Row],[ClickTick]],TabCalc[Ticker],TabCalc[Up20])</f>
        <v>0</v>
      </c>
      <c r="AO43" s="1291" t="str" cm="1">
        <f t="array" aca="1" ref="AO4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3" s="843" t="str" cm="1">
        <f t="array" aca="1" ref="AP43" ca="1">_xlfn.IFS(         TabTRADER[[#This Row],[Traps]]=MDown,TabTRADER[[#This Row],[L_Bn]]*TabTRADER[[#This Row],[M]]*(-(TabTRADER[[#This Row],[L_Bp]]+TabTRADER[[#This Row],[M]])/TabTRADER[[#This Row],[M]])*(1-Commission)*TabTRADER[[#This Row],[Scale]],                               TRUE,"")</f>
        <v/>
      </c>
      <c r="AQ43" s="1290" t="str" cm="1">
        <f t="array" aca="1" ref="AQ43" ca="1">_xlfn.IFS(   TabTRADER[[#This Row],[Traps]]=MUp,TabTRADER[[#This Row],[TakeGain_A]]-Commission,        TabTRADER[[#This Row],[Traps]]=MDown,(TabTRADER[[#This Row],[A]]-TabTRADER[[#This Row],[M]])/TabTRADER[[#This Row],[M]]-Commission,                              TRUE,"")</f>
        <v/>
      </c>
      <c r="AR43" s="774" cm="1">
        <f t="array" aca="1" ref="AR4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-274590.09468599997</v>
      </c>
      <c r="AS43" s="774" t="str" cm="1">
        <f t="array" aca="1" ref="AS4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-0.7%</v>
      </c>
      <c r="AT43" s="748" t="str" cm="1">
        <f t="array" aca="1" ref="AT4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3" s="779" cm="1">
        <f t="array" aca="1" ref="AU43" ca="1">_xlfn.IFS(TabTRADER[[#This Row],[Traps]]=ReSaleGain,"",         TabTRADER[[#This Row],[Traps]]=MDown, (TabTRADER[[#This Row],[M]]-TabTRADER[[#This Row],[A]])/TabTRADER[[#This Row],[A]]*ComFactor,             TRUE, IFERROR((TabTRADER[[#This Row],[M]]-TabTRADER[[#This Row],[A]])/TabTRADER[[#This Row],[A]]*ComFactor,""))</f>
        <v>-0.58780372591097818</v>
      </c>
      <c r="AV43" s="776" cm="1">
        <f t="array" aca="1" ref="AV43" ca="1">_xlfn.IFS(               TabTRADER[[#This Row],[Traps]]=NoStock,(TabTRADER[[#This Row],[L_Sp]]-TabTRADER[[#This Row],[M]])/TabTRADER[[#This Row],[M]]-Commission,             TabTRADER[[#This Row],[A]]&lt;&gt;0,(TabTRADER[[#This Row],[A]]-TabTRADER[[#This Row],[M]])/TabTRADER[[#This Row],[M]]-Commission)</f>
        <v>1.4324807443703085</v>
      </c>
      <c r="AW43" s="326">
        <f ca="1">_xlfn.XLOOKUP(TabTRADER[[#This Row],[ClickTick]],TabCalc[Ticker],TabCalc[L_Sn])</f>
        <v>3000</v>
      </c>
      <c r="AX43" s="740">
        <f ca="1">_xlfn.XLOOKUP(TabTRADER[[#This Row],[ClickTick]],TabCalc[Ticker],TabCalc[L_Sp])</f>
        <v>12.7675333</v>
      </c>
      <c r="AY43" s="778">
        <f ca="1">-IFERROR((TabTRADER[[#This Row],[M]]-TabTRADER[[#This Row],[L_Sp]])/TabTRADER[[#This Row],[L_Sp]],0)</f>
        <v>6.0899257650653627E-2</v>
      </c>
      <c r="AZ43" s="741">
        <f ca="1">TabTRADER[[#This Row],[L_Sn]]*(TabTRADER[[#This Row],[M]]-TabTRADER[[#This Row],[L_Sp]])*(1-Commission)*TabTRADER[[#This Row],[Scale]]</f>
        <v>-2326.5351402599999</v>
      </c>
      <c r="BA43" s="701">
        <f ca="1">TabTRADER[[#This Row],[L_Sn]]*(TabTRADER[[#This Row],[Agiotage]]-TabTRADER[[#This Row],[M]])/(TabTRADER[[#This Row],[L_Bn]]*TabTRADER[[#This Row],[M]])</f>
        <v>-0.93040293268170471</v>
      </c>
      <c r="BB43" s="641">
        <f ca="1">IFERROR((TabTRADER[[#This Row],[M]]-TabTRADER[[#This Row],[A]])/TabTRADER[[#This Row],[A]],0)</f>
        <v>-0.58933599950970339</v>
      </c>
      <c r="BC43" s="644" t="str">
        <f ca="1">TEXT(_xlfn.XLOOKUP(TabTRADER[[#This Row],[ClickTick]],TabCalc[Ticker],TabCalc[NAfter]),"#,#0")&amp;" : "&amp;TEXT(_xlfn.XLOOKUP(TabTRADER[[#This Row],[ClickTick]],TabCalc[Ticker],TabCalc[NAfter])*(TabTRADER[[#This Row],[M]]-TabTRADER[[#This Row],[A]])*(1-Commission)*TabTRADER[[#This Row],[Scale]],"#,#0$")</f>
        <v>16,000 : -274,590$</v>
      </c>
      <c r="BD43" s="693">
        <f ca="1">_xlfn.XLOOKUP(TabTRADER[[#This Row],[ClickTick]],TabCalc[[#This Row],[Ticker]],TabCalc[[#This Row],[GL]])*(1-Commission)</f>
        <v>-662956.14086774003</v>
      </c>
      <c r="BE43" s="693"/>
      <c r="BF43" s="675" t="str">
        <f ca="1">TabTRADER[[#This Row],[ClickTick]]&amp;": "&amp;_xlfn.XLOOKUP(TabTRADER[[#This Row],[ClickTick]],TabCalc[Ticker],TabCalc[Pile?])</f>
        <v xml:space="preserve">SSYS: </v>
      </c>
      <c r="BG43" s="353" t="s">
        <v>2003</v>
      </c>
      <c r="BH43" s="769" t="str" cm="1">
        <f t="array" aca="1" ref="BH43" ca="1">_xlfn.TEXTJOIN("",,INDEX({"M","A","Y"}, _xlfn.SORTBY({1,2,3}, -CHOOSE({1,2,3}, TabTRADER[[#This Row],[M]], TabTRADER[[#This Row],[A]], TabTRADER[[#This Row],[Agiotage]]))))</f>
        <v>AMY</v>
      </c>
      <c r="BI43" s="976" t="str" cm="1">
        <f t="array" aca="1" ref="BI4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3" s="688" t="e">
        <f ca="1">TabTRADER[[#This Row],[L_Sn]]*TabTRADER[[#This Row],[L_Sp]]+TabTRADER[[#This Row],[SellMore]]*TabTRADER[[#This Row],[M]]</f>
        <v>#N/A</v>
      </c>
      <c r="BK43" s="688" t="e">
        <f ca="1">INDEX(
  INDEX(TabConsolid[], , _xlfn.XMATCH(TabTRADER[[#This Row],[ClickTick]]&amp;1, TabConsolid[#Headers])),
  MATCH(
    -TabTRADER[[#This Row],[M]],
    INDEX(TabConsolid[], , _xlfn.XMATCH(TabTRADER[[#This Row],[ClickTick]]&amp;2, TabConsolid[#Headers])),
    -1
  )
)</f>
        <v>#N/A</v>
      </c>
      <c r="BL43" s="688" cm="1">
        <f t="array" aca="1" ref="BL4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43" s="1260" t="e">
        <f ca="1">TabTRADER[[#This Row],[ReBuy]]/(TabTRADER[[#This Row],[L_Sn]]+TabTRADER[[#This Row],[SellMore]])</f>
        <v>#N/A</v>
      </c>
      <c r="BN43" s="696">
        <f ca="1">((_xlfn.XLOOKUP(TabTRADER[[#This Row],[ClickTick]],TabCalc[Ticker],TabCalc[NAfter])+TabTRADER[[#This Row],[L_Sn]])*(TabTRADER[[#This Row],[Agiotage]]-TabTRADER[[#This Row],[M]]))/(TabTRADER[[#This Row],[L_Sn]]*_xlfn.XLOOKUP(TabTRADER[[#This Row],[ClickTick]],TabCalc[Ticker],TabCalc[NAfter]))</f>
        <v>-4.4157310852962319E-3</v>
      </c>
      <c r="BO43" s="696">
        <f ca="1">(TabTRADER[[#This Row],[M]]-TabTRADER[[#This Row],[Agiotage]])/(TabTRADER[[#This Row],[M]]-TabTRADER[[#This Row],[A]])-1</f>
        <v>-1.6483279329972136</v>
      </c>
      <c r="BP43" s="1388">
        <f ca="1">_xlfn.XMATCH(TabTRADER[[#This Row],[ClickTick]]&amp;1, TabConsolid[#Headers])</f>
        <v>125</v>
      </c>
      <c r="BQ43" t="b">
        <f ca="1">IF(ABS(TabTRADER[[#This Row],[L_Bp]])&gt;=TabTRADER[[#This Row],[M]],"OK")</f>
        <v>0</v>
      </c>
    </row>
    <row r="44" spans="1:69" hidden="1">
      <c r="A44" s="225">
        <f ca="1">IF(_xlfn.XLOOKUP(TabTRADER[[#This Row],[ClickTick]],TabCalc[Ticker],TabCalc[Cur])="GBp",0.01,1)</f>
        <v>1</v>
      </c>
      <c r="B4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-336.51x400=    +97 USD</v>
      </c>
      <c r="C44"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22.4%</v>
      </c>
      <c r="D44" s="697" t="str" cm="1">
        <f t="array" aca="1" ref="D4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4" s="228" t="str">
        <f ca="1">TRUNC(TabCalc[[#This Row],[L_B1p]],2)&amp;"x"&amp;TabCalc[[#This Row],[L_B1n]]&amp;"=   "&amp;TEXT(TabCalc[[#This Row],[ReverseS1]],"#,#0")&amp;"$"</f>
        <v>-382.16x100=   52$</v>
      </c>
      <c r="G44" s="227" t="str">
        <f ca="1">IFERROR(TRUNC(_xlfn.XLOOKUP(TabTRADER[[#This Row],[ClickTick]],TabCalc[Ticker],ListLastSalep),2)&amp;"x"&amp;_xlfn.XLOOKUP(TabTRADER[[#This Row],[ClickTick]],TabCalc[Ticker],ListLastSalen)&amp;"=   "&amp;TEXT(-_xlfn.XLOOKUP(TabTRADER[[#This Row],[ClickTick]],TabCalc[Ticker],ListReverseB),"#,#0")&amp;"$","")</f>
        <v>427.54x9=   56$</v>
      </c>
      <c r="H4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-1.4% = 0</v>
      </c>
      <c r="I44" s="228" t="str">
        <f ca="1">IFERROR(TRUNC(TabCalc[[#This Row],[L_S1p]],2)&amp;"x"&amp;TabCalc[[#This Row],[L_S1n]]&amp;"=   "&amp;TEXT(TabCalc[[#This Row],[ReverseB1]],"#,#0"),"")</f>
        <v>333.93x390=   -38,918</v>
      </c>
      <c r="J44" s="297">
        <f ca="1">_xlfn.XLOOKUP(TabTRADER[[#This Row],[ClickTick]],TabCalc[Ticker],ListGravity)</f>
        <v>0.83147989486304519</v>
      </c>
      <c r="K44" s="324" t="str" cm="1">
        <f t="array" aca="1" ref="K44" ca="1">IF(_xlfn.XLOOKUP(TabTRADER[[#This Row],[ClickTick]],TabTRADER[ClickTick],ListExtra_n)&gt;0,_xlfn.XLOOKUP(TabTRADER[[#This Row],[ClickTick]],TabTRADER[ClickTick],ListExtra_n),"")</f>
        <v/>
      </c>
      <c r="L44" s="322" t="str">
        <f ca="1">IF(_xlfn.XLOOKUP(TabTRADER[[#This Row],[ClickTick]],TabCalc[Ticker],ListExtra_n)&gt;0,_xlfn.XLOOKUP(TabTRADER[[#This Row],[ClickTick]],TabCalc[Ticker],ListExtra_n)*TabTRADER[[#This Row],[M]]*_xlfn.XLOOKUP(TabTRADER[[#This Row],[ClickTick]],TabCalc[Ticker],ListScale),"")</f>
        <v/>
      </c>
      <c r="M44" s="325">
        <f ca="1">_xlfn.XLOOKUP(TabTRADER[[#This Row],[ClickTick]],TabCalc[Ticker],TabCalc[Agiotage])</f>
        <v>1.0540454973134783</v>
      </c>
      <c r="N44" s="326" cm="1">
        <f t="array" aca="1" ref="N44" ca="1">_xlfn.XLOOKUP(TabTRADER[[#This Row],[ClickTick]],ListTickers,Tab2RSIConventional[RSIConv20])</f>
        <v>56</v>
      </c>
      <c r="O44" s="712" t="str">
        <f ca="1">TEXT(_xlfn.XLOOKUP(TabTRADER[[#This Row],[ClickTick]],TabCalc[Ticker],TabCalc[Nbegin]),"#,#0")&amp;": "&amp;_xlfn.XLOOKUP(TabTRADER[[#This Row],[ClickTick]],TabCalc[Ticker],TabCalc[Pile?])</f>
        <v>500: Pile</v>
      </c>
      <c r="P44" s="746">
        <f ca="1">_xlfn.XLOOKUP(TabTRADER[[#This Row],[ClickTick]],TabCalc[Ticker],TabCalc[L_Bn])</f>
        <v>400</v>
      </c>
      <c r="Q44" s="690">
        <f ca="1">_xlfn.XLOOKUP(TabTRADER[[#This Row],[ClickTick]],TabCalc[Ticker],TabCalc[L_Bp])</f>
        <v>-336.51</v>
      </c>
      <c r="R44" s="778">
        <f ca="1">(TabTRADER[[#This Row],[M]]+TabTRADER[[#This Row],[L_Bp]])/ABS(TabTRADER[[#This Row],[L_Bp]])</f>
        <v>0.28887700216932644</v>
      </c>
      <c r="S44" s="692">
        <f ca="1">_xlfn.XLOOKUP(TabTRADER[[#This Row],[ClickTick]],TabCalc[Ticker],TabCalc[Rev(MinStock)])*(1-Commission)</f>
        <v>96.957254000000034</v>
      </c>
      <c r="T44" s="798">
        <f ca="1">_xlfn.XLOOKUP(TabTRADER[[#This Row],[ClickTick]],TabCalc[Ticker],TabCalc[Agiotage])</f>
        <v>1.0540454973134783</v>
      </c>
      <c r="U44" s="759" t="str" cm="1">
        <f t="array" aca="1" ref="U4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-13/-13=&gt;1.8% / -3.4%</v>
      </c>
      <c r="V44" s="751" t="str">
        <f ca="1">_xlfn.XLOOKUP(TabTRADER[[#This Row],[ClickTick]],[1]!RTData[Ticker symbol],[1]!RTData[Currency])</f>
        <v>USD</v>
      </c>
      <c r="W44" s="761">
        <f ca="1">_xlfn.XLOOKUP(TabTRADER[[#This Row],[ClickTick]],TabCalc[Ticker],TabCalc[M])</f>
        <v>433.72</v>
      </c>
      <c r="X44" s="762" t="str">
        <f ca="1">SORTING!B44</f>
        <v>TSLA</v>
      </c>
      <c r="Y44" s="819">
        <f ca="1">_xlfn.XLOOKUP(TabTRADER[[#This Row],[ClickTick]],TabCalc[Ticker],TabCalc[Y])</f>
        <v>360.62945999999999</v>
      </c>
      <c r="Z44" s="835">
        <f ca="1">_xlfn.XLOOKUP(TabTRADER[[#This Row],[ClickTick]],[1]!RTData[Ticker symbol],[1]!RTData[YTChange])</f>
        <v>0.7243447451467917</v>
      </c>
      <c r="AA44" s="851">
        <f ca="1">-_xlfn.XLOOKUP(TabTRADER[[#This Row],[ClickTick]]&amp;2,Consolid!B$3:JZ$3,Consolid!B$4:JZ$4)</f>
        <v>336.51</v>
      </c>
      <c r="AB44" s="835" cm="1">
        <f t="array" aca="1" ref="AB44" ca="1">_xlfn.XLOOKUP(TabTRADER[[#This Row],[ClickTick]],ListTickers,Tab1ChangePercent[Change%19])</f>
        <v>1.7826999999999999E-2</v>
      </c>
      <c r="AC44" s="782">
        <f ca="1">_xlfn.XLOOKUP(TabTRADER[[#This Row],[ClickTick]],TabCalc[Ticker],TabCalc[NAfter])</f>
        <v>1</v>
      </c>
      <c r="AD4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^88/0 K$</v>
      </c>
      <c r="AE44" s="1277" t="str" cm="1">
        <f t="array" aca="1" ref="AE4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44" s="1281" t="str" cm="1">
        <f t="array" aca="1" ref="AF44" ca="1">_xlfn.IFS(       TabTRADER[[#This Row],[Traps]]=RePurchaseGain,TEXT(TabTRADER[[#This Row],[L_Sn]],"#,#0")&amp;" x "&amp;TEXT(TabTRADER[[#This Row],[L_Sp]],"#,#0.#0"),     TabTRADER[[#This Row],[Traps]]=ReSaleGain,TEXT(TabTRADER[[#This Row],[L_Bn]],"#0,#0")&amp;" x "&amp;TEXT(TabTRADER[[#This Row],[L_Bp]],"#,#0.#0"),               TRUE,"")</f>
        <v/>
      </c>
      <c r="AG44" s="1281" t="str" cm="1">
        <f t="array" aca="1" ref="AG4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 x 427.54</v>
      </c>
      <c r="AH44" s="1281" cm="1">
        <f t="array" aca="1" ref="AH4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6.1639320000000062</v>
      </c>
      <c r="AI44" s="1281" cm="1">
        <f t="array" aca="1" ref="AI4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96.957254000000034</v>
      </c>
      <c r="AJ44" s="1290" cm="1">
        <f t="array" aca="1" ref="AJ4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0.28887700216932644</v>
      </c>
      <c r="AK44" s="1290" cm="1">
        <f t="array" aca="1" ref="AK4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1.1648824126164361E-2</v>
      </c>
      <c r="AL44" s="843" cm="1">
        <f t="array" aca="1" ref="AL44" ca="1">_xlfn.IFS(   TabTRADER[[#This Row],[Traps]]=SellMorePercentGain,                     MIN(TabTRADER[[#This Row],[L_Sn]],TabTRADER[[#This Row],[N]])*(TabTRADER[[#This Row],[M]]-TabTRADER[[#This Row],[L_Sp]])*(1-Commission)*TabTRADER[[#This Row],[Scale]],                    TRUE,"")</f>
        <v>6.1639320000000062</v>
      </c>
      <c r="AM44" s="1039">
        <f ca="1">_xlfn.XLOOKUP(TabTRADER[[#This Row],[ClickTick]],TabCalc[Ticker],TabCalc[Ann%RevLB])</f>
        <v>0.40623328430061528</v>
      </c>
      <c r="AN44" s="1038">
        <f ca="1">_xlfn.XLOOKUP(TabTRADER[[#This Row],[ClickTick]],TabCalc[Ticker],TabCalc[Up20])</f>
        <v>0.45454545454545453</v>
      </c>
      <c r="AO44" s="1291" t="str" cm="1">
        <f t="array" aca="1" ref="AO4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44" s="843" t="str" cm="1">
        <f t="array" aca="1" ref="AP44" ca="1">_xlfn.IFS(         TabTRADER[[#This Row],[Traps]]=MDown,TabTRADER[[#This Row],[L_Bn]]*TabTRADER[[#This Row],[M]]*(-(TabTRADER[[#This Row],[L_Bp]]+TabTRADER[[#This Row],[M]])/TabTRADER[[#This Row],[M]])*(1-Commission)*TabTRADER[[#This Row],[Scale]],                               TRUE,"")</f>
        <v/>
      </c>
      <c r="AQ44" s="1290" cm="1">
        <f t="array" aca="1" ref="AQ44" ca="1">_xlfn.IFS(   TabTRADER[[#This Row],[Traps]]=MUp,TabTRADER[[#This Row],[TakeGain_A]]-Commission,        TabTRADER[[#This Row],[Traps]]=MDown,(TabTRADER[[#This Row],[A]]-TabTRADER[[#This Row],[M]])/TabTRADER[[#This Row],[M]]-Commission,                              TRUE,"")</f>
        <v>0.28627700216932644</v>
      </c>
      <c r="AR44" s="774" cm="1">
        <f t="array" aca="1" ref="AR4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124.96597487408998</v>
      </c>
      <c r="AS44" s="774" t="str" cm="1">
        <f t="array" aca="1" ref="AS4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0.3%</v>
      </c>
      <c r="AT44" s="748" t="str" cm="1">
        <f t="array" aca="1" ref="AT4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1x97.21</v>
      </c>
      <c r="AU44" s="779" cm="1">
        <f t="array" aca="1" ref="AU44" ca="1">_xlfn.IFS(TabTRADER[[#This Row],[Traps]]=ReSaleGain,"",         TabTRADER[[#This Row],[Traps]]=MDown, (TabTRADER[[#This Row],[M]]-TabTRADER[[#This Row],[A]])/TabTRADER[[#This Row],[A]]*ComFactor,             TRUE, IFERROR((TabTRADER[[#This Row],[M]]-TabTRADER[[#This Row],[A]])/TabTRADER[[#This Row],[A]]*ComFactor,""))</f>
        <v>0.28812592196368619</v>
      </c>
      <c r="AV44" s="776" cm="1">
        <f t="array" aca="1" ref="AV44" ca="1">_xlfn.IFS(               TabTRADER[[#This Row],[Traps]]=NoStock,(TabTRADER[[#This Row],[L_Sp]]-TabTRADER[[#This Row],[M]])/TabTRADER[[#This Row],[M]]-Commission,             TabTRADER[[#This Row],[A]]&lt;&gt;0,(TabTRADER[[#This Row],[A]]-TabTRADER[[#This Row],[M]])/TabTRADER[[#This Row],[M]]-Commission)</f>
        <v>-0.22673077561560459</v>
      </c>
      <c r="AW44" s="326">
        <f ca="1">_xlfn.XLOOKUP(TabTRADER[[#This Row],[ClickTick]],TabCalc[Ticker],TabCalc[L_Sn])</f>
        <v>9</v>
      </c>
      <c r="AX44" s="740">
        <f ca="1">_xlfn.XLOOKUP(TabTRADER[[#This Row],[ClickTick]],TabCalc[Ticker],TabCalc[L_Sp])</f>
        <v>427.54</v>
      </c>
      <c r="AY44" s="778">
        <f ca="1">-IFERROR((TabTRADER[[#This Row],[M]]-TabTRADER[[#This Row],[L_Sp]])/TabTRADER[[#This Row],[L_Sp]],0)</f>
        <v>-1.4454787856107047E-2</v>
      </c>
      <c r="AZ44" s="741">
        <f ca="1">TabTRADER[[#This Row],[L_Sn]]*(TabTRADER[[#This Row],[M]]-TabTRADER[[#This Row],[L_Sp]])*(1-Commission)*TabTRADER[[#This Row],[Scale]]</f>
        <v>55.475388000000059</v>
      </c>
      <c r="BA44" s="701">
        <f ca="1">TabTRADER[[#This Row],[L_Sn]]*(TabTRADER[[#This Row],[Agiotage]]-TabTRADER[[#This Row],[M]])/(TabTRADER[[#This Row],[L_Bn]]*TabTRADER[[#This Row],[M]])</f>
        <v>-2.2445319506387638E-2</v>
      </c>
      <c r="BB44" s="641">
        <f ca="1">IFERROR((TabTRADER[[#This Row],[M]]-TabTRADER[[#This Row],[A]])/TabTRADER[[#This Row],[A]],0)</f>
        <v>0.28887700216932644</v>
      </c>
      <c r="BC44" s="644" t="str">
        <f ca="1">TEXT(_xlfn.XLOOKUP(TabTRADER[[#This Row],[ClickTick]],TabCalc[Ticker],TabCalc[NAfter]),"#,#0")&amp;" : "&amp;TEXT(_xlfn.XLOOKUP(TabTRADER[[#This Row],[ClickTick]],TabCalc[Ticker],TabCalc[NAfter])*(TabTRADER[[#This Row],[M]]-TabTRADER[[#This Row],[A]])*(1-Commission)*TabTRADER[[#This Row],[Scale]],"#,#0$")</f>
        <v>1 : 97$</v>
      </c>
      <c r="BD44" s="693">
        <f ca="1">_xlfn.XLOOKUP(TabTRADER[[#This Row],[ClickTick]],TabCalc[[#This Row],[Ticker]],TabCalc[[#This Row],[GL]])*(1-Commission)</f>
        <v>87431.565351999991</v>
      </c>
      <c r="BE44" s="693"/>
      <c r="BF44" s="675" t="str">
        <f ca="1">TabTRADER[[#This Row],[ClickTick]]&amp;": "&amp;_xlfn.XLOOKUP(TabTRADER[[#This Row],[ClickTick]],TabCalc[Ticker],TabCalc[Pile?])</f>
        <v>TSLA: Pile</v>
      </c>
      <c r="BG44" s="353" t="s">
        <v>2004</v>
      </c>
      <c r="BH44" s="769" t="str" cm="1">
        <f t="array" aca="1" ref="BH44" ca="1">_xlfn.TEXTJOIN("",,INDEX({"M","A","Y"}, _xlfn.SORTBY({1,2,3}, -CHOOSE({1,2,3}, TabTRADER[[#This Row],[M]], TabTRADER[[#This Row],[A]], TabTRADER[[#This Row],[Agiotage]]))))</f>
        <v>MAY</v>
      </c>
      <c r="BI44" s="976" cm="1">
        <f t="array" aca="1" ref="BI4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1.424882412616436E-2</v>
      </c>
      <c r="BJ44" s="688">
        <f ca="1">TabTRADER[[#This Row],[L_Sn]]*TabTRADER[[#This Row],[L_Sp]]+TabTRADER[[#This Row],[SellMore]]*TabTRADER[[#This Row],[M]]</f>
        <v>4281.58</v>
      </c>
      <c r="BK44" s="688">
        <f ca="1">INDEX(
  INDEX(TabConsolid[], , _xlfn.XMATCH(TabTRADER[[#This Row],[ClickTick]]&amp;1, TabConsolid[#Headers])),
  MATCH(
    -TabTRADER[[#This Row],[M]],
    INDEX(TabConsolid[], , _xlfn.XMATCH(TabTRADER[[#This Row],[ClickTick]]&amp;2, TabConsolid[#Headers])),
    -1
  )
)</f>
        <v>1</v>
      </c>
      <c r="BL44" s="688" cm="1">
        <f t="array" aca="1" ref="BL4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4" s="1260">
        <f ca="1">TabTRADER[[#This Row],[ReBuy]]/(TabTRADER[[#This Row],[L_Sn]]+TabTRADER[[#This Row],[SellMore]])</f>
        <v>428.15800000000002</v>
      </c>
      <c r="BN44" s="696">
        <f ca="1">((_xlfn.XLOOKUP(TabTRADER[[#This Row],[ClickTick]],TabCalc[Ticker],TabCalc[NAfter])+TabTRADER[[#This Row],[L_Sn]])*(TabTRADER[[#This Row],[Agiotage]]-TabTRADER[[#This Row],[M]]))/(TabTRADER[[#This Row],[L_Sn]]*_xlfn.XLOOKUP(TabTRADER[[#This Row],[ClickTick]],TabCalc[Ticker],TabCalc[NAfter]))</f>
        <v>-480.73994944742947</v>
      </c>
      <c r="BO44" s="696">
        <f ca="1">(TabTRADER[[#This Row],[M]]-TabTRADER[[#This Row],[Agiotage]])/(TabTRADER[[#This Row],[M]]-TabTRADER[[#This Row],[A]])-1</f>
        <v>3.4508379230808188</v>
      </c>
      <c r="BP44" s="1388">
        <f ca="1">_xlfn.XMATCH(TabTRADER[[#This Row],[ClickTick]]&amp;1, TabConsolid[#Headers])</f>
        <v>128</v>
      </c>
      <c r="BQ44" t="b">
        <f ca="1">IF(ABS(TabTRADER[[#This Row],[L_Bp]])&gt;=TabTRADER[[#This Row],[M]],"OK")</f>
        <v>0</v>
      </c>
    </row>
    <row r="45" spans="1:69" hidden="1">
      <c r="A45" s="225">
        <f ca="1">IF(_xlfn.XLOOKUP(TabTRADER[[#This Row],[ClickTick]],TabCalc[Ticker],TabCalc[Cur])="GBp",0.01,1)</f>
        <v>1</v>
      </c>
      <c r="B4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-286.4x800=    +6,846 USD</v>
      </c>
      <c r="C45"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2.9%</v>
      </c>
      <c r="D45" s="697" t="str" cm="1">
        <f t="array" aca="1" ref="D4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584/4,800=172,340</v>
      </c>
      <c r="E45" s="765" t="str">
        <f ca="1">IF(      AND(TabTRADER[[#This Row],[A]]&lt;TabTRADER[[#This Row],[M]],    _xlfn.XLOOKUP(TabTRADER[[#This Row],[ClickTick]],TabCalc[Ticker],TabCalc[L_Sp])&gt;TabTRADER[[#This Row],[M]]),"BUY  "&amp;TEXT(DesiredBuyGain/TabTRADER[[#This Row],[Scale]]/(_xlfn.XLOOKUP(TabTRADER[[#This Row],[ClickTick]],TabCalc[Ticker],TabCalc[L_Sp])-TabTRADER[[#This Row],[M]]),"#,##0"),"")</f>
        <v>BUY  3,472</v>
      </c>
      <c r="F45" s="228" t="str">
        <f ca="1">TRUNC(TabCalc[[#This Row],[L_B1p]],2)&amp;"x"&amp;TabCalc[[#This Row],[L_B1n]]&amp;"=   "&amp;TEXT(TabCalc[[#This Row],[ReverseS1]],"#,#0")&amp;"$"</f>
        <v>-235.25x1000=   59,710$</v>
      </c>
      <c r="G45" s="227" t="str">
        <f ca="1">IFERROR(TRUNC(_xlfn.XLOOKUP(TabTRADER[[#This Row],[ClickTick]],TabCalc[Ticker],ListLastSalep),2)&amp;"x"&amp;_xlfn.XLOOKUP(TabTRADER[[#This Row],[ClickTick]],TabCalc[Ticker],ListLastSalen)&amp;"=   "&amp;TEXT(-_xlfn.XLOOKUP(TabTRADER[[#This Row],[ClickTick]],TabCalc[Ticker],ListReverseB),"#,#0")&amp;"$","")</f>
        <v>296.4x500=   -720$</v>
      </c>
      <c r="H4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0.5% = 3,472</v>
      </c>
      <c r="I45" s="228" t="str">
        <f ca="1">IFERROR(TRUNC(TabCalc[[#This Row],[L_S1p]],2)&amp;"x"&amp;TabCalc[[#This Row],[L_S1n]]&amp;"=   "&amp;TEXT(TabCalc[[#This Row],[ReverseB1]],"#,#0"),"")</f>
        <v>268.59x1000=   -26,370</v>
      </c>
      <c r="J45" s="297">
        <f ca="1">_xlfn.XLOOKUP(TabTRADER[[#This Row],[ClickTick]],TabCalc[Ticker],ListGravity)</f>
        <v>0.91456468673718472</v>
      </c>
      <c r="K45" s="324" cm="1">
        <f t="array" aca="1" ref="K45" ca="1">IF(_xlfn.XLOOKUP(TabTRADER[[#This Row],[ClickTick]],TabTRADER[ClickTick],ListExtra_n)&gt;0,_xlfn.XLOOKUP(TabTRADER[[#This Row],[ClickTick]],TabTRADER[ClickTick],ListExtra_n),"")</f>
        <v>2800</v>
      </c>
      <c r="L45" s="322">
        <f ca="1">IF(_xlfn.XLOOKUP(TabTRADER[[#This Row],[ClickTick]],TabCalc[Ticker],ListExtra_n)&gt;0,_xlfn.XLOOKUP(TabTRADER[[#This Row],[ClickTick]],TabCalc[Ticker],ListExtra_n)*TabTRADER[[#This Row],[M]]*_xlfn.XLOOKUP(TabTRADER[[#This Row],[ClickTick]],TabCalc[Ticker],ListScale),"")</f>
        <v>825888</v>
      </c>
      <c r="M45" s="325">
        <f ca="1">_xlfn.XLOOKUP(TabTRADER[[#This Row],[ClickTick]],TabCalc[Ticker],TabCalc[Agiotage])</f>
        <v>0.60274669526661961</v>
      </c>
      <c r="N45" s="326" cm="1">
        <f t="array" aca="1" ref="N45" ca="1">_xlfn.XLOOKUP(TabTRADER[[#This Row],[ClickTick]],ListTickers,Tab2RSIConventional[RSIConv20])</f>
        <v>56</v>
      </c>
      <c r="O45" s="712" t="str">
        <f ca="1">TEXT(_xlfn.XLOOKUP(TabTRADER[[#This Row],[ClickTick]],TabCalc[Ticker],TabCalc[Nbegin]),"#,#0")&amp;": "&amp;_xlfn.XLOOKUP(TabTRADER[[#This Row],[ClickTick]],TabCalc[Ticker],TabCalc[Pile?])</f>
        <v xml:space="preserve">2,000: </v>
      </c>
      <c r="P45" s="746">
        <f ca="1">_xlfn.XLOOKUP(TabTRADER[[#This Row],[ClickTick]],TabCalc[Ticker],TabCalc[L_Bn])</f>
        <v>800</v>
      </c>
      <c r="Q45" s="740">
        <f ca="1">_xlfn.XLOOKUP(TabTRADER[[#This Row],[ClickTick]],TabCalc[Ticker],TabCalc[L_Bp])</f>
        <v>-286.40249999999997</v>
      </c>
      <c r="R45" s="778">
        <f ca="1">(TabTRADER[[#This Row],[M]]+TabTRADER[[#This Row],[L_Bp]])/ABS(TabTRADER[[#This Row],[L_Bp]])</f>
        <v>2.9879278288422781E-2</v>
      </c>
      <c r="S45" s="692">
        <f ca="1">_xlfn.XLOOKUP(TabTRADER[[#This Row],[ClickTick]],TabCalc[Ticker],TabCalc[Rev(MinStock)])*(1-Commission)</f>
        <v>6828.2004000000034</v>
      </c>
      <c r="T45" s="798">
        <f ca="1">_xlfn.XLOOKUP(TabTRADER[[#This Row],[ClickTick]],TabCalc[Ticker],TabCalc[Agiotage])</f>
        <v>0.60274669526661961</v>
      </c>
      <c r="U45" s="759" t="str" cm="1">
        <f t="array" aca="1" ref="U4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-2,928/-2,928=&gt;-3.4% / 1.5%</v>
      </c>
      <c r="V45" s="751" t="str">
        <f ca="1">_xlfn.XLOOKUP(TabTRADER[[#This Row],[ClickTick]],[1]!RTData[Ticker symbol],[1]!RTData[Currency])</f>
        <v>USD</v>
      </c>
      <c r="W45" s="761">
        <f ca="1">_xlfn.XLOOKUP(TabTRADER[[#This Row],[ClickTick]],TabCalc[Ticker],TabCalc[M])</f>
        <v>294.95999999999998</v>
      </c>
      <c r="X45" s="762" t="str">
        <f ca="1">SORTING!B45</f>
        <v>TSM</v>
      </c>
      <c r="Y45" s="819">
        <f ca="1">_xlfn.XLOOKUP(TabTRADER[[#This Row],[ClickTick]],TabCalc[Ticker],TabCalc[Y])</f>
        <v>269.76</v>
      </c>
      <c r="Z45" s="835">
        <f ca="1">_xlfn.XLOOKUP(TabTRADER[[#This Row],[ClickTick]],[1]!RTData[Ticker symbol],[1]!RTData[YTChange])</f>
        <v>0.17343077123841841</v>
      </c>
      <c r="AA45" s="851">
        <f ca="1">-_xlfn.XLOOKUP(TabTRADER[[#This Row],[ClickTick]]&amp;2,Consolid!B$3:JZ$3,Consolid!B$4:JZ$4)</f>
        <v>203.95281791666665</v>
      </c>
      <c r="AB45" s="835" cm="1">
        <f t="array" aca="1" ref="AB45" ca="1">_xlfn.XLOOKUP(TabTRADER[[#This Row],[ClickTick]],ListTickers,Tab1ChangePercent[Change%19])</f>
        <v>-3.3987999999999997E-2</v>
      </c>
      <c r="AC45" s="782">
        <f ca="1">_xlfn.XLOOKUP(TabTRADER[[#This Row],[ClickTick]],TabCalc[Ticker],TabCalc[NAfter])</f>
        <v>4800</v>
      </c>
      <c r="AD4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^946/1,416 K$</v>
      </c>
      <c r="AE45" s="1299" t="str" cm="1">
        <f t="array" aca="1" ref="AE4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45" s="1281" t="str" cm="1">
        <f t="array" aca="1" ref="AF45" ca="1">_xlfn.IFS(       TabTRADER[[#This Row],[Traps]]=RePurchaseGain,TEXT(TabTRADER[[#This Row],[L_Sn]],"#,#0")&amp;" x "&amp;TEXT(TabTRADER[[#This Row],[L_Sp]],"#,#0.#0"),     TabTRADER[[#This Row],[Traps]]=ReSaleGain,TEXT(TabTRADER[[#This Row],[L_Bn]],"#0,#0")&amp;" x "&amp;TEXT(TabTRADER[[#This Row],[L_Bp]],"#,#0.#0"),               TRUE,"")</f>
        <v>800 x -286.40</v>
      </c>
      <c r="AG45" s="1281" cm="1">
        <f t="array" aca="1" ref="AG4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6828.2004000000034</v>
      </c>
      <c r="AH45" s="1281" t="str" cm="1">
        <f t="array" aca="1" ref="AH4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5" s="1281" cm="1">
        <f t="array" aca="1" ref="AI4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6828.2004000000034</v>
      </c>
      <c r="AJ45" s="1290" cm="1">
        <f t="array" aca="1" ref="AJ4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2.9879278288422781E-2</v>
      </c>
      <c r="AK45" s="1290" t="str" cm="1">
        <f t="array" aca="1" ref="AK4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45" s="843" t="str" cm="1">
        <f t="array" aca="1" ref="AL45" ca="1">_xlfn.IFS(   TabTRADER[[#This Row],[Traps]]=SellMorePercentGain,                     MIN(TabTRADER[[#This Row],[L_Sn]],TabTRADER[[#This Row],[N]])*(TabTRADER[[#This Row],[M]]-TabTRADER[[#This Row],[L_Sp]])*(1-Commission)*TabTRADER[[#This Row],[Scale]],                    TRUE,"")</f>
        <v/>
      </c>
      <c r="AM45" s="1296">
        <f ca="1">_xlfn.XLOOKUP(TabTRADER[[#This Row],[ClickTick]],TabCalc[Ticker],TabCalc[Ann%RevLB])</f>
        <v>2.6891350459580501</v>
      </c>
      <c r="AN45" s="1392">
        <f ca="1">_xlfn.XLOOKUP(TabTRADER[[#This Row],[ClickTick]],TabCalc[Ticker],TabCalc[Up20])</f>
        <v>0.5</v>
      </c>
      <c r="AO45" s="1291" t="str" cm="1">
        <f t="array" aca="1" ref="AO4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45" s="843" t="str" cm="1">
        <f t="array" aca="1" ref="AP45" ca="1">_xlfn.IFS(         TabTRADER[[#This Row],[Traps]]=MDown,TabTRADER[[#This Row],[L_Bn]]*TabTRADER[[#This Row],[M]]*(-(TabTRADER[[#This Row],[L_Bp]]+TabTRADER[[#This Row],[M]])/TabTRADER[[#This Row],[M]])*(1-Commission)*TabTRADER[[#This Row],[Scale]],                               TRUE,"")</f>
        <v/>
      </c>
      <c r="AQ45" s="1290" t="str" cm="1">
        <f t="array" aca="1" ref="AQ45" ca="1">_xlfn.IFS(   TabTRADER[[#This Row],[Traps]]=MUp,TabTRADER[[#This Row],[TakeGain_A]]-Commission,        TabTRADER[[#This Row],[Traps]]=MDown,(TabTRADER[[#This Row],[A]]-TabTRADER[[#This Row],[M]])/TabTRADER[[#This Row],[M]]-Commission,                              TRUE,"")</f>
        <v/>
      </c>
      <c r="AR45" s="774" cm="1">
        <f t="array" aca="1" ref="AR4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630114.80377180607</v>
      </c>
      <c r="AS45" s="774" t="str" cm="1">
        <f t="array" aca="1" ref="AS4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-1.1%</v>
      </c>
      <c r="AT45" s="748" t="str" cm="1">
        <f t="array" aca="1" ref="AT4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45" s="779" t="str" cm="1">
        <f t="array" aca="1" ref="AU45" ca="1">_xlfn.IFS(TabTRADER[[#This Row],[Traps]]=ReSaleGain,"",         TabTRADER[[#This Row],[Traps]]=MDown, (TabTRADER[[#This Row],[M]]-TabTRADER[[#This Row],[A]])/TabTRADER[[#This Row],[A]]*ComFactor,             TRUE, IFERROR((TabTRADER[[#This Row],[M]]-TabTRADER[[#This Row],[A]])/TabTRADER[[#This Row],[A]]*ComFactor,""))</f>
        <v/>
      </c>
      <c r="AV45" s="776" cm="1">
        <f t="array" aca="1" ref="AV45" ca="1">_xlfn.IFS(               TabTRADER[[#This Row],[Traps]]=NoStock,(TabTRADER[[#This Row],[L_Sp]]-TabTRADER[[#This Row],[M]])/TabTRADER[[#This Row],[M]]-Commission,             TabTRADER[[#This Row],[A]]&lt;&gt;0,(TabTRADER[[#This Row],[A]]-TabTRADER[[#This Row],[M]])/TabTRADER[[#This Row],[M]]-Commission)</f>
        <v>-0.31114075835141491</v>
      </c>
      <c r="AW45" s="326">
        <f ca="1">_xlfn.XLOOKUP(TabTRADER[[#This Row],[ClickTick]],TabCalc[Ticker],TabCalc[L_Sn])</f>
        <v>500</v>
      </c>
      <c r="AX45" s="740">
        <f ca="1">_xlfn.XLOOKUP(TabTRADER[[#This Row],[ClickTick]],TabCalc[Ticker],TabCalc[L_Sp])</f>
        <v>296.39999999999998</v>
      </c>
      <c r="AY45" s="778">
        <f ca="1">-IFERROR((TabTRADER[[#This Row],[M]]-TabTRADER[[#This Row],[L_Sp]])/TabTRADER[[#This Row],[L_Sp]],0)</f>
        <v>4.8582995951416928E-3</v>
      </c>
      <c r="AZ45" s="741">
        <f ca="1">TabTRADER[[#This Row],[L_Sn]]*(TabTRADER[[#This Row],[M]]-TabTRADER[[#This Row],[L_Sp]])*(1-Commission)*TabTRADER[[#This Row],[Scale]]</f>
        <v>-718.12799999999879</v>
      </c>
      <c r="BA45" s="701">
        <f ca="1">TabTRADER[[#This Row],[L_Sn]]*(TabTRADER[[#This Row],[Agiotage]]-TabTRADER[[#This Row],[M]])/(TabTRADER[[#This Row],[L_Bn]]*TabTRADER[[#This Row],[M]])</f>
        <v>-0.62372282111289112</v>
      </c>
      <c r="BB45" s="641">
        <f ca="1">IFERROR((TabTRADER[[#This Row],[M]]-TabTRADER[[#This Row],[A]])/TabTRADER[[#This Row],[A]],0)</f>
        <v>0.44621684080147439</v>
      </c>
      <c r="BC45" s="644" t="str">
        <f ca="1">TEXT(_xlfn.XLOOKUP(TabTRADER[[#This Row],[ClickTick]],TabCalc[Ticker],TabCalc[NAfter]),"#,#0")&amp;" : "&amp;TEXT(_xlfn.XLOOKUP(TabTRADER[[#This Row],[ClickTick]],TabCalc[Ticker],TabCalc[NAfter])*(TabTRADER[[#This Row],[M]]-TabTRADER[[#This Row],[A]])*(1-Commission)*TabTRADER[[#This Row],[Scale]],"#,#0$")</f>
        <v>4,800 : 435,699$</v>
      </c>
      <c r="BD45" s="693">
        <f ca="1">_xlfn.XLOOKUP(TabTRADER[[#This Row],[ClickTick]],TabCalc[[#This Row],[Ticker]],TabCalc[[#This Row],[GL]])*(1-Commission)</f>
        <v>943796.6540028</v>
      </c>
      <c r="BE45" s="693"/>
      <c r="BF45" s="675" t="str">
        <f ca="1">TabTRADER[[#This Row],[ClickTick]]&amp;": "&amp;_xlfn.XLOOKUP(TabTRADER[[#This Row],[ClickTick]],TabCalc[Ticker],TabCalc[Pile?])</f>
        <v xml:space="preserve">TSM: </v>
      </c>
      <c r="BG45" s="353" t="s">
        <v>2009</v>
      </c>
      <c r="BH45" s="769" t="str" cm="1">
        <f t="array" aca="1" ref="BH45" ca="1">_xlfn.TEXTJOIN("",,INDEX({"M","A","Y"}, _xlfn.SORTBY({1,2,3}, -CHOOSE({1,2,3}, TabTRADER[[#This Row],[M]], TabTRADER[[#This Row],[A]], TabTRADER[[#This Row],[Agiotage]]))))</f>
        <v>MAY</v>
      </c>
      <c r="BI45" s="976" t="str" cm="1">
        <f t="array" aca="1" ref="BI4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45" s="688">
        <f ca="1">TabTRADER[[#This Row],[L_Sn]]*TabTRADER[[#This Row],[L_Sp]]+TabTRADER[[#This Row],[SellMore]]*TabTRADER[[#This Row],[M]]</f>
        <v>384168</v>
      </c>
      <c r="BK45" s="688">
        <f ca="1">INDEX(
  INDEX(TabConsolid[], , _xlfn.XMATCH(TabTRADER[[#This Row],[ClickTick]]&amp;1, TabConsolid[#Headers])),
  MATCH(
    -TabTRADER[[#This Row],[M]],
    INDEX(TabConsolid[], , _xlfn.XMATCH(TabTRADER[[#This Row],[ClickTick]]&amp;2, TabConsolid[#Headers])),
    -1
  )
)</f>
        <v>800</v>
      </c>
      <c r="BL45" s="688" cm="1">
        <f t="array" aca="1" ref="BL4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800</v>
      </c>
      <c r="BM45" s="1260">
        <f ca="1">TabTRADER[[#This Row],[ReBuy]]/(TabTRADER[[#This Row],[L_Sn]]+TabTRADER[[#This Row],[SellMore]])</f>
        <v>295.51384615384615</v>
      </c>
      <c r="BN45" s="696">
        <f ca="1">((_xlfn.XLOOKUP(TabTRADER[[#This Row],[ClickTick]],TabCalc[Ticker],TabCalc[NAfter])+TabTRADER[[#This Row],[L_Sn]])*(TabTRADER[[#This Row],[Agiotage]]-TabTRADER[[#This Row],[M]]))/(TabTRADER[[#This Row],[L_Sn]]*_xlfn.XLOOKUP(TabTRADER[[#This Row],[ClickTick]],TabCalc[Ticker],TabCalc[NAfter]))</f>
        <v>-0.65003893438128624</v>
      </c>
      <c r="BO45" s="696">
        <f ca="1">(TabTRADER[[#This Row],[M]]-TabTRADER[[#This Row],[Agiotage]])/(TabTRADER[[#This Row],[M]]-TabTRADER[[#This Row],[A]])-1</f>
        <v>2.2344398163564358</v>
      </c>
      <c r="BP45" s="1388">
        <f ca="1">_xlfn.XMATCH(TabTRADER[[#This Row],[ClickTick]]&amp;1, TabConsolid[#Headers])</f>
        <v>131</v>
      </c>
      <c r="BQ45" t="b">
        <f ca="1">IF(ABS(TabTRADER[[#This Row],[L_Bp]])&gt;=TabTRADER[[#This Row],[M]],"OK")</f>
        <v>0</v>
      </c>
    </row>
    <row r="46" spans="1:69">
      <c r="A46" s="225">
        <f ca="1">IF(_xlfn.XLOOKUP(TabTRADER[[#This Row],[ClickTick]],TabCalc[Ticker],TabCalc[Cur])="GBp",0.01,1)</f>
        <v>1</v>
      </c>
      <c r="B4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-37.24x350=    -2,482 EUR</v>
      </c>
      <c r="C46"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-23.5%</v>
      </c>
      <c r="D46" s="697" t="str" cm="1">
        <f t="array" aca="1" ref="D4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6"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6" s="228" t="str">
        <f ca="1">TRUNC(TabCalc[[#This Row],[L_B1p]],2)&amp;"x"&amp;TabCalc[[#This Row],[L_B1n]]&amp;"=   "&amp;TEXT(TabCalc[[#This Row],[ReverseS1]],"#,#0")&amp;"$"</f>
        <v>-42.2x363=   -4,374$</v>
      </c>
      <c r="G46" s="227" t="str">
        <f ca="1">IFERROR(TRUNC(_xlfn.XLOOKUP(TabTRADER[[#This Row],[ClickTick]],TabCalc[Ticker],ListLastSalep),2)&amp;"x"&amp;_xlfn.XLOOKUP(TabTRADER[[#This Row],[ClickTick]],TabCalc[Ticker],ListLastSalen)&amp;"=   "&amp;TEXT(-_xlfn.XLOOKUP(TabTRADER[[#This Row],[ClickTick]],TabCalc[Ticker],ListReverseB),"#,#0")&amp;"$","")</f>
        <v>44.29x350=   -4,952$</v>
      </c>
      <c r="H4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46.9% = 353</v>
      </c>
      <c r="I46" s="228" t="str">
        <f ca="1">IFERROR(TRUNC(TabCalc[[#This Row],[L_S1p]],2)&amp;"x"&amp;TabCalc[[#This Row],[L_S1n]]&amp;"=   "&amp;TEXT(TabCalc[[#This Row],[ReverseB1]],"#,#0"),"")</f>
        <v>43.37x2500=   33,050</v>
      </c>
      <c r="J46" s="297">
        <f ca="1">_xlfn.XLOOKUP(TabTRADER[[#This Row],[ClickTick]],TabCalc[Ticker],ListGravity)</f>
        <v>0</v>
      </c>
      <c r="K46" s="324" cm="1">
        <f t="array" aca="1" ref="K46" ca="1">IF(_xlfn.XLOOKUP(TabTRADER[[#This Row],[ClickTick]],TabTRADER[ClickTick],ListExtra_n)&gt;0,_xlfn.XLOOKUP(TabTRADER[[#This Row],[ClickTick]],TabTRADER[ClickTick],ListExtra_n),"")</f>
        <v>2300</v>
      </c>
      <c r="L46" s="322">
        <f ca="1">IF(_xlfn.XLOOKUP(TabTRADER[[#This Row],[ClickTick]],TabCalc[Ticker],ListExtra_n)&gt;0,_xlfn.XLOOKUP(TabTRADER[[#This Row],[ClickTick]],TabCalc[Ticker],ListExtra_n)*TabTRADER[[#This Row],[M]]*_xlfn.XLOOKUP(TabTRADER[[#This Row],[ClickTick]],TabCalc[Ticker],ListScale),"")</f>
        <v>69345</v>
      </c>
      <c r="M46" s="325">
        <f ca="1">_xlfn.XLOOKUP(TabTRADER[[#This Row],[ClickTick]],TabCalc[Ticker],TabCalc[Agiotage])</f>
        <v>3.907563025210084E-2</v>
      </c>
      <c r="N46" s="326" cm="1">
        <f t="array" aca="1" ref="N46" ca="1">_xlfn.XLOOKUP(TabTRADER[[#This Row],[ClickTick]],ListTickers,Tab2RSIConventional[RSIConv20])</f>
        <v>44</v>
      </c>
      <c r="O46" s="712" t="str">
        <f ca="1">TEXT(_xlfn.XLOOKUP(TabTRADER[[#This Row],[ClickTick]],TabCalc[Ticker],TabCalc[Nbegin]),"#,#0")&amp;": "&amp;_xlfn.XLOOKUP(TabTRADER[[#This Row],[ClickTick]],TabCalc[Ticker],TabCalc[Pile?])</f>
        <v>700: Pile</v>
      </c>
      <c r="P46" s="877">
        <f ca="1">_xlfn.XLOOKUP(TabTRADER[[#This Row],[ClickTick]],TabCalc[Ticker],TabCalc[L_Bn])</f>
        <v>350</v>
      </c>
      <c r="Q46" s="740">
        <f ca="1">_xlfn.XLOOKUP(TabTRADER[[#This Row],[ClickTick]],TabCalc[Ticker],TabCalc[L_Bp])</f>
        <v>-37.240699999999997</v>
      </c>
      <c r="R46" s="778">
        <f ca="1">(TabTRADER[[#This Row],[M]]+TabTRADER[[#This Row],[L_Bp]])/ABS(TabTRADER[[#This Row],[L_Bp]])</f>
        <v>-0.19040189899760204</v>
      </c>
      <c r="S46" s="692">
        <f ca="1">_xlfn.XLOOKUP(TabTRADER[[#This Row],[ClickTick]],TabCalc[Ticker],TabCalc[Rev(MinStock)])*(1-Commission)</f>
        <v>-2475.2924629999993</v>
      </c>
      <c r="T46" s="798">
        <f ca="1">_xlfn.XLOOKUP(TabTRADER[[#This Row],[ClickTick]],TabCalc[Ticker],TabCalc[Agiotage])</f>
        <v>3.907563025210084E-2</v>
      </c>
      <c r="U46" s="759" t="str" cm="1">
        <f t="array" aca="1" ref="U4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-2,550/-2,550=&gt;1.5% / -2.6%</v>
      </c>
      <c r="V46" s="751" t="str">
        <f ca="1">_xlfn.XLOOKUP(TabTRADER[[#This Row],[ClickTick]],[1]!RTData[Ticker symbol],[1]!RTData[Currency])</f>
        <v>EUR</v>
      </c>
      <c r="W46" s="761">
        <f ca="1">_xlfn.XLOOKUP(TabTRADER[[#This Row],[ClickTick]],TabCalc[Ticker],TabCalc[M])</f>
        <v>30.15</v>
      </c>
      <c r="X46" s="762" t="str">
        <f ca="1">SORTING!B46</f>
        <v>UN0</v>
      </c>
      <c r="Y46" s="819">
        <f ca="1">_xlfn.XLOOKUP(TabTRADER[[#This Row],[ClickTick]],TabCalc[Ticker],TabCalc[Y])</f>
        <v>0</v>
      </c>
      <c r="Z46" s="835">
        <f ca="1">_xlfn.XLOOKUP(TabTRADER[[#This Row],[ClickTick]],[1]!RTData[Ticker symbol],[1]!RTData[YTChange])</f>
        <v>0</v>
      </c>
      <c r="AA46" s="851">
        <f ca="1">-_xlfn.XLOOKUP(TabTRADER[[#This Row],[ClickTick]]&amp;2,Consolid!B$3:JZ$3,Consolid!B$4:JZ$4)</f>
        <v>41.599350000000001</v>
      </c>
      <c r="AB46" s="835" cm="1">
        <f t="array" aca="1" ref="AB46" ca="1">_xlfn.XLOOKUP(TabTRADER[[#This Row],[ClickTick]],ListTickers,Tab1ChangePercent[Change%19])</f>
        <v>1.4686999999999999E-2</v>
      </c>
      <c r="AC46" s="782">
        <f ca="1">_xlfn.XLOOKUP(TabTRADER[[#This Row],[ClickTick]],TabCalc[Ticker],TabCalc[NAfter])</f>
        <v>3000</v>
      </c>
      <c r="AD46"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-199/90 K$</v>
      </c>
      <c r="AE46" s="1299" t="str" cm="1">
        <f t="array" aca="1" ref="AE4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46" s="1281" t="str" cm="1">
        <f t="array" aca="1" ref="AF46" ca="1">_xlfn.IFS(       TabTRADER[[#This Row],[Traps]]=RePurchaseGain,TEXT(TabTRADER[[#This Row],[L_Sn]],"#,#0")&amp;" x "&amp;TEXT(TabTRADER[[#This Row],[L_Sp]],"#,#0.#0"),     TabTRADER[[#This Row],[Traps]]=ReSaleGain,TEXT(TabTRADER[[#This Row],[L_Bn]],"#0,#0")&amp;" x "&amp;TEXT(TabTRADER[[#This Row],[L_Bp]],"#,#0.#0"),               TRUE,"")</f>
        <v/>
      </c>
      <c r="AG46" s="1281" t="str" cm="1">
        <f t="array" aca="1" ref="AG4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350 x -37.24</v>
      </c>
      <c r="AH46" s="1281" cm="1">
        <f t="array" aca="1" ref="AH4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2475.2924629999993</v>
      </c>
      <c r="AI46" s="1281" cm="1">
        <f t="array" aca="1" ref="AI4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90450</v>
      </c>
      <c r="AJ46" s="1290" cm="1">
        <f t="array" aca="1" ref="AJ4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0.27522906006944825</v>
      </c>
      <c r="AK46" s="1290" cm="1">
        <f t="array" aca="1" ref="AK4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0.23258076285240462</v>
      </c>
      <c r="AL46" s="843" t="str" cm="1">
        <f t="array" aca="1" ref="AL46" ca="1">_xlfn.IFS(   TabTRADER[[#This Row],[Traps]]=SellMorePercentGain,                     MIN(TabTRADER[[#This Row],[L_Sn]],TabTRADER[[#This Row],[N]])*(TabTRADER[[#This Row],[M]]-TabTRADER[[#This Row],[L_Sp]])*(1-Commission)*TabTRADER[[#This Row],[Scale]],                    TRUE,"")</f>
        <v/>
      </c>
      <c r="AM46" s="1296">
        <f ca="1">_xlfn.XLOOKUP(TabTRADER[[#This Row],[ClickTick]],TabCalc[Ticker],TabCalc[Ann%RevLB])</f>
        <v>-0.68544683639136739</v>
      </c>
      <c r="AN46" s="1392">
        <f ca="1">_xlfn.XLOOKUP(TabTRADER[[#This Row],[ClickTick]],TabCalc[Ticker],TabCalc[Up20])</f>
        <v>0</v>
      </c>
      <c r="AO46" s="1291" cm="1">
        <f t="array" aca="1" ref="AO4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0.23518076285240461</v>
      </c>
      <c r="AP46" s="843" cm="1">
        <f t="array" aca="1" ref="AP46" ca="1">_xlfn.IFS(         TabTRADER[[#This Row],[Traps]]=MDown,TabTRADER[[#This Row],[L_Bn]]*TabTRADER[[#This Row],[M]]*(-(TabTRADER[[#This Row],[L_Bp]]+TabTRADER[[#This Row],[M]])/TabTRADER[[#This Row],[M]])*(1-Commission)*TabTRADER[[#This Row],[Scale]],                               TRUE,"")</f>
        <v>2475.2924629999993</v>
      </c>
      <c r="AQ46" s="1290" cm="1">
        <f t="array" aca="1" ref="AQ46" ca="1">_xlfn.IFS(   TabTRADER[[#This Row],[Traps]]=MUp,TabTRADER[[#This Row],[TakeGain_A]]-Commission,        TabTRADER[[#This Row],[Traps]]=MDown,(TabTRADER[[#This Row],[A]]-TabTRADER[[#This Row],[M]])/TabTRADER[[#This Row],[M]]-Commission,                              TRUE,"")</f>
        <v>0.37714626865671652</v>
      </c>
      <c r="AR46" s="774" cm="1">
        <f t="array" aca="1" ref="AR4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34258.745070000012</v>
      </c>
      <c r="AS46" s="774" t="str" cm="1">
        <f t="array" aca="1" ref="AS4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0.0%</v>
      </c>
      <c r="AT46" s="748" cm="1">
        <f t="array" aca="1" ref="AT4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-7.09</v>
      </c>
      <c r="AU46" s="779" cm="1">
        <f t="array" aca="1" ref="AU46" ca="1">_xlfn.IFS(TabTRADER[[#This Row],[Traps]]=ReSaleGain,"",         TabTRADER[[#This Row],[Traps]]=MDown, (TabTRADER[[#This Row],[M]]-TabTRADER[[#This Row],[A]])/TabTRADER[[#This Row],[A]]*ComFactor,             TRUE, IFERROR((TabTRADER[[#This Row],[M]]-TabTRADER[[#This Row],[A]])/TabTRADER[[#This Row],[A]]*ComFactor,""))</f>
        <v>-0.27451346451326769</v>
      </c>
      <c r="AV46" s="776" cm="1">
        <f t="array" aca="1" ref="AV46" ca="1">_xlfn.IFS(               TabTRADER[[#This Row],[Traps]]=NoStock,(TabTRADER[[#This Row],[L_Sp]]-TabTRADER[[#This Row],[M]])/TabTRADER[[#This Row],[M]]-Commission,             TabTRADER[[#This Row],[A]]&lt;&gt;0,(TabTRADER[[#This Row],[A]]-TabTRADER[[#This Row],[M]])/TabTRADER[[#This Row],[M]]-Commission)</f>
        <v>0.37714626865671652</v>
      </c>
      <c r="AW46" s="326">
        <f ca="1">_xlfn.XLOOKUP(TabTRADER[[#This Row],[ClickTick]],TabCalc[Ticker],TabCalc[L_Sn])</f>
        <v>350</v>
      </c>
      <c r="AX46" s="740">
        <f ca="1">_xlfn.XLOOKUP(TabTRADER[[#This Row],[ClickTick]],TabCalc[Ticker],TabCalc[L_Sp])</f>
        <v>44.298769999999998</v>
      </c>
      <c r="AY46" s="778">
        <f ca="1">-IFERROR((TabTRADER[[#This Row],[M]]-TabTRADER[[#This Row],[L_Sp]])/TabTRADER[[#This Row],[L_Sp]],0)</f>
        <v>0.31939419536930708</v>
      </c>
      <c r="AZ46" s="741">
        <f ca="1">TabTRADER[[#This Row],[L_Sn]]*(TabTRADER[[#This Row],[M]]-TabTRADER[[#This Row],[L_Sp]])*(1-Commission)*TabTRADER[[#This Row],[Scale]]</f>
        <v>-4939.1941192999993</v>
      </c>
      <c r="BA46" s="701">
        <f ca="1">TabTRADER[[#This Row],[L_Sn]]*(TabTRADER[[#This Row],[Agiotage]]-TabTRADER[[#This Row],[M]])/(TabTRADER[[#This Row],[L_Bn]]*TabTRADER[[#This Row],[M]])</f>
        <v>-0.9987039591956185</v>
      </c>
      <c r="BB46" s="641">
        <f ca="1">IFERROR((TabTRADER[[#This Row],[M]]-TabTRADER[[#This Row],[A]])/TabTRADER[[#This Row],[A]],0)</f>
        <v>-0.27522906006944825</v>
      </c>
      <c r="BC46" s="644" t="str">
        <f ca="1">TEXT(_xlfn.XLOOKUP(TabTRADER[[#This Row],[ClickTick]],TabCalc[Ticker],TabCalc[NAfter]),"#,#0")&amp;" : "&amp;TEXT(_xlfn.XLOOKUP(TabTRADER[[#This Row],[ClickTick]],TabCalc[Ticker],TabCalc[NAfter])*(TabTRADER[[#This Row],[M]]-TabTRADER[[#This Row],[A]])*(1-Commission)*TabTRADER[[#This Row],[Scale]],"#,#0$")</f>
        <v>3,000 : -34,259$</v>
      </c>
      <c r="BD46" s="693">
        <f ca="1">_xlfn.XLOOKUP(TabTRADER[[#This Row],[ClickTick]],TabCalc[[#This Row],[Ticker]],TabCalc[[#This Row],[GL]])*(1-Commission)</f>
        <v>-198215.491293</v>
      </c>
      <c r="BE46" s="693"/>
      <c r="BF46" s="675" t="str">
        <f ca="1">TabTRADER[[#This Row],[ClickTick]]&amp;": "&amp;_xlfn.XLOOKUP(TabTRADER[[#This Row],[ClickTick]],TabCalc[Ticker],TabCalc[Pile?])</f>
        <v>UN0: Pile</v>
      </c>
      <c r="BG46" s="353" t="s">
        <v>2010</v>
      </c>
      <c r="BH46" s="769" t="str" cm="1">
        <f t="array" aca="1" ref="BH46" ca="1">_xlfn.TEXTJOIN("",,INDEX({"M","A","Y"}, _xlfn.SORTBY({1,2,3}, -CHOOSE({1,2,3}, TabTRADER[[#This Row],[M]], TabTRADER[[#This Row],[A]], TabTRADER[[#This Row],[Agiotage]]))))</f>
        <v>AMY</v>
      </c>
      <c r="BI46" s="976" cm="1">
        <f t="array" aca="1" ref="BI4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0.23518076285240461</v>
      </c>
      <c r="BJ46" s="688" t="e">
        <f ca="1">TabTRADER[[#This Row],[L_Sn]]*TabTRADER[[#This Row],[L_Sp]]+TabTRADER[[#This Row],[SellMore]]*TabTRADER[[#This Row],[M]]</f>
        <v>#N/A</v>
      </c>
      <c r="BK46" s="688" t="e">
        <f ca="1">INDEX(
  INDEX(TabConsolid[], , _xlfn.XMATCH(TabTRADER[[#This Row],[ClickTick]]&amp;1, TabConsolid[#Headers])),
  MATCH(
    -TabTRADER[[#This Row],[M]],
    INDEX(TabConsolid[], , _xlfn.XMATCH(TabTRADER[[#This Row],[ClickTick]]&amp;2, TabConsolid[#Headers])),
    -1
  )
)</f>
        <v>#N/A</v>
      </c>
      <c r="BL46" s="688" cm="1">
        <f t="array" aca="1" ref="BL4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350</v>
      </c>
      <c r="BM46" s="1260" t="e">
        <f ca="1">TabTRADER[[#This Row],[ReBuy]]/(TabTRADER[[#This Row],[L_Sn]]+TabTRADER[[#This Row],[SellMore]])</f>
        <v>#N/A</v>
      </c>
      <c r="BN46" s="696">
        <f ca="1">((_xlfn.XLOOKUP(TabTRADER[[#This Row],[ClickTick]],TabCalc[Ticker],TabCalc[NAfter])+TabTRADER[[#This Row],[L_Sn]])*(TabTRADER[[#This Row],[Agiotage]]-TabTRADER[[#This Row],[M]]))/(TabTRADER[[#This Row],[L_Sn]]*_xlfn.XLOOKUP(TabTRADER[[#This Row],[ClickTick]],TabCalc[Ticker],TabCalc[NAfter]))</f>
        <v>-9.6068187274909969E-2</v>
      </c>
      <c r="BO46" s="696">
        <f ca="1">(TabTRADER[[#This Row],[M]]-TabTRADER[[#This Row],[Agiotage]])/(TabTRADER[[#This Row],[M]]-TabTRADER[[#This Row],[A]])-1</f>
        <v>-3.6299243511420203</v>
      </c>
      <c r="BP46" s="1388">
        <f ca="1">_xlfn.XMATCH(TabTRADER[[#This Row],[ClickTick]]&amp;1, TabConsolid[#Headers])</f>
        <v>134</v>
      </c>
      <c r="BQ46" t="str">
        <f ca="1">IF(ABS(TabTRADER[[#This Row],[L_Bp]])&gt;=TabTRADER[[#This Row],[M]],"OK")</f>
        <v>OK</v>
      </c>
    </row>
    <row r="47" spans="1:69" hidden="1">
      <c r="A47" s="225">
        <f ca="1">IF(_xlfn.XLOOKUP(TabTRADER[[#This Row],[ClickTick]],TabCalc[Ticker],TabCalc[Cur])="GBp",0.01,1)</f>
        <v>1</v>
      </c>
      <c r="B4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-9.3x7235=    -23,876 USD</v>
      </c>
      <c r="C47"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-55.0%</v>
      </c>
      <c r="D47" s="697" t="str" cm="1">
        <f t="array" aca="1" ref="D4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7" s="228" t="str">
        <f ca="1">TRUNC(TabCalc[[#This Row],[L_B1p]],2)&amp;"x"&amp;TabCalc[[#This Row],[L_B1n]]&amp;"=   "&amp;TEXT(TabCalc[[#This Row],[ReverseS1]],"#,#0")&amp;"$"</f>
        <v>0x0=   0$</v>
      </c>
      <c r="G47" s="227" t="str">
        <f ca="1">IFERROR(TRUNC(_xlfn.XLOOKUP(TabTRADER[[#This Row],[ClickTick]],TabCalc[Ticker],ListLastSalep),2)&amp;"x"&amp;_xlfn.XLOOKUP(TabTRADER[[#This Row],[ClickTick]],TabCalc[Ticker],ListLastSalen)&amp;"=   "&amp;TEXT(-_xlfn.XLOOKUP(TabTRADER[[#This Row],[ClickTick]],TabCalc[Ticker],ListReverseB),"#,#0")&amp;"$","")</f>
        <v>0x0=   0$</v>
      </c>
      <c r="H4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47" s="228" t="str">
        <f ca="1">IFERROR(TRUNC(TabCalc[[#This Row],[L_S1p]],2)&amp;"x"&amp;TabCalc[[#This Row],[L_S1n]]&amp;"=   "&amp;TEXT(TabCalc[[#This Row],[ReverseB1]],"#,#0"),"")</f>
        <v>0x0=   0</v>
      </c>
      <c r="J47" s="297">
        <f ca="1">_xlfn.XLOOKUP(TabTRADER[[#This Row],[ClickTick]],TabCalc[Ticker],ListGravity)</f>
        <v>1.2458333333333333</v>
      </c>
      <c r="K47" s="324" cm="1">
        <f t="array" aca="1" ref="K47" ca="1">IF(_xlfn.XLOOKUP(TabTRADER[[#This Row],[ClickTick]],TabTRADER[ClickTick],ListExtra_n)&gt;0,_xlfn.XLOOKUP(TabTRADER[[#This Row],[ClickTick]],TabTRADER[ClickTick],ListExtra_n),"")</f>
        <v>5235</v>
      </c>
      <c r="L47" s="322">
        <f ca="1">IF(_xlfn.XLOOKUP(TabTRADER[[#This Row],[ClickTick]],TabCalc[Ticker],ListExtra_n)&gt;0,_xlfn.XLOOKUP(TabTRADER[[#This Row],[ClickTick]],TabCalc[Ticker],ListExtra_n)*TabTRADER[[#This Row],[M]]*_xlfn.XLOOKUP(TabTRADER[[#This Row],[ClickTick]],TabCalc[Ticker],ListScale),"")</f>
        <v>31410</v>
      </c>
      <c r="M47" s="325">
        <f ca="1">_xlfn.XLOOKUP(TabTRADER[[#This Row],[ClickTick]],TabCalc[Ticker],TabCalc[Agiotage])</f>
        <v>0.78130773010126597</v>
      </c>
      <c r="N47" s="326" cm="1">
        <f t="array" aca="1" ref="N47" ca="1">_xlfn.XLOOKUP(TabTRADER[[#This Row],[ClickTick]],ListTickers,Tab2RSIConventional[RSIConv20])</f>
        <v>52</v>
      </c>
      <c r="O47" s="712" t="str">
        <f ca="1">TEXT(_xlfn.XLOOKUP(TabTRADER[[#This Row],[ClickTick]],TabCalc[Ticker],TabCalc[Nbegin]),"#,#0")&amp;": "&amp;_xlfn.XLOOKUP(TabTRADER[[#This Row],[ClickTick]],TabCalc[Ticker],TabCalc[Pile?])</f>
        <v xml:space="preserve">2,000: </v>
      </c>
      <c r="P47" s="746">
        <f ca="1">_xlfn.XLOOKUP(TabTRADER[[#This Row],[ClickTick]],TabCalc[Ticker],TabCalc[L_Bn])</f>
        <v>7235</v>
      </c>
      <c r="Q47" s="740">
        <f ca="1">_xlfn.XLOOKUP(TabTRADER[[#This Row],[ClickTick]],TabCalc[Ticker],TabCalc[L_Bp])</f>
        <v>-9.3000000000000007</v>
      </c>
      <c r="R47" s="778">
        <f ca="1">(TabTRADER[[#This Row],[M]]+TabTRADER[[#This Row],[L_Bp]])/ABS(TabTRADER[[#This Row],[L_Bp]])</f>
        <v>-0.35483870967741943</v>
      </c>
      <c r="S47" s="692">
        <f ca="1">_xlfn.XLOOKUP(TabTRADER[[#This Row],[ClickTick]],TabCalc[Ticker],TabCalc[Rev(MinStock)])*(1-Commission)</f>
        <v>-23813.423700000003</v>
      </c>
      <c r="T47" s="798">
        <f ca="1">_xlfn.XLOOKUP(TabTRADER[[#This Row],[ClickTick]],TabCalc[Ticker],TabCalc[Agiotage])</f>
        <v>0.78130773010126597</v>
      </c>
      <c r="U47" s="759" t="str" cm="1">
        <f t="array" aca="1" ref="U4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217/217=&gt;-2.6% / 3.4%</v>
      </c>
      <c r="V47" s="751" t="str">
        <f ca="1">_xlfn.XLOOKUP(TabTRADER[[#This Row],[ClickTick]],[1]!RTData[Ticker symbol],[1]!RTData[Currency])</f>
        <v>USD</v>
      </c>
      <c r="W47" s="761">
        <f ca="1">_xlfn.XLOOKUP(TabTRADER[[#This Row],[ClickTick]],TabCalc[Ticker],TabCalc[M])</f>
        <v>6</v>
      </c>
      <c r="X47" s="762" t="str">
        <f ca="1">SORTING!B47</f>
        <v>UNIT</v>
      </c>
      <c r="Y47" s="819">
        <f ca="1">_xlfn.XLOOKUP(TabTRADER[[#This Row],[ClickTick]],TabCalc[Ticker],TabCalc[Y])</f>
        <v>7.4749999999999996</v>
      </c>
      <c r="Z47" s="835">
        <f ca="1">_xlfn.XLOOKUP(TabTRADER[[#This Row],[ClickTick]],[1]!RTData[Ticker symbol],[1]!RTData[YTChange])</f>
        <v>0.28879310344827586</v>
      </c>
      <c r="AA47" s="851">
        <f ca="1">-_xlfn.XLOOKUP(TabTRADER[[#This Row],[ClickTick]]&amp;2,Consolid!B$3:JZ$3,Consolid!B$4:JZ$4)</f>
        <v>9.3000000000000007</v>
      </c>
      <c r="AB47" s="835" cm="1">
        <f t="array" aca="1" ref="AB47" ca="1">_xlfn.XLOOKUP(TabTRADER[[#This Row],[ClickTick]],ListTickers,Tab1ChangePercent[Change%19])</f>
        <v>-2.5847999999999999E-2</v>
      </c>
      <c r="AC47" s="782">
        <f ca="1">_xlfn.XLOOKUP(TabTRADER[[#This Row],[ClickTick]],TabCalc[Ticker],TabCalc[NAfter])</f>
        <v>7235</v>
      </c>
      <c r="AD47"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-24/43 K$</v>
      </c>
      <c r="AE47" s="1299" t="str" cm="1">
        <f t="array" aca="1" ref="AE4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47" s="1281" t="str" cm="1">
        <f t="array" aca="1" ref="AF47" ca="1">_xlfn.IFS(       TabTRADER[[#This Row],[Traps]]=RePurchaseGain,TEXT(TabTRADER[[#This Row],[L_Sn]],"#,#0")&amp;" x "&amp;TEXT(TabTRADER[[#This Row],[L_Sp]],"#,#0.#0"),     TabTRADER[[#This Row],[Traps]]=ReSaleGain,TEXT(TabTRADER[[#This Row],[L_Bn]],"#0,#0")&amp;" x "&amp;TEXT(TabTRADER[[#This Row],[L_Bp]],"#,#0.#0"),               TRUE,"")</f>
        <v/>
      </c>
      <c r="AG47" s="1281" t="str" cm="1">
        <f t="array" aca="1" ref="AG4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7,235 x -9.30</v>
      </c>
      <c r="AH47" s="1281" cm="1">
        <f t="array" aca="1" ref="AH4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23813.423700000003</v>
      </c>
      <c r="AI47" s="1281" cm="1">
        <f t="array" aca="1" ref="AI4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43410</v>
      </c>
      <c r="AJ47" s="1290" cm="1">
        <f t="array" aca="1" ref="AJ4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0.35483870967741943</v>
      </c>
      <c r="AK47" s="1290" cm="1">
        <f t="array" aca="1" ref="AK4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0.54740000000000011</v>
      </c>
      <c r="AL47" s="843" t="str" cm="1">
        <f t="array" aca="1" ref="AL47" ca="1">_xlfn.IFS(   TabTRADER[[#This Row],[Traps]]=SellMorePercentGain,                     MIN(TabTRADER[[#This Row],[L_Sn]],TabTRADER[[#This Row],[N]])*(TabTRADER[[#This Row],[M]]-TabTRADER[[#This Row],[L_Sp]])*(1-Commission)*TabTRADER[[#This Row],[Scale]],                    TRUE,"")</f>
        <v/>
      </c>
      <c r="AM47" s="1039">
        <f ca="1">_xlfn.XLOOKUP(TabTRADER[[#This Row],[ClickTick]],TabCalc[Ticker],TabCalc[Ann%RevLB])</f>
        <v>-1.557828481510622</v>
      </c>
      <c r="AN47" s="1038">
        <f ca="1">_xlfn.XLOOKUP(TabTRADER[[#This Row],[ClickTick]],TabCalc[Ticker],TabCalc[Up20])</f>
        <v>0.35294117647058826</v>
      </c>
      <c r="AO47" s="1291" cm="1">
        <f t="array" aca="1" ref="AO4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0.55000000000000016</v>
      </c>
      <c r="AP47" s="843" cm="1">
        <f t="array" aca="1" ref="AP47" ca="1">_xlfn.IFS(         TabTRADER[[#This Row],[Traps]]=MDown,TabTRADER[[#This Row],[L_Bn]]*TabTRADER[[#This Row],[M]]*(-(TabTRADER[[#This Row],[L_Bp]]+TabTRADER[[#This Row],[M]])/TabTRADER[[#This Row],[M]])*(1-Commission)*TabTRADER[[#This Row],[Scale]],                               TRUE,"")</f>
        <v>23813.423700000007</v>
      </c>
      <c r="AQ47" s="1290" cm="1">
        <f t="array" aca="1" ref="AQ47" ca="1">_xlfn.IFS(   TabTRADER[[#This Row],[Traps]]=MUp,TabTRADER[[#This Row],[TakeGain_A]]-Commission,        TabTRADER[[#This Row],[Traps]]=MDown,(TabTRADER[[#This Row],[A]]-TabTRADER[[#This Row],[M]])/TabTRADER[[#This Row],[M]]-Commission,                              TRUE,"")</f>
        <v>0.54740000000000011</v>
      </c>
      <c r="AR47" s="774" cm="1">
        <f t="array" aca="1" ref="AR4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23813.423700000003</v>
      </c>
      <c r="AS47" s="774" t="str" cm="1">
        <f t="array" aca="1" ref="AS4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1.2%</v>
      </c>
      <c r="AT47" s="748" cm="1">
        <f t="array" aca="1" ref="AT4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-3.3</v>
      </c>
      <c r="AU47" s="779" cm="1">
        <f t="array" aca="1" ref="AU47" ca="1">_xlfn.IFS(TabTRADER[[#This Row],[Traps]]=ReSaleGain,"",         TabTRADER[[#This Row],[Traps]]=MDown, (TabTRADER[[#This Row],[M]]-TabTRADER[[#This Row],[A]])/TabTRADER[[#This Row],[A]]*ComFactor,             TRUE, IFERROR((TabTRADER[[#This Row],[M]]-TabTRADER[[#This Row],[A]])/TabTRADER[[#This Row],[A]]*ComFactor,""))</f>
        <v>-0.35391612903225811</v>
      </c>
      <c r="AV47" s="776" cm="1">
        <f t="array" aca="1" ref="AV47" ca="1">_xlfn.IFS(               TabTRADER[[#This Row],[Traps]]=NoStock,(TabTRADER[[#This Row],[L_Sp]]-TabTRADER[[#This Row],[M]])/TabTRADER[[#This Row],[M]]-Commission,             TabTRADER[[#This Row],[A]]&lt;&gt;0,(TabTRADER[[#This Row],[A]]-TabTRADER[[#This Row],[M]])/TabTRADER[[#This Row],[M]]-Commission)</f>
        <v>0.54740000000000011</v>
      </c>
      <c r="AW47" s="326">
        <f ca="1">_xlfn.XLOOKUP(TabTRADER[[#This Row],[ClickTick]],TabCalc[Ticker],TabCalc[L_Sn])</f>
        <v>0</v>
      </c>
      <c r="AX47" s="740">
        <f ca="1">_xlfn.XLOOKUP(TabTRADER[[#This Row],[ClickTick]],TabCalc[Ticker],TabCalc[L_Sp])</f>
        <v>0</v>
      </c>
      <c r="AY47" s="778">
        <f ca="1">-IFERROR((TabTRADER[[#This Row],[M]]-TabTRADER[[#This Row],[L_Sp]])/TabTRADER[[#This Row],[L_Sp]],0)</f>
        <v>0</v>
      </c>
      <c r="AZ47" s="741">
        <f ca="1">TabTRADER[[#This Row],[L_Sn]]*(TabTRADER[[#This Row],[M]]-TabTRADER[[#This Row],[L_Sp]])*(1-Commission)*TabTRADER[[#This Row],[Scale]]</f>
        <v>0</v>
      </c>
      <c r="BA47" s="701">
        <f ca="1">TabTRADER[[#This Row],[L_Sn]]*(TabTRADER[[#This Row],[Agiotage]]-TabTRADER[[#This Row],[M]])/(TabTRADER[[#This Row],[L_Bn]]*TabTRADER[[#This Row],[M]])</f>
        <v>0</v>
      </c>
      <c r="BB47" s="641">
        <f ca="1">IFERROR((TabTRADER[[#This Row],[M]]-TabTRADER[[#This Row],[A]])/TabTRADER[[#This Row],[A]],0)</f>
        <v>-0.35483870967741943</v>
      </c>
      <c r="BC47" s="644" t="str">
        <f ca="1">TEXT(_xlfn.XLOOKUP(TabTRADER[[#This Row],[ClickTick]],TabCalc[Ticker],TabCalc[NAfter]),"#,#0")&amp;" : "&amp;TEXT(_xlfn.XLOOKUP(TabTRADER[[#This Row],[ClickTick]],TabCalc[Ticker],TabCalc[NAfter])*(TabTRADER[[#This Row],[M]]-TabTRADER[[#This Row],[A]])*(1-Commission)*TabTRADER[[#This Row],[Scale]],"#,#0$")</f>
        <v>7,235 : -23,813$</v>
      </c>
      <c r="BD47" s="693">
        <f ca="1">_xlfn.XLOOKUP(TabTRADER[[#This Row],[ClickTick]],TabCalc[[#This Row],[Ticker]],TabCalc[[#This Row],[GL]])*(1-Commission)</f>
        <v>-23813.423699999999</v>
      </c>
      <c r="BE47" s="693"/>
      <c r="BF47" s="675" t="str">
        <f ca="1">TabTRADER[[#This Row],[ClickTick]]&amp;": "&amp;_xlfn.XLOOKUP(TabTRADER[[#This Row],[ClickTick]],TabCalc[Ticker],TabCalc[Pile?])</f>
        <v xml:space="preserve">UNIT: </v>
      </c>
      <c r="BG47" s="353" t="s">
        <v>2011</v>
      </c>
      <c r="BH47" s="769" t="str" cm="1">
        <f t="array" aca="1" ref="BH47" ca="1">_xlfn.TEXTJOIN("",,INDEX({"M","A","Y"}, _xlfn.SORTBY({1,2,3}, -CHOOSE({1,2,3}, TabTRADER[[#This Row],[M]], TabTRADER[[#This Row],[A]], TabTRADER[[#This Row],[Agiotage]]))))</f>
        <v>AMY</v>
      </c>
      <c r="BI47" s="976" cm="1">
        <f t="array" aca="1" ref="BI4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0.55000000000000016</v>
      </c>
      <c r="BJ47" s="688" t="e">
        <f ca="1">TabTRADER[[#This Row],[L_Sn]]*TabTRADER[[#This Row],[L_Sp]]+TabTRADER[[#This Row],[SellMore]]*TabTRADER[[#This Row],[M]]</f>
        <v>#N/A</v>
      </c>
      <c r="BK47" s="688" t="e">
        <f ca="1">INDEX(
  INDEX(TabConsolid[], , _xlfn.XMATCH(TabTRADER[[#This Row],[ClickTick]]&amp;1, TabConsolid[#Headers])),
  MATCH(
    -TabTRADER[[#This Row],[M]],
    INDEX(TabConsolid[], , _xlfn.XMATCH(TabTRADER[[#This Row],[ClickTick]]&amp;2, TabConsolid[#Headers])),
    -1
  )
)</f>
        <v>#N/A</v>
      </c>
      <c r="BL47" s="688" cm="1">
        <f t="array" aca="1" ref="BL4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7" s="1260" t="e">
        <f ca="1">TabTRADER[[#This Row],[ReBuy]]/(TabTRADER[[#This Row],[L_Sn]]+TabTRADER[[#This Row],[SellMore]])</f>
        <v>#N/A</v>
      </c>
      <c r="BN47" s="696" t="e">
        <f ca="1">((_xlfn.XLOOKUP(TabTRADER[[#This Row],[ClickTick]],TabCalc[Ticker],TabCalc[NAfter])+TabTRADER[[#This Row],[L_Sn]])*(TabTRADER[[#This Row],[Agiotage]]-TabTRADER[[#This Row],[M]]))/(TabTRADER[[#This Row],[L_Sn]]*_xlfn.XLOOKUP(TabTRADER[[#This Row],[ClickTick]],TabCalc[Ticker],TabCalc[NAfter]))</f>
        <v>#DIV/0!</v>
      </c>
      <c r="BO47" s="696">
        <f ca="1">(TabTRADER[[#This Row],[M]]-TabTRADER[[#This Row],[Agiotage]])/(TabTRADER[[#This Row],[M]]-TabTRADER[[#This Row],[A]])-1</f>
        <v>-2.581421899969313</v>
      </c>
      <c r="BP47" s="1388">
        <f ca="1">_xlfn.XMATCH(TabTRADER[[#This Row],[ClickTick]]&amp;1, TabConsolid[#Headers])</f>
        <v>137</v>
      </c>
      <c r="BQ47" t="str">
        <f ca="1">IF(ABS(TabTRADER[[#This Row],[L_Bp]])&gt;=TabTRADER[[#This Row],[M]],"OK")</f>
        <v>OK</v>
      </c>
    </row>
    <row r="48" spans="1:69" hidden="1">
      <c r="A48" s="225">
        <f ca="1">IF(_xlfn.XLOOKUP(TabTRADER[[#This Row],[ClickTick]],TabCalc[Ticker],TabCalc[Cur])="GBp",0.01,1)</f>
        <v>1</v>
      </c>
      <c r="B4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-331.63x210=    +4,725 USD</v>
      </c>
      <c r="C48"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6.4%</v>
      </c>
      <c r="D48" s="697" t="str" cm="1">
        <f t="array" aca="1" ref="D4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8"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8" s="228" t="str">
        <f ca="1">TRUNC(TabCalc[[#This Row],[L_B1p]],2)&amp;"x"&amp;TabCalc[[#This Row],[L_B1n]]&amp;"=   "&amp;TEXT(TabCalc[[#This Row],[ReverseS1]],"#,#0")&amp;"$"</f>
        <v>-203.42x240=   36,169$</v>
      </c>
      <c r="G48" s="227" t="str">
        <f ca="1">IFERROR(TRUNC(_xlfn.XLOOKUP(TabTRADER[[#This Row],[ClickTick]],TabCalc[Ticker],ListLastSalep),2)&amp;"x"&amp;_xlfn.XLOOKUP(TabTRADER[[#This Row],[ClickTick]],TabCalc[Ticker],ListLastSalen)&amp;"=   "&amp;TEXT(-_xlfn.XLOOKUP(TabTRADER[[#This Row],[ClickTick]],TabCalc[Ticker],ListReverseB),"#,#0")&amp;"$","")</f>
        <v>346.09x160=   1,286$</v>
      </c>
      <c r="H4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-2.3% = 0</v>
      </c>
      <c r="I48" s="228" t="str">
        <f ca="1">IFERROR(TRUNC(TabCalc[[#This Row],[L_S1p]],2)&amp;"x"&amp;TabCalc[[#This Row],[L_S1n]]&amp;"=   "&amp;TEXT(TabCalc[[#This Row],[ReverseB1]],"#,#0"),"")</f>
        <v>256.2x200=   -19,586</v>
      </c>
      <c r="J48" s="297">
        <f ca="1">_xlfn.XLOOKUP(TabTRADER[[#This Row],[ClickTick]],TabCalc[Ticker],ListGravity)</f>
        <v>1.0458444638974387</v>
      </c>
      <c r="K48" s="324" cm="1">
        <f t="array" aca="1" ref="K48" ca="1">IF(_xlfn.XLOOKUP(TabTRADER[[#This Row],[ClickTick]],TabTRADER[ClickTick],ListExtra_n)&gt;0,_xlfn.XLOOKUP(TabTRADER[[#This Row],[ClickTick]],TabTRADER[ClickTick],ListExtra_n),"")</f>
        <v>210</v>
      </c>
      <c r="L48" s="322">
        <f ca="1">IF(_xlfn.XLOOKUP(TabTRADER[[#This Row],[ClickTick]],TabCalc[Ticker],ListExtra_n)&gt;0,_xlfn.XLOOKUP(TabTRADER[[#This Row],[ClickTick]],TabCalc[Ticker],ListExtra_n)*TabTRADER[[#This Row],[M]]*_xlfn.XLOOKUP(TabTRADER[[#This Row],[ClickTick]],TabCalc[Ticker],ListScale),"")</f>
        <v>74367.3</v>
      </c>
      <c r="M48" s="325">
        <f ca="1">_xlfn.XLOOKUP(TabTRADER[[#This Row],[ClickTick]],TabCalc[Ticker],TabCalc[Agiotage])</f>
        <v>0.73700693831301933</v>
      </c>
      <c r="N48" s="326" t="e" cm="1">
        <f t="array" aca="1" ref="N48" ca="1">_xlfn.XLOOKUP(TabTRADER[[#This Row],[ClickTick]],ListTickers,Tab2RSIConventional[RSIConv20])</f>
        <v>#REF!</v>
      </c>
      <c r="O48" s="712" t="str">
        <f ca="1">TEXT(_xlfn.XLOOKUP(TabTRADER[[#This Row],[ClickTick]],TabCalc[Ticker],TabCalc[Nbegin]),"#,#0")&amp;": "&amp;_xlfn.XLOOKUP(TabTRADER[[#This Row],[ClickTick]],TabCalc[Ticker],TabCalc[Pile?])</f>
        <v xml:space="preserve">190: </v>
      </c>
      <c r="P48" s="746">
        <f ca="1">_xlfn.XLOOKUP(TabTRADER[[#This Row],[ClickTick]],TabCalc[Ticker],TabCalc[L_Bn])</f>
        <v>210</v>
      </c>
      <c r="Q48" s="690">
        <f ca="1">_xlfn.XLOOKUP(TabTRADER[[#This Row],[ClickTick]],TabCalc[Ticker],TabCalc[L_Bp])</f>
        <v>-331.63</v>
      </c>
      <c r="R48" s="778">
        <f ca="1">(TabTRADER[[#This Row],[M]]+TabTRADER[[#This Row],[L_Bp]])/ABS(TabTRADER[[#This Row],[L_Bp]])</f>
        <v>6.784669661972681E-2</v>
      </c>
      <c r="S48" s="692">
        <f ca="1">_xlfn.XLOOKUP(TabTRADER[[#This Row],[ClickTick]],TabCalc[Ticker],TabCalc[Rev(MinStock)])*(1-Commission)</f>
        <v>4712.7150000000001</v>
      </c>
      <c r="T48" s="798">
        <f ca="1">_xlfn.XLOOKUP(TabTRADER[[#This Row],[ClickTick]],TabCalc[Ticker],TabCalc[Agiotage])</f>
        <v>0.73700693831301933</v>
      </c>
      <c r="U48" s="759" t="str" cm="1">
        <f t="array" aca="1" ref="U4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648/648=&gt;3.4% / 2.9%</v>
      </c>
      <c r="V48" s="751" t="str">
        <f ca="1">_xlfn.XLOOKUP(TabTRADER[[#This Row],[ClickTick]],[1]!RTData[Ticker symbol],[1]!RTData[Currency])</f>
        <v>USD</v>
      </c>
      <c r="W48" s="761">
        <f ca="1">_xlfn.XLOOKUP(TabTRADER[[#This Row],[ClickTick]],TabCalc[Ticker],TabCalc[M])</f>
        <v>354.13</v>
      </c>
      <c r="X48" s="762" t="str">
        <f ca="1">SORTING!B48</f>
        <v>AVGO</v>
      </c>
      <c r="Y48" s="819">
        <f ca="1">_xlfn.XLOOKUP(TabTRADER[[#This Row],[ClickTick]],TabCalc[Ticker],TabCalc[Y])</f>
        <v>370.36489999999998</v>
      </c>
      <c r="Z48" s="835">
        <f ca="1">_xlfn.XLOOKUP(TabTRADER[[#This Row],[ClickTick]],[1]!RTData[Ticker symbol],[1]!RTData[YTChange])</f>
        <v>0.51590086771447274</v>
      </c>
      <c r="AA48" s="851">
        <f ca="1">-_xlfn.XLOOKUP(TabTRADER[[#This Row],[ClickTick]]&amp;2,Consolid!B$3:JZ$3,Consolid!B$4:JZ$4)</f>
        <v>204.79</v>
      </c>
      <c r="AB48" s="835" cm="1">
        <f t="array" aca="1" ref="AB48" ca="1">_xlfn.XLOOKUP(TabTRADER[[#This Row],[ClickTick]],ListTickers,Tab1ChangePercent[Change%19])</f>
        <v>3.4483E-2</v>
      </c>
      <c r="AC48" s="782">
        <f ca="1">_xlfn.XLOOKUP(TabTRADER[[#This Row],[ClickTick]],TabCalc[Ticker],TabCalc[NAfter])</f>
        <v>400</v>
      </c>
      <c r="AD48"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^74/142 K$</v>
      </c>
      <c r="AE48" s="1299" t="str" cm="1">
        <f t="array" aca="1" ref="AE4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48" s="1281" t="str" cm="1">
        <f t="array" aca="1" ref="AF48" ca="1">_xlfn.IFS(       TabTRADER[[#This Row],[Traps]]=RePurchaseGain,TEXT(TabTRADER[[#This Row],[L_Sn]],"#,#0")&amp;" x "&amp;TEXT(TabTRADER[[#This Row],[L_Sp]],"#,#0.#0"),     TabTRADER[[#This Row],[Traps]]=ReSaleGain,TEXT(TabTRADER[[#This Row],[L_Bn]],"#0,#0")&amp;" x "&amp;TEXT(TabTRADER[[#This Row],[L_Bp]],"#,#0.#0"),               TRUE,"")</f>
        <v/>
      </c>
      <c r="AG48" s="1281" t="str" cm="1">
        <f t="array" aca="1" ref="AG4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160 x 346.09</v>
      </c>
      <c r="AH48" s="1281" cm="1">
        <f t="array" aca="1" ref="AH4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1283.0553600000032</v>
      </c>
      <c r="AI48" s="1281" cm="1">
        <f t="array" aca="1" ref="AI4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59580.686399999999</v>
      </c>
      <c r="AJ48" s="1290" cm="1">
        <f t="array" aca="1" ref="AJ4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0.72923482591923439</v>
      </c>
      <c r="AK48" s="1290" cm="1">
        <f t="array" aca="1" ref="AK4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2.0103526953378761E-2</v>
      </c>
      <c r="AL48" s="843" cm="1">
        <f t="array" aca="1" ref="AL48" ca="1">_xlfn.IFS(   TabTRADER[[#This Row],[Traps]]=SellMorePercentGain,                     MIN(TabTRADER[[#This Row],[L_Sn]],TabTRADER[[#This Row],[N]])*(TabTRADER[[#This Row],[M]]-TabTRADER[[#This Row],[L_Sp]])*(1-Commission)*TabTRADER[[#This Row],[Scale]],                    TRUE,"")</f>
        <v>1283.0553600000032</v>
      </c>
      <c r="AM48" s="1039">
        <f ca="1">_xlfn.XLOOKUP(TabTRADER[[#This Row],[ClickTick]],TabCalc[Ticker],TabCalc[Ann%RevLB])</f>
        <v>1.5265506739438532</v>
      </c>
      <c r="AN48" s="1038">
        <f ca="1">_xlfn.XLOOKUP(TabTRADER[[#This Row],[ClickTick]],TabCalc[Ticker],TabCalc[Up20])</f>
        <v>0</v>
      </c>
      <c r="AO48" s="1291" t="str" cm="1">
        <f t="array" aca="1" ref="AO4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8" s="843" t="str" cm="1">
        <f t="array" aca="1" ref="AP48" ca="1">_xlfn.IFS(         TabTRADER[[#This Row],[Traps]]=MDown,TabTRADER[[#This Row],[L_Bn]]*TabTRADER[[#This Row],[M]]*(-(TabTRADER[[#This Row],[L_Bp]]+TabTRADER[[#This Row],[M]])/TabTRADER[[#This Row],[M]])*(1-Commission)*TabTRADER[[#This Row],[Scale]],                               TRUE,"")</f>
        <v/>
      </c>
      <c r="AQ48" s="1290" cm="1">
        <f t="array" aca="1" ref="AQ48" ca="1">_xlfn.IFS(   TabTRADER[[#This Row],[Traps]]=MUp,TabTRADER[[#This Row],[TakeGain_A]]-Commission,        TabTRADER[[#This Row],[Traps]]=MDown,(TabTRADER[[#This Row],[A]]-TabTRADER[[#This Row],[M]])/TabTRADER[[#This Row],[M]]-Commission,                              TRUE,"")</f>
        <v>0.72663482591923434</v>
      </c>
      <c r="AR48" s="843" cm="1">
        <f t="array" aca="1" ref="AR4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103028.99787505249</v>
      </c>
      <c r="AS48" s="774" t="e" cm="1">
        <f t="array" aca="1" ref="AS4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#REF!</v>
      </c>
      <c r="AT48" s="748" t="str" cm="1">
        <f t="array" aca="1" ref="AT4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210x149.34</v>
      </c>
      <c r="AU48" s="779" cm="1">
        <f t="array" aca="1" ref="AU48" ca="1">_xlfn.IFS(TabTRADER[[#This Row],[Traps]]=ReSaleGain,"",         TabTRADER[[#This Row],[Traps]]=MDown, (TabTRADER[[#This Row],[M]]-TabTRADER[[#This Row],[A]])/TabTRADER[[#This Row],[A]]*ComFactor,             TRUE, IFERROR((TabTRADER[[#This Row],[M]]-TabTRADER[[#This Row],[A]])/TabTRADER[[#This Row],[A]]*ComFactor,""))</f>
        <v>0.7273388153718443</v>
      </c>
      <c r="AV48" s="776" cm="1">
        <f t="array" aca="1" ref="AV48" ca="1">_xlfn.IFS(               TabTRADER[[#This Row],[Traps]]=NoStock,(TabTRADER[[#This Row],[L_Sp]]-TabTRADER[[#This Row],[M]])/TabTRADER[[#This Row],[M]]-Commission,             TabTRADER[[#This Row],[A]]&lt;&gt;0,(TabTRADER[[#This Row],[A]]-TabTRADER[[#This Row],[M]])/TabTRADER[[#This Row],[M]]-Commission)</f>
        <v>-0.42430954169372831</v>
      </c>
      <c r="AW48" s="326">
        <f ca="1">_xlfn.XLOOKUP(TabTRADER[[#This Row],[ClickTick]],TabCalc[Ticker],TabCalc[L_Sn])</f>
        <v>160</v>
      </c>
      <c r="AX48" s="740">
        <f ca="1">_xlfn.XLOOKUP(TabTRADER[[#This Row],[ClickTick]],TabCalc[Ticker],TabCalc[L_Sp])</f>
        <v>346.09</v>
      </c>
      <c r="AY48" s="778">
        <f ca="1">-IFERROR((TabTRADER[[#This Row],[M]]-TabTRADER[[#This Row],[L_Sp]])/TabTRADER[[#This Row],[L_Sp]],0)</f>
        <v>-2.3230951486607591E-2</v>
      </c>
      <c r="AZ48" s="741">
        <f ca="1">TabTRADER[[#This Row],[L_Sn]]*(TabTRADER[[#This Row],[M]]-TabTRADER[[#This Row],[L_Sp]])*(1-Commission)*TabTRADER[[#This Row],[Scale]]</f>
        <v>1283.0553600000032</v>
      </c>
      <c r="BA48" s="701">
        <f ca="1">TabTRADER[[#This Row],[L_Sn]]*(TabTRADER[[#This Row],[Agiotage]]-TabTRADER[[#This Row],[M]])/(TabTRADER[[#This Row],[L_Bn]]*TabTRADER[[#This Row],[M]])</f>
        <v>-0.76031910382479817</v>
      </c>
      <c r="BB48" s="641">
        <f ca="1">IFERROR((TabTRADER[[#This Row],[M]]-TabTRADER[[#This Row],[A]])/TabTRADER[[#This Row],[A]],0)</f>
        <v>0.72923482591923439</v>
      </c>
      <c r="BC48" s="644" t="str">
        <f ca="1">TEXT(_xlfn.XLOOKUP(TabTRADER[[#This Row],[ClickTick]],TabCalc[Ticker],TabCalc[NAfter]),"#,#0")&amp;" : "&amp;TEXT(_xlfn.XLOOKUP(TabTRADER[[#This Row],[ClickTick]],TabCalc[Ticker],TabCalc[NAfter])*(TabTRADER[[#This Row],[M]]-TabTRADER[[#This Row],[A]])*(1-Commission)*TabTRADER[[#This Row],[Scale]],"#,#0$")</f>
        <v>400 : 59,581$</v>
      </c>
      <c r="BD48" s="693">
        <f ca="1">_xlfn.XLOOKUP(TabTRADER[[#This Row],[ClickTick]],TabCalc[[#This Row],[Ticker]],TabCalc[[#This Row],[GL]])*(1-Commission)</f>
        <v>74018.42563245917</v>
      </c>
      <c r="BE48" s="693"/>
      <c r="BF48" s="675" t="str">
        <f ca="1">TabTRADER[[#This Row],[ClickTick]]&amp;": "&amp;_xlfn.XLOOKUP(TabTRADER[[#This Row],[ClickTick]],TabCalc[Ticker],TabCalc[Pile?])</f>
        <v xml:space="preserve">AVGO: </v>
      </c>
      <c r="BG48" s="353" t="s">
        <v>2016</v>
      </c>
      <c r="BH48" s="769" t="str" cm="1">
        <f t="array" aca="1" ref="BH48" ca="1">_xlfn.TEXTJOIN("",,INDEX({"M","A","Y"}, _xlfn.SORTBY({1,2,3}, -CHOOSE({1,2,3}, TabTRADER[[#This Row],[M]], TabTRADER[[#This Row],[A]], TabTRADER[[#This Row],[Agiotage]]))))</f>
        <v>MAY</v>
      </c>
      <c r="BI48" s="976" cm="1">
        <f t="array" aca="1" ref="BI4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2.270352695337876E-2</v>
      </c>
      <c r="BJ48" s="688">
        <f ca="1">TabTRADER[[#This Row],[L_Sn]]*TabTRADER[[#This Row],[L_Sp]]+TabTRADER[[#This Row],[SellMore]]*TabTRADER[[#This Row],[M]]</f>
        <v>140365.59999999998</v>
      </c>
      <c r="BK48" s="688">
        <f ca="1">INDEX(
  INDEX(TabConsolid[], , _xlfn.XMATCH(TabTRADER[[#This Row],[ClickTick]]&amp;1, TabConsolid[#Headers])),
  MATCH(
    -TabTRADER[[#This Row],[M]],
    INDEX(TabConsolid[], , _xlfn.XMATCH(TabTRADER[[#This Row],[ClickTick]]&amp;2, TabConsolid[#Headers])),
    -1
  )
)</f>
        <v>240</v>
      </c>
      <c r="BL48" s="688" cm="1">
        <f t="array" aca="1" ref="BL4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110</v>
      </c>
      <c r="BM48" s="1260">
        <f ca="1">TabTRADER[[#This Row],[ReBuy]]/(TabTRADER[[#This Row],[L_Sn]]+TabTRADER[[#This Row],[SellMore]])</f>
        <v>350.91399999999993</v>
      </c>
      <c r="BN48" s="696">
        <f ca="1">((_xlfn.XLOOKUP(TabTRADER[[#This Row],[ClickTick]],TabCalc[Ticker],TabCalc[NAfter])+TabTRADER[[#This Row],[L_Sn]])*(TabTRADER[[#This Row],[Agiotage]]-TabTRADER[[#This Row],[M]]))/(TabTRADER[[#This Row],[L_Sn]]*_xlfn.XLOOKUP(TabTRADER[[#This Row],[ClickTick]],TabCalc[Ticker],TabCalc[NAfter]))</f>
        <v>-3.092188689289761</v>
      </c>
      <c r="BO48" s="696">
        <f ca="1">(TabTRADER[[#This Row],[M]]-TabTRADER[[#This Row],[Agiotage]])/(TabTRADER[[#This Row],[M]]-TabTRADER[[#This Row],[A]])-1</f>
        <v>1.3663652943731552</v>
      </c>
      <c r="BP48" s="1388">
        <f ca="1">_xlfn.XMATCH(TabTRADER[[#This Row],[ClickTick]]&amp;1, TabConsolid[#Headers])</f>
        <v>20</v>
      </c>
      <c r="BQ48" t="b">
        <f ca="1">IF(ABS(TabTRADER[[#This Row],[L_Bp]])&gt;=TabTRADER[[#This Row],[M]],"OK")</f>
        <v>0</v>
      </c>
    </row>
    <row r="49" spans="1:69" hidden="1">
      <c r="A49" s="225">
        <f ca="1">IF(_xlfn.XLOOKUP(TabTRADER[[#This Row],[ClickTick]],TabCalc[Ticker],TabCalc[Cur])="GBp",0.01,1)</f>
        <v>1</v>
      </c>
      <c r="B4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-24.15x3000=    +5,190 USD</v>
      </c>
      <c r="C4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12.5%</v>
      </c>
      <c r="D49" s="697" t="str" cm="1">
        <f t="array" aca="1" ref="D4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1,445/1,500=39,899</v>
      </c>
      <c r="E49" s="765" t="str">
        <f ca="1">IF(      AND(TabTRADER[[#This Row],[A]]&lt;TabTRADER[[#This Row],[M]],    _xlfn.XLOOKUP(TabTRADER[[#This Row],[ClickTick]],TabCalc[Ticker],TabCalc[L_Sp])&gt;TabTRADER[[#This Row],[M]]),"BUY  "&amp;TEXT(DesiredBuyGain/TabTRADER[[#This Row],[Scale]]/(_xlfn.XLOOKUP(TabTRADER[[#This Row],[ClickTick]],TabCalc[Ticker],TabCalc[L_Sp])-TabTRADER[[#This Row],[M]]),"#,##0"),"")</f>
        <v>BUY  2,024</v>
      </c>
      <c r="F49" s="228" t="str">
        <f ca="1">TRUNC(TabCalc[[#This Row],[L_B1p]],2)&amp;"x"&amp;TabCalc[[#This Row],[L_B1n]]&amp;"=   "&amp;TEXT(TabCalc[[#This Row],[ReverseS1]],"#,#0")&amp;"$"</f>
        <v>-25.53x3000=   3,112$</v>
      </c>
      <c r="G49" s="227" t="str">
        <f ca="1">IFERROR(TRUNC(_xlfn.XLOOKUP(TabTRADER[[#This Row],[ClickTick]],TabCalc[Ticker],ListLastSalep),2)&amp;"x"&amp;_xlfn.XLOOKUP(TabTRADER[[#This Row],[ClickTick]],TabCalc[Ticker],ListLastSalen)&amp;"=   "&amp;TEXT(-_xlfn.XLOOKUP(TabTRADER[[#This Row],[ClickTick]],TabCalc[Ticker],ListReverseB),"#,#0")&amp;"$","")</f>
        <v>30.08x500=   -1,235$</v>
      </c>
      <c r="H4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8.9% = 2,024</v>
      </c>
      <c r="I49" s="228" t="str">
        <f ca="1">IFERROR(TRUNC(TabCalc[[#This Row],[L_S1p]],2)&amp;"x"&amp;TabCalc[[#This Row],[L_S1n]]&amp;"=   "&amp;TEXT(TabCalc[[#This Row],[ReverseB1]],"#,#0"),"")</f>
        <v>25.39x3000=   -6,660</v>
      </c>
      <c r="J49" s="297">
        <f ca="1">_xlfn.XLOOKUP(TabTRADER[[#This Row],[ClickTick]],TabCalc[Ticker],ListGravity)</f>
        <v>1.3038754074610648</v>
      </c>
      <c r="K49" s="324" t="str" cm="1">
        <f t="array" aca="1" ref="K49" ca="1">IF(_xlfn.XLOOKUP(TabTRADER[[#This Row],[ClickTick]],TabTRADER[ClickTick],ListExtra_n)&gt;0,_xlfn.XLOOKUP(TabTRADER[[#This Row],[ClickTick]],TabTRADER[ClickTick],ListExtra_n),"")</f>
        <v/>
      </c>
      <c r="L49" s="322" t="str">
        <f ca="1">IF(_xlfn.XLOOKUP(TabTRADER[[#This Row],[ClickTick]],TabCalc[Ticker],ListExtra_n)&gt;0,_xlfn.XLOOKUP(TabTRADER[[#This Row],[ClickTick]],TabCalc[Ticker],ListExtra_n)*TabTRADER[[#This Row],[M]]*_xlfn.XLOOKUP(TabTRADER[[#This Row],[ClickTick]],TabCalc[Ticker],ListScale),"")</f>
        <v/>
      </c>
      <c r="M49" s="325">
        <f ca="1">_xlfn.XLOOKUP(TabTRADER[[#This Row],[ClickTick]],TabCalc[Ticker],TabCalc[Agiotage])</f>
        <v>1.2957002388870289E-2</v>
      </c>
      <c r="N49" s="326" cm="1">
        <f t="array" aca="1" ref="N49" ca="1">_xlfn.XLOOKUP(TabTRADER[[#This Row],[ClickTick]],ListTickers,Tab2RSIConventional[RSIConv20])</f>
        <v>37</v>
      </c>
      <c r="O49" s="712" t="str">
        <f ca="1">TEXT(_xlfn.XLOOKUP(TabTRADER[[#This Row],[ClickTick]],TabCalc[Ticker],TabCalc[Nbegin]),"#,#0")&amp;": "&amp;_xlfn.XLOOKUP(TabTRADER[[#This Row],[ClickTick]],TabCalc[Ticker],TabCalc[Pile?])</f>
        <v xml:space="preserve">10,000: </v>
      </c>
      <c r="P49" s="326">
        <f ca="1">_xlfn.XLOOKUP(TabTRADER[[#This Row],[ClickTick]],TabCalc[Ticker],TabCalc[L_Bn])</f>
        <v>3000</v>
      </c>
      <c r="Q49" s="690">
        <f ca="1">_xlfn.XLOOKUP(TabTRADER[[#This Row],[ClickTick]],TabCalc[Ticker],TabCalc[L_Bp])</f>
        <v>-24.15</v>
      </c>
      <c r="R49" s="778">
        <f ca="1">(TabTRADER[[#This Row],[M]]+TabTRADER[[#This Row],[L_Bp]])/ABS(TabTRADER[[#This Row],[L_Bp]])</f>
        <v>0.14327122153209115</v>
      </c>
      <c r="S49" s="692">
        <f ca="1">_xlfn.XLOOKUP(TabTRADER[[#This Row],[ClickTick]],TabCalc[Ticker],TabCalc[Rev(MinStock)])*(1-Commission)</f>
        <v>5176.5060000000003</v>
      </c>
      <c r="T49" s="798">
        <f ca="1">_xlfn.XLOOKUP(TabTRADER[[#This Row],[ClickTick]],TabCalc[Ticker],TabCalc[Agiotage])</f>
        <v>1.2957002388870289E-2</v>
      </c>
      <c r="U49" s="759" t="str" cm="1">
        <f t="array" aca="1" ref="U4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-165/-165=&gt;0.7% / 0.7%</v>
      </c>
      <c r="V49" s="751" t="str">
        <f ca="1">_xlfn.XLOOKUP(TabTRADER[[#This Row],[ClickTick]],[1]!RTData[Ticker symbol],[1]!RTData[Currency])</f>
        <v>USD</v>
      </c>
      <c r="W49" s="761">
        <f ca="1">_xlfn.XLOOKUP(TabTRADER[[#This Row],[ClickTick]],TabCalc[Ticker],TabCalc[M])</f>
        <v>27.61</v>
      </c>
      <c r="X49" s="762" t="str">
        <f ca="1">SORTING!B49</f>
        <v>VLVLY</v>
      </c>
      <c r="Y49" s="819">
        <f ca="1">_xlfn.XLOOKUP(TabTRADER[[#This Row],[ClickTick]],TabCalc[Ticker],TabCalc[Y])</f>
        <v>36</v>
      </c>
      <c r="Z49" s="835">
        <f ca="1">_xlfn.XLOOKUP(TabTRADER[[#This Row],[ClickTick]],[1]!RTData[Ticker symbol],[1]!RTData[YTChange])</f>
        <v>0.21089808274470231</v>
      </c>
      <c r="AA49" s="851">
        <f ca="1">-_xlfn.XLOOKUP(TabTRADER[[#This Row],[ClickTick]]&amp;2,Consolid!B$3:JZ$3,Consolid!B$4:JZ$4)</f>
        <v>24.15</v>
      </c>
      <c r="AB49" s="835" cm="1">
        <f t="array" aca="1" ref="AB49" ca="1">_xlfn.XLOOKUP(TabTRADER[[#This Row],[ClickTick]],ListTickers,Tab1ChangePercent[Change%19])</f>
        <v>7.2970000000000005E-3</v>
      </c>
      <c r="AC49" s="782">
        <f ca="1">_xlfn.XLOOKUP(TabTRADER[[#This Row],[ClickTick]],TabCalc[Ticker],TabCalc[NAfter])</f>
        <v>1500</v>
      </c>
      <c r="AD49"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^95/41 K$</v>
      </c>
      <c r="AE49" s="1277" t="str" cm="1">
        <f t="array" aca="1" ref="AE4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9" s="1281" t="str" cm="1">
        <f t="array" aca="1" ref="AF49" ca="1">_xlfn.IFS(       TabTRADER[[#This Row],[Traps]]=RePurchaseGain,TEXT(TabTRADER[[#This Row],[L_Sn]],"#,#0")&amp;" x "&amp;TEXT(TabTRADER[[#This Row],[L_Sp]],"#,#0.#0"),     TabTRADER[[#This Row],[Traps]]=ReSaleGain,TEXT(TabTRADER[[#This Row],[L_Bn]],"#0,#0")&amp;" x "&amp;TEXT(TabTRADER[[#This Row],[L_Bp]],"#,#0.#0"),               TRUE,"")</f>
        <v>500 x 30.08</v>
      </c>
      <c r="AG49" s="1281" cm="1">
        <f t="array" aca="1" ref="AG4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1231.7889999999995</v>
      </c>
      <c r="AH49" s="1281" t="str" cm="1">
        <f t="array" aca="1" ref="AH4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9" s="1281" cm="1">
        <f t="array" aca="1" ref="AI4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1231.7889999999995</v>
      </c>
      <c r="AJ49" s="1290" cm="1">
        <f t="array" aca="1" ref="AJ4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8.2114361702127631E-2</v>
      </c>
      <c r="AK49" s="1290" t="str" cm="1">
        <f t="array" aca="1" ref="AK4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9" s="843" t="str" cm="1">
        <f t="array" aca="1" ref="AL49" ca="1">_xlfn.IFS(   TabTRADER[[#This Row],[Traps]]=SellMorePercentGain,                     MIN(TabTRADER[[#This Row],[L_Sn]],TabTRADER[[#This Row],[N]])*(TabTRADER[[#This Row],[M]]-TabTRADER[[#This Row],[L_Sp]])*(1-Commission)*TabTRADER[[#This Row],[Scale]],                    TRUE,"")</f>
        <v/>
      </c>
      <c r="AM49" s="1039">
        <f ca="1">_xlfn.XLOOKUP(TabTRADER[[#This Row],[ClickTick]],TabCalc[Ticker],TabCalc[Ann%RevLB])</f>
        <v>0.15772978517294439</v>
      </c>
      <c r="AN49" s="1038">
        <f ca="1">_xlfn.XLOOKUP(TabTRADER[[#This Row],[ClickTick]],TabCalc[Ticker],TabCalc[Up20])</f>
        <v>0</v>
      </c>
      <c r="AO49" s="1291" t="str" cm="1">
        <f t="array" aca="1" ref="AO4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9" s="843" t="str" cm="1">
        <f t="array" aca="1" ref="AP49" ca="1">_xlfn.IFS(         TabTRADER[[#This Row],[Traps]]=MDown,TabTRADER[[#This Row],[L_Bn]]*TabTRADER[[#This Row],[M]]*(-(TabTRADER[[#This Row],[L_Bp]]+TabTRADER[[#This Row],[M]])/TabTRADER[[#This Row],[M]])*(1-Commission)*TabTRADER[[#This Row],[Scale]],                               TRUE,"")</f>
        <v/>
      </c>
      <c r="AQ49" s="1290" t="str" cm="1">
        <f t="array" aca="1" ref="AQ49" ca="1">_xlfn.IFS(   TabTRADER[[#This Row],[Traps]]=MUp,TabTRADER[[#This Row],[TakeGain_A]]-Commission,        TabTRADER[[#This Row],[Traps]]=MDown,(TabTRADER[[#This Row],[A]]-TabTRADER[[#This Row],[M]])/TabTRADER[[#This Row],[M]]-Commission,                              TRUE,"")</f>
        <v/>
      </c>
      <c r="AR49" s="843" cm="1">
        <f t="array" aca="1" ref="AR4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5176.5060000000003</v>
      </c>
      <c r="AS49" s="774" t="str" cm="1">
        <f t="array" aca="1" ref="AS4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49" s="748" t="str" cm="1">
        <f t="array" aca="1" ref="AT4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9" s="779" cm="1">
        <f t="array" aca="1" ref="AU49" ca="1">_xlfn.IFS(TabTRADER[[#This Row],[Traps]]=ReSaleGain,"",         TabTRADER[[#This Row],[Traps]]=MDown, (TabTRADER[[#This Row],[M]]-TabTRADER[[#This Row],[A]])/TabTRADER[[#This Row],[A]]*ComFactor,             TRUE, IFERROR((TabTRADER[[#This Row],[M]]-TabTRADER[[#This Row],[A]])/TabTRADER[[#This Row],[A]]*ComFactor,""))</f>
        <v>0.14289871635610771</v>
      </c>
      <c r="AV49" s="776" cm="1">
        <f t="array" aca="1" ref="AV49" ca="1">_xlfn.IFS(               TabTRADER[[#This Row],[Traps]]=NoStock,(TabTRADER[[#This Row],[L_Sp]]-TabTRADER[[#This Row],[M]])/TabTRADER[[#This Row],[M]]-Commission,             TabTRADER[[#This Row],[A]]&lt;&gt;0,(TabTRADER[[#This Row],[A]]-TabTRADER[[#This Row],[M]])/TabTRADER[[#This Row],[M]]-Commission)</f>
        <v>-0.12791691416153569</v>
      </c>
      <c r="AW49" s="326">
        <f ca="1">_xlfn.XLOOKUP(TabTRADER[[#This Row],[ClickTick]],TabCalc[Ticker],TabCalc[L_Sn])</f>
        <v>500</v>
      </c>
      <c r="AX49" s="740">
        <f ca="1">_xlfn.XLOOKUP(TabTRADER[[#This Row],[ClickTick]],TabCalc[Ticker],TabCalc[L_Sp])</f>
        <v>30.08</v>
      </c>
      <c r="AY49" s="778">
        <f ca="1">-IFERROR((TabTRADER[[#This Row],[M]]-TabTRADER[[#This Row],[L_Sp]])/TabTRADER[[#This Row],[L_Sp]],0)</f>
        <v>8.2114361702127631E-2</v>
      </c>
      <c r="AZ49" s="741">
        <f ca="1">TabTRADER[[#This Row],[L_Sn]]*(TabTRADER[[#This Row],[M]]-TabTRADER[[#This Row],[L_Sp]])*(1-Commission)*TabTRADER[[#This Row],[Scale]]</f>
        <v>-1231.7889999999995</v>
      </c>
      <c r="BA49" s="701">
        <f ca="1">TabTRADER[[#This Row],[L_Sn]]*(TabTRADER[[#This Row],[Agiotage]]-TabTRADER[[#This Row],[M]])/(TabTRADER[[#This Row],[L_Bn]]*TabTRADER[[#This Row],[M]])</f>
        <v>-0.16658845223717933</v>
      </c>
      <c r="BB49" s="641">
        <f ca="1">IFERROR((TabTRADER[[#This Row],[M]]-TabTRADER[[#This Row],[A]])/TabTRADER[[#This Row],[A]],0)</f>
        <v>0.14327122153209115</v>
      </c>
      <c r="BC49" s="644" t="str">
        <f ca="1">TEXT(_xlfn.XLOOKUP(TabTRADER[[#This Row],[ClickTick]],TabCalc[Ticker],TabCalc[NAfter]),"#,#0")&amp;" : "&amp;TEXT(_xlfn.XLOOKUP(TabTRADER[[#This Row],[ClickTick]],TabCalc[Ticker],TabCalc[NAfter])*(TabTRADER[[#This Row],[M]]-TabTRADER[[#This Row],[A]])*(1-Commission)*TabTRADER[[#This Row],[Scale]],"#,#0$")</f>
        <v>1,500 : 5,177$</v>
      </c>
      <c r="BD49" s="693">
        <f ca="1">_xlfn.XLOOKUP(TabTRADER[[#This Row],[ClickTick]],TabCalc[[#This Row],[Ticker]],TabCalc[[#This Row],[GL]])*(1-Commission)</f>
        <v>95063.560437999986</v>
      </c>
      <c r="BE49" s="693"/>
      <c r="BF49" s="675" t="str">
        <f ca="1">TabTRADER[[#This Row],[ClickTick]]&amp;": "&amp;_xlfn.XLOOKUP(TabTRADER[[#This Row],[ClickTick]],TabCalc[Ticker],TabCalc[Pile?])</f>
        <v xml:space="preserve">VLVLY: </v>
      </c>
      <c r="BG49" s="353" t="s">
        <v>2017</v>
      </c>
      <c r="BH49" s="769" t="str" cm="1">
        <f t="array" aca="1" ref="BH49" ca="1">_xlfn.TEXTJOIN("",,INDEX({"M","A","Y"}, _xlfn.SORTBY({1,2,3}, -CHOOSE({1,2,3}, TabTRADER[[#This Row],[M]], TabTRADER[[#This Row],[A]], TabTRADER[[#This Row],[Agiotage]]))))</f>
        <v>MAY</v>
      </c>
      <c r="BI49" s="976" t="str" cm="1">
        <f t="array" aca="1" ref="BI4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9" s="688">
        <f ca="1">TabTRADER[[#This Row],[L_Sn]]*TabTRADER[[#This Row],[L_Sp]]+TabTRADER[[#This Row],[SellMore]]*TabTRADER[[#This Row],[M]]</f>
        <v>56455</v>
      </c>
      <c r="BK49" s="688">
        <f ca="1">INDEX(
  INDEX(TabConsolid[], , _xlfn.XMATCH(TabTRADER[[#This Row],[ClickTick]]&amp;1, TabConsolid[#Headers])),
  MATCH(
    -TabTRADER[[#This Row],[M]],
    INDEX(TabConsolid[], , _xlfn.XMATCH(TabTRADER[[#This Row],[ClickTick]]&amp;2, TabConsolid[#Headers])),
    -1
  )
)</f>
        <v>1500</v>
      </c>
      <c r="BL49" s="688" cm="1">
        <f t="array" aca="1" ref="BL4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9" s="1260">
        <f ca="1">TabTRADER[[#This Row],[ReBuy]]/(TabTRADER[[#This Row],[L_Sn]]+TabTRADER[[#This Row],[SellMore]])</f>
        <v>28.227499999999999</v>
      </c>
      <c r="BN49" s="696">
        <f ca="1">((_xlfn.XLOOKUP(TabTRADER[[#This Row],[ClickTick]],TabCalc[Ticker],TabCalc[NAfter])+TabTRADER[[#This Row],[L_Sn]])*(TabTRADER[[#This Row],[Agiotage]]-TabTRADER[[#This Row],[M]]))/(TabTRADER[[#This Row],[L_Sn]]*_xlfn.XLOOKUP(TabTRADER[[#This Row],[ClickTick]],TabCalc[Ticker],TabCalc[NAfter]))</f>
        <v>-7.3592114660296346E-2</v>
      </c>
      <c r="BO49" s="696">
        <f ca="1">(TabTRADER[[#This Row],[M]]-TabTRADER[[#This Row],[Agiotage]])/(TabTRADER[[#This Row],[M]]-TabTRADER[[#This Row],[A]])-1</f>
        <v>6.9760239877488797</v>
      </c>
      <c r="BP49" s="1388">
        <f ca="1">_xlfn.XMATCH(TabTRADER[[#This Row],[ClickTick]]&amp;1, TabConsolid[#Headers])</f>
        <v>143</v>
      </c>
      <c r="BQ49" t="b">
        <f ca="1">IF(ABS(TabTRADER[[#This Row],[L_Bp]])&gt;=TabTRADER[[#This Row],[M]],"OK")</f>
        <v>0</v>
      </c>
    </row>
    <row r="50" spans="1:69" hidden="1">
      <c r="A50" s="225">
        <f ca="1">IF(_xlfn.XLOOKUP(TabTRADER[[#This Row],[ClickTick]],TabCalc[Ticker],TabCalc[Cur])="GBp",0.01,1)</f>
        <v>1</v>
      </c>
      <c r="B5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-58.89x1000=    +2,410 CHF</v>
      </c>
      <c r="C50"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3.9%</v>
      </c>
      <c r="D50" s="697" t="str" cm="1">
        <f t="array" aca="1" ref="D5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0" s="765" t="str">
        <f ca="1">IF(      AND(TabTRADER[[#This Row],[A]]&lt;TabTRADER[[#This Row],[M]],    _xlfn.XLOOKUP(TabTRADER[[#This Row],[ClickTick]],TabCalc[Ticker],TabCalc[L_Sp])&gt;TabTRADER[[#This Row],[M]]),"BUY  "&amp;TEXT(DesiredBuyGain/TabTRADER[[#This Row],[Scale]]/(_xlfn.XLOOKUP(TabTRADER[[#This Row],[ClickTick]],TabCalc[Ticker],TabCalc[L_Sp])-TabTRADER[[#This Row],[M]]),"#,##0"),"")</f>
        <v>BUY  10,000</v>
      </c>
      <c r="F50" s="228" t="str">
        <f ca="1">TRUNC(TabCalc[[#This Row],[L_B1p]],2)&amp;"x"&amp;TabCalc[[#This Row],[L_B1n]]&amp;"=   "&amp;TEXT(TabCalc[[#This Row],[ReverseS1]],"#,#0")&amp;"$"</f>
        <v>-59.8x1000=   1,500$</v>
      </c>
      <c r="G50" s="227" t="str">
        <f ca="1">IFERROR(TRUNC(_xlfn.XLOOKUP(TabTRADER[[#This Row],[ClickTick]],TabCalc[Ticker],ListLastSalep),2)&amp;"x"&amp;_xlfn.XLOOKUP(TabTRADER[[#This Row],[ClickTick]],TabCalc[Ticker],ListLastSalen)&amp;"=   "&amp;TEXT(-_xlfn.XLOOKUP(TabTRADER[[#This Row],[ClickTick]],TabCalc[Ticker],ListReverseB),"#,#0")&amp;"$","")</f>
        <v>61.8x1010=   -505$</v>
      </c>
      <c r="H5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0.8% = 10,000</v>
      </c>
      <c r="I50" s="228" t="str">
        <f ca="1">IFERROR(TRUNC(TabCalc[[#This Row],[L_S1p]],2)&amp;"x"&amp;TabCalc[[#This Row],[L_S1n]]&amp;"=   "&amp;TEXT(TabCalc[[#This Row],[ReverseB1]],"#,#0"),"")</f>
        <v>60.2x1000=   -1,100</v>
      </c>
      <c r="J50" s="297">
        <f ca="1">_xlfn.XLOOKUP(TabTRADER[[#This Row],[ClickTick]],TabCalc[Ticker],ListGravity)</f>
        <v>1.0331158238172919</v>
      </c>
      <c r="K50" s="324" t="str" cm="1">
        <f t="array" aca="1" ref="K50" ca="1">IF(_xlfn.XLOOKUP(TabTRADER[[#This Row],[ClickTick]],TabTRADER[ClickTick],ListExtra_n)&gt;0,_xlfn.XLOOKUP(TabTRADER[[#This Row],[ClickTick]],TabTRADER[ClickTick],ListExtra_n),"")</f>
        <v/>
      </c>
      <c r="L50" s="322" t="str">
        <f ca="1">IF(_xlfn.XLOOKUP(TabTRADER[[#This Row],[ClickTick]],TabCalc[Ticker],ListExtra_n)&gt;0,_xlfn.XLOOKUP(TabTRADER[[#This Row],[ClickTick]],TabCalc[Ticker],ListExtra_n)*TabTRADER[[#This Row],[M]]*_xlfn.XLOOKUP(TabTRADER[[#This Row],[ClickTick]],TabCalc[Ticker],ListScale),"")</f>
        <v/>
      </c>
      <c r="M50" s="325">
        <f ca="1">_xlfn.XLOOKUP(TabTRADER[[#This Row],[ClickTick]],TabCalc[Ticker],TabCalc[Agiotage])</f>
        <v>0.96146169650719104</v>
      </c>
      <c r="N50" s="326" cm="1">
        <f t="array" aca="1" ref="N50" ca="1">_xlfn.XLOOKUP(TabTRADER[[#This Row],[ClickTick]],ListTickers,Tab2RSIConventional[RSIConv20])</f>
        <v>63</v>
      </c>
      <c r="O50" s="712" t="str">
        <f ca="1">TEXT(_xlfn.XLOOKUP(TabTRADER[[#This Row],[ClickTick]],TabCalc[Ticker],TabCalc[Nbegin]),"#,#0")&amp;": "&amp;_xlfn.XLOOKUP(TabTRADER[[#This Row],[ClickTick]],TabCalc[Ticker],TabCalc[Pile?])</f>
        <v xml:space="preserve">20,000: </v>
      </c>
      <c r="P50" s="877">
        <f ca="1">_xlfn.XLOOKUP(TabTRADER[[#This Row],[ClickTick]],TabCalc[Ticker],TabCalc[L_Bn])</f>
        <v>1000</v>
      </c>
      <c r="Q50" s="740">
        <f ca="1">_xlfn.XLOOKUP(TabTRADER[[#This Row],[ClickTick]],TabCalc[Ticker],TabCalc[L_Bp])</f>
        <v>-58.89</v>
      </c>
      <c r="R50" s="778">
        <f ca="1">(TabTRADER[[#This Row],[M]]+TabTRADER[[#This Row],[L_Bp]])/ABS(TabTRADER[[#This Row],[L_Bp]])</f>
        <v>4.0923756155544173E-2</v>
      </c>
      <c r="S50" s="692">
        <f ca="1">_xlfn.XLOOKUP(TabTRADER[[#This Row],[ClickTick]],TabCalc[Ticker],TabCalc[Rev(MinStock)])*(1-Commission)</f>
        <v>2403.7339999999963</v>
      </c>
      <c r="T50" s="798">
        <f ca="1">_xlfn.XLOOKUP(TabTRADER[[#This Row],[ClickTick]],TabCalc[Ticker],TabCalc[Agiotage])</f>
        <v>0.96146169650719104</v>
      </c>
      <c r="U50" s="759" t="str" cm="1">
        <f t="array" aca="1" ref="U5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3,200/3,200=&gt;0.3% / 0.3%</v>
      </c>
      <c r="V50" s="751" t="str">
        <f ca="1">_xlfn.XLOOKUP(TabTRADER[[#This Row],[ClickTick]],[1]!RTData[Ticker symbol],[1]!RTData[Currency])</f>
        <v>CHF</v>
      </c>
      <c r="W50" s="761">
        <f ca="1">_xlfn.XLOOKUP(TabTRADER[[#This Row],[ClickTick]],TabCalc[Ticker],TabCalc[M])</f>
        <v>61.3</v>
      </c>
      <c r="X50" s="762" t="str">
        <f ca="1">SORTING!B50</f>
        <v>VONN</v>
      </c>
      <c r="Y50" s="819">
        <f ca="1">_xlfn.XLOOKUP(TabTRADER[[#This Row],[ClickTick]],TabCalc[Ticker],TabCalc[Y])</f>
        <v>63.33</v>
      </c>
      <c r="Z50" s="835">
        <f ca="1">_xlfn.XLOOKUP(TabTRADER[[#This Row],[ClickTick]],[1]!RTData[Ticker symbol],[1]!RTData[YTChange])</f>
        <v>3.8196721311475383E-2</v>
      </c>
      <c r="AA50" s="851">
        <f ca="1">-_xlfn.XLOOKUP(TabTRADER[[#This Row],[ClickTick]]&amp;2,Consolid!B$3:JZ$3,Consolid!B$4:JZ$4)</f>
        <v>59.721249999999998</v>
      </c>
      <c r="AB50" s="835" cm="1">
        <f t="array" aca="1" ref="AB50" ca="1">_xlfn.XLOOKUP(TabTRADER[[#This Row],[ClickTick]],ListTickers,Tab1ChangePercent[Change%19])</f>
        <v>3.2729999999999999E-3</v>
      </c>
      <c r="AC50" s="782">
        <f ca="1">_xlfn.XLOOKUP(TabTRADER[[#This Row],[ClickTick]],TabCalc[Ticker],TabCalc[NAfter])</f>
        <v>16000</v>
      </c>
      <c r="AD50"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^168/981 K$</v>
      </c>
      <c r="AE50" s="1277" t="str" cm="1">
        <f t="array" aca="1" ref="AE5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50" s="1281" t="str" cm="1">
        <f t="array" aca="1" ref="AF50" ca="1">_xlfn.IFS(       TabTRADER[[#This Row],[Traps]]=RePurchaseGain,TEXT(TabTRADER[[#This Row],[L_Sn]],"#,#0")&amp;" x "&amp;TEXT(TabTRADER[[#This Row],[L_Sp]],"#,#0.#0"),     TabTRADER[[#This Row],[Traps]]=ReSaleGain,TEXT(TabTRADER[[#This Row],[L_Bn]],"#0,#0")&amp;" x "&amp;TEXT(TabTRADER[[#This Row],[L_Bp]],"#,#0.#0"),               TRUE,"")</f>
        <v>1,000 x -58.89</v>
      </c>
      <c r="AG50" s="1281" cm="1">
        <f t="array" aca="1" ref="AG5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2403.7339999999963</v>
      </c>
      <c r="AH50" s="1281" t="str" cm="1">
        <f t="array" aca="1" ref="AH5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0" s="1281" cm="1">
        <f t="array" aca="1" ref="AI5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2403.7339999999963</v>
      </c>
      <c r="AJ50" s="1290" cm="1">
        <f t="array" aca="1" ref="AJ5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4.0923756155544173E-2</v>
      </c>
      <c r="AK50" s="1290" t="str" cm="1">
        <f t="array" aca="1" ref="AK5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0" s="843" t="str" cm="1">
        <f t="array" aca="1" ref="AL50" ca="1">_xlfn.IFS(   TabTRADER[[#This Row],[Traps]]=SellMorePercentGain,                     MIN(TabTRADER[[#This Row],[L_Sn]],TabTRADER[[#This Row],[N]])*(TabTRADER[[#This Row],[M]]-TabTRADER[[#This Row],[L_Sp]])*(1-Commission)*TabTRADER[[#This Row],[Scale]],                    TRUE,"")</f>
        <v/>
      </c>
      <c r="AM50" s="1296">
        <f ca="1">_xlfn.XLOOKUP(TabTRADER[[#This Row],[ClickTick]],TabCalc[Ticker],TabCalc[Ann%RevLB])</f>
        <v>1.6369502462217669</v>
      </c>
      <c r="AN50" s="1038">
        <f ca="1">_xlfn.XLOOKUP(TabTRADER[[#This Row],[ClickTick]],TabCalc[Ticker],TabCalc[Up20])</f>
        <v>0</v>
      </c>
      <c r="AO50" s="1291" t="str" cm="1">
        <f t="array" aca="1" ref="AO5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0" s="843" t="str" cm="1">
        <f t="array" aca="1" ref="AP50" ca="1">_xlfn.IFS(         TabTRADER[[#This Row],[Traps]]=MDown,TabTRADER[[#This Row],[L_Bn]]*TabTRADER[[#This Row],[M]]*(-(TabTRADER[[#This Row],[L_Bp]]+TabTRADER[[#This Row],[M]])/TabTRADER[[#This Row],[M]])*(1-Commission)*TabTRADER[[#This Row],[Scale]],                               TRUE,"")</f>
        <v/>
      </c>
      <c r="AQ50" s="1290" t="str" cm="1">
        <f t="array" aca="1" ref="AQ50" ca="1">_xlfn.IFS(   TabTRADER[[#This Row],[Traps]]=MUp,TabTRADER[[#This Row],[TakeGain_A]]-Commission,        TabTRADER[[#This Row],[Traps]]=MDown,(TabTRADER[[#This Row],[A]]-TabTRADER[[#This Row],[M]])/TabTRADER[[#This Row],[M]]-Commission,                              TRUE,"")</f>
        <v/>
      </c>
      <c r="AR50" s="774" cm="1">
        <f t="array" aca="1" ref="AR5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25860.343867551321</v>
      </c>
      <c r="AS50" s="774" t="str" cm="1">
        <f t="array" aca="1" ref="AS5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0.4%</v>
      </c>
      <c r="AT50" s="748" t="str" cm="1">
        <f t="array" aca="1" ref="AT5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50" s="779" t="str" cm="1">
        <f t="array" aca="1" ref="AU50" ca="1">_xlfn.IFS(TabTRADER[[#This Row],[Traps]]=ReSaleGain,"",         TabTRADER[[#This Row],[Traps]]=MDown, (TabTRADER[[#This Row],[M]]-TabTRADER[[#This Row],[A]])/TabTRADER[[#This Row],[A]]*ComFactor,             TRUE, IFERROR((TabTRADER[[#This Row],[M]]-TabTRADER[[#This Row],[A]])/TabTRADER[[#This Row],[A]]*ComFactor,""))</f>
        <v/>
      </c>
      <c r="AV50" s="776" cm="1">
        <f t="array" aca="1" ref="AV50" ca="1">_xlfn.IFS(               TabTRADER[[#This Row],[Traps]]=NoStock,(TabTRADER[[#This Row],[L_Sp]]-TabTRADER[[#This Row],[M]])/TabTRADER[[#This Row],[M]]-Commission,             TabTRADER[[#This Row],[A]]&lt;&gt;0,(TabTRADER[[#This Row],[A]]-TabTRADER[[#This Row],[M]])/TabTRADER[[#This Row],[M]]-Commission)</f>
        <v>-2.8354486133768342E-2</v>
      </c>
      <c r="AW50" s="326">
        <f ca="1">_xlfn.XLOOKUP(TabTRADER[[#This Row],[ClickTick]],TabCalc[Ticker],TabCalc[L_Sn])</f>
        <v>1010</v>
      </c>
      <c r="AX50" s="740">
        <f ca="1">_xlfn.XLOOKUP(TabTRADER[[#This Row],[ClickTick]],TabCalc[Ticker],TabCalc[L_Sp])</f>
        <v>61.8</v>
      </c>
      <c r="AY50" s="778">
        <f ca="1">-IFERROR((TabTRADER[[#This Row],[M]]-TabTRADER[[#This Row],[L_Sp]])/TabTRADER[[#This Row],[L_Sp]],0)</f>
        <v>8.0906148867313926E-3</v>
      </c>
      <c r="AZ50" s="741">
        <f ca="1">TabTRADER[[#This Row],[L_Sn]]*(TabTRADER[[#This Row],[M]]-TabTRADER[[#This Row],[L_Sp]])*(1-Commission)*TabTRADER[[#This Row],[Scale]]</f>
        <v>-503.68699999999995</v>
      </c>
      <c r="BA50" s="701">
        <f ca="1">TabTRADER[[#This Row],[L_Sn]]*(TabTRADER[[#This Row],[Agiotage]]-TabTRADER[[#This Row],[M]])/(TabTRADER[[#This Row],[L_Bn]]*TabTRADER[[#This Row],[M]])</f>
        <v>-0.99415862457630888</v>
      </c>
      <c r="BB50" s="641">
        <f ca="1">IFERROR((TabTRADER[[#This Row],[M]]-TabTRADER[[#This Row],[A]])/TabTRADER[[#This Row],[A]],0)</f>
        <v>2.6435314063252183E-2</v>
      </c>
      <c r="BC50" s="644" t="str">
        <f ca="1">TEXT(_xlfn.XLOOKUP(TabTRADER[[#This Row],[ClickTick]],TabCalc[Ticker],TabCalc[NAfter]),"#,#0")&amp;" : "&amp;TEXT(_xlfn.XLOOKUP(TabTRADER[[#This Row],[ClickTick]],TabCalc[Ticker],TabCalc[NAfter])*(TabTRADER[[#This Row],[M]]-TabTRADER[[#This Row],[A]])*(1-Commission)*TabTRADER[[#This Row],[Scale]],"#,#0$")</f>
        <v>16,000 : 25,194$</v>
      </c>
      <c r="BD50" s="693">
        <f ca="1">_xlfn.XLOOKUP(TabTRADER[[#This Row],[ClickTick]],TabCalc[[#This Row],[Ticker]],TabCalc[[#This Row],[GL]])*(1-Commission)</f>
        <v>167368.01879399995</v>
      </c>
      <c r="BE50" s="693"/>
      <c r="BF50" s="675" t="str">
        <f ca="1">TabTRADER[[#This Row],[ClickTick]]&amp;": "&amp;_xlfn.XLOOKUP(TabTRADER[[#This Row],[ClickTick]],TabCalc[Ticker],TabCalc[Pile?])</f>
        <v xml:space="preserve">VONN: </v>
      </c>
      <c r="BG50" s="353" t="s">
        <v>2018</v>
      </c>
      <c r="BH50" s="769" t="str" cm="1">
        <f t="array" aca="1" ref="BH50" ca="1">_xlfn.TEXTJOIN("",,INDEX({"M","A","Y"}, _xlfn.SORTBY({1,2,3}, -CHOOSE({1,2,3}, TabTRADER[[#This Row],[M]], TabTRADER[[#This Row],[A]], TabTRADER[[#This Row],[Agiotage]]))))</f>
        <v>MAY</v>
      </c>
      <c r="BI50" s="976" t="str" cm="1">
        <f t="array" aca="1" ref="BI5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0" s="688">
        <f ca="1">TabTRADER[[#This Row],[L_Sn]]*TabTRADER[[#This Row],[L_Sp]]+TabTRADER[[#This Row],[SellMore]]*TabTRADER[[#This Row],[M]]</f>
        <v>246318</v>
      </c>
      <c r="BK50" s="688">
        <f ca="1">INDEX(
  INDEX(TabConsolid[], , _xlfn.XMATCH(TabTRADER[[#This Row],[ClickTick]]&amp;1, TabConsolid[#Headers])),
  MATCH(
    -TabTRADER[[#This Row],[M]],
    INDEX(TabConsolid[], , _xlfn.XMATCH(TabTRADER[[#This Row],[ClickTick]]&amp;2, TabConsolid[#Headers])),
    -1
  )
)</f>
        <v>3000</v>
      </c>
      <c r="BL50" s="688" cm="1">
        <f t="array" aca="1" ref="BL5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50" s="1260">
        <f ca="1">TabTRADER[[#This Row],[ReBuy]]/(TabTRADER[[#This Row],[L_Sn]]+TabTRADER[[#This Row],[SellMore]])</f>
        <v>61.42593516209476</v>
      </c>
      <c r="BN50" s="696">
        <f ca="1">((_xlfn.XLOOKUP(TabTRADER[[#This Row],[ClickTick]],TabCalc[Ticker],TabCalc[NAfter])+TabTRADER[[#This Row],[L_Sn]])*(TabTRADER[[#This Row],[Agiotage]]-TabTRADER[[#This Row],[M]]))/(TabTRADER[[#This Row],[L_Sn]]*_xlfn.XLOOKUP(TabTRADER[[#This Row],[ClickTick]],TabCalc[Ticker],TabCalc[NAfter]))</f>
        <v>-6.3512285677129493E-2</v>
      </c>
      <c r="BO50" s="696">
        <f ca="1">(TabTRADER[[#This Row],[M]]-TabTRADER[[#This Row],[Agiotage]])/(TabTRADER[[#This Row],[M]]-TabTRADER[[#This Row],[A]])-1</f>
        <v>37.219184990335918</v>
      </c>
      <c r="BP50" s="1388">
        <f ca="1">_xlfn.XMATCH(TabTRADER[[#This Row],[ClickTick]]&amp;1, TabConsolid[#Headers])</f>
        <v>146</v>
      </c>
      <c r="BQ50" t="b">
        <f ca="1">IF(ABS(TabTRADER[[#This Row],[L_Bp]])&gt;=TabTRADER[[#This Row],[M]],"OK")</f>
        <v>0</v>
      </c>
    </row>
    <row r="51" spans="1:69" hidden="1">
      <c r="A51" s="225">
        <f ca="1">IF(_xlfn.XLOOKUP(TabTRADER[[#This Row],[ClickTick]],TabCalc[Ticker],TabCalc[Cur])="GBp",0.01,1)</f>
        <v>1</v>
      </c>
      <c r="B5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-9.46x5000=    +4,450 USD</v>
      </c>
      <c r="C51"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8.6%</v>
      </c>
      <c r="D51" s="697" t="str" cm="1">
        <f t="array" aca="1" ref="D5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1" s="228" t="str">
        <f ca="1">TRUNC(TabCalc[[#This Row],[L_B1p]],2)&amp;"x"&amp;TabCalc[[#This Row],[L_B1n]]&amp;"=   "&amp;TEXT(TabCalc[[#This Row],[ReverseS1]],"#,#0")&amp;"$"</f>
        <v>-8.23x5000=   10,600$</v>
      </c>
      <c r="G51" s="227" t="str">
        <f ca="1">IFERROR(TRUNC(_xlfn.XLOOKUP(TabTRADER[[#This Row],[ClickTick]],TabCalc[Ticker],ListLastSalep),2)&amp;"x"&amp;_xlfn.XLOOKUP(TabTRADER[[#This Row],[ClickTick]],TabCalc[Ticker],ListLastSalen)&amp;"=   "&amp;TEXT(-_xlfn.XLOOKUP(TabTRADER[[#This Row],[ClickTick]],TabCalc[Ticker],ListReverseB),"#,#0")&amp;"$","")</f>
        <v>10.07x5000=   1,400$</v>
      </c>
      <c r="H5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-2.7% = 0</v>
      </c>
      <c r="I51" s="228" t="str">
        <f ca="1">IFERROR(TRUNC(TabCalc[[#This Row],[L_S1p]],2)&amp;"x"&amp;TabCalc[[#This Row],[L_S1n]]&amp;"=   "&amp;TEXT(TabCalc[[#This Row],[ReverseB1]],"#,#0"),"")</f>
        <v>10.58x5000=   1,150</v>
      </c>
      <c r="J51" s="297">
        <f ca="1">_xlfn.XLOOKUP(TabTRADER[[#This Row],[ClickTick]],TabCalc[Ticker],ListGravity)</f>
        <v>1.1042096618357489</v>
      </c>
      <c r="K51" s="324" t="str" cm="1">
        <f t="array" aca="1" ref="K51" ca="1">IF(_xlfn.XLOOKUP(TabTRADER[[#This Row],[ClickTick]],TabTRADER[ClickTick],ListExtra_n)&gt;0,_xlfn.XLOOKUP(TabTRADER[[#This Row],[ClickTick]],TabTRADER[ClickTick],ListExtra_n),"")</f>
        <v/>
      </c>
      <c r="L51" s="322" t="str">
        <f ca="1">IF(_xlfn.XLOOKUP(TabTRADER[[#This Row],[ClickTick]],TabCalc[Ticker],ListExtra_n)&gt;0,_xlfn.XLOOKUP(TabTRADER[[#This Row],[ClickTick]],TabCalc[Ticker],ListExtra_n)*TabTRADER[[#This Row],[M]]*_xlfn.XLOOKUP(TabTRADER[[#This Row],[ClickTick]],TabCalc[Ticker],ListScale),"")</f>
        <v/>
      </c>
      <c r="M51" s="325">
        <f ca="1">_xlfn.XLOOKUP(TabTRADER[[#This Row],[ClickTick]],TabCalc[Ticker],TabCalc[Agiotage])</f>
        <v>0.56862767858430829</v>
      </c>
      <c r="N51" s="326" cm="1">
        <f t="array" aca="1" ref="N51" ca="1">_xlfn.XLOOKUP(TabTRADER[[#This Row],[ClickTick]],ListTickers,Tab2RSIConventional[RSIConv20])</f>
        <v>73</v>
      </c>
      <c r="O51" s="712" t="str">
        <f ca="1">TEXT(_xlfn.XLOOKUP(TabTRADER[[#This Row],[ClickTick]],TabCalc[Ticker],TabCalc[Nbegin]),"#,#0")&amp;": "&amp;_xlfn.XLOOKUP(TabTRADER[[#This Row],[ClickTick]],TabCalc[Ticker],TabCalc[Pile?])</f>
        <v xml:space="preserve">5,000: </v>
      </c>
      <c r="P51" s="746">
        <f ca="1">_xlfn.XLOOKUP(TabTRADER[[#This Row],[ClickTick]],TabCalc[Ticker],TabCalc[L_Bn])</f>
        <v>5000</v>
      </c>
      <c r="Q51" s="690">
        <f ca="1">_xlfn.XLOOKUP(TabTRADER[[#This Row],[ClickTick]],TabCalc[Ticker],TabCalc[L_Bp])</f>
        <v>-9.4600000000000009</v>
      </c>
      <c r="R51" s="778">
        <f ca="1">(TabTRADER[[#This Row],[M]]+TabTRADER[[#This Row],[L_Bp]])/ABS(TabTRADER[[#This Row],[L_Bp]])</f>
        <v>9.4080338266384636E-2</v>
      </c>
      <c r="S51" s="692">
        <f ca="1">_xlfn.XLOOKUP(TabTRADER[[#This Row],[ClickTick]],TabCalc[Ticker],TabCalc[Rev(MinStock)])*(1-Commission)</f>
        <v>4438.429999999993</v>
      </c>
      <c r="T51" s="798">
        <f ca="1">_xlfn.XLOOKUP(TabTRADER[[#This Row],[ClickTick]],TabCalc[Ticker],TabCalc[Agiotage])</f>
        <v>0.56862767858430829</v>
      </c>
      <c r="U51" s="759" t="str" cm="1">
        <f t="array" aca="1" ref="U5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-50/-50=&gt;0.4% / 0.4%</v>
      </c>
      <c r="V51" s="751" t="str">
        <f ca="1">_xlfn.XLOOKUP(TabTRADER[[#This Row],[ClickTick]],[1]!RTData[Ticker symbol],[1]!RTData[Currency])</f>
        <v>USD</v>
      </c>
      <c r="W51" s="761">
        <f ca="1">_xlfn.XLOOKUP(TabTRADER[[#This Row],[ClickTick]],TabCalc[Ticker],TabCalc[M])</f>
        <v>10.35</v>
      </c>
      <c r="X51" s="762" t="str">
        <f ca="1">SORTING!B51</f>
        <v>VTRS</v>
      </c>
      <c r="Y51" s="819">
        <f ca="1">_xlfn.XLOOKUP(TabTRADER[[#This Row],[ClickTick]],TabCalc[Ticker],TabCalc[Y])</f>
        <v>11.428570000000001</v>
      </c>
      <c r="Z51" s="835">
        <f ca="1">_xlfn.XLOOKUP(TabTRADER[[#This Row],[ClickTick]],[1]!RTData[Ticker symbol],[1]!RTData[YTChange])</f>
        <v>4.268014059753935E-3</v>
      </c>
      <c r="AA51" s="851">
        <f ca="1">-_xlfn.XLOOKUP(TabTRADER[[#This Row],[ClickTick]]&amp;2,Consolid!B$3:JZ$3,Consolid!B$4:JZ$4)</f>
        <v>9.4600000000000009</v>
      </c>
      <c r="AB51" s="835" cm="1">
        <f t="array" aca="1" ref="AB51" ca="1">_xlfn.XLOOKUP(TabTRADER[[#This Row],[ClickTick]],ListTickers,Tab1ChangePercent[Change%19])</f>
        <v>3.8800000000000002E-3</v>
      </c>
      <c r="AC51" s="782">
        <f ca="1">_xlfn.XLOOKUP(TabTRADER[[#This Row],[ClickTick]],TabCalc[Ticker],TabCalc[NAfter])</f>
        <v>5000</v>
      </c>
      <c r="AD51"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-81/52 K$</v>
      </c>
      <c r="AE51" s="1299" t="str" cm="1">
        <f t="array" aca="1" ref="AE5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1" s="1281" t="str" cm="1">
        <f t="array" aca="1" ref="AF51" ca="1">_xlfn.IFS(       TabTRADER[[#This Row],[Traps]]=RePurchaseGain,TEXT(TabTRADER[[#This Row],[L_Sn]],"#,#0")&amp;" x "&amp;TEXT(TabTRADER[[#This Row],[L_Sp]],"#,#0.#0"),     TabTRADER[[#This Row],[Traps]]=ReSaleGain,TEXT(TabTRADER[[#This Row],[L_Bn]],"#0,#0")&amp;" x "&amp;TEXT(TabTRADER[[#This Row],[L_Bp]],"#,#0.#0"),               TRUE,"")</f>
        <v/>
      </c>
      <c r="AG51" s="1281" t="str" cm="1">
        <f t="array" aca="1" ref="AG5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5,000 x 10.07</v>
      </c>
      <c r="AH51" s="1281" cm="1">
        <f t="array" aca="1" ref="AH5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1396.3599999999967</v>
      </c>
      <c r="AI51" s="1281" cm="1">
        <f t="array" aca="1" ref="AI5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4438.429999999993</v>
      </c>
      <c r="AJ51" s="1290" cm="1">
        <f t="array" aca="1" ref="AJ5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9.4080338266384636E-2</v>
      </c>
      <c r="AK51" s="1290" cm="1">
        <f t="array" aca="1" ref="AK5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2.4453140096618295E-2</v>
      </c>
      <c r="AL51" s="843" cm="1">
        <f t="array" aca="1" ref="AL51" ca="1">_xlfn.IFS(   TabTRADER[[#This Row],[Traps]]=SellMorePercentGain,                     MIN(TabTRADER[[#This Row],[L_Sn]],TabTRADER[[#This Row],[N]])*(TabTRADER[[#This Row],[M]]-TabTRADER[[#This Row],[L_Sp]])*(1-Commission)*TabTRADER[[#This Row],[Scale]],                    TRUE,"")</f>
        <v>1396.3599999999967</v>
      </c>
      <c r="AM51" s="1279">
        <f ca="1">_xlfn.XLOOKUP(TabTRADER[[#This Row],[ClickTick]],TabCalc[Ticker],TabCalc[Ann%RevLB])</f>
        <v>1.0925458637386603</v>
      </c>
      <c r="AN51" s="1038">
        <f ca="1">_xlfn.XLOOKUP(TabTRADER[[#This Row],[ClickTick]],TabCalc[Ticker],TabCalc[Up20])</f>
        <v>0.5</v>
      </c>
      <c r="AO51" s="1291" t="str" cm="1">
        <f t="array" aca="1" ref="AO5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1" s="843" t="str" cm="1">
        <f t="array" aca="1" ref="AP51" ca="1">_xlfn.IFS(         TabTRADER[[#This Row],[Traps]]=MDown,TabTRADER[[#This Row],[L_Bn]]*TabTRADER[[#This Row],[M]]*(-(TabTRADER[[#This Row],[L_Bp]]+TabTRADER[[#This Row],[M]])/TabTRADER[[#This Row],[M]])*(1-Commission)*TabTRADER[[#This Row],[Scale]],                               TRUE,"")</f>
        <v/>
      </c>
      <c r="AQ51" s="1290" cm="1">
        <f t="array" aca="1" ref="AQ51" ca="1">_xlfn.IFS(   TabTRADER[[#This Row],[Traps]]=MUp,TabTRADER[[#This Row],[TakeGain_A]]-Commission,        TabTRADER[[#This Row],[Traps]]=MDown,(TabTRADER[[#This Row],[A]]-TabTRADER[[#This Row],[M]])/TabTRADER[[#This Row],[M]]-Commission,                              TRUE,"")</f>
        <v>9.1480338266384631E-2</v>
      </c>
      <c r="AR51" s="843" cm="1">
        <f t="array" aca="1" ref="AR5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4855.9989957716625</v>
      </c>
      <c r="AS51" s="774" t="str" cm="1">
        <f t="array" aca="1" ref="AS5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T51" s="748" t="str" cm="1">
        <f t="array" aca="1" ref="AT5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5,000x0.88</v>
      </c>
      <c r="AU51" s="779" cm="1">
        <f t="array" aca="1" ref="AU51" ca="1">_xlfn.IFS(TabTRADER[[#This Row],[Traps]]=ReSaleGain,"",         TabTRADER[[#This Row],[Traps]]=MDown, (TabTRADER[[#This Row],[M]]-TabTRADER[[#This Row],[A]])/TabTRADER[[#This Row],[A]]*ComFactor,             TRUE, IFERROR((TabTRADER[[#This Row],[M]]-TabTRADER[[#This Row],[A]])/TabTRADER[[#This Row],[A]]*ComFactor,""))</f>
        <v>9.3835729386892025E-2</v>
      </c>
      <c r="AV51" s="776" cm="1">
        <f t="array" aca="1" ref="AV51" ca="1">_xlfn.IFS(               TabTRADER[[#This Row],[Traps]]=NoStock,(TabTRADER[[#This Row],[L_Sp]]-TabTRADER[[#This Row],[M]])/TabTRADER[[#This Row],[M]]-Commission,             TabTRADER[[#This Row],[A]]&lt;&gt;0,(TabTRADER[[#This Row],[A]]-TabTRADER[[#This Row],[M]])/TabTRADER[[#This Row],[M]]-Commission)</f>
        <v>-8.8590338164251103E-2</v>
      </c>
      <c r="AW51" s="326">
        <f ca="1">_xlfn.XLOOKUP(TabTRADER[[#This Row],[ClickTick]],TabCalc[Ticker],TabCalc[L_Sn])</f>
        <v>5000</v>
      </c>
      <c r="AX51" s="740">
        <f ca="1">_xlfn.XLOOKUP(TabTRADER[[#This Row],[ClickTick]],TabCalc[Ticker],TabCalc[L_Sp])</f>
        <v>10.07</v>
      </c>
      <c r="AY51" s="778">
        <f ca="1">-IFERROR((TabTRADER[[#This Row],[M]]-TabTRADER[[#This Row],[L_Sp]])/TabTRADER[[#This Row],[L_Sp]],0)</f>
        <v>-2.7805362462760611E-2</v>
      </c>
      <c r="AZ51" s="741">
        <f ca="1">TabTRADER[[#This Row],[L_Sn]]*(TabTRADER[[#This Row],[M]]-TabTRADER[[#This Row],[L_Sp]])*(1-Commission)*TabTRADER[[#This Row],[Scale]]</f>
        <v>1396.3599999999967</v>
      </c>
      <c r="BA51" s="701">
        <f ca="1">TabTRADER[[#This Row],[L_Sn]]*(TabTRADER[[#This Row],[Agiotage]]-TabTRADER[[#This Row],[M]])/(TabTRADER[[#This Row],[L_Bn]]*TabTRADER[[#This Row],[M]])</f>
        <v>-0.94506012767301362</v>
      </c>
      <c r="BB51" s="641">
        <f ca="1">IFERROR((TabTRADER[[#This Row],[M]]-TabTRADER[[#This Row],[A]])/TabTRADER[[#This Row],[A]],0)</f>
        <v>9.4080338266384636E-2</v>
      </c>
      <c r="BC51" s="644" t="str">
        <f ca="1">TEXT(_xlfn.XLOOKUP(TabTRADER[[#This Row],[ClickTick]],TabCalc[Ticker],TabCalc[NAfter]),"#,#0")&amp;" : "&amp;TEXT(_xlfn.XLOOKUP(TabTRADER[[#This Row],[ClickTick]],TabCalc[Ticker],TabCalc[NAfter])*(TabTRADER[[#This Row],[M]]-TabTRADER[[#This Row],[A]])*(1-Commission)*TabTRADER[[#This Row],[Scale]],"#,#0$")</f>
        <v>5,000 : 4,438$</v>
      </c>
      <c r="BD51" s="693">
        <f ca="1">_xlfn.XLOOKUP(TabTRADER[[#This Row],[ClickTick]],TabCalc[[#This Row],[Ticker]],TabCalc[[#This Row],[GL]])*(1-Commission)</f>
        <v>-81082.585729999948</v>
      </c>
      <c r="BE51" s="693"/>
      <c r="BF51" s="675" t="str">
        <f ca="1">TabTRADER[[#This Row],[ClickTick]]&amp;": "&amp;_xlfn.XLOOKUP(TabTRADER[[#This Row],[ClickTick]],TabCalc[Ticker],TabCalc[Pile?])</f>
        <v xml:space="preserve">VTRS: </v>
      </c>
      <c r="BG51" s="353" t="s">
        <v>2019</v>
      </c>
      <c r="BH51" s="769" t="str" cm="1">
        <f t="array" aca="1" ref="BH51" ca="1">_xlfn.TEXTJOIN("",,INDEX({"M","A","Y"}, _xlfn.SORTBY({1,2,3}, -CHOOSE({1,2,3}, TabTRADER[[#This Row],[M]], TabTRADER[[#This Row],[A]], TabTRADER[[#This Row],[Agiotage]]))))</f>
        <v>MAY</v>
      </c>
      <c r="BI51" s="976" cm="1">
        <f t="array" aca="1" ref="BI5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2.7053140096618297E-2</v>
      </c>
      <c r="BJ51" s="688">
        <f ca="1">TabTRADER[[#This Row],[L_Sn]]*TabTRADER[[#This Row],[L_Sp]]+TabTRADER[[#This Row],[SellMore]]*TabTRADER[[#This Row],[M]]</f>
        <v>102100</v>
      </c>
      <c r="BK51" s="688">
        <f ca="1">INDEX(
  INDEX(TabConsolid[], , _xlfn.XMATCH(TabTRADER[[#This Row],[ClickTick]]&amp;1, TabConsolid[#Headers])),
  MATCH(
    -TabTRADER[[#This Row],[M]],
    INDEX(TabConsolid[], , _xlfn.XMATCH(TabTRADER[[#This Row],[ClickTick]]&amp;2, TabConsolid[#Headers])),
    -1
  )
)</f>
        <v>5000</v>
      </c>
      <c r="BL51" s="688" cm="1">
        <f t="array" aca="1" ref="BL5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1" s="1260">
        <f ca="1">TabTRADER[[#This Row],[ReBuy]]/(TabTRADER[[#This Row],[L_Sn]]+TabTRADER[[#This Row],[SellMore]])</f>
        <v>10.210000000000001</v>
      </c>
      <c r="BN51" s="696">
        <f ca="1">((_xlfn.XLOOKUP(TabTRADER[[#This Row],[ClickTick]],TabCalc[Ticker],TabCalc[NAfter])+TabTRADER[[#This Row],[L_Sn]])*(TabTRADER[[#This Row],[Agiotage]]-TabTRADER[[#This Row],[M]]))/(TabTRADER[[#This Row],[L_Sn]]*_xlfn.XLOOKUP(TabTRADER[[#This Row],[ClickTick]],TabCalc[Ticker],TabCalc[NAfter]))</f>
        <v>-3.912548928566276E-3</v>
      </c>
      <c r="BO51" s="696">
        <f ca="1">(TabTRADER[[#This Row],[M]]-TabTRADER[[#This Row],[Agiotage]])/(TabTRADER[[#This Row],[M]]-TabTRADER[[#This Row],[A]])-1</f>
        <v>9.9903059791187694</v>
      </c>
      <c r="BP51" s="1388">
        <f ca="1">_xlfn.XMATCH(TabTRADER[[#This Row],[ClickTick]]&amp;1, TabConsolid[#Headers])</f>
        <v>149</v>
      </c>
      <c r="BQ51" t="b">
        <f ca="1">IF(ABS(TabTRADER[[#This Row],[L_Bp]])&gt;=TabTRADER[[#This Row],[M]],"OK")</f>
        <v>0</v>
      </c>
    </row>
    <row r="52" spans="1:69" hidden="1">
      <c r="A52" s="225">
        <f ca="1">IF(_xlfn.XLOOKUP(TabTRADER[[#This Row],[ClickTick]],TabCalc[Ticker],TabCalc[Cur])="GBp",0.01,1)</f>
        <v>1</v>
      </c>
      <c r="B5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-10.05x6500=    +5,760 USD</v>
      </c>
      <c r="C52"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16.0%</v>
      </c>
      <c r="D52" s="697" t="str" cm="1">
        <f t="array" aca="1" ref="D5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2,604/3,000=31,196</v>
      </c>
      <c r="E52"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2" s="228" t="str">
        <f ca="1">TRUNC(TabCalc[[#This Row],[L_B1p]],2)&amp;"x"&amp;TabCalc[[#This Row],[L_B1n]]&amp;"=   "&amp;TEXT(TabCalc[[#This Row],[ReverseS1]],"#,#0")&amp;"$"</f>
        <v>-10.48x1500=   2,250$</v>
      </c>
      <c r="G52" s="227" t="str">
        <f ca="1">IFERROR(TRUNC(_xlfn.XLOOKUP(TabTRADER[[#This Row],[ClickTick]],TabCalc[Ticker],ListLastSalep),2)&amp;"x"&amp;_xlfn.XLOOKUP(TabTRADER[[#This Row],[ClickTick]],TabCalc[Ticker],ListLastSalen)&amp;"=   "&amp;TEXT(-_xlfn.XLOOKUP(TabTRADER[[#This Row],[ClickTick]],TabCalc[Ticker],ListReverseB),"#,#0")&amp;"$","")</f>
        <v>11.25x4000=   2,916$</v>
      </c>
      <c r="H5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-6.1% = 0</v>
      </c>
      <c r="I52" s="228" t="str">
        <f ca="1">IFERROR(TRUNC(TabCalc[[#This Row],[L_S1p]],2)&amp;"x"&amp;TabCalc[[#This Row],[L_S1n]]&amp;"=   "&amp;TEXT(TabCalc[[#This Row],[ReverseB1]],"#,#0"),"")</f>
        <v>10.76x3000=   -3,645</v>
      </c>
      <c r="J52" s="297">
        <f ca="1">_xlfn.XLOOKUP(TabTRADER[[#This Row],[ClickTick]],TabCalc[Ticker],ListGravity)</f>
        <v>1.0112095158597663</v>
      </c>
      <c r="K52" s="324" cm="1">
        <f t="array" aca="1" ref="K52" ca="1">IF(_xlfn.XLOOKUP(TabTRADER[[#This Row],[ClickTick]],TabTRADER[ClickTick],ListExtra_n)&gt;0,_xlfn.XLOOKUP(TabTRADER[[#This Row],[ClickTick]],TabTRADER[ClickTick],ListExtra_n),"")</f>
        <v>2250</v>
      </c>
      <c r="L52" s="322">
        <f ca="1">IF(_xlfn.XLOOKUP(TabTRADER[[#This Row],[ClickTick]],TabCalc[Ticker],ListExtra_n)&gt;0,_xlfn.XLOOKUP(TabTRADER[[#This Row],[ClickTick]],TabCalc[Ticker],ListExtra_n)*TabTRADER[[#This Row],[M]]*_xlfn.XLOOKUP(TabTRADER[[#This Row],[ClickTick]],TabCalc[Ticker],ListScale),"")</f>
        <v>26955</v>
      </c>
      <c r="M52" s="325">
        <f ca="1">_xlfn.XLOOKUP(TabTRADER[[#This Row],[ClickTick]],TabCalc[Ticker],TabCalc[Agiotage])</f>
        <v>14.986033366586197</v>
      </c>
      <c r="N52" s="326" t="e" cm="1">
        <f t="array" aca="1" ref="N52" ca="1">_xlfn.XLOOKUP(TabTRADER[[#This Row],[ClickTick]],ListTickers,Tab2RSIConventional[RSIConv20])</f>
        <v>#DIV/0!</v>
      </c>
      <c r="O52" s="712" t="str">
        <f ca="1">TEXT(_xlfn.XLOOKUP(TabTRADER[[#This Row],[ClickTick]],TabCalc[Ticker],TabCalc[Nbegin]),"#,#0")&amp;": "&amp;_xlfn.XLOOKUP(TabTRADER[[#This Row],[ClickTick]],TabCalc[Ticker],TabCalc[Pile?])</f>
        <v xml:space="preserve">750: </v>
      </c>
      <c r="P52" s="323">
        <f ca="1">_xlfn.XLOOKUP(TabTRADER[[#This Row],[ClickTick]],TabCalc[Ticker],TabCalc[L_Bn])</f>
        <v>6500</v>
      </c>
      <c r="Q52" s="690">
        <f ca="1">_xlfn.XLOOKUP(TabTRADER[[#This Row],[ClickTick]],TabCalc[Ticker],TabCalc[L_Bp])</f>
        <v>-10.059900000000001</v>
      </c>
      <c r="R52" s="778">
        <f ca="1">(TabTRADER[[#This Row],[M]]+TabTRADER[[#This Row],[L_Bp]])/ABS(TabTRADER[[#This Row],[L_Bp]])</f>
        <v>0.19086670841658462</v>
      </c>
      <c r="S52" s="692">
        <f ca="1">_xlfn.XLOOKUP(TabTRADER[[#This Row],[ClickTick]],TabCalc[Ticker],TabCalc[Rev(MinStock)])*(1-Commission)</f>
        <v>5745.3232199999993</v>
      </c>
      <c r="T52" s="798">
        <f ca="1">_xlfn.XLOOKUP(TabTRADER[[#This Row],[ClickTick]],TabCalc[Ticker],TabCalc[Agiotage])</f>
        <v>14.986033366586197</v>
      </c>
      <c r="U52" s="759" t="str" cm="1">
        <f t="array" aca="1" ref="U5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195/195=&gt;0.0% / 0.0%</v>
      </c>
      <c r="V52" s="751" t="str">
        <f ca="1">_xlfn.XLOOKUP(TabTRADER[[#This Row],[ClickTick]],[1]!RTData[Ticker symbol],[1]!RTData[Currency])</f>
        <v>USD</v>
      </c>
      <c r="W52" s="761">
        <f ca="1">_xlfn.XLOOKUP(TabTRADER[[#This Row],[ClickTick]],TabCalc[Ticker],TabCalc[M])</f>
        <v>11.98</v>
      </c>
      <c r="X52" s="762" t="str">
        <f ca="1">SORTING!B52</f>
        <v>WBA</v>
      </c>
      <c r="Y52" s="819">
        <f ca="1">_xlfn.XLOOKUP(TabTRADER[[#This Row],[ClickTick]],TabCalc[Ticker],TabCalc[Y])</f>
        <v>12.11429</v>
      </c>
      <c r="Z52" s="835">
        <f ca="1">_xlfn.XLOOKUP(TabTRADER[[#This Row],[ClickTick]],[1]!RTData[Ticker symbol],[1]!RTData[YTChange])</f>
        <v>-0.4386334569045412</v>
      </c>
      <c r="AA52" s="851">
        <f ca="1">-_xlfn.XLOOKUP(TabTRADER[[#This Row],[ClickTick]]&amp;2,Consolid!B$3:JZ$3,Consolid!B$4:JZ$4)</f>
        <v>10.059900000000001</v>
      </c>
      <c r="AB52" s="835" cm="1">
        <f t="array" aca="1" ref="AB52" ca="1">_xlfn.XLOOKUP(TabTRADER[[#This Row],[ClickTick]],ListTickers,Tab1ChangePercent[Change%19])</f>
        <v>0</v>
      </c>
      <c r="AC52" s="782">
        <f ca="1">_xlfn.XLOOKUP(TabTRADER[[#This Row],[ClickTick]],TabCalc[Ticker],TabCalc[NAfter])</f>
        <v>3000</v>
      </c>
      <c r="AD52"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-22/36 K$</v>
      </c>
      <c r="AE52" s="1299" t="str" cm="1">
        <f t="array" aca="1" ref="AE5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2" s="1281" t="str" cm="1">
        <f t="array" aca="1" ref="AF52" ca="1">_xlfn.IFS(       TabTRADER[[#This Row],[Traps]]=RePurchaseGain,TEXT(TabTRADER[[#This Row],[L_Sn]],"#,#0")&amp;" x "&amp;TEXT(TabTRADER[[#This Row],[L_Sp]],"#,#0.#0"),     TabTRADER[[#This Row],[Traps]]=ReSaleGain,TEXT(TabTRADER[[#This Row],[L_Bn]],"#0,#0")&amp;" x "&amp;TEXT(TabTRADER[[#This Row],[L_Bp]],"#,#0.#0"),               TRUE,"")</f>
        <v/>
      </c>
      <c r="AG52" s="1281" t="str" cm="1">
        <f t="array" aca="1" ref="AG5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3,000 x 11.25</v>
      </c>
      <c r="AH52" s="1281" cm="1">
        <f t="array" aca="1" ref="AH5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2181.0145800000032</v>
      </c>
      <c r="AI52" s="1281" cm="1">
        <f t="array" aca="1" ref="AI5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5745.3232199999993</v>
      </c>
      <c r="AJ52" s="1290" cm="1">
        <f t="array" aca="1" ref="AJ5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0.19086670841658462</v>
      </c>
      <c r="AK52" s="1290" cm="1">
        <f t="array" aca="1" ref="AK5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5.8243071786310621E-2</v>
      </c>
      <c r="AL52" s="843" cm="1">
        <f t="array" aca="1" ref="AL52" ca="1">_xlfn.IFS(   TabTRADER[[#This Row],[Traps]]=SellMorePercentGain,                     MIN(TabTRADER[[#This Row],[L_Sn]],TabTRADER[[#This Row],[N]])*(TabTRADER[[#This Row],[M]]-TabTRADER[[#This Row],[L_Sp]])*(1-Commission)*TabTRADER[[#This Row],[Scale]],                    TRUE,"")</f>
        <v>2181.0145800000032</v>
      </c>
      <c r="AM52" s="1279">
        <f ca="1">_xlfn.XLOOKUP(TabTRADER[[#This Row],[ClickTick]],TabCalc[Ticker],TabCalc[Ann%RevLB])</f>
        <v>0.26225959935103232</v>
      </c>
      <c r="AN52" s="1038">
        <f ca="1">_xlfn.XLOOKUP(TabTRADER[[#This Row],[ClickTick]],TabCalc[Ticker],TabCalc[Up20])</f>
        <v>0.22222222222222221</v>
      </c>
      <c r="AO52" s="1291" t="str" cm="1">
        <f t="array" aca="1" ref="AO5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2" s="843" t="str" cm="1">
        <f t="array" aca="1" ref="AP52" ca="1">_xlfn.IFS(         TabTRADER[[#This Row],[Traps]]=MDown,TabTRADER[[#This Row],[L_Bn]]*TabTRADER[[#This Row],[M]]*(-(TabTRADER[[#This Row],[L_Bp]]+TabTRADER[[#This Row],[M]])/TabTRADER[[#This Row],[M]])*(1-Commission)*TabTRADER[[#This Row],[Scale]],                               TRUE,"")</f>
        <v/>
      </c>
      <c r="AQ52" s="1290" cm="1">
        <f t="array" aca="1" ref="AQ52" ca="1">_xlfn.IFS(   TabTRADER[[#This Row],[Traps]]=MUp,TabTRADER[[#This Row],[TakeGain_A]]-Commission,        TabTRADER[[#This Row],[Traps]]=MDown,(TabTRADER[[#This Row],[A]]-TabTRADER[[#This Row],[M]])/TabTRADER[[#This Row],[M]]-Commission,                              TRUE,"")</f>
        <v>0.18826670841658463</v>
      </c>
      <c r="AR52" s="774" cm="1">
        <f t="array" aca="1" ref="AR5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6841.914151790771</v>
      </c>
      <c r="AS52" s="774" t="str" cm="1">
        <f t="array" aca="1" ref="AS5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T52" s="748" t="str" cm="1">
        <f t="array" aca="1" ref="AT5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3,000x1.92</v>
      </c>
      <c r="AU52" s="779" cm="1">
        <f t="array" aca="1" ref="AU52" ca="1">_xlfn.IFS(TabTRADER[[#This Row],[Traps]]=ReSaleGain,"",         TabTRADER[[#This Row],[Traps]]=MDown, (TabTRADER[[#This Row],[M]]-TabTRADER[[#This Row],[A]])/TabTRADER[[#This Row],[A]]*ComFactor,             TRUE, IFERROR((TabTRADER[[#This Row],[M]]-TabTRADER[[#This Row],[A]])/TabTRADER[[#This Row],[A]]*ComFactor,""))</f>
        <v>0.19037045497470151</v>
      </c>
      <c r="AV52" s="776" cm="1">
        <f t="array" aca="1" ref="AV52" ca="1">_xlfn.IFS(               TabTRADER[[#This Row],[Traps]]=NoStock,(TabTRADER[[#This Row],[L_Sp]]-TabTRADER[[#This Row],[M]])/TabTRADER[[#This Row],[M]]-Commission,             TabTRADER[[#This Row],[A]]&lt;&gt;0,(TabTRADER[[#This Row],[A]]-TabTRADER[[#This Row],[M]])/TabTRADER[[#This Row],[M]]-Commission)</f>
        <v>-0.16287545909849746</v>
      </c>
      <c r="AW52" s="326">
        <f ca="1">_xlfn.XLOOKUP(TabTRADER[[#This Row],[ClickTick]],TabCalc[Ticker],TabCalc[L_Sn])</f>
        <v>4000</v>
      </c>
      <c r="AX52" s="740">
        <f ca="1">_xlfn.XLOOKUP(TabTRADER[[#This Row],[ClickTick]],TabCalc[Ticker],TabCalc[L_Sp])</f>
        <v>11.251099999999999</v>
      </c>
      <c r="AY52" s="778">
        <f ca="1">-IFERROR((TabTRADER[[#This Row],[M]]-TabTRADER[[#This Row],[L_Sp]])/TabTRADER[[#This Row],[L_Sp]],0)</f>
        <v>-6.478477659962148E-2</v>
      </c>
      <c r="AZ52" s="741">
        <f ca="1">TabTRADER[[#This Row],[L_Sn]]*(TabTRADER[[#This Row],[M]]-TabTRADER[[#This Row],[L_Sp]])*(1-Commission)*TabTRADER[[#This Row],[Scale]]</f>
        <v>2908.0194400000046</v>
      </c>
      <c r="BA52" s="701">
        <f ca="1">TabTRADER[[#This Row],[L_Sn]]*(TabTRADER[[#This Row],[Agiotage]]-TabTRADER[[#This Row],[M]])/(TabTRADER[[#This Row],[L_Bn]]*TabTRADER[[#This Row],[M]])</f>
        <v>0.15441291211435451</v>
      </c>
      <c r="BB52" s="641">
        <f ca="1">IFERROR((TabTRADER[[#This Row],[M]]-TabTRADER[[#This Row],[A]])/TabTRADER[[#This Row],[A]],0)</f>
        <v>0.19086670841658462</v>
      </c>
      <c r="BC52" s="644" t="str">
        <f ca="1">TEXT(_xlfn.XLOOKUP(TabTRADER[[#This Row],[ClickTick]],TabCalc[Ticker],TabCalc[NAfter]),"#,#0")&amp;" : "&amp;TEXT(_xlfn.XLOOKUP(TabTRADER[[#This Row],[ClickTick]],TabCalc[Ticker],TabCalc[NAfter])*(TabTRADER[[#This Row],[M]]-TabTRADER[[#This Row],[A]])*(1-Commission)*TabTRADER[[#This Row],[Scale]],"#,#0$")</f>
        <v>3,000 : 5,745$</v>
      </c>
      <c r="BD52" s="693">
        <f ca="1">_xlfn.XLOOKUP(TabTRADER[[#This Row],[ClickTick]],TabCalc[[#This Row],[Ticker]],TabCalc[[#This Row],[GL]])*(1-Commission)</f>
        <v>-21605.434437000004</v>
      </c>
      <c r="BE52" s="693"/>
      <c r="BF52" s="675" t="str">
        <f ca="1">TabTRADER[[#This Row],[ClickTick]]&amp;": "&amp;_xlfn.XLOOKUP(TabTRADER[[#This Row],[ClickTick]],TabCalc[Ticker],TabCalc[Pile?])</f>
        <v xml:space="preserve">WBA: </v>
      </c>
      <c r="BG52" s="353" t="s">
        <v>2020</v>
      </c>
      <c r="BH52" s="769" t="str" cm="1">
        <f t="array" aca="1" ref="BH52" ca="1">_xlfn.TEXTJOIN("",,INDEX({"M","A","Y"}, _xlfn.SORTBY({1,2,3}, -CHOOSE({1,2,3}, TabTRADER[[#This Row],[M]], TabTRADER[[#This Row],[A]], TabTRADER[[#This Row],[Agiotage]]))))</f>
        <v>YMA</v>
      </c>
      <c r="BI52" s="976" cm="1">
        <f t="array" aca="1" ref="BI5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6.0843071786310619E-2</v>
      </c>
      <c r="BJ52" s="688">
        <f ca="1">TabTRADER[[#This Row],[L_Sn]]*TabTRADER[[#This Row],[L_Sp]]+TabTRADER[[#This Row],[SellMore]]*TabTRADER[[#This Row],[M]]</f>
        <v>80944.399999999994</v>
      </c>
      <c r="BK52" s="688">
        <f ca="1">INDEX(
  INDEX(TabConsolid[], , _xlfn.XMATCH(TabTRADER[[#This Row],[ClickTick]]&amp;1, TabConsolid[#Headers])),
  MATCH(
    -TabTRADER[[#This Row],[M]],
    INDEX(TabConsolid[], , _xlfn.XMATCH(TabTRADER[[#This Row],[ClickTick]]&amp;2, TabConsolid[#Headers])),
    -1
  )
)</f>
        <v>3000</v>
      </c>
      <c r="BL52" s="688" cm="1">
        <f t="array" aca="1" ref="BL5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2" s="1260">
        <f ca="1">TabTRADER[[#This Row],[ReBuy]]/(TabTRADER[[#This Row],[L_Sn]]+TabTRADER[[#This Row],[SellMore]])</f>
        <v>11.563485714285713</v>
      </c>
      <c r="BN52" s="696">
        <f ca="1">((_xlfn.XLOOKUP(TabTRADER[[#This Row],[ClickTick]],TabCalc[Ticker],TabCalc[NAfter])+TabTRADER[[#This Row],[L_Sn]])*(TabTRADER[[#This Row],[Agiotage]]-TabTRADER[[#This Row],[M]]))/(TabTRADER[[#This Row],[L_Sn]]*_xlfn.XLOOKUP(TabTRADER[[#This Row],[ClickTick]],TabCalc[Ticker],TabCalc[NAfter]))</f>
        <v>1.753519463841948E-3</v>
      </c>
      <c r="BO52" s="696">
        <f ca="1">(TabTRADER[[#This Row],[M]]-TabTRADER[[#This Row],[Agiotage]])/(TabTRADER[[#This Row],[M]]-TabTRADER[[#This Row],[A]])-1</f>
        <v>-2.56556083880329</v>
      </c>
      <c r="BP52" s="1388">
        <f ca="1">_xlfn.XMATCH(TabTRADER[[#This Row],[ClickTick]]&amp;1, TabConsolid[#Headers])</f>
        <v>152</v>
      </c>
      <c r="BQ52" t="b">
        <f ca="1">IF(ABS(TabTRADER[[#This Row],[L_Bp]])&gt;=TabTRADER[[#This Row],[M]],"OK")</f>
        <v>0</v>
      </c>
    </row>
    <row r="53" spans="1:69" hidden="1">
      <c r="A53" s="225">
        <f ca="1">IF(_xlfn.XLOOKUP(TabTRADER[[#This Row],[ClickTick]],TabCalc[Ticker],TabCalc[Cur])="GBp",0.01,1)</f>
        <v>1</v>
      </c>
      <c r="B5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-117.49x300=    -630 USD</v>
      </c>
      <c r="C53"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-1.8%</v>
      </c>
      <c r="D53" s="697" t="str" cm="1">
        <f t="array" aca="1" ref="D5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3"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3" s="228" t="str">
        <f ca="1">TRUNC(TabCalc[[#This Row],[L_B1p]],2)&amp;"x"&amp;TabCalc[[#This Row],[L_B1n]]&amp;"=   "&amp;TEXT(TabCalc[[#This Row],[ReverseS1]],"#,#0")&amp;"$"</f>
        <v>-106.09x1800=   4,650$</v>
      </c>
      <c r="G53" s="227" t="str">
        <f ca="1">IFERROR(TRUNC(_xlfn.XLOOKUP(TabTRADER[[#This Row],[ClickTick]],TabCalc[Ticker],ListLastSalep),2)&amp;"x"&amp;_xlfn.XLOOKUP(TabTRADER[[#This Row],[ClickTick]],TabCalc[Ticker],ListLastSalen)&amp;"=   "&amp;TEXT(-_xlfn.XLOOKUP(TabTRADER[[#This Row],[ClickTick]],TabCalc[Ticker],ListReverseB),"#,#0")&amp;"$","")</f>
        <v>107.37x1800=   14,436$</v>
      </c>
      <c r="H5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7.0% = 0</v>
      </c>
      <c r="I53" s="228" t="str">
        <f ca="1">IFERROR(TRUNC(TabCalc[[#This Row],[L_S1p]],2)&amp;"x"&amp;TabCalc[[#This Row],[L_S1n]]&amp;"=   "&amp;TEXT(TabCalc[[#This Row],[ReverseB1]],"#,#0"),"")</f>
        <v>114.13x1800=   -2,268</v>
      </c>
      <c r="J53" s="297">
        <f ca="1">_xlfn.XLOOKUP(TabTRADER[[#This Row],[ClickTick]],TabCalc[Ticker],ListGravity)</f>
        <v>1.0785267354190138</v>
      </c>
      <c r="K53" s="324" cm="1">
        <f t="array" aca="1" ref="K53" ca="1">IF(_xlfn.XLOOKUP(TabTRADER[[#This Row],[ClickTick]],TabTRADER[ClickTick],ListExtra_n)&gt;0,_xlfn.XLOOKUP(TabTRADER[[#This Row],[ClickTick]],TabTRADER[ClickTick],ListExtra_n),"")</f>
        <v>300</v>
      </c>
      <c r="L53" s="322">
        <f ca="1">IF(_xlfn.XLOOKUP(TabTRADER[[#This Row],[ClickTick]],TabCalc[Ticker],ListExtra_n)&gt;0,_xlfn.XLOOKUP(TabTRADER[[#This Row],[ClickTick]],TabCalc[Ticker],ListExtra_n)*TabTRADER[[#This Row],[M]]*_xlfn.XLOOKUP(TabTRADER[[#This Row],[ClickTick]],TabCalc[Ticker],ListScale),"")</f>
        <v>34617</v>
      </c>
      <c r="M53" s="325">
        <f ca="1">_xlfn.XLOOKUP(TabTRADER[[#This Row],[ClickTick]],TabCalc[Ticker],TabCalc[Agiotage])</f>
        <v>0.66203170146144197</v>
      </c>
      <c r="N53" s="326" cm="1">
        <f t="array" aca="1" ref="N53" ca="1">_xlfn.XLOOKUP(TabTRADER[[#This Row],[ClickTick]],ListTickers,Tab2RSIConventional[RSIConv20])</f>
        <v>66</v>
      </c>
      <c r="O53" s="712" t="str">
        <f ca="1">TEXT(_xlfn.XLOOKUP(TabTRADER[[#This Row],[ClickTick]],TabCalc[Ticker],TabCalc[Nbegin]),"#,#0")&amp;": "&amp;_xlfn.XLOOKUP(TabTRADER[[#This Row],[ClickTick]],TabCalc[Ticker],TabCalc[Pile?])</f>
        <v xml:space="preserve">200: </v>
      </c>
      <c r="P53" s="326">
        <f ca="1">_xlfn.XLOOKUP(TabTRADER[[#This Row],[ClickTick]],TabCalc[Ticker],TabCalc[L_Bn])</f>
        <v>300</v>
      </c>
      <c r="Q53" s="690">
        <f ca="1">_xlfn.XLOOKUP(TabTRADER[[#This Row],[ClickTick]],TabCalc[Ticker],TabCalc[L_Bp])</f>
        <v>-117.49</v>
      </c>
      <c r="R53" s="778">
        <f ca="1">(TabTRADER[[#This Row],[M]]+TabTRADER[[#This Row],[L_Bp]])/ABS(TabTRADER[[#This Row],[L_Bp]])</f>
        <v>-1.7873861605242951E-2</v>
      </c>
      <c r="S53" s="692">
        <f ca="1">_xlfn.XLOOKUP(TabTRADER[[#This Row],[ClickTick]],TabCalc[Ticker],TabCalc[Rev(MinStock)])*(1-Commission)</f>
        <v>-628.36199999999826</v>
      </c>
      <c r="T53" s="798">
        <f ca="1">_xlfn.XLOOKUP(TabTRADER[[#This Row],[ClickTick]],TabCalc[Ticker],TabCalc[Agiotage])</f>
        <v>0.66203170146144197</v>
      </c>
      <c r="U53" s="759" t="str" cm="1">
        <f t="array" aca="1" ref="U5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-480/-480=&gt;-0.5% / -0.5%</v>
      </c>
      <c r="V53" s="751" t="str">
        <f ca="1">_xlfn.XLOOKUP(TabTRADER[[#This Row],[ClickTick]],[1]!RTData[Ticker symbol],[1]!RTData[Currency])</f>
        <v>USD</v>
      </c>
      <c r="W53" s="761">
        <f ca="1">_xlfn.XLOOKUP(TabTRADER[[#This Row],[ClickTick]],TabCalc[Ticker],TabCalc[M])</f>
        <v>115.39</v>
      </c>
      <c r="X53" s="762" t="str">
        <f ca="1">SORTING!B53</f>
        <v>XOM</v>
      </c>
      <c r="Y53" s="819">
        <f ca="1">_xlfn.XLOOKUP(TabTRADER[[#This Row],[ClickTick]],TabCalc[Ticker],TabCalc[Y])</f>
        <v>124.4512</v>
      </c>
      <c r="Z53" s="835">
        <f ca="1">_xlfn.XLOOKUP(TabTRADER[[#This Row],[ClickTick]],[1]!RTData[Ticker symbol],[1]!RTData[YTChange])</f>
        <v>-6.343166767007824E-2</v>
      </c>
      <c r="AA53" s="851">
        <f ca="1">-_xlfn.XLOOKUP(TabTRADER[[#This Row],[ClickTick]]&amp;2,Consolid!B$3:JZ$3,Consolid!B$4:JZ$4)</f>
        <v>112.93</v>
      </c>
      <c r="AB53" s="835" cm="1">
        <f t="array" aca="1" ref="AB53" ca="1">_xlfn.XLOOKUP(TabTRADER[[#This Row],[ClickTick]],ListTickers,Tab1ChangePercent[Change%19])</f>
        <v>-5.0010000000000002E-3</v>
      </c>
      <c r="AC53" s="782">
        <f ca="1">_xlfn.XLOOKUP(TabTRADER[[#This Row],[ClickTick]],TabCalc[Ticker],TabCalc[NAfter])</f>
        <v>500</v>
      </c>
      <c r="AD5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^9/58 K$</v>
      </c>
      <c r="AE53" s="1299" t="str" cm="1">
        <f t="array" aca="1" ref="AE5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3" s="1281" t="str" cm="1">
        <f t="array" aca="1" ref="AF53" ca="1">_xlfn.IFS(       TabTRADER[[#This Row],[Traps]]=RePurchaseGain,TEXT(TabTRADER[[#This Row],[L_Sn]],"#,#0")&amp;" x "&amp;TEXT(TabTRADER[[#This Row],[L_Sp]],"#,#0.#0"),     TabTRADER[[#This Row],[Traps]]=ReSaleGain,TEXT(TabTRADER[[#This Row],[L_Bn]],"#0,#0")&amp;" x "&amp;TEXT(TabTRADER[[#This Row],[L_Bp]],"#,#0.#0"),               TRUE,"")</f>
        <v/>
      </c>
      <c r="AG53" s="1281" t="str" cm="1">
        <f t="array" aca="1" ref="AG5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 x -117.49</v>
      </c>
      <c r="AH53" s="1281" cm="1">
        <f t="array" aca="1" ref="AH5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628.36199999999826</v>
      </c>
      <c r="AI53" s="1281" cm="1">
        <f t="array" aca="1" ref="AI5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57695</v>
      </c>
      <c r="AJ53" s="1290" cm="1">
        <f t="array" aca="1" ref="AJ5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-2.1783405649517345E-2</v>
      </c>
      <c r="AK53" s="1290" cm="1">
        <f t="array" aca="1" ref="AK5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1.5599150706300325E-2</v>
      </c>
      <c r="AL53" s="843" t="str" cm="1">
        <f t="array" aca="1" ref="AL53" ca="1">_xlfn.IFS(   TabTRADER[[#This Row],[Traps]]=SellMorePercentGain,                     MIN(TabTRADER[[#This Row],[L_Sn]],TabTRADER[[#This Row],[N]])*(TabTRADER[[#This Row],[M]]-TabTRADER[[#This Row],[L_Sp]])*(1-Commission)*TabTRADER[[#This Row],[Scale]],                    TRUE,"")</f>
        <v/>
      </c>
      <c r="AM53" s="1039">
        <f ca="1">_xlfn.XLOOKUP(TabTRADER[[#This Row],[ClickTick]],TabCalc[Ticker],TabCalc[Ann%RevLB])</f>
        <v>-0.21448633926291541</v>
      </c>
      <c r="AN53" s="1038">
        <f ca="1">_xlfn.XLOOKUP(TabTRADER[[#This Row],[ClickTick]],TabCalc[Ticker],TabCalc[Up20])</f>
        <v>0.375</v>
      </c>
      <c r="AO53" s="1291" cm="1">
        <f t="array" aca="1" ref="AO5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1.8199150706300325E-2</v>
      </c>
      <c r="AP53" s="843" cm="1">
        <f t="array" aca="1" ref="AP53" ca="1">_xlfn.IFS(         TabTRADER[[#This Row],[Traps]]=MDown,TabTRADER[[#This Row],[L_Bn]]*TabTRADER[[#This Row],[M]]*(-(TabTRADER[[#This Row],[L_Bp]]+TabTRADER[[#This Row],[M]])/TabTRADER[[#This Row],[M]])*(1-Commission)*TabTRADER[[#This Row],[Scale]],                               TRUE,"")</f>
        <v>628.36199999999826</v>
      </c>
      <c r="AQ53" s="1290" cm="1">
        <f t="array" aca="1" ref="AQ53" ca="1">_xlfn.IFS(   TabTRADER[[#This Row],[Traps]]=MUp,TabTRADER[[#This Row],[TakeGain_A]]-Commission,        TabTRADER[[#This Row],[Traps]]=MDown,(TabTRADER[[#This Row],[A]]-TabTRADER[[#This Row],[M]])/TabTRADER[[#This Row],[M]]-Commission,                              TRUE,"")</f>
        <v>-2.3919005113094666E-2</v>
      </c>
      <c r="AR53" s="843" cm="1">
        <f t="array" aca="1" ref="AR5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-1226.8019999999967</v>
      </c>
      <c r="AS53" s="774" t="str" cm="1">
        <f t="array" aca="1" ref="AS5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0.7%</v>
      </c>
      <c r="AT53" s="748" cm="1">
        <f t="array" aca="1" ref="AT5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-2.09</v>
      </c>
      <c r="AU53" s="779" cm="1">
        <f t="array" aca="1" ref="AU53" ca="1">_xlfn.IFS(TabTRADER[[#This Row],[Traps]]=ReSaleGain,"",         TabTRADER[[#This Row],[Traps]]=MDown, (TabTRADER[[#This Row],[M]]-TabTRADER[[#This Row],[A]])/TabTRADER[[#This Row],[A]]*ComFactor,             TRUE, IFERROR((TabTRADER[[#This Row],[M]]-TabTRADER[[#This Row],[A]])/TabTRADER[[#This Row],[A]]*ComFactor,""))</f>
        <v>2.1726768794828599E-2</v>
      </c>
      <c r="AV53" s="776" cm="1">
        <f t="array" aca="1" ref="AV53" ca="1">_xlfn.IFS(               TabTRADER[[#This Row],[Traps]]=NoStock,(TabTRADER[[#This Row],[L_Sp]]-TabTRADER[[#This Row],[M]])/TabTRADER[[#This Row],[M]]-Commission,             TabTRADER[[#This Row],[A]]&lt;&gt;0,(TabTRADER[[#This Row],[A]]-TabTRADER[[#This Row],[M]])/TabTRADER[[#This Row],[M]]-Commission)</f>
        <v>-2.3919005113094666E-2</v>
      </c>
      <c r="AW53" s="326">
        <f ca="1">_xlfn.XLOOKUP(TabTRADER[[#This Row],[ClickTick]],TabCalc[Ticker],TabCalc[L_Sn])</f>
        <v>1800</v>
      </c>
      <c r="AX53" s="740">
        <f ca="1">_xlfn.XLOOKUP(TabTRADER[[#This Row],[ClickTick]],TabCalc[Ticker],TabCalc[L_Sp])</f>
        <v>107.37</v>
      </c>
      <c r="AY53" s="778">
        <f ca="1">-IFERROR((TabTRADER[[#This Row],[M]]-TabTRADER[[#This Row],[L_Sp]])/TabTRADER[[#This Row],[L_Sp]],0)</f>
        <v>-7.4694979975784628E-2</v>
      </c>
      <c r="AZ53" s="741">
        <f ca="1">TabTRADER[[#This Row],[L_Sn]]*(TabTRADER[[#This Row],[M]]-TabTRADER[[#This Row],[L_Sp]])*(1-Commission)*TabTRADER[[#This Row],[Scale]]</f>
        <v>14398.466399999992</v>
      </c>
      <c r="BA53" s="701">
        <f ca="1">TabTRADER[[#This Row],[L_Sn]]*(TabTRADER[[#This Row],[Agiotage]]-TabTRADER[[#This Row],[M]])/(TabTRADER[[#This Row],[L_Bn]]*TabTRADER[[#This Row],[M]])</f>
        <v>-5.9655759579792988</v>
      </c>
      <c r="BB53" s="641">
        <f ca="1">IFERROR((TabTRADER[[#This Row],[M]]-TabTRADER[[#This Row],[A]])/TabTRADER[[#This Row],[A]],0)</f>
        <v>2.1783405649517345E-2</v>
      </c>
      <c r="BC53" s="644" t="str">
        <f ca="1">TEXT(_xlfn.XLOOKUP(TabTRADER[[#This Row],[ClickTick]],TabCalc[Ticker],TabCalc[NAfter]),"#,#0")&amp;" : "&amp;TEXT(_xlfn.XLOOKUP(TabTRADER[[#This Row],[ClickTick]],TabCalc[Ticker],TabCalc[NAfter])*(TabTRADER[[#This Row],[M]]-TabTRADER[[#This Row],[A]])*(1-Commission)*TabTRADER[[#This Row],[Scale]],"#,#0$")</f>
        <v>500 : 1,227$</v>
      </c>
      <c r="BD53" s="693">
        <f ca="1">_xlfn.XLOOKUP(TabTRADER[[#This Row],[ClickTick]],TabCalc[[#This Row],[Ticker]],TabCalc[[#This Row],[GL]])*(1-Commission)</f>
        <v>9399.5973400000057</v>
      </c>
      <c r="BE53" s="693"/>
      <c r="BF53" s="675" t="str">
        <f ca="1">TabTRADER[[#This Row],[ClickTick]]&amp;": "&amp;_xlfn.XLOOKUP(TabTRADER[[#This Row],[ClickTick]],TabCalc[Ticker],TabCalc[Pile?])</f>
        <v xml:space="preserve">XOM: </v>
      </c>
      <c r="BG53" s="353" t="s">
        <v>2021</v>
      </c>
      <c r="BH53" s="769" t="str" cm="1">
        <f t="array" aca="1" ref="BH53" ca="1">_xlfn.TEXTJOIN("",,INDEX({"M","A","Y"}, _xlfn.SORTBY({1,2,3}, -CHOOSE({1,2,3}, TabTRADER[[#This Row],[M]], TabTRADER[[#This Row],[A]], TabTRADER[[#This Row],[Agiotage]]))))</f>
        <v>MAY</v>
      </c>
      <c r="BI53" s="976" cm="1">
        <f t="array" aca="1" ref="BI5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1.8199150706300325E-2</v>
      </c>
      <c r="BJ53" s="688">
        <f ca="1">TabTRADER[[#This Row],[L_Sn]]*TabTRADER[[#This Row],[L_Sp]]+TabTRADER[[#This Row],[SellMore]]*TabTRADER[[#This Row],[M]]</f>
        <v>216344</v>
      </c>
      <c r="BK53" s="688">
        <f ca="1">INDEX(
  INDEX(TabConsolid[], , _xlfn.XMATCH(TabTRADER[[#This Row],[ClickTick]]&amp;1, TabConsolid[#Headers])),
  MATCH(
    -TabTRADER[[#This Row],[M]],
    INDEX(TabConsolid[], , _xlfn.XMATCH(TabTRADER[[#This Row],[ClickTick]]&amp;2, TabConsolid[#Headers])),
    -1
  )
)</f>
        <v>200</v>
      </c>
      <c r="BL53" s="688" cm="1">
        <f t="array" aca="1" ref="BL5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v>
      </c>
      <c r="BM53" s="1260">
        <f ca="1">TabTRADER[[#This Row],[ReBuy]]/(TabTRADER[[#This Row],[L_Sn]]+TabTRADER[[#This Row],[SellMore]])</f>
        <v>108.172</v>
      </c>
      <c r="BN53" s="696">
        <f ca="1">((_xlfn.XLOOKUP(TabTRADER[[#This Row],[ClickTick]],TabCalc[Ticker],TabCalc[NAfter])+TabTRADER[[#This Row],[L_Sn]])*(TabTRADER[[#This Row],[Agiotage]]-TabTRADER[[#This Row],[M]]))/(TabTRADER[[#This Row],[L_Sn]]*_xlfn.XLOOKUP(TabTRADER[[#This Row],[ClickTick]],TabCalc[Ticker],TabCalc[NAfter]))</f>
        <v>-0.29319369676293183</v>
      </c>
      <c r="BO53" s="696">
        <f ca="1">(TabTRADER[[#This Row],[M]]-TabTRADER[[#This Row],[Agiotage]])/(TabTRADER[[#This Row],[M]]-TabTRADER[[#This Row],[A]])-1</f>
        <v>45.637385487210913</v>
      </c>
      <c r="BP53" s="1388">
        <f ca="1">_xlfn.XMATCH(TabTRADER[[#This Row],[ClickTick]]&amp;1, TabConsolid[#Headers])</f>
        <v>155</v>
      </c>
      <c r="BQ53" t="str">
        <f ca="1">IF(ABS(TabTRADER[[#This Row],[L_Bp]])&gt;=TabTRADER[[#This Row],[M]],"OK")</f>
        <v>OK</v>
      </c>
    </row>
    <row r="54" spans="1:69">
      <c r="A54" s="225">
        <f ca="1">IF(_xlfn.XLOOKUP(TabTRADER[[#This Row],[ClickTick]],TabCalc[Ticker],TabCalc[Cur])="GBp",0.01,1)</f>
        <v>1</v>
      </c>
      <c r="B5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-6.66x5000=    +50 USD</v>
      </c>
      <c r="C54"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0.1%</v>
      </c>
      <c r="D54" s="697" t="str" cm="1">
        <f t="array" aca="1" ref="D5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4" s="228" t="str">
        <f ca="1">TRUNC(TabCalc[[#This Row],[L_B1p]],2)&amp;"x"&amp;TabCalc[[#This Row],[L_B1n]]&amp;"=   "&amp;TEXT(TabCalc[[#This Row],[ReverseS1]],"#,#0")&amp;"$"</f>
        <v>-9.88x4200=   -13,482$</v>
      </c>
      <c r="G54" s="227" t="str">
        <f ca="1">IFERROR(TRUNC(_xlfn.XLOOKUP(TabTRADER[[#This Row],[ClickTick]],TabCalc[Ticker],ListLastSalep),2)&amp;"x"&amp;_xlfn.XLOOKUP(TabTRADER[[#This Row],[ClickTick]],TabCalc[Ticker],ListLastSalen)&amp;"=   "&amp;TEXT(-_xlfn.XLOOKUP(TabTRADER[[#This Row],[ClickTick]],TabCalc[Ticker],ListReverseB),"#,#0")&amp;"$","")</f>
        <v>10.55x7200=   -27,936$</v>
      </c>
      <c r="H5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58.2% = 1,289</v>
      </c>
      <c r="I54" s="228" t="str">
        <f ca="1">IFERROR(TRUNC(TabCalc[[#This Row],[L_S1p]],2)&amp;"x"&amp;TabCalc[[#This Row],[L_S1n]]&amp;"=   "&amp;TEXT(TabCalc[[#This Row],[ReverseB1]],"#,#0"),"")</f>
        <v>8.63x3000=   5,880</v>
      </c>
      <c r="J54" s="297">
        <f ca="1">_xlfn.XLOOKUP(TabTRADER[[#This Row],[ClickTick]],TabCalc[Ticker],ListGravity)</f>
        <v>1.7091454272863569</v>
      </c>
      <c r="K54" s="324" cm="1">
        <f t="array" aca="1" ref="K54" ca="1">IF(_xlfn.XLOOKUP(TabTRADER[[#This Row],[ClickTick]],TabTRADER[ClickTick],ListExtra_n)&gt;0,_xlfn.XLOOKUP(TabTRADER[[#This Row],[ClickTick]],TabTRADER[ClickTick],ListExtra_n),"")</f>
        <v>9200</v>
      </c>
      <c r="L54" s="322">
        <f ca="1">IF(_xlfn.XLOOKUP(TabTRADER[[#This Row],[ClickTick]],TabCalc[Ticker],ListExtra_n)&gt;0,_xlfn.XLOOKUP(TabTRADER[[#This Row],[ClickTick]],TabCalc[Ticker],ListExtra_n)*TabTRADER[[#This Row],[M]]*_xlfn.XLOOKUP(TabTRADER[[#This Row],[ClickTick]],TabCalc[Ticker],ListScale),"")</f>
        <v>61364</v>
      </c>
      <c r="M54" s="325">
        <f ca="1">_xlfn.XLOOKUP(TabTRADER[[#This Row],[ClickTick]],TabCalc[Ticker],TabCalc[Agiotage])</f>
        <v>0.37629953188296483</v>
      </c>
      <c r="N54" s="326" cm="1">
        <f t="array" aca="1" ref="N54" ca="1">_xlfn.XLOOKUP(TabTRADER[[#This Row],[ClickTick]],ListTickers,Tab2RSIConventional[RSIConv20])</f>
        <v>62</v>
      </c>
      <c r="O54" s="712" t="str">
        <f ca="1">TEXT(_xlfn.XLOOKUP(TabTRADER[[#This Row],[ClickTick]],TabCalc[Ticker],TabCalc[Nbegin]),"#,#0")&amp;": "&amp;_xlfn.XLOOKUP(TabTRADER[[#This Row],[ClickTick]],TabCalc[Ticker],TabCalc[Pile?])</f>
        <v>800: Pile</v>
      </c>
      <c r="P54" s="746">
        <f ca="1">_xlfn.XLOOKUP(TabTRADER[[#This Row],[ClickTick]],TabCalc[Ticker],TabCalc[L_Bn])</f>
        <v>5000</v>
      </c>
      <c r="Q54" s="740">
        <f ca="1">_xlfn.XLOOKUP(TabTRADER[[#This Row],[ClickTick]],TabCalc[Ticker],TabCalc[L_Bp])</f>
        <v>-6.66</v>
      </c>
      <c r="R54" s="778">
        <f ca="1">(TabTRADER[[#This Row],[M]]+TabTRADER[[#This Row],[L_Bp]])/ABS(TabTRADER[[#This Row],[L_Bp]])</f>
        <v>1.5015015015014694E-3</v>
      </c>
      <c r="S54" s="692">
        <f ca="1">_xlfn.XLOOKUP(TabTRADER[[#This Row],[ClickTick]],TabCalc[Ticker],TabCalc[Rev(MinStock)])*(1-Commission)</f>
        <v>49.869999999998932</v>
      </c>
      <c r="T54" s="798">
        <f ca="1">_xlfn.XLOOKUP(TabTRADER[[#This Row],[ClickTick]],TabCalc[Ticker],TabCalc[Agiotage])</f>
        <v>0.37629953188296483</v>
      </c>
      <c r="U54" s="759" t="str" cm="1">
        <f t="array" aca="1" ref="U5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-200/-200=&gt;1.2% / 0.9%</v>
      </c>
      <c r="V54" s="751" t="str">
        <f ca="1">_xlfn.XLOOKUP(TabTRADER[[#This Row],[ClickTick]],[1]!RTData[Ticker symbol],[1]!RTData[Currency])</f>
        <v>USD</v>
      </c>
      <c r="W54" s="761">
        <f ca="1">_xlfn.XLOOKUP(TabTRADER[[#This Row],[ClickTick]],TabCalc[Ticker],TabCalc[M])</f>
        <v>6.67</v>
      </c>
      <c r="X54" s="762" t="str">
        <f ca="1">SORTING!B54</f>
        <v>XPER</v>
      </c>
      <c r="Y54" s="819">
        <f ca="1">_xlfn.XLOOKUP(TabTRADER[[#This Row],[ClickTick]],TabCalc[Ticker],TabCalc[Y])</f>
        <v>11.4</v>
      </c>
      <c r="Z54" s="835">
        <f ca="1">_xlfn.XLOOKUP(TabTRADER[[#This Row],[ClickTick]],[1]!RTData[Ticker symbol],[1]!RTData[YTChange])</f>
        <v>-0.39199999999999996</v>
      </c>
      <c r="AA54" s="851">
        <f ca="1">-_xlfn.XLOOKUP(TabTRADER[[#This Row],[ClickTick]]&amp;2,Consolid!B$3:JZ$3,Consolid!B$4:JZ$4)</f>
        <v>8.2667999999999999</v>
      </c>
      <c r="AB54" s="835" cm="1">
        <f t="array" aca="1" ref="AB54" ca="1">_xlfn.XLOOKUP(TabTRADER[[#This Row],[ClickTick]],ListTickers,Tab1ChangePercent[Change%19])</f>
        <v>1.2102999999999999E-2</v>
      </c>
      <c r="AC54" s="782">
        <f ca="1">_xlfn.XLOOKUP(TabTRADER[[#This Row],[ClickTick]],TabCalc[Ticker],TabCalc[NAfter])</f>
        <v>10000</v>
      </c>
      <c r="AD5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-56/67 K$</v>
      </c>
      <c r="AE54" s="1299" t="str" cm="1">
        <f t="array" aca="1" ref="AE5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54" s="1281" t="str" cm="1">
        <f t="array" aca="1" ref="AF54" ca="1">_xlfn.IFS(       TabTRADER[[#This Row],[Traps]]=RePurchaseGain,TEXT(TabTRADER[[#This Row],[L_Sn]],"#,#0")&amp;" x "&amp;TEXT(TabTRADER[[#This Row],[L_Sp]],"#,#0.#0"),     TabTRADER[[#This Row],[Traps]]=ReSaleGain,TEXT(TabTRADER[[#This Row],[L_Bn]],"#0,#0")&amp;" x "&amp;TEXT(TabTRADER[[#This Row],[L_Bp]],"#,#0.#0"),               TRUE,"")</f>
        <v>5,000 x -6.66</v>
      </c>
      <c r="AG54" s="1281" cm="1">
        <f t="array" aca="1" ref="AG5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49.869999999998932</v>
      </c>
      <c r="AH54" s="1281" t="str" cm="1">
        <f t="array" aca="1" ref="AH5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4" s="1281" cm="1">
        <f t="array" aca="1" ref="AI5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49.869999999998932</v>
      </c>
      <c r="AJ54" s="1290" cm="1">
        <f t="array" aca="1" ref="AJ5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1.5015015015014694E-3</v>
      </c>
      <c r="AK54" s="1290" t="str" cm="1">
        <f t="array" aca="1" ref="AK5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4" s="843" t="str" cm="1">
        <f t="array" aca="1" ref="AL54" ca="1">_xlfn.IFS(   TabTRADER[[#This Row],[Traps]]=SellMorePercentGain,                     MIN(TabTRADER[[#This Row],[L_Sn]],TabTRADER[[#This Row],[N]])*(TabTRADER[[#This Row],[M]]-TabTRADER[[#This Row],[L_Sp]])*(1-Commission)*TabTRADER[[#This Row],[Scale]],                    TRUE,"")</f>
        <v/>
      </c>
      <c r="AM54" s="1039">
        <f ca="1">_xlfn.XLOOKUP(TabTRADER[[#This Row],[ClickTick]],TabCalc[Ticker],TabCalc[Ann%RevLB])</f>
        <v>3.1796502384736997E-2</v>
      </c>
      <c r="AN54" s="1038">
        <f ca="1">_xlfn.XLOOKUP(TabTRADER[[#This Row],[ClickTick]],TabCalc[Ticker],TabCalc[Up20])</f>
        <v>0.5714285714285714</v>
      </c>
      <c r="AO54" s="1291" t="str" cm="1">
        <f t="array" aca="1" ref="AO5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4" s="843" t="str" cm="1">
        <f t="array" aca="1" ref="AP54" ca="1">_xlfn.IFS(         TabTRADER[[#This Row],[Traps]]=MDown,TabTRADER[[#This Row],[L_Bn]]*TabTRADER[[#This Row],[M]]*(-(TabTRADER[[#This Row],[L_Bp]]+TabTRADER[[#This Row],[M]])/TabTRADER[[#This Row],[M]])*(1-Commission)*TabTRADER[[#This Row],[Scale]],                               TRUE,"")</f>
        <v/>
      </c>
      <c r="AQ54" s="1290" t="str" cm="1">
        <f t="array" aca="1" ref="AQ54" ca="1">_xlfn.IFS(   TabTRADER[[#This Row],[Traps]]=MUp,TabTRADER[[#This Row],[TakeGain_A]]-Commission,        TabTRADER[[#This Row],[Traps]]=MDown,(TabTRADER[[#This Row],[A]]-TabTRADER[[#This Row],[M]])/TabTRADER[[#This Row],[M]]-Commission,                              TRUE,"")</f>
        <v/>
      </c>
      <c r="AR54" s="843" cm="1">
        <f t="array" aca="1" ref="AR5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-12850.152773019789</v>
      </c>
      <c r="AS54" s="774" t="str" cm="1">
        <f t="array" aca="1" ref="AS5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-0.7%</v>
      </c>
      <c r="AT54" s="748" t="str" cm="1">
        <f t="array" aca="1" ref="AT5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54" s="779" t="str" cm="1">
        <f t="array" aca="1" ref="AU54" ca="1">_xlfn.IFS(TabTRADER[[#This Row],[Traps]]=ReSaleGain,"",         TabTRADER[[#This Row],[Traps]]=MDown, (TabTRADER[[#This Row],[M]]-TabTRADER[[#This Row],[A]])/TabTRADER[[#This Row],[A]]*ComFactor,             TRUE, IFERROR((TabTRADER[[#This Row],[M]]-TabTRADER[[#This Row],[A]])/TabTRADER[[#This Row],[A]]*ComFactor,""))</f>
        <v/>
      </c>
      <c r="AV54" s="776" cm="1">
        <f t="array" aca="1" ref="AV54" ca="1">_xlfn.IFS(               TabTRADER[[#This Row],[Traps]]=NoStock,(TabTRADER[[#This Row],[L_Sp]]-TabTRADER[[#This Row],[M]])/TabTRADER[[#This Row],[M]]-Commission,             TabTRADER[[#This Row],[A]]&lt;&gt;0,(TabTRADER[[#This Row],[A]]-TabTRADER[[#This Row],[M]])/TabTRADER[[#This Row],[M]]-Commission)</f>
        <v>0.23680029985007497</v>
      </c>
      <c r="AW54" s="326">
        <f ca="1">_xlfn.XLOOKUP(TabTRADER[[#This Row],[ClickTick]],TabCalc[Ticker],TabCalc[L_Sn])</f>
        <v>7200</v>
      </c>
      <c r="AX54" s="740">
        <f ca="1">_xlfn.XLOOKUP(TabTRADER[[#This Row],[ClickTick]],TabCalc[Ticker],TabCalc[L_Sp])</f>
        <v>10.55</v>
      </c>
      <c r="AY54" s="778">
        <f ca="1">-IFERROR((TabTRADER[[#This Row],[M]]-TabTRADER[[#This Row],[L_Sp]])/TabTRADER[[#This Row],[L_Sp]],0)</f>
        <v>0.36777251184834125</v>
      </c>
      <c r="AZ54" s="741">
        <f ca="1">TabTRADER[[#This Row],[L_Sn]]*(TabTRADER[[#This Row],[M]]-TabTRADER[[#This Row],[L_Sp]])*(1-Commission)*TabTRADER[[#This Row],[Scale]]</f>
        <v>-27863.366400000006</v>
      </c>
      <c r="BA54" s="701">
        <f ca="1">TabTRADER[[#This Row],[L_Sn]]*(TabTRADER[[#This Row],[Agiotage]]-TabTRADER[[#This Row],[M]])/(TabTRADER[[#This Row],[L_Bn]]*TabTRADER[[#This Row],[M]])</f>
        <v>-1.3587599211527033</v>
      </c>
      <c r="BB54" s="641">
        <f ca="1">IFERROR((TabTRADER[[#This Row],[M]]-TabTRADER[[#This Row],[A]])/TabTRADER[[#This Row],[A]],0)</f>
        <v>-0.19315817486814729</v>
      </c>
      <c r="BC54" s="644" t="str">
        <f ca="1">TEXT(_xlfn.XLOOKUP(TabTRADER[[#This Row],[ClickTick]],TabCalc[Ticker],TabCalc[NAfter]),"#,#0")&amp;" : "&amp;TEXT(_xlfn.XLOOKUP(TabTRADER[[#This Row],[ClickTick]],TabCalc[Ticker],TabCalc[NAfter])*(TabTRADER[[#This Row],[M]]-TabTRADER[[#This Row],[A]])*(1-Commission)*TabTRADER[[#This Row],[Scale]],"#,#0$")</f>
        <v>10,000 : -15,926$</v>
      </c>
      <c r="BD54" s="693">
        <f ca="1">_xlfn.XLOOKUP(TabTRADER[[#This Row],[ClickTick]],TabCalc[[#This Row],[Ticker]],TabCalc[[#This Row],[GL]])*(1-Commission)</f>
        <v>-55645.574361999985</v>
      </c>
      <c r="BE54" s="693"/>
      <c r="BF54" s="675" t="str">
        <f ca="1">TabTRADER[[#This Row],[ClickTick]]&amp;": "&amp;_xlfn.XLOOKUP(TabTRADER[[#This Row],[ClickTick]],TabCalc[Ticker],TabCalc[Pile?])</f>
        <v>XPER: Pile</v>
      </c>
      <c r="BG54" s="353" t="s">
        <v>2022</v>
      </c>
      <c r="BH54" s="769" t="str" cm="1">
        <f t="array" aca="1" ref="BH54" ca="1">_xlfn.TEXTJOIN("",,INDEX({"M","A","Y"}, _xlfn.SORTBY({1,2,3}, -CHOOSE({1,2,3}, TabTRADER[[#This Row],[M]], TabTRADER[[#This Row],[A]], TabTRADER[[#This Row],[Agiotage]]))))</f>
        <v>AMY</v>
      </c>
      <c r="BI54" s="976" t="str" cm="1">
        <f t="array" aca="1" ref="BI5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4" s="688" t="e">
        <f ca="1">TabTRADER[[#This Row],[L_Sn]]*TabTRADER[[#This Row],[L_Sp]]+TabTRADER[[#This Row],[SellMore]]*TabTRADER[[#This Row],[M]]</f>
        <v>#N/A</v>
      </c>
      <c r="BK54" s="688" t="e">
        <f ca="1">INDEX(
  INDEX(TabConsolid[], , _xlfn.XMATCH(TabTRADER[[#This Row],[ClickTick]]&amp;1, TabConsolid[#Headers])),
  MATCH(
    -TabTRADER[[#This Row],[M]],
    INDEX(TabConsolid[], , _xlfn.XMATCH(TabTRADER[[#This Row],[ClickTick]]&amp;2, TabConsolid[#Headers])),
    -1
  )
)</f>
        <v>#N/A</v>
      </c>
      <c r="BL54" s="688" cm="1">
        <f t="array" aca="1" ref="BL5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5000</v>
      </c>
      <c r="BM54" s="1260" t="e">
        <f ca="1">TabTRADER[[#This Row],[ReBuy]]/(TabTRADER[[#This Row],[L_Sn]]+TabTRADER[[#This Row],[SellMore]])</f>
        <v>#N/A</v>
      </c>
      <c r="BN54" s="696">
        <f ca="1">((_xlfn.XLOOKUP(TabTRADER[[#This Row],[ClickTick]],TabCalc[Ticker],TabCalc[NAfter])+TabTRADER[[#This Row],[L_Sn]])*(TabTRADER[[#This Row],[Agiotage]]-TabTRADER[[#This Row],[M]]))/(TabTRADER[[#This Row],[L_Sn]]*_xlfn.XLOOKUP(TabTRADER[[#This Row],[ClickTick]],TabCalc[Ticker],TabCalc[NAfter]))</f>
        <v>-1.5034951118279584E-3</v>
      </c>
      <c r="BO54" s="696">
        <f ca="1">(TabTRADER[[#This Row],[M]]-TabTRADER[[#This Row],[Agiotage]])/(TabTRADER[[#This Row],[M]]-TabTRADER[[#This Row],[A]])-1</f>
        <v>-4.941445683941029</v>
      </c>
      <c r="BP54" s="1388">
        <f ca="1">_xlfn.XMATCH(TabTRADER[[#This Row],[ClickTick]]&amp;1, TabConsolid[#Headers])</f>
        <v>158</v>
      </c>
      <c r="BQ54" t="b">
        <f ca="1">IF(ABS(TabTRADER[[#This Row],[L_Bp]])&gt;=TabTRADER[[#This Row],[M]],"OK")</f>
        <v>0</v>
      </c>
    </row>
    <row r="55" spans="1:69" hidden="1">
      <c r="A55" s="225">
        <f ca="1">IF(_xlfn.XLOOKUP(TabTRADER[[#This Row],[ClickTick]],TabCalc[Ticker],TabCalc[Cur])="GBp",0.01,1)</f>
        <v>1</v>
      </c>
      <c r="B5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-0.95x20000=    -2,646 EUR</v>
      </c>
      <c r="C55"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-16.0%</v>
      </c>
      <c r="D55" s="697" t="str" cm="1">
        <f t="array" aca="1" ref="D5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5" s="228" t="str">
        <f ca="1">TRUNC(TabCalc[[#This Row],[L_B1p]],2)&amp;"x"&amp;TabCalc[[#This Row],[L_B1n]]&amp;"=   "&amp;TEXT(TabCalc[[#This Row],[ReverseS1]],"#,#0")&amp;"$"</f>
        <v>-1.01x20000=   -3,680$</v>
      </c>
      <c r="G55" s="227" t="str">
        <f ca="1">IFERROR(TRUNC(_xlfn.XLOOKUP(TabTRADER[[#This Row],[ClickTick]],TabCalc[Ticker],ListLastSalep),2)&amp;"x"&amp;_xlfn.XLOOKUP(TabTRADER[[#This Row],[ClickTick]],TabCalc[Ticker],ListLastSalen)&amp;"=   "&amp;TEXT(-_xlfn.XLOOKUP(TabTRADER[[#This Row],[ClickTick]],TabCalc[Ticker],ListReverseB),"#,#0")&amp;"$","")</f>
        <v>0x0=   0$</v>
      </c>
      <c r="H5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55" s="228" t="str">
        <f ca="1">IFERROR(TRUNC(TabCalc[[#This Row],[L_S1p]],2)&amp;"x"&amp;TabCalc[[#This Row],[L_S1n]]&amp;"=   "&amp;TEXT(TabCalc[[#This Row],[ReverseB1]],"#,#0"),"")</f>
        <v>0x0=   0</v>
      </c>
      <c r="J55" s="297">
        <f ca="1">_xlfn.XLOOKUP(TabTRADER[[#This Row],[ClickTick]],TabCalc[Ticker],ListGravity)</f>
        <v>1.8563317191283295</v>
      </c>
      <c r="K55" s="324" cm="1">
        <f t="array" aca="1" ref="K55" ca="1">IF(_xlfn.XLOOKUP(TabTRADER[[#This Row],[ClickTick]],TabTRADER[ClickTick],ListExtra_n)&gt;0,_xlfn.XLOOKUP(TabTRADER[[#This Row],[ClickTick]],TabTRADER[ClickTick],ListExtra_n),"")</f>
        <v>109969</v>
      </c>
      <c r="L55" s="322">
        <f ca="1">IF(_xlfn.XLOOKUP(TabTRADER[[#This Row],[ClickTick]],TabCalc[Ticker],ListExtra_n)&gt;0,_xlfn.XLOOKUP(TabTRADER[[#This Row],[ClickTick]],TabCalc[Ticker],ListExtra_n)*TabTRADER[[#This Row],[M]]*_xlfn.XLOOKUP(TabTRADER[[#This Row],[ClickTick]],TabCalc[Ticker],ListScale),"")</f>
        <v>90834.394</v>
      </c>
      <c r="M55" s="325">
        <f ca="1">_xlfn.XLOOKUP(TabTRADER[[#This Row],[ClickTick]],TabCalc[Ticker],TabCalc[Agiotage])</f>
        <v>1.7439469320066334</v>
      </c>
      <c r="N55" s="326" cm="1">
        <f t="array" aca="1" ref="N55" ca="1">_xlfn.XLOOKUP(TabTRADER[[#This Row],[ClickTick]],ListTickers,Tab2RSIConventional[RSIConv20])</f>
        <v>37</v>
      </c>
      <c r="O55" s="712" t="str">
        <f ca="1">TEXT(_xlfn.XLOOKUP(TabTRADER[[#This Row],[ClickTick]],TabCalc[Ticker],TabCalc[Nbegin]),"#,#0")&amp;": "&amp;_xlfn.XLOOKUP(TabTRADER[[#This Row],[ClickTick]],TabCalc[Ticker],TabCalc[Pile?])</f>
        <v>395,031: Pile</v>
      </c>
      <c r="P55" s="877">
        <f ca="1">_xlfn.XLOOKUP(TabTRADER[[#This Row],[ClickTick]],TabCalc[Ticker],TabCalc[L_Bn])</f>
        <v>20000</v>
      </c>
      <c r="Q55" s="740">
        <f ca="1">_xlfn.XLOOKUP(TabTRADER[[#This Row],[ClickTick]],TabCalc[Ticker],TabCalc[L_Bp])</f>
        <v>-0.95828650000000004</v>
      </c>
      <c r="R55" s="778">
        <f ca="1">(TabTRADER[[#This Row],[M]]+TabTRADER[[#This Row],[L_Bp]])/ABS(TabTRADER[[#This Row],[L_Bp]])</f>
        <v>-0.13804483314749824</v>
      </c>
      <c r="S55" s="692">
        <f ca="1">_xlfn.XLOOKUP(TabTRADER[[#This Row],[ClickTick]],TabCalc[Ticker],TabCalc[Rev(MinStock)])*(1-Commission)</f>
        <v>-2638.8511020000019</v>
      </c>
      <c r="T55" s="798">
        <f ca="1">_xlfn.XLOOKUP(TabTRADER[[#This Row],[ClickTick]],TabCalc[Ticker],TabCalc[Agiotage])</f>
        <v>1.7439469320066334</v>
      </c>
      <c r="U55" s="759" t="str" cm="1">
        <f t="array" aca="1" ref="U5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3,030/3,030=&gt;-1.4% / -1.4%</v>
      </c>
      <c r="V55" s="751" t="str">
        <f ca="1">_xlfn.XLOOKUP(TabTRADER[[#This Row],[ClickTick]],[1]!RTData[Ticker symbol],[1]!RTData[Currency])</f>
        <v>EUR</v>
      </c>
      <c r="W55" s="761">
        <f ca="1">_xlfn.XLOOKUP(TabTRADER[[#This Row],[ClickTick]],TabCalc[Ticker],TabCalc[M])</f>
        <v>0.82599999999999996</v>
      </c>
      <c r="X55" s="762" t="str">
        <f ca="1">SORTING!B55</f>
        <v>MVEALDNE</v>
      </c>
      <c r="Y55" s="819">
        <f ca="1">_xlfn.XLOOKUP(TabTRADER[[#This Row],[ClickTick]],TabCalc[Ticker],TabCalc[Y])</f>
        <v>1.5333300000000001</v>
      </c>
      <c r="Z55" s="835">
        <f ca="1">_xlfn.XLOOKUP(TabTRADER[[#This Row],[ClickTick]],[1]!RTData[Ticker symbol],[1]!RTData[YTChange])</f>
        <v>-0.60379069767441851</v>
      </c>
      <c r="AA55" s="851">
        <f ca="1">-_xlfn.XLOOKUP(TabTRADER[[#This Row],[ClickTick]]&amp;2,Consolid!B$3:JZ$3,Consolid!B$4:JZ$4)</f>
        <v>1.2642075189584159</v>
      </c>
      <c r="AB55" s="835" cm="1">
        <f t="array" aca="1" ref="AB55" ca="1">_xlfn.XLOOKUP(TabTRADER[[#This Row],[ClickTick]],ListTickers,Tab1ChangePercent[Change%19])</f>
        <v>-1.4319999999999999E-2</v>
      </c>
      <c r="AC55" s="782">
        <f ca="1">_xlfn.XLOOKUP(TabTRADER[[#This Row],[ClickTick]],TabCalc[Ticker],TabCalc[NAfter])</f>
        <v>505000</v>
      </c>
      <c r="AD5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-221/417 K$</v>
      </c>
      <c r="AE55" s="1299" t="str" cm="1">
        <f t="array" aca="1" ref="AE5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5" s="1281" t="str" cm="1">
        <f t="array" aca="1" ref="AF55" ca="1">_xlfn.IFS(       TabTRADER[[#This Row],[Traps]]=RePurchaseGain,TEXT(TabTRADER[[#This Row],[L_Sn]],"#,#0")&amp;" x "&amp;TEXT(TabTRADER[[#This Row],[L_Sp]],"#,#0.#0"),     TabTRADER[[#This Row],[Traps]]=ReSaleGain,TEXT(TabTRADER[[#This Row],[L_Bn]],"#0,#0")&amp;" x "&amp;TEXT(TabTRADER[[#This Row],[L_Bp]],"#,#0.#0"),               TRUE,"")</f>
        <v/>
      </c>
      <c r="AG55" s="1281" t="str" cm="1">
        <f t="array" aca="1" ref="AG5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20,000 x -0.96</v>
      </c>
      <c r="AH55" s="1281" cm="1">
        <f t="array" aca="1" ref="AH5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2638.8511020000019</v>
      </c>
      <c r="AI55" s="1281" cm="1">
        <f t="array" aca="1" ref="AI5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417130</v>
      </c>
      <c r="AJ55" s="1290" cm="1">
        <f t="array" aca="1" ref="AJ5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0.34662625588515428</v>
      </c>
      <c r="AK55" s="1290" cm="1">
        <f t="array" aca="1" ref="AK5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0.15755314769975798</v>
      </c>
      <c r="AL55" s="843" t="str" cm="1">
        <f t="array" aca="1" ref="AL55" ca="1">_xlfn.IFS(   TabTRADER[[#This Row],[Traps]]=SellMorePercentGain,                     MIN(TabTRADER[[#This Row],[L_Sn]],TabTRADER[[#This Row],[N]])*(TabTRADER[[#This Row],[M]]-TabTRADER[[#This Row],[L_Sp]])*(1-Commission)*TabTRADER[[#This Row],[Scale]],                    TRUE,"")</f>
        <v/>
      </c>
      <c r="AM55" s="1039">
        <f ca="1">_xlfn.XLOOKUP(TabTRADER[[#This Row],[ClickTick]],TabCalc[Ticker],TabCalc[Ann%RevLB])</f>
        <v>-0.52868233971382306</v>
      </c>
      <c r="AN55" s="1038">
        <f ca="1">_xlfn.XLOOKUP(TabTRADER[[#This Row],[ClickTick]],TabCalc[Ticker],TabCalc[Up20])</f>
        <v>0</v>
      </c>
      <c r="AO55" s="1291" cm="1">
        <f t="array" aca="1" ref="AO5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0.16015314769975797</v>
      </c>
      <c r="AP55" s="843" cm="1">
        <f t="array" aca="1" ref="AP55" ca="1">_xlfn.IFS(         TabTRADER[[#This Row],[Traps]]=MDown,TabTRADER[[#This Row],[L_Bn]]*TabTRADER[[#This Row],[M]]*(-(TabTRADER[[#This Row],[L_Bp]]+TabTRADER[[#This Row],[M]])/TabTRADER[[#This Row],[M]])*(1-Commission)*TabTRADER[[#This Row],[Scale]],                               TRUE,"")</f>
        <v>2638.8511020000019</v>
      </c>
      <c r="AQ55" s="1290" cm="1">
        <f t="array" aca="1" ref="AQ55" ca="1">_xlfn.IFS(   TabTRADER[[#This Row],[Traps]]=MUp,TabTRADER[[#This Row],[TakeGain_A]]-Commission,        TabTRADER[[#This Row],[Traps]]=MDown,(TabTRADER[[#This Row],[A]]-TabTRADER[[#This Row],[M]])/TabTRADER[[#This Row],[M]]-Commission,                              TRUE,"")</f>
        <v>0.52791757743149625</v>
      </c>
      <c r="AR55" s="843" cm="1">
        <f t="array" aca="1" ref="AR5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220719.43060160763</v>
      </c>
      <c r="AS55" s="774" t="str" cm="1">
        <f t="array" aca="1" ref="AS5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-0.2%</v>
      </c>
      <c r="AT55" s="748" cm="1">
        <f t="array" aca="1" ref="AT5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-0.13</v>
      </c>
      <c r="AU55" s="779" cm="1">
        <f t="array" aca="1" ref="AU55" ca="1">_xlfn.IFS(TabTRADER[[#This Row],[Traps]]=ReSaleGain,"",         TabTRADER[[#This Row],[Traps]]=MDown, (TabTRADER[[#This Row],[M]]-TabTRADER[[#This Row],[A]])/TabTRADER[[#This Row],[A]]*ComFactor,             TRUE, IFERROR((TabTRADER[[#This Row],[M]]-TabTRADER[[#This Row],[A]])/TabTRADER[[#This Row],[A]]*ComFactor,""))</f>
        <v>-0.34572502761985285</v>
      </c>
      <c r="AV55" s="776" cm="1">
        <f t="array" aca="1" ref="AV55" ca="1">_xlfn.IFS(               TabTRADER[[#This Row],[Traps]]=NoStock,(TabTRADER[[#This Row],[L_Sp]]-TabTRADER[[#This Row],[M]])/TabTRADER[[#This Row],[M]]-Commission,             TabTRADER[[#This Row],[A]]&lt;&gt;0,(TabTRADER[[#This Row],[A]]-TabTRADER[[#This Row],[M]])/TabTRADER[[#This Row],[M]]-Commission)</f>
        <v>0.52791757743149625</v>
      </c>
      <c r="AW55" s="326">
        <f ca="1">_xlfn.XLOOKUP(TabTRADER[[#This Row],[ClickTick]],TabCalc[Ticker],TabCalc[L_Sn])</f>
        <v>0</v>
      </c>
      <c r="AX55" s="740">
        <f ca="1">_xlfn.XLOOKUP(TabTRADER[[#This Row],[ClickTick]],TabCalc[Ticker],TabCalc[L_Sp])</f>
        <v>0</v>
      </c>
      <c r="AY55" s="778">
        <f ca="1">-IFERROR((TabTRADER[[#This Row],[M]]-TabTRADER[[#This Row],[L_Sp]])/TabTRADER[[#This Row],[L_Sp]],0)</f>
        <v>0</v>
      </c>
      <c r="AZ55" s="741">
        <f ca="1">TabTRADER[[#This Row],[L_Sn]]*(TabTRADER[[#This Row],[M]]-TabTRADER[[#This Row],[L_Sp]])*(1-Commission)*TabTRADER[[#This Row],[Scale]]</f>
        <v>0</v>
      </c>
      <c r="BA55" s="701">
        <f ca="1">TabTRADER[[#This Row],[L_Sn]]*(TabTRADER[[#This Row],[Agiotage]]-TabTRADER[[#This Row],[M]])/(TabTRADER[[#This Row],[L_Bn]]*TabTRADER[[#This Row],[M]])</f>
        <v>0</v>
      </c>
      <c r="BB55" s="641">
        <f ca="1">IFERROR((TabTRADER[[#This Row],[M]]-TabTRADER[[#This Row],[A]])/TabTRADER[[#This Row],[A]],0)</f>
        <v>-0.34662625588515428</v>
      </c>
      <c r="BC55" s="644" t="str">
        <f ca="1">TEXT(_xlfn.XLOOKUP(TabTRADER[[#This Row],[ClickTick]],TabCalc[Ticker],TabCalc[NAfter]),"#,#0")&amp;" : "&amp;TEXT(_xlfn.XLOOKUP(TabTRADER[[#This Row],[ClickTick]],TabCalc[Ticker],TabCalc[NAfter])*(TabTRADER[[#This Row],[M]]-TabTRADER[[#This Row],[A]])*(1-Commission)*TabTRADER[[#This Row],[Scale]],"#,#0$")</f>
        <v>505,000 : -220,719$</v>
      </c>
      <c r="BD55" s="693">
        <f ca="1">_xlfn.XLOOKUP(TabTRADER[[#This Row],[ClickTick]],TabCalc[[#This Row],[Ticker]],TabCalc[[#This Row],[GL]])*(1-Commission)</f>
        <v>-220719.4306016076</v>
      </c>
      <c r="BE55" s="693"/>
      <c r="BF55" s="675" t="str">
        <f ca="1">TabTRADER[[#This Row],[ClickTick]]&amp;": "&amp;_xlfn.XLOOKUP(TabTRADER[[#This Row],[ClickTick]],TabCalc[Ticker],TabCalc[Pile?])</f>
        <v>MVEALDNE: Pile</v>
      </c>
      <c r="BG55" s="353" t="s">
        <v>2023</v>
      </c>
      <c r="BH55" s="769" t="str" cm="1">
        <f t="array" aca="1" ref="BH55" ca="1">_xlfn.TEXTJOIN("",,INDEX({"M","A","Y"}, _xlfn.SORTBY({1,2,3}, -CHOOSE({1,2,3}, TabTRADER[[#This Row],[M]], TabTRADER[[#This Row],[A]], TabTRADER[[#This Row],[Agiotage]]))))</f>
        <v>YAM</v>
      </c>
      <c r="BI55" s="976" cm="1">
        <f t="array" aca="1" ref="BI5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0.16015314769975797</v>
      </c>
      <c r="BJ55" s="688" t="e">
        <f ca="1">TabTRADER[[#This Row],[L_Sn]]*TabTRADER[[#This Row],[L_Sp]]+TabTRADER[[#This Row],[SellMore]]*TabTRADER[[#This Row],[M]]</f>
        <v>#N/A</v>
      </c>
      <c r="BK55" s="688" t="e">
        <f ca="1">INDEX(
  INDEX(TabConsolid[], , _xlfn.XMATCH(TabTRADER[[#This Row],[ClickTick]]&amp;1, TabConsolid[#Headers])),
  MATCH(
    -TabTRADER[[#This Row],[M]],
    INDEX(TabConsolid[], , _xlfn.XMATCH(TabTRADER[[#This Row],[ClickTick]]&amp;2, TabConsolid[#Headers])),
    -1
  )
)</f>
        <v>#N/A</v>
      </c>
      <c r="BL55" s="688" cm="1">
        <f t="array" aca="1" ref="BL5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M55" s="1260" t="e">
        <f ca="1">TabTRADER[[#This Row],[ReBuy]]/(TabTRADER[[#This Row],[L_Sn]]+TabTRADER[[#This Row],[SellMore]])</f>
        <v>#N/A</v>
      </c>
      <c r="BN55" s="696" t="e">
        <f ca="1">((_xlfn.XLOOKUP(TabTRADER[[#This Row],[ClickTick]],TabCalc[Ticker],TabCalc[NAfter])+TabTRADER[[#This Row],[L_Sn]])*(TabTRADER[[#This Row],[Agiotage]]-TabTRADER[[#This Row],[M]]))/(TabTRADER[[#This Row],[L_Sn]]*_xlfn.XLOOKUP(TabTRADER[[#This Row],[ClickTick]],TabCalc[Ticker],TabCalc[NAfter]))</f>
        <v>#DIV/0!</v>
      </c>
      <c r="BO55" s="696">
        <f ca="1">(TabTRADER[[#This Row],[M]]-TabTRADER[[#This Row],[Agiotage]])/(TabTRADER[[#This Row],[M]]-TabTRADER[[#This Row],[A]])-1</f>
        <v>1.0947767719470436</v>
      </c>
      <c r="BP55" s="1388">
        <f ca="1">_xlfn.XMATCH(TabTRADER[[#This Row],[ClickTick]]&amp;1, TabConsolid[#Headers])</f>
        <v>161</v>
      </c>
      <c r="BQ55" t="str">
        <f ca="1">IF(ABS(TabTRADER[[#This Row],[L_Bp]])&gt;=TabTRADER[[#This Row],[M]],"OK")</f>
        <v>OK</v>
      </c>
    </row>
    <row r="56" spans="1:69" hidden="1">
      <c r="A56" s="225">
        <f ca="1">IF(_xlfn.XLOOKUP(TabTRADER[[#This Row],[ClickTick]],TabCalc[Ticker],TabCalc[Cur])="GBp",0.01,1)</f>
        <v>1</v>
      </c>
      <c r="B5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-2.45x10000=    +6,800 USD</v>
      </c>
      <c r="C5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21.7%</v>
      </c>
      <c r="D56" s="697" t="str" cm="1">
        <f t="array" aca="1" ref="D5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7,353/10,000=23,015</v>
      </c>
      <c r="E56" s="765" t="str">
        <f ca="1">IF(      AND(TabTRADER[[#This Row],[A]]&lt;TabTRADER[[#This Row],[M]],    _xlfn.XLOOKUP(TabTRADER[[#This Row],[ClickTick]],TabCalc[Ticker],TabCalc[L_Sp])&gt;TabTRADER[[#This Row],[M]]),"BUY  "&amp;TEXT(DesiredBuyGain/TabTRADER[[#This Row],[Scale]]/(_xlfn.XLOOKUP(TabTRADER[[#This Row],[ClickTick]],TabCalc[Ticker],TabCalc[L_Sp])-TabTRADER[[#This Row],[M]]),"#,##0"),"")</f>
        <v>BUY  12,821</v>
      </c>
      <c r="F56" s="228" t="str">
        <f ca="1">TRUNC(TabCalc[[#This Row],[L_B1p]],2)&amp;"x"&amp;TabCalc[[#This Row],[L_B1n]]&amp;"=   "&amp;TEXT(TabCalc[[#This Row],[ReverseS1]],"#,#0")&amp;"$"</f>
        <v>-3.2x5000=   -395$</v>
      </c>
      <c r="G56" s="227" t="str">
        <f ca="1">IFERROR(TRUNC(_xlfn.XLOOKUP(TabTRADER[[#This Row],[ClickTick]],TabCalc[Ticker],ListLastSalep),2)&amp;"x"&amp;_xlfn.XLOOKUP(TabTRADER[[#This Row],[ClickTick]],TabCalc[Ticker],ListLastSalen)&amp;"=   "&amp;TEXT(-_xlfn.XLOOKUP(TabTRADER[[#This Row],[ClickTick]],TabCalc[Ticker],ListReverseB),"#,#0")&amp;"$","")</f>
        <v>3.52x5000=   -1,950$</v>
      </c>
      <c r="H5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12.5% = 12,821</v>
      </c>
      <c r="I56" s="228" t="str">
        <f ca="1">IFERROR(TRUNC(TabCalc[[#This Row],[L_S1p]],2)&amp;"x"&amp;TabCalc[[#This Row],[L_S1n]]&amp;"=   "&amp;TEXT(TabCalc[[#This Row],[ReverseB1]],"#,#0"),"")</f>
        <v>3.96x5000=   4,151</v>
      </c>
      <c r="J56" s="297">
        <f ca="1">_xlfn.XLOOKUP(TabTRADER[[#This Row],[ClickTick]],TabCalc[Ticker],ListGravity)</f>
        <v>1.0383386581469649</v>
      </c>
      <c r="K56" s="324" t="str" cm="1">
        <f t="array" aca="1" ref="K56" ca="1">IF(_xlfn.XLOOKUP(TabTRADER[[#This Row],[ClickTick]],TabTRADER[ClickTick],ListExtra_n)&gt;0,_xlfn.XLOOKUP(TabTRADER[[#This Row],[ClickTick]],TabTRADER[ClickTick],ListExtra_n),"")</f>
        <v/>
      </c>
      <c r="L56" s="322" t="str">
        <f ca="1">IF(_xlfn.XLOOKUP(TabTRADER[[#This Row],[ClickTick]],TabCalc[Ticker],ListExtra_n)&gt;0,_xlfn.XLOOKUP(TabTRADER[[#This Row],[ClickTick]],TabCalc[Ticker],ListExtra_n)*TabTRADER[[#This Row],[M]]*_xlfn.XLOOKUP(TabTRADER[[#This Row],[ClickTick]],TabCalc[Ticker],ListScale),"")</f>
        <v/>
      </c>
      <c r="M56" s="325">
        <f ca="1">_xlfn.XLOOKUP(TabTRADER[[#This Row],[ClickTick]],TabCalc[Ticker],TabCalc[Agiotage])</f>
        <v>0.66744662603510774</v>
      </c>
      <c r="N56" s="326" cm="1">
        <f t="array" aca="1" ref="N56" ca="1">_xlfn.XLOOKUP(TabTRADER[[#This Row],[ClickTick]],ListTickers,Tab2RSIConventional[RSIConv20])</f>
        <v>46</v>
      </c>
      <c r="O56" s="712" t="str">
        <f ca="1">TEXT(_xlfn.XLOOKUP(TabTRADER[[#This Row],[ClickTick]],TabCalc[Ticker],TabCalc[Nbegin]),"#,#0")&amp;": "&amp;_xlfn.XLOOKUP(TabTRADER[[#This Row],[ClickTick]],TabCalc[Ticker],TabCalc[Pile?])</f>
        <v xml:space="preserve">10,000: </v>
      </c>
      <c r="P56" s="746">
        <f ca="1">_xlfn.XLOOKUP(TabTRADER[[#This Row],[ClickTick]],TabCalc[Ticker],TabCalc[L_Bn])</f>
        <v>10000</v>
      </c>
      <c r="Q56" s="690">
        <f ca="1">_xlfn.XLOOKUP(TabTRADER[[#This Row],[ClickTick]],TabCalc[Ticker],TabCalc[L_Bp])</f>
        <v>-2.4500000000000002</v>
      </c>
      <c r="R56" s="778">
        <f ca="1">(TabTRADER[[#This Row],[M]]+TabTRADER[[#This Row],[L_Bp]])/ABS(TabTRADER[[#This Row],[L_Bp]])</f>
        <v>0.27755102040816315</v>
      </c>
      <c r="S56" s="692">
        <f ca="1">_xlfn.XLOOKUP(TabTRADER[[#This Row],[ClickTick]],TabCalc[Ticker],TabCalc[Rev(MinStock)])*(1-Commission)</f>
        <v>6782.319999999997</v>
      </c>
      <c r="T56" s="798">
        <f ca="1">_xlfn.XLOOKUP(TabTRADER[[#This Row],[ClickTick]],TabCalc[Ticker],TabCalc[Agiotage])</f>
        <v>0.66744662603510774</v>
      </c>
      <c r="U56" s="759" t="str" cm="1">
        <f t="array" aca="1" ref="U5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-500/-500=&gt;1.5% / 1.6%</v>
      </c>
      <c r="V56" s="751" t="str">
        <f ca="1">_xlfn.XLOOKUP(TabTRADER[[#This Row],[ClickTick]],[1]!RTData[Ticker symbol],[1]!RTData[Currency])</f>
        <v>USD</v>
      </c>
      <c r="W56" s="761">
        <f ca="1">_xlfn.XLOOKUP(TabTRADER[[#This Row],[ClickTick]],TabCalc[Ticker],TabCalc[M])</f>
        <v>3.13</v>
      </c>
      <c r="X56" s="762" t="str">
        <f ca="1">SORTING!B56</f>
        <v>MVEDDD</v>
      </c>
      <c r="Y56" s="819">
        <f ca="1">_xlfn.XLOOKUP(TabTRADER[[#This Row],[ClickTick]],TabCalc[Ticker],TabCalc[Y])</f>
        <v>3.25</v>
      </c>
      <c r="Z56" s="835">
        <f ca="1">_xlfn.XLOOKUP(TabTRADER[[#This Row],[ClickTick]],[1]!RTData[Ticker symbol],[1]!RTData[YTChange])</f>
        <v>-0.17512690355329949</v>
      </c>
      <c r="AA56" s="851">
        <f ca="1">-_xlfn.XLOOKUP(TabTRADER[[#This Row],[ClickTick]]&amp;2,Consolid!B$3:JZ$3,Consolid!B$4:JZ$4)</f>
        <v>2.4500000000000002</v>
      </c>
      <c r="AB56" s="835" cm="1">
        <f t="array" aca="1" ref="AB56" ca="1">_xlfn.XLOOKUP(TabTRADER[[#This Row],[ClickTick]],ListTickers,Tab1ChangePercent[Change%19])</f>
        <v>1.4610000000000001E-2</v>
      </c>
      <c r="AC56" s="782">
        <f ca="1">_xlfn.XLOOKUP(TabTRADER[[#This Row],[ClickTick]],TabCalc[Ticker],TabCalc[NAfter])</f>
        <v>10000</v>
      </c>
      <c r="AD56"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^18/31 K$</v>
      </c>
      <c r="AE56" s="1277" t="str" cm="1">
        <f t="array" aca="1" ref="AE5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56" s="1281" t="str" cm="1">
        <f t="array" aca="1" ref="AF56" ca="1">_xlfn.IFS(       TabTRADER[[#This Row],[Traps]]=RePurchaseGain,TEXT(TabTRADER[[#This Row],[L_Sn]],"#,#0")&amp;" x "&amp;TEXT(TabTRADER[[#This Row],[L_Sp]],"#,#0.#0"),     TabTRADER[[#This Row],[Traps]]=ReSaleGain,TEXT(TabTRADER[[#This Row],[L_Bn]],"#0,#0")&amp;" x "&amp;TEXT(TabTRADER[[#This Row],[L_Bp]],"#,#0.#0"),               TRUE,"")</f>
        <v>5,000 x 3.52</v>
      </c>
      <c r="AG56" s="1281" cm="1">
        <f t="array" aca="1" ref="AG5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1944.9300000000005</v>
      </c>
      <c r="AH56" s="1281" t="str" cm="1">
        <f t="array" aca="1" ref="AH5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6" s="1281" cm="1">
        <f t="array" aca="1" ref="AI5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1944.9300000000005</v>
      </c>
      <c r="AJ56" s="1290" cm="1">
        <f t="array" aca="1" ref="AJ5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0.11079545454545459</v>
      </c>
      <c r="AK56" s="1290" t="str" cm="1">
        <f t="array" aca="1" ref="AK5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6" s="843" t="str" cm="1">
        <f t="array" aca="1" ref="AL56" ca="1">_xlfn.IFS(   TabTRADER[[#This Row],[Traps]]=SellMorePercentGain,                     MIN(TabTRADER[[#This Row],[L_Sn]],TabTRADER[[#This Row],[N]])*(TabTRADER[[#This Row],[M]]-TabTRADER[[#This Row],[L_Sp]])*(1-Commission)*TabTRADER[[#This Row],[Scale]],                    TRUE,"")</f>
        <v/>
      </c>
      <c r="AM56" s="1039">
        <f ca="1">_xlfn.XLOOKUP(TabTRADER[[#This Row],[ClickTick]],TabCalc[Ticker],TabCalc[Ann%RevLB])</f>
        <v>0.24489795918367338</v>
      </c>
      <c r="AN56" s="1038">
        <f ca="1">_xlfn.XLOOKUP(TabTRADER[[#This Row],[ClickTick]],TabCalc[Ticker],TabCalc[Up20])</f>
        <v>0</v>
      </c>
      <c r="AO56" s="1291" t="str" cm="1">
        <f t="array" aca="1" ref="AO5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6" s="843" t="str" cm="1">
        <f t="array" aca="1" ref="AP56" ca="1">_xlfn.IFS(         TabTRADER[[#This Row],[Traps]]=MDown,TabTRADER[[#This Row],[L_Bn]]*TabTRADER[[#This Row],[M]]*(-(TabTRADER[[#This Row],[L_Bp]]+TabTRADER[[#This Row],[M]])/TabTRADER[[#This Row],[M]])*(1-Commission)*TabTRADER[[#This Row],[Scale]],                               TRUE,"")</f>
        <v/>
      </c>
      <c r="AQ56" s="1290" t="str" cm="1">
        <f t="array" aca="1" ref="AQ56" ca="1">_xlfn.IFS(   TabTRADER[[#This Row],[Traps]]=MUp,TabTRADER[[#This Row],[TakeGain_A]]-Commission,        TabTRADER[[#This Row],[Traps]]=MDown,(TabTRADER[[#This Row],[A]]-TabTRADER[[#This Row],[M]])/TabTRADER[[#This Row],[M]]-Commission,                              TRUE,"")</f>
        <v/>
      </c>
      <c r="AR56" s="843" cm="1">
        <f t="array" aca="1" ref="AR5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6782.319999999997</v>
      </c>
      <c r="AS56" s="774" t="str" cm="1">
        <f t="array" aca="1" ref="AS5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&lt;0&lt;-1:      -1.4%</v>
      </c>
      <c r="AT56" s="748" t="str" cm="1">
        <f t="array" aca="1" ref="AT5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56" s="779" cm="1">
        <f t="array" aca="1" ref="AU56" ca="1">_xlfn.IFS(TabTRADER[[#This Row],[Traps]]=ReSaleGain,"",         TabTRADER[[#This Row],[Traps]]=MDown, (TabTRADER[[#This Row],[M]]-TabTRADER[[#This Row],[A]])/TabTRADER[[#This Row],[A]]*ComFactor,             TRUE, IFERROR((TabTRADER[[#This Row],[M]]-TabTRADER[[#This Row],[A]])/TabTRADER[[#This Row],[A]]*ComFactor,""))</f>
        <v>0.27682938775510191</v>
      </c>
      <c r="AV56" s="776" cm="1">
        <f t="array" aca="1" ref="AV56" ca="1">_xlfn.IFS(               TabTRADER[[#This Row],[Traps]]=NoStock,(TabTRADER[[#This Row],[L_Sp]]-TabTRADER[[#This Row],[M]])/TabTRADER[[#This Row],[M]]-Commission,             TabTRADER[[#This Row],[A]]&lt;&gt;0,(TabTRADER[[#This Row],[A]]-TabTRADER[[#This Row],[M]])/TabTRADER[[#This Row],[M]]-Commission)</f>
        <v>-0.21985239616613408</v>
      </c>
      <c r="AW56" s="326">
        <f ca="1">_xlfn.XLOOKUP(TabTRADER[[#This Row],[ClickTick]],TabCalc[Ticker],TabCalc[L_Sn])</f>
        <v>5000</v>
      </c>
      <c r="AX56" s="740">
        <f ca="1">_xlfn.XLOOKUP(TabTRADER[[#This Row],[ClickTick]],TabCalc[Ticker],TabCalc[L_Sp])</f>
        <v>3.52</v>
      </c>
      <c r="AY56" s="778">
        <f ca="1">-IFERROR((TabTRADER[[#This Row],[M]]-TabTRADER[[#This Row],[L_Sp]])/TabTRADER[[#This Row],[L_Sp]],0)</f>
        <v>0.11079545454545459</v>
      </c>
      <c r="AZ56" s="741">
        <f ca="1">TabTRADER[[#This Row],[L_Sn]]*(TabTRADER[[#This Row],[M]]-TabTRADER[[#This Row],[L_Sp]])*(1-Commission)*TabTRADER[[#This Row],[Scale]]</f>
        <v>-1944.9300000000005</v>
      </c>
      <c r="BA56" s="701">
        <f ca="1">TabTRADER[[#This Row],[L_Sn]]*(TabTRADER[[#This Row],[Agiotage]]-TabTRADER[[#This Row],[M]])/(TabTRADER[[#This Row],[L_Bn]]*TabTRADER[[#This Row],[M]])</f>
        <v>-0.3933791332212288</v>
      </c>
      <c r="BB56" s="641">
        <f ca="1">IFERROR((TabTRADER[[#This Row],[M]]-TabTRADER[[#This Row],[A]])/TabTRADER[[#This Row],[A]],0)</f>
        <v>0.27755102040816315</v>
      </c>
      <c r="BC56" s="644" t="str">
        <f ca="1">TEXT(_xlfn.XLOOKUP(TabTRADER[[#This Row],[ClickTick]],TabCalc[Ticker],TabCalc[NAfter]),"#,#0")&amp;" : "&amp;TEXT(_xlfn.XLOOKUP(TabTRADER[[#This Row],[ClickTick]],TabCalc[Ticker],TabCalc[NAfter])*(TabTRADER[[#This Row],[M]]-TabTRADER[[#This Row],[A]])*(1-Commission)*TabTRADER[[#This Row],[Scale]],"#,#0$")</f>
        <v>10,000 : 6,782$</v>
      </c>
      <c r="BD56" s="693">
        <f ca="1">_xlfn.XLOOKUP(TabTRADER[[#This Row],[ClickTick]],TabCalc[[#This Row],[Ticker]],TabCalc[[#This Row],[GL]])*(1-Commission)</f>
        <v>18262.807920999996</v>
      </c>
      <c r="BE56" s="693"/>
      <c r="BF56" s="675" t="str">
        <f ca="1">TabTRADER[[#This Row],[ClickTick]]&amp;": "&amp;_xlfn.XLOOKUP(TabTRADER[[#This Row],[ClickTick]],TabCalc[Ticker],TabCalc[Pile?])</f>
        <v xml:space="preserve">MVEDDD: </v>
      </c>
      <c r="BG56" s="353" t="s">
        <v>2024</v>
      </c>
      <c r="BH56" s="769" t="str" cm="1">
        <f t="array" aca="1" ref="BH56" ca="1">_xlfn.TEXTJOIN("",,INDEX({"M","A","Y"}, _xlfn.SORTBY({1,2,3}, -CHOOSE({1,2,3}, TabTRADER[[#This Row],[M]], TabTRADER[[#This Row],[A]], TabTRADER[[#This Row],[Agiotage]]))))</f>
        <v>MAY</v>
      </c>
      <c r="BI56" s="976" t="str" cm="1">
        <f t="array" aca="1" ref="BI5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6" s="688">
        <f ca="1">TabTRADER[[#This Row],[L_Sn]]*TabTRADER[[#This Row],[L_Sp]]+TabTRADER[[#This Row],[SellMore]]*TabTRADER[[#This Row],[M]]</f>
        <v>48900</v>
      </c>
      <c r="BK56" s="688">
        <f ca="1">INDEX(
  INDEX(TabConsolid[], , _xlfn.XMATCH(TabTRADER[[#This Row],[ClickTick]]&amp;1, TabConsolid[#Headers])),
  MATCH(
    -TabTRADER[[#This Row],[M]],
    INDEX(TabConsolid[], , _xlfn.XMATCH(TabTRADER[[#This Row],[ClickTick]]&amp;2, TabConsolid[#Headers])),
    -1
  )
)</f>
        <v>10000</v>
      </c>
      <c r="BL56" s="688" cm="1">
        <f t="array" aca="1" ref="BL5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6" s="1260">
        <f ca="1">TabTRADER[[#This Row],[ReBuy]]/(TabTRADER[[#This Row],[L_Sn]]+TabTRADER[[#This Row],[SellMore]])</f>
        <v>3.26</v>
      </c>
      <c r="BN56" s="696">
        <f ca="1">((_xlfn.XLOOKUP(TabTRADER[[#This Row],[ClickTick]],TabCalc[Ticker],TabCalc[NAfter])+TabTRADER[[#This Row],[L_Sn]])*(TabTRADER[[#This Row],[Agiotage]]-TabTRADER[[#This Row],[M]]))/(TabTRADER[[#This Row],[L_Sn]]*_xlfn.XLOOKUP(TabTRADER[[#This Row],[ClickTick]],TabCalc[Ticker],TabCalc[NAfter]))</f>
        <v>-7.3876601218946761E-4</v>
      </c>
      <c r="BO56" s="696">
        <f ca="1">(TabTRADER[[#This Row],[M]]-TabTRADER[[#This Row],[Agiotage]])/(TabTRADER[[#This Row],[M]]-TabTRADER[[#This Row],[A]])-1</f>
        <v>2.6214020205366078</v>
      </c>
      <c r="BP56" s="1388">
        <f ca="1">_xlfn.XMATCH(TabTRADER[[#This Row],[ClickTick]]&amp;1, TabConsolid[#Headers])</f>
        <v>164</v>
      </c>
      <c r="BQ56" t="b">
        <f ca="1">IF(ABS(TabTRADER[[#This Row],[L_Bp]])&gt;=TabTRADER[[#This Row],[M]],"OK")</f>
        <v>0</v>
      </c>
    </row>
    <row r="57" spans="1:69" hidden="1">
      <c r="A57" s="225">
        <f ca="1">IF(_xlfn.XLOOKUP(TabTRADER[[#This Row],[ClickTick]],TabCalc[Ticker],TabCalc[Cur])="GBp",0.01,1)</f>
        <v>1</v>
      </c>
      <c r="B5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-30.22x1500=    -6,795 EUR</v>
      </c>
      <c r="C57"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-17.6%</v>
      </c>
      <c r="D57" s="697" t="str" cm="1">
        <f t="array" aca="1" ref="D5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7" s="228" t="str">
        <f ca="1">TRUNC(TabCalc[[#This Row],[L_B1p]],2)&amp;"x"&amp;TabCalc[[#This Row],[L_B1n]]&amp;"=   "&amp;TEXT(TabCalc[[#This Row],[ReverseS1]],"#,#0")&amp;"$"</f>
        <v>-31.36x500=   -2,835$</v>
      </c>
      <c r="G57" s="227" t="str">
        <f ca="1">IFERROR(TRUNC(_xlfn.XLOOKUP(TabTRADER[[#This Row],[ClickTick]],TabCalc[Ticker],ListLastSalep),2)&amp;"x"&amp;_xlfn.XLOOKUP(TabTRADER[[#This Row],[ClickTick]],TabCalc[Ticker],ListLastSalen)&amp;"=   "&amp;TEXT(-_xlfn.XLOOKUP(TabTRADER[[#This Row],[ClickTick]],TabCalc[Ticker],ListReverseB),"#,#0")&amp;"$","")</f>
        <v>40.01x1000=   -14,320$</v>
      </c>
      <c r="H5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55.7% = 349</v>
      </c>
      <c r="I57" s="228" t="str">
        <f ca="1">IFERROR(TRUNC(TabCalc[[#This Row],[L_S1p]],2)&amp;"x"&amp;TabCalc[[#This Row],[L_S1n]]&amp;"=   "&amp;TEXT(TabCalc[[#This Row],[ReverseB1]],"#,#0"),"")</f>
        <v>40.59x1000=   14,905</v>
      </c>
      <c r="J57" s="297">
        <f ca="1">_xlfn.XLOOKUP(TabTRADER[[#This Row],[ClickTick]],TabCalc[Ticker],ListGravity)</f>
        <v>1.3841961852861036</v>
      </c>
      <c r="K57" s="324" cm="1">
        <f t="array" aca="1" ref="K57" ca="1">IF(_xlfn.XLOOKUP(TabTRADER[[#This Row],[ClickTick]],TabTRADER[ClickTick],ListExtra_n)&gt;0,_xlfn.XLOOKUP(TabTRADER[[#This Row],[ClickTick]],TabTRADER[ClickTick],ListExtra_n),"")</f>
        <v>10000</v>
      </c>
      <c r="L57" s="322">
        <f ca="1">IF(_xlfn.XLOOKUP(TabTRADER[[#This Row],[ClickTick]],TabCalc[Ticker],ListExtra_n)&gt;0,_xlfn.XLOOKUP(TabTRADER[[#This Row],[ClickTick]],TabCalc[Ticker],ListExtra_n)*TabTRADER[[#This Row],[M]]*_xlfn.XLOOKUP(TabTRADER[[#This Row],[ClickTick]],TabCalc[Ticker],ListScale),"")</f>
        <v>256900</v>
      </c>
      <c r="M57" s="325">
        <f ca="1">_xlfn.XLOOKUP(TabTRADER[[#This Row],[ClickTick]],TabCalc[Ticker],TabCalc[Agiotage])</f>
        <v>2.1661298761699901</v>
      </c>
      <c r="N57" s="326" cm="1">
        <f t="array" aca="1" ref="N57" ca="1">_xlfn.XLOOKUP(TabTRADER[[#This Row],[ClickTick]],ListTickers,Tab2RSIConventional[RSIConv20])</f>
        <v>34</v>
      </c>
      <c r="O57" s="712" t="str">
        <f ca="1">TEXT(_xlfn.XLOOKUP(TabTRADER[[#This Row],[ClickTick]],TabCalc[Ticker],TabCalc[Nbegin]),"#,#0")&amp;": "&amp;_xlfn.XLOOKUP(TabTRADER[[#This Row],[ClickTick]],TabCalc[Ticker],TabCalc[Pile?])</f>
        <v>2,000: Pile</v>
      </c>
      <c r="P57" s="877">
        <f ca="1">_xlfn.XLOOKUP(TabTRADER[[#This Row],[ClickTick]],TabCalc[Ticker],TabCalc[L_Bn])</f>
        <v>1500</v>
      </c>
      <c r="Q57" s="740">
        <f ca="1">_xlfn.XLOOKUP(TabTRADER[[#This Row],[ClickTick]],TabCalc[Ticker],TabCalc[L_Bp])</f>
        <v>-30.22</v>
      </c>
      <c r="R57" s="778">
        <f ca="1">(TabTRADER[[#This Row],[M]]+TabTRADER[[#This Row],[L_Bp]])/ABS(TabTRADER[[#This Row],[L_Bp]])</f>
        <v>-0.14990072799470541</v>
      </c>
      <c r="S57" s="692">
        <f ca="1">_xlfn.XLOOKUP(TabTRADER[[#This Row],[ClickTick]],TabCalc[Ticker],TabCalc[Rev(MinStock)])*(1-Commission)</f>
        <v>-6777.332999999996</v>
      </c>
      <c r="T57" s="798">
        <f ca="1">_xlfn.XLOOKUP(TabTRADER[[#This Row],[ClickTick]],TabCalc[Ticker],TabCalc[Agiotage])</f>
        <v>2.1661298761699901</v>
      </c>
      <c r="U57" s="759" t="str" cm="1">
        <f t="array" aca="1" ref="U5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-7,320/-7,320=&gt;-2.0% / -2.0%</v>
      </c>
      <c r="V57" s="751" t="str">
        <f ca="1">_xlfn.XLOOKUP(TabTRADER[[#This Row],[ClickTick]],[1]!RTData[Ticker symbol],[1]!RTData[Currency])</f>
        <v>EUR</v>
      </c>
      <c r="W57" s="761">
        <f ca="1">_xlfn.XLOOKUP(TabTRADER[[#This Row],[ClickTick]],TabCalc[Ticker],TabCalc[M])</f>
        <v>25.69</v>
      </c>
      <c r="X57" s="762" t="str">
        <f ca="1">SORTING!B57</f>
        <v>MVEDSY</v>
      </c>
      <c r="Y57" s="819">
        <f ca="1">_xlfn.XLOOKUP(TabTRADER[[#This Row],[ClickTick]],TabCalc[Ticker],TabCalc[Y])</f>
        <v>35.56</v>
      </c>
      <c r="Z57" s="835">
        <f ca="1">_xlfn.XLOOKUP(TabTRADER[[#This Row],[ClickTick]],[1]!RTData[Ticker symbol],[1]!RTData[YTChange])</f>
        <v>-6.3471161443244578E-2</v>
      </c>
      <c r="AA57" s="851">
        <f ca="1">-_xlfn.XLOOKUP(TabTRADER[[#This Row],[ClickTick]]&amp;2,Consolid!B$3:JZ$3,Consolid!B$4:JZ$4)</f>
        <v>33.637500000000003</v>
      </c>
      <c r="AB57" s="835" cm="1">
        <f t="array" aca="1" ref="AB57" ca="1">_xlfn.XLOOKUP(TabTRADER[[#This Row],[ClickTick]],ListTickers,Tab1ChangePercent[Change%19])</f>
        <v>-1.984E-2</v>
      </c>
      <c r="AC57" s="782">
        <f ca="1">_xlfn.XLOOKUP(TabTRADER[[#This Row],[ClickTick]],TabCalc[Ticker],TabCalc[NAfter])</f>
        <v>12000</v>
      </c>
      <c r="AD57"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-91/308 K$</v>
      </c>
      <c r="AE57" s="1299" t="str" cm="1">
        <f t="array" aca="1" ref="AE5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7" s="1281" t="str" cm="1">
        <f t="array" aca="1" ref="AF57" ca="1">_xlfn.IFS(       TabTRADER[[#This Row],[Traps]]=RePurchaseGain,TEXT(TabTRADER[[#This Row],[L_Sn]],"#,#0")&amp;" x "&amp;TEXT(TabTRADER[[#This Row],[L_Sp]],"#,#0.#0"),     TabTRADER[[#This Row],[Traps]]=ReSaleGain,TEXT(TabTRADER[[#This Row],[L_Bn]],"#0,#0")&amp;" x "&amp;TEXT(TabTRADER[[#This Row],[L_Bp]],"#,#0.#0"),               TRUE,"")</f>
        <v/>
      </c>
      <c r="AG57" s="1281" t="str" cm="1">
        <f t="array" aca="1" ref="AG5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1,500 x -30.22</v>
      </c>
      <c r="AH57" s="1281" cm="1">
        <f t="array" aca="1" ref="AH5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6777.332999999996</v>
      </c>
      <c r="AI57" s="1281" cm="1">
        <f t="array" aca="1" ref="AI5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308280</v>
      </c>
      <c r="AJ57" s="1290" cm="1">
        <f t="array" aca="1" ref="AJ5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0.23626904496469717</v>
      </c>
      <c r="AK57" s="1290" cm="1">
        <f t="array" aca="1" ref="AK5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0.1737332035811599</v>
      </c>
      <c r="AL57" s="843" t="str" cm="1">
        <f t="array" aca="1" ref="AL57" ca="1">_xlfn.IFS(   TabTRADER[[#This Row],[Traps]]=SellMorePercentGain,                     MIN(TabTRADER[[#This Row],[L_Sn]],TabTRADER[[#This Row],[N]])*(TabTRADER[[#This Row],[M]]-TabTRADER[[#This Row],[L_Sp]])*(1-Commission)*TabTRADER[[#This Row],[Scale]],                    TRUE,"")</f>
        <v/>
      </c>
      <c r="AM57" s="1039">
        <f ca="1">_xlfn.XLOOKUP(TabTRADER[[#This Row],[ClickTick]],TabCalc[Ticker],TabCalc[Ann%RevLB])</f>
        <v>-0.44233001703355695</v>
      </c>
      <c r="AN57" s="1038">
        <f ca="1">_xlfn.XLOOKUP(TabTRADER[[#This Row],[ClickTick]],TabCalc[Ticker],TabCalc[Up20])</f>
        <v>0</v>
      </c>
      <c r="AO57" s="1291" cm="1">
        <f t="array" aca="1" ref="AO5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0.17633320358115989</v>
      </c>
      <c r="AP57" s="843" cm="1">
        <f t="array" aca="1" ref="AP57" ca="1">_xlfn.IFS(         TabTRADER[[#This Row],[Traps]]=MDown,TabTRADER[[#This Row],[L_Bn]]*TabTRADER[[#This Row],[M]]*(-(TabTRADER[[#This Row],[L_Bp]]+TabTRADER[[#This Row],[M]])/TabTRADER[[#This Row],[M]])*(1-Commission)*TabTRADER[[#This Row],[Scale]],                               TRUE,"")</f>
        <v>6777.332999999996</v>
      </c>
      <c r="AQ57" s="1290" cm="1">
        <f t="array" aca="1" ref="AQ57" ca="1">_xlfn.IFS(   TabTRADER[[#This Row],[Traps]]=MUp,TabTRADER[[#This Row],[TakeGain_A]]-Commission,        TabTRADER[[#This Row],[Traps]]=MDown,(TabTRADER[[#This Row],[A]]-TabTRADER[[#This Row],[M]])/TabTRADER[[#This Row],[M]]-Commission,                              TRUE,"")</f>
        <v>0.30676161930712342</v>
      </c>
      <c r="AR57" s="774" cm="1">
        <f t="array" aca="1" ref="AR5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95122.038000000015</v>
      </c>
      <c r="AS57" s="774" t="str" cm="1">
        <f t="array" aca="1" ref="AS5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-0.6%</v>
      </c>
      <c r="AT57" s="748" cm="1">
        <f t="array" aca="1" ref="AT5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-4.53</v>
      </c>
      <c r="AU57" s="779" cm="1">
        <f t="array" aca="1" ref="AU57" ca="1">_xlfn.IFS(TabTRADER[[#This Row],[Traps]]=ReSaleGain,"",         TabTRADER[[#This Row],[Traps]]=MDown, (TabTRADER[[#This Row],[M]]-TabTRADER[[#This Row],[A]])/TabTRADER[[#This Row],[A]]*ComFactor,             TRUE, IFERROR((TabTRADER[[#This Row],[M]]-TabTRADER[[#This Row],[A]])/TabTRADER[[#This Row],[A]]*ComFactor,""))</f>
        <v>-0.23565474544778894</v>
      </c>
      <c r="AV57" s="776" cm="1">
        <f t="array" aca="1" ref="AV57" ca="1">_xlfn.IFS(               TabTRADER[[#This Row],[Traps]]=NoStock,(TabTRADER[[#This Row],[L_Sp]]-TabTRADER[[#This Row],[M]])/TabTRADER[[#This Row],[M]]-Commission,             TabTRADER[[#This Row],[A]]&lt;&gt;0,(TabTRADER[[#This Row],[A]]-TabTRADER[[#This Row],[M]])/TabTRADER[[#This Row],[M]]-Commission)</f>
        <v>0.30676161930712342</v>
      </c>
      <c r="AW57" s="326">
        <f ca="1">_xlfn.XLOOKUP(TabTRADER[[#This Row],[ClickTick]],TabCalc[Ticker],TabCalc[L_Sn])</f>
        <v>1000</v>
      </c>
      <c r="AX57" s="740">
        <f ca="1">_xlfn.XLOOKUP(TabTRADER[[#This Row],[ClickTick]],TabCalc[Ticker],TabCalc[L_Sp])</f>
        <v>40.01</v>
      </c>
      <c r="AY57" s="778">
        <f ca="1">-IFERROR((TabTRADER[[#This Row],[M]]-TabTRADER[[#This Row],[L_Sp]])/TabTRADER[[#This Row],[L_Sp]],0)</f>
        <v>0.35791052236940757</v>
      </c>
      <c r="AZ57" s="741">
        <f ca="1">TabTRADER[[#This Row],[L_Sn]]*(TabTRADER[[#This Row],[M]]-TabTRADER[[#This Row],[L_Sp]])*(1-Commission)*TabTRADER[[#This Row],[Scale]]</f>
        <v>-14282.767999999996</v>
      </c>
      <c r="BA57" s="701">
        <f ca="1">TabTRADER[[#This Row],[L_Sn]]*(TabTRADER[[#This Row],[Agiotage]]-TabTRADER[[#This Row],[M]])/(TabTRADER[[#This Row],[L_Bn]]*TabTRADER[[#This Row],[M]])</f>
        <v>-0.61045465482885719</v>
      </c>
      <c r="BB57" s="641">
        <f ca="1">IFERROR((TabTRADER[[#This Row],[M]]-TabTRADER[[#This Row],[A]])/TabTRADER[[#This Row],[A]],0)</f>
        <v>-0.23626904496469717</v>
      </c>
      <c r="BC57" s="644" t="str">
        <f ca="1">TEXT(_xlfn.XLOOKUP(TabTRADER[[#This Row],[ClickTick]],TabCalc[Ticker],TabCalc[NAfter]),"#,#0")&amp;" : "&amp;TEXT(_xlfn.XLOOKUP(TabTRADER[[#This Row],[ClickTick]],TabCalc[Ticker],TabCalc[NAfter])*(TabTRADER[[#This Row],[M]]-TabTRADER[[#This Row],[A]])*(1-Commission)*TabTRADER[[#This Row],[Scale]],"#,#0$")</f>
        <v>12,000 : -95,122$</v>
      </c>
      <c r="BD57" s="693">
        <f ca="1">_xlfn.XLOOKUP(TabTRADER[[#This Row],[ClickTick]],TabCalc[[#This Row],[Ticker]],TabCalc[[#This Row],[GL]])*(1-Commission)</f>
        <v>-91030.100770400008</v>
      </c>
      <c r="BE57" s="693"/>
      <c r="BF57" s="675" t="str">
        <f ca="1">TabTRADER[[#This Row],[ClickTick]]&amp;": "&amp;_xlfn.XLOOKUP(TabTRADER[[#This Row],[ClickTick]],TabCalc[Ticker],TabCalc[Pile?])</f>
        <v>MVEDSY: Pile</v>
      </c>
      <c r="BG57" s="353" t="s">
        <v>2025</v>
      </c>
      <c r="BH57" s="769" t="str" cm="1">
        <f t="array" aca="1" ref="BH57" ca="1">_xlfn.TEXTJOIN("",,INDEX({"M","A","Y"}, _xlfn.SORTBY({1,2,3}, -CHOOSE({1,2,3}, TabTRADER[[#This Row],[M]], TabTRADER[[#This Row],[A]], TabTRADER[[#This Row],[Agiotage]]))))</f>
        <v>AMY</v>
      </c>
      <c r="BI57" s="976" cm="1">
        <f t="array" aca="1" ref="BI5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0.17633320358115989</v>
      </c>
      <c r="BJ57" s="688" t="e">
        <f ca="1">TabTRADER[[#This Row],[L_Sn]]*TabTRADER[[#This Row],[L_Sp]]+TabTRADER[[#This Row],[SellMore]]*TabTRADER[[#This Row],[M]]</f>
        <v>#N/A</v>
      </c>
      <c r="BK57" s="688" t="e">
        <f ca="1">INDEX(
  INDEX(TabConsolid[], , _xlfn.XMATCH(TabTRADER[[#This Row],[ClickTick]]&amp;1, TabConsolid[#Headers])),
  MATCH(
    -TabTRADER[[#This Row],[M]],
    INDEX(TabConsolid[], , _xlfn.XMATCH(TabTRADER[[#This Row],[ClickTick]]&amp;2, TabConsolid[#Headers])),
    -1
  )
)</f>
        <v>#N/A</v>
      </c>
      <c r="BL57" s="688" cm="1">
        <f t="array" aca="1" ref="BL5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M57" s="1260" t="e">
        <f ca="1">TabTRADER[[#This Row],[ReBuy]]/(TabTRADER[[#This Row],[L_Sn]]+TabTRADER[[#This Row],[SellMore]])</f>
        <v>#N/A</v>
      </c>
      <c r="BN57" s="696">
        <f ca="1">((_xlfn.XLOOKUP(TabTRADER[[#This Row],[ClickTick]],TabCalc[Ticker],TabCalc[NAfter])+TabTRADER[[#This Row],[L_Sn]])*(TabTRADER[[#This Row],[Agiotage]]-TabTRADER[[#This Row],[M]]))/(TabTRADER[[#This Row],[L_Sn]]*_xlfn.XLOOKUP(TabTRADER[[#This Row],[ClickTick]],TabCalc[Ticker],TabCalc[NAfter]))</f>
        <v>-2.5484192634149177E-2</v>
      </c>
      <c r="BO57" s="696">
        <f ca="1">(TabTRADER[[#This Row],[M]]-TabTRADER[[#This Row],[Agiotage]])/(TabTRADER[[#This Row],[M]]-TabTRADER[[#This Row],[A]])-1</f>
        <v>-3.9599081627971069</v>
      </c>
      <c r="BP57" s="1388">
        <f ca="1">_xlfn.XMATCH(TabTRADER[[#This Row],[ClickTick]]&amp;1, TabConsolid[#Headers])</f>
        <v>167</v>
      </c>
      <c r="BQ57" t="str">
        <f ca="1">IF(ABS(TabTRADER[[#This Row],[L_Bp]])&gt;=TabTRADER[[#This Row],[M]],"OK")</f>
        <v>OK</v>
      </c>
    </row>
    <row r="58" spans="1:69" hidden="1">
      <c r="A58" s="225">
        <f ca="1">IF(_xlfn.XLOOKUP(TabTRADER[[#This Row],[ClickTick]],TabCalc[Ticker],TabCalc[Cur])="GBp",0.01,1)</f>
        <v>1</v>
      </c>
      <c r="B5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-11.06x6000=    +50 EUR</v>
      </c>
      <c r="C5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31.2%</v>
      </c>
      <c r="D58" s="697" t="str" cm="1">
        <f t="array" aca="1" ref="D5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8"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8" s="228" t="str">
        <f ca="1">TRUNC(TabCalc[[#This Row],[L_B1p]],2)&amp;"x"&amp;TabCalc[[#This Row],[L_B1n]]&amp;"=   "&amp;TEXT(TabCalc[[#This Row],[ReverseS1]],"#,#0")&amp;"$"</f>
        <v>-10.66x30000=   54$</v>
      </c>
      <c r="G58" s="227" t="str">
        <f ca="1">IFERROR(TRUNC(_xlfn.XLOOKUP(TabTRADER[[#This Row],[ClickTick]],TabCalc[Ticker],ListLastSalep),2)&amp;"x"&amp;_xlfn.XLOOKUP(TabTRADER[[#This Row],[ClickTick]],TabCalc[Ticker],ListLastSalen)&amp;"=   "&amp;TEXT(-_xlfn.XLOOKUP(TabTRADER[[#This Row],[ClickTick]],TabCalc[Ticker],ListReverseB),"#,#0")&amp;"$","")</f>
        <v>12.56x2990=   10,540$</v>
      </c>
      <c r="H5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-21.9% = 0</v>
      </c>
      <c r="I58" s="228" t="str">
        <f ca="1">IFERROR(TRUNC(TabCalc[[#This Row],[L_S1p]],2)&amp;"x"&amp;TabCalc[[#This Row],[L_S1n]]&amp;"=   "&amp;TEXT(TabCalc[[#This Row],[ReverseB1]],"#,#0"),"")</f>
        <v>11.65x3000=   -13,301</v>
      </c>
      <c r="J58" s="297">
        <f ca="1">_xlfn.XLOOKUP(TabTRADER[[#This Row],[ClickTick]],TabCalc[Ticker],ListGravity)</f>
        <v>1.0495710289089213</v>
      </c>
      <c r="K58" s="324" t="str" cm="1">
        <f t="array" aca="1" ref="K58" ca="1">IF(_xlfn.XLOOKUP(TabTRADER[[#This Row],[ClickTick]],TabTRADER[ClickTick],ListExtra_n)&gt;0,_xlfn.XLOOKUP(TabTRADER[[#This Row],[ClickTick]],TabTRADER[ClickTick],ListExtra_n),"")</f>
        <v/>
      </c>
      <c r="L58" s="322" t="str">
        <f ca="1">IF(_xlfn.XLOOKUP(TabTRADER[[#This Row],[ClickTick]],TabCalc[Ticker],ListExtra_n)&gt;0,_xlfn.XLOOKUP(TabTRADER[[#This Row],[ClickTick]],TabCalc[Ticker],ListExtra_n)*TabTRADER[[#This Row],[M]]*_xlfn.XLOOKUP(TabTRADER[[#This Row],[ClickTick]],TabCalc[Ticker],ListScale),"")</f>
        <v/>
      </c>
      <c r="M58" s="325">
        <f ca="1">_xlfn.XLOOKUP(TabTRADER[[#This Row],[ClickTick]],TabCalc[Ticker],TabCalc[Agiotage])</f>
        <v>1.1313503925264488</v>
      </c>
      <c r="N58" s="326" cm="1">
        <f t="array" aca="1" ref="N58" ca="1">_xlfn.XLOOKUP(TabTRADER[[#This Row],[ClickTick]],ListTickers,Tab2RSIConventional[RSIConv20])</f>
        <v>43</v>
      </c>
      <c r="O58" s="712" t="str">
        <f ca="1">TEXT(_xlfn.XLOOKUP(TabTRADER[[#This Row],[ClickTick]],TabCalc[Ticker],TabCalc[Nbegin]),"#,#0")&amp;": "&amp;_xlfn.XLOOKUP(TabTRADER[[#This Row],[ClickTick]],TabCalc[Ticker],TabCalc[Pile?])</f>
        <v>20,000: Pile</v>
      </c>
      <c r="P58" s="326">
        <f ca="1">_xlfn.XLOOKUP(TabTRADER[[#This Row],[ClickTick]],TabCalc[Ticker],TabCalc[L_Bn])</f>
        <v>6000</v>
      </c>
      <c r="Q58" s="690">
        <f ca="1">_xlfn.XLOOKUP(TabTRADER[[#This Row],[ClickTick]],TabCalc[Ticker],TabCalc[L_Bp])</f>
        <v>-11.06</v>
      </c>
      <c r="R58" s="778">
        <f ca="1">(TabTRADER[[#This Row],[M]]+TabTRADER[[#This Row],[L_Bp]])/ABS(TabTRADER[[#This Row],[L_Bp]])</f>
        <v>0.45433996383363473</v>
      </c>
      <c r="S58" s="692">
        <f ca="1">_xlfn.XLOOKUP(TabTRADER[[#This Row],[ClickTick]],TabCalc[Ticker],TabCalc[Rev(MinStock)])*(1-Commission)</f>
        <v>50.119349999999997</v>
      </c>
      <c r="T58" s="798">
        <f ca="1">_xlfn.XLOOKUP(TabTRADER[[#This Row],[ClickTick]],TabCalc[Ticker],TabCalc[Agiotage])</f>
        <v>1.1313503925264488</v>
      </c>
      <c r="U58" s="759" t="str" cm="1">
        <f t="array" aca="1" ref="U5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1/1=&gt;0.5% / 0.3%</v>
      </c>
      <c r="V58" s="751" t="str">
        <f ca="1">_xlfn.XLOOKUP(TabTRADER[[#This Row],[ClickTick]],[1]!RTData[Ticker symbol],[1]!RTData[Currency])</f>
        <v>EUR</v>
      </c>
      <c r="W58" s="761">
        <f ca="1">_xlfn.XLOOKUP(TabTRADER[[#This Row],[ClickTick]],TabCalc[Ticker],TabCalc[M])</f>
        <v>16.085000000000001</v>
      </c>
      <c r="X58" s="762" t="str">
        <f ca="1">SORTING!B58</f>
        <v>MVEEOAN</v>
      </c>
      <c r="Y58" s="819">
        <f ca="1">_xlfn.XLOOKUP(TabTRADER[[#This Row],[ClickTick]],TabCalc[Ticker],TabCalc[Y])</f>
        <v>16.882349999999999</v>
      </c>
      <c r="Z58" s="835">
        <f ca="1">_xlfn.XLOOKUP(TabTRADER[[#This Row],[ClickTick]],[1]!RTData[Ticker symbol],[1]!RTData[YTChange])</f>
        <v>0.14069932432432419</v>
      </c>
      <c r="AA58" s="851">
        <f ca="1">-_xlfn.XLOOKUP(TabTRADER[[#This Row],[ClickTick]]&amp;2,Consolid!B$3:JZ$3,Consolid!B$4:JZ$4)</f>
        <v>11.06</v>
      </c>
      <c r="AB58" s="835" cm="1">
        <f t="array" aca="1" ref="AB58" ca="1">_xlfn.XLOOKUP(TabTRADER[[#This Row],[ClickTick]],ListTickers,Tab1ChangePercent[Change%19])</f>
        <v>5.006E-3</v>
      </c>
      <c r="AC58" s="782">
        <f ca="1">_xlfn.XLOOKUP(TabTRADER[[#This Row],[ClickTick]],TabCalc[Ticker],TabCalc[NAfter])</f>
        <v>10</v>
      </c>
      <c r="AD58"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^18/0 K$</v>
      </c>
      <c r="AE58" s="1277" t="str" cm="1">
        <f t="array" aca="1" ref="AE5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8" s="1281" t="str" cm="1">
        <f t="array" aca="1" ref="AF58" ca="1">_xlfn.IFS(       TabTRADER[[#This Row],[Traps]]=RePurchaseGain,TEXT(TabTRADER[[#This Row],[L_Sn]],"#,#0")&amp;" x "&amp;TEXT(TabTRADER[[#This Row],[L_Sp]],"#,#0.#0"),     TabTRADER[[#This Row],[Traps]]=ReSaleGain,TEXT(TabTRADER[[#This Row],[L_Bn]],"#0,#0")&amp;" x "&amp;TEXT(TabTRADER[[#This Row],[L_Bp]],"#,#0.#0"),               TRUE,"")</f>
        <v/>
      </c>
      <c r="AG58" s="1281" t="str" cm="1">
        <f t="array" aca="1" ref="AG5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12.56</v>
      </c>
      <c r="AH58" s="1281" cm="1">
        <f t="array" aca="1" ref="AH5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35.158349999999999</v>
      </c>
      <c r="AI58" s="1281" cm="1">
        <f t="array" aca="1" ref="AI5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50.119349999999997</v>
      </c>
      <c r="AJ58" s="1290" cm="1">
        <f t="array" aca="1" ref="AJ5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0.45433996383363473</v>
      </c>
      <c r="AK58" s="1290" cm="1">
        <f t="array" aca="1" ref="AK5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0.21654827479017721</v>
      </c>
      <c r="AL58" s="843" cm="1">
        <f t="array" aca="1" ref="AL58" ca="1">_xlfn.IFS(   TabTRADER[[#This Row],[Traps]]=SellMorePercentGain,                     MIN(TabTRADER[[#This Row],[L_Sn]],TabTRADER[[#This Row],[N]])*(TabTRADER[[#This Row],[M]]-TabTRADER[[#This Row],[L_Sp]])*(1-Commission)*TabTRADER[[#This Row],[Scale]],                    TRUE,"")</f>
        <v>35.158349999999999</v>
      </c>
      <c r="AM58" s="1279">
        <f ca="1">_xlfn.XLOOKUP(TabTRADER[[#This Row],[ClickTick]],TabCalc[Ticker],TabCalc[Ann%RevLB])</f>
        <v>0.58835391000039028</v>
      </c>
      <c r="AN58" s="1039">
        <f ca="1">_xlfn.XLOOKUP(TabTRADER[[#This Row],[ClickTick]],TabCalc[Ticker],TabCalc[Up20])</f>
        <v>0</v>
      </c>
      <c r="AO58" s="1291" t="str" cm="1">
        <f t="array" aca="1" ref="AO5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8" s="843" t="str" cm="1">
        <f t="array" aca="1" ref="AP58" ca="1">_xlfn.IFS(         TabTRADER[[#This Row],[Traps]]=MDown,TabTRADER[[#This Row],[L_Bn]]*TabTRADER[[#This Row],[M]]*(-(TabTRADER[[#This Row],[L_Bp]]+TabTRADER[[#This Row],[M]])/TabTRADER[[#This Row],[M]])*(1-Commission)*TabTRADER[[#This Row],[Scale]],                               TRUE,"")</f>
        <v/>
      </c>
      <c r="AQ58" s="1290" cm="1">
        <f t="array" aca="1" ref="AQ58" ca="1">_xlfn.IFS(   TabTRADER[[#This Row],[Traps]]=MUp,TabTRADER[[#This Row],[TakeGain_A]]-Commission,        TabTRADER[[#This Row],[Traps]]=MDown,(TabTRADER[[#This Row],[A]]-TabTRADER[[#This Row],[M]])/TabTRADER[[#This Row],[M]]-Commission,                              TRUE,"")</f>
        <v>0.45173996383363474</v>
      </c>
      <c r="AR58" s="843" cm="1">
        <f t="array" aca="1" ref="AR5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72.890573666365285</v>
      </c>
      <c r="AS58" s="774" t="str" cm="1">
        <f t="array" aca="1" ref="AS5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-0.3%</v>
      </c>
      <c r="AT58" s="748" t="str" cm="1">
        <f t="array" aca="1" ref="AT5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10x5.02</v>
      </c>
      <c r="AU58" s="779" cm="1">
        <f t="array" aca="1" ref="AU58" ca="1">_xlfn.IFS(TabTRADER[[#This Row],[Traps]]=ReSaleGain,"",         TabTRADER[[#This Row],[Traps]]=MDown, (TabTRADER[[#This Row],[M]]-TabTRADER[[#This Row],[A]])/TabTRADER[[#This Row],[A]]*ComFactor,             TRUE, IFERROR((TabTRADER[[#This Row],[M]]-TabTRADER[[#This Row],[A]])/TabTRADER[[#This Row],[A]]*ComFactor,""))</f>
        <v>0.45315867992766729</v>
      </c>
      <c r="AV58" s="776" cm="1">
        <f t="array" aca="1" ref="AV58" ca="1">_xlfn.IFS(               TabTRADER[[#This Row],[Traps]]=NoStock,(TabTRADER[[#This Row],[L_Sp]]-TabTRADER[[#This Row],[M]])/TabTRADER[[#This Row],[M]]-Commission,             TabTRADER[[#This Row],[A]]&lt;&gt;0,(TabTRADER[[#This Row],[A]]-TabTRADER[[#This Row],[M]])/TabTRADER[[#This Row],[M]]-Commission)</f>
        <v>-0.31500285980727383</v>
      </c>
      <c r="AW58" s="326">
        <f ca="1">_xlfn.XLOOKUP(TabTRADER[[#This Row],[ClickTick]],TabCalc[Ticker],TabCalc[L_Sn])</f>
        <v>2990</v>
      </c>
      <c r="AX58" s="740">
        <f ca="1">_xlfn.XLOOKUP(TabTRADER[[#This Row],[ClickTick]],TabCalc[Ticker],TabCalc[L_Sp])</f>
        <v>12.56</v>
      </c>
      <c r="AY58" s="778">
        <f ca="1">-IFERROR((TabTRADER[[#This Row],[M]]-TabTRADER[[#This Row],[L_Sp]])/TabTRADER[[#This Row],[L_Sp]],0)</f>
        <v>-0.28065286624203822</v>
      </c>
      <c r="AZ58" s="741">
        <f ca="1">TabTRADER[[#This Row],[L_Sn]]*(TabTRADER[[#This Row],[M]]-TabTRADER[[#This Row],[L_Sp]])*(1-Commission)*TabTRADER[[#This Row],[Scale]]</f>
        <v>10512.346650000001</v>
      </c>
      <c r="BA58" s="701">
        <f ca="1">TabTRADER[[#This Row],[L_Sn]]*(TabTRADER[[#This Row],[Agiotage]]-TabTRADER[[#This Row],[M]])/(TabTRADER[[#This Row],[L_Bn]]*TabTRADER[[#This Row],[M]])</f>
        <v>-0.46328268911352116</v>
      </c>
      <c r="BB58" s="641">
        <f ca="1">IFERROR((TabTRADER[[#This Row],[M]]-TabTRADER[[#This Row],[A]])/TabTRADER[[#This Row],[A]],0)</f>
        <v>0.45433996383363473</v>
      </c>
      <c r="BC58" s="644" t="str">
        <f ca="1">TEXT(_xlfn.XLOOKUP(TabTRADER[[#This Row],[ClickTick]],TabCalc[Ticker],TabCalc[NAfter]),"#,#0")&amp;" : "&amp;TEXT(_xlfn.XLOOKUP(TabTRADER[[#This Row],[ClickTick]],TabCalc[Ticker],TabCalc[NAfter])*(TabTRADER[[#This Row],[M]]-TabTRADER[[#This Row],[A]])*(1-Commission)*TabTRADER[[#This Row],[Scale]],"#,#0$")</f>
        <v>10 : 50$</v>
      </c>
      <c r="BD58" s="693">
        <f ca="1">_xlfn.XLOOKUP(TabTRADER[[#This Row],[ClickTick]],TabCalc[[#This Row],[Ticker]],TabCalc[[#This Row],[GL]])*(1-Commission)</f>
        <v>18073.621089000015</v>
      </c>
      <c r="BE58" s="693"/>
      <c r="BF58" s="675" t="str">
        <f ca="1">TabTRADER[[#This Row],[ClickTick]]&amp;": "&amp;_xlfn.XLOOKUP(TabTRADER[[#This Row],[ClickTick]],TabCalc[Ticker],TabCalc[Pile?])</f>
        <v>MVEEOAN: Pile</v>
      </c>
      <c r="BG58" s="353" t="s">
        <v>2026</v>
      </c>
      <c r="BH58" s="769" t="str" cm="1">
        <f t="array" aca="1" ref="BH58" ca="1">_xlfn.TEXTJOIN("",,INDEX({"M","A","Y"}, _xlfn.SORTBY({1,2,3}, -CHOOSE({1,2,3}, TabTRADER[[#This Row],[M]], TabTRADER[[#This Row],[A]], TabTRADER[[#This Row],[Agiotage]]))))</f>
        <v>MAY</v>
      </c>
      <c r="BI58" s="976" cm="1">
        <f t="array" aca="1" ref="BI5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0.21914827479017721</v>
      </c>
      <c r="BJ58" s="688">
        <f ca="1">TabTRADER[[#This Row],[L_Sn]]*TabTRADER[[#This Row],[L_Sp]]+TabTRADER[[#This Row],[SellMore]]*TabTRADER[[#This Row],[M]]</f>
        <v>37715.25</v>
      </c>
      <c r="BK58" s="688">
        <f ca="1">INDEX(
  INDEX(TabConsolid[], , _xlfn.XMATCH(TabTRADER[[#This Row],[ClickTick]]&amp;1, TabConsolid[#Headers])),
  MATCH(
    -TabTRADER[[#This Row],[M]],
    INDEX(TabConsolid[], , _xlfn.XMATCH(TabTRADER[[#This Row],[ClickTick]]&amp;2, TabConsolid[#Headers])),
    -1
  )
)</f>
        <v>10</v>
      </c>
      <c r="BL58" s="688" cm="1">
        <f t="array" aca="1" ref="BL5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8" s="1260">
        <f ca="1">TabTRADER[[#This Row],[ReBuy]]/(TabTRADER[[#This Row],[L_Sn]]+TabTRADER[[#This Row],[SellMore]])</f>
        <v>12.57175</v>
      </c>
      <c r="BN58" s="696">
        <f ca="1">((_xlfn.XLOOKUP(TabTRADER[[#This Row],[ClickTick]],TabCalc[Ticker],TabCalc[NAfter])+TabTRADER[[#This Row],[L_Sn]])*(TabTRADER[[#This Row],[Agiotage]]-TabTRADER[[#This Row],[M]]))/(TabTRADER[[#This Row],[L_Sn]]*_xlfn.XLOOKUP(TabTRADER[[#This Row],[ClickTick]],TabCalc[Ticker],TabCalc[NAfter]))</f>
        <v>-1.5003661813518614</v>
      </c>
      <c r="BO58" s="696">
        <f ca="1">(TabTRADER[[#This Row],[M]]-TabTRADER[[#This Row],[Agiotage]])/(TabTRADER[[#This Row],[M]]-TabTRADER[[#This Row],[A]])-1</f>
        <v>1.9758506681539405</v>
      </c>
      <c r="BP58" s="1388">
        <f ca="1">_xlfn.XMATCH(TabTRADER[[#This Row],[ClickTick]]&amp;1, TabConsolid[#Headers])</f>
        <v>170</v>
      </c>
      <c r="BQ58" t="b">
        <f ca="1">IF(ABS(TabTRADER[[#This Row],[L_Bp]])&gt;=TabTRADER[[#This Row],[M]],"OK")</f>
        <v>0</v>
      </c>
    </row>
    <row r="59" spans="1:69" hidden="1">
      <c r="A59" s="225">
        <f ca="1">IF(_xlfn.XLOOKUP(TabTRADER[[#This Row],[ClickTick]],TabCalc[Ticker],TabCalc[Cur])="GBp",0.01,1)</f>
        <v>1</v>
      </c>
      <c r="B5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-12.96x8000=    +23,008 EUR</v>
      </c>
      <c r="C5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18.2%</v>
      </c>
      <c r="D59" s="697" t="str" cm="1">
        <f t="array" aca="1" ref="D5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1,739/36,000=27,531</v>
      </c>
      <c r="E59"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9" s="228" t="str">
        <f ca="1">TRUNC(TabCalc[[#This Row],[L_B1p]],2)&amp;"x"&amp;TabCalc[[#This Row],[L_B1n]]&amp;"=   "&amp;TEXT(TabCalc[[#This Row],[ReverseS1]],"#,#0")&amp;"$"</f>
        <v>-12.59x2000=   6,492$</v>
      </c>
      <c r="G59" s="227" t="str">
        <f ca="1">IFERROR(TRUNC(_xlfn.XLOOKUP(TabTRADER[[#This Row],[ClickTick]],TabCalc[Ticker],ListLastSalep),2)&amp;"x"&amp;_xlfn.XLOOKUP(TabTRADER[[#This Row],[ClickTick]],TabCalc[Ticker],ListLastSalen)&amp;"=   "&amp;TEXT(-_xlfn.XLOOKUP(TabTRADER[[#This Row],[ClickTick]],TabCalc[Ticker],ListReverseB),"#,#0")&amp;"$","")</f>
        <v>15.12x4000=   2,864$</v>
      </c>
      <c r="H5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-4.5% = 0</v>
      </c>
      <c r="I59" s="228" t="str">
        <f ca="1">IFERROR(TRUNC(TabCalc[[#This Row],[L_S1p]],2)&amp;"x"&amp;TabCalc[[#This Row],[L_S1n]]&amp;"=   "&amp;TEXT(TabCalc[[#This Row],[ReverseB1]],"#,#0"),"")</f>
        <v>14.44x8000=   -11,168</v>
      </c>
      <c r="J59" s="297">
        <f ca="1">_xlfn.XLOOKUP(TabTRADER[[#This Row],[ClickTick]],TabCalc[Ticker],ListGravity)</f>
        <v>0.96173276079818137</v>
      </c>
      <c r="K59" s="324" cm="1">
        <f t="array" aca="1" ref="K59" ca="1">IF(_xlfn.XLOOKUP(TabTRADER[[#This Row],[ClickTick]],TabTRADER[ClickTick],ListExtra_n)&gt;0,_xlfn.XLOOKUP(TabTRADER[[#This Row],[ClickTick]],TabTRADER[ClickTick],ListExtra_n),"")</f>
        <v>26000</v>
      </c>
      <c r="L59" s="322">
        <f ca="1">IF(_xlfn.XLOOKUP(TabTRADER[[#This Row],[ClickTick]],TabCalc[Ticker],ListExtra_n)&gt;0,_xlfn.XLOOKUP(TabTRADER[[#This Row],[ClickTick]],TabCalc[Ticker],ListExtra_n)*TabTRADER[[#This Row],[M]]*_xlfn.XLOOKUP(TabTRADER[[#This Row],[ClickTick]],TabCalc[Ticker],ListScale),"")</f>
        <v>411736</v>
      </c>
      <c r="M59" s="325">
        <f ca="1">_xlfn.XLOOKUP(TabTRADER[[#This Row],[ClickTick]],TabCalc[Ticker],TabCalc[Agiotage])</f>
        <v>1.9476811966291017</v>
      </c>
      <c r="N59" s="326" cm="1">
        <f t="array" aca="1" ref="N59" ca="1">_xlfn.XLOOKUP(TabTRADER[[#This Row],[ClickTick]],ListTickers,Tab2RSIConventional[RSIConv20])</f>
        <v>78</v>
      </c>
      <c r="O59" s="712" t="str">
        <f ca="1">TEXT(_xlfn.XLOOKUP(TabTRADER[[#This Row],[ClickTick]],TabCalc[Ticker],TabCalc[Nbegin]),"#,#0")&amp;": "&amp;_xlfn.XLOOKUP(TabTRADER[[#This Row],[ClickTick]],TabCalc[Ticker],TabCalc[Pile?])</f>
        <v xml:space="preserve">10,000: </v>
      </c>
      <c r="P59" s="746">
        <f ca="1">_xlfn.XLOOKUP(TabTRADER[[#This Row],[ClickTick]],TabCalc[Ticker],TabCalc[L_Bn])</f>
        <v>8000</v>
      </c>
      <c r="Q59" s="690">
        <f ca="1">_xlfn.XLOOKUP(TabTRADER[[#This Row],[ClickTick]],TabCalc[Ticker],TabCalc[L_Bp])</f>
        <v>-12.96</v>
      </c>
      <c r="R59" s="778">
        <f ca="1">(TabTRADER[[#This Row],[M]]+TabTRADER[[#This Row],[L_Bp]])/ABS(TabTRADER[[#This Row],[L_Bp]])</f>
        <v>0.22191358024691352</v>
      </c>
      <c r="S59" s="692">
        <f ca="1">_xlfn.XLOOKUP(TabTRADER[[#This Row],[ClickTick]],TabCalc[Ticker],TabCalc[Rev(MinStock)])*(1-Commission)</f>
        <v>22948.179199999995</v>
      </c>
      <c r="T59" s="798">
        <f ca="1">_xlfn.XLOOKUP(TabTRADER[[#This Row],[ClickTick]],TabCalc[Ticker],TabCalc[Agiotage])</f>
        <v>1.9476811966291017</v>
      </c>
      <c r="U59" s="759" t="str" cm="1">
        <f t="array" aca="1" ref="U5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216/216=&gt;1.6% / 1.6%</v>
      </c>
      <c r="V59" s="751" t="str">
        <f ca="1">_xlfn.XLOOKUP(TabTRADER[[#This Row],[ClickTick]],[1]!RTData[Ticker symbol],[1]!RTData[Currency])</f>
        <v>EUR</v>
      </c>
      <c r="W59" s="761">
        <f ca="1">_xlfn.XLOOKUP(TabTRADER[[#This Row],[ClickTick]],TabCalc[Ticker],TabCalc[M])</f>
        <v>15.836</v>
      </c>
      <c r="X59" s="719" t="str">
        <f ca="1">SORTING!B59</f>
        <v>MVEENI</v>
      </c>
      <c r="Y59" s="819">
        <f ca="1">_xlfn.XLOOKUP(TabTRADER[[#This Row],[ClickTick]],TabCalc[Ticker],TabCalc[Y])</f>
        <v>15.23</v>
      </c>
      <c r="Z59" s="835">
        <f ca="1">_xlfn.XLOOKUP(TabTRADER[[#This Row],[ClickTick]],[1]!RTData[Ticker symbol],[1]!RTData[YTChange])</f>
        <v>3.5350101971447966E-2</v>
      </c>
      <c r="AA59" s="851">
        <f ca="1">-_xlfn.XLOOKUP(TabTRADER[[#This Row],[ClickTick]]&amp;2,Consolid!B$3:JZ$3,Consolid!B$4:JZ$4)</f>
        <v>13.428522222222222</v>
      </c>
      <c r="AB59" s="835" cm="1">
        <f t="array" aca="1" ref="AB59" ca="1">_xlfn.XLOOKUP(TabTRADER[[#This Row],[ClickTick]],ListTickers,Tab1ChangePercent[Change%19])</f>
        <v>1.6040000000000002E-2</v>
      </c>
      <c r="AC59" s="782">
        <f ca="1">_xlfn.XLOOKUP(TabTRADER[[#This Row],[ClickTick]],TabCalc[Ticker],TabCalc[NAfter])</f>
        <v>36000</v>
      </c>
      <c r="AD59"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^71/570 K$</v>
      </c>
      <c r="AE59" s="1277" t="str" cm="1">
        <f t="array" aca="1" ref="AE5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9" s="1281" t="str" cm="1">
        <f t="array" aca="1" ref="AF59" ca="1">_xlfn.IFS(       TabTRADER[[#This Row],[Traps]]=RePurchaseGain,TEXT(TabTRADER[[#This Row],[L_Sn]],"#,#0")&amp;" x "&amp;TEXT(TabTRADER[[#This Row],[L_Sp]],"#,#0.#0"),     TabTRADER[[#This Row],[Traps]]=ReSaleGain,TEXT(TabTRADER[[#This Row],[L_Bn]],"#0,#0")&amp;" x "&amp;TEXT(TabTRADER[[#This Row],[L_Bp]],"#,#0.#0"),               TRUE,"")</f>
        <v/>
      </c>
      <c r="AG59" s="1281" t="str" cm="1">
        <f t="array" aca="1" ref="AG5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4,000 x 15.12</v>
      </c>
      <c r="AH59" s="1281" cm="1">
        <f t="array" aca="1" ref="AH5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2856.5536000000043</v>
      </c>
      <c r="AI59" s="1281" cm="1">
        <f t="array" aca="1" ref="AI5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86443.860080000013</v>
      </c>
      <c r="AJ59" s="1290" cm="1">
        <f t="array" aca="1" ref="AJ5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0.1792809169868117</v>
      </c>
      <c r="AK59" s="1290" cm="1">
        <f t="array" aca="1" ref="AK5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4.261343773680229E-2</v>
      </c>
      <c r="AL59" s="843" cm="1">
        <f t="array" aca="1" ref="AL59" ca="1">_xlfn.IFS(   TabTRADER[[#This Row],[Traps]]=SellMorePercentGain,                     MIN(TabTRADER[[#This Row],[L_Sn]],TabTRADER[[#This Row],[N]])*(TabTRADER[[#This Row],[M]]-TabTRADER[[#This Row],[L_Sp]])*(1-Commission)*TabTRADER[[#This Row],[Scale]],                    TRUE,"")</f>
        <v>2856.5536000000043</v>
      </c>
      <c r="AM59" s="1279">
        <f ca="1">_xlfn.XLOOKUP(TabTRADER[[#This Row],[ClickTick]],TabCalc[Ticker],TabCalc[Ann%RevLB])</f>
        <v>0.53616703952274403</v>
      </c>
      <c r="AN59" s="1039">
        <f ca="1">_xlfn.XLOOKUP(TabTRADER[[#This Row],[ClickTick]],TabCalc[Ticker],TabCalc[Up20])</f>
        <v>0.125</v>
      </c>
      <c r="AO59" s="1291" t="str" cm="1">
        <f t="array" aca="1" ref="AO5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59" s="843" t="str" cm="1">
        <f t="array" aca="1" ref="AP59" ca="1">_xlfn.IFS(         TabTRADER[[#This Row],[Traps]]=MDown,TabTRADER[[#This Row],[L_Bn]]*TabTRADER[[#This Row],[M]]*(-(TabTRADER[[#This Row],[L_Bp]]+TabTRADER[[#This Row],[M]])/TabTRADER[[#This Row],[M]])*(1-Commission)*TabTRADER[[#This Row],[Scale]],                               TRUE,"")</f>
        <v/>
      </c>
      <c r="AQ59" s="1290" cm="1">
        <f t="array" aca="1" ref="AQ59" ca="1">_xlfn.IFS(   TabTRADER[[#This Row],[Traps]]=MUp,TabTRADER[[#This Row],[TakeGain_A]]-Commission,        TabTRADER[[#This Row],[Traps]]=MDown,(TabTRADER[[#This Row],[A]]-TabTRADER[[#This Row],[M]])/TabTRADER[[#This Row],[M]]-Commission,                              TRUE,"")</f>
        <v>0.17668091698681171</v>
      </c>
      <c r="AR59" s="774" cm="1">
        <f t="array" aca="1" ref="AR5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101941.59458302207</v>
      </c>
      <c r="AS59" s="774" t="str" cm="1">
        <f t="array" aca="1" ref="AS5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1.0%</v>
      </c>
      <c r="AT59" s="748" t="str" cm="1">
        <f t="array" aca="1" ref="AT5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8,000x2.4</v>
      </c>
      <c r="AU59" s="779" cm="1">
        <f t="array" aca="1" ref="AU59" ca="1">_xlfn.IFS(TabTRADER[[#This Row],[Traps]]=ReSaleGain,"",         TabTRADER[[#This Row],[Traps]]=MDown, (TabTRADER[[#This Row],[M]]-TabTRADER[[#This Row],[A]])/TabTRADER[[#This Row],[A]]*ComFactor,             TRUE, IFERROR((TabTRADER[[#This Row],[M]]-TabTRADER[[#This Row],[A]])/TabTRADER[[#This Row],[A]]*ComFactor,""))</f>
        <v>0.17881478660264599</v>
      </c>
      <c r="AV59" s="776" cm="1">
        <f t="array" aca="1" ref="AV59" ca="1">_xlfn.IFS(               TabTRADER[[#This Row],[Traps]]=NoStock,(TabTRADER[[#This Row],[L_Sp]]-TabTRADER[[#This Row],[M]])/TabTRADER[[#This Row],[M]]-Commission,             TabTRADER[[#This Row],[A]]&lt;&gt;0,(TabTRADER[[#This Row],[A]]-TabTRADER[[#This Row],[M]])/TabTRADER[[#This Row],[M]]-Commission)</f>
        <v>-0.15462562375459574</v>
      </c>
      <c r="AW59" s="326">
        <f ca="1">_xlfn.XLOOKUP(TabTRADER[[#This Row],[ClickTick]],TabCalc[Ticker],TabCalc[L_Sn])</f>
        <v>4000</v>
      </c>
      <c r="AX59" s="740">
        <f ca="1">_xlfn.XLOOKUP(TabTRADER[[#This Row],[ClickTick]],TabCalc[Ticker],TabCalc[L_Sp])</f>
        <v>15.12</v>
      </c>
      <c r="AY59" s="778">
        <f ca="1">-IFERROR((TabTRADER[[#This Row],[M]]-TabTRADER[[#This Row],[L_Sp]])/TabTRADER[[#This Row],[L_Sp]],0)</f>
        <v>-4.7354497354497427E-2</v>
      </c>
      <c r="AZ59" s="741">
        <f ca="1">TabTRADER[[#This Row],[L_Sn]]*(TabTRADER[[#This Row],[M]]-TabTRADER[[#This Row],[L_Sp]])*(1-Commission)*TabTRADER[[#This Row],[Scale]]</f>
        <v>2856.5536000000043</v>
      </c>
      <c r="BA59" s="701">
        <f ca="1">TabTRADER[[#This Row],[L_Sn]]*(TabTRADER[[#This Row],[Agiotage]]-TabTRADER[[#This Row],[M]])/(TabTRADER[[#This Row],[L_Bn]]*TabTRADER[[#This Row],[M]])</f>
        <v>-0.43850463511527216</v>
      </c>
      <c r="BB59" s="641">
        <f ca="1">IFERROR((TabTRADER[[#This Row],[M]]-TabTRADER[[#This Row],[A]])/TabTRADER[[#This Row],[A]],0)</f>
        <v>0.1792809169868117</v>
      </c>
      <c r="BC59" s="644" t="str">
        <f ca="1">TEXT(_xlfn.XLOOKUP(TabTRADER[[#This Row],[ClickTick]],TabCalc[Ticker],TabCalc[NAfter]),"#,#0")&amp;" : "&amp;TEXT(_xlfn.XLOOKUP(TabTRADER[[#This Row],[ClickTick]],TabCalc[Ticker],TabCalc[NAfter])*(TabTRADER[[#This Row],[M]]-TabTRADER[[#This Row],[A]])*(1-Commission)*TabTRADER[[#This Row],[Scale]],"#,#0$")</f>
        <v>36,000 : 86,444$</v>
      </c>
      <c r="BD59" s="693">
        <f ca="1">_xlfn.XLOOKUP(TabTRADER[[#This Row],[ClickTick]],TabCalc[[#This Row],[Ticker]],TabCalc[[#This Row],[GL]])*(1-Commission)</f>
        <v>71041.588377199936</v>
      </c>
      <c r="BE59" s="693"/>
      <c r="BF59" s="675" t="str">
        <f ca="1">TabTRADER[[#This Row],[ClickTick]]&amp;": "&amp;_xlfn.XLOOKUP(TabTRADER[[#This Row],[ClickTick]],TabCalc[Ticker],TabCalc[Pile?])</f>
        <v xml:space="preserve">MVEENI: </v>
      </c>
      <c r="BG59" s="353" t="s">
        <v>2031</v>
      </c>
      <c r="BH59" s="769" t="str" cm="1">
        <f t="array" aca="1" ref="BH59" ca="1">_xlfn.TEXTJOIN("",,INDEX({"M","A","Y"}, _xlfn.SORTBY({1,2,3}, -CHOOSE({1,2,3}, TabTRADER[[#This Row],[M]], TabTRADER[[#This Row],[A]], TabTRADER[[#This Row],[Agiotage]]))))</f>
        <v>MAY</v>
      </c>
      <c r="BI59" s="976" cm="1">
        <f t="array" aca="1" ref="BI5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4.5213437736802288E-2</v>
      </c>
      <c r="BJ59" s="688">
        <f ca="1">TabTRADER[[#This Row],[L_Sn]]*TabTRADER[[#This Row],[L_Sp]]+TabTRADER[[#This Row],[SellMore]]*TabTRADER[[#This Row],[M]]</f>
        <v>92152</v>
      </c>
      <c r="BK59" s="688">
        <f ca="1">INDEX(
  INDEX(TabConsolid[], , _xlfn.XMATCH(TabTRADER[[#This Row],[ClickTick]]&amp;1, TabConsolid[#Headers])),
  MATCH(
    -TabTRADER[[#This Row],[M]],
    INDEX(TabConsolid[], , _xlfn.XMATCH(TabTRADER[[#This Row],[ClickTick]]&amp;2, TabConsolid[#Headers])),
    -1
  )
)</f>
        <v>2000</v>
      </c>
      <c r="BL59" s="688" cm="1">
        <f t="array" aca="1" ref="BL5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59" s="1260">
        <f ca="1">TabTRADER[[#This Row],[ReBuy]]/(TabTRADER[[#This Row],[L_Sn]]+TabTRADER[[#This Row],[SellMore]])</f>
        <v>15.358666666666666</v>
      </c>
      <c r="BN59" s="696">
        <f ca="1">((_xlfn.XLOOKUP(TabTRADER[[#This Row],[ClickTick]],TabCalc[Ticker],TabCalc[NAfter])+TabTRADER[[#This Row],[L_Sn]])*(TabTRADER[[#This Row],[Agiotage]]-TabTRADER[[#This Row],[M]]))/(TabTRADER[[#This Row],[L_Sn]]*_xlfn.XLOOKUP(TabTRADER[[#This Row],[ClickTick]],TabCalc[Ticker],TabCalc[NAfter]))</f>
        <v>-3.8578663342696941E-3</v>
      </c>
      <c r="BO59" s="696">
        <f ca="1">(TabTRADER[[#This Row],[M]]-TabTRADER[[#This Row],[Agiotage]])/(TabTRADER[[#This Row],[M]]-TabTRADER[[#This Row],[A]])-1</f>
        <v>4.7688253372749747</v>
      </c>
      <c r="BP59" s="1388">
        <f ca="1">_xlfn.XMATCH(TabTRADER[[#This Row],[ClickTick]]&amp;1, TabConsolid[#Headers])</f>
        <v>173</v>
      </c>
      <c r="BQ59" t="b">
        <f ca="1">IF(ABS(TabTRADER[[#This Row],[L_Bp]])&gt;=TabTRADER[[#This Row],[M]],"OK")</f>
        <v>0</v>
      </c>
    </row>
    <row r="60" spans="1:69" hidden="1">
      <c r="A60" s="225">
        <f ca="1">IF(_xlfn.XLOOKUP(TabTRADER[[#This Row],[ClickTick]],TabCalc[Ticker],TabCalc[Cur])="GBp",0.01,1)</f>
        <v>1</v>
      </c>
      <c r="B6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-1.72x10000=    -15,188 USD</v>
      </c>
      <c r="C60"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60" s="697" t="str" cm="1">
        <f t="array" aca="1" ref="D6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0"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0" s="228" t="str">
        <f ca="1">TRUNC(TabCalc[[#This Row],[L_B1p]],2)&amp;"x"&amp;TabCalc[[#This Row],[L_B1n]]&amp;"=   "&amp;TEXT(TabCalc[[#This Row],[ReverseS1]],"#,#0")&amp;"$"</f>
        <v>-6.93x2000=   -13,458$</v>
      </c>
      <c r="G60" s="227" t="str">
        <f ca="1">IFERROR(TRUNC(_xlfn.XLOOKUP(TabTRADER[[#This Row],[ClickTick]],TabCalc[Ticker],ListLastSalep),2)&amp;"x"&amp;_xlfn.XLOOKUP(TabTRADER[[#This Row],[ClickTick]],TabCalc[Ticker],ListLastSalen)&amp;"=   "&amp;TEXT(-_xlfn.XLOOKUP(TabTRADER[[#This Row],[ClickTick]],TabCalc[Ticker],ListReverseB),"#,#0")&amp;"$","")</f>
        <v>0x0=   0$</v>
      </c>
      <c r="H6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60" s="228" t="str">
        <f ca="1">IFERROR(TRUNC(TabCalc[[#This Row],[L_S1p]],2)&amp;"x"&amp;TabCalc[[#This Row],[L_S1n]]&amp;"=   "&amp;TEXT(TabCalc[[#This Row],[ReverseB1]],"#,#0"),"")</f>
        <v>0x0=   0</v>
      </c>
      <c r="J60" s="297">
        <f ca="1">_xlfn.XLOOKUP(TabTRADER[[#This Row],[ClickTick]],TabCalc[Ticker],ListGravity)</f>
        <v>0</v>
      </c>
      <c r="K60" s="324" cm="1">
        <f t="array" aca="1" ref="K60" ca="1">IF(_xlfn.XLOOKUP(TabTRADER[[#This Row],[ClickTick]],TabTRADER[ClickTick],ListExtra_n)&gt;0,_xlfn.XLOOKUP(TabTRADER[[#This Row],[ClickTick]],TabTRADER[ClickTick],ListExtra_n),"")</f>
        <v>10000</v>
      </c>
      <c r="L60" s="322">
        <f ca="1">IF(_xlfn.XLOOKUP(TabTRADER[[#This Row],[ClickTick]],TabCalc[Ticker],ListExtra_n)&gt;0,_xlfn.XLOOKUP(TabTRADER[[#This Row],[ClickTick]],TabCalc[Ticker],ListExtra_n)*TabTRADER[[#This Row],[M]]*_xlfn.XLOOKUP(TabTRADER[[#This Row],[ClickTick]],TabCalc[Ticker],ListScale),"")</f>
        <v>2012</v>
      </c>
      <c r="M60" s="325">
        <f ca="1">_xlfn.XLOOKUP(TabTRADER[[#This Row],[ClickTick]],TabCalc[Ticker],TabCalc[Agiotage])</f>
        <v>1.8522760022071003</v>
      </c>
      <c r="N60" s="326" cm="1">
        <f t="array" aca="1" ref="N60" ca="1">_xlfn.XLOOKUP(TabTRADER[[#This Row],[ClickTick]],ListTickers,Tab2RSIConventional[RSIConv20])</f>
        <v>0</v>
      </c>
      <c r="O60" s="712" t="str">
        <f ca="1">TEXT(_xlfn.XLOOKUP(TabTRADER[[#This Row],[ClickTick]],TabCalc[Ticker],TabCalc[Nbegin]),"#,#0")&amp;": "&amp;_xlfn.XLOOKUP(TabTRADER[[#This Row],[ClickTick]],TabCalc[Ticker],TabCalc[Pile?])</f>
        <v>2,000: Pile</v>
      </c>
      <c r="P60" s="323">
        <f ca="1">_xlfn.XLOOKUP(TabTRADER[[#This Row],[ClickTick]],TabCalc[Ticker],TabCalc[L_Bn])</f>
        <v>10000</v>
      </c>
      <c r="Q60" s="740">
        <f ca="1">_xlfn.XLOOKUP(TabTRADER[[#This Row],[ClickTick]],TabCalc[Ticker],TabCalc[L_Bp])</f>
        <v>-1.72</v>
      </c>
      <c r="R60" s="778">
        <f ca="1">(TabTRADER[[#This Row],[M]]+TabTRADER[[#This Row],[L_Bp]])/ABS(TabTRADER[[#This Row],[L_Bp]])</f>
        <v>-0.88302325581395347</v>
      </c>
      <c r="S60" s="692">
        <f ca="1">_xlfn.XLOOKUP(TabTRADER[[#This Row],[ClickTick]],TabCalc[Ticker],TabCalc[Rev(MinStock)])*(1-Commission)</f>
        <v>-15148.511199999999</v>
      </c>
      <c r="T60" s="798">
        <f ca="1">_xlfn.XLOOKUP(TabTRADER[[#This Row],[ClickTick]],TabCalc[Ticker],TabCalc[Agiotage])</f>
        <v>1.8522760022071003</v>
      </c>
      <c r="U60" s="759" t="str" cm="1">
        <f t="array" aca="1" ref="U6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14/14=&gt;0.0% / 0.0%</v>
      </c>
      <c r="V60" s="751" t="str">
        <f ca="1">_xlfn.XLOOKUP(TabTRADER[[#This Row],[ClickTick]],[1]!RTData[Ticker symbol],[1]!RTData[Currency])</f>
        <v>USD</v>
      </c>
      <c r="W60" s="761">
        <f ca="1">_xlfn.XLOOKUP(TabTRADER[[#This Row],[ClickTick]],TabCalc[Ticker],TabCalc[M])</f>
        <v>0.20119999999999999</v>
      </c>
      <c r="X60" s="762" t="str">
        <f ca="1">SORTING!B60</f>
        <v>MVEEPIX</v>
      </c>
      <c r="Y60" s="819">
        <f ca="1">_xlfn.XLOOKUP(TabTRADER[[#This Row],[ClickTick]],TabCalc[Ticker],TabCalc[Y])</f>
        <v>0</v>
      </c>
      <c r="Z60" s="835">
        <f ca="1">_xlfn.XLOOKUP(TabTRADER[[#This Row],[ClickTick]],[1]!RTData[Ticker symbol],[1]!RTData[YTChange])</f>
        <v>0</v>
      </c>
      <c r="AA60" s="851">
        <f ca="1">-_xlfn.XLOOKUP(TabTRADER[[#This Row],[ClickTick]]&amp;2,Consolid!B$3:JZ$3,Consolid!B$4:JZ$4)</f>
        <v>2.5883333333333334</v>
      </c>
      <c r="AB60" s="835" cm="1">
        <f t="array" aca="1" ref="AB60" ca="1">_xlfn.XLOOKUP(TabTRADER[[#This Row],[ClickTick]],ListTickers,Tab1ChangePercent[Change%19])</f>
        <v>0</v>
      </c>
      <c r="AC60" s="782">
        <f ca="1">_xlfn.XLOOKUP(TabTRADER[[#This Row],[ClickTick]],TabCalc[Ticker],TabCalc[NAfter])</f>
        <v>12000</v>
      </c>
      <c r="AD60"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-29/2 K$</v>
      </c>
      <c r="AE60" s="1299" t="str" cm="1">
        <f t="array" aca="1" ref="AE6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60" s="1281" t="str" cm="1">
        <f t="array" aca="1" ref="AF60" ca="1">_xlfn.IFS(       TabTRADER[[#This Row],[Traps]]=RePurchaseGain,TEXT(TabTRADER[[#This Row],[L_Sn]],"#,#0")&amp;" x "&amp;TEXT(TabTRADER[[#This Row],[L_Sp]],"#,#0.#0"),     TabTRADER[[#This Row],[Traps]]=ReSaleGain,TEXT(TabTRADER[[#This Row],[L_Bn]],"#0,#0")&amp;" x "&amp;TEXT(TabTRADER[[#This Row],[L_Bp]],"#,#0.#0"),               TRUE,"")</f>
        <v/>
      </c>
      <c r="AG60" s="1281" t="str" cm="1">
        <f t="array" aca="1" ref="AG6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10,000 x -1.72</v>
      </c>
      <c r="AH60" s="1281" cm="1">
        <f t="array" aca="1" ref="AH6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15148.511199999999</v>
      </c>
      <c r="AI60" s="1281" cm="1">
        <f t="array" aca="1" ref="AI6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2414.4</v>
      </c>
      <c r="AJ60" s="1290" cm="1">
        <f t="array" aca="1" ref="AJ6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0.92226658081133284</v>
      </c>
      <c r="AK60" s="1290" cm="1">
        <f t="array" aca="1" ref="AK6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L60" s="843" t="str" cm="1">
        <f t="array" aca="1" ref="AL60" ca="1">_xlfn.IFS(   TabTRADER[[#This Row],[Traps]]=SellMorePercentGain,                     MIN(TabTRADER[[#This Row],[L_Sn]],TabTRADER[[#This Row],[N]])*(TabTRADER[[#This Row],[M]]-TabTRADER[[#This Row],[L_Sp]])*(1-Commission)*TabTRADER[[#This Row],[Scale]],                    TRUE,"")</f>
        <v/>
      </c>
      <c r="AM60" s="1039">
        <f ca="1">_xlfn.XLOOKUP(TabTRADER[[#This Row],[ClickTick]],TabCalc[Ticker],TabCalc[Ann%RevLB])</f>
        <v>-1.1517694641051566</v>
      </c>
      <c r="AN60" s="1038">
        <f ca="1">_xlfn.XLOOKUP(TabTRADER[[#This Row],[ClickTick]],TabCalc[Ticker],TabCalc[Up20])</f>
        <v>0</v>
      </c>
      <c r="AO60" s="1291" cm="1">
        <f t="array" aca="1" ref="AO6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P60" s="843" cm="1">
        <f t="array" aca="1" ref="AP60" ca="1">_xlfn.IFS(         TabTRADER[[#This Row],[Traps]]=MDown,TabTRADER[[#This Row],[L_Bn]]*TabTRADER[[#This Row],[M]]*(-(TabTRADER[[#This Row],[L_Bp]]+TabTRADER[[#This Row],[M]])/TabTRADER[[#This Row],[M]])*(1-Commission)*TabTRADER[[#This Row],[Scale]],                               TRUE,"")</f>
        <v>15148.511199999999</v>
      </c>
      <c r="AQ60" s="1290" cm="1">
        <f t="array" aca="1" ref="AQ60" ca="1">_xlfn.IFS(   TabTRADER[[#This Row],[Traps]]=MUp,TabTRADER[[#This Row],[TakeGain_A]]-Commission,        TabTRADER[[#This Row],[Traps]]=MDown,(TabTRADER[[#This Row],[A]]-TabTRADER[[#This Row],[M]])/TabTRADER[[#This Row],[M]]-Commission,                              TRUE,"")</f>
        <v>11.861879787939033</v>
      </c>
      <c r="AR60" s="774" cm="1">
        <f t="array" aca="1" ref="AR6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28571.121439999999</v>
      </c>
      <c r="AS60" s="774" t="str" cm="1">
        <f t="array" aca="1" ref="AS6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60" s="748" cm="1">
        <f t="array" aca="1" ref="AT6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U60" s="779" cm="1">
        <f t="array" aca="1" ref="AU60" ca="1">_xlfn.IFS(TabTRADER[[#This Row],[Traps]]=ReSaleGain,"",         TabTRADER[[#This Row],[Traps]]=MDown, (TabTRADER[[#This Row],[M]]-TabTRADER[[#This Row],[A]])/TabTRADER[[#This Row],[A]]*ComFactor,             TRUE, IFERROR((TabTRADER[[#This Row],[M]]-TabTRADER[[#This Row],[A]])/TabTRADER[[#This Row],[A]]*ComFactor,""))</f>
        <v>-0.91986868770122332</v>
      </c>
      <c r="AV60" s="776" cm="1">
        <f t="array" aca="1" ref="AV60" ca="1">_xlfn.IFS(               TabTRADER[[#This Row],[Traps]]=NoStock,(TabTRADER[[#This Row],[L_Sp]]-TabTRADER[[#This Row],[M]])/TabTRADER[[#This Row],[M]]-Commission,             TabTRADER[[#This Row],[A]]&lt;&gt;0,(TabTRADER[[#This Row],[A]]-TabTRADER[[#This Row],[M]])/TabTRADER[[#This Row],[M]]-Commission)</f>
        <v>11.861879787939033</v>
      </c>
      <c r="AW60" s="326">
        <f ca="1">_xlfn.XLOOKUP(TabTRADER[[#This Row],[ClickTick]],TabCalc[Ticker],TabCalc[L_Sn])</f>
        <v>0</v>
      </c>
      <c r="AX60" s="740">
        <f ca="1">_xlfn.XLOOKUP(TabTRADER[[#This Row],[ClickTick]],TabCalc[Ticker],TabCalc[L_Sp])</f>
        <v>0</v>
      </c>
      <c r="AY60" s="778">
        <f ca="1">-IFERROR((TabTRADER[[#This Row],[M]]-TabTRADER[[#This Row],[L_Sp]])/TabTRADER[[#This Row],[L_Sp]],0)</f>
        <v>0</v>
      </c>
      <c r="AZ60" s="741">
        <f ca="1">TabTRADER[[#This Row],[L_Sn]]*(TabTRADER[[#This Row],[M]]-TabTRADER[[#This Row],[L_Sp]])*(1-Commission)*TabTRADER[[#This Row],[Scale]]</f>
        <v>0</v>
      </c>
      <c r="BA60" s="701">
        <f ca="1">TabTRADER[[#This Row],[L_Sn]]*(TabTRADER[[#This Row],[Agiotage]]-TabTRADER[[#This Row],[M]])/(TabTRADER[[#This Row],[L_Bn]]*TabTRADER[[#This Row],[M]])</f>
        <v>0</v>
      </c>
      <c r="BB60" s="641">
        <f ca="1">IFERROR((TabTRADER[[#This Row],[M]]-TabTRADER[[#This Row],[A]])/TabTRADER[[#This Row],[A]],0)</f>
        <v>-0.92226658081133284</v>
      </c>
      <c r="BC60" s="644" t="str">
        <f ca="1">TEXT(_xlfn.XLOOKUP(TabTRADER[[#This Row],[ClickTick]],TabCalc[Ticker],TabCalc[NAfter]),"#,#0")&amp;" : "&amp;TEXT(_xlfn.XLOOKUP(TabTRADER[[#This Row],[ClickTick]],TabCalc[Ticker],TabCalc[NAfter])*(TabTRADER[[#This Row],[M]]-TabTRADER[[#This Row],[A]])*(1-Commission)*TabTRADER[[#This Row],[Scale]],"#,#0$")</f>
        <v>12,000 : -28,571$</v>
      </c>
      <c r="BD60" s="693">
        <f ca="1">_xlfn.XLOOKUP(TabTRADER[[#This Row],[ClickTick]],TabCalc[[#This Row],[Ticker]],TabCalc[[#This Row],[GL]])*(1-Commission)</f>
        <v>-28571.121439999999</v>
      </c>
      <c r="BE60" s="693"/>
      <c r="BF60" s="675" t="str">
        <f ca="1">TabTRADER[[#This Row],[ClickTick]]&amp;": "&amp;_xlfn.XLOOKUP(TabTRADER[[#This Row],[ClickTick]],TabCalc[Ticker],TabCalc[Pile?])</f>
        <v>MVEEPIX: Pile</v>
      </c>
      <c r="BG60" s="353" t="s">
        <v>2032</v>
      </c>
      <c r="BH60" s="769" t="str" cm="1">
        <f t="array" aca="1" ref="BH60" ca="1">_xlfn.TEXTJOIN("",,INDEX({"M","A","Y"}, _xlfn.SORTBY({1,2,3}, -CHOOSE({1,2,3}, TabTRADER[[#This Row],[M]], TabTRADER[[#This Row],[A]], TabTRADER[[#This Row],[Agiotage]]))))</f>
        <v>AYM</v>
      </c>
      <c r="BI60" s="976" cm="1">
        <f t="array" aca="1" ref="BI6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J60" s="688" t="e">
        <f ca="1">TabTRADER[[#This Row],[L_Sn]]*TabTRADER[[#This Row],[L_Sp]]+TabTRADER[[#This Row],[SellMore]]*TabTRADER[[#This Row],[M]]</f>
        <v>#N/A</v>
      </c>
      <c r="BK60" s="688" t="e">
        <f ca="1">INDEX(
  INDEX(TabConsolid[], , _xlfn.XMATCH(TabTRADER[[#This Row],[ClickTick]]&amp;1, TabConsolid[#Headers])),
  MATCH(
    -TabTRADER[[#This Row],[M]],
    INDEX(TabConsolid[], , _xlfn.XMATCH(TabTRADER[[#This Row],[ClickTick]]&amp;2, TabConsolid[#Headers])),
    -1
  )
)</f>
        <v>#N/A</v>
      </c>
      <c r="BL60" s="688" cm="1">
        <f t="array" aca="1" ref="BL6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60" s="1260" t="e">
        <f ca="1">TabTRADER[[#This Row],[ReBuy]]/(TabTRADER[[#This Row],[L_Sn]]+TabTRADER[[#This Row],[SellMore]])</f>
        <v>#N/A</v>
      </c>
      <c r="BN60" s="696" t="e">
        <f ca="1">((_xlfn.XLOOKUP(TabTRADER[[#This Row],[ClickTick]],TabCalc[Ticker],TabCalc[NAfter])+TabTRADER[[#This Row],[L_Sn]])*(TabTRADER[[#This Row],[Agiotage]]-TabTRADER[[#This Row],[M]]))/(TabTRADER[[#This Row],[L_Sn]]*_xlfn.XLOOKUP(TabTRADER[[#This Row],[ClickTick]],TabCalc[Ticker],TabCalc[NAfter]))</f>
        <v>#DIV/0!</v>
      </c>
      <c r="BO60" s="696">
        <f ca="1">(TabTRADER[[#This Row],[M]]-TabTRADER[[#This Row],[Agiotage]])/(TabTRADER[[#This Row],[M]]-TabTRADER[[#This Row],[A]])-1</f>
        <v>-0.30834361903799523</v>
      </c>
      <c r="BP60" s="1388">
        <f ca="1">_xlfn.XMATCH(TabTRADER[[#This Row],[ClickTick]]&amp;1, TabConsolid[#Headers])</f>
        <v>176</v>
      </c>
      <c r="BQ60" t="str">
        <f ca="1">IF(ABS(TabTRADER[[#This Row],[L_Bp]])&gt;=TabTRADER[[#This Row],[M]],"OK")</f>
        <v>OK</v>
      </c>
    </row>
    <row r="61" spans="1:69" hidden="1">
      <c r="A61" s="225">
        <f ca="1">IF(_xlfn.XLOOKUP(TabTRADER[[#This Row],[ClickTick]],TabCalc[Ticker],TabCalc[Cur])="GBp",0.01,1)</f>
        <v>1</v>
      </c>
      <c r="B6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-54.02x1000=    -340 EUR</v>
      </c>
      <c r="C61"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-0.6%</v>
      </c>
      <c r="D61" s="697" t="str" cm="1">
        <f t="array" aca="1" ref="D6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1" s="228" t="str">
        <f ca="1">TRUNC(TabCalc[[#This Row],[L_B1p]],2)&amp;"x"&amp;TabCalc[[#This Row],[L_B1n]]&amp;"=   "&amp;TEXT(TabCalc[[#This Row],[ReverseS1]],"#,#0")&amp;"$"</f>
        <v>-54.68x2000=   -2,000$</v>
      </c>
      <c r="G61" s="227" t="str">
        <f ca="1">IFERROR(TRUNC(_xlfn.XLOOKUP(TabTRADER[[#This Row],[ClickTick]],TabCalc[Ticker],ListLastSalep),2)&amp;"x"&amp;_xlfn.XLOOKUP(TabTRADER[[#This Row],[ClickTick]],TabCalc[Ticker],ListLastSalen)&amp;"=   "&amp;TEXT(-_xlfn.XLOOKUP(TabTRADER[[#This Row],[ClickTick]],TabCalc[Ticker],ListReverseB),"#,#0")&amp;"$","")</f>
        <v>47.47x1000=   6,210$</v>
      </c>
      <c r="H6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11.6% = 0</v>
      </c>
      <c r="I61" s="228" t="str">
        <f ca="1">IFERROR(TRUNC(TabCalc[[#This Row],[L_S1p]],2)&amp;"x"&amp;TabCalc[[#This Row],[L_S1n]]&amp;"=   "&amp;TEXT(TabCalc[[#This Row],[ReverseB1]],"#,#0"),"")</f>
        <v>45.76x1000=   -7,920</v>
      </c>
      <c r="J61" s="297">
        <f ca="1">_xlfn.XLOOKUP(TabTRADER[[#This Row],[ClickTick]],TabCalc[Ticker],ListGravity)</f>
        <v>1.1305886736214605</v>
      </c>
      <c r="K61" s="324" t="str" cm="1">
        <f t="array" aca="1" ref="K61" ca="1">IF(_xlfn.XLOOKUP(TabTRADER[[#This Row],[ClickTick]],TabTRADER[ClickTick],ListExtra_n)&gt;0,_xlfn.XLOOKUP(TabTRADER[[#This Row],[ClickTick]],TabTRADER[ClickTick],ListExtra_n),"")</f>
        <v/>
      </c>
      <c r="L61" s="322" t="str">
        <f ca="1">IF(_xlfn.XLOOKUP(TabTRADER[[#This Row],[ClickTick]],TabCalc[Ticker],ListExtra_n)&gt;0,_xlfn.XLOOKUP(TabTRADER[[#This Row],[ClickTick]],TabCalc[Ticker],ListExtra_n)*TabTRADER[[#This Row],[M]]*_xlfn.XLOOKUP(TabTRADER[[#This Row],[ClickTick]],TabCalc[Ticker],ListScale),"")</f>
        <v/>
      </c>
      <c r="M61" s="325">
        <f ca="1">_xlfn.XLOOKUP(TabTRADER[[#This Row],[ClickTick]],TabCalc[Ticker],TabCalc[Agiotage])</f>
        <v>0.79786255716959531</v>
      </c>
      <c r="N61" s="326" cm="1">
        <f t="array" aca="1" ref="N61" ca="1">_xlfn.XLOOKUP(TabTRADER[[#This Row],[ClickTick]],ListTickers,Tab2RSIConventional[RSIConv20])</f>
        <v>52</v>
      </c>
      <c r="O61" s="712" t="str">
        <f ca="1">TEXT(_xlfn.XLOOKUP(TabTRADER[[#This Row],[ClickTick]],TabCalc[Ticker],TabCalc[Nbegin]),"#,#0")&amp;": "&amp;_xlfn.XLOOKUP(TabTRADER[[#This Row],[ClickTick]],TabCalc[Ticker],TabCalc[Pile?])</f>
        <v>10,000: Pile</v>
      </c>
      <c r="P61" s="877">
        <f ca="1">_xlfn.XLOOKUP(TabTRADER[[#This Row],[ClickTick]],TabCalc[Ticker],TabCalc[L_Bn])</f>
        <v>1000</v>
      </c>
      <c r="Q61" s="740">
        <f ca="1">_xlfn.XLOOKUP(TabTRADER[[#This Row],[ClickTick]],TabCalc[Ticker],TabCalc[L_Bp])</f>
        <v>-54.02</v>
      </c>
      <c r="R61" s="778">
        <f ca="1">(TabTRADER[[#This Row],[M]]+TabTRADER[[#This Row],[L_Bp]])/ABS(TabTRADER[[#This Row],[L_Bp]])</f>
        <v>-6.2939651980748502E-3</v>
      </c>
      <c r="S61" s="692">
        <f ca="1">_xlfn.XLOOKUP(TabTRADER[[#This Row],[ClickTick]],TabCalc[Ticker],TabCalc[Rev(MinStock)])*(1-Commission)</f>
        <v>-339.1160000000034</v>
      </c>
      <c r="T61" s="798">
        <f ca="1">_xlfn.XLOOKUP(TabTRADER[[#This Row],[ClickTick]],TabCalc[Ticker],TabCalc[Agiotage])</f>
        <v>0.79786255716959531</v>
      </c>
      <c r="U61" s="759" t="str" cm="1">
        <f t="array" aca="1" ref="U6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-1,820/-1,820=&gt;0.2% / 0.2%</v>
      </c>
      <c r="V61" s="751" t="str">
        <f ca="1">_xlfn.XLOOKUP(TabTRADER[[#This Row],[ClickTick]],[1]!RTData[Ticker symbol],[1]!RTData[Currency])</f>
        <v>EUR</v>
      </c>
      <c r="W61" s="761">
        <f ca="1">_xlfn.XLOOKUP(TabTRADER[[#This Row],[ClickTick]],TabCalc[Ticker],TabCalc[M])</f>
        <v>53.68</v>
      </c>
      <c r="X61" s="762" t="str">
        <f ca="1">SORTING!B61</f>
        <v>MVEGLE</v>
      </c>
      <c r="Y61" s="819">
        <f ca="1">_xlfn.XLOOKUP(TabTRADER[[#This Row],[ClickTick]],TabCalc[Ticker],TabCalc[Y])</f>
        <v>60.69</v>
      </c>
      <c r="Z61" s="835">
        <f ca="1">_xlfn.XLOOKUP(TabTRADER[[#This Row],[ClickTick]],[1]!RTData[Ticker symbol],[1]!RTData[YTChange])</f>
        <v>1.5392337292956242E-2</v>
      </c>
      <c r="AA61" s="851">
        <f ca="1">-_xlfn.XLOOKUP(TabTRADER[[#This Row],[ClickTick]]&amp;2,Consolid!B$3:JZ$3,Consolid!B$4:JZ$4)</f>
        <v>55.660714285714285</v>
      </c>
      <c r="AB61" s="835" cm="1">
        <f t="array" aca="1" ref="AB61" ca="1">_xlfn.XLOOKUP(TabTRADER[[#This Row],[ClickTick]],ListTickers,Tab1ChangePercent[Change%19])</f>
        <v>1.8659999999999998E-3</v>
      </c>
      <c r="AC61" s="782">
        <f ca="1">_xlfn.XLOOKUP(TabTRADER[[#This Row],[ClickTick]],TabCalc[Ticker],TabCalc[NAfter])</f>
        <v>7000</v>
      </c>
      <c r="AD61"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^79/376 K$</v>
      </c>
      <c r="AE61" s="1299" t="str" cm="1">
        <f t="array" aca="1" ref="AE6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61" s="1281" t="str" cm="1">
        <f t="array" aca="1" ref="AF61" ca="1">_xlfn.IFS(       TabTRADER[[#This Row],[Traps]]=RePurchaseGain,TEXT(TabTRADER[[#This Row],[L_Sn]],"#,#0")&amp;" x "&amp;TEXT(TabTRADER[[#This Row],[L_Sp]],"#,#0.#0"),     TabTRADER[[#This Row],[Traps]]=ReSaleGain,TEXT(TabTRADER[[#This Row],[L_Bn]],"#0,#0")&amp;" x "&amp;TEXT(TabTRADER[[#This Row],[L_Bp]],"#,#0.#0"),               TRUE,"")</f>
        <v/>
      </c>
      <c r="AG61" s="1281" t="str" cm="1">
        <f t="array" aca="1" ref="AG6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-54.02</v>
      </c>
      <c r="AH61" s="1281" cm="1">
        <f t="array" aca="1" ref="AH6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339.1160000000034</v>
      </c>
      <c r="AI61" s="1281" cm="1">
        <f t="array" aca="1" ref="AI6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375760</v>
      </c>
      <c r="AJ61" s="1290" cm="1">
        <f t="array" aca="1" ref="AJ6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3.5585498877125428E-2</v>
      </c>
      <c r="AK61" s="1290" cm="1">
        <f t="array" aca="1" ref="AK6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3.7338301043219717E-3</v>
      </c>
      <c r="AL61" s="843" t="str" cm="1">
        <f t="array" aca="1" ref="AL61" ca="1">_xlfn.IFS(   TabTRADER[[#This Row],[Traps]]=SellMorePercentGain,                     MIN(TabTRADER[[#This Row],[L_Sn]],TabTRADER[[#This Row],[N]])*(TabTRADER[[#This Row],[M]]-TabTRADER[[#This Row],[L_Sp]])*(1-Commission)*TabTRADER[[#This Row],[Scale]],                    TRUE,"")</f>
        <v/>
      </c>
      <c r="AM61" s="1296">
        <f ca="1">_xlfn.XLOOKUP(TabTRADER[[#This Row],[ClickTick]],TabCalc[Ticker],TabCalc[Ann%RevLB])</f>
        <v>-0.25175860792299398</v>
      </c>
      <c r="AN61" s="1392">
        <f ca="1">_xlfn.XLOOKUP(TabTRADER[[#This Row],[ClickTick]],TabCalc[Ticker],TabCalc[Up20])</f>
        <v>0.5</v>
      </c>
      <c r="AO61" s="1291" cm="1">
        <f t="array" aca="1" ref="AO6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6.3338301043219716E-3</v>
      </c>
      <c r="AP61" s="843" cm="1">
        <f t="array" aca="1" ref="AP61" ca="1">_xlfn.IFS(         TabTRADER[[#This Row],[Traps]]=MDown,TabTRADER[[#This Row],[L_Bn]]*TabTRADER[[#This Row],[M]]*(-(TabTRADER[[#This Row],[L_Bp]]+TabTRADER[[#This Row],[M]])/TabTRADER[[#This Row],[M]])*(1-Commission)*TabTRADER[[#This Row],[Scale]],                               TRUE,"")</f>
        <v>339.1160000000034</v>
      </c>
      <c r="AQ61" s="1290" cm="1">
        <f t="array" aca="1" ref="AQ61" ca="1">_xlfn.IFS(   TabTRADER[[#This Row],[Traps]]=MUp,TabTRADER[[#This Row],[TakeGain_A]]-Commission,        TabTRADER[[#This Row],[Traps]]=MDown,(TabTRADER[[#This Row],[A]]-TabTRADER[[#This Row],[M]])/TabTRADER[[#This Row],[M]]-Commission,                              TRUE,"")</f>
        <v>3.4298552267404712E-2</v>
      </c>
      <c r="AR61" s="843" cm="1">
        <f t="array" aca="1" ref="AR6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13828.950999999994</v>
      </c>
      <c r="AS61" s="774" t="str" cm="1">
        <f t="array" aca="1" ref="AS6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-0.6%</v>
      </c>
      <c r="AT61" s="748" cm="1">
        <f t="array" aca="1" ref="AT6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-0.34</v>
      </c>
      <c r="AU61" s="779" cm="1">
        <f t="array" aca="1" ref="AU61" ca="1">_xlfn.IFS(TabTRADER[[#This Row],[Traps]]=ReSaleGain,"",         TabTRADER[[#This Row],[Traps]]=MDown, (TabTRADER[[#This Row],[M]]-TabTRADER[[#This Row],[A]])/TabTRADER[[#This Row],[A]]*ComFactor,             TRUE, IFERROR((TabTRADER[[#This Row],[M]]-TabTRADER[[#This Row],[A]])/TabTRADER[[#This Row],[A]]*ComFactor,""))</f>
        <v>-3.5492976580044903E-2</v>
      </c>
      <c r="AV61" s="776" cm="1">
        <f t="array" aca="1" ref="AV61" ca="1">_xlfn.IFS(               TabTRADER[[#This Row],[Traps]]=NoStock,(TabTRADER[[#This Row],[L_Sp]]-TabTRADER[[#This Row],[M]])/TabTRADER[[#This Row],[M]]-Commission,             TabTRADER[[#This Row],[A]]&lt;&gt;0,(TabTRADER[[#This Row],[A]]-TabTRADER[[#This Row],[M]])/TabTRADER[[#This Row],[M]]-Commission)</f>
        <v>3.4298552267404712E-2</v>
      </c>
      <c r="AW61" s="326">
        <f ca="1">_xlfn.XLOOKUP(TabTRADER[[#This Row],[ClickTick]],TabCalc[Ticker],TabCalc[L_Sn])</f>
        <v>1000</v>
      </c>
      <c r="AX61" s="740">
        <f ca="1">_xlfn.XLOOKUP(TabTRADER[[#This Row],[ClickTick]],TabCalc[Ticker],TabCalc[L_Sp])</f>
        <v>47.47</v>
      </c>
      <c r="AY61" s="778">
        <f ca="1">-IFERROR((TabTRADER[[#This Row],[M]]-TabTRADER[[#This Row],[L_Sp]])/TabTRADER[[#This Row],[L_Sp]],0)</f>
        <v>-0.13081946492521596</v>
      </c>
      <c r="AZ61" s="741">
        <f ca="1">TabTRADER[[#This Row],[L_Sn]]*(TabTRADER[[#This Row],[M]]-TabTRADER[[#This Row],[L_Sp]])*(1-Commission)*TabTRADER[[#This Row],[Scale]]</f>
        <v>6193.8540000000003</v>
      </c>
      <c r="BA61" s="701">
        <f ca="1">TabTRADER[[#This Row],[L_Sn]]*(TabTRADER[[#This Row],[Agiotage]]-TabTRADER[[#This Row],[M]])/(TabTRADER[[#This Row],[L_Bn]]*TabTRADER[[#This Row],[M]])</f>
        <v>-0.98513668857731751</v>
      </c>
      <c r="BB61" s="641">
        <f ca="1">IFERROR((TabTRADER[[#This Row],[M]]-TabTRADER[[#This Row],[A]])/TabTRADER[[#This Row],[A]],0)</f>
        <v>-3.5585498877125428E-2</v>
      </c>
      <c r="BC61" s="644" t="str">
        <f ca="1">TEXT(_xlfn.XLOOKUP(TabTRADER[[#This Row],[ClickTick]],TabCalc[Ticker],TabCalc[NAfter]),"#,#0")&amp;" : "&amp;TEXT(_xlfn.XLOOKUP(TabTRADER[[#This Row],[ClickTick]],TabCalc[Ticker],TabCalc[NAfter])*(TabTRADER[[#This Row],[M]]-TabTRADER[[#This Row],[A]])*(1-Commission)*TabTRADER[[#This Row],[Scale]],"#,#0$")</f>
        <v>7,000 : -13,829$</v>
      </c>
      <c r="BD61" s="693">
        <f ca="1">_xlfn.XLOOKUP(TabTRADER[[#This Row],[ClickTick]],TabCalc[[#This Row],[Ticker]],TabCalc[[#This Row],[GL]])*(1-Commission)</f>
        <v>78963.210469999991</v>
      </c>
      <c r="BE61" s="693"/>
      <c r="BF61" s="675" t="str">
        <f ca="1">TabTRADER[[#This Row],[ClickTick]]&amp;": "&amp;_xlfn.XLOOKUP(TabTRADER[[#This Row],[ClickTick]],TabCalc[Ticker],TabCalc[Pile?])</f>
        <v>MVEGLE: Pile</v>
      </c>
      <c r="BG61" s="353" t="s">
        <v>2033</v>
      </c>
      <c r="BH61" s="769" t="str" cm="1">
        <f t="array" aca="1" ref="BH61" ca="1">_xlfn.TEXTJOIN("",,INDEX({"M","A","Y"}, _xlfn.SORTBY({1,2,3}, -CHOOSE({1,2,3}, TabTRADER[[#This Row],[M]], TabTRADER[[#This Row],[A]], TabTRADER[[#This Row],[Agiotage]]))))</f>
        <v>AMY</v>
      </c>
      <c r="BI61" s="976" cm="1">
        <f t="array" aca="1" ref="BI6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6.3338301043219716E-3</v>
      </c>
      <c r="BJ61" s="688" t="e">
        <f ca="1">TabTRADER[[#This Row],[L_Sn]]*TabTRADER[[#This Row],[L_Sp]]+TabTRADER[[#This Row],[SellMore]]*TabTRADER[[#This Row],[M]]</f>
        <v>#N/A</v>
      </c>
      <c r="BK61" s="688" t="e">
        <f ca="1">INDEX(
  INDEX(TabConsolid[], , _xlfn.XMATCH(TabTRADER[[#This Row],[ClickTick]]&amp;1, TabConsolid[#Headers])),
  MATCH(
    -TabTRADER[[#This Row],[M]],
    INDEX(TabConsolid[], , _xlfn.XMATCH(TabTRADER[[#This Row],[ClickTick]]&amp;2, TabConsolid[#Headers])),
    -1
  )
)</f>
        <v>#N/A</v>
      </c>
      <c r="BL61" s="688" cm="1">
        <f t="array" aca="1" ref="BL6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61" s="1260" t="e">
        <f ca="1">TabTRADER[[#This Row],[ReBuy]]/(TabTRADER[[#This Row],[L_Sn]]+TabTRADER[[#This Row],[SellMore]])</f>
        <v>#N/A</v>
      </c>
      <c r="BN61" s="696">
        <f ca="1">((_xlfn.XLOOKUP(TabTRADER[[#This Row],[ClickTick]],TabCalc[Ticker],TabCalc[NAfter])+TabTRADER[[#This Row],[L_Sn]])*(TabTRADER[[#This Row],[Agiotage]]-TabTRADER[[#This Row],[M]]))/(TabTRADER[[#This Row],[L_Sn]]*_xlfn.XLOOKUP(TabTRADER[[#This Row],[ClickTick]],TabCalc[Ticker],TabCalc[NAfter]))</f>
        <v>-6.0436728506091893E-2</v>
      </c>
      <c r="BO61" s="696">
        <f ca="1">(TabTRADER[[#This Row],[M]]-TabTRADER[[#This Row],[Agiotage]])/(TabTRADER[[#This Row],[M]]-TabTRADER[[#This Row],[A]])-1</f>
        <v>-27.698518723390766</v>
      </c>
      <c r="BP61" s="1388">
        <f ca="1">_xlfn.XMATCH(TabTRADER[[#This Row],[ClickTick]]&amp;1, TabConsolid[#Headers])</f>
        <v>179</v>
      </c>
      <c r="BQ61" t="str">
        <f ca="1">IF(ABS(TabTRADER[[#This Row],[L_Bp]])&gt;=TabTRADER[[#This Row],[M]],"OK")</f>
        <v>OK</v>
      </c>
    </row>
    <row r="62" spans="1:69" hidden="1">
      <c r="A62" s="225">
        <f ca="1">IF(_xlfn.XLOOKUP(TabTRADER[[#This Row],[ClickTick]],TabCalc[Ticker],TabCalc[Cur])="GBp",0.01,1)</f>
        <v>1</v>
      </c>
      <c r="B6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-14.35x3000=    -1,290 EUR</v>
      </c>
      <c r="C62"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-3.1%</v>
      </c>
      <c r="D62" s="697" t="str" cm="1">
        <f t="array" aca="1" ref="D6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2"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2" s="228" t="str">
        <f ca="1">TRUNC(TabCalc[[#This Row],[L_B1p]],2)&amp;"x"&amp;TabCalc[[#This Row],[L_B1n]]&amp;"=   "&amp;TEXT(TabCalc[[#This Row],[ReverseS1]],"#,#0")&amp;"$"</f>
        <v>-13.19x6000=   4,380$</v>
      </c>
      <c r="G62" s="227" t="str">
        <f ca="1">IFERROR(TRUNC(_xlfn.XLOOKUP(TabTRADER[[#This Row],[ClickTick]],TabCalc[Ticker],ListLastSalep),2)&amp;"x"&amp;_xlfn.XLOOKUP(TabTRADER[[#This Row],[ClickTick]],TabCalc[Ticker],ListLastSalen)&amp;"=   "&amp;TEXT(-_xlfn.XLOOKUP(TabTRADER[[#This Row],[ClickTick]],TabCalc[Ticker],ListReverseB),"#,#0")&amp;"$","")</f>
        <v>13.74x1200=   210$</v>
      </c>
      <c r="H6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-1.3% = 0</v>
      </c>
      <c r="I62" s="228" t="str">
        <f ca="1">IFERROR(TRUNC(TabCalc[[#This Row],[L_S1p]],2)&amp;"x"&amp;TabCalc[[#This Row],[L_S1n]]&amp;"=   "&amp;TEXT(TabCalc[[#This Row],[ReverseB1]],"#,#0"),"")</f>
        <v>13.93x2000=   20</v>
      </c>
      <c r="J62" s="297">
        <f ca="1">_xlfn.XLOOKUP(TabTRADER[[#This Row],[ClickTick]],TabCalc[Ticker],ListGravity)</f>
        <v>1.0718390804597702</v>
      </c>
      <c r="K62" s="324" cm="1">
        <f t="array" aca="1" ref="K62" ca="1">IF(_xlfn.XLOOKUP(TabTRADER[[#This Row],[ClickTick]],TabTRADER[ClickTick],ListExtra_n)&gt;0,_xlfn.XLOOKUP(TabTRADER[[#This Row],[ClickTick]],TabTRADER[ClickTick],ListExtra_n),"")</f>
        <v>12500</v>
      </c>
      <c r="L62" s="322">
        <f ca="1">IF(_xlfn.XLOOKUP(TabTRADER[[#This Row],[ClickTick]],TabCalc[Ticker],ListExtra_n)&gt;0,_xlfn.XLOOKUP(TabTRADER[[#This Row],[ClickTick]],TabCalc[Ticker],ListExtra_n)*TabTRADER[[#This Row],[M]]*_xlfn.XLOOKUP(TabTRADER[[#This Row],[ClickTick]],TabCalc[Ticker],ListScale),"")</f>
        <v>174000</v>
      </c>
      <c r="M62" s="325">
        <f ca="1">_xlfn.XLOOKUP(TabTRADER[[#This Row],[ClickTick]],TabCalc[Ticker],TabCalc[Agiotage])</f>
        <v>0.95426628132187385</v>
      </c>
      <c r="N62" s="326" cm="1">
        <f t="array" aca="1" ref="N62" ca="1">_xlfn.XLOOKUP(TabTRADER[[#This Row],[ClickTick]],ListTickers,Tab2RSIConventional[RSIConv20])</f>
        <v>65</v>
      </c>
      <c r="O62" s="712" t="str">
        <f ca="1">TEXT(_xlfn.XLOOKUP(TabTRADER[[#This Row],[ClickTick]],TabCalc[Ticker],TabCalc[Nbegin]),"#,#0")&amp;": "&amp;_xlfn.XLOOKUP(TabTRADER[[#This Row],[ClickTick]],TabCalc[Ticker],TabCalc[Pile?])</f>
        <v xml:space="preserve">7,300: </v>
      </c>
      <c r="P62" s="877">
        <f ca="1">_xlfn.XLOOKUP(TabTRADER[[#This Row],[ClickTick]],TabCalc[Ticker],TabCalc[L_Bn])</f>
        <v>3000</v>
      </c>
      <c r="Q62" s="740">
        <f ca="1">_xlfn.XLOOKUP(TabTRADER[[#This Row],[ClickTick]],TabCalc[Ticker],TabCalc[L_Bp])</f>
        <v>-14.35</v>
      </c>
      <c r="R62" s="778">
        <f ca="1">(TabTRADER[[#This Row],[M]]+TabTRADER[[#This Row],[L_Bp]])/ABS(TabTRADER[[#This Row],[L_Bp]])</f>
        <v>-2.9965156794425067E-2</v>
      </c>
      <c r="S62" s="692">
        <f ca="1">_xlfn.XLOOKUP(TabTRADER[[#This Row],[ClickTick]],TabCalc[Ticker],TabCalc[Rev(MinStock)])*(1-Commission)</f>
        <v>-1286.645999999999</v>
      </c>
      <c r="T62" s="798">
        <f ca="1">_xlfn.XLOOKUP(TabTRADER[[#This Row],[ClickTick]],TabCalc[Ticker],TabCalc[Agiotage])</f>
        <v>0.95426628132187385</v>
      </c>
      <c r="U62" s="759" t="str" cm="1">
        <f t="array" aca="1" ref="U6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-4,158/-4,158=&gt;-1.6% / -1.6%</v>
      </c>
      <c r="V62" s="751" t="str">
        <f ca="1">_xlfn.XLOOKUP(TabTRADER[[#This Row],[ClickTick]],[1]!RTData[Ticker symbol],[1]!RTData[Currency])</f>
        <v>EUR</v>
      </c>
      <c r="W62" s="761">
        <f ca="1">_xlfn.XLOOKUP(TabTRADER[[#This Row],[ClickTick]],TabCalc[Ticker],TabCalc[M])</f>
        <v>13.92</v>
      </c>
      <c r="X62" s="762" t="str">
        <f ca="1">SORTING!B62</f>
        <v>MVEORA</v>
      </c>
      <c r="Y62" s="819">
        <f ca="1">_xlfn.XLOOKUP(TabTRADER[[#This Row],[ClickTick]],TabCalc[Ticker],TabCalc[Y])</f>
        <v>14.92</v>
      </c>
      <c r="Z62" s="835">
        <f ca="1">_xlfn.XLOOKUP(TabTRADER[[#This Row],[ClickTick]],[1]!RTData[Ticker symbol],[1]!RTData[YTChange])</f>
        <v>6.0687795010114535E-3</v>
      </c>
      <c r="AA62" s="851">
        <f ca="1">-_xlfn.XLOOKUP(TabTRADER[[#This Row],[ClickTick]]&amp;2,Consolid!B$3:JZ$3,Consolid!B$4:JZ$4)</f>
        <v>12.114848484848485</v>
      </c>
      <c r="AB62" s="835" cm="1">
        <f t="array" aca="1" ref="AB62" ca="1">_xlfn.XLOOKUP(TabTRADER[[#This Row],[ClickTick]],ListTickers,Tab1ChangePercent[Change%19])</f>
        <v>-1.6254000000000001E-2</v>
      </c>
      <c r="AC62" s="782">
        <f ca="1">_xlfn.XLOOKUP(TabTRADER[[#This Row],[ClickTick]],TabCalc[Ticker],TabCalc[NAfter])</f>
        <v>19800</v>
      </c>
      <c r="AD62"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^97/276 K$</v>
      </c>
      <c r="AE62" s="1277" t="str" cm="1">
        <f t="array" aca="1" ref="AE6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2" s="1281" t="str" cm="1">
        <f t="array" aca="1" ref="AF62" ca="1">_xlfn.IFS(       TabTRADER[[#This Row],[Traps]]=RePurchaseGain,TEXT(TabTRADER[[#This Row],[L_Sn]],"#,#0")&amp;" x "&amp;TEXT(TabTRADER[[#This Row],[L_Sp]],"#,#0.#0"),     TabTRADER[[#This Row],[Traps]]=ReSaleGain,TEXT(TabTRADER[[#This Row],[L_Bn]],"#0,#0")&amp;" x "&amp;TEXT(TabTRADER[[#This Row],[L_Bp]],"#,#0.#0"),               TRUE,"")</f>
        <v/>
      </c>
      <c r="AG62" s="1281" t="str" cm="1">
        <f t="array" aca="1" ref="AG6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1,200 x 13.75</v>
      </c>
      <c r="AH62" s="1281" cm="1">
        <f t="array" aca="1" ref="AH6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209.45400000000083</v>
      </c>
      <c r="AI62" s="1281" cm="1">
        <f t="array" aca="1" ref="AI6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35649.070799999994</v>
      </c>
      <c r="AJ62" s="1290" cm="1">
        <f t="array" aca="1" ref="AJ6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0.14900322669401431</v>
      </c>
      <c r="AK62" s="1290" cm="1">
        <f t="array" aca="1" ref="AK6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9.9718390804598208E-3</v>
      </c>
      <c r="AL62" s="843" cm="1">
        <f t="array" aca="1" ref="AL62" ca="1">_xlfn.IFS(   TabTRADER[[#This Row],[Traps]]=SellMorePercentGain,                     MIN(TabTRADER[[#This Row],[L_Sn]],TabTRADER[[#This Row],[N]])*(TabTRADER[[#This Row],[M]]-TabTRADER[[#This Row],[L_Sp]])*(1-Commission)*TabTRADER[[#This Row],[Scale]],                    TRUE,"")</f>
        <v>209.45400000000083</v>
      </c>
      <c r="AM62" s="1039">
        <f ca="1">_xlfn.XLOOKUP(TabTRADER[[#This Row],[ClickTick]],TabCalc[Ticker],TabCalc[Ann%RevLB])</f>
        <v>-0.14982578397212534</v>
      </c>
      <c r="AN62" s="1038">
        <f ca="1">_xlfn.XLOOKUP(TabTRADER[[#This Row],[ClickTick]],TabCalc[Ticker],TabCalc[Up20])</f>
        <v>0</v>
      </c>
      <c r="AO62" s="1291" t="str" cm="1">
        <f t="array" aca="1" ref="AO6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2" s="843" t="str" cm="1">
        <f t="array" aca="1" ref="AP62" ca="1">_xlfn.IFS(         TabTRADER[[#This Row],[Traps]]=MDown,TabTRADER[[#This Row],[L_Bn]]*TabTRADER[[#This Row],[M]]*(-(TabTRADER[[#This Row],[L_Bp]]+TabTRADER[[#This Row],[M]])/TabTRADER[[#This Row],[M]])*(1-Commission)*TabTRADER[[#This Row],[Scale]],                               TRUE,"")</f>
        <v/>
      </c>
      <c r="AQ62" s="1290" cm="1">
        <f t="array" aca="1" ref="AQ62" ca="1">_xlfn.IFS(   TabTRADER[[#This Row],[Traps]]=MUp,TabTRADER[[#This Row],[TakeGain_A]]-Commission,        TabTRADER[[#This Row],[Traps]]=MDown,(TabTRADER[[#This Row],[A]]-TabTRADER[[#This Row],[M]])/TabTRADER[[#This Row],[M]]-Commission,                              TRUE,"")</f>
        <v>0.14640322669401432</v>
      </c>
      <c r="AR62" s="774" cm="1">
        <f t="array" aca="1" ref="AR6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40960.89737784335</v>
      </c>
      <c r="AS62" s="774" t="str" cm="1">
        <f t="array" aca="1" ref="AS6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T62" s="748" t="str" cm="1">
        <f t="array" aca="1" ref="AT6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3,000x1.8</v>
      </c>
      <c r="AU62" s="779" cm="1">
        <f t="array" aca="1" ref="AU62" ca="1">_xlfn.IFS(TabTRADER[[#This Row],[Traps]]=ReSaleGain,"",         TabTRADER[[#This Row],[Traps]]=MDown, (TabTRADER[[#This Row],[M]]-TabTRADER[[#This Row],[A]])/TabTRADER[[#This Row],[A]]*ComFactor,             TRUE, IFERROR((TabTRADER[[#This Row],[M]]-TabTRADER[[#This Row],[A]])/TabTRADER[[#This Row],[A]]*ComFactor,""))</f>
        <v>0.14861581830460988</v>
      </c>
      <c r="AV62" s="776" cm="1">
        <f t="array" aca="1" ref="AV62" ca="1">_xlfn.IFS(               TabTRADER[[#This Row],[Traps]]=NoStock,(TabTRADER[[#This Row],[L_Sp]]-TabTRADER[[#This Row],[M]])/TabTRADER[[#This Row],[M]]-Commission,             TabTRADER[[#This Row],[A]]&lt;&gt;0,(TabTRADER[[#This Row],[A]]-TabTRADER[[#This Row],[M]])/TabTRADER[[#This Row],[M]]-Commission)</f>
        <v>-0.1322804249390456</v>
      </c>
      <c r="AW62" s="326">
        <f ca="1">_xlfn.XLOOKUP(TabTRADER[[#This Row],[ClickTick]],TabCalc[Ticker],TabCalc[L_Sn])</f>
        <v>1200</v>
      </c>
      <c r="AX62" s="740">
        <f ca="1">_xlfn.XLOOKUP(TabTRADER[[#This Row],[ClickTick]],TabCalc[Ticker],TabCalc[L_Sp])</f>
        <v>13.744999999999999</v>
      </c>
      <c r="AY62" s="778">
        <f ca="1">-IFERROR((TabTRADER[[#This Row],[M]]-TabTRADER[[#This Row],[L_Sp]])/TabTRADER[[#This Row],[L_Sp]],0)</f>
        <v>-1.273190251000369E-2</v>
      </c>
      <c r="AZ62" s="741">
        <f ca="1">TabTRADER[[#This Row],[L_Sn]]*(TabTRADER[[#This Row],[M]]-TabTRADER[[#This Row],[L_Sp]])*(1-Commission)*TabTRADER[[#This Row],[Scale]]</f>
        <v>209.45400000000083</v>
      </c>
      <c r="BA62" s="701">
        <f ca="1">TabTRADER[[#This Row],[L_Sn]]*(TabTRADER[[#This Row],[Agiotage]]-TabTRADER[[#This Row],[M]])/(TabTRADER[[#This Row],[L_Bn]]*TabTRADER[[#This Row],[M]])</f>
        <v>-0.37257855513442895</v>
      </c>
      <c r="BB62" s="641">
        <f ca="1">IFERROR((TabTRADER[[#This Row],[M]]-TabTRADER[[#This Row],[A]])/TabTRADER[[#This Row],[A]],0)</f>
        <v>0.14900322669401431</v>
      </c>
      <c r="BC62" s="644" t="str">
        <f ca="1">TEXT(_xlfn.XLOOKUP(TabTRADER[[#This Row],[ClickTick]],TabCalc[Ticker],TabCalc[NAfter]),"#,#0")&amp;" : "&amp;TEXT(_xlfn.XLOOKUP(TabTRADER[[#This Row],[ClickTick]],TabCalc[Ticker],TabCalc[NAfter])*(TabTRADER[[#This Row],[M]]-TabTRADER[[#This Row],[A]])*(1-Commission)*TabTRADER[[#This Row],[Scale]],"#,#0$")</f>
        <v>19,800 : 35,649$</v>
      </c>
      <c r="BD62" s="693">
        <f ca="1">_xlfn.XLOOKUP(TabTRADER[[#This Row],[ClickTick]],TabCalc[[#This Row],[Ticker]],TabCalc[[#This Row],[GL]])*(1-Commission)</f>
        <v>96990.218069999988</v>
      </c>
      <c r="BE62" s="693"/>
      <c r="BF62" s="675" t="str">
        <f ca="1">TabTRADER[[#This Row],[ClickTick]]&amp;": "&amp;_xlfn.XLOOKUP(TabTRADER[[#This Row],[ClickTick]],TabCalc[Ticker],TabCalc[Pile?])</f>
        <v xml:space="preserve">MVEORA: </v>
      </c>
      <c r="BG62" s="353" t="s">
        <v>2034</v>
      </c>
      <c r="BH62" s="769" t="str" cm="1">
        <f t="array" aca="1" ref="BH62" ca="1">_xlfn.TEXTJOIN("",,INDEX({"M","A","Y"}, _xlfn.SORTBY({1,2,3}, -CHOOSE({1,2,3}, TabTRADER[[#This Row],[M]], TabTRADER[[#This Row],[A]], TabTRADER[[#This Row],[Agiotage]]))))</f>
        <v>MAY</v>
      </c>
      <c r="BI62" s="976" cm="1">
        <f t="array" aca="1" ref="BI6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1.2571839080459821E-2</v>
      </c>
      <c r="BJ62" s="688">
        <f ca="1">TabTRADER[[#This Row],[L_Sn]]*TabTRADER[[#This Row],[L_Sp]]+TabTRADER[[#This Row],[SellMore]]*TabTRADER[[#This Row],[M]]</f>
        <v>100014</v>
      </c>
      <c r="BK62" s="688">
        <f ca="1">INDEX(
  INDEX(TabConsolid[], , _xlfn.XMATCH(TabTRADER[[#This Row],[ClickTick]]&amp;1, TabConsolid[#Headers])),
  MATCH(
    -TabTRADER[[#This Row],[M]],
    INDEX(TabConsolid[], , _xlfn.XMATCH(TabTRADER[[#This Row],[ClickTick]]&amp;2, TabConsolid[#Headers])),
    -1
  )
)</f>
        <v>6000</v>
      </c>
      <c r="BL62" s="688" cm="1">
        <f t="array" aca="1" ref="BL6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62" s="1260">
        <f ca="1">TabTRADER[[#This Row],[ReBuy]]/(TabTRADER[[#This Row],[L_Sn]]+TabTRADER[[#This Row],[SellMore]])</f>
        <v>13.890833333333333</v>
      </c>
      <c r="BN62" s="696">
        <f ca="1">((_xlfn.XLOOKUP(TabTRADER[[#This Row],[ClickTick]],TabCalc[Ticker],TabCalc[NAfter])+TabTRADER[[#This Row],[L_Sn]])*(TabTRADER[[#This Row],[Agiotage]]-TabTRADER[[#This Row],[M]]))/(TabTRADER[[#This Row],[L_Sn]]*_xlfn.XLOOKUP(TabTRADER[[#This Row],[ClickTick]],TabCalc[Ticker],TabCalc[NAfter]))</f>
        <v>-1.1459613135195315E-2</v>
      </c>
      <c r="BO62" s="696">
        <f ca="1">(TabTRADER[[#This Row],[M]]-TabTRADER[[#This Row],[Agiotage]])/(TabTRADER[[#This Row],[M]]-TabTRADER[[#This Row],[A]])-1</f>
        <v>6.1826290534896469</v>
      </c>
      <c r="BP62" s="1388">
        <f ca="1">_xlfn.XMATCH(TabTRADER[[#This Row],[ClickTick]]&amp;1, TabConsolid[#Headers])</f>
        <v>182</v>
      </c>
      <c r="BQ62" t="str">
        <f ca="1">IF(ABS(TabTRADER[[#This Row],[L_Bp]])&gt;=TabTRADER[[#This Row],[M]],"OK")</f>
        <v>OK</v>
      </c>
    </row>
    <row r="63" spans="1:69" hidden="1">
      <c r="A63" s="225">
        <f ca="1">IF(_xlfn.XLOOKUP(TabTRADER[[#This Row],[ClickTick]],TabCalc[Ticker],TabCalc[Cur])="GBp",0.01,1)</f>
        <v>1</v>
      </c>
      <c r="B6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-33.09x3000=    +7 EUR</v>
      </c>
      <c r="C63"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18.4%</v>
      </c>
      <c r="D63" s="697" t="str" cm="1">
        <f t="array" aca="1" ref="D6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3"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3" s="228" t="str">
        <f ca="1">TRUNC(TabCalc[[#This Row],[L_B1p]],2)&amp;"x"&amp;TabCalc[[#This Row],[L_B1n]]&amp;"=   "&amp;TEXT(TabCalc[[#This Row],[ReverseS1]],"#,#0")&amp;"$"</f>
        <v>-28.21x4000=   12$</v>
      </c>
      <c r="G63" s="227" t="str">
        <f ca="1">IFERROR(TRUNC(_xlfn.XLOOKUP(TabTRADER[[#This Row],[ClickTick]],TabCalc[Ticker],ListLastSalep),2)&amp;"x"&amp;_xlfn.XLOOKUP(TabTRADER[[#This Row],[ClickTick]],TabCalc[Ticker],ListLastSalen)&amp;"=   "&amp;TEXT(-_xlfn.XLOOKUP(TabTRADER[[#This Row],[ClickTick]],TabCalc[Ticker],ListReverseB),"#,#0")&amp;"$","")</f>
        <v>33.36x3999=   28,833$</v>
      </c>
      <c r="H6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-17.8% = 0</v>
      </c>
      <c r="I63" s="228" t="str">
        <f ca="1">IFERROR(TRUNC(TabCalc[[#This Row],[L_S1p]],2)&amp;"x"&amp;TabCalc[[#This Row],[L_S1n]]&amp;"=   "&amp;TEXT(TabCalc[[#This Row],[ReverseB1]],"#,#0"),"")</f>
        <v>29.29x4000=   -45,120</v>
      </c>
      <c r="J63" s="297">
        <f ca="1">_xlfn.XLOOKUP(TabTRADER[[#This Row],[ClickTick]],TabCalc[Ticker],ListGravity)</f>
        <v>1.0841101799359132</v>
      </c>
      <c r="K63" s="324" t="str" cm="1">
        <f t="array" aca="1" ref="K63" ca="1">IF(_xlfn.XLOOKUP(TabTRADER[[#This Row],[ClickTick]],TabTRADER[ClickTick],ListExtra_n)&gt;0,_xlfn.XLOOKUP(TabTRADER[[#This Row],[ClickTick]],TabTRADER[ClickTick],ListExtra_n),"")</f>
        <v/>
      </c>
      <c r="L63" s="322" t="str">
        <f ca="1">IF(_xlfn.XLOOKUP(TabTRADER[[#This Row],[ClickTick]],TabCalc[Ticker],ListExtra_n)&gt;0,_xlfn.XLOOKUP(TabTRADER[[#This Row],[ClickTick]],TabCalc[Ticker],ListExtra_n)*TabTRADER[[#This Row],[M]]*_xlfn.XLOOKUP(TabTRADER[[#This Row],[ClickTick]],TabCalc[Ticker],ListScale),"")</f>
        <v/>
      </c>
      <c r="M63" s="325">
        <f ca="1">_xlfn.XLOOKUP(TabTRADER[[#This Row],[ClickTick]],TabCalc[Ticker],TabCalc[Agiotage])</f>
        <v>0.73562425007112731</v>
      </c>
      <c r="N63" s="326" cm="1">
        <f t="array" aca="1" ref="N63" ca="1">_xlfn.XLOOKUP(TabTRADER[[#This Row],[ClickTick]],ListTickers,Tab2RSIConventional[RSIConv20])</f>
        <v>56</v>
      </c>
      <c r="O63" s="712" t="str">
        <f ca="1">TEXT(_xlfn.XLOOKUP(TabTRADER[[#This Row],[ClickTick]],TabCalc[Ticker],TabCalc[Nbegin]),"#,#0")&amp;": "&amp;_xlfn.XLOOKUP(TabTRADER[[#This Row],[ClickTick]],TabCalc[Ticker],TabCalc[Pile?])</f>
        <v>10,000: Pile</v>
      </c>
      <c r="P63" s="326">
        <f ca="1">_xlfn.XLOOKUP(TabTRADER[[#This Row],[ClickTick]],TabCalc[Ticker],TabCalc[L_Bn])</f>
        <v>3000</v>
      </c>
      <c r="Q63" s="690">
        <f ca="1">_xlfn.XLOOKUP(TabTRADER[[#This Row],[ClickTick]],TabCalc[Ticker],TabCalc[L_Bp])</f>
        <v>-33.094999999999999</v>
      </c>
      <c r="R63" s="778">
        <f ca="1">(TabTRADER[[#This Row],[M]]+TabTRADER[[#This Row],[L_Bp]])/ABS(TabTRADER[[#This Row],[L_Bp]])</f>
        <v>0.22586493428010279</v>
      </c>
      <c r="S63" s="692">
        <f ca="1">_xlfn.XLOOKUP(TabTRADER[[#This Row],[ClickTick]],TabCalc[Ticker],TabCalc[Rev(MinStock)])*(1-Commission)</f>
        <v>7.4555650000000009</v>
      </c>
      <c r="T63" s="798">
        <f ca="1">_xlfn.XLOOKUP(TabTRADER[[#This Row],[ClickTick]],TabCalc[Ticker],TabCalc[Agiotage])</f>
        <v>0.73562425007112731</v>
      </c>
      <c r="U63" s="759" t="str" cm="1">
        <f t="array" aca="1" ref="U6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0/0=&gt;1.2% / 0.3%</v>
      </c>
      <c r="V63" s="751" t="str">
        <f ca="1">_xlfn.XLOOKUP(TabTRADER[[#This Row],[ClickTick]],[1]!RTData[Ticker symbol],[1]!RTData[Currency])</f>
        <v>EUR</v>
      </c>
      <c r="W63" s="761">
        <f ca="1">_xlfn.XLOOKUP(TabTRADER[[#This Row],[ClickTick]],TabCalc[Ticker],TabCalc[M])</f>
        <v>40.57</v>
      </c>
      <c r="X63" s="762" t="str">
        <f ca="1">SORTING!B63</f>
        <v>MVERWE</v>
      </c>
      <c r="Y63" s="819">
        <f ca="1">_xlfn.XLOOKUP(TabTRADER[[#This Row],[ClickTick]],TabCalc[Ticker],TabCalc[Y])</f>
        <v>43.982349999999997</v>
      </c>
      <c r="Z63" s="835">
        <f ca="1">_xlfn.XLOOKUP(TabTRADER[[#This Row],[ClickTick]],[1]!RTData[Ticker symbol],[1]!RTData[YTChange])</f>
        <v>-9.4065315315315732E-3</v>
      </c>
      <c r="AA63" s="851">
        <f ca="1">-_xlfn.XLOOKUP(TabTRADER[[#This Row],[ClickTick]]&amp;2,Consolid!B$3:JZ$3,Consolid!B$4:JZ$4)</f>
        <v>33.094999999999999</v>
      </c>
      <c r="AB63" s="835" cm="1">
        <f t="array" aca="1" ref="AB63" ca="1">_xlfn.XLOOKUP(TabTRADER[[#This Row],[ClickTick]],ListTickers,Tab1ChangePercent[Change%19])</f>
        <v>1.2E-2</v>
      </c>
      <c r="AC63" s="782">
        <f ca="1">_xlfn.XLOOKUP(TabTRADER[[#This Row],[ClickTick]],TabCalc[Ticker],TabCalc[NAfter])</f>
        <v>1</v>
      </c>
      <c r="AD6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^38/0 K$</v>
      </c>
      <c r="AE63" s="1277" t="str" cm="1">
        <f t="array" aca="1" ref="AE6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3" s="1281" t="str" cm="1">
        <f t="array" aca="1" ref="AF63" ca="1">_xlfn.IFS(       TabTRADER[[#This Row],[Traps]]=RePurchaseGain,TEXT(TabTRADER[[#This Row],[L_Sn]],"#,#0")&amp;" x "&amp;TEXT(TabTRADER[[#This Row],[L_Sp]],"#,#0.#0"),     TabTRADER[[#This Row],[Traps]]=ReSaleGain,TEXT(TabTRADER[[#This Row],[L_Bn]],"#0,#0")&amp;" x "&amp;TEXT(TabTRADER[[#This Row],[L_Bp]],"#,#0.#0"),               TRUE,"")</f>
        <v/>
      </c>
      <c r="AG63" s="1281" t="str" cm="1">
        <f t="array" aca="1" ref="AG6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 x 33.36</v>
      </c>
      <c r="AH63" s="1281" cm="1">
        <f t="array" aca="1" ref="AH6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7.1912540000000007</v>
      </c>
      <c r="AI63" s="1281" cm="1">
        <f t="array" aca="1" ref="AI6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7.4555650000000009</v>
      </c>
      <c r="AJ63" s="1290" cm="1">
        <f t="array" aca="1" ref="AJ6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0.22586493428010279</v>
      </c>
      <c r="AK63" s="1290" cm="1">
        <f t="array" aca="1" ref="AK6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0.17511752526497415</v>
      </c>
      <c r="AL63" s="843" cm="1">
        <f t="array" aca="1" ref="AL63" ca="1">_xlfn.IFS(   TabTRADER[[#This Row],[Traps]]=SellMorePercentGain,                     MIN(TabTRADER[[#This Row],[L_Sn]],TabTRADER[[#This Row],[N]])*(TabTRADER[[#This Row],[M]]-TabTRADER[[#This Row],[L_Sp]])*(1-Commission)*TabTRADER[[#This Row],[Scale]],                    TRUE,"")</f>
        <v>7.1912540000000007</v>
      </c>
      <c r="AM63" s="1279">
        <f ca="1">_xlfn.XLOOKUP(TabTRADER[[#This Row],[ClickTick]],TabCalc[Ticker],TabCalc[Ann%RevLB])</f>
        <v>0.45938630701037853</v>
      </c>
      <c r="AN63" s="1039">
        <f ca="1">_xlfn.XLOOKUP(TabTRADER[[#This Row],[ClickTick]],TabCalc[Ticker],TabCalc[Up20])</f>
        <v>0</v>
      </c>
      <c r="AO63" s="1291" t="str" cm="1">
        <f t="array" aca="1" ref="AO6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3" s="843" t="str" cm="1">
        <f t="array" aca="1" ref="AP63" ca="1">_xlfn.IFS(         TabTRADER[[#This Row],[Traps]]=MDown,TabTRADER[[#This Row],[L_Bn]]*TabTRADER[[#This Row],[M]]*(-(TabTRADER[[#This Row],[L_Bp]]+TabTRADER[[#This Row],[M]])/TabTRADER[[#This Row],[M]])*(1-Commission)*TabTRADER[[#This Row],[Scale]],                               TRUE,"")</f>
        <v/>
      </c>
      <c r="AQ63" s="1290" cm="1">
        <f t="array" aca="1" ref="AQ63" ca="1">_xlfn.IFS(   TabTRADER[[#This Row],[Traps]]=MUp,TabTRADER[[#This Row],[TakeGain_A]]-Commission,        TabTRADER[[#This Row],[Traps]]=MDown,(TabTRADER[[#This Row],[A]]-TabTRADER[[#This Row],[M]])/TabTRADER[[#This Row],[M]]-Commission,                              TRUE,"")</f>
        <v>0.2232649342801028</v>
      </c>
      <c r="AR63" s="774" cm="1">
        <f t="array" aca="1" ref="AR6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9.1395156987460364</v>
      </c>
      <c r="AS63" s="774" t="str" cm="1">
        <f t="array" aca="1" ref="AS6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-0.6%</v>
      </c>
      <c r="AT63" s="748" t="str" cm="1">
        <f t="array" aca="1" ref="AT6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1x7.47</v>
      </c>
      <c r="AU63" s="779" cm="1">
        <f t="array" aca="1" ref="AU63" ca="1">_xlfn.IFS(TabTRADER[[#This Row],[Traps]]=ReSaleGain,"",         TabTRADER[[#This Row],[Traps]]=MDown, (TabTRADER[[#This Row],[M]]-TabTRADER[[#This Row],[A]])/TabTRADER[[#This Row],[A]]*ComFactor,             TRUE, IFERROR((TabTRADER[[#This Row],[M]]-TabTRADER[[#This Row],[A]])/TabTRADER[[#This Row],[A]]*ComFactor,""))</f>
        <v>0.22527768545097451</v>
      </c>
      <c r="AV63" s="776" cm="1">
        <f t="array" aca="1" ref="AV63" ca="1">_xlfn.IFS(               TabTRADER[[#This Row],[Traps]]=NoStock,(TabTRADER[[#This Row],[L_Sp]]-TabTRADER[[#This Row],[M]])/TabTRADER[[#This Row],[M]]-Commission,             TabTRADER[[#This Row],[A]]&lt;&gt;0,(TabTRADER[[#This Row],[A]]-TabTRADER[[#This Row],[M]])/TabTRADER[[#This Row],[M]]-Commission)</f>
        <v>-0.18684944540300719</v>
      </c>
      <c r="AW63" s="326">
        <f ca="1">_xlfn.XLOOKUP(TabTRADER[[#This Row],[ClickTick]],TabCalc[Ticker],TabCalc[L_Sn])</f>
        <v>3999</v>
      </c>
      <c r="AX63" s="740">
        <f ca="1">_xlfn.XLOOKUP(TabTRADER[[#This Row],[ClickTick]],TabCalc[Ticker],TabCalc[L_Sp])</f>
        <v>33.36</v>
      </c>
      <c r="AY63" s="778">
        <f ca="1">-IFERROR((TabTRADER[[#This Row],[M]]-TabTRADER[[#This Row],[L_Sp]])/TabTRADER[[#This Row],[L_Sp]],0)</f>
        <v>-0.21612709832134294</v>
      </c>
      <c r="AZ63" s="741">
        <f ca="1">TabTRADER[[#This Row],[L_Sn]]*(TabTRADER[[#This Row],[M]]-TabTRADER[[#This Row],[L_Sp]])*(1-Commission)*TabTRADER[[#This Row],[Scale]]</f>
        <v>28757.824746000002</v>
      </c>
      <c r="BA63" s="701">
        <f ca="1">TabTRADER[[#This Row],[L_Sn]]*(TabTRADER[[#This Row],[Agiotage]]-TabTRADER[[#This Row],[M]])/(TabTRADER[[#This Row],[L_Bn]]*TabTRADER[[#This Row],[M]])</f>
        <v>-1.3088297479579785</v>
      </c>
      <c r="BB63" s="641">
        <f ca="1">IFERROR((TabTRADER[[#This Row],[M]]-TabTRADER[[#This Row],[A]])/TabTRADER[[#This Row],[A]],0)</f>
        <v>0.22586493428010279</v>
      </c>
      <c r="BC63" s="644" t="str">
        <f ca="1">TEXT(_xlfn.XLOOKUP(TabTRADER[[#This Row],[ClickTick]],TabCalc[Ticker],TabCalc[NAfter]),"#,#0")&amp;" : "&amp;TEXT(_xlfn.XLOOKUP(TabTRADER[[#This Row],[ClickTick]],TabCalc[Ticker],TabCalc[NAfter])*(TabTRADER[[#This Row],[M]]-TabTRADER[[#This Row],[A]])*(1-Commission)*TabTRADER[[#This Row],[Scale]],"#,#0$")</f>
        <v>1 : 7$</v>
      </c>
      <c r="BD63" s="693">
        <f ca="1">_xlfn.XLOOKUP(TabTRADER[[#This Row],[ClickTick]],TabCalc[[#This Row],[Ticker]],TabCalc[[#This Row],[GL]])*(1-Commission)</f>
        <v>37458.065153999982</v>
      </c>
      <c r="BE63" s="693"/>
      <c r="BF63" s="675" t="str">
        <f ca="1">TabTRADER[[#This Row],[ClickTick]]&amp;": "&amp;_xlfn.XLOOKUP(TabTRADER[[#This Row],[ClickTick]],TabCalc[Ticker],TabCalc[Pile?])</f>
        <v>MVERWE: Pile</v>
      </c>
      <c r="BG63" s="353" t="s">
        <v>2035</v>
      </c>
      <c r="BH63" s="769" t="str" cm="1">
        <f t="array" aca="1" ref="BH63" ca="1">_xlfn.TEXTJOIN("",,INDEX({"M","A","Y"}, _xlfn.SORTBY({1,2,3}, -CHOOSE({1,2,3}, TabTRADER[[#This Row],[M]], TabTRADER[[#This Row],[A]], TabTRADER[[#This Row],[Agiotage]]))))</f>
        <v>MAY</v>
      </c>
      <c r="BI63" s="976" cm="1">
        <f t="array" aca="1" ref="BI6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0.17771752526497414</v>
      </c>
      <c r="BJ63" s="688">
        <f ca="1">TabTRADER[[#This Row],[L_Sn]]*TabTRADER[[#This Row],[L_Sp]]+TabTRADER[[#This Row],[SellMore]]*TabTRADER[[#This Row],[M]]</f>
        <v>133447.21</v>
      </c>
      <c r="BK63" s="688">
        <f ca="1">INDEX(
  INDEX(TabConsolid[], , _xlfn.XMATCH(TabTRADER[[#This Row],[ClickTick]]&amp;1, TabConsolid[#Headers])),
  MATCH(
    -TabTRADER[[#This Row],[M]],
    INDEX(TabConsolid[], , _xlfn.XMATCH(TabTRADER[[#This Row],[ClickTick]]&amp;2, TabConsolid[#Headers])),
    -1
  )
)</f>
        <v>1</v>
      </c>
      <c r="BL63" s="688" cm="1">
        <f t="array" aca="1" ref="BL6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63" s="1260">
        <f ca="1">TabTRADER[[#This Row],[ReBuy]]/(TabTRADER[[#This Row],[L_Sn]]+TabTRADER[[#This Row],[SellMore]])</f>
        <v>33.361802499999996</v>
      </c>
      <c r="BN63" s="696">
        <f ca="1">((_xlfn.XLOOKUP(TabTRADER[[#This Row],[ClickTick]],TabCalc[Ticker],TabCalc[NAfter])+TabTRADER[[#This Row],[L_Sn]])*(TabTRADER[[#This Row],[Agiotage]]-TabTRADER[[#This Row],[M]]))/(TabTRADER[[#This Row],[L_Sn]]*_xlfn.XLOOKUP(TabTRADER[[#This Row],[ClickTick]],TabCalc[Ticker],TabCalc[NAfter]))</f>
        <v>-39.844336834137408</v>
      </c>
      <c r="BO63" s="696">
        <f ca="1">(TabTRADER[[#This Row],[M]]-TabTRADER[[#This Row],[Agiotage]])/(TabTRADER[[#This Row],[M]]-TabTRADER[[#This Row],[A]])-1</f>
        <v>4.329013478251353</v>
      </c>
      <c r="BP63" s="1388">
        <f ca="1">_xlfn.XMATCH(TabTRADER[[#This Row],[ClickTick]]&amp;1, TabConsolid[#Headers])</f>
        <v>185</v>
      </c>
      <c r="BQ63" t="b">
        <f ca="1">IF(ABS(TabTRADER[[#This Row],[L_Bp]])&gt;=TabTRADER[[#This Row],[M]],"OK")</f>
        <v>0</v>
      </c>
    </row>
    <row r="64" spans="1:69" hidden="1">
      <c r="A64" s="225">
        <f ca="1">IF(_xlfn.XLOOKUP(TabTRADER[[#This Row],[ClickTick]],TabCalc[Ticker],TabCalc[Cur])="GBp",0.01,1)</f>
        <v>1</v>
      </c>
      <c r="B6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-250.9x200=    -3,510 EUR</v>
      </c>
      <c r="C64"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-7.5%</v>
      </c>
      <c r="D64" s="697" t="str" cm="1">
        <f t="array" aca="1" ref="D6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4" s="228" t="str">
        <f ca="1">TRUNC(TabCalc[[#This Row],[L_B1p]],2)&amp;"x"&amp;TabCalc[[#This Row],[L_B1n]]&amp;"=   "&amp;TEXT(TabCalc[[#This Row],[ReverseS1]],"#,#0")&amp;"$"</f>
        <v>-259.6x200=   -5,250$</v>
      </c>
      <c r="G64" s="227" t="str">
        <f ca="1">IFERROR(TRUNC(_xlfn.XLOOKUP(TabTRADER[[#This Row],[ClickTick]],TabCalc[Ticker],ListLastSalep),2)&amp;"x"&amp;_xlfn.XLOOKUP(TabTRADER[[#This Row],[ClickTick]],TabCalc[Ticker],ListLastSalen)&amp;"=   "&amp;TEXT(-_xlfn.XLOOKUP(TabTRADER[[#This Row],[ClickTick]],TabCalc[Ticker],ListReverseB),"#,#0")&amp;"$","")</f>
        <v>267.48x500=   -17,065$</v>
      </c>
      <c r="H6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14.6% = 146</v>
      </c>
      <c r="I64" s="228" t="str">
        <f ca="1">IFERROR(TRUNC(TabCalc[[#This Row],[L_S1p]],2)&amp;"x"&amp;TabCalc[[#This Row],[L_S1n]]&amp;"=   "&amp;TEXT(TabCalc[[#This Row],[ReverseB1]],"#,#0"),"")</f>
        <v>263.8x500=   15,225</v>
      </c>
      <c r="J64" s="297">
        <f ca="1">_xlfn.XLOOKUP(TabTRADER[[#This Row],[ClickTick]],TabCalc[Ticker],ListGravity)</f>
        <v>1.2324949646453827</v>
      </c>
      <c r="K64" s="324" t="str" cm="1">
        <f t="array" aca="1" ref="K64" ca="1">IF(_xlfn.XLOOKUP(TabTRADER[[#This Row],[ClickTick]],TabTRADER[ClickTick],ListExtra_n)&gt;0,_xlfn.XLOOKUP(TabTRADER[[#This Row],[ClickTick]],TabTRADER[ClickTick],ListExtra_n),"")</f>
        <v/>
      </c>
      <c r="L64" s="322" t="str">
        <f ca="1">IF(_xlfn.XLOOKUP(TabTRADER[[#This Row],[ClickTick]],TabCalc[Ticker],ListExtra_n)&gt;0,_xlfn.XLOOKUP(TabTRADER[[#This Row],[ClickTick]],TabCalc[Ticker],ListExtra_n)*TabTRADER[[#This Row],[M]]*_xlfn.XLOOKUP(TabTRADER[[#This Row],[ClickTick]],TabCalc[Ticker],ListScale),"")</f>
        <v/>
      </c>
      <c r="M64" s="325">
        <f ca="1">_xlfn.XLOOKUP(TabTRADER[[#This Row],[ClickTick]],TabCalc[Ticker],TabCalc[Agiotage])</f>
        <v>1.4654710415921433</v>
      </c>
      <c r="N64" s="326" cm="1">
        <f t="array" aca="1" ref="N64" ca="1">_xlfn.XLOOKUP(TabTRADER[[#This Row],[ClickTick]],ListTickers,Tab2RSIConventional[RSIConv20])</f>
        <v>52</v>
      </c>
      <c r="O64" s="712" t="str">
        <f ca="1">TEXT(_xlfn.XLOOKUP(TabTRADER[[#This Row],[ClickTick]],TabCalc[Ticker],TabCalc[Nbegin]),"#,#0")&amp;": "&amp;_xlfn.XLOOKUP(TabTRADER[[#This Row],[ClickTick]],TabCalc[Ticker],TabCalc[Pile?])</f>
        <v>1,000: Pile</v>
      </c>
      <c r="P64" s="877">
        <f ca="1">_xlfn.XLOOKUP(TabTRADER[[#This Row],[ClickTick]],TabCalc[Ticker],TabCalc[L_Bn])</f>
        <v>200</v>
      </c>
      <c r="Q64" s="740">
        <f ca="1">_xlfn.XLOOKUP(TabTRADER[[#This Row],[ClickTick]],TabCalc[Ticker],TabCalc[L_Bp])</f>
        <v>-250.9</v>
      </c>
      <c r="R64" s="778">
        <f ca="1">(TabTRADER[[#This Row],[M]]+TabTRADER[[#This Row],[L_Bp]])/ABS(TabTRADER[[#This Row],[L_Bp]])</f>
        <v>-6.994818652849745E-2</v>
      </c>
      <c r="S64" s="692">
        <f ca="1">_xlfn.XLOOKUP(TabTRADER[[#This Row],[ClickTick]],TabCalc[Ticker],TabCalc[Rev(MinStock)])*(1-Commission)</f>
        <v>-3500.8740000000021</v>
      </c>
      <c r="T64" s="798">
        <f ca="1">_xlfn.XLOOKUP(TabTRADER[[#This Row],[ClickTick]],TabCalc[Ticker],TabCalc[Agiotage])</f>
        <v>1.4654710415921433</v>
      </c>
      <c r="U64" s="759" t="str" cm="1">
        <f t="array" aca="1" ref="U6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-3,168/-3,168=&gt;-3.6% / -3.6%</v>
      </c>
      <c r="V64" s="751" t="str">
        <f ca="1">_xlfn.XLOOKUP(TabTRADER[[#This Row],[ClickTick]],[1]!RTData[Ticker symbol],[1]!RTData[Currency])</f>
        <v>EUR</v>
      </c>
      <c r="W64" s="761">
        <f ca="1">_xlfn.XLOOKUP(TabTRADER[[#This Row],[ClickTick]],TabCalc[Ticker],TabCalc[M])</f>
        <v>233.35</v>
      </c>
      <c r="X64" s="719" t="str">
        <f ca="1">SORTING!B64</f>
        <v>MVESAP</v>
      </c>
      <c r="Y64" s="819">
        <f ca="1">_xlfn.XLOOKUP(TabTRADER[[#This Row],[ClickTick]],TabCalc[Ticker],TabCalc[Y])</f>
        <v>287.60270000000003</v>
      </c>
      <c r="Z64" s="835">
        <f ca="1">_xlfn.XLOOKUP(TabTRADER[[#This Row],[ClickTick]],[1]!RTData[Ticker symbol],[1]!RTData[YTChange])</f>
        <v>-8.0318815553850079E-2</v>
      </c>
      <c r="AA64" s="851">
        <f ca="1">-_xlfn.XLOOKUP(TabTRADER[[#This Row],[ClickTick]]&amp;2,Consolid!B$3:JZ$3,Consolid!B$4:JZ$4)</f>
        <v>255.26902743142145</v>
      </c>
      <c r="AB64" s="835" cm="1">
        <f t="array" aca="1" ref="AB64" ca="1">_xlfn.XLOOKUP(TabTRADER[[#This Row],[ClickTick]],ListTickers,Tab1ChangePercent[Change%19])</f>
        <v>-3.5743999999999998E-2</v>
      </c>
      <c r="AC64" s="782">
        <f ca="1">_xlfn.XLOOKUP(TabTRADER[[#This Row],[ClickTick]],TabCalc[Ticker],TabCalc[NAfter])</f>
        <v>401</v>
      </c>
      <c r="AD6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^57/94 K$</v>
      </c>
      <c r="AE64" s="1299" t="str" cm="1">
        <f t="array" aca="1" ref="AE6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64" s="1281" t="str" cm="1">
        <f t="array" aca="1" ref="AF64" ca="1">_xlfn.IFS(       TabTRADER[[#This Row],[Traps]]=RePurchaseGain,TEXT(TabTRADER[[#This Row],[L_Sn]],"#,#0")&amp;" x "&amp;TEXT(TabTRADER[[#This Row],[L_Sp]],"#,#0.#0"),     TabTRADER[[#This Row],[Traps]]=ReSaleGain,TEXT(TabTRADER[[#This Row],[L_Bn]],"#0,#0")&amp;" x "&amp;TEXT(TabTRADER[[#This Row],[L_Bp]],"#,#0.#0"),               TRUE,"")</f>
        <v/>
      </c>
      <c r="AG64" s="1281" t="str" cm="1">
        <f t="array" aca="1" ref="AG6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 x -250.90</v>
      </c>
      <c r="AH64" s="1281" cm="1">
        <f t="array" aca="1" ref="AH6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3500.8740000000021</v>
      </c>
      <c r="AI64" s="1281" cm="1">
        <f t="array" aca="1" ref="AI6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93573.349999999991</v>
      </c>
      <c r="AJ64" s="1290" cm="1">
        <f t="array" aca="1" ref="AJ6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8.5866380469170112E-2</v>
      </c>
      <c r="AK64" s="1290" cm="1">
        <f t="array" aca="1" ref="AK6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7.2608913649025109E-2</v>
      </c>
      <c r="AL64" s="843" t="str" cm="1">
        <f t="array" aca="1" ref="AL64" ca="1">_xlfn.IFS(   TabTRADER[[#This Row],[Traps]]=SellMorePercentGain,                     MIN(TabTRADER[[#This Row],[L_Sn]],TabTRADER[[#This Row],[N]])*(TabTRADER[[#This Row],[M]]-TabTRADER[[#This Row],[L_Sp]])*(1-Commission)*TabTRADER[[#This Row],[Scale]],                    TRUE,"")</f>
        <v/>
      </c>
      <c r="AM64" s="1039">
        <f ca="1">_xlfn.XLOOKUP(TabTRADER[[#This Row],[ClickTick]],TabCalc[Ticker],TabCalc[Ann%RevLB])</f>
        <v>-0.26506681210799032</v>
      </c>
      <c r="AN64" s="1038">
        <f ca="1">_xlfn.XLOOKUP(TabTRADER[[#This Row],[ClickTick]],TabCalc[Ticker],TabCalc[Up20])</f>
        <v>0.22222222222222221</v>
      </c>
      <c r="AO64" s="1291" cm="1">
        <f t="array" aca="1" ref="AO6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7.5208913649025114E-2</v>
      </c>
      <c r="AP64" s="843" cm="1">
        <f t="array" aca="1" ref="AP64" ca="1">_xlfn.IFS(         TabTRADER[[#This Row],[Traps]]=MDown,TabTRADER[[#This Row],[L_Bn]]*TabTRADER[[#This Row],[M]]*(-(TabTRADER[[#This Row],[L_Bp]]+TabTRADER[[#This Row],[M]])/TabTRADER[[#This Row],[M]])*(1-Commission)*TabTRADER[[#This Row],[Scale]],                               TRUE,"")</f>
        <v>3500.8740000000021</v>
      </c>
      <c r="AQ64" s="1290" cm="1">
        <f t="array" aca="1" ref="AQ64" ca="1">_xlfn.IFS(   TabTRADER[[#This Row],[Traps]]=MUp,TabTRADER[[#This Row],[TakeGain_A]]-Commission,        TabTRADER[[#This Row],[Traps]]=MDown,(TabTRADER[[#This Row],[A]]-TabTRADER[[#This Row],[M]])/TabTRADER[[#This Row],[M]]-Commission,                              TRUE,"")</f>
        <v>9.1331979564694465E-2</v>
      </c>
      <c r="AR64" s="774" cm="1">
        <f t="array" aca="1" ref="AR6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8766.6772220000021</v>
      </c>
      <c r="AS64" s="774" t="str" cm="1">
        <f t="array" aca="1" ref="AS6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&lt;0&lt;-1:      -0.7%</v>
      </c>
      <c r="AT64" s="748" cm="1">
        <f t="array" aca="1" ref="AT6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-17.55</v>
      </c>
      <c r="AU64" s="779" cm="1">
        <f t="array" aca="1" ref="AU64" ca="1">_xlfn.IFS(TabTRADER[[#This Row],[Traps]]=ReSaleGain,"",         TabTRADER[[#This Row],[Traps]]=MDown, (TabTRADER[[#This Row],[M]]-TabTRADER[[#This Row],[A]])/TabTRADER[[#This Row],[A]]*ComFactor,             TRUE, IFERROR((TabTRADER[[#This Row],[M]]-TabTRADER[[#This Row],[A]])/TabTRADER[[#This Row],[A]]*ComFactor,""))</f>
        <v>-8.5643127879950265E-2</v>
      </c>
      <c r="AV64" s="776" cm="1">
        <f t="array" aca="1" ref="AV64" ca="1">_xlfn.IFS(               TabTRADER[[#This Row],[Traps]]=NoStock,(TabTRADER[[#This Row],[L_Sp]]-TabTRADER[[#This Row],[M]])/TabTRADER[[#This Row],[M]]-Commission,             TabTRADER[[#This Row],[A]]&lt;&gt;0,(TabTRADER[[#This Row],[A]]-TabTRADER[[#This Row],[M]])/TabTRADER[[#This Row],[M]]-Commission)</f>
        <v>9.1331979564694465E-2</v>
      </c>
      <c r="AW64" s="326">
        <f ca="1">_xlfn.XLOOKUP(TabTRADER[[#This Row],[ClickTick]],TabCalc[Ticker],TabCalc[L_Sn])</f>
        <v>500</v>
      </c>
      <c r="AX64" s="740">
        <f ca="1">_xlfn.XLOOKUP(TabTRADER[[#This Row],[ClickTick]],TabCalc[Ticker],TabCalc[L_Sp])</f>
        <v>267.48</v>
      </c>
      <c r="AY64" s="778">
        <f ca="1">-IFERROR((TabTRADER[[#This Row],[M]]-TabTRADER[[#This Row],[L_Sp]])/TabTRADER[[#This Row],[L_Sp]],0)</f>
        <v>0.1275983251084194</v>
      </c>
      <c r="AZ64" s="741">
        <f ca="1">TabTRADER[[#This Row],[L_Sn]]*(TabTRADER[[#This Row],[M]]-TabTRADER[[#This Row],[L_Sp]])*(1-Commission)*TabTRADER[[#This Row],[Scale]]</f>
        <v>-17020.631000000008</v>
      </c>
      <c r="BA64" s="701">
        <f ca="1">TabTRADER[[#This Row],[L_Sn]]*(TabTRADER[[#This Row],[Agiotage]]-TabTRADER[[#This Row],[M]])/(TabTRADER[[#This Row],[L_Bn]]*TabTRADER[[#This Row],[M]])</f>
        <v>-2.4842996460082265</v>
      </c>
      <c r="BB64" s="641">
        <f ca="1">IFERROR((TabTRADER[[#This Row],[M]]-TabTRADER[[#This Row],[A]])/TabTRADER[[#This Row],[A]],0)</f>
        <v>-8.5866380469170112E-2</v>
      </c>
      <c r="BC64" s="644" t="str">
        <f ca="1">TEXT(_xlfn.XLOOKUP(TabTRADER[[#This Row],[ClickTick]],TabCalc[Ticker],TabCalc[NAfter]),"#,#0")&amp;" : "&amp;TEXT(_xlfn.XLOOKUP(TabTRADER[[#This Row],[ClickTick]],TabCalc[Ticker],TabCalc[NAfter])*(TabTRADER[[#This Row],[M]]-TabTRADER[[#This Row],[A]])*(1-Commission)*TabTRADER[[#This Row],[Scale]],"#,#0$")</f>
        <v>401 : -8,767$</v>
      </c>
      <c r="BD64" s="693">
        <f ca="1">_xlfn.XLOOKUP(TabTRADER[[#This Row],[ClickTick]],TabCalc[[#This Row],[Ticker]],TabCalc[[#This Row],[GL]])*(1-Commission)</f>
        <v>57217.334133799908</v>
      </c>
      <c r="BE64" s="693"/>
      <c r="BF64" s="675" t="str">
        <f ca="1">TabTRADER[[#This Row],[ClickTick]]&amp;": "&amp;_xlfn.XLOOKUP(TabTRADER[[#This Row],[ClickTick]],TabCalc[Ticker],TabCalc[Pile?])</f>
        <v>MVESAP: Pile</v>
      </c>
      <c r="BG64" s="353" t="s">
        <v>2036</v>
      </c>
      <c r="BH64" s="769" t="str" cm="1">
        <f t="array" aca="1" ref="BH64" ca="1">_xlfn.TEXTJOIN("",,INDEX({"M","A","Y"}, _xlfn.SORTBY({1,2,3}, -CHOOSE({1,2,3}, TabTRADER[[#This Row],[M]], TabTRADER[[#This Row],[A]], TabTRADER[[#This Row],[Agiotage]]))))</f>
        <v>AMY</v>
      </c>
      <c r="BI64" s="976" cm="1">
        <f t="array" aca="1" ref="BI6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7.5208913649025114E-2</v>
      </c>
      <c r="BJ64" s="688" t="e">
        <f ca="1">TabTRADER[[#This Row],[L_Sn]]*TabTRADER[[#This Row],[L_Sp]]+TabTRADER[[#This Row],[SellMore]]*TabTRADER[[#This Row],[M]]</f>
        <v>#N/A</v>
      </c>
      <c r="BK64" s="688" t="e">
        <f ca="1">INDEX(
  INDEX(TabConsolid[], , _xlfn.XMATCH(TabTRADER[[#This Row],[ClickTick]]&amp;1, TabConsolid[#Headers])),
  MATCH(
    -TabTRADER[[#This Row],[M]],
    INDEX(TabConsolid[], , _xlfn.XMATCH(TabTRADER[[#This Row],[ClickTick]]&amp;2, TabConsolid[#Headers])),
    -1
  )
)</f>
        <v>#N/A</v>
      </c>
      <c r="BL64" s="688" cm="1">
        <f t="array" aca="1" ref="BL6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64" s="1260" t="e">
        <f ca="1">TabTRADER[[#This Row],[ReBuy]]/(TabTRADER[[#This Row],[L_Sn]]+TabTRADER[[#This Row],[SellMore]])</f>
        <v>#N/A</v>
      </c>
      <c r="BN64" s="696">
        <f ca="1">((_xlfn.XLOOKUP(TabTRADER[[#This Row],[ClickTick]],TabCalc[Ticker],TabCalc[NAfter])+TabTRADER[[#This Row],[L_Sn]])*(TabTRADER[[#This Row],[Agiotage]]-TabTRADER[[#This Row],[M]]))/(TabTRADER[[#This Row],[L_Sn]]*_xlfn.XLOOKUP(TabTRADER[[#This Row],[ClickTick]],TabCalc[Ticker],TabCalc[NAfter]))</f>
        <v>-1.0420347161672094</v>
      </c>
      <c r="BO64" s="696">
        <f ca="1">(TabTRADER[[#This Row],[M]]-TabTRADER[[#This Row],[Agiotage]])/(TabTRADER[[#This Row],[M]]-TabTRADER[[#This Row],[A]])-1</f>
        <v>-11.579143152400812</v>
      </c>
      <c r="BP64" s="1388">
        <f ca="1">_xlfn.XMATCH(TabTRADER[[#This Row],[ClickTick]]&amp;1, TabConsolid[#Headers])</f>
        <v>188</v>
      </c>
      <c r="BQ64" t="str">
        <f ca="1">IF(ABS(TabTRADER[[#This Row],[L_Bp]])&gt;=TabTRADER[[#This Row],[M]],"OK")</f>
        <v>OK</v>
      </c>
    </row>
    <row r="65" spans="1:69" hidden="1">
      <c r="A65" s="225">
        <f ca="1">IF(_xlfn.XLOOKUP(TabTRADER[[#This Row],[ClickTick]],TabCalc[Ticker],TabCalc[Cur])="GBp",0.01,1)</f>
        <v>1</v>
      </c>
      <c r="B6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-37.42x39=    -284 EUR</v>
      </c>
      <c r="C65"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-24.1%</v>
      </c>
      <c r="D65" s="697" t="str" cm="1">
        <f t="array" aca="1" ref="D6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5" s="228" t="str">
        <f ca="1">TRUNC(TabCalc[[#This Row],[L_B1p]],2)&amp;"x"&amp;TabCalc[[#This Row],[L_B1n]]&amp;"=   "&amp;TEXT(TabCalc[[#This Row],[ReverseS1]],"#,#0")&amp;"$"</f>
        <v>-37.9x9=   -70$</v>
      </c>
      <c r="G65" s="227" t="str">
        <f ca="1">IFERROR(TRUNC(_xlfn.XLOOKUP(TabTRADER[[#This Row],[ClickTick]],TabCalc[Ticker],ListLastSalep),2)&amp;"x"&amp;_xlfn.XLOOKUP(TabTRADER[[#This Row],[ClickTick]],TabCalc[Ticker],ListLastSalen)&amp;"=   "&amp;TEXT(-_xlfn.XLOOKUP(TabTRADER[[#This Row],[ClickTick]],TabCalc[Ticker],ListReverseB),"#,#0")&amp;"$","")</f>
        <v>45.93x488=   -7,701$</v>
      </c>
      <c r="H6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52.3% = 317</v>
      </c>
      <c r="I65" s="228" t="str">
        <f ca="1">IFERROR(TRUNC(TabCalc[[#This Row],[L_S1p]],2)&amp;"x"&amp;TabCalc[[#This Row],[L_S1n]]&amp;"=   "&amp;TEXT(TabCalc[[#This Row],[ReverseB1]],"#,#0"),"")</f>
        <v>51.5x490=   10,462</v>
      </c>
      <c r="J65" s="297">
        <f ca="1">_xlfn.XLOOKUP(TabTRADER[[#This Row],[ClickTick]],TabCalc[Ticker],ListGravity)</f>
        <v>0</v>
      </c>
      <c r="K65" s="324" cm="1">
        <f t="array" aca="1" ref="K65" ca="1">IF(_xlfn.XLOOKUP(TabTRADER[[#This Row],[ClickTick]],TabTRADER[ClickTick],ListExtra_n)&gt;0,_xlfn.XLOOKUP(TabTRADER[[#This Row],[ClickTick]],TabTRADER[ClickTick],ListExtra_n),"")</f>
        <v>515</v>
      </c>
      <c r="L65" s="322">
        <f ca="1">IF(_xlfn.XLOOKUP(TabTRADER[[#This Row],[ClickTick]],TabCalc[Ticker],ListExtra_n)&gt;0,_xlfn.XLOOKUP(TabTRADER[[#This Row],[ClickTick]],TabCalc[Ticker],ListExtra_n)*TabTRADER[[#This Row],[M]]*_xlfn.XLOOKUP(TabTRADER[[#This Row],[ClickTick]],TabCalc[Ticker],ListScale),"")</f>
        <v>15527.25</v>
      </c>
      <c r="M65" s="325">
        <f ca="1">_xlfn.XLOOKUP(TabTRADER[[#This Row],[ClickTick]],TabCalc[Ticker],TabCalc[Agiotage])</f>
        <v>3.907563025210084E-2</v>
      </c>
      <c r="N65" s="326" cm="1">
        <f t="array" aca="1" ref="N65" ca="1">_xlfn.XLOOKUP(TabTRADER[[#This Row],[ClickTick]],ListTickers,Tab2RSIConventional[RSIConv20])</f>
        <v>44</v>
      </c>
      <c r="O65" s="712" t="str">
        <f ca="1">TEXT(_xlfn.XLOOKUP(TabTRADER[[#This Row],[ClickTick]],TabCalc[Ticker],TabCalc[Nbegin]),"#,#0")&amp;": "&amp;_xlfn.XLOOKUP(TabTRADER[[#This Row],[ClickTick]],TabCalc[Ticker],TabCalc[Pile?])</f>
        <v xml:space="preserve">45: </v>
      </c>
      <c r="P65" s="877">
        <f ca="1">_xlfn.XLOOKUP(TabTRADER[[#This Row],[ClickTick]],TabCalc[Ticker],TabCalc[L_Bn])</f>
        <v>39</v>
      </c>
      <c r="Q65" s="740">
        <f ca="1">_xlfn.XLOOKUP(TabTRADER[[#This Row],[ClickTick]],TabCalc[Ticker],TabCalc[L_Bp])</f>
        <v>-37.424999999999997</v>
      </c>
      <c r="R65" s="778">
        <f ca="1">(TabTRADER[[#This Row],[M]]+TabTRADER[[#This Row],[L_Bp]])/ABS(TabTRADER[[#This Row],[L_Bp]])</f>
        <v>-0.19438877755511019</v>
      </c>
      <c r="S65" s="692">
        <f ca="1">_xlfn.XLOOKUP(TabTRADER[[#This Row],[ClickTick]],TabCalc[Ticker],TabCalc[Rev(MinStock)])*(1-Commission)</f>
        <v>-282.98731499999997</v>
      </c>
      <c r="T65" s="798">
        <f ca="1">_xlfn.XLOOKUP(TabTRADER[[#This Row],[ClickTick]],TabCalc[Ticker],TabCalc[Agiotage])</f>
        <v>3.907563025210084E-2</v>
      </c>
      <c r="U65" s="759" t="str" cm="1">
        <f t="array" aca="1" ref="U6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-476/-476=&gt;-2.6% / -2.6%</v>
      </c>
      <c r="V65" s="751" t="str">
        <f ca="1">_xlfn.XLOOKUP(TabTRADER[[#This Row],[ClickTick]],[1]!RTData[Ticker symbol],[1]!RTData[Currency])</f>
        <v>EUR</v>
      </c>
      <c r="W65" s="761">
        <f ca="1">_xlfn.XLOOKUP(TabTRADER[[#This Row],[ClickTick]],TabCalc[Ticker],TabCalc[M])</f>
        <v>30.15</v>
      </c>
      <c r="X65" s="762" t="str">
        <f ca="1">SORTING!B65</f>
        <v>MVEUN0</v>
      </c>
      <c r="Y65" s="819">
        <f ca="1">_xlfn.XLOOKUP(TabTRADER[[#This Row],[ClickTick]],TabCalc[Ticker],TabCalc[Y])</f>
        <v>0</v>
      </c>
      <c r="Z65" s="835">
        <f ca="1">_xlfn.XLOOKUP(TabTRADER[[#This Row],[ClickTick]],[1]!RTData[Ticker symbol],[1]!RTData[YTChange])</f>
        <v>0</v>
      </c>
      <c r="AA65" s="851">
        <f ca="1">-_xlfn.XLOOKUP(TabTRADER[[#This Row],[ClickTick]]&amp;2,Consolid!B$3:JZ$3,Consolid!B$4:JZ$4)</f>
        <v>41.94063392857143</v>
      </c>
      <c r="AB65" s="835" cm="1">
        <f t="array" aca="1" ref="AB65" ca="1">_xlfn.XLOOKUP(TabTRADER[[#This Row],[ClickTick]],ListTickers,Tab1ChangePercent[Change%19])</f>
        <v>-2.5847999999999999E-2</v>
      </c>
      <c r="AC65" s="782">
        <f ca="1">_xlfn.XLOOKUP(TabTRADER[[#This Row],[ClickTick]],TabCalc[Ticker],TabCalc[NAfter])</f>
        <v>560</v>
      </c>
      <c r="AD6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0/17 K$</v>
      </c>
      <c r="AE65" s="1299" t="str" cm="1">
        <f t="array" aca="1" ref="AE6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65" s="1281" t="str" cm="1">
        <f t="array" aca="1" ref="AF65" ca="1">_xlfn.IFS(       TabTRADER[[#This Row],[Traps]]=RePurchaseGain,TEXT(TabTRADER[[#This Row],[L_Sn]],"#,#0")&amp;" x "&amp;TEXT(TabTRADER[[#This Row],[L_Sp]],"#,#0.#0"),     TabTRADER[[#This Row],[Traps]]=ReSaleGain,TEXT(TabTRADER[[#This Row],[L_Bn]],"#0,#0")&amp;" x "&amp;TEXT(TabTRADER[[#This Row],[L_Bp]],"#,#0.#0"),               TRUE,"")</f>
        <v/>
      </c>
      <c r="AG65" s="1281" t="str" cm="1">
        <f t="array" aca="1" ref="AG6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039 x -37.43</v>
      </c>
      <c r="AH65" s="1281" cm="1">
        <f t="array" aca="1" ref="AH6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282.98731499999997</v>
      </c>
      <c r="AI65" s="1281" cm="1">
        <f t="array" aca="1" ref="AI6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16884</v>
      </c>
      <c r="AJ65" s="1290" cm="1">
        <f t="array" aca="1" ref="AJ6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0.28112674569134821</v>
      </c>
      <c r="AK65" s="1290" cm="1">
        <f t="array" aca="1" ref="AK6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0.23869353233830842</v>
      </c>
      <c r="AL65" s="843" t="str" cm="1">
        <f t="array" aca="1" ref="AL65" ca="1">_xlfn.IFS(   TabTRADER[[#This Row],[Traps]]=SellMorePercentGain,                     MIN(TabTRADER[[#This Row],[L_Sn]],TabTRADER[[#This Row],[N]])*(TabTRADER[[#This Row],[M]]-TabTRADER[[#This Row],[L_Sp]])*(1-Commission)*TabTRADER[[#This Row],[Scale]],                    TRUE,"")</f>
        <v/>
      </c>
      <c r="AM65" s="1039">
        <f ca="1">_xlfn.XLOOKUP(TabTRADER[[#This Row],[ClickTick]],TabCalc[Ticker],TabCalc[Ann%RevLB])</f>
        <v>-0.69979959919839674</v>
      </c>
      <c r="AN65" s="1038">
        <f ca="1">_xlfn.XLOOKUP(TabTRADER[[#This Row],[ClickTick]],TabCalc[Ticker],TabCalc[Up20])</f>
        <v>0</v>
      </c>
      <c r="AO65" s="1291" cm="1">
        <f t="array" aca="1" ref="AO6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0.24129353233830841</v>
      </c>
      <c r="AP65" s="843" cm="1">
        <f t="array" aca="1" ref="AP65" ca="1">_xlfn.IFS(         TabTRADER[[#This Row],[Traps]]=MDown,TabTRADER[[#This Row],[L_Bn]]*TabTRADER[[#This Row],[M]]*(-(TabTRADER[[#This Row],[L_Bp]]+TabTRADER[[#This Row],[M]])/TabTRADER[[#This Row],[M]])*(1-Commission)*TabTRADER[[#This Row],[Scale]],                               TRUE,"")</f>
        <v>282.98731499999991</v>
      </c>
      <c r="AQ65" s="1290" cm="1">
        <f t="array" aca="1" ref="AQ65" ca="1">_xlfn.IFS(   TabTRADER[[#This Row],[Traps]]=MUp,TabTRADER[[#This Row],[TakeGain_A]]-Commission,        TabTRADER[[#This Row],[Traps]]=MDown,(TabTRADER[[#This Row],[A]]-TabTRADER[[#This Row],[M]])/TabTRADER[[#This Row],[M]]-Commission,                              TRUE,"")</f>
        <v>0.38846580194266772</v>
      </c>
      <c r="AR65" s="843" cm="1">
        <f t="array" aca="1" ref="AR6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6585.5878370000009</v>
      </c>
      <c r="AS65" s="774" t="str" cm="1">
        <f t="array" aca="1" ref="AS6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-0.5%</v>
      </c>
      <c r="AT65" s="748" cm="1">
        <f t="array" aca="1" ref="AT6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-7.27</v>
      </c>
      <c r="AU65" s="779" cm="1">
        <f t="array" aca="1" ref="AU65" ca="1">_xlfn.IFS(TabTRADER[[#This Row],[Traps]]=ReSaleGain,"",         TabTRADER[[#This Row],[Traps]]=MDown, (TabTRADER[[#This Row],[M]]-TabTRADER[[#This Row],[A]])/TabTRADER[[#This Row],[A]]*ComFactor,             TRUE, IFERROR((TabTRADER[[#This Row],[M]]-TabTRADER[[#This Row],[A]])/TabTRADER[[#This Row],[A]]*ComFactor,""))</f>
        <v>-0.28039581615255071</v>
      </c>
      <c r="AV65" s="776" cm="1">
        <f t="array" aca="1" ref="AV65" ca="1">_xlfn.IFS(               TabTRADER[[#This Row],[Traps]]=NoStock,(TabTRADER[[#This Row],[L_Sp]]-TabTRADER[[#This Row],[M]])/TabTRADER[[#This Row],[M]]-Commission,             TabTRADER[[#This Row],[A]]&lt;&gt;0,(TabTRADER[[#This Row],[A]]-TabTRADER[[#This Row],[M]])/TabTRADER[[#This Row],[M]]-Commission)</f>
        <v>0.38846580194266772</v>
      </c>
      <c r="AW65" s="326">
        <f ca="1">_xlfn.XLOOKUP(TabTRADER[[#This Row],[ClickTick]],TabCalc[Ticker],TabCalc[L_Sn])</f>
        <v>488</v>
      </c>
      <c r="AX65" s="740">
        <f ca="1">_xlfn.XLOOKUP(TabTRADER[[#This Row],[ClickTick]],TabCalc[Ticker],TabCalc[L_Sp])</f>
        <v>45.93</v>
      </c>
      <c r="AY65" s="778">
        <f ca="1">-IFERROR((TabTRADER[[#This Row],[M]]-TabTRADER[[#This Row],[L_Sp]])/TabTRADER[[#This Row],[L_Sp]],0)</f>
        <v>0.34356629653821036</v>
      </c>
      <c r="AZ65" s="741">
        <f ca="1">TabTRADER[[#This Row],[L_Sn]]*(TabTRADER[[#This Row],[M]]-TabTRADER[[#This Row],[L_Sp]])*(1-Commission)*TabTRADER[[#This Row],[Scale]]</f>
        <v>-7680.6183359999995</v>
      </c>
      <c r="BA65" s="701">
        <f ca="1">TabTRADER[[#This Row],[L_Sn]]*(TabTRADER[[#This Row],[Agiotage]]-TabTRADER[[#This Row],[M]])/(TabTRADER[[#This Row],[L_Bn]]*TabTRADER[[#This Row],[M]])</f>
        <v>-12.496603386857998</v>
      </c>
      <c r="BB65" s="641">
        <f ca="1">IFERROR((TabTRADER[[#This Row],[M]]-TabTRADER[[#This Row],[A]])/TabTRADER[[#This Row],[A]],0)</f>
        <v>-0.28112674569134821</v>
      </c>
      <c r="BC65" s="644" t="str">
        <f ca="1">TEXT(_xlfn.XLOOKUP(TabTRADER[[#This Row],[ClickTick]],TabCalc[Ticker],TabCalc[NAfter]),"#,#0")&amp;" : "&amp;TEXT(_xlfn.XLOOKUP(TabTRADER[[#This Row],[ClickTick]],TabCalc[Ticker],TabCalc[NAfter])*(TabTRADER[[#This Row],[M]]-TabTRADER[[#This Row],[A]])*(1-Commission)*TabTRADER[[#This Row],[Scale]],"#,#0$")</f>
        <v>560 : -6,586$</v>
      </c>
      <c r="BD65" s="693">
        <f ca="1">_xlfn.XLOOKUP(TabTRADER[[#This Row],[ClickTick]],TabCalc[[#This Row],[Ticker]],TabCalc[[#This Row],[GL]])*(1-Commission)</f>
        <v>-35.498962100002259</v>
      </c>
      <c r="BE65" s="693"/>
      <c r="BF65" s="675" t="str">
        <f ca="1">TabTRADER[[#This Row],[ClickTick]]&amp;": "&amp;_xlfn.XLOOKUP(TabTRADER[[#This Row],[ClickTick]],TabCalc[Ticker],TabCalc[Pile?])</f>
        <v xml:space="preserve">MVEUN0: </v>
      </c>
      <c r="BG65" s="353" t="s">
        <v>2037</v>
      </c>
      <c r="BH65" s="769" t="str" cm="1">
        <f t="array" aca="1" ref="BH65" ca="1">_xlfn.TEXTJOIN("",,INDEX({"M","A","Y"}, _xlfn.SORTBY({1,2,3}, -CHOOSE({1,2,3}, TabTRADER[[#This Row],[M]], TabTRADER[[#This Row],[A]], TabTRADER[[#This Row],[Agiotage]]))))</f>
        <v>AMY</v>
      </c>
      <c r="BI65" s="976" cm="1">
        <f t="array" aca="1" ref="BI6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0.24129353233830841</v>
      </c>
      <c r="BJ65" s="688" t="e">
        <f ca="1">TabTRADER[[#This Row],[L_Sn]]*TabTRADER[[#This Row],[L_Sp]]+TabTRADER[[#This Row],[SellMore]]*TabTRADER[[#This Row],[M]]</f>
        <v>#N/A</v>
      </c>
      <c r="BK65" s="688" t="e">
        <f ca="1">INDEX(
  INDEX(TabConsolid[], , _xlfn.XMATCH(TabTRADER[[#This Row],[ClickTick]]&amp;1, TabConsolid[#Headers])),
  MATCH(
    -TabTRADER[[#This Row],[M]],
    INDEX(TabConsolid[], , _xlfn.XMATCH(TabTRADER[[#This Row],[ClickTick]]&amp;2, TabConsolid[#Headers])),
    -1
  )
)</f>
        <v>#N/A</v>
      </c>
      <c r="BL65" s="688" cm="1">
        <f t="array" aca="1" ref="BL6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39</v>
      </c>
      <c r="BM65" s="1260" t="e">
        <f ca="1">TabTRADER[[#This Row],[ReBuy]]/(TabTRADER[[#This Row],[L_Sn]]+TabTRADER[[#This Row],[SellMore]])</f>
        <v>#N/A</v>
      </c>
      <c r="BN65" s="696">
        <f ca="1">((_xlfn.XLOOKUP(TabTRADER[[#This Row],[ClickTick]],TabCalc[Ticker],TabCalc[NAfter])+TabTRADER[[#This Row],[L_Sn]])*(TabTRADER[[#This Row],[Agiotage]]-TabTRADER[[#This Row],[M]]))/(TabTRADER[[#This Row],[L_Sn]]*_xlfn.XLOOKUP(TabTRADER[[#This Row],[ClickTick]],TabCalc[Ticker],TabCalc[NAfter]))</f>
        <v>-0.11547222167555546</v>
      </c>
      <c r="BO65" s="696">
        <f ca="1">(TabTRADER[[#This Row],[M]]-TabTRADER[[#This Row],[Agiotage]])/(TabTRADER[[#This Row],[M]]-TabTRADER[[#This Row],[A]])-1</f>
        <v>-3.553800292008233</v>
      </c>
      <c r="BP65" s="1388">
        <f ca="1">_xlfn.XMATCH(TabTRADER[[#This Row],[ClickTick]]&amp;1, TabConsolid[#Headers])</f>
        <v>191</v>
      </c>
      <c r="BQ65" t="str">
        <f ca="1">IF(ABS(TabTRADER[[#This Row],[L_Bp]])&gt;=TabTRADER[[#This Row],[M]],"OK")</f>
        <v>OK</v>
      </c>
    </row>
    <row r="66" spans="1:69" hidden="1">
      <c r="A66" s="225">
        <f ca="1">IF(_xlfn.XLOOKUP(TabTRADER[[#This Row],[ClickTick]],TabCalc[Ticker],TabCalc[Cur])="GBp",0.01,1)</f>
        <v>1</v>
      </c>
      <c r="B6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-198.8x290=    +18,566 USD</v>
      </c>
      <c r="C6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24.4%</v>
      </c>
      <c r="D66" s="697" t="str" cm="1">
        <f t="array" aca="1" ref="D6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78/350=20,526</v>
      </c>
      <c r="E66"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6" s="228" t="str">
        <f ca="1">TRUNC(TabCalc[[#This Row],[L_B1p]],2)&amp;"x"&amp;TabCalc[[#This Row],[L_B1n]]&amp;"=   "&amp;TEXT(TabCalc[[#This Row],[ReverseS1]],"#,#0")&amp;"$"</f>
        <v>-204.94x500=   20,255$</v>
      </c>
      <c r="G66" s="227" t="str">
        <f ca="1">IFERROR(TRUNC(_xlfn.XLOOKUP(TabTRADER[[#This Row],[ClickTick]],TabCalc[Ticker],ListLastSalep),2)&amp;"x"&amp;_xlfn.XLOOKUP(TabTRADER[[#This Row],[ClickTick]],TabCalc[Ticker],ListLastSalen)&amp;"=   "&amp;TEXT(-_xlfn.XLOOKUP(TabTRADER[[#This Row],[ClickTick]],TabCalc[Ticker],ListReverseB),"#,#0")&amp;"$","")</f>
        <v>260x150=   423$</v>
      </c>
      <c r="H6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-1.1% = 0</v>
      </c>
      <c r="I66" s="228" t="str">
        <f ca="1">IFERROR(TRUNC(TabCalc[[#This Row],[L_S1p]],2)&amp;"x"&amp;TabCalc[[#This Row],[L_S1n]]&amp;"=   "&amp;TEXT(TabCalc[[#This Row],[ReverseB1]],"#,#0"),"")</f>
        <v>230.21x300=   -9,783</v>
      </c>
      <c r="J66" s="297">
        <f ca="1">_xlfn.XLOOKUP(TabTRADER[[#This Row],[ClickTick]],TabCalc[Ticker],ListGravity)</f>
        <v>0.94426329807472797</v>
      </c>
      <c r="K66" s="324" t="str" cm="1">
        <f t="array" aca="1" ref="K66" ca="1">IF(_xlfn.XLOOKUP(TabTRADER[[#This Row],[ClickTick]],TabTRADER[ClickTick],ListExtra_n)&gt;0,_xlfn.XLOOKUP(TabTRADER[[#This Row],[ClickTick]],TabTRADER[ClickTick],ListExtra_n),"")</f>
        <v/>
      </c>
      <c r="L66" s="322" t="str">
        <f ca="1">IF(_xlfn.XLOOKUP(TabTRADER[[#This Row],[ClickTick]],TabCalc[Ticker],ListExtra_n)&gt;0,_xlfn.XLOOKUP(TabTRADER[[#This Row],[ClickTick]],TabCalc[Ticker],ListExtra_n)*TabTRADER[[#This Row],[M]]*_xlfn.XLOOKUP(TabTRADER[[#This Row],[ClickTick]],TabCalc[Ticker],ListScale),"")</f>
        <v/>
      </c>
      <c r="M66" s="325">
        <f ca="1">_xlfn.XLOOKUP(TabTRADER[[#This Row],[ClickTick]],TabCalc[Ticker],TabCalc[Agiotage])</f>
        <v>0.72655349107793532</v>
      </c>
      <c r="N66" s="326" cm="1">
        <f t="array" aca="1" ref="N66" ca="1">_xlfn.XLOOKUP(TabTRADER[[#This Row],[ClickTick]],ListTickers,Tab2RSIConventional[RSIConv20])</f>
        <v>57</v>
      </c>
      <c r="O66" s="712" t="str">
        <f ca="1">TEXT(_xlfn.XLOOKUP(TabTRADER[[#This Row],[ClickTick]],TabCalc[Ticker],TabCalc[Nbegin]),"#,#0")&amp;": "&amp;_xlfn.XLOOKUP(TabTRADER[[#This Row],[ClickTick]],TabCalc[Ticker],TabCalc[Pile?])</f>
        <v xml:space="preserve">500: </v>
      </c>
      <c r="P66" s="746">
        <f ca="1">_xlfn.XLOOKUP(TabTRADER[[#This Row],[ClickTick]],TabCalc[Ticker],TabCalc[L_Bn])</f>
        <v>290</v>
      </c>
      <c r="Q66" s="740">
        <f ca="1">_xlfn.XLOOKUP(TabTRADER[[#This Row],[ClickTick]],TabCalc[Ticker],TabCalc[L_Bp])</f>
        <v>-198.8</v>
      </c>
      <c r="R66" s="778">
        <f ca="1">(TabTRADER[[#This Row],[M]]+TabTRADER[[#This Row],[L_Bp]])/ABS(TabTRADER[[#This Row],[L_Bp]])</f>
        <v>0.32203219315895359</v>
      </c>
      <c r="S66" s="692">
        <f ca="1">_xlfn.XLOOKUP(TabTRADER[[#This Row],[ClickTick]],TabCalc[Ticker],TabCalc[Rev(MinStock)])*(1-Commission)</f>
        <v>18517.528919999993</v>
      </c>
      <c r="T66" s="798">
        <f ca="1">_xlfn.XLOOKUP(TabTRADER[[#This Row],[ClickTick]],TabCalc[Ticker],TabCalc[Agiotage])</f>
        <v>0.72655349107793532</v>
      </c>
      <c r="U66" s="759" t="str" cm="1">
        <f t="array" aca="1" ref="U6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571/571=&gt;1.2% / 1.2%</v>
      </c>
      <c r="V66" s="751" t="str">
        <f ca="1">_xlfn.XLOOKUP(TabTRADER[[#This Row],[ClickTick]],[1]!RTData[Ticker symbol],[1]!RTData[Currency])</f>
        <v>USD</v>
      </c>
      <c r="W66" s="761">
        <f ca="1">_xlfn.XLOOKUP(TabTRADER[[#This Row],[ClickTick]],TabCalc[Ticker],TabCalc[M])</f>
        <v>262.82</v>
      </c>
      <c r="X66" s="762" t="str">
        <f ca="1">SORTING!B66</f>
        <v>SAFAAPL</v>
      </c>
      <c r="Y66" s="819">
        <f ca="1">_xlfn.XLOOKUP(TabTRADER[[#This Row],[ClickTick]],TabCalc[Ticker],TabCalc[Y])</f>
        <v>248.17128</v>
      </c>
      <c r="Z66" s="835">
        <f ca="1">_xlfn.XLOOKUP(TabTRADER[[#This Row],[ClickTick]],[1]!RTData[Ticker symbol],[1]!RTData[YTChange])</f>
        <v>0.19554523557182762</v>
      </c>
      <c r="AA66" s="851">
        <f ca="1">-_xlfn.XLOOKUP(TabTRADER[[#This Row],[ClickTick]]&amp;2,Consolid!B$3:JZ$3,Consolid!B$4:JZ$4)</f>
        <v>199.85416914285713</v>
      </c>
      <c r="AB66" s="835" cm="1">
        <f t="array" aca="1" ref="AB66" ca="1">_xlfn.XLOOKUP(TabTRADER[[#This Row],[ClickTick]],ListTickers,Tab1ChangePercent[Change%19])</f>
        <v>1.2482E-2</v>
      </c>
      <c r="AC66" s="782">
        <f ca="1">_xlfn.XLOOKUP(TabTRADER[[#This Row],[ClickTick]],TabCalc[Ticker],TabCalc[NAfter])</f>
        <v>350</v>
      </c>
      <c r="AD66"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^125/92 K$</v>
      </c>
      <c r="AE66" s="1299" t="str" cm="1">
        <f t="array" aca="1" ref="AE6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6" s="1281" t="str" cm="1">
        <f t="array" aca="1" ref="AF66" ca="1">_xlfn.IFS(       TabTRADER[[#This Row],[Traps]]=RePurchaseGain,TEXT(TabTRADER[[#This Row],[L_Sn]],"#,#0")&amp;" x "&amp;TEXT(TabTRADER[[#This Row],[L_Sp]],"#,#0.#0"),     TabTRADER[[#This Row],[Traps]]=ReSaleGain,TEXT(TabTRADER[[#This Row],[L_Bn]],"#0,#0")&amp;" x "&amp;TEXT(TabTRADER[[#This Row],[L_Bp]],"#,#0.#0"),               TRUE,"")</f>
        <v/>
      </c>
      <c r="AG66" s="1281" t="str" cm="1">
        <f t="array" aca="1" ref="AG6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 x 260.0</v>
      </c>
      <c r="AH66" s="1281" cm="1">
        <f t="array" aca="1" ref="AH6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421.90019999999896</v>
      </c>
      <c r="AI66" s="1281" cm="1">
        <f t="array" aca="1" ref="AI6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21980.74189392</v>
      </c>
      <c r="AJ66" s="1290" cm="1">
        <f t="array" aca="1" ref="AJ6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0.31505888081891581</v>
      </c>
      <c r="AK66" s="1290" cm="1">
        <f t="array" aca="1" ref="AK6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8.129777033711259E-3</v>
      </c>
      <c r="AL66" s="843" cm="1">
        <f t="array" aca="1" ref="AL66" ca="1">_xlfn.IFS(   TabTRADER[[#This Row],[Traps]]=SellMorePercentGain,                     MIN(TabTRADER[[#This Row],[L_Sn]],TabTRADER[[#This Row],[N]])*(TabTRADER[[#This Row],[M]]-TabTRADER[[#This Row],[L_Sp]])*(1-Commission)*TabTRADER[[#This Row],[Scale]],                    TRUE,"")</f>
        <v>421.90019999999896</v>
      </c>
      <c r="AM66" s="1039">
        <f ca="1">_xlfn.XLOOKUP(TabTRADER[[#This Row],[ClickTick]],TabCalc[Ticker],TabCalc[Ann%RevLB])</f>
        <v>0.84621598202352766</v>
      </c>
      <c r="AN66" s="1038">
        <f ca="1">_xlfn.XLOOKUP(TabTRADER[[#This Row],[ClickTick]],TabCalc[Ticker],TabCalc[Up20])</f>
        <v>0</v>
      </c>
      <c r="AO66" s="1291" t="str" cm="1">
        <f t="array" aca="1" ref="AO6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66" s="843" t="str" cm="1">
        <f t="array" aca="1" ref="AP66" ca="1">_xlfn.IFS(         TabTRADER[[#This Row],[Traps]]=MDown,TabTRADER[[#This Row],[L_Bn]]*TabTRADER[[#This Row],[M]]*(-(TabTRADER[[#This Row],[L_Bp]]+TabTRADER[[#This Row],[M]])/TabTRADER[[#This Row],[M]])*(1-Commission)*TabTRADER[[#This Row],[Scale]],                               TRUE,"")</f>
        <v/>
      </c>
      <c r="AQ66" s="1290" cm="1">
        <f t="array" aca="1" ref="AQ66" ca="1">_xlfn.IFS(   TabTRADER[[#This Row],[Traps]]=MUp,TabTRADER[[#This Row],[TakeGain_A]]-Commission,        TabTRADER[[#This Row],[Traps]]=MDown,(TabTRADER[[#This Row],[A]]-TabTRADER[[#This Row],[M]])/TabTRADER[[#This Row],[M]]-Commission,                              TRUE,"")</f>
        <v>0.31245888081891582</v>
      </c>
      <c r="AR66" s="843" cm="1">
        <f t="array" aca="1" ref="AR6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28905.969834587897</v>
      </c>
      <c r="AS66" s="774" t="str" cm="1">
        <f t="array" aca="1" ref="AS6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0.5%</v>
      </c>
      <c r="AT66" s="748" t="str" cm="1">
        <f t="array" aca="1" ref="AT6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290x62.96</v>
      </c>
      <c r="AU66" s="779" cm="1">
        <f t="array" aca="1" ref="AU66" ca="1">_xlfn.IFS(TabTRADER[[#This Row],[Traps]]=ReSaleGain,"",         TabTRADER[[#This Row],[Traps]]=MDown, (TabTRADER[[#This Row],[M]]-TabTRADER[[#This Row],[A]])/TabTRADER[[#This Row],[A]]*ComFactor,             TRUE, IFERROR((TabTRADER[[#This Row],[M]]-TabTRADER[[#This Row],[A]])/TabTRADER[[#This Row],[A]]*ComFactor,""))</f>
        <v>0.31423972772878661</v>
      </c>
      <c r="AV66" s="776" cm="1">
        <f t="array" aca="1" ref="AV66" ca="1">_xlfn.IFS(               TabTRADER[[#This Row],[Traps]]=NoStock,(TabTRADER[[#This Row],[L_Sp]]-TabTRADER[[#This Row],[M]])/TabTRADER[[#This Row],[M]]-Commission,             TabTRADER[[#This Row],[A]]&lt;&gt;0,(TabTRADER[[#This Row],[A]]-TabTRADER[[#This Row],[M]])/TabTRADER[[#This Row],[M]]-Commission)</f>
        <v>-0.24217777512039745</v>
      </c>
      <c r="AW66" s="326">
        <f ca="1">_xlfn.XLOOKUP(TabTRADER[[#This Row],[ClickTick]],TabCalc[Ticker],TabCalc[L_Sn])</f>
        <v>150</v>
      </c>
      <c r="AX66" s="740">
        <f ca="1">_xlfn.XLOOKUP(TabTRADER[[#This Row],[ClickTick]],TabCalc[Ticker],TabCalc[L_Sp])</f>
        <v>260</v>
      </c>
      <c r="AY66" s="778">
        <f ca="1">-IFERROR((TabTRADER[[#This Row],[M]]-TabTRADER[[#This Row],[L_Sp]])/TabTRADER[[#This Row],[L_Sp]],0)</f>
        <v>-1.084615384615382E-2</v>
      </c>
      <c r="AZ66" s="741">
        <f ca="1">TabTRADER[[#This Row],[L_Sn]]*(TabTRADER[[#This Row],[M]]-TabTRADER[[#This Row],[L_Sp]])*(1-Commission)*TabTRADER[[#This Row],[Scale]]</f>
        <v>421.90019999999896</v>
      </c>
      <c r="BA66" s="701">
        <f ca="1">TabTRADER[[#This Row],[L_Sn]]*(TabTRADER[[#This Row],[Agiotage]]-TabTRADER[[#This Row],[M]])/(TabTRADER[[#This Row],[L_Bn]]*TabTRADER[[#This Row],[M]])</f>
        <v>-0.51581148991886816</v>
      </c>
      <c r="BB66" s="641">
        <f ca="1">IFERROR((TabTRADER[[#This Row],[M]]-TabTRADER[[#This Row],[A]])/TabTRADER[[#This Row],[A]],0)</f>
        <v>0.31505888081891581</v>
      </c>
      <c r="BC66" s="644" t="str">
        <f ca="1">TEXT(_xlfn.XLOOKUP(TabTRADER[[#This Row],[ClickTick]],TabCalc[Ticker],TabCalc[NAfter]),"#,#0")&amp;" : "&amp;TEXT(_xlfn.XLOOKUP(TabTRADER[[#This Row],[ClickTick]],TabCalc[Ticker],TabCalc[NAfter])*(TabTRADER[[#This Row],[M]]-TabTRADER[[#This Row],[A]])*(1-Commission)*TabTRADER[[#This Row],[Scale]],"#,#0$")</f>
        <v>350 : 21,981$</v>
      </c>
      <c r="BD66" s="693">
        <f ca="1">_xlfn.XLOOKUP(TabTRADER[[#This Row],[ClickTick]],TabCalc[[#This Row],[Ticker]],TabCalc[[#This Row],[GL]])*(1-Commission)</f>
        <v>124218.03121599996</v>
      </c>
      <c r="BE66" s="693"/>
      <c r="BF66" s="675" t="str">
        <f ca="1">TabTRADER[[#This Row],[ClickTick]]&amp;": "&amp;_xlfn.XLOOKUP(TabTRADER[[#This Row],[ClickTick]],TabCalc[Ticker],TabCalc[Pile?])</f>
        <v xml:space="preserve">SAFAAPL: </v>
      </c>
      <c r="BG66" s="353" t="s">
        <v>2038</v>
      </c>
      <c r="BH66" s="769" t="str" cm="1">
        <f t="array" aca="1" ref="BH66" ca="1">_xlfn.TEXTJOIN("",,INDEX({"M","A","Y"}, _xlfn.SORTBY({1,2,3}, -CHOOSE({1,2,3}, TabTRADER[[#This Row],[M]], TabTRADER[[#This Row],[A]], TabTRADER[[#This Row],[Agiotage]]))))</f>
        <v>MAY</v>
      </c>
      <c r="BI66" s="976" cm="1">
        <f t="array" aca="1" ref="BI6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1.0729777033711259E-2</v>
      </c>
      <c r="BJ66" s="688">
        <f ca="1">TabTRADER[[#This Row],[L_Sn]]*TabTRADER[[#This Row],[L_Sp]]+TabTRADER[[#This Row],[SellMore]]*TabTRADER[[#This Row],[M]]</f>
        <v>54769.2</v>
      </c>
      <c r="BK66" s="688">
        <f ca="1">INDEX(
  INDEX(TabConsolid[], , _xlfn.XMATCH(TabTRADER[[#This Row],[ClickTick]]&amp;1, TabConsolid[#Headers])),
  MATCH(
    -TabTRADER[[#This Row],[M]],
    INDEX(TabConsolid[], , _xlfn.XMATCH(TabTRADER[[#This Row],[ClickTick]]&amp;2, TabConsolid[#Headers])),
    -1
  )
)</f>
        <v>60</v>
      </c>
      <c r="BL66" s="688" cm="1">
        <f t="array" aca="1" ref="BL6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v>
      </c>
      <c r="BM66" s="1260">
        <f ca="1">TabTRADER[[#This Row],[ReBuy]]/(TabTRADER[[#This Row],[L_Sn]]+TabTRADER[[#This Row],[SellMore]])</f>
        <v>260.80571428571426</v>
      </c>
      <c r="BN66" s="696">
        <f ca="1">((_xlfn.XLOOKUP(TabTRADER[[#This Row],[ClickTick]],TabCalc[Ticker],TabCalc[NAfter])+TabTRADER[[#This Row],[L_Sn]])*(TabTRADER[[#This Row],[Agiotage]]-TabTRADER[[#This Row],[M]]))/(TabTRADER[[#This Row],[L_Sn]]*_xlfn.XLOOKUP(TabTRADER[[#This Row],[ClickTick]],TabCalc[Ticker],TabCalc[NAfter]))</f>
        <v>-2.4961280619897339</v>
      </c>
      <c r="BO66" s="696">
        <f ca="1">(TabTRADER[[#This Row],[M]]-TabTRADER[[#This Row],[Agiotage]])/(TabTRADER[[#This Row],[M]]-TabTRADER[[#This Row],[A]])-1</f>
        <v>3.1624710250161039</v>
      </c>
      <c r="BP66" s="1388">
        <f ca="1">_xlfn.XMATCH(TabTRADER[[#This Row],[ClickTick]]&amp;1, TabConsolid[#Headers])</f>
        <v>194</v>
      </c>
      <c r="BQ66" t="b">
        <f ca="1">IF(ABS(TabTRADER[[#This Row],[L_Bp]])&gt;=TabTRADER[[#This Row],[M]],"OK")</f>
        <v>0</v>
      </c>
    </row>
    <row r="67" spans="1:69" hidden="1">
      <c r="A67" s="225">
        <f ca="1">IF(_xlfn.XLOOKUP(TabTRADER[[#This Row],[ClickTick]],TabCalc[Ticker],TabCalc[Cur])="GBp",0.01,1)</f>
        <v>1</v>
      </c>
      <c r="B6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-213.25x500=    +5,480 USD</v>
      </c>
      <c r="C67"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4.9%</v>
      </c>
      <c r="D67" s="697" t="str" cm="1">
        <f t="array" aca="1" ref="D6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456/1,500=102,286</v>
      </c>
      <c r="E6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7" s="228" t="str">
        <f ca="1">TRUNC(TabCalc[[#This Row],[L_B1p]],2)&amp;"x"&amp;TabCalc[[#This Row],[L_B1n]]&amp;"=   "&amp;TEXT(TabCalc[[#This Row],[ReverseS1]],"#,#0")&amp;"$"</f>
        <v>-193.49x250=   7,680$</v>
      </c>
      <c r="G67" s="227" t="str">
        <f ca="1">IFERROR(TRUNC(_xlfn.XLOOKUP(TabTRADER[[#This Row],[ClickTick]],TabCalc[Ticker],ListLastSalep),2)&amp;"x"&amp;_xlfn.XLOOKUP(TabTRADER[[#This Row],[ClickTick]],TabCalc[Ticker],ListLastSalen)&amp;"=   "&amp;TEXT(-_xlfn.XLOOKUP(TabTRADER[[#This Row],[ClickTick]],TabCalc[Ticker],ListReverseB),"#,#0")&amp;"$","")</f>
        <v>221.65x500=   1,280$</v>
      </c>
      <c r="H6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-1.1% = 0</v>
      </c>
      <c r="I67" s="228" t="str">
        <f ca="1">IFERROR(TRUNC(TabCalc[[#This Row],[L_S1p]],2)&amp;"x"&amp;TabCalc[[#This Row],[L_S1n]]&amp;"=   "&amp;TEXT(TabCalc[[#This Row],[ReverseB1]],"#,#0"),"")</f>
        <v>232.72x500=   4,255</v>
      </c>
      <c r="J67" s="297">
        <f ca="1">_xlfn.XLOOKUP(TabTRADER[[#This Row],[ClickTick]],TabCalc[Ticker],ListGravity)</f>
        <v>1.188905490388475</v>
      </c>
      <c r="K67" s="324" t="str" cm="1">
        <f t="array" aca="1" ref="K67" ca="1">IF(_xlfn.XLOOKUP(TabTRADER[[#This Row],[ClickTick]],TabTRADER[ClickTick],ListExtra_n)&gt;0,_xlfn.XLOOKUP(TabTRADER[[#This Row],[ClickTick]],TabTRADER[ClickTick],ListExtra_n),"")</f>
        <v/>
      </c>
      <c r="L67" s="322" t="str">
        <f ca="1">IF(_xlfn.XLOOKUP(TabTRADER[[#This Row],[ClickTick]],TabCalc[Ticker],ListExtra_n)&gt;0,_xlfn.XLOOKUP(TabTRADER[[#This Row],[ClickTick]],TabCalc[Ticker],ListExtra_n)*TabTRADER[[#This Row],[M]]*_xlfn.XLOOKUP(TabTRADER[[#This Row],[ClickTick]],TabCalc[Ticker],ListScale),"")</f>
        <v/>
      </c>
      <c r="M67" s="325">
        <f ca="1">_xlfn.XLOOKUP(TabTRADER[[#This Row],[ClickTick]],TabCalc[Ticker],TabCalc[Agiotage])</f>
        <v>0.80389560397611193</v>
      </c>
      <c r="N67" s="326" cm="1">
        <f t="array" aca="1" ref="N67" ca="1">_xlfn.XLOOKUP(TabTRADER[[#This Row],[ClickTick]],ListTickers,Tab2RSIConventional[RSIConv20])</f>
        <v>63</v>
      </c>
      <c r="O67" s="712" t="str">
        <f ca="1">TEXT(_xlfn.XLOOKUP(TabTRADER[[#This Row],[ClickTick]],TabCalc[Ticker],TabCalc[Nbegin]),"#,#0")&amp;": "&amp;_xlfn.XLOOKUP(TabTRADER[[#This Row],[ClickTick]],TabCalc[Ticker],TabCalc[Pile?])</f>
        <v xml:space="preserve">2,000: </v>
      </c>
      <c r="P67" s="746">
        <f ca="1">_xlfn.XLOOKUP(TabTRADER[[#This Row],[ClickTick]],TabCalc[Ticker],TabCalc[L_Bn])</f>
        <v>500</v>
      </c>
      <c r="Q67" s="740">
        <f ca="1">_xlfn.XLOOKUP(TabTRADER[[#This Row],[ClickTick]],TabCalc[Ticker],TabCalc[L_Bp])</f>
        <v>-213.25</v>
      </c>
      <c r="R67" s="778">
        <f ca="1">(TabTRADER[[#This Row],[M]]+TabTRADER[[#This Row],[L_Bp]])/ABS(TabTRADER[[#This Row],[L_Bp]])</f>
        <v>5.1395076201641306E-2</v>
      </c>
      <c r="S67" s="692">
        <f ca="1">_xlfn.XLOOKUP(TabTRADER[[#This Row],[ClickTick]],TabCalc[Ticker],TabCalc[Rev(MinStock)])*(1-Commission)</f>
        <v>5465.7520000000031</v>
      </c>
      <c r="T67" s="798">
        <f ca="1">_xlfn.XLOOKUP(TabTRADER[[#This Row],[ClickTick]],TabCalc[Ticker],TabCalc[Agiotage])</f>
        <v>0.80389560397611193</v>
      </c>
      <c r="U67" s="759" t="str" cm="1">
        <f t="array" aca="1" ref="U6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3,360/3,360=&gt;1.4% / 1.4%</v>
      </c>
      <c r="V67" s="751" t="str">
        <f ca="1">_xlfn.XLOOKUP(TabTRADER[[#This Row],[ClickTick]],[1]!RTData[Ticker symbol],[1]!RTData[Currency])</f>
        <v>USD</v>
      </c>
      <c r="W67" s="761">
        <f ca="1">_xlfn.XLOOKUP(TabTRADER[[#This Row],[ClickTick]],TabCalc[Ticker],TabCalc[M])</f>
        <v>224.21</v>
      </c>
      <c r="X67" s="719" t="str">
        <f ca="1">SORTING!B67</f>
        <v>SAFAMZN</v>
      </c>
      <c r="Y67" s="819">
        <f ca="1">_xlfn.XLOOKUP(TabTRADER[[#This Row],[ClickTick]],TabCalc[Ticker],TabCalc[Y])</f>
        <v>266.56450000000001</v>
      </c>
      <c r="Z67" s="835">
        <f ca="1">_xlfn.XLOOKUP(TabTRADER[[#This Row],[ClickTick]],[1]!RTData[Ticker symbol],[1]!RTData[YTChange])</f>
        <v>0.17377586966094238</v>
      </c>
      <c r="AA67" s="851">
        <f ca="1">-_xlfn.XLOOKUP(TabTRADER[[#This Row],[ClickTick]]&amp;2,Consolid!B$3:JZ$3,Consolid!B$4:JZ$4)</f>
        <v>204.7</v>
      </c>
      <c r="AB67" s="835" cm="1">
        <f t="array" aca="1" ref="AB67" ca="1">_xlfn.XLOOKUP(TabTRADER[[#This Row],[ClickTick]],ListTickers,Tab1ChangePercent[Change%19])</f>
        <v>1.4112E-2</v>
      </c>
      <c r="AC67" s="782">
        <f ca="1">_xlfn.XLOOKUP(TabTRADER[[#This Row],[ClickTick]],TabCalc[Ticker],TabCalc[NAfter])</f>
        <v>1500</v>
      </c>
      <c r="AD67"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^165/336 K$</v>
      </c>
      <c r="AE67" s="1299" t="str" cm="1">
        <f t="array" aca="1" ref="AE6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7" s="1281" t="str" cm="1">
        <f t="array" aca="1" ref="AF67" ca="1">_xlfn.IFS(       TabTRADER[[#This Row],[Traps]]=RePurchaseGain,TEXT(TabTRADER[[#This Row],[L_Sn]],"#,#0")&amp;" x "&amp;TEXT(TabTRADER[[#This Row],[L_Sp]],"#,#0.#0"),     TabTRADER[[#This Row],[Traps]]=ReSaleGain,TEXT(TabTRADER[[#This Row],[L_Bn]],"#0,#0")&amp;" x "&amp;TEXT(TabTRADER[[#This Row],[L_Bp]],"#,#0.#0"),               TRUE,"")</f>
        <v/>
      </c>
      <c r="AG67" s="1281" t="str" cm="1">
        <f t="array" aca="1" ref="AG6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 x 221.65</v>
      </c>
      <c r="AH67" s="1281" cm="1">
        <f t="array" aca="1" ref="AH6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1276.6720000000012</v>
      </c>
      <c r="AI67" s="1281" cm="1">
        <f t="array" aca="1" ref="AI6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29188.911000000029</v>
      </c>
      <c r="AJ67" s="1290" cm="1">
        <f t="array" aca="1" ref="AJ6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9.5310210063507678E-2</v>
      </c>
      <c r="AK67" s="1290" cm="1">
        <f t="array" aca="1" ref="AK6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8.817867178091977E-3</v>
      </c>
      <c r="AL67" s="843" cm="1">
        <f t="array" aca="1" ref="AL67" ca="1">_xlfn.IFS(   TabTRADER[[#This Row],[Traps]]=SellMorePercentGain,                     MIN(TabTRADER[[#This Row],[L_Sn]],TabTRADER[[#This Row],[N]])*(TabTRADER[[#This Row],[M]]-TabTRADER[[#This Row],[L_Sp]])*(1-Commission)*TabTRADER[[#This Row],[Scale]],                    TRUE,"")</f>
        <v>1276.6720000000012</v>
      </c>
      <c r="AM67" s="1039">
        <f ca="1">_xlfn.XLOOKUP(TabTRADER[[#This Row],[ClickTick]],TabCalc[Ticker],TabCalc[Ann%RevLB])</f>
        <v>0.13505275498241512</v>
      </c>
      <c r="AN67" s="1038">
        <f ca="1">_xlfn.XLOOKUP(TabTRADER[[#This Row],[ClickTick]],TabCalc[Ticker],TabCalc[Up20])</f>
        <v>0.16666666666666666</v>
      </c>
      <c r="AO67" s="1291" t="str" cm="1">
        <f t="array" aca="1" ref="AO6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7" s="843" t="str" cm="1">
        <f t="array" aca="1" ref="AP67" ca="1">_xlfn.IFS(         TabTRADER[[#This Row],[Traps]]=MDown,TabTRADER[[#This Row],[L_Bn]]*TabTRADER[[#This Row],[M]]*(-(TabTRADER[[#This Row],[L_Bp]]+TabTRADER[[#This Row],[M]])/TabTRADER[[#This Row],[M]])*(1-Commission)*TabTRADER[[#This Row],[Scale]],                               TRUE,"")</f>
        <v/>
      </c>
      <c r="AQ67" s="1290" cm="1">
        <f t="array" aca="1" ref="AQ67" ca="1">_xlfn.IFS(   TabTRADER[[#This Row],[Traps]]=MUp,TabTRADER[[#This Row],[TakeGain_A]]-Commission,        TabTRADER[[#This Row],[Traps]]=MDown,(TabTRADER[[#This Row],[A]]-TabTRADER[[#This Row],[M]])/TabTRADER[[#This Row],[M]]-Commission,                              TRUE,"")</f>
        <v>9.2710210063507673E-2</v>
      </c>
      <c r="AR67" s="774" cm="1">
        <f t="array" aca="1" ref="AR6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31970.91223893506</v>
      </c>
      <c r="AS67" s="774" t="str" cm="1">
        <f t="array" aca="1" ref="AS6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T67" s="748" t="str" cm="1">
        <f t="array" aca="1" ref="AT6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500x19.51</v>
      </c>
      <c r="AU67" s="779" cm="1">
        <f t="array" aca="1" ref="AU67" ca="1">_xlfn.IFS(TabTRADER[[#This Row],[Traps]]=ReSaleGain,"",         TabTRADER[[#This Row],[Traps]]=MDown, (TabTRADER[[#This Row],[M]]-TabTRADER[[#This Row],[A]])/TabTRADER[[#This Row],[A]]*ComFactor,             TRUE, IFERROR((TabTRADER[[#This Row],[M]]-TabTRADER[[#This Row],[A]])/TabTRADER[[#This Row],[A]]*ComFactor,""))</f>
        <v>9.5062403517342547E-2</v>
      </c>
      <c r="AV67" s="776" cm="1">
        <f t="array" aca="1" ref="AV67" ca="1">_xlfn.IFS(               TabTRADER[[#This Row],[Traps]]=NoStock,(TabTRADER[[#This Row],[L_Sp]]-TabTRADER[[#This Row],[M]])/TabTRADER[[#This Row],[M]]-Commission,             TabTRADER[[#This Row],[A]]&lt;&gt;0,(TabTRADER[[#This Row],[A]]-TabTRADER[[#This Row],[M]])/TabTRADER[[#This Row],[M]]-Commission)</f>
        <v>-8.9616636189286919E-2</v>
      </c>
      <c r="AW67" s="326">
        <f ca="1">_xlfn.XLOOKUP(TabTRADER[[#This Row],[ClickTick]],TabCalc[Ticker],TabCalc[L_Sn])</f>
        <v>500</v>
      </c>
      <c r="AX67" s="740">
        <f ca="1">_xlfn.XLOOKUP(TabTRADER[[#This Row],[ClickTick]],TabCalc[Ticker],TabCalc[L_Sp])</f>
        <v>221.65</v>
      </c>
      <c r="AY67" s="778">
        <f ca="1">-IFERROR((TabTRADER[[#This Row],[M]]-TabTRADER[[#This Row],[L_Sp]])/TabTRADER[[#This Row],[L_Sp]],0)</f>
        <v>-1.1549740581998657E-2</v>
      </c>
      <c r="AZ67" s="741">
        <f ca="1">TabTRADER[[#This Row],[L_Sn]]*(TabTRADER[[#This Row],[M]]-TabTRADER[[#This Row],[L_Sp]])*(1-Commission)*TabTRADER[[#This Row],[Scale]]</f>
        <v>1276.6720000000012</v>
      </c>
      <c r="BA67" s="701">
        <f ca="1">TabTRADER[[#This Row],[L_Sn]]*(TabTRADER[[#This Row],[Agiotage]]-TabTRADER[[#This Row],[M]])/(TabTRADER[[#This Row],[L_Bn]]*TabTRADER[[#This Row],[M]])</f>
        <v>-0.99641454170654253</v>
      </c>
      <c r="BB67" s="641">
        <f ca="1">IFERROR((TabTRADER[[#This Row],[M]]-TabTRADER[[#This Row],[A]])/TabTRADER[[#This Row],[A]],0)</f>
        <v>9.5310210063507678E-2</v>
      </c>
      <c r="BC67" s="644" t="str">
        <f ca="1">TEXT(_xlfn.XLOOKUP(TabTRADER[[#This Row],[ClickTick]],TabCalc[Ticker],TabCalc[NAfter]),"#,#0")&amp;" : "&amp;TEXT(_xlfn.XLOOKUP(TabTRADER[[#This Row],[ClickTick]],TabCalc[Ticker],TabCalc[NAfter])*(TabTRADER[[#This Row],[M]]-TabTRADER[[#This Row],[A]])*(1-Commission)*TabTRADER[[#This Row],[Scale]],"#,#0$")</f>
        <v>1,500 : 29,189$</v>
      </c>
      <c r="BD67" s="693">
        <f ca="1">_xlfn.XLOOKUP(TabTRADER[[#This Row],[ClickTick]],TabCalc[[#This Row],[Ticker]],TabCalc[[#This Row],[GL]])*(1-Commission)</f>
        <v>164235.71501340001</v>
      </c>
      <c r="BE67" s="693"/>
      <c r="BF67" s="675" t="str">
        <f ca="1">TabTRADER[[#This Row],[ClickTick]]&amp;": "&amp;_xlfn.XLOOKUP(TabTRADER[[#This Row],[ClickTick]],TabCalc[Ticker],TabCalc[Pile?])</f>
        <v xml:space="preserve">SAFAMZN: </v>
      </c>
      <c r="BG67" s="353" t="s">
        <v>2039</v>
      </c>
      <c r="BH67" s="769" t="str" cm="1">
        <f t="array" aca="1" ref="BH67" ca="1">_xlfn.TEXTJOIN("",,INDEX({"M","A","Y"}, _xlfn.SORTBY({1,2,3}, -CHOOSE({1,2,3}, TabTRADER[[#This Row],[M]], TabTRADER[[#This Row],[A]], TabTRADER[[#This Row],[Agiotage]]))))</f>
        <v>MAY</v>
      </c>
      <c r="BI67" s="976" cm="1">
        <f t="array" aca="1" ref="BI6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1.1417867178091977E-2</v>
      </c>
      <c r="BJ67" s="688">
        <f ca="1">TabTRADER[[#This Row],[L_Sn]]*TabTRADER[[#This Row],[L_Sp]]+TabTRADER[[#This Row],[SellMore]]*TabTRADER[[#This Row],[M]]</f>
        <v>222930</v>
      </c>
      <c r="BK67" s="688">
        <f ca="1">INDEX(
  INDEX(TabConsolid[], , _xlfn.XMATCH(TabTRADER[[#This Row],[ClickTick]]&amp;1, TabConsolid[#Headers])),
  MATCH(
    -TabTRADER[[#This Row],[M]],
    INDEX(TabConsolid[], , _xlfn.XMATCH(TabTRADER[[#This Row],[ClickTick]]&amp;2, TabConsolid[#Headers])),
    -1
  )
)</f>
        <v>500</v>
      </c>
      <c r="BL67" s="688" cm="1">
        <f t="array" aca="1" ref="BL6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v>
      </c>
      <c r="BM67" s="1260">
        <f ca="1">TabTRADER[[#This Row],[ReBuy]]/(TabTRADER[[#This Row],[L_Sn]]+TabTRADER[[#This Row],[SellMore]])</f>
        <v>222.93</v>
      </c>
      <c r="BN67" s="696">
        <f ca="1">((_xlfn.XLOOKUP(TabTRADER[[#This Row],[ClickTick]],TabCalc[Ticker],TabCalc[NAfter])+TabTRADER[[#This Row],[L_Sn]])*(TabTRADER[[#This Row],[Agiotage]]-TabTRADER[[#This Row],[M]]))/(TabTRADER[[#This Row],[L_Sn]]*_xlfn.XLOOKUP(TabTRADER[[#This Row],[ClickTick]],TabCalc[Ticker],TabCalc[NAfter]))</f>
        <v>-0.59574961172273044</v>
      </c>
      <c r="BO67" s="696">
        <f ca="1">(TabTRADER[[#This Row],[M]]-TabTRADER[[#This Row],[Agiotage]])/(TabTRADER[[#This Row],[M]]-TabTRADER[[#This Row],[A]])-1</f>
        <v>10.450851071041706</v>
      </c>
      <c r="BP67" s="1388">
        <f ca="1">_xlfn.XMATCH(TabTRADER[[#This Row],[ClickTick]]&amp;1, TabConsolid[#Headers])</f>
        <v>197</v>
      </c>
      <c r="BQ67" t="b">
        <f ca="1">IF(ABS(TabTRADER[[#This Row],[L_Bp]])&gt;=TabTRADER[[#This Row],[M]],"OK")</f>
        <v>0</v>
      </c>
    </row>
    <row r="68" spans="1:69" hidden="1">
      <c r="A68" s="225">
        <f ca="1">IF(_xlfn.XLOOKUP(TabTRADER[[#This Row],[ClickTick]],TabCalc[Ticker],TabCalc[Cur])="GBp",0.01,1)</f>
        <v>1</v>
      </c>
      <c r="B6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-595.11x70=    +20,950 EUR</v>
      </c>
      <c r="C6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33.5%</v>
      </c>
      <c r="D68" s="697" t="str" cm="1">
        <f t="array" aca="1" ref="D6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17/250=14,942</v>
      </c>
      <c r="E68"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8" s="228" t="str">
        <f ca="1">TRUNC(TabCalc[[#This Row],[L_B1p]],2)&amp;"x"&amp;TabCalc[[#This Row],[L_B1n]]&amp;"=   "&amp;TEXT(TabCalc[[#This Row],[ReverseS1]],"#,#0")&amp;"$"</f>
        <v>-661.5x50=   11,645$</v>
      </c>
      <c r="G68" s="227" t="str">
        <f ca="1">IFERROR(TRUNC(_xlfn.XLOOKUP(TabTRADER[[#This Row],[ClickTick]],TabCalc[Ticker],ListLastSalep),2)&amp;"x"&amp;_xlfn.XLOOKUP(TabTRADER[[#This Row],[ClickTick]],TabCalc[Ticker],ListLastSalen)&amp;"=   "&amp;TEXT(-_xlfn.XLOOKUP(TabTRADER[[#This Row],[ClickTick]],TabCalc[Ticker],ListReverseB),"#,#0")&amp;"$","")</f>
        <v>660.2x54=   12,647$</v>
      </c>
      <c r="H6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-26.2% = 0</v>
      </c>
      <c r="I68" s="228" t="str">
        <f ca="1">IFERROR(TRUNC(TabCalc[[#This Row],[L_S1p]],2)&amp;"x"&amp;TabCalc[[#This Row],[L_S1n]]&amp;"=   "&amp;TEXT(TabCalc[[#This Row],[ReverseB1]],"#,#0"),"")</f>
        <v>606.66x66=   -18,991</v>
      </c>
      <c r="J68" s="297">
        <f ca="1">_xlfn.XLOOKUP(TabTRADER[[#This Row],[ClickTick]],TabCalc[Ticker],ListGravity)</f>
        <v>0.97708325134168161</v>
      </c>
      <c r="K68" s="324" cm="1">
        <f t="array" aca="1" ref="K68" ca="1">IF(_xlfn.XLOOKUP(TabTRADER[[#This Row],[ClickTick]],TabTRADER[ClickTick],ListExtra_n)&gt;0,_xlfn.XLOOKUP(TabTRADER[[#This Row],[ClickTick]],TabTRADER[ClickTick],ListExtra_n),"")</f>
        <v>90</v>
      </c>
      <c r="L68" s="322">
        <f ca="1">IF(_xlfn.XLOOKUP(TabTRADER[[#This Row],[ClickTick]],TabCalc[Ticker],ListExtra_n)&gt;0,_xlfn.XLOOKUP(TabTRADER[[#This Row],[ClickTick]],TabCalc[Ticker],ListExtra_n)*TabTRADER[[#This Row],[M]]*_xlfn.XLOOKUP(TabTRADER[[#This Row],[ClickTick]],TabCalc[Ticker],ListScale),"")</f>
        <v>80496</v>
      </c>
      <c r="M68" s="325">
        <f ca="1">_xlfn.XLOOKUP(TabTRADER[[#This Row],[ClickTick]],TabCalc[Ticker],TabCalc[Agiotage])</f>
        <v>0.67346169889261154</v>
      </c>
      <c r="N68" s="326" cm="1">
        <f t="array" aca="1" ref="N68" ca="1">_xlfn.XLOOKUP(TabTRADER[[#This Row],[ClickTick]],ListTickers,Tab2RSIConventional[RSIConv20])</f>
        <v>57</v>
      </c>
      <c r="O68" s="712" t="str">
        <f ca="1">TEXT(_xlfn.XLOOKUP(TabTRADER[[#This Row],[ClickTick]],TabCalc[Ticker],TabCalc[Nbegin]),"#,#0")&amp;": "&amp;_xlfn.XLOOKUP(TabTRADER[[#This Row],[ClickTick]],TabCalc[Ticker],TabCalc[Pile?])</f>
        <v xml:space="preserve">160: </v>
      </c>
      <c r="P68" s="326">
        <f ca="1">_xlfn.XLOOKUP(TabTRADER[[#This Row],[ClickTick]],TabCalc[Ticker],TabCalc[L_Bn])</f>
        <v>70</v>
      </c>
      <c r="Q68" s="690">
        <f ca="1">_xlfn.XLOOKUP(TabTRADER[[#This Row],[ClickTick]],TabCalc[Ticker],TabCalc[L_Bp])</f>
        <v>-595.11</v>
      </c>
      <c r="R68" s="778">
        <f ca="1">(TabTRADER[[#This Row],[M]]+TabTRADER[[#This Row],[L_Bp]])/ABS(TabTRADER[[#This Row],[L_Bp]])</f>
        <v>0.50291542739997641</v>
      </c>
      <c r="S68" s="692">
        <f ca="1">_xlfn.XLOOKUP(TabTRADER[[#This Row],[ClickTick]],TabCalc[Ticker],TabCalc[Rev(MinStock)])*(1-Commission)</f>
        <v>20895.829219999996</v>
      </c>
      <c r="T68" s="798">
        <f ca="1">_xlfn.XLOOKUP(TabTRADER[[#This Row],[ClickTick]],TabCalc[Ticker],TabCalc[Agiotage])</f>
        <v>0.67346169889261154</v>
      </c>
      <c r="U68" s="759" t="str" cm="1">
        <f t="array" aca="1" ref="U6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-1,400/-1,400=&gt;0.8% / 0.8%</v>
      </c>
      <c r="V68" s="751" t="str">
        <f ca="1">_xlfn.XLOOKUP(TabTRADER[[#This Row],[ClickTick]],[1]!RTData[Ticker symbol],[1]!RTData[Currency])</f>
        <v>EUR</v>
      </c>
      <c r="W68" s="761">
        <f ca="1">_xlfn.XLOOKUP(TabTRADER[[#This Row],[ClickTick]],TabCalc[Ticker],TabCalc[M])</f>
        <v>894.4</v>
      </c>
      <c r="X68" s="719" t="str">
        <f ca="1">SORTING!B68</f>
        <v>SAFASML</v>
      </c>
      <c r="Y68" s="819">
        <f ca="1">_xlfn.XLOOKUP(TabTRADER[[#This Row],[ClickTick]],TabCalc[Ticker],TabCalc[Y])</f>
        <v>873.90326000000005</v>
      </c>
      <c r="Z68" s="835">
        <f ca="1">_xlfn.XLOOKUP(TabTRADER[[#This Row],[ClickTick]],[1]!RTData[Ticker symbol],[1]!RTData[YTChange])</f>
        <v>-0.17031875059337312</v>
      </c>
      <c r="AA68" s="851">
        <f ca="1">-_xlfn.XLOOKUP(TabTRADER[[#This Row],[ClickTick]]&amp;2,Consolid!B$3:JZ$3,Consolid!B$4:JZ$4)</f>
        <v>654.37295200000005</v>
      </c>
      <c r="AB68" s="835" cm="1">
        <f t="array" aca="1" ref="AB68" ca="1">_xlfn.XLOOKUP(TabTRADER[[#This Row],[ClickTick]],ListTickers,Tab1ChangePercent[Change%19])</f>
        <v>7.548E-3</v>
      </c>
      <c r="AC68" s="782">
        <f ca="1">_xlfn.XLOOKUP(TabTRADER[[#This Row],[ClickTick]],TabCalc[Ticker],TabCalc[NAfter])</f>
        <v>250</v>
      </c>
      <c r="AD68"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^182/224 K$</v>
      </c>
      <c r="AE68" s="1299" t="str" cm="1">
        <f t="array" aca="1" ref="AE6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8" s="1281" t="str" cm="1">
        <f t="array" aca="1" ref="AF68" ca="1">_xlfn.IFS(       TabTRADER[[#This Row],[Traps]]=RePurchaseGain,TEXT(TabTRADER[[#This Row],[L_Sn]],"#,#0")&amp;" x "&amp;TEXT(TabTRADER[[#This Row],[L_Sp]],"#,#0.#0"),     TabTRADER[[#This Row],[Traps]]=ReSaleGain,TEXT(TabTRADER[[#This Row],[L_Bn]],"#0,#0")&amp;" x "&amp;TEXT(TabTRADER[[#This Row],[L_Bp]],"#,#0.#0"),               TRUE,"")</f>
        <v/>
      </c>
      <c r="AG68" s="1281" t="str" cm="1">
        <f t="array" aca="1" ref="AG6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54 x 660.20</v>
      </c>
      <c r="AH68" s="1281" cm="1">
        <f t="array" aca="1" ref="AH6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12613.918319999995</v>
      </c>
      <c r="AI68" s="1281" cm="1">
        <f t="array" aca="1" ref="AI6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59850.744418799979</v>
      </c>
      <c r="AJ68" s="1290" cm="1">
        <f t="array" aca="1" ref="AJ6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0.36680465973783083</v>
      </c>
      <c r="AK68" s="1290" cm="1">
        <f t="array" aca="1" ref="AK6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0.25925152057245077</v>
      </c>
      <c r="AL68" s="843" cm="1">
        <f t="array" aca="1" ref="AL68" ca="1">_xlfn.IFS(   TabTRADER[[#This Row],[Traps]]=SellMorePercentGain,                     MIN(TabTRADER[[#This Row],[L_Sn]],TabTRADER[[#This Row],[N]])*(TabTRADER[[#This Row],[M]]-TabTRADER[[#This Row],[L_Sp]])*(1-Commission)*TabTRADER[[#This Row],[Scale]],                    TRUE,"")</f>
        <v>12613.918319999995</v>
      </c>
      <c r="AM68" s="1296">
        <f ca="1">_xlfn.XLOOKUP(TabTRADER[[#This Row],[ClickTick]],TabCalc[Ticker],TabCalc[Ann%RevLB])</f>
        <v>2.2351796773332282</v>
      </c>
      <c r="AN68" s="1039">
        <f ca="1">_xlfn.XLOOKUP(TabTRADER[[#This Row],[ClickTick]],TabCalc[Ticker],TabCalc[Up20])</f>
        <v>0</v>
      </c>
      <c r="AO68" s="1291" t="str" cm="1">
        <f t="array" aca="1" ref="AO6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68" s="843" t="str" cm="1">
        <f t="array" aca="1" ref="AP68" ca="1">_xlfn.IFS(         TabTRADER[[#This Row],[Traps]]=MDown,TabTRADER[[#This Row],[L_Bn]]*TabTRADER[[#This Row],[M]]*(-(TabTRADER[[#This Row],[L_Bp]]+TabTRADER[[#This Row],[M]])/TabTRADER[[#This Row],[M]])*(1-Commission)*TabTRADER[[#This Row],[Scale]],                               TRUE,"")</f>
        <v/>
      </c>
      <c r="AQ68" s="1290" cm="1">
        <f t="array" aca="1" ref="AQ68" ca="1">_xlfn.IFS(   TabTRADER[[#This Row],[Traps]]=MUp,TabTRADER[[#This Row],[TakeGain_A]]-Commission,        TabTRADER[[#This Row],[Traps]]=MDown,(TabTRADER[[#This Row],[A]]-TabTRADER[[#This Row],[M]])/TabTRADER[[#This Row],[M]]-Commission,                              TRUE,"")</f>
        <v>0.36420465973783084</v>
      </c>
      <c r="AR68" s="843" cm="1">
        <f t="array" aca="1" ref="AR6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81804.276360393778</v>
      </c>
      <c r="AS68" s="774" t="str" cm="1">
        <f t="array" aca="1" ref="AS6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T68" s="748" t="str" cm="1">
        <f t="array" aca="1" ref="AT6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70x240.02</v>
      </c>
      <c r="AU68" s="779" cm="1">
        <f t="array" aca="1" ref="AU68" ca="1">_xlfn.IFS(TabTRADER[[#This Row],[Traps]]=ReSaleGain,"",         TabTRADER[[#This Row],[Traps]]=MDown, (TabTRADER[[#This Row],[M]]-TabTRADER[[#This Row],[A]])/TabTRADER[[#This Row],[A]]*ComFactor,             TRUE, IFERROR((TabTRADER[[#This Row],[M]]-TabTRADER[[#This Row],[A]])/TabTRADER[[#This Row],[A]]*ComFactor,""))</f>
        <v>0.36585096762251246</v>
      </c>
      <c r="AV68" s="776" cm="1">
        <f t="array" aca="1" ref="AV68" ca="1">_xlfn.IFS(               TabTRADER[[#This Row],[Traps]]=NoStock,(TabTRADER[[#This Row],[L_Sp]]-TabTRADER[[#This Row],[M]])/TabTRADER[[#This Row],[M]]-Commission,             TabTRADER[[#This Row],[A]]&lt;&gt;0,(TabTRADER[[#This Row],[A]]-TabTRADER[[#This Row],[M]])/TabTRADER[[#This Row],[M]]-Commission)</f>
        <v>-0.27096655635062605</v>
      </c>
      <c r="AW68" s="326">
        <f ca="1">_xlfn.XLOOKUP(TabTRADER[[#This Row],[ClickTick]],TabCalc[Ticker],TabCalc[L_Sn])</f>
        <v>54</v>
      </c>
      <c r="AX68" s="740">
        <f ca="1">_xlfn.XLOOKUP(TabTRADER[[#This Row],[ClickTick]],TabCalc[Ticker],TabCalc[L_Sp])</f>
        <v>660.2</v>
      </c>
      <c r="AY68" s="778">
        <f ca="1">-IFERROR((TabTRADER[[#This Row],[M]]-TabTRADER[[#This Row],[L_Sp]])/TabTRADER[[#This Row],[L_Sp]],0)</f>
        <v>-0.35474098757952122</v>
      </c>
      <c r="AZ68" s="741">
        <f ca="1">TabTRADER[[#This Row],[L_Sn]]*(TabTRADER[[#This Row],[M]]-TabTRADER[[#This Row],[L_Sp]])*(1-Commission)*TabTRADER[[#This Row],[Scale]]</f>
        <v>12613.918319999995</v>
      </c>
      <c r="BA68" s="701">
        <f ca="1">TabTRADER[[#This Row],[L_Sn]]*(TabTRADER[[#This Row],[Agiotage]]-TabTRADER[[#This Row],[M]])/(TabTRADER[[#This Row],[L_Bn]]*TabTRADER[[#This Row],[M]])</f>
        <v>-0.77084770425919691</v>
      </c>
      <c r="BB68" s="641">
        <f ca="1">IFERROR((TabTRADER[[#This Row],[M]]-TabTRADER[[#This Row],[A]])/TabTRADER[[#This Row],[A]],0)</f>
        <v>0.36680465973783083</v>
      </c>
      <c r="BC68" s="644" t="str">
        <f ca="1">TEXT(_xlfn.XLOOKUP(TabTRADER[[#This Row],[ClickTick]],TabCalc[Ticker],TabCalc[NAfter]),"#,#0")&amp;" : "&amp;TEXT(_xlfn.XLOOKUP(TabTRADER[[#This Row],[ClickTick]],TabCalc[Ticker],TabCalc[NAfter])*(TabTRADER[[#This Row],[M]]-TabTRADER[[#This Row],[A]])*(1-Commission)*TabTRADER[[#This Row],[Scale]],"#,#0$")</f>
        <v>250 : 59,851$</v>
      </c>
      <c r="BD68" s="693">
        <f ca="1">_xlfn.XLOOKUP(TabTRADER[[#This Row],[ClickTick]],TabCalc[[#This Row],[Ticker]],TabCalc[[#This Row],[GL]])*(1-Commission)</f>
        <v>181681.9535492</v>
      </c>
      <c r="BE68" s="693"/>
      <c r="BF68" s="675" t="str">
        <f ca="1">TabTRADER[[#This Row],[ClickTick]]&amp;": "&amp;_xlfn.XLOOKUP(TabTRADER[[#This Row],[ClickTick]],TabCalc[Ticker],TabCalc[Pile?])</f>
        <v xml:space="preserve">SAFASML: </v>
      </c>
      <c r="BG68" s="353" t="s">
        <v>2040</v>
      </c>
      <c r="BH68" s="769" t="str" cm="1">
        <f t="array" aca="1" ref="BH68" ca="1">_xlfn.TEXTJOIN("",,INDEX({"M","A","Y"}, _xlfn.SORTBY({1,2,3}, -CHOOSE({1,2,3}, TabTRADER[[#This Row],[M]], TabTRADER[[#This Row],[A]], TabTRADER[[#This Row],[Agiotage]]))))</f>
        <v>MAY</v>
      </c>
      <c r="BI68" s="976" cm="1">
        <f t="array" aca="1" ref="BI6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0.26185152057245076</v>
      </c>
      <c r="BJ68" s="688">
        <f ca="1">TabTRADER[[#This Row],[L_Sn]]*TabTRADER[[#This Row],[L_Sp]]+TabTRADER[[#This Row],[SellMore]]*TabTRADER[[#This Row],[M]]</f>
        <v>151922.79999999999</v>
      </c>
      <c r="BK68" s="688">
        <f ca="1">INDEX(
  INDEX(TabConsolid[], , _xlfn.XMATCH(TabTRADER[[#This Row],[ClickTick]]&amp;1, TabConsolid[#Headers])),
  MATCH(
    -TabTRADER[[#This Row],[M]],
    INDEX(TabConsolid[], , _xlfn.XMATCH(TabTRADER[[#This Row],[ClickTick]]&amp;2, TabConsolid[#Headers])),
    -1
  )
)</f>
        <v>130</v>
      </c>
      <c r="BL68" s="688" cm="1">
        <f t="array" aca="1" ref="BL6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130</v>
      </c>
      <c r="BM68" s="1260">
        <f ca="1">TabTRADER[[#This Row],[ReBuy]]/(TabTRADER[[#This Row],[L_Sn]]+TabTRADER[[#This Row],[SellMore]])</f>
        <v>825.6673913043478</v>
      </c>
      <c r="BN68" s="696">
        <f ca="1">((_xlfn.XLOOKUP(TabTRADER[[#This Row],[ClickTick]],TabCalc[Ticker],TabCalc[NAfter])+TabTRADER[[#This Row],[L_Sn]])*(TabTRADER[[#This Row],[Agiotage]]-TabTRADER[[#This Row],[M]]))/(TabTRADER[[#This Row],[L_Sn]]*_xlfn.XLOOKUP(TabTRADER[[#This Row],[ClickTick]],TabCalc[Ticker],TabCalc[NAfter]))</f>
        <v>-20.125397603224936</v>
      </c>
      <c r="BO68" s="696">
        <f ca="1">(TabTRADER[[#This Row],[M]]-TabTRADER[[#This Row],[Agiotage]])/(TabTRADER[[#This Row],[M]]-TabTRADER[[#This Row],[A]])-1</f>
        <v>2.7234409444601746</v>
      </c>
      <c r="BP68" s="1388">
        <f ca="1">_xlfn.XMATCH(TabTRADER[[#This Row],[ClickTick]]&amp;1, TabConsolid[#Headers])</f>
        <v>200</v>
      </c>
      <c r="BQ68" t="b">
        <f ca="1">IF(ABS(TabTRADER[[#This Row],[L_Bp]])&gt;=TabTRADER[[#This Row],[M]],"OK")</f>
        <v>0</v>
      </c>
    </row>
    <row r="69" spans="1:69" hidden="1">
      <c r="A69" s="225">
        <f ca="1">IF(_xlfn.XLOOKUP(TabTRADER[[#This Row],[ClickTick]],TabCalc[Ticker],TabCalc[Cur])="GBp",0.01,1)</f>
        <v>1</v>
      </c>
      <c r="B6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-1.92x21000=    +25,221 USD</v>
      </c>
      <c r="C6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38.4%</v>
      </c>
      <c r="D69" s="697" t="str" cm="1">
        <f t="array" aca="1" ref="D6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9"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9" s="228" t="str">
        <f ca="1">TRUNC(TabCalc[[#This Row],[L_B1p]],2)&amp;"x"&amp;TabCalc[[#This Row],[L_B1n]]&amp;"=   "&amp;TEXT(TabCalc[[#This Row],[ReverseS1]],"#,#0")&amp;"$"</f>
        <v>-2.69x25000=   10,968$</v>
      </c>
      <c r="G69" s="227" t="str">
        <f ca="1">IFERROR(TRUNC(_xlfn.XLOOKUP(TabTRADER[[#This Row],[ClickTick]],TabCalc[Ticker],ListLastSalep),2)&amp;"x"&amp;_xlfn.XLOOKUP(TabTRADER[[#This Row],[ClickTick]],TabCalc[Ticker],ListLastSalen)&amp;"=   "&amp;TEXT(-_xlfn.XLOOKUP(TabTRADER[[#This Row],[ClickTick]],TabCalc[Ticker],ListReverseB),"#,#0")&amp;"$","")</f>
        <v>3.16x11000=   -330$</v>
      </c>
      <c r="H6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1.0% = 166,667</v>
      </c>
      <c r="I69" s="228" t="str">
        <f ca="1">IFERROR(TRUNC(TabCalc[[#This Row],[L_S1p]],2)&amp;"x"&amp;TabCalc[[#This Row],[L_S1n]]&amp;"=   "&amp;TEXT(TabCalc[[#This Row],[ReverseB1]],"#,#0"),"")</f>
        <v>4.48x5000=   6,755</v>
      </c>
      <c r="J69" s="297">
        <f ca="1">_xlfn.XLOOKUP(TabTRADER[[#This Row],[ClickTick]],TabCalc[Ticker],ListGravity)</f>
        <v>1.0383386581469649</v>
      </c>
      <c r="K69" s="324" cm="1">
        <f t="array" aca="1" ref="K69" ca="1">IF(_xlfn.XLOOKUP(TabTRADER[[#This Row],[ClickTick]],TabTRADER[ClickTick],ListExtra_n)&gt;0,_xlfn.XLOOKUP(TabTRADER[[#This Row],[ClickTick]],TabTRADER[ClickTick],ListExtra_n),"")</f>
        <v>109150</v>
      </c>
      <c r="L69" s="322">
        <f ca="1">IF(_xlfn.XLOOKUP(TabTRADER[[#This Row],[ClickTick]],TabCalc[Ticker],ListExtra_n)&gt;0,_xlfn.XLOOKUP(TabTRADER[[#This Row],[ClickTick]],TabCalc[Ticker],ListExtra_n)*TabTRADER[[#This Row],[M]]*_xlfn.XLOOKUP(TabTRADER[[#This Row],[ClickTick]],TabCalc[Ticker],ListScale),"")</f>
        <v>341639.5</v>
      </c>
      <c r="M69" s="325">
        <f ca="1">_xlfn.XLOOKUP(TabTRADER[[#This Row],[ClickTick]],TabCalc[Ticker],TabCalc[Agiotage])</f>
        <v>0.66744662603510774</v>
      </c>
      <c r="N69" s="326" cm="1">
        <f t="array" aca="1" ref="N69" ca="1">_xlfn.XLOOKUP(TabTRADER[[#This Row],[ClickTick]],ListTickers,Tab2RSIConventional[RSIConv20])</f>
        <v>46</v>
      </c>
      <c r="O69" s="712" t="str">
        <f ca="1">TEXT(_xlfn.XLOOKUP(TabTRADER[[#This Row],[ClickTick]],TabCalc[Ticker],TabCalc[Nbegin]),"#,#0")&amp;": "&amp;_xlfn.XLOOKUP(TabTRADER[[#This Row],[ClickTick]],TabCalc[Ticker],TabCalc[Pile?])</f>
        <v xml:space="preserve">850: </v>
      </c>
      <c r="P69" s="746">
        <f ca="1">_xlfn.XLOOKUP(TabTRADER[[#This Row],[ClickTick]],TabCalc[Ticker],TabCalc[L_Bn])</f>
        <v>21000</v>
      </c>
      <c r="Q69" s="740">
        <f ca="1">_xlfn.XLOOKUP(TabTRADER[[#This Row],[ClickTick]],TabCalc[Ticker],TabCalc[L_Bp])</f>
        <v>-1.929</v>
      </c>
      <c r="R69" s="778">
        <f ca="1">(TabTRADER[[#This Row],[M]]+TabTRADER[[#This Row],[L_Bp]])/ABS(TabTRADER[[#This Row],[L_Bp]])</f>
        <v>0.62260238465526174</v>
      </c>
      <c r="S69" s="692">
        <f ca="1">_xlfn.XLOOKUP(TabTRADER[[#This Row],[ClickTick]],TabCalc[Ticker],TabCalc[Rev(MinStock)])*(1-Commission)</f>
        <v>25155.425399999996</v>
      </c>
      <c r="T69" s="798">
        <f ca="1">_xlfn.XLOOKUP(TabTRADER[[#This Row],[ClickTick]],TabCalc[Ticker],TabCalc[Agiotage])</f>
        <v>0.66744662603510774</v>
      </c>
      <c r="U69" s="759" t="str" cm="1">
        <f t="array" aca="1" ref="U6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-5,500/-5,500=&gt;1.5% / 1.6%</v>
      </c>
      <c r="V69" s="751" t="str">
        <f ca="1">_xlfn.XLOOKUP(TabTRADER[[#This Row],[ClickTick]],[1]!RTData[Ticker symbol],[1]!RTData[Currency])</f>
        <v>USD</v>
      </c>
      <c r="W69" s="761">
        <f ca="1">_xlfn.XLOOKUP(TabTRADER[[#This Row],[ClickTick]],TabCalc[Ticker],TabCalc[M])</f>
        <v>3.13</v>
      </c>
      <c r="X69" s="762" t="str">
        <f ca="1">SORTING!B69</f>
        <v>SAFDDD</v>
      </c>
      <c r="Y69" s="819">
        <f ca="1">_xlfn.XLOOKUP(TabTRADER[[#This Row],[ClickTick]],TabCalc[Ticker],TabCalc[Y])</f>
        <v>3.25</v>
      </c>
      <c r="Z69" s="835">
        <f ca="1">_xlfn.XLOOKUP(TabTRADER[[#This Row],[ClickTick]],[1]!RTData[Ticker symbol],[1]!RTData[YTChange])</f>
        <v>-0.40366972477064222</v>
      </c>
      <c r="AA69" s="851">
        <f ca="1">-_xlfn.XLOOKUP(TabTRADER[[#This Row],[ClickTick]]&amp;2,Consolid!B$3:JZ$3,Consolid!B$4:JZ$4)</f>
        <v>3.2831954545454547</v>
      </c>
      <c r="AB69" s="835" cm="1">
        <f t="array" aca="1" ref="AB69" ca="1">_xlfn.XLOOKUP(TabTRADER[[#This Row],[ClickTick]],ListTickers,Tab1ChangePercent[Change%19])</f>
        <v>1.4610000000000001E-2</v>
      </c>
      <c r="AC69" s="782">
        <f ca="1">_xlfn.XLOOKUP(TabTRADER[[#This Row],[ClickTick]],TabCalc[Ticker],TabCalc[NAfter])</f>
        <v>110000</v>
      </c>
      <c r="AD69"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-38/344 K$</v>
      </c>
      <c r="AE69" s="1277" t="str" cm="1">
        <f t="array" aca="1" ref="AE6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69" s="1281" t="str" cm="1">
        <f t="array" aca="1" ref="AF69" ca="1">_xlfn.IFS(       TabTRADER[[#This Row],[Traps]]=RePurchaseGain,TEXT(TabTRADER[[#This Row],[L_Sn]],"#,#0")&amp;" x "&amp;TEXT(TabTRADER[[#This Row],[L_Sp]],"#,#0.#0"),     TabTRADER[[#This Row],[Traps]]=ReSaleGain,TEXT(TabTRADER[[#This Row],[L_Bn]],"#0,#0")&amp;" x "&amp;TEXT(TabTRADER[[#This Row],[L_Bp]],"#,#0.#0"),               TRUE,"")</f>
        <v>11,000 x 3.16</v>
      </c>
      <c r="AG69" s="1281" cm="1">
        <f t="array" aca="1" ref="AG6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329.14200000000272</v>
      </c>
      <c r="AH69" s="1281" t="str" cm="1">
        <f t="array" aca="1" ref="AH6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69" s="1281" cm="1">
        <f t="array" aca="1" ref="AI6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329.14200000000272</v>
      </c>
      <c r="AJ69" s="1290" cm="1">
        <f t="array" aca="1" ref="AJ6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9.4936708860760277E-3</v>
      </c>
      <c r="AK69" s="1290" t="str" cm="1">
        <f t="array" aca="1" ref="AK6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69" s="843" t="str" cm="1">
        <f t="array" aca="1" ref="AL69" ca="1">_xlfn.IFS(   TabTRADER[[#This Row],[Traps]]=SellMorePercentGain,                     MIN(TabTRADER[[#This Row],[L_Sn]],TabTRADER[[#This Row],[N]])*(TabTRADER[[#This Row],[M]]-TabTRADER[[#This Row],[L_Sp]])*(1-Commission)*TabTRADER[[#This Row],[Scale]],                    TRUE,"")</f>
        <v/>
      </c>
      <c r="AM69" s="1039">
        <f ca="1">_xlfn.XLOOKUP(TabTRADER[[#This Row],[ClickTick]],TabCalc[Ticker],TabCalc[Ann%RevLB])</f>
        <v>1.350222039011411</v>
      </c>
      <c r="AN69" s="1038">
        <f ca="1">_xlfn.XLOOKUP(TabTRADER[[#This Row],[ClickTick]],TabCalc[Ticker],TabCalc[Up20])</f>
        <v>0</v>
      </c>
      <c r="AO69" s="1291" t="str" cm="1">
        <f t="array" aca="1" ref="AO6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9" s="843" t="str" cm="1">
        <f t="array" aca="1" ref="AP69" ca="1">_xlfn.IFS(         TabTRADER[[#This Row],[Traps]]=MDown,TabTRADER[[#This Row],[L_Bn]]*TabTRADER[[#This Row],[M]]*(-(TabTRADER[[#This Row],[L_Bp]]+TabTRADER[[#This Row],[M]])/TabTRADER[[#This Row],[M]])*(1-Commission)*TabTRADER[[#This Row],[Scale]],                               TRUE,"")</f>
        <v/>
      </c>
      <c r="AQ69" s="1290" t="str" cm="1">
        <f t="array" aca="1" ref="AQ69" ca="1">_xlfn.IFS(   TabTRADER[[#This Row],[Traps]]=MUp,TabTRADER[[#This Row],[TakeGain_A]]-Commission,        TabTRADER[[#This Row],[Traps]]=MDown,(TabTRADER[[#This Row],[A]]-TabTRADER[[#This Row],[M]])/TabTRADER[[#This Row],[M]]-Commission,                              TRUE,"")</f>
        <v/>
      </c>
      <c r="AR69" s="843" cm="1">
        <f t="array" aca="1" ref="AR6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-16807.686100000028</v>
      </c>
      <c r="AS69" s="774" t="str" cm="1">
        <f t="array" aca="1" ref="AS6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-1.4%</v>
      </c>
      <c r="AT69" s="748" t="str" cm="1">
        <f t="array" aca="1" ref="AT6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69" s="779" cm="1">
        <f t="array" aca="1" ref="AU69" ca="1">_xlfn.IFS(TabTRADER[[#This Row],[Traps]]=ReSaleGain,"",         TabTRADER[[#This Row],[Traps]]=MDown, (TabTRADER[[#This Row],[M]]-TabTRADER[[#This Row],[A]])/TabTRADER[[#This Row],[A]]*ComFactor,             TRUE, IFERROR((TabTRADER[[#This Row],[M]]-TabTRADER[[#This Row],[A]])/TabTRADER[[#This Row],[A]]*ComFactor,""))</f>
        <v>-4.6539156282058992E-2</v>
      </c>
      <c r="AV69" s="776" cm="1">
        <f t="array" aca="1" ref="AV69" ca="1">_xlfn.IFS(               TabTRADER[[#This Row],[Traps]]=NoStock,(TabTRADER[[#This Row],[L_Sp]]-TabTRADER[[#This Row],[M]])/TabTRADER[[#This Row],[M]]-Commission,             TabTRADER[[#This Row],[A]]&lt;&gt;0,(TabTRADER[[#This Row],[A]]-TabTRADER[[#This Row],[M]])/TabTRADER[[#This Row],[M]]-Commission)</f>
        <v>4.6344234679059043E-2</v>
      </c>
      <c r="AW69" s="326">
        <f ca="1">_xlfn.XLOOKUP(TabTRADER[[#This Row],[ClickTick]],TabCalc[Ticker],TabCalc[L_Sn])</f>
        <v>11000</v>
      </c>
      <c r="AX69" s="740">
        <f ca="1">_xlfn.XLOOKUP(TabTRADER[[#This Row],[ClickTick]],TabCalc[Ticker],TabCalc[L_Sp])</f>
        <v>3.16</v>
      </c>
      <c r="AY69" s="778">
        <f ca="1">-IFERROR((TabTRADER[[#This Row],[M]]-TabTRADER[[#This Row],[L_Sp]])/TabTRADER[[#This Row],[L_Sp]],0)</f>
        <v>9.4936708860760277E-3</v>
      </c>
      <c r="AZ69" s="741">
        <f ca="1">TabTRADER[[#This Row],[L_Sn]]*(TabTRADER[[#This Row],[M]]-TabTRADER[[#This Row],[L_Sp]])*(1-Commission)*TabTRADER[[#This Row],[Scale]]</f>
        <v>-329.14200000000272</v>
      </c>
      <c r="BA69" s="701">
        <f ca="1">TabTRADER[[#This Row],[L_Sn]]*(TabTRADER[[#This Row],[Agiotage]]-TabTRADER[[#This Row],[M]])/(TabTRADER[[#This Row],[L_Bn]]*TabTRADER[[#This Row],[M]])</f>
        <v>-0.41211147289843014</v>
      </c>
      <c r="BB69" s="641">
        <f ca="1">IFERROR((TabTRADER[[#This Row],[M]]-TabTRADER[[#This Row],[A]])/TabTRADER[[#This Row],[A]],0)</f>
        <v>-4.6660473513193294E-2</v>
      </c>
      <c r="BC69" s="644" t="str">
        <f ca="1">TEXT(_xlfn.XLOOKUP(TabTRADER[[#This Row],[ClickTick]],TabCalc[Ticker],TabCalc[NAfter]),"#,#0")&amp;" : "&amp;TEXT(_xlfn.XLOOKUP(TabTRADER[[#This Row],[ClickTick]],TabCalc[Ticker],TabCalc[NAfter])*(TabTRADER[[#This Row],[M]]-TabTRADER[[#This Row],[A]])*(1-Commission)*TabTRADER[[#This Row],[Scale]],"#,#0$")</f>
        <v>110,000 : -16,808$</v>
      </c>
      <c r="BD69" s="693">
        <f ca="1">_xlfn.XLOOKUP(TabTRADER[[#This Row],[ClickTick]],TabCalc[[#This Row],[Ticker]],TabCalc[[#This Row],[GL]])*(1-Commission)</f>
        <v>-37679.697407999985</v>
      </c>
      <c r="BE69" s="693"/>
      <c r="BF69" s="675" t="str">
        <f ca="1">TabTRADER[[#This Row],[ClickTick]]&amp;": "&amp;_xlfn.XLOOKUP(TabTRADER[[#This Row],[ClickTick]],TabCalc[Ticker],TabCalc[Pile?])</f>
        <v xml:space="preserve">SAFDDD: </v>
      </c>
      <c r="BG69" s="353" t="s">
        <v>2041</v>
      </c>
      <c r="BH69" s="769" t="str" cm="1">
        <f t="array" aca="1" ref="BH69" ca="1">_xlfn.TEXTJOIN("",,INDEX({"M","A","Y"}, _xlfn.SORTBY({1,2,3}, -CHOOSE({1,2,3}, TabTRADER[[#This Row],[M]], TabTRADER[[#This Row],[A]], TabTRADER[[#This Row],[Agiotage]]))))</f>
        <v>AMY</v>
      </c>
      <c r="BI69" s="976" t="str" cm="1">
        <f t="array" aca="1" ref="BI6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69" s="688" t="e">
        <f ca="1">TabTRADER[[#This Row],[L_Sn]]*TabTRADER[[#This Row],[L_Sp]]+TabTRADER[[#This Row],[SellMore]]*TabTRADER[[#This Row],[M]]</f>
        <v>#N/A</v>
      </c>
      <c r="BK69" s="688" t="e">
        <f ca="1">INDEX(
  INDEX(TabConsolid[], , _xlfn.XMATCH(TabTRADER[[#This Row],[ClickTick]]&amp;1, TabConsolid[#Headers])),
  MATCH(
    -TabTRADER[[#This Row],[M]],
    INDEX(TabConsolid[], , _xlfn.XMATCH(TabTRADER[[#This Row],[ClickTick]]&amp;2, TabConsolid[#Headers])),
    -1
  )
)</f>
        <v>#N/A</v>
      </c>
      <c r="BL69" s="688" cm="1">
        <f t="array" aca="1" ref="BL6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69" s="1260" t="e">
        <f ca="1">TabTRADER[[#This Row],[ReBuy]]/(TabTRADER[[#This Row],[L_Sn]]+TabTRADER[[#This Row],[SellMore]])</f>
        <v>#N/A</v>
      </c>
      <c r="BN69" s="696">
        <f ca="1">((_xlfn.XLOOKUP(TabTRADER[[#This Row],[ClickTick]],TabCalc[Ticker],TabCalc[NAfter])+TabTRADER[[#This Row],[L_Sn]])*(TabTRADER[[#This Row],[Agiotage]]-TabTRADER[[#This Row],[M]]))/(TabTRADER[[#This Row],[L_Sn]]*_xlfn.XLOOKUP(TabTRADER[[#This Row],[ClickTick]],TabCalc[Ticker],TabCalc[NAfter]))</f>
        <v>-2.4625533739648919E-4</v>
      </c>
      <c r="BO69" s="696">
        <f ca="1">(TabTRADER[[#This Row],[M]]-TabTRADER[[#This Row],[Agiotage]])/(TabTRADER[[#This Row],[M]]-TabTRADER[[#This Row],[A]])-1</f>
        <v>-17.074585119196374</v>
      </c>
      <c r="BP69" s="1388">
        <f ca="1">_xlfn.XMATCH(TabTRADER[[#This Row],[ClickTick]]&amp;1, TabConsolid[#Headers])</f>
        <v>203</v>
      </c>
      <c r="BQ69" t="b">
        <f ca="1">IF(ABS(TabTRADER[[#This Row],[L_Bp]])&gt;=TabTRADER[[#This Row],[M]],"OK")</f>
        <v>0</v>
      </c>
    </row>
    <row r="70" spans="1:69" hidden="1">
      <c r="A70" s="225">
        <f ca="1">IF(_xlfn.XLOOKUP(TabTRADER[[#This Row],[ClickTick]],TabCalc[Ticker],TabCalc[Cur])="GBp",0.01,1)</f>
        <v>1</v>
      </c>
      <c r="B7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-112.98x530=    -689 USD</v>
      </c>
      <c r="C70"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-1.2%</v>
      </c>
      <c r="D70" s="697" t="str" cm="1">
        <f t="array" aca="1" ref="D7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0" s="765" t="str">
        <f ca="1">IF(      AND(TabTRADER[[#This Row],[A]]&lt;TabTRADER[[#This Row],[M]],    _xlfn.XLOOKUP(TabTRADER[[#This Row],[ClickTick]],TabCalc[Ticker],TabCalc[L_Sp])&gt;TabTRADER[[#This Row],[M]]),"BUY  "&amp;TEXT(DesiredBuyGain/TabTRADER[[#This Row],[Scale]]/(_xlfn.XLOOKUP(TabTRADER[[#This Row],[ClickTick]],TabCalc[Ticker],TabCalc[L_Sp])-TabTRADER[[#This Row],[M]]),"#,##0"),"")</f>
        <v>BUY  443</v>
      </c>
      <c r="F70" s="228" t="str">
        <f ca="1">TRUNC(TabCalc[[#This Row],[L_B1p]],2)&amp;"x"&amp;TabCalc[[#This Row],[L_B1n]]&amp;"=   "&amp;TEXT(TabCalc[[#This Row],[ReverseS1]],"#,#0")&amp;"$"</f>
        <v>-108.61x700=   2,149$</v>
      </c>
      <c r="G70" s="227" t="str">
        <f ca="1">IFERROR(TRUNC(_xlfn.XLOOKUP(TabTRADER[[#This Row],[ClickTick]],TabCalc[Ticker],ListLastSalep),2)&amp;"x"&amp;_xlfn.XLOOKUP(TabTRADER[[#This Row],[ClickTick]],TabCalc[Ticker],ListLastSalen)&amp;"=   "&amp;TEXT(-_xlfn.XLOOKUP(TabTRADER[[#This Row],[ClickTick]],TabCalc[Ticker],ListReverseB),"#,#0")&amp;"$","")</f>
        <v>122.97x330=   -3,726$</v>
      </c>
      <c r="H7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10.1% = 443</v>
      </c>
      <c r="I70" s="228" t="str">
        <f ca="1">IFERROR(TRUNC(TabCalc[[#This Row],[L_S1p]],2)&amp;"x"&amp;TabCalc[[#This Row],[L_S1n]]&amp;"=   "&amp;TEXT(TabCalc[[#This Row],[ReverseB1]],"#,#0"),"")</f>
        <v>119.32x800=   6,112</v>
      </c>
      <c r="J70" s="297">
        <f ca="1">_xlfn.XLOOKUP(TabTRADER[[#This Row],[ClickTick]],TabCalc[Ticker],ListGravity)</f>
        <v>1.1995787965616047</v>
      </c>
      <c r="K70" s="324" t="str" cm="1">
        <f t="array" aca="1" ref="K70" ca="1">IF(_xlfn.XLOOKUP(TabTRADER[[#This Row],[ClickTick]],TabTRADER[ClickTick],ListExtra_n)&gt;0,_xlfn.XLOOKUP(TabTRADER[[#This Row],[ClickTick]],TabTRADER[ClickTick],ListExtra_n),"")</f>
        <v/>
      </c>
      <c r="L70" s="322" t="str">
        <f ca="1">IF(_xlfn.XLOOKUP(TabTRADER[[#This Row],[ClickTick]],TabCalc[Ticker],ListExtra_n)&gt;0,_xlfn.XLOOKUP(TabTRADER[[#This Row],[ClickTick]],TabCalc[Ticker],ListExtra_n)*TabTRADER[[#This Row],[M]]*_xlfn.XLOOKUP(TabTRADER[[#This Row],[ClickTick]],TabCalc[Ticker],ListScale),"")</f>
        <v/>
      </c>
      <c r="M70" s="325">
        <f ca="1">_xlfn.XLOOKUP(TabTRADER[[#This Row],[ClickTick]],TabCalc[Ticker],TabCalc[Agiotage])</f>
        <v>0.69922147030240689</v>
      </c>
      <c r="N70" s="326" cm="1">
        <f t="array" aca="1" ref="N70" ca="1">_xlfn.XLOOKUP(TabTRADER[[#This Row],[ClickTick]],ListTickers,Tab2RSIConventional[RSIConv20])</f>
        <v>47</v>
      </c>
      <c r="O70" s="712" t="str">
        <f ca="1">TEXT(_xlfn.XLOOKUP(TabTRADER[[#This Row],[ClickTick]],TabCalc[Ticker],TabCalc[Nbegin]),"#,#0")&amp;": "&amp;_xlfn.XLOOKUP(TabTRADER[[#This Row],[ClickTick]],TabCalc[Ticker],TabCalc[Pile?])</f>
        <v xml:space="preserve">1,790: </v>
      </c>
      <c r="P70" s="326">
        <f ca="1">_xlfn.XLOOKUP(TabTRADER[[#This Row],[ClickTick]],TabCalc[Ticker],TabCalc[L_Bn])</f>
        <v>530</v>
      </c>
      <c r="Q70" s="690">
        <f ca="1">_xlfn.XLOOKUP(TabTRADER[[#This Row],[ClickTick]],TabCalc[Ticker],TabCalc[L_Bp])</f>
        <v>-112.98</v>
      </c>
      <c r="R70" s="778">
        <f ca="1">(TabTRADER[[#This Row],[M]]+TabTRADER[[#This Row],[L_Bp]])/ABS(TabTRADER[[#This Row],[L_Bp]])</f>
        <v>-1.1506461320587689E-2</v>
      </c>
      <c r="S70" s="692">
        <f ca="1">_xlfn.XLOOKUP(TabTRADER[[#This Row],[ClickTick]],TabCalc[Ticker],TabCalc[Rev(MinStock)])*(1-Commission)</f>
        <v>-687.20859999999846</v>
      </c>
      <c r="T70" s="798">
        <f ca="1">_xlfn.XLOOKUP(TabTRADER[[#This Row],[ClickTick]],TabCalc[Ticker],TabCalc[Agiotage])</f>
        <v>0.69922147030240689</v>
      </c>
      <c r="U70" s="759" t="str" cm="1">
        <f t="array" aca="1" ref="U7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-1,860/-1,860=&gt;-1.2% / -1.2%</v>
      </c>
      <c r="V70" s="751" t="str">
        <f ca="1">_xlfn.XLOOKUP(TabTRADER[[#This Row],[ClickTick]],[1]!RTData[Ticker symbol],[1]!RTData[Currency])</f>
        <v>USD</v>
      </c>
      <c r="W70" s="761">
        <f ca="1">_xlfn.XLOOKUP(TabTRADER[[#This Row],[ClickTick]],TabCalc[Ticker],TabCalc[M])</f>
        <v>111.68</v>
      </c>
      <c r="X70" s="762" t="str">
        <f ca="1">SORTING!B70</f>
        <v>SAFDIS</v>
      </c>
      <c r="Y70" s="819">
        <f ca="1">_xlfn.XLOOKUP(TabTRADER[[#This Row],[ClickTick]],TabCalc[Ticker],TabCalc[Y])</f>
        <v>133.96896000000001</v>
      </c>
      <c r="Z70" s="835">
        <f ca="1">_xlfn.XLOOKUP(TabTRADER[[#This Row],[ClickTick]],[1]!RTData[Ticker symbol],[1]!RTData[YTChange])</f>
        <v>7.3899478957915904E-2</v>
      </c>
      <c r="AA70" s="851">
        <f ca="1">-_xlfn.XLOOKUP(TabTRADER[[#This Row],[ClickTick]]&amp;2,Consolid!B$3:JZ$3,Consolid!B$4:JZ$4)</f>
        <v>110.54008333333334</v>
      </c>
      <c r="AB70" s="835" cm="1">
        <f t="array" aca="1" ref="AB70" ca="1">_xlfn.XLOOKUP(TabTRADER[[#This Row],[ClickTick]],ListTickers,Tab1ChangePercent[Change%19])</f>
        <v>-1.2032000000000001E-2</v>
      </c>
      <c r="AC70" s="782">
        <f ca="1">_xlfn.XLOOKUP(TabTRADER[[#This Row],[ClickTick]],TabCalc[Ticker],TabCalc[NAfter])</f>
        <v>1200</v>
      </c>
      <c r="AD70"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^37/134 K$</v>
      </c>
      <c r="AE70" s="1299" t="str" cm="1">
        <f t="array" aca="1" ref="AE7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70" s="1281" t="str" cm="1">
        <f t="array" aca="1" ref="AF70" ca="1">_xlfn.IFS(       TabTRADER[[#This Row],[Traps]]=RePurchaseGain,TEXT(TabTRADER[[#This Row],[L_Sn]],"#,#0")&amp;" x "&amp;TEXT(TabTRADER[[#This Row],[L_Sp]],"#,#0.#0"),     TabTRADER[[#This Row],[Traps]]=ReSaleGain,TEXT(TabTRADER[[#This Row],[L_Bn]],"#0,#0")&amp;" x "&amp;TEXT(TabTRADER[[#This Row],[L_Bp]],"#,#0.#0"),               TRUE,"")</f>
        <v/>
      </c>
      <c r="AG70" s="1281" t="str" cm="1">
        <f t="array" aca="1" ref="AG7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530 x -112.98</v>
      </c>
      <c r="AH70" s="1281" cm="1">
        <f t="array" aca="1" ref="AH7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687.20859999999846</v>
      </c>
      <c r="AI70" s="1281" cm="1">
        <f t="array" aca="1" ref="AI7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134016</v>
      </c>
      <c r="AJ70" s="1290" cm="1">
        <f t="array" aca="1" ref="AJ7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-1.0312247216507415E-2</v>
      </c>
      <c r="AK70" s="1290" cm="1">
        <f t="array" aca="1" ref="AK7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9.0404011461317785E-3</v>
      </c>
      <c r="AL70" s="843" t="str" cm="1">
        <f t="array" aca="1" ref="AL70" ca="1">_xlfn.IFS(   TabTRADER[[#This Row],[Traps]]=SellMorePercentGain,                     MIN(TabTRADER[[#This Row],[L_Sn]],TabTRADER[[#This Row],[N]])*(TabTRADER[[#This Row],[M]]-TabTRADER[[#This Row],[L_Sp]])*(1-Commission)*TabTRADER[[#This Row],[Scale]],                    TRUE,"")</f>
        <v/>
      </c>
      <c r="AM70" s="1039">
        <f ca="1">_xlfn.XLOOKUP(TabTRADER[[#This Row],[ClickTick]],TabCalc[Ticker],TabCalc[Ann%RevLB])</f>
        <v>-0.20711630377057838</v>
      </c>
      <c r="AN70" s="1038">
        <f ca="1">_xlfn.XLOOKUP(TabTRADER[[#This Row],[ClickTick]],TabCalc[Ticker],TabCalc[Up20])</f>
        <v>0</v>
      </c>
      <c r="AO70" s="1291" cm="1">
        <f t="array" aca="1" ref="AO7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1.1640401146131778E-2</v>
      </c>
      <c r="AP70" s="843" cm="1">
        <f t="array" aca="1" ref="AP70" ca="1">_xlfn.IFS(         TabTRADER[[#This Row],[Traps]]=MDown,TabTRADER[[#This Row],[L_Bn]]*TabTRADER[[#This Row],[M]]*(-(TabTRADER[[#This Row],[L_Bp]]+TabTRADER[[#This Row],[M]])/TabTRADER[[#This Row],[M]])*(1-Commission)*TabTRADER[[#This Row],[Scale]],                               TRUE,"")</f>
        <v>687.20859999999834</v>
      </c>
      <c r="AQ70" s="1290" cm="1">
        <f t="array" aca="1" ref="AQ70" ca="1">_xlfn.IFS(   TabTRADER[[#This Row],[Traps]]=MUp,TabTRADER[[#This Row],[TakeGain_A]]-Commission,        TabTRADER[[#This Row],[Traps]]=MDown,(TabTRADER[[#This Row],[A]]-TabTRADER[[#This Row],[M]])/TabTRADER[[#This Row],[M]]-Commission,                              TRUE,"")</f>
        <v>-1.2806990210124145E-2</v>
      </c>
      <c r="AR70" s="843" cm="1">
        <f t="array" aca="1" ref="AR7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-1364.3434599999973</v>
      </c>
      <c r="AS70" s="774" t="str" cm="1">
        <f t="array" aca="1" ref="AS7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70" s="748" cm="1">
        <f t="array" aca="1" ref="AT7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-1.3</v>
      </c>
      <c r="AU70" s="779" cm="1">
        <f t="array" aca="1" ref="AU70" ca="1">_xlfn.IFS(TabTRADER[[#This Row],[Traps]]=ReSaleGain,"",         TabTRADER[[#This Row],[Traps]]=MDown, (TabTRADER[[#This Row],[M]]-TabTRADER[[#This Row],[A]])/TabTRADER[[#This Row],[A]]*ComFactor,             TRUE, IFERROR((TabTRADER[[#This Row],[M]]-TabTRADER[[#This Row],[A]])/TabTRADER[[#This Row],[A]]*ComFactor,""))</f>
        <v>1.0285435373744494E-2</v>
      </c>
      <c r="AV70" s="776" cm="1">
        <f t="array" aca="1" ref="AV70" ca="1">_xlfn.IFS(               TabTRADER[[#This Row],[Traps]]=NoStock,(TabTRADER[[#This Row],[L_Sp]]-TabTRADER[[#This Row],[M]])/TabTRADER[[#This Row],[M]]-Commission,             TabTRADER[[#This Row],[A]]&lt;&gt;0,(TabTRADER[[#This Row],[A]]-TabTRADER[[#This Row],[M]])/TabTRADER[[#This Row],[M]]-Commission)</f>
        <v>-1.2806990210124145E-2</v>
      </c>
      <c r="AW70" s="326">
        <f ca="1">_xlfn.XLOOKUP(TabTRADER[[#This Row],[ClickTick]],TabCalc[Ticker],TabCalc[L_Sn])</f>
        <v>330</v>
      </c>
      <c r="AX70" s="740">
        <f ca="1">_xlfn.XLOOKUP(TabTRADER[[#This Row],[ClickTick]],TabCalc[Ticker],TabCalc[L_Sp])</f>
        <v>122.97</v>
      </c>
      <c r="AY70" s="778">
        <f ca="1">-IFERROR((TabTRADER[[#This Row],[M]]-TabTRADER[[#This Row],[L_Sp]])/TabTRADER[[#This Row],[L_Sp]],0)</f>
        <v>9.1811010815646035E-2</v>
      </c>
      <c r="AZ70" s="741">
        <f ca="1">TabTRADER[[#This Row],[L_Sn]]*(TabTRADER[[#This Row],[M]]-TabTRADER[[#This Row],[L_Sp]])*(1-Commission)*TabTRADER[[#This Row],[Scale]]</f>
        <v>-3716.0131799999972</v>
      </c>
      <c r="BA70" s="701">
        <f ca="1">TabTRADER[[#This Row],[L_Sn]]*(TabTRADER[[#This Row],[Agiotage]]-TabTRADER[[#This Row],[M]])/(TabTRADER[[#This Row],[L_Bn]]*TabTRADER[[#This Row],[M]])</f>
        <v>-0.61874319002406142</v>
      </c>
      <c r="BB70" s="641">
        <f ca="1">IFERROR((TabTRADER[[#This Row],[M]]-TabTRADER[[#This Row],[A]])/TabTRADER[[#This Row],[A]],0)</f>
        <v>1.0312247216507415E-2</v>
      </c>
      <c r="BC70" s="644" t="str">
        <f ca="1">TEXT(_xlfn.XLOOKUP(TabTRADER[[#This Row],[ClickTick]],TabCalc[Ticker],TabCalc[NAfter]),"#,#0")&amp;" : "&amp;TEXT(_xlfn.XLOOKUP(TabTRADER[[#This Row],[ClickTick]],TabCalc[Ticker],TabCalc[NAfter])*(TabTRADER[[#This Row],[M]]-TabTRADER[[#This Row],[A]])*(1-Commission)*TabTRADER[[#This Row],[Scale]],"#,#0$")</f>
        <v>1,200 : 1,364$</v>
      </c>
      <c r="BD70" s="693">
        <f ca="1">_xlfn.XLOOKUP(TabTRADER[[#This Row],[ClickTick]],TabCalc[[#This Row],[Ticker]],TabCalc[[#This Row],[GL]])*(1-Commission)</f>
        <v>37149.280087999978</v>
      </c>
      <c r="BE70" s="693"/>
      <c r="BF70" s="675" t="str">
        <f ca="1">TabTRADER[[#This Row],[ClickTick]]&amp;": "&amp;_xlfn.XLOOKUP(TabTRADER[[#This Row],[ClickTick]],TabCalc[Ticker],TabCalc[Pile?])</f>
        <v xml:space="preserve">SAFDIS: </v>
      </c>
      <c r="BG70" s="353" t="s">
        <v>2046</v>
      </c>
      <c r="BH70" s="769" t="str" cm="1">
        <f t="array" aca="1" ref="BH70" ca="1">_xlfn.TEXTJOIN("",,INDEX({"M","A","Y"}, _xlfn.SORTBY({1,2,3}, -CHOOSE({1,2,3}, TabTRADER[[#This Row],[M]], TabTRADER[[#This Row],[A]], TabTRADER[[#This Row],[Agiotage]]))))</f>
        <v>MAY</v>
      </c>
      <c r="BI70" s="976" cm="1">
        <f t="array" aca="1" ref="BI7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1.1640401146131778E-2</v>
      </c>
      <c r="BJ70" s="688">
        <f ca="1">TabTRADER[[#This Row],[L_Sn]]*TabTRADER[[#This Row],[L_Sp]]+TabTRADER[[#This Row],[SellMore]]*TabTRADER[[#This Row],[M]]</f>
        <v>115405.70000000001</v>
      </c>
      <c r="BK70" s="688">
        <f ca="1">INDEX(
  INDEX(TabConsolid[], , _xlfn.XMATCH(TabTRADER[[#This Row],[ClickTick]]&amp;1, TabConsolid[#Headers])),
  MATCH(
    -TabTRADER[[#This Row],[M]],
    INDEX(TabConsolid[], , _xlfn.XMATCH(TabTRADER[[#This Row],[ClickTick]]&amp;2, TabConsolid[#Headers])),
    -1
  )
)</f>
        <v>670</v>
      </c>
      <c r="BL70" s="688" cm="1">
        <f t="array" aca="1" ref="BL7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0" s="1260">
        <f ca="1">TabTRADER[[#This Row],[ReBuy]]/(TabTRADER[[#This Row],[L_Sn]]+TabTRADER[[#This Row],[SellMore]])</f>
        <v>115.40570000000001</v>
      </c>
      <c r="BN70" s="696">
        <f ca="1">((_xlfn.XLOOKUP(TabTRADER[[#This Row],[ClickTick]],TabCalc[Ticker],TabCalc[NAfter])+TabTRADER[[#This Row],[L_Sn]])*(TabTRADER[[#This Row],[Agiotage]]-TabTRADER[[#This Row],[M]]))/(TabTRADER[[#This Row],[L_Sn]]*_xlfn.XLOOKUP(TabTRADER[[#This Row],[ClickTick]],TabCalc[Ticker],TabCalc[NAfter]))</f>
        <v>-0.42878937159201347</v>
      </c>
      <c r="BO70" s="696">
        <f ca="1">(TabTRADER[[#This Row],[M]]-TabTRADER[[#This Row],[Agiotage]])/(TabTRADER[[#This Row],[M]]-TabTRADER[[#This Row],[A]])-1</f>
        <v>96.358676976122069</v>
      </c>
      <c r="BP70" s="1388">
        <f ca="1">_xlfn.XMATCH(TabTRADER[[#This Row],[ClickTick]]&amp;1, TabConsolid[#Headers])</f>
        <v>206</v>
      </c>
      <c r="BQ70" t="str">
        <f ca="1">IF(ABS(TabTRADER[[#This Row],[L_Bp]])&gt;=TabTRADER[[#This Row],[M]],"OK")</f>
        <v>OK</v>
      </c>
    </row>
    <row r="71" spans="1:69" hidden="1">
      <c r="A71" s="225">
        <f ca="1">IF(_xlfn.XLOOKUP(TabTRADER[[#This Row],[ClickTick]],TabCalc[Ticker],TabCalc[Cur])="GBp",0.01,1)</f>
        <v>1</v>
      </c>
      <c r="B7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-44.62x2000=    0 USD</v>
      </c>
      <c r="C71"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35.9%</v>
      </c>
      <c r="D71" s="697" t="str" cm="1">
        <f t="array" aca="1" ref="D7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1" s="228" t="str">
        <f ca="1">TRUNC(TabCalc[[#This Row],[L_B1p]],2)&amp;"x"&amp;TabCalc[[#This Row],[L_B1n]]&amp;"=   "&amp;TEXT(TabCalc[[#This Row],[ReverseS1]],"#,#0")&amp;"$"</f>
        <v>-46.31x1250=   0$</v>
      </c>
      <c r="G71" s="227" t="str">
        <f ca="1">IFERROR(TRUNC(_xlfn.XLOOKUP(TabTRADER[[#This Row],[ClickTick]],TabCalc[Ticker],ListLastSalep),2)&amp;"x"&amp;_xlfn.XLOOKUP(TabTRADER[[#This Row],[ClickTick]],TabCalc[Ticker],ListLastSalen)&amp;"=   "&amp;TEXT(-_xlfn.XLOOKUP(TabTRADER[[#This Row],[ClickTick]],TabCalc[Ticker],ListReverseB),"#,#0")&amp;"$","")</f>
        <v>48.63x2000=   42,053$</v>
      </c>
      <c r="H7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-30.2% = 0</v>
      </c>
      <c r="I71" s="228" t="str">
        <f ca="1">IFERROR(TRUNC(TabCalc[[#This Row],[L_S1p]],2)&amp;"x"&amp;TabCalc[[#This Row],[L_S1n]]&amp;"=   "&amp;TEXT(TabCalc[[#This Row],[ReverseB1]],"#,#0"),"")</f>
        <v>48.66x4000=   -83,999</v>
      </c>
      <c r="J71" s="297">
        <f ca="1">_xlfn.XLOOKUP(TabTRADER[[#This Row],[ClickTick]],TabCalc[Ticker],ListGravity)</f>
        <v>0.91587711742750499</v>
      </c>
      <c r="K71" s="324" t="str" cm="1">
        <f t="array" aca="1" ref="K71" ca="1">IF(_xlfn.XLOOKUP(TabTRADER[[#This Row],[ClickTick]],TabTRADER[ClickTick],ListExtra_n)&gt;0,_xlfn.XLOOKUP(TabTRADER[[#This Row],[ClickTick]],TabTRADER[ClickTick],ListExtra_n),"")</f>
        <v/>
      </c>
      <c r="L71" s="322" t="str">
        <f ca="1">IF(_xlfn.XLOOKUP(TabTRADER[[#This Row],[ClickTick]],TabCalc[Ticker],ListExtra_n)&gt;0,_xlfn.XLOOKUP(TabTRADER[[#This Row],[ClickTick]],TabCalc[Ticker],ListExtra_n)*TabTRADER[[#This Row],[M]]*_xlfn.XLOOKUP(TabTRADER[[#This Row],[ClickTick]],TabCalc[Ticker],ListScale),"")</f>
        <v/>
      </c>
      <c r="M71" s="325">
        <f ca="1">_xlfn.XLOOKUP(TabTRADER[[#This Row],[ClickTick]],TabCalc[Ticker],TabCalc[Agiotage])</f>
        <v>1.2198274247603278</v>
      </c>
      <c r="N71" s="326" cm="1">
        <f t="array" aca="1" ref="N71" ca="1">_xlfn.XLOOKUP(TabTRADER[[#This Row],[ClickTick]],ListTickers,Tab2RSIConventional[RSIConv20])</f>
        <v>84</v>
      </c>
      <c r="O71" s="712" t="str">
        <f ca="1">TEXT(_xlfn.XLOOKUP(TabTRADER[[#This Row],[ClickTick]],TabCalc[Ticker],TabCalc[Nbegin]),"#,#0")&amp;": "&amp;_xlfn.XLOOKUP(TabTRADER[[#This Row],[ClickTick]],TabCalc[Ticker],TabCalc[Pile?])</f>
        <v>3,900: Pile</v>
      </c>
      <c r="P71" s="326">
        <f ca="1">_xlfn.XLOOKUP(TabTRADER[[#This Row],[ClickTick]],TabCalc[Ticker],TabCalc[L_Bn])</f>
        <v>2000</v>
      </c>
      <c r="Q71" s="690">
        <f ca="1">_xlfn.XLOOKUP(TabTRADER[[#This Row],[ClickTick]],TabCalc[Ticker],TabCalc[L_Bp])</f>
        <v>-44.62</v>
      </c>
      <c r="R71" s="778">
        <f ca="1">(TabTRADER[[#This Row],[M]]+TabTRADER[[#This Row],[L_Bp]])/ABS(TabTRADER[[#This Row],[L_Bp]])</f>
        <v>0.56118332586284181</v>
      </c>
      <c r="S71" s="692">
        <f ca="1">_xlfn.XLOOKUP(TabTRADER[[#This Row],[ClickTick]],TabCalc[Ticker],TabCalc[Rev(MinStock)])*(1-Commission)</f>
        <v>0</v>
      </c>
      <c r="T71" s="798">
        <f ca="1">_xlfn.XLOOKUP(TabTRADER[[#This Row],[ClickTick]],TabCalc[Ticker],TabCalc[Agiotage])</f>
        <v>1.2198274247603278</v>
      </c>
      <c r="U71" s="759" t="str" cm="1">
        <f t="array" aca="1" ref="U7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0/0=&gt;4.2% / 4.2%</v>
      </c>
      <c r="V71" s="751" t="str">
        <f ca="1">_xlfn.XLOOKUP(TabTRADER[[#This Row],[ClickTick]],[1]!RTData[Ticker symbol],[1]!RTData[Currency])</f>
        <v>USD</v>
      </c>
      <c r="W71" s="761">
        <f ca="1">_xlfn.XLOOKUP(TabTRADER[[#This Row],[ClickTick]],TabCalc[Ticker],TabCalc[M])</f>
        <v>69.66</v>
      </c>
      <c r="X71" s="762" t="str">
        <f ca="1">SORTING!B71</f>
        <v>SAFGM</v>
      </c>
      <c r="Y71" s="819">
        <f ca="1">_xlfn.XLOOKUP(TabTRADER[[#This Row],[ClickTick]],TabCalc[Ticker],TabCalc[Y])</f>
        <v>63.8</v>
      </c>
      <c r="Z71" s="835">
        <f ca="1">_xlfn.XLOOKUP(TabTRADER[[#This Row],[ClickTick]],[1]!RTData[Ticker symbol],[1]!RTData[YTChange])</f>
        <v>0.1801701812800591</v>
      </c>
      <c r="AA71" s="851">
        <f ca="1">-_xlfn.XLOOKUP(TabTRADER[[#This Row],[ClickTick]]&amp;2,Consolid!B$3:JZ$3,Consolid!B$4:JZ$4)</f>
        <v>0</v>
      </c>
      <c r="AB71" s="835" cm="1">
        <f t="array" aca="1" ref="AB71" ca="1">_xlfn.XLOOKUP(TabTRADER[[#This Row],[ClickTick]],ListTickers,Tab1ChangePercent[Change%19])</f>
        <v>4.2183999999999999E-2</v>
      </c>
      <c r="AC71" s="782">
        <f ca="1">_xlfn.XLOOKUP(TabTRADER[[#This Row],[ClickTick]],TabCalc[Ticker],TabCalc[NAfter])</f>
        <v>0</v>
      </c>
      <c r="AD71"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^62/0 K$</v>
      </c>
      <c r="AE71" s="1277" t="str" cm="1">
        <f t="array" aca="1" ref="AE7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1" s="1281" t="str" cm="1">
        <f t="array" aca="1" ref="AF71" ca="1">_xlfn.IFS(       TabTRADER[[#This Row],[Traps]]=RePurchaseGain,TEXT(TabTRADER[[#This Row],[L_Sn]],"#,#0")&amp;" x "&amp;TEXT(TabTRADER[[#This Row],[L_Sp]],"#,#0.#0"),     TabTRADER[[#This Row],[Traps]]=ReSaleGain,TEXT(TabTRADER[[#This Row],[L_Bn]],"#0,#0")&amp;" x "&amp;TEXT(TabTRADER[[#This Row],[L_Bp]],"#,#0.#0"),               TRUE,"")</f>
        <v/>
      </c>
      <c r="AG71" s="1281" t="str" cm="1">
        <f t="array" aca="1" ref="AG7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1" s="1281" t="str" cm="1">
        <f t="array" aca="1" ref="AH7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1" s="1281" t="str" cm="1">
        <f t="array" aca="1" ref="AI7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1" s="1290" t="str" cm="1">
        <f t="array" aca="1" ref="AJ7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1" s="1290" t="str" cm="1">
        <f t="array" aca="1" ref="AK7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71" s="843" t="str" cm="1">
        <f t="array" aca="1" ref="AL71" ca="1">_xlfn.IFS(   TabTRADER[[#This Row],[Traps]]=SellMorePercentGain,                     MIN(TabTRADER[[#This Row],[L_Sn]],TabTRADER[[#This Row],[N]])*(TabTRADER[[#This Row],[M]]-TabTRADER[[#This Row],[L_Sp]])*(1-Commission)*TabTRADER[[#This Row],[Scale]],                    TRUE,"")</f>
        <v/>
      </c>
      <c r="AM71" s="1039">
        <f ca="1">_xlfn.XLOOKUP(TabTRADER[[#This Row],[ClickTick]],TabCalc[Ticker],TabCalc[Ann%RevLB])</f>
        <v>0.4459735039969604</v>
      </c>
      <c r="AN71" s="1038">
        <f ca="1">_xlfn.XLOOKUP(TabTRADER[[#This Row],[ClickTick]],TabCalc[Ticker],TabCalc[Up20])</f>
        <v>0.55555555555555558</v>
      </c>
      <c r="AO71" s="1291" t="str" cm="1">
        <f t="array" aca="1" ref="AO7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71" s="843" t="str" cm="1">
        <f t="array" aca="1" ref="AP71" ca="1">_xlfn.IFS(         TabTRADER[[#This Row],[Traps]]=MDown,TabTRADER[[#This Row],[L_Bn]]*TabTRADER[[#This Row],[M]]*(-(TabTRADER[[#This Row],[L_Bp]]+TabTRADER[[#This Row],[M]])/TabTRADER[[#This Row],[M]])*(1-Commission)*TabTRADER[[#This Row],[Scale]],                               TRUE,"")</f>
        <v/>
      </c>
      <c r="AQ71" s="1290" t="str" cm="1">
        <f t="array" aca="1" ref="AQ71" ca="1">_xlfn.IFS(   TabTRADER[[#This Row],[Traps]]=MUp,TabTRADER[[#This Row],[TakeGain_A]]-Commission,        TabTRADER[[#This Row],[Traps]]=MDown,(TabTRADER[[#This Row],[A]]-TabTRADER[[#This Row],[M]])/TabTRADER[[#This Row],[M]]-Commission,                              TRUE,"")</f>
        <v/>
      </c>
      <c r="AR71" s="774" cm="1">
        <f t="array" aca="1" ref="AR7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1" s="774" t="str" cm="1">
        <f t="array" aca="1" ref="AS7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2.2%</v>
      </c>
      <c r="AT71" s="748" t="str" cm="1">
        <f t="array" aca="1" ref="AT7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0x69.66</v>
      </c>
      <c r="AU71" s="779" t="str" cm="1">
        <f t="array" aca="1" ref="AU71" ca="1">_xlfn.IFS(TabTRADER[[#This Row],[Traps]]=ReSaleGain,"",         TabTRADER[[#This Row],[Traps]]=MDown, (TabTRADER[[#This Row],[M]]-TabTRADER[[#This Row],[A]])/TabTRADER[[#This Row],[A]]*ComFactor,             TRUE, IFERROR((TabTRADER[[#This Row],[M]]-TabTRADER[[#This Row],[A]])/TabTRADER[[#This Row],[A]]*ComFactor,""))</f>
        <v/>
      </c>
      <c r="AV71" s="776" cm="1">
        <f t="array" aca="1" ref="AV71" ca="1">_xlfn.IFS(               TabTRADER[[#This Row],[Traps]]=NoStock,(TabTRADER[[#This Row],[L_Sp]]-TabTRADER[[#This Row],[M]])/TabTRADER[[#This Row],[M]]-Commission,             TabTRADER[[#This Row],[A]]&lt;&gt;0,(TabTRADER[[#This Row],[A]]-TabTRADER[[#This Row],[M]])/TabTRADER[[#This Row],[M]]-Commission)</f>
        <v>-0.30444610967556696</v>
      </c>
      <c r="AW71" s="326">
        <f ca="1">_xlfn.XLOOKUP(TabTRADER[[#This Row],[ClickTick]],TabCalc[Ticker],TabCalc[L_Sn])</f>
        <v>2000</v>
      </c>
      <c r="AX71" s="740">
        <f ca="1">_xlfn.XLOOKUP(TabTRADER[[#This Row],[ClickTick]],TabCalc[Ticker],TabCalc[L_Sp])</f>
        <v>48.633400000000002</v>
      </c>
      <c r="AY71" s="778">
        <f ca="1">-IFERROR((TabTRADER[[#This Row],[M]]-TabTRADER[[#This Row],[L_Sp]])/TabTRADER[[#This Row],[L_Sp]],0)</f>
        <v>-0.43234896182458954</v>
      </c>
      <c r="AZ71" s="741">
        <f ca="1">TabTRADER[[#This Row],[L_Sn]]*(TabTRADER[[#This Row],[M]]-TabTRADER[[#This Row],[L_Sp]])*(1-Commission)*TabTRADER[[#This Row],[Scale]]</f>
        <v>41943.861679999987</v>
      </c>
      <c r="BA71" s="701">
        <f ca="1">TabTRADER[[#This Row],[L_Sn]]*(TabTRADER[[#This Row],[Agiotage]]-TabTRADER[[#This Row],[M]])/(TabTRADER[[#This Row],[L_Bn]]*TabTRADER[[#This Row],[M]])</f>
        <v>-0.98248883972494505</v>
      </c>
      <c r="BB71" s="641">
        <f ca="1">IFERROR((TabTRADER[[#This Row],[M]]-TabTRADER[[#This Row],[A]])/TabTRADER[[#This Row],[A]],0)</f>
        <v>0</v>
      </c>
      <c r="BC71" s="644" t="str">
        <f ca="1">TEXT(_xlfn.XLOOKUP(TabTRADER[[#This Row],[ClickTick]],TabCalc[Ticker],TabCalc[NAfter]),"#,#0")&amp;" : "&amp;TEXT(_xlfn.XLOOKUP(TabTRADER[[#This Row],[ClickTick]],TabCalc[Ticker],TabCalc[NAfter])*(TabTRADER[[#This Row],[M]]-TabTRADER[[#This Row],[A]])*(1-Commission)*TabTRADER[[#This Row],[Scale]],"#,#0$")</f>
        <v>0 : 0$</v>
      </c>
      <c r="BD71" s="693">
        <f ca="1">_xlfn.XLOOKUP(TabTRADER[[#This Row],[ClickTick]],TabCalc[[#This Row],[Ticker]],TabCalc[[#This Row],[GL]])*(1-Commission)</f>
        <v>62179.995579000002</v>
      </c>
      <c r="BE71" s="693"/>
      <c r="BF71" s="675" t="str">
        <f ca="1">TabTRADER[[#This Row],[ClickTick]]&amp;": "&amp;_xlfn.XLOOKUP(TabTRADER[[#This Row],[ClickTick]],TabCalc[Ticker],TabCalc[Pile?])</f>
        <v>SAFGM: Pile</v>
      </c>
      <c r="BG71" s="353" t="s">
        <v>2047</v>
      </c>
      <c r="BH71" s="769" t="str" cm="1">
        <f t="array" aca="1" ref="BH71" ca="1">_xlfn.TEXTJOIN("",,INDEX({"M","A","Y"}, _xlfn.SORTBY({1,2,3}, -CHOOSE({1,2,3}, TabTRADER[[#This Row],[M]], TabTRADER[[#This Row],[A]], TabTRADER[[#This Row],[Agiotage]]))))</f>
        <v>MYA</v>
      </c>
      <c r="BI71" s="976" t="str" cm="1">
        <f t="array" aca="1" ref="BI7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71" s="688" t="e">
        <f ca="1">TabTRADER[[#This Row],[L_Sn]]*TabTRADER[[#This Row],[L_Sp]]+TabTRADER[[#This Row],[SellMore]]*TabTRADER[[#This Row],[M]]</f>
        <v>#N/A</v>
      </c>
      <c r="BK71" s="688" t="e">
        <f ca="1">INDEX(
  INDEX(TabConsolid[], , _xlfn.XMATCH(TabTRADER[[#This Row],[ClickTick]]&amp;1, TabConsolid[#Headers])),
  MATCH(
    -TabTRADER[[#This Row],[M]],
    INDEX(TabConsolid[], , _xlfn.XMATCH(TabTRADER[[#This Row],[ClickTick]]&amp;2, TabConsolid[#Headers])),
    -1
  )
)</f>
        <v>#N/A</v>
      </c>
      <c r="BL71" s="688" cm="1">
        <f t="array" aca="1" ref="BL7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1" s="1260" t="e">
        <f ca="1">TabTRADER[[#This Row],[ReBuy]]/(TabTRADER[[#This Row],[L_Sn]]+TabTRADER[[#This Row],[SellMore]])</f>
        <v>#N/A</v>
      </c>
      <c r="BN71" s="696" t="e">
        <f ca="1">((_xlfn.XLOOKUP(TabTRADER[[#This Row],[ClickTick]],TabCalc[Ticker],TabCalc[NAfter])+TabTRADER[[#This Row],[L_Sn]])*(TabTRADER[[#This Row],[Agiotage]]-TabTRADER[[#This Row],[M]]))/(TabTRADER[[#This Row],[L_Sn]]*_xlfn.XLOOKUP(TabTRADER[[#This Row],[ClickTick]],TabCalc[Ticker],TabCalc[NAfter]))</f>
        <v>#DIV/0!</v>
      </c>
      <c r="BO71" s="696">
        <f ca="1">(TabTRADER[[#This Row],[M]]-TabTRADER[[#This Row],[Agiotage]])/(TabTRADER[[#This Row],[M]]-TabTRADER[[#This Row],[A]])-1</f>
        <v>-1.7511160275054949E-2</v>
      </c>
      <c r="BP71" s="1388">
        <f ca="1">_xlfn.XMATCH(TabTRADER[[#This Row],[ClickTick]]&amp;1, TabConsolid[#Headers])</f>
        <v>209</v>
      </c>
      <c r="BQ71" t="b">
        <f ca="1">IF(ABS(TabTRADER[[#This Row],[L_Bp]])&gt;=TabTRADER[[#This Row],[M]],"OK")</f>
        <v>0</v>
      </c>
    </row>
    <row r="72" spans="1:69" hidden="1">
      <c r="A72" s="225">
        <f ca="1">IF(_xlfn.XLOOKUP(TabTRADER[[#This Row],[ClickTick]],TabCalc[Ticker],TabCalc[Cur])="GBp",0.01,1)</f>
        <v>0.01</v>
      </c>
      <c r="B7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-198.16x25000=    0 GBp</v>
      </c>
      <c r="C72"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51.7%</v>
      </c>
      <c r="D72" s="697" t="str" cm="1">
        <f t="array" aca="1" ref="D7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2"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2" s="228" t="str">
        <f ca="1">TRUNC(TabCalc[[#This Row],[L_B1p]],2)&amp;"x"&amp;TabCalc[[#This Row],[L_B1n]]&amp;"=   "&amp;TEXT(TabCalc[[#This Row],[ReverseS1]],"#,#0")&amp;"$"</f>
        <v>-164.36x50000=   0$</v>
      </c>
      <c r="G72" s="227" t="str">
        <f ca="1">IFERROR(TRUNC(_xlfn.XLOOKUP(TabTRADER[[#This Row],[ClickTick]],TabCalc[Ticker],ListLastSalep),2)&amp;"x"&amp;_xlfn.XLOOKUP(TabTRADER[[#This Row],[ClickTick]],TabCalc[Ticker],ListLastSalen)&amp;"=   "&amp;TEXT(-_xlfn.XLOOKUP(TabTRADER[[#This Row],[ClickTick]],TabCalc[Ticker],ListReverseB),"#,#0")&amp;"$","")</f>
        <v>301.92x100000=   108,080$</v>
      </c>
      <c r="H7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-26.4% = 0</v>
      </c>
      <c r="I72" s="228" t="str">
        <f ca="1">IFERROR(TRUNC(TabCalc[[#This Row],[L_S1p]],2)&amp;"x"&amp;TabCalc[[#This Row],[L_S1n]]&amp;"=   "&amp;TEXT(TabCalc[[#This Row],[ReverseB1]],"#,#0"),"")</f>
        <v>212.3x25000=   -49,425</v>
      </c>
      <c r="J72" s="297">
        <f ca="1">_xlfn.XLOOKUP(TabTRADER[[#This Row],[ClickTick]],TabCalc[Ticker],ListGravity)</f>
        <v>1.0694051707317074</v>
      </c>
      <c r="K72" s="324" t="str" cm="1">
        <f t="array" aca="1" ref="K72" ca="1">IF(_xlfn.XLOOKUP(TabTRADER[[#This Row],[ClickTick]],TabTRADER[ClickTick],ListExtra_n)&gt;0,_xlfn.XLOOKUP(TabTRADER[[#This Row],[ClickTick]],TabTRADER[ClickTick],ListExtra_n),"")</f>
        <v/>
      </c>
      <c r="L72" s="322" t="str">
        <f ca="1">IF(_xlfn.XLOOKUP(TabTRADER[[#This Row],[ClickTick]],TabCalc[Ticker],ListExtra_n)&gt;0,_xlfn.XLOOKUP(TabTRADER[[#This Row],[ClickTick]],TabCalc[Ticker],ListExtra_n)*TabTRADER[[#This Row],[M]]*_xlfn.XLOOKUP(TabTRADER[[#This Row],[ClickTick]],TabCalc[Ticker],ListScale),"")</f>
        <v/>
      </c>
      <c r="M72" s="325">
        <f ca="1">_xlfn.XLOOKUP(TabTRADER[[#This Row],[ClickTick]],TabCalc[Ticker],TabCalc[Agiotage])</f>
        <v>1.2126103721618735</v>
      </c>
      <c r="N72" s="326" cm="1">
        <f t="array" aca="1" ref="N72" ca="1">_xlfn.XLOOKUP(TabTRADER[[#This Row],[ClickTick]],ListTickers,Tab2RSIConventional[RSIConv20])</f>
        <v>69</v>
      </c>
      <c r="O72" s="712" t="str">
        <f ca="1">TEXT(_xlfn.XLOOKUP(TabTRADER[[#This Row],[ClickTick]],TabCalc[Ticker],TabCalc[Nbegin]),"#,#0")&amp;": "&amp;_xlfn.XLOOKUP(TabTRADER[[#This Row],[ClickTick]],TabCalc[Ticker],TabCalc[Pile?])</f>
        <v>200,000: Pile</v>
      </c>
      <c r="P72" s="326">
        <f ca="1">_xlfn.XLOOKUP(TabTRADER[[#This Row],[ClickTick]],TabCalc[Ticker],TabCalc[L_Bn])</f>
        <v>25000</v>
      </c>
      <c r="Q72" s="690">
        <f ca="1">_xlfn.XLOOKUP(TabTRADER[[#This Row],[ClickTick]],TabCalc[Ticker],TabCalc[L_Bp])</f>
        <v>-198.16</v>
      </c>
      <c r="R72" s="778">
        <f ca="1">(TabTRADER[[#This Row],[M]]+TabTRADER[[#This Row],[L_Bp]])/ABS(TabTRADER[[#This Row],[L_Bp]])</f>
        <v>1.0690351231328219</v>
      </c>
      <c r="S72" s="692">
        <f ca="1">_xlfn.XLOOKUP(TabTRADER[[#This Row],[ClickTick]],TabCalc[Ticker],TabCalc[Rev(MinStock)])*(1-Commission)</f>
        <v>0</v>
      </c>
      <c r="T72" s="798">
        <f ca="1">_xlfn.XLOOKUP(TabTRADER[[#This Row],[ClickTick]],TabCalc[Ticker],TabCalc[Agiotage])</f>
        <v>1.2126103721618735</v>
      </c>
      <c r="U72" s="759" t="str" cm="1">
        <f t="array" aca="1" ref="U7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0/0=&gt;1.6% / 1.6%</v>
      </c>
      <c r="V72" s="751" t="str">
        <f ca="1">_xlfn.XLOOKUP(TabTRADER[[#This Row],[ClickTick]],[1]!RTData[Ticker symbol],[1]!RTData[Currency])</f>
        <v>GBp</v>
      </c>
      <c r="W72" s="761">
        <f ca="1">_xlfn.XLOOKUP(TabTRADER[[#This Row],[ClickTick]],TabCalc[Ticker],TabCalc[M])</f>
        <v>410</v>
      </c>
      <c r="X72" s="762" t="str">
        <f ca="1">SORTING!B72</f>
        <v>SAFIAG</v>
      </c>
      <c r="Y72" s="819">
        <f ca="1">_xlfn.XLOOKUP(TabTRADER[[#This Row],[ClickTick]],TabCalc[Ticker],TabCalc[Y])</f>
        <v>438.45612</v>
      </c>
      <c r="Z72" s="835">
        <f ca="1">_xlfn.XLOOKUP(TabTRADER[[#This Row],[ClickTick]],[1]!RTData[Ticker symbol],[1]!RTData[YTChange])</f>
        <v>0.49261657872340425</v>
      </c>
      <c r="AA72" s="851">
        <f ca="1">-_xlfn.XLOOKUP(TabTRADER[[#This Row],[ClickTick]]&amp;2,Consolid!B$3:JZ$3,Consolid!B$4:JZ$4)</f>
        <v>0</v>
      </c>
      <c r="AB72" s="835" cm="1">
        <f t="array" aca="1" ref="AB72" ca="1">_xlfn.XLOOKUP(TabTRADER[[#This Row],[ClickTick]],ListTickers,Tab1ChangePercent[Change%19])</f>
        <v>1.6108999999999998E-2</v>
      </c>
      <c r="AC72" s="782">
        <f ca="1">_xlfn.XLOOKUP(TabTRADER[[#This Row],[ClickTick]],TabCalc[Ticker],TabCalc[NAfter])</f>
        <v>0</v>
      </c>
      <c r="AD72"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^178/0 K$</v>
      </c>
      <c r="AE72" s="1299" t="str" cm="1">
        <f t="array" aca="1" ref="AE7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2" s="1281" t="str" cm="1">
        <f t="array" aca="1" ref="AF72" ca="1">_xlfn.IFS(       TabTRADER[[#This Row],[Traps]]=RePurchaseGain,TEXT(TabTRADER[[#This Row],[L_Sn]],"#,#0")&amp;" x "&amp;TEXT(TabTRADER[[#This Row],[L_Sp]],"#,#0.#0"),     TabTRADER[[#This Row],[Traps]]=ReSaleGain,TEXT(TabTRADER[[#This Row],[L_Bn]],"#0,#0")&amp;" x "&amp;TEXT(TabTRADER[[#This Row],[L_Bp]],"#,#0.#0"),               TRUE,"")</f>
        <v/>
      </c>
      <c r="AG72" s="1281" t="str" cm="1">
        <f t="array" aca="1" ref="AG7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2" s="1281" t="str" cm="1">
        <f t="array" aca="1" ref="AH7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2" s="1281" t="str" cm="1">
        <f t="array" aca="1" ref="AI7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2" s="1290" t="str" cm="1">
        <f t="array" aca="1" ref="AJ7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2" s="1290" t="str" cm="1">
        <f t="array" aca="1" ref="AK7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2" s="843" t="str" cm="1">
        <f t="array" aca="1" ref="AL72" ca="1">_xlfn.IFS(   TabTRADER[[#This Row],[Traps]]=SellMorePercentGain,                     MIN(TabTRADER[[#This Row],[L_Sn]],TabTRADER[[#This Row],[N]])*(TabTRADER[[#This Row],[M]]-TabTRADER[[#This Row],[L_Sp]])*(1-Commission)*TabTRADER[[#This Row],[Scale]],                    TRUE,"")</f>
        <v/>
      </c>
      <c r="AM72" s="1296">
        <f ca="1">_xlfn.XLOOKUP(TabTRADER[[#This Row],[ClickTick]],TabCalc[Ticker],TabCalc[Ann%RevLB])</f>
        <v>1.012770116652147</v>
      </c>
      <c r="AN72" s="1392">
        <f ca="1">_xlfn.XLOOKUP(TabTRADER[[#This Row],[ClickTick]],TabCalc[Ticker],TabCalc[Up20])</f>
        <v>0.42857142857142855</v>
      </c>
      <c r="AO72" s="1291" t="str" cm="1">
        <f t="array" aca="1" ref="AO7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2" s="843" t="str" cm="1">
        <f t="array" aca="1" ref="AP72" ca="1">_xlfn.IFS(         TabTRADER[[#This Row],[Traps]]=MDown,TabTRADER[[#This Row],[L_Bn]]*TabTRADER[[#This Row],[M]]*(-(TabTRADER[[#This Row],[L_Bp]]+TabTRADER[[#This Row],[M]])/TabTRADER[[#This Row],[M]])*(1-Commission)*TabTRADER[[#This Row],[Scale]],                               TRUE,"")</f>
        <v/>
      </c>
      <c r="AQ72" s="1290" t="str" cm="1">
        <f t="array" aca="1" ref="AQ72" ca="1">_xlfn.IFS(   TabTRADER[[#This Row],[Traps]]=MUp,TabTRADER[[#This Row],[TakeGain_A]]-Commission,        TabTRADER[[#This Row],[Traps]]=MDown,(TabTRADER[[#This Row],[A]]-TabTRADER[[#This Row],[M]])/TabTRADER[[#This Row],[M]]-Commission,                              TRUE,"")</f>
        <v/>
      </c>
      <c r="AR72" s="774" cm="1">
        <f t="array" aca="1" ref="AR7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2" s="774" t="str" cm="1">
        <f t="array" aca="1" ref="AS7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0.1%</v>
      </c>
      <c r="AT72" s="748" t="str" cm="1">
        <f t="array" aca="1" ref="AT7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0x4.1</v>
      </c>
      <c r="AU72" s="779" t="str" cm="1">
        <f t="array" aca="1" ref="AU72" ca="1">_xlfn.IFS(TabTRADER[[#This Row],[Traps]]=ReSaleGain,"",         TabTRADER[[#This Row],[Traps]]=MDown, (TabTRADER[[#This Row],[M]]-TabTRADER[[#This Row],[A]])/TabTRADER[[#This Row],[A]]*ComFactor,             TRUE, IFERROR((TabTRADER[[#This Row],[M]]-TabTRADER[[#This Row],[A]])/TabTRADER[[#This Row],[A]]*ComFactor,""))</f>
        <v/>
      </c>
      <c r="AV72" s="776" cm="1">
        <f t="array" aca="1" ref="AV72" ca="1">_xlfn.IFS(               TabTRADER[[#This Row],[Traps]]=NoStock,(TabTRADER[[#This Row],[L_Sp]]-TabTRADER[[#This Row],[M]])/TabTRADER[[#This Row],[M]]-Commission,             TabTRADER[[#This Row],[A]]&lt;&gt;0,(TabTRADER[[#This Row],[A]]-TabTRADER[[#This Row],[M]])/TabTRADER[[#This Row],[M]]-Commission)</f>
        <v>-0.26620975609756092</v>
      </c>
      <c r="AW72" s="326">
        <f ca="1">_xlfn.XLOOKUP(TabTRADER[[#This Row],[ClickTick]],TabCalc[Ticker],TabCalc[L_Sn])</f>
        <v>100000</v>
      </c>
      <c r="AX72" s="740">
        <f ca="1">_xlfn.XLOOKUP(TabTRADER[[#This Row],[ClickTick]],TabCalc[Ticker],TabCalc[L_Sp])</f>
        <v>301.92</v>
      </c>
      <c r="AY72" s="778">
        <f ca="1">-IFERROR((TabTRADER[[#This Row],[M]]-TabTRADER[[#This Row],[L_Sp]])/TabTRADER[[#This Row],[L_Sp]],0)</f>
        <v>-0.35797562268150496</v>
      </c>
      <c r="AZ72" s="741">
        <f ca="1">TabTRADER[[#This Row],[L_Sn]]*(TabTRADER[[#This Row],[M]]-TabTRADER[[#This Row],[L_Sp]])*(1-Commission)*TabTRADER[[#This Row],[Scale]]</f>
        <v>107798.99199999997</v>
      </c>
      <c r="BA72" s="701">
        <f ca="1">TabTRADER[[#This Row],[L_Sn]]*(TabTRADER[[#This Row],[Agiotage]]-TabTRADER[[#This Row],[M]])/(TabTRADER[[#This Row],[L_Bn]]*TabTRADER[[#This Row],[M]])</f>
        <v>-3.9881696549057377</v>
      </c>
      <c r="BB72" s="641">
        <f ca="1">IFERROR((TabTRADER[[#This Row],[M]]-TabTRADER[[#This Row],[A]])/TabTRADER[[#This Row],[A]],0)</f>
        <v>0</v>
      </c>
      <c r="BC72" s="644" t="str">
        <f ca="1">TEXT(_xlfn.XLOOKUP(TabTRADER[[#This Row],[ClickTick]],TabCalc[Ticker],TabCalc[NAfter]),"#,#0")&amp;" : "&amp;TEXT(_xlfn.XLOOKUP(TabTRADER[[#This Row],[ClickTick]],TabCalc[Ticker],TabCalc[NAfter])*(TabTRADER[[#This Row],[M]]-TabTRADER[[#This Row],[A]])*(1-Commission)*TabTRADER[[#This Row],[Scale]],"#,#0$")</f>
        <v>0 : 0$</v>
      </c>
      <c r="BD72" s="693">
        <f ca="1">_xlfn.XLOOKUP(TabTRADER[[#This Row],[ClickTick]],TabCalc[[#This Row],[Ticker]],TabCalc[[#This Row],[GL]])*(1-Commission)</f>
        <v>177053.46099999998</v>
      </c>
      <c r="BE72" s="693"/>
      <c r="BF72" s="675" t="str">
        <f ca="1">TabTRADER[[#This Row],[ClickTick]]&amp;": "&amp;_xlfn.XLOOKUP(TabTRADER[[#This Row],[ClickTick]],TabCalc[Ticker],TabCalc[Pile?])</f>
        <v>SAFIAG: Pile</v>
      </c>
      <c r="BG72" s="353" t="s">
        <v>2048</v>
      </c>
      <c r="BH72" s="769" t="str" cm="1">
        <f t="array" aca="1" ref="BH72" ca="1">_xlfn.TEXTJOIN("",,INDEX({"M","A","Y"}, _xlfn.SORTBY({1,2,3}, -CHOOSE({1,2,3}, TabTRADER[[#This Row],[M]], TabTRADER[[#This Row],[A]], TabTRADER[[#This Row],[Agiotage]]))))</f>
        <v>MYA</v>
      </c>
      <c r="BI72" s="976" t="str" cm="1">
        <f t="array" aca="1" ref="BI7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2" s="688" t="e">
        <f ca="1">TabTRADER[[#This Row],[L_Sn]]*TabTRADER[[#This Row],[L_Sp]]+TabTRADER[[#This Row],[SellMore]]*TabTRADER[[#This Row],[M]]</f>
        <v>#N/A</v>
      </c>
      <c r="BK72" s="688" t="e">
        <f ca="1">INDEX(
  INDEX(TabConsolid[], , _xlfn.XMATCH(TabTRADER[[#This Row],[ClickTick]]&amp;1, TabConsolid[#Headers])),
  MATCH(
    -TabTRADER[[#This Row],[M]],
    INDEX(TabConsolid[], , _xlfn.XMATCH(TabTRADER[[#This Row],[ClickTick]]&amp;2, TabConsolid[#Headers])),
    -1
  )
)</f>
        <v>#N/A</v>
      </c>
      <c r="BL72" s="688" cm="1">
        <f t="array" aca="1" ref="BL7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2" s="1260" t="e">
        <f ca="1">TabTRADER[[#This Row],[ReBuy]]/(TabTRADER[[#This Row],[L_Sn]]+TabTRADER[[#This Row],[SellMore]])</f>
        <v>#N/A</v>
      </c>
      <c r="BN72" s="696" t="e">
        <f ca="1">((_xlfn.XLOOKUP(TabTRADER[[#This Row],[ClickTick]],TabCalc[Ticker],TabCalc[NAfter])+TabTRADER[[#This Row],[L_Sn]])*(TabTRADER[[#This Row],[Agiotage]]-TabTRADER[[#This Row],[M]]))/(TabTRADER[[#This Row],[L_Sn]]*_xlfn.XLOOKUP(TabTRADER[[#This Row],[ClickTick]],TabCalc[Ticker],TabCalc[NAfter]))</f>
        <v>#DIV/0!</v>
      </c>
      <c r="BO72" s="696">
        <f ca="1">(TabTRADER[[#This Row],[M]]-TabTRADER[[#This Row],[Agiotage]])/(TabTRADER[[#This Row],[M]]-TabTRADER[[#This Row],[A]])-1</f>
        <v>-2.9575862735655711E-3</v>
      </c>
      <c r="BP72" s="1388">
        <f ca="1">_xlfn.XMATCH(TabTRADER[[#This Row],[ClickTick]]&amp;1, TabConsolid[#Headers])</f>
        <v>212</v>
      </c>
      <c r="BQ72" t="b">
        <f ca="1">IF(ABS(TabTRADER[[#This Row],[L_Bp]])&gt;=TabTRADER[[#This Row],[M]],"OK")</f>
        <v>0</v>
      </c>
    </row>
    <row r="73" spans="1:69" hidden="1">
      <c r="A73" s="225">
        <f ca="1">IF(_xlfn.XLOOKUP(TabTRADER[[#This Row],[ClickTick]],TabCalc[Ticker],TabCalc[Cur])="GBp",0.01,1)</f>
        <v>1</v>
      </c>
      <c r="B7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-38.81x3000=    -36,218 USD</v>
      </c>
      <c r="C73"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-45.1%</v>
      </c>
      <c r="D73" s="697" t="str" cm="1">
        <f t="array" aca="1" ref="D7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3"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3" s="228" t="str">
        <f ca="1">TRUNC(TabCalc[[#This Row],[L_B1p]],2)&amp;"x"&amp;TabCalc[[#This Row],[L_B1n]]&amp;"=   "&amp;TEXT(TabCalc[[#This Row],[ReverseS1]],"#,#0")&amp;"$"</f>
        <v>-72.54x1000=   -45,802$</v>
      </c>
      <c r="G73" s="227" t="str">
        <f ca="1">IFERROR(TRUNC(_xlfn.XLOOKUP(TabTRADER[[#This Row],[ClickTick]],TabCalc[Ticker],ListLastSalep),2)&amp;"x"&amp;_xlfn.XLOOKUP(TabTRADER[[#This Row],[ClickTick]],TabCalc[Ticker],ListLastSalen)&amp;"=   "&amp;TEXT(-_xlfn.XLOOKUP(TabTRADER[[#This Row],[ClickTick]],TabCalc[Ticker],ListReverseB),"#,#0")&amp;"$","")</f>
        <v>124.1x200=   -19,472$</v>
      </c>
      <c r="H7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364.1% = 51</v>
      </c>
      <c r="I73" s="228" t="str">
        <f ca="1">IFERROR(TRUNC(TabCalc[[#This Row],[L_S1p]],2)&amp;"x"&amp;TabCalc[[#This Row],[L_S1n]]&amp;"=   "&amp;TEXT(TabCalc[[#This Row],[ReverseB1]],"#,#0"),"")</f>
        <v>126.78x299=   29,912</v>
      </c>
      <c r="J73" s="297">
        <f ca="1">_xlfn.XLOOKUP(TabTRADER[[#This Row],[ClickTick]],TabCalc[Ticker],ListGravity)</f>
        <v>1.6566940912490651</v>
      </c>
      <c r="K73" s="324" cm="1">
        <f t="array" aca="1" ref="K73" ca="1">IF(_xlfn.XLOOKUP(TabTRADER[[#This Row],[ClickTick]],TabTRADER[ClickTick],ListExtra_n)&gt;0,_xlfn.XLOOKUP(TabTRADER[[#This Row],[ClickTick]],TabTRADER[ClickTick],ListExtra_n),"")</f>
        <v>4500</v>
      </c>
      <c r="L73" s="322">
        <f ca="1">IF(_xlfn.XLOOKUP(TabTRADER[[#This Row],[ClickTick]],TabCalc[Ticker],ListExtra_n)&gt;0,_xlfn.XLOOKUP(TabTRADER[[#This Row],[ClickTick]],TabCalc[Ticker],ListExtra_n)*TabTRADER[[#This Row],[M]]*_xlfn.XLOOKUP(TabTRADER[[#This Row],[ClickTick]],TabCalc[Ticker],ListScale),"")</f>
        <v>120330</v>
      </c>
      <c r="M73" s="325">
        <f ca="1">_xlfn.XLOOKUP(TabTRADER[[#This Row],[ClickTick]],TabCalc[Ticker],TabCalc[Agiotage])</f>
        <v>0.66029390577287095</v>
      </c>
      <c r="N73" s="326" cm="1">
        <f t="array" aca="1" ref="N73" ca="1">_xlfn.XLOOKUP(TabTRADER[[#This Row],[ClickTick]],ListTickers,Tab2RSIConventional[RSIConv20])</f>
        <v>45</v>
      </c>
      <c r="O73" s="712" t="str">
        <f ca="1">TEXT(_xlfn.XLOOKUP(TabTRADER[[#This Row],[ClickTick]],TabCalc[Ticker],TabCalc[Nbegin]),"#,#0")&amp;": "&amp;_xlfn.XLOOKUP(TabTRADER[[#This Row],[ClickTick]],TabCalc[Ticker],TabCalc[Pile?])</f>
        <v>500: Pile</v>
      </c>
      <c r="P73" s="746">
        <f ca="1">_xlfn.XLOOKUP(TabTRADER[[#This Row],[ClickTick]],TabCalc[Ticker],TabCalc[L_Bn])</f>
        <v>3000</v>
      </c>
      <c r="Q73" s="740">
        <f ca="1">_xlfn.XLOOKUP(TabTRADER[[#This Row],[ClickTick]],TabCalc[Ticker],TabCalc[L_Bp])</f>
        <v>-38.812600000000003</v>
      </c>
      <c r="R73" s="778">
        <f ca="1">(TabTRADER[[#This Row],[M]]+TabTRADER[[#This Row],[L_Bp]])/ABS(TabTRADER[[#This Row],[L_Bp]])</f>
        <v>-0.31104847394918156</v>
      </c>
      <c r="S73" s="692">
        <f ca="1">_xlfn.XLOOKUP(TabTRADER[[#This Row],[ClickTick]],TabCalc[Ticker],TabCalc[Rev(MinStock)])*(1-Commission)</f>
        <v>-36123.633720000013</v>
      </c>
      <c r="T73" s="798">
        <f ca="1">_xlfn.XLOOKUP(TabTRADER[[#This Row],[ClickTick]],TabCalc[Ticker],TabCalc[Agiotage])</f>
        <v>0.66029390577287095</v>
      </c>
      <c r="U73" s="759" t="str" cm="1">
        <f t="array" aca="1" ref="U7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1,100/1,100=&gt;1.9% / 1.9%</v>
      </c>
      <c r="V73" s="751" t="str">
        <f ca="1">_xlfn.XLOOKUP(TabTRADER[[#This Row],[ClickTick]],[1]!RTData[Ticker symbol],[1]!RTData[Currency])</f>
        <v>USD</v>
      </c>
      <c r="W73" s="761">
        <f ca="1">_xlfn.XLOOKUP(TabTRADER[[#This Row],[ClickTick]],TabCalc[Ticker],TabCalc[M])</f>
        <v>26.74</v>
      </c>
      <c r="X73" s="762" t="str">
        <f ca="1">SORTING!B73</f>
        <v>SAFMRNA</v>
      </c>
      <c r="Y73" s="819">
        <f ca="1">_xlfn.XLOOKUP(TabTRADER[[#This Row],[ClickTick]],TabCalc[Ticker],TabCalc[Y])</f>
        <v>44.3</v>
      </c>
      <c r="Z73" s="835">
        <f ca="1">_xlfn.XLOOKUP(TabTRADER[[#This Row],[ClickTick]],[1]!RTData[Ticker symbol],[1]!RTData[YTChange])</f>
        <v>-0.5562456175498347</v>
      </c>
      <c r="AA73" s="851">
        <f ca="1">-_xlfn.XLOOKUP(TabTRADER[[#This Row],[ClickTick]]&amp;2,Consolid!B$3:JZ$3,Consolid!B$4:JZ$4)</f>
        <v>61.734115100000004</v>
      </c>
      <c r="AB73" s="835" cm="1">
        <f t="array" aca="1" ref="AB73" ca="1">_xlfn.XLOOKUP(TabTRADER[[#This Row],[ClickTick]],ListTickers,Tab1ChangePercent[Change%19])</f>
        <v>1.8667E-2</v>
      </c>
      <c r="AC73" s="782">
        <f ca="1">_xlfn.XLOOKUP(TabTRADER[[#This Row],[ClickTick]],TabCalc[Ticker],TabCalc[NAfter])</f>
        <v>5000</v>
      </c>
      <c r="AD7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-165/134 K$</v>
      </c>
      <c r="AE73" s="1299" t="str" cm="1">
        <f t="array" aca="1" ref="AE7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73" s="1281" t="str" cm="1">
        <f t="array" aca="1" ref="AF73" ca="1">_xlfn.IFS(       TabTRADER[[#This Row],[Traps]]=RePurchaseGain,TEXT(TabTRADER[[#This Row],[L_Sn]],"#,#0")&amp;" x "&amp;TEXT(TabTRADER[[#This Row],[L_Sp]],"#,#0.#0"),     TabTRADER[[#This Row],[Traps]]=ReSaleGain,TEXT(TabTRADER[[#This Row],[L_Bn]],"#0,#0")&amp;" x "&amp;TEXT(TabTRADER[[#This Row],[L_Bp]],"#,#0.#0"),               TRUE,"")</f>
        <v/>
      </c>
      <c r="AG73" s="1281" t="str" cm="1">
        <f t="array" aca="1" ref="AG7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3,000 x -38.81</v>
      </c>
      <c r="AH73" s="1281" cm="1">
        <f t="array" aca="1" ref="AH7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36123.633720000013</v>
      </c>
      <c r="AI73" s="1281" cm="1">
        <f t="array" aca="1" ref="AI7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133700</v>
      </c>
      <c r="AJ73" s="1290" cm="1">
        <f t="array" aca="1" ref="AJ7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0.56685213748208407</v>
      </c>
      <c r="AK73" s="1290" cm="1">
        <f t="array" aca="1" ref="AK7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0.44888092744951408</v>
      </c>
      <c r="AL73" s="843" t="str" cm="1">
        <f t="array" aca="1" ref="AL73" ca="1">_xlfn.IFS(   TabTRADER[[#This Row],[Traps]]=SellMorePercentGain,                     MIN(TabTRADER[[#This Row],[L_Sn]],TabTRADER[[#This Row],[N]])*(TabTRADER[[#This Row],[M]]-TabTRADER[[#This Row],[L_Sp]])*(1-Commission)*TabTRADER[[#This Row],[Scale]],                    TRUE,"")</f>
        <v/>
      </c>
      <c r="AM73" s="1039">
        <f ca="1">_xlfn.XLOOKUP(TabTRADER[[#This Row],[ClickTick]],TabCalc[Ticker],TabCalc[Ann%RevLB])</f>
        <v>-0.40425072426608433</v>
      </c>
      <c r="AN73" s="1038">
        <f ca="1">_xlfn.XLOOKUP(TabTRADER[[#This Row],[ClickTick]],TabCalc[Ticker],TabCalc[Up20])</f>
        <v>0.42857142857142855</v>
      </c>
      <c r="AO73" s="1291" cm="1">
        <f t="array" aca="1" ref="AO7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0.45148092744951407</v>
      </c>
      <c r="AP73" s="843" cm="1">
        <f t="array" aca="1" ref="AP73" ca="1">_xlfn.IFS(         TabTRADER[[#This Row],[Traps]]=MDown,TabTRADER[[#This Row],[L_Bn]]*TabTRADER[[#This Row],[M]]*(-(TabTRADER[[#This Row],[L_Bp]]+TabTRADER[[#This Row],[M]])/TabTRADER[[#This Row],[M]])*(1-Commission)*TabTRADER[[#This Row],[Scale]],                               TRUE,"")</f>
        <v>36123.633720000013</v>
      </c>
      <c r="AQ73" s="1290" cm="1">
        <f t="array" aca="1" ref="AQ73" ca="1">_xlfn.IFS(   TabTRADER[[#This Row],[Traps]]=MUp,TabTRADER[[#This Row],[TakeGain_A]]-Commission,        TabTRADER[[#This Row],[Traps]]=MDown,(TabTRADER[[#This Row],[A]]-TabTRADER[[#This Row],[M]])/TabTRADER[[#This Row],[M]]-Commission,                              TRUE,"")</f>
        <v>1.3060804450261783</v>
      </c>
      <c r="AR73" s="774" cm="1">
        <f t="array" aca="1" ref="AR7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174515.6520037</v>
      </c>
      <c r="AS73" s="774" t="str" cm="1">
        <f t="array" aca="1" ref="AS7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-0.8%</v>
      </c>
      <c r="AT73" s="748" cm="1">
        <f t="array" aca="1" ref="AT7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-12.07</v>
      </c>
      <c r="AU73" s="779" cm="1">
        <f t="array" aca="1" ref="AU73" ca="1">_xlfn.IFS(TabTRADER[[#This Row],[Traps]]=ReSaleGain,"",         TabTRADER[[#This Row],[Traps]]=MDown, (TabTRADER[[#This Row],[M]]-TabTRADER[[#This Row],[A]])/TabTRADER[[#This Row],[A]]*ComFactor,             TRUE, IFERROR((TabTRADER[[#This Row],[M]]-TabTRADER[[#This Row],[A]])/TabTRADER[[#This Row],[A]]*ComFactor,""))</f>
        <v>-0.56537832192463067</v>
      </c>
      <c r="AV73" s="776" cm="1">
        <f t="array" aca="1" ref="AV73" ca="1">_xlfn.IFS(               TabTRADER[[#This Row],[Traps]]=NoStock,(TabTRADER[[#This Row],[L_Sp]]-TabTRADER[[#This Row],[M]])/TabTRADER[[#This Row],[M]]-Commission,             TabTRADER[[#This Row],[A]]&lt;&gt;0,(TabTRADER[[#This Row],[A]]-TabTRADER[[#This Row],[M]])/TabTRADER[[#This Row],[M]]-Commission)</f>
        <v>1.3060804450261783</v>
      </c>
      <c r="AW73" s="326">
        <f ca="1">_xlfn.XLOOKUP(TabTRADER[[#This Row],[ClickTick]],TabCalc[Ticker],TabCalc[L_Sn])</f>
        <v>200</v>
      </c>
      <c r="AX73" s="740">
        <f ca="1">_xlfn.XLOOKUP(TabTRADER[[#This Row],[ClickTick]],TabCalc[Ticker],TabCalc[L_Sp])</f>
        <v>124.1</v>
      </c>
      <c r="AY73" s="778">
        <f ca="1">-IFERROR((TabTRADER[[#This Row],[M]]-TabTRADER[[#This Row],[L_Sp]])/TabTRADER[[#This Row],[L_Sp]],0)</f>
        <v>0.78452860596293317</v>
      </c>
      <c r="AZ73" s="741">
        <f ca="1">TabTRADER[[#This Row],[L_Sn]]*(TabTRADER[[#This Row],[M]]-TabTRADER[[#This Row],[L_Sp]])*(1-Commission)*TabTRADER[[#This Row],[Scale]]</f>
        <v>-19421.372799999997</v>
      </c>
      <c r="BA73" s="701">
        <f ca="1">TabTRADER[[#This Row],[L_Sn]]*(TabTRADER[[#This Row],[Agiotage]]-TabTRADER[[#This Row],[M]])/(TabTRADER[[#This Row],[L_Bn]]*TabTRADER[[#This Row],[M]])</f>
        <v>-6.5020458973390996E-2</v>
      </c>
      <c r="BB73" s="641">
        <f ca="1">IFERROR((TabTRADER[[#This Row],[M]]-TabTRADER[[#This Row],[A]])/TabTRADER[[#This Row],[A]],0)</f>
        <v>-0.56685213748208407</v>
      </c>
      <c r="BC73" s="644" t="str">
        <f ca="1">TEXT(_xlfn.XLOOKUP(TabTRADER[[#This Row],[ClickTick]],TabCalc[Ticker],TabCalc[NAfter]),"#,#0")&amp;" : "&amp;TEXT(_xlfn.XLOOKUP(TabTRADER[[#This Row],[ClickTick]],TabCalc[Ticker],TabCalc[NAfter])*(TabTRADER[[#This Row],[M]]-TabTRADER[[#This Row],[A]])*(1-Commission)*TabTRADER[[#This Row],[Scale]],"#,#0$")</f>
        <v>5,000 : -174,516$</v>
      </c>
      <c r="BD73" s="693">
        <f ca="1">_xlfn.XLOOKUP(TabTRADER[[#This Row],[ClickTick]],TabCalc[[#This Row],[Ticker]],TabCalc[[#This Row],[GL]])*(1-Commission)</f>
        <v>-164288.73181039997</v>
      </c>
      <c r="BE73" s="693"/>
      <c r="BF73" s="675" t="str">
        <f ca="1">TabTRADER[[#This Row],[ClickTick]]&amp;": "&amp;_xlfn.XLOOKUP(TabTRADER[[#This Row],[ClickTick]],TabCalc[Ticker],TabCalc[Pile?])</f>
        <v>SAFMRNA: Pile</v>
      </c>
      <c r="BG73" s="353" t="s">
        <v>2049</v>
      </c>
      <c r="BH73" s="769" t="str" cm="1">
        <f t="array" aca="1" ref="BH73" ca="1">_xlfn.TEXTJOIN("",,INDEX({"M","A","Y"}, _xlfn.SORTBY({1,2,3}, -CHOOSE({1,2,3}, TabTRADER[[#This Row],[M]], TabTRADER[[#This Row],[A]], TabTRADER[[#This Row],[Agiotage]]))))</f>
        <v>AMY</v>
      </c>
      <c r="BI73" s="976" cm="1">
        <f t="array" aca="1" ref="BI7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0.45148092744951407</v>
      </c>
      <c r="BJ73" s="688" t="e">
        <f ca="1">TabTRADER[[#This Row],[L_Sn]]*TabTRADER[[#This Row],[L_Sp]]+TabTRADER[[#This Row],[SellMore]]*TabTRADER[[#This Row],[M]]</f>
        <v>#N/A</v>
      </c>
      <c r="BK73" s="688" t="e">
        <f ca="1">INDEX(
  INDEX(TabConsolid[], , _xlfn.XMATCH(TabTRADER[[#This Row],[ClickTick]]&amp;1, TabConsolid[#Headers])),
  MATCH(
    -TabTRADER[[#This Row],[M]],
    INDEX(TabConsolid[], , _xlfn.XMATCH(TabTRADER[[#This Row],[ClickTick]]&amp;2, TabConsolid[#Headers])),
    -1
  )
)</f>
        <v>#N/A</v>
      </c>
      <c r="BL73" s="688" cm="1">
        <f t="array" aca="1" ref="BL7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73" s="1260" t="e">
        <f ca="1">TabTRADER[[#This Row],[ReBuy]]/(TabTRADER[[#This Row],[L_Sn]]+TabTRADER[[#This Row],[SellMore]])</f>
        <v>#N/A</v>
      </c>
      <c r="BN73" s="696">
        <f ca="1">((_xlfn.XLOOKUP(TabTRADER[[#This Row],[ClickTick]],TabCalc[Ticker],TabCalc[NAfter])+TabTRADER[[#This Row],[L_Sn]])*(TabTRADER[[#This Row],[Agiotage]]-TabTRADER[[#This Row],[M]]))/(TabTRADER[[#This Row],[L_Sn]]*_xlfn.XLOOKUP(TabTRADER[[#This Row],[ClickTick]],TabCalc[Ticker],TabCalc[NAfter]))</f>
        <v>-0.13561447168998106</v>
      </c>
      <c r="BO73" s="696">
        <f ca="1">(TabTRADER[[#This Row],[M]]-TabTRADER[[#This Row],[Agiotage]])/(TabTRADER[[#This Row],[M]]-TabTRADER[[#This Row],[A]])-1</f>
        <v>-1.7452597678124206</v>
      </c>
      <c r="BP73" s="1388">
        <f ca="1">_xlfn.XMATCH(TabTRADER[[#This Row],[ClickTick]]&amp;1, TabConsolid[#Headers])</f>
        <v>215</v>
      </c>
      <c r="BQ73" t="str">
        <f ca="1">IF(ABS(TabTRADER[[#This Row],[L_Bp]])&gt;=TabTRADER[[#This Row],[M]],"OK")</f>
        <v>OK</v>
      </c>
    </row>
    <row r="74" spans="1:69" hidden="1">
      <c r="A74" s="225">
        <f ca="1">IF(_xlfn.XLOOKUP(TabTRADER[[#This Row],[ClickTick]],TabCalc[Ticker],TabCalc[Cur])="GBp",0.01,1)</f>
        <v>1</v>
      </c>
      <c r="B7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-1.01x40000=    +36,720 USD</v>
      </c>
      <c r="C74"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47.6%</v>
      </c>
      <c r="D74" s="697" t="str" cm="1">
        <f t="array" aca="1" ref="D7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4" s="228" t="str">
        <f ca="1">TRUNC(TabCalc[[#This Row],[L_B1p]],2)&amp;"x"&amp;TabCalc[[#This Row],[L_B1n]]&amp;"=   "&amp;TEXT(TabCalc[[#This Row],[ReverseS1]],"#,#0")&amp;"$"</f>
        <v>-1.94x20000=   -200$</v>
      </c>
      <c r="G74" s="227" t="str">
        <f ca="1">IFERROR(TRUNC(_xlfn.XLOOKUP(TabTRADER[[#This Row],[ClickTick]],TabCalc[Ticker],ListLastSalep),2)&amp;"x"&amp;_xlfn.XLOOKUP(TabTRADER[[#This Row],[ClickTick]],TabCalc[Ticker],ListLastSalen)&amp;"=   "&amp;TEXT(-_xlfn.XLOOKUP(TabTRADER[[#This Row],[ClickTick]],TabCalc[Ticker],ListReverseB),"#,#0")&amp;"$","")</f>
        <v>1.91x12000=   240$</v>
      </c>
      <c r="H7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 = 0</v>
      </c>
      <c r="I74" s="228" t="str">
        <f ca="1">IFERROR(TRUNC(TabCalc[[#This Row],[L_S1p]],2)&amp;"x"&amp;TabCalc[[#This Row],[L_S1n]]&amp;"=   "&amp;TEXT(TabCalc[[#This Row],[ReverseB1]],"#,#0"),"")</f>
        <v>1.52x28000=   -11,480</v>
      </c>
      <c r="J74" s="297">
        <f ca="1">_xlfn.XLOOKUP(TabTRADER[[#This Row],[ClickTick]],TabCalc[Ticker],ListGravity)</f>
        <v>1.2435233160621761</v>
      </c>
      <c r="K74" s="324" cm="1">
        <f t="array" aca="1" ref="K74" ca="1">IF(_xlfn.XLOOKUP(TabTRADER[[#This Row],[ClickTick]],TabTRADER[ClickTick],ListExtra_n)&gt;0,_xlfn.XLOOKUP(TabTRADER[[#This Row],[ClickTick]],TabTRADER[ClickTick],ListExtra_n),"")</f>
        <v>90000</v>
      </c>
      <c r="L74" s="322">
        <f ca="1">IF(_xlfn.XLOOKUP(TabTRADER[[#This Row],[ClickTick]],TabCalc[Ticker],ListExtra_n)&gt;0,_xlfn.XLOOKUP(TabTRADER[[#This Row],[ClickTick]],TabCalc[Ticker],ListExtra_n)*TabTRADER[[#This Row],[M]]*_xlfn.XLOOKUP(TabTRADER[[#This Row],[ClickTick]],TabCalc[Ticker],ListScale),"")</f>
        <v>173700</v>
      </c>
      <c r="M74" s="325">
        <f ca="1">_xlfn.XLOOKUP(TabTRADER[[#This Row],[ClickTick]],TabCalc[Ticker],TabCalc[Agiotage])</f>
        <v>0.67847351121032862</v>
      </c>
      <c r="N74" s="326" cm="1">
        <f t="array" aca="1" ref="N74" ca="1">_xlfn.XLOOKUP(TabTRADER[[#This Row],[ClickTick]],ListTickers,Tab2RSIConventional[RSIConv20])</f>
        <v>39</v>
      </c>
      <c r="O74" s="712" t="str">
        <f ca="1">TEXT(_xlfn.XLOOKUP(TabTRADER[[#This Row],[ClickTick]],TabCalc[Ticker],TabCalc[Nbegin]),"#,#0")&amp;": "&amp;_xlfn.XLOOKUP(TabTRADER[[#This Row],[ClickTick]],TabCalc[Ticker],TabCalc[Pile?])</f>
        <v>30,000: Pile</v>
      </c>
      <c r="P74" s="746">
        <f ca="1">_xlfn.XLOOKUP(TabTRADER[[#This Row],[ClickTick]],TabCalc[Ticker],TabCalc[L_Bn])</f>
        <v>40000</v>
      </c>
      <c r="Q74" s="740">
        <f ca="1">_xlfn.XLOOKUP(TabTRADER[[#This Row],[ClickTick]],TabCalc[Ticker],TabCalc[L_Bp])</f>
        <v>-1.012</v>
      </c>
      <c r="R74" s="778">
        <f ca="1">(TabTRADER[[#This Row],[M]]+TabTRADER[[#This Row],[L_Bp]])/ABS(TabTRADER[[#This Row],[L_Bp]])</f>
        <v>0.90711462450592872</v>
      </c>
      <c r="S74" s="692">
        <f ca="1">_xlfn.XLOOKUP(TabTRADER[[#This Row],[ClickTick]],TabCalc[Ticker],TabCalc[Rev(MinStock)])*(1-Commission)</f>
        <v>36624.527999999998</v>
      </c>
      <c r="T74" s="798">
        <f ca="1">_xlfn.XLOOKUP(TabTRADER[[#This Row],[ClickTick]],TabCalc[Ticker],TabCalc[Agiotage])</f>
        <v>0.67847351121032862</v>
      </c>
      <c r="U74" s="759" t="str" cm="1">
        <f t="array" aca="1" ref="U7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12,000/12,000=&gt;7.8% / 7.8%</v>
      </c>
      <c r="V74" s="751" t="str">
        <f ca="1">_xlfn.XLOOKUP(TabTRADER[[#This Row],[ClickTick]],[1]!RTData[Ticker symbol],[1]!RTData[Currency])</f>
        <v>USD</v>
      </c>
      <c r="W74" s="761">
        <f ca="1">_xlfn.XLOOKUP(TabTRADER[[#This Row],[ClickTick]],TabCalc[Ticker],TabCalc[M])</f>
        <v>1.93</v>
      </c>
      <c r="X74" s="762" t="str">
        <f ca="1">SORTING!B74</f>
        <v>BLNK</v>
      </c>
      <c r="Y74" s="819">
        <f ca="1">_xlfn.XLOOKUP(TabTRADER[[#This Row],[ClickTick]],TabCalc[Ticker],TabCalc[Y])</f>
        <v>2.4</v>
      </c>
      <c r="Z74" s="835">
        <f ca="1">_xlfn.XLOOKUP(TabTRADER[[#This Row],[ClickTick]],[1]!RTData[Ticker symbol],[1]!RTData[YTChange])</f>
        <v>6.6666666666666624E-2</v>
      </c>
      <c r="AA74" s="851">
        <f ca="1">-_xlfn.XLOOKUP(TabTRADER[[#This Row],[ClickTick]]&amp;2,Consolid!B$3:JZ$3,Consolid!B$4:JZ$4)</f>
        <v>2.1967833333333333</v>
      </c>
      <c r="AB74" s="835" cm="1">
        <f t="array" aca="1" ref="AB74" ca="1">_xlfn.XLOOKUP(TabTRADER[[#This Row],[ClickTick]],ListTickers,Tab1ChangePercent[Change%19])</f>
        <v>7.8212000000000004E-2</v>
      </c>
      <c r="AC74" s="782">
        <f ca="1">_xlfn.XLOOKUP(TabTRADER[[#This Row],[ClickTick]],TabCalc[Ticker],TabCalc[NAfter])</f>
        <v>120000</v>
      </c>
      <c r="AD7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-212/232 K$</v>
      </c>
      <c r="AE74" s="1299" t="str" cm="1">
        <f t="array" aca="1" ref="AE7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74" s="1281" t="str" cm="1">
        <f t="array" aca="1" ref="AF74" ca="1">_xlfn.IFS(       TabTRADER[[#This Row],[Traps]]=RePurchaseGain,TEXT(TabTRADER[[#This Row],[L_Sn]],"#,#0")&amp;" x "&amp;TEXT(TabTRADER[[#This Row],[L_Sp]],"#,#0.#0"),     TabTRADER[[#This Row],[Traps]]=ReSaleGain,TEXT(TabTRADER[[#This Row],[L_Bn]],"#0,#0")&amp;" x "&amp;TEXT(TabTRADER[[#This Row],[L_Bp]],"#,#0.#0"),               TRUE,"")</f>
        <v/>
      </c>
      <c r="AG74" s="1281" t="str" cm="1">
        <f t="array" aca="1" ref="AG7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12,000 x 1.91</v>
      </c>
      <c r="AH74" s="1281" cm="1">
        <f t="array" aca="1" ref="AH7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239.3760000000002</v>
      </c>
      <c r="AI74" s="1281" cm="1">
        <f t="array" aca="1" ref="AI7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-31930.763600000002</v>
      </c>
      <c r="AJ74" s="1290" cm="1">
        <f t="array" aca="1" ref="AJ7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-0.12144271548552052</v>
      </c>
      <c r="AK74" s="1290" cm="1">
        <f t="array" aca="1" ref="AK7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7.7626943005181439E-3</v>
      </c>
      <c r="AL74" s="843" cm="1">
        <f t="array" aca="1" ref="AL74" ca="1">_xlfn.IFS(   TabTRADER[[#This Row],[Traps]]=SellMorePercentGain,                     MIN(TabTRADER[[#This Row],[L_Sn]],TabTRADER[[#This Row],[N]])*(TabTRADER[[#This Row],[M]]-TabTRADER[[#This Row],[L_Sp]])*(1-Commission)*TabTRADER[[#This Row],[Scale]],                    TRUE,"")</f>
        <v>239.3760000000002</v>
      </c>
      <c r="AM74" s="1039">
        <f ca="1">_xlfn.XLOOKUP(TabTRADER[[#This Row],[ClickTick]],TabCalc[Ticker],TabCalc[Ann%RevLB])</f>
        <v>2.6767316788699538</v>
      </c>
      <c r="AN74" s="1038">
        <f ca="1">_xlfn.XLOOKUP(TabTRADER[[#This Row],[ClickTick]],TabCalc[Ticker],TabCalc[Up20])</f>
        <v>0.5</v>
      </c>
      <c r="AO74" s="1291" t="str" cm="1">
        <f t="array" aca="1" ref="AO7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4" s="843" t="str" cm="1">
        <f t="array" aca="1" ref="AP74" ca="1">_xlfn.IFS(         TabTRADER[[#This Row],[Traps]]=MDown,TabTRADER[[#This Row],[L_Bn]]*TabTRADER[[#This Row],[M]]*(-(TabTRADER[[#This Row],[L_Bp]]+TabTRADER[[#This Row],[M]])/TabTRADER[[#This Row],[M]])*(1-Commission)*TabTRADER[[#This Row],[Scale]],                               TRUE,"")</f>
        <v/>
      </c>
      <c r="AQ74" s="1290" cm="1">
        <f t="array" aca="1" ref="AQ74" ca="1">_xlfn.IFS(   TabTRADER[[#This Row],[Traps]]=MUp,TabTRADER[[#This Row],[TakeGain_A]]-Commission,        TabTRADER[[#This Row],[Traps]]=MDown,(TabTRADER[[#This Row],[A]]-TabTRADER[[#This Row],[M]])/TabTRADER[[#This Row],[M]]-Commission,                              TRUE,"")</f>
        <v>-0.12404271548552052</v>
      </c>
      <c r="AR74" s="774" cm="1">
        <f t="array" aca="1" ref="AR7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-28053.00496088979</v>
      </c>
      <c r="AS74" s="774" t="str" cm="1">
        <f t="array" aca="1" ref="AS7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0.3%</v>
      </c>
      <c r="AT74" s="748" t="str" cm="1">
        <f t="array" aca="1" ref="AT7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40,000x-0.26</v>
      </c>
      <c r="AU74" s="779" cm="1">
        <f t="array" aca="1" ref="AU74" ca="1">_xlfn.IFS(TabTRADER[[#This Row],[Traps]]=ReSaleGain,"",         TabTRADER[[#This Row],[Traps]]=MDown, (TabTRADER[[#This Row],[M]]-TabTRADER[[#This Row],[A]])/TabTRADER[[#This Row],[A]]*ComFactor,             TRUE, IFERROR((TabTRADER[[#This Row],[M]]-TabTRADER[[#This Row],[A]])/TabTRADER[[#This Row],[A]]*ComFactor,""))</f>
        <v>-0.12112696442525817</v>
      </c>
      <c r="AV74" s="776" cm="1">
        <f t="array" aca="1" ref="AV74" ca="1">_xlfn.IFS(               TabTRADER[[#This Row],[Traps]]=NoStock,(TabTRADER[[#This Row],[L_Sp]]-TabTRADER[[#This Row],[M]])/TabTRADER[[#This Row],[M]]-Commission,             TabTRADER[[#This Row],[A]]&lt;&gt;0,(TabTRADER[[#This Row],[A]]-TabTRADER[[#This Row],[M]])/TabTRADER[[#This Row],[M]]-Commission)</f>
        <v>0.13562970639032818</v>
      </c>
      <c r="AW74" s="326">
        <f ca="1">_xlfn.XLOOKUP(TabTRADER[[#This Row],[ClickTick]],TabCalc[Ticker],TabCalc[L_Sn])</f>
        <v>12000</v>
      </c>
      <c r="AX74" s="740">
        <f ca="1">_xlfn.XLOOKUP(TabTRADER[[#This Row],[ClickTick]],TabCalc[Ticker],TabCalc[L_Sp])</f>
        <v>1.91</v>
      </c>
      <c r="AY74" s="778">
        <f ca="1">-IFERROR((TabTRADER[[#This Row],[M]]-TabTRADER[[#This Row],[L_Sp]])/TabTRADER[[#This Row],[L_Sp]],0)</f>
        <v>-1.0471204188481685E-2</v>
      </c>
      <c r="AZ74" s="741">
        <f ca="1">TabTRADER[[#This Row],[L_Sn]]*(TabTRADER[[#This Row],[M]]-TabTRADER[[#This Row],[L_Sp]])*(1-Commission)*TabTRADER[[#This Row],[Scale]]</f>
        <v>239.3760000000002</v>
      </c>
      <c r="BA74" s="701">
        <f ca="1">TabTRADER[[#This Row],[L_Sn]]*(TabTRADER[[#This Row],[Agiotage]]-TabTRADER[[#This Row],[M]])/(TabTRADER[[#This Row],[L_Bn]]*TabTRADER[[#This Row],[M]])</f>
        <v>-0.19453779618492301</v>
      </c>
      <c r="BB74" s="641">
        <f ca="1">IFERROR((TabTRADER[[#This Row],[M]]-TabTRADER[[#This Row],[A]])/TabTRADER[[#This Row],[A]],0)</f>
        <v>-0.12144271548552052</v>
      </c>
      <c r="BC74" s="644" t="str">
        <f ca="1">TEXT(_xlfn.XLOOKUP(TabTRADER[[#This Row],[ClickTick]],TabCalc[Ticker],TabCalc[NAfter]),"#,#0")&amp;" : "&amp;TEXT(_xlfn.XLOOKUP(TabTRADER[[#This Row],[ClickTick]],TabCalc[Ticker],TabCalc[NAfter])*(TabTRADER[[#This Row],[M]]-TabTRADER[[#This Row],[A]])*(1-Commission)*TabTRADER[[#This Row],[Scale]],"#,#0$")</f>
        <v>120,000 : -31,931$</v>
      </c>
      <c r="BD74" s="693">
        <f ca="1">_xlfn.XLOOKUP(TabTRADER[[#This Row],[ClickTick]],TabCalc[[#This Row],[Ticker]],TabCalc[[#This Row],[GL]])*(1-Commission)</f>
        <v>-211639.19368600001</v>
      </c>
      <c r="BE74" s="693"/>
      <c r="BF74" s="675" t="str">
        <f ca="1">TabTRADER[[#This Row],[ClickTick]]&amp;": "&amp;_xlfn.XLOOKUP(TabTRADER[[#This Row],[ClickTick]],TabCalc[Ticker],TabCalc[Pile?])</f>
        <v>BLNK: Pile</v>
      </c>
      <c r="BG74" s="353" t="s">
        <v>2050</v>
      </c>
      <c r="BH74" s="769" t="str" cm="1">
        <f t="array" aca="1" ref="BH74" ca="1">_xlfn.TEXTJOIN("",,INDEX({"M","A","Y"}, _xlfn.SORTBY({1,2,3}, -CHOOSE({1,2,3}, TabTRADER[[#This Row],[M]], TabTRADER[[#This Row],[A]], TabTRADER[[#This Row],[Agiotage]]))))</f>
        <v>AMY</v>
      </c>
      <c r="BI74" s="976" cm="1">
        <f t="array" aca="1" ref="BI7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1.0362694300518144E-2</v>
      </c>
      <c r="BJ74" s="688" t="e">
        <f ca="1">TabTRADER[[#This Row],[L_Sn]]*TabTRADER[[#This Row],[L_Sp]]+TabTRADER[[#This Row],[SellMore]]*TabTRADER[[#This Row],[M]]</f>
        <v>#N/A</v>
      </c>
      <c r="BK74" s="688" t="e">
        <f ca="1">INDEX(
  INDEX(TabConsolid[], , _xlfn.XMATCH(TabTRADER[[#This Row],[ClickTick]]&amp;1, TabConsolid[#Headers])),
  MATCH(
    -TabTRADER[[#This Row],[M]],
    INDEX(TabConsolid[], , _xlfn.XMATCH(TabTRADER[[#This Row],[ClickTick]]&amp;2, TabConsolid[#Headers])),
    -1
  )
)</f>
        <v>#N/A</v>
      </c>
      <c r="BL74" s="688" cm="1">
        <f t="array" aca="1" ref="BL7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M74" s="1260" t="e">
        <f ca="1">TabTRADER[[#This Row],[ReBuy]]/(TabTRADER[[#This Row],[L_Sn]]+TabTRADER[[#This Row],[SellMore]])</f>
        <v>#N/A</v>
      </c>
      <c r="BN74" s="696">
        <f ca="1">((_xlfn.XLOOKUP(TabTRADER[[#This Row],[ClickTick]],TabCalc[Ticker],TabCalc[NAfter])+TabTRADER[[#This Row],[L_Sn]])*(TabTRADER[[#This Row],[Agiotage]]-TabTRADER[[#This Row],[M]]))/(TabTRADER[[#This Row],[L_Sn]]*_xlfn.XLOOKUP(TabTRADER[[#This Row],[ClickTick]],TabCalc[Ticker],TabCalc[NAfter]))</f>
        <v>-1.1472326147238653E-4</v>
      </c>
      <c r="BO74" s="696">
        <f ca="1">(TabTRADER[[#This Row],[M]]-TabTRADER[[#This Row],[Agiotage]])/(TabTRADER[[#This Row],[M]]-TabTRADER[[#This Row],[A]])-1</f>
        <v>-5.6911719452352267</v>
      </c>
      <c r="BP74" s="1388">
        <f ca="1">_xlfn.XMATCH(TabTRADER[[#This Row],[ClickTick]]&amp;1, TabConsolid[#Headers])</f>
        <v>218</v>
      </c>
      <c r="BQ74" t="b">
        <f ca="1">IF(ABS(TabTRADER[[#This Row],[L_Bp]])&gt;=TabTRADER[[#This Row],[M]],"OK")</f>
        <v>0</v>
      </c>
    </row>
    <row r="75" spans="1:69" hidden="1">
      <c r="A75" s="225">
        <f ca="1">IF(_xlfn.XLOOKUP(TabTRADER[[#This Row],[ClickTick]],TabCalc[Ticker],TabCalc[Cur])="GBp",0.01,1)</f>
        <v>1</v>
      </c>
      <c r="B7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-14.87x10010=    +9,670 EUR</v>
      </c>
      <c r="C75"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6.1%</v>
      </c>
      <c r="D75" s="697" t="str" cm="1">
        <f t="array" aca="1" ref="D7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5,176/22,000=81,967</v>
      </c>
      <c r="E7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5" s="228" t="str">
        <f ca="1">TRUNC(TabCalc[[#This Row],[L_B1p]],2)&amp;"x"&amp;TabCalc[[#This Row],[L_B1n]]&amp;"=   "&amp;TEXT(TabCalc[[#This Row],[ReverseS1]],"#,#0")&amp;"$"</f>
        <v>-14.92x9990=   9,151$</v>
      </c>
      <c r="G75" s="227" t="str">
        <f ca="1">IFERROR(TRUNC(_xlfn.XLOOKUP(TabTRADER[[#This Row],[ClickTick]],TabCalc[Ticker],ListLastSalep),2)&amp;"x"&amp;_xlfn.XLOOKUP(TabTRADER[[#This Row],[ClickTick]],TabCalc[Ticker],ListLastSalen)&amp;"=   "&amp;TEXT(-_xlfn.XLOOKUP(TabTRADER[[#This Row],[ClickTick]],TabCalc[Ticker],ListReverseB),"#,#0")&amp;"$","")</f>
        <v>15.21x2000=   1,252$</v>
      </c>
      <c r="H7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-4.0% = 0</v>
      </c>
      <c r="I75" s="228" t="str">
        <f ca="1">IFERROR(TRUNC(TabCalc[[#This Row],[L_S1p]],2)&amp;"x"&amp;TabCalc[[#This Row],[L_S1n]]&amp;"=   "&amp;TEXT(TabCalc[[#This Row],[ReverseB1]],"#,#0"),"")</f>
        <v>14.82x4000=   -4,064</v>
      </c>
      <c r="J75" s="297">
        <f ca="1">_xlfn.XLOOKUP(TabTRADER[[#This Row],[ClickTick]],TabCalc[Ticker],ListGravity)</f>
        <v>0.96173276079818137</v>
      </c>
      <c r="K75" s="324" cm="1">
        <f t="array" aca="1" ref="K75" ca="1">IF(_xlfn.XLOOKUP(TabTRADER[[#This Row],[ClickTick]],TabTRADER[ClickTick],ListExtra_n)&gt;0,_xlfn.XLOOKUP(TabTRADER[[#This Row],[ClickTick]],TabTRADER[ClickTick],ListExtra_n),"")</f>
        <v>14700</v>
      </c>
      <c r="L75" s="322">
        <f ca="1">IF(_xlfn.XLOOKUP(TabTRADER[[#This Row],[ClickTick]],TabCalc[Ticker],ListExtra_n)&gt;0,_xlfn.XLOOKUP(TabTRADER[[#This Row],[ClickTick]],TabCalc[Ticker],ListExtra_n)*TabTRADER[[#This Row],[M]]*_xlfn.XLOOKUP(TabTRADER[[#This Row],[ClickTick]],TabCalc[Ticker],ListScale),"")</f>
        <v>232789.2</v>
      </c>
      <c r="M75" s="325">
        <f ca="1">_xlfn.XLOOKUP(TabTRADER[[#This Row],[ClickTick]],TabCalc[Ticker],TabCalc[Agiotage])</f>
        <v>1.9476811966291017</v>
      </c>
      <c r="N75" s="326" cm="1">
        <f t="array" aca="1" ref="N75" ca="1">_xlfn.XLOOKUP(TabTRADER[[#This Row],[ClickTick]],ListTickers,Tab2RSIConventional[RSIConv20])</f>
        <v>78</v>
      </c>
      <c r="O75" s="712" t="str">
        <f ca="1">TEXT(_xlfn.XLOOKUP(TabTRADER[[#This Row],[ClickTick]],TabCalc[Ticker],TabCalc[Nbegin]),"#,#0")&amp;": "&amp;_xlfn.XLOOKUP(TabTRADER[[#This Row],[ClickTick]],TabCalc[Ticker],TabCalc[Pile?])</f>
        <v xml:space="preserve">7,300: </v>
      </c>
      <c r="P75" s="326">
        <f ca="1">_xlfn.XLOOKUP(TabTRADER[[#This Row],[ClickTick]],TabCalc[Ticker],TabCalc[L_Bn])</f>
        <v>10010</v>
      </c>
      <c r="Q75" s="690">
        <f ca="1">_xlfn.XLOOKUP(TabTRADER[[#This Row],[ClickTick]],TabCalc[Ticker],TabCalc[L_Bp])</f>
        <v>-14.87</v>
      </c>
      <c r="R75" s="778">
        <f ca="1">(TabTRADER[[#This Row],[M]]+TabTRADER[[#This Row],[L_Bp]])/ABS(TabTRADER[[#This Row],[L_Bp]])</f>
        <v>6.4963012777404239E-2</v>
      </c>
      <c r="S75" s="692">
        <f ca="1">_xlfn.XLOOKUP(TabTRADER[[#This Row],[ClickTick]],TabCalc[Ticker],TabCalc[Rev(MinStock)])*(1-Commission)</f>
        <v>9644.5188840000101</v>
      </c>
      <c r="T75" s="798">
        <f ca="1">_xlfn.XLOOKUP(TabTRADER[[#This Row],[ClickTick]],TabCalc[Ticker],TabCalc[Agiotage])</f>
        <v>1.9476811966291017</v>
      </c>
      <c r="U75" s="759" t="str" cm="1">
        <f t="array" aca="1" ref="U7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132/132=&gt;1.6% / 1.6%</v>
      </c>
      <c r="V75" s="751" t="str">
        <f ca="1">_xlfn.XLOOKUP(TabTRADER[[#This Row],[ClickTick]],[1]!RTData[Ticker symbol],[1]!RTData[Currency])</f>
        <v>EUR</v>
      </c>
      <c r="W75" s="761">
        <f ca="1">_xlfn.XLOOKUP(TabTRADER[[#This Row],[ClickTick]],TabCalc[Ticker],TabCalc[M])</f>
        <v>15.836</v>
      </c>
      <c r="X75" s="762" t="str">
        <f ca="1">SORTING!B75</f>
        <v>ENI</v>
      </c>
      <c r="Y75" s="819">
        <f ca="1">_xlfn.XLOOKUP(TabTRADER[[#This Row],[ClickTick]],TabCalc[Ticker],TabCalc[Y])</f>
        <v>15.23</v>
      </c>
      <c r="Z75" s="835">
        <f ca="1">_xlfn.XLOOKUP(TabTRADER[[#This Row],[ClickTick]],[1]!RTData[Ticker symbol],[1]!RTData[YTChange])</f>
        <v>3.5350101971447966E-2</v>
      </c>
      <c r="AA75" s="851">
        <f ca="1">-_xlfn.XLOOKUP(TabTRADER[[#This Row],[ClickTick]]&amp;2,Consolid!B$3:JZ$3,Consolid!B$4:JZ$4)</f>
        <v>14.811613636363637</v>
      </c>
      <c r="AB75" s="835" cm="1">
        <f t="array" aca="1" ref="AB75" ca="1">_xlfn.XLOOKUP(TabTRADER[[#This Row],[ClickTick]],ListTickers,Tab1ChangePercent[Change%19])</f>
        <v>1.6040000000000002E-2</v>
      </c>
      <c r="AC75" s="782">
        <f ca="1">_xlfn.XLOOKUP(TabTRADER[[#This Row],[ClickTick]],TabCalc[Ticker],TabCalc[NAfter])</f>
        <v>22000</v>
      </c>
      <c r="AD7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^32/348 K$</v>
      </c>
      <c r="AE75" s="1299" t="str" cm="1">
        <f t="array" aca="1" ref="AE7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75" s="1281" t="str" cm="1">
        <f t="array" aca="1" ref="AF75" ca="1">_xlfn.IFS(       TabTRADER[[#This Row],[Traps]]=RePurchaseGain,TEXT(TabTRADER[[#This Row],[L_Sn]],"#,#0")&amp;" x "&amp;TEXT(TabTRADER[[#This Row],[L_Sp]],"#,#0.#0"),     TabTRADER[[#This Row],[Traps]]=ReSaleGain,TEXT(TabTRADER[[#This Row],[L_Bn]],"#0,#0")&amp;" x "&amp;TEXT(TabTRADER[[#This Row],[L_Bp]],"#,#0.#0"),               TRUE,"")</f>
        <v>10,010 x -14.87</v>
      </c>
      <c r="AG75" s="1281" cm="1">
        <f t="array" aca="1" ref="AG7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9644.5188840000101</v>
      </c>
      <c r="AH75" s="1281" t="str" cm="1">
        <f t="array" aca="1" ref="AH7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5" s="1281" cm="1">
        <f t="array" aca="1" ref="AI7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9644.5188840000101</v>
      </c>
      <c r="AJ75" s="1290" cm="1">
        <f t="array" aca="1" ref="AJ7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6.4963012777404239E-2</v>
      </c>
      <c r="AK75" s="1290" t="str" cm="1">
        <f t="array" aca="1" ref="AK7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75" s="843" t="str" cm="1">
        <f t="array" aca="1" ref="AL75" ca="1">_xlfn.IFS(   TabTRADER[[#This Row],[Traps]]=SellMorePercentGain,                     MIN(TabTRADER[[#This Row],[L_Sn]],TabTRADER[[#This Row],[N]])*(TabTRADER[[#This Row],[M]]-TabTRADER[[#This Row],[L_Sp]])*(1-Commission)*TabTRADER[[#This Row],[Scale]],                    TRUE,"")</f>
        <v/>
      </c>
      <c r="AM75" s="1039">
        <f ca="1">_xlfn.XLOOKUP(TabTRADER[[#This Row],[ClickTick]],TabCalc[Ticker],TabCalc[Ann%RevLB])</f>
        <v>0.63207255675312235</v>
      </c>
      <c r="AN75" s="1038">
        <f ca="1">_xlfn.XLOOKUP(TabTRADER[[#This Row],[ClickTick]],TabCalc[Ticker],TabCalc[Up20])</f>
        <v>0.125</v>
      </c>
      <c r="AO75" s="1291" t="str" cm="1">
        <f t="array" aca="1" ref="AO7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75" s="843" t="str" cm="1">
        <f t="array" aca="1" ref="AP75" ca="1">_xlfn.IFS(         TabTRADER[[#This Row],[Traps]]=MDown,TabTRADER[[#This Row],[L_Bn]]*TabTRADER[[#This Row],[M]]*(-(TabTRADER[[#This Row],[L_Bp]]+TabTRADER[[#This Row],[M]])/TabTRADER[[#This Row],[M]])*(1-Commission)*TabTRADER[[#This Row],[Scale]],                               TRUE,"")</f>
        <v/>
      </c>
      <c r="AQ75" s="1290" t="str" cm="1">
        <f t="array" aca="1" ref="AQ75" ca="1">_xlfn.IFS(   TabTRADER[[#This Row],[Traps]]=MUp,TabTRADER[[#This Row],[TakeGain_A]]-Commission,        TabTRADER[[#This Row],[Traps]]=MDown,(TabTRADER[[#This Row],[A]]-TabTRADER[[#This Row],[M]])/TabTRADER[[#This Row],[M]]-Commission,                              TRUE,"")</f>
        <v/>
      </c>
      <c r="AR75" s="843" cm="1">
        <f t="array" aca="1" ref="AR7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24032.500030225659</v>
      </c>
      <c r="AS75" s="774" t="str" cm="1">
        <f t="array" aca="1" ref="AS7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1.0%</v>
      </c>
      <c r="AT75" s="748" t="str" cm="1">
        <f t="array" aca="1" ref="AT7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75" s="779" t="str" cm="1">
        <f t="array" aca="1" ref="AU75" ca="1">_xlfn.IFS(TabTRADER[[#This Row],[Traps]]=ReSaleGain,"",         TabTRADER[[#This Row],[Traps]]=MDown, (TabTRADER[[#This Row],[M]]-TabTRADER[[#This Row],[A]])/TabTRADER[[#This Row],[A]]*ComFactor,             TRUE, IFERROR((TabTRADER[[#This Row],[M]]-TabTRADER[[#This Row],[A]])/TabTRADER[[#This Row],[A]]*ComFactor,""))</f>
        <v/>
      </c>
      <c r="AV75" s="776" cm="1">
        <f t="array" aca="1" ref="AV75" ca="1">_xlfn.IFS(               TabTRADER[[#This Row],[Traps]]=NoStock,(TabTRADER[[#This Row],[L_Sp]]-TabTRADER[[#This Row],[M]])/TabTRADER[[#This Row],[M]]-Commission,             TabTRADER[[#This Row],[A]]&lt;&gt;0,(TabTRADER[[#This Row],[A]]-TabTRADER[[#This Row],[M]])/TabTRADER[[#This Row],[M]]-Commission)</f>
        <v>-6.7287191439527883E-2</v>
      </c>
      <c r="AW75" s="326">
        <f ca="1">_xlfn.XLOOKUP(TabTRADER[[#This Row],[ClickTick]],TabCalc[Ticker],TabCalc[L_Sn])</f>
        <v>2000</v>
      </c>
      <c r="AX75" s="740">
        <f ca="1">_xlfn.XLOOKUP(TabTRADER[[#This Row],[ClickTick]],TabCalc[Ticker],TabCalc[L_Sp])</f>
        <v>15.21</v>
      </c>
      <c r="AY75" s="778">
        <f ca="1">-IFERROR((TabTRADER[[#This Row],[M]]-TabTRADER[[#This Row],[L_Sp]])/TabTRADER[[#This Row],[L_Sp]],0)</f>
        <v>-4.1157133464825732E-2</v>
      </c>
      <c r="AZ75" s="741">
        <f ca="1">TabTRADER[[#This Row],[L_Sn]]*(TabTRADER[[#This Row],[M]]-TabTRADER[[#This Row],[L_Sp]])*(1-Commission)*TabTRADER[[#This Row],[Scale]]</f>
        <v>1248.7447999999988</v>
      </c>
      <c r="BA75" s="701">
        <f ca="1">TabTRADER[[#This Row],[L_Sn]]*(TabTRADER[[#This Row],[Agiotage]]-TabTRADER[[#This Row],[M]])/(TabTRADER[[#This Row],[L_Bn]]*TabTRADER[[#This Row],[M]])</f>
        <v>-0.17522662741869016</v>
      </c>
      <c r="BB75" s="641">
        <f ca="1">IFERROR((TabTRADER[[#This Row],[M]]-TabTRADER[[#This Row],[A]])/TabTRADER[[#This Row],[A]],0)</f>
        <v>6.9161023828046467E-2</v>
      </c>
      <c r="BC75" s="644" t="str">
        <f ca="1">TEXT(_xlfn.XLOOKUP(TabTRADER[[#This Row],[ClickTick]],TabCalc[Ticker],TabCalc[NAfter]),"#,#0")&amp;" : "&amp;TEXT(_xlfn.XLOOKUP(TabTRADER[[#This Row],[ClickTick]],TabCalc[Ticker],TabCalc[NAfter])*(TabTRADER[[#This Row],[M]]-TabTRADER[[#This Row],[A]])*(1-Commission)*TabTRADER[[#This Row],[Scale]],"#,#0$")</f>
        <v>22,000 : 22,478$</v>
      </c>
      <c r="BD75" s="693">
        <f ca="1">_xlfn.XLOOKUP(TabTRADER[[#This Row],[ClickTick]],TabCalc[[#This Row],[Ticker]],TabCalc[[#This Row],[GL]])*(1-Commission)</f>
        <v>32205.583206400079</v>
      </c>
      <c r="BE75" s="693"/>
      <c r="BF75" s="675" t="str">
        <f ca="1">TabTRADER[[#This Row],[ClickTick]]&amp;": "&amp;_xlfn.XLOOKUP(TabTRADER[[#This Row],[ClickTick]],TabCalc[Ticker],TabCalc[Pile?])</f>
        <v xml:space="preserve">ENI: </v>
      </c>
      <c r="BG75" s="353" t="s">
        <v>2051</v>
      </c>
      <c r="BH75" s="769" t="str" cm="1">
        <f t="array" aca="1" ref="BH75" ca="1">_xlfn.TEXTJOIN("",,INDEX({"M","A","Y"}, _xlfn.SORTBY({1,2,3}, -CHOOSE({1,2,3}, TabTRADER[[#This Row],[M]], TabTRADER[[#This Row],[A]], TabTRADER[[#This Row],[Agiotage]]))))</f>
        <v>MAY</v>
      </c>
      <c r="BI75" s="976" t="str" cm="1">
        <f t="array" aca="1" ref="BI7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75" s="688">
        <f ca="1">TabTRADER[[#This Row],[L_Sn]]*TabTRADER[[#This Row],[L_Sp]]+TabTRADER[[#This Row],[SellMore]]*TabTRADER[[#This Row],[M]]</f>
        <v>188621.64</v>
      </c>
      <c r="BK75" s="688">
        <f ca="1">INDEX(
  INDEX(TabConsolid[], , _xlfn.XMATCH(TabTRADER[[#This Row],[ClickTick]]&amp;1, TabConsolid[#Headers])),
  MATCH(
    -TabTRADER[[#This Row],[M]],
    INDEX(TabConsolid[], , _xlfn.XMATCH(TabTRADER[[#This Row],[ClickTick]]&amp;2, TabConsolid[#Headers])),
    -1
  )
)</f>
        <v>9990</v>
      </c>
      <c r="BL75" s="688" cm="1">
        <f t="array" aca="1" ref="BL7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9990</v>
      </c>
      <c r="BM75" s="1260">
        <f ca="1">TabTRADER[[#This Row],[ReBuy]]/(TabTRADER[[#This Row],[L_Sn]]+TabTRADER[[#This Row],[SellMore]])</f>
        <v>15.731579649708092</v>
      </c>
      <c r="BN75" s="696">
        <f ca="1">((_xlfn.XLOOKUP(TabTRADER[[#This Row],[ClickTick]],TabCalc[Ticker],TabCalc[NAfter])+TabTRADER[[#This Row],[L_Sn]])*(TabTRADER[[#This Row],[Agiotage]]-TabTRADER[[#This Row],[M]]))/(TabTRADER[[#This Row],[L_Sn]]*_xlfn.XLOOKUP(TabTRADER[[#This Row],[ClickTick]],TabCalc[Ticker],TabCalc[NAfter]))</f>
        <v>-7.5754466200204902E-3</v>
      </c>
      <c r="BO75" s="696">
        <f ca="1">(TabTRADER[[#This Row],[M]]-TabTRADER[[#This Row],[Agiotage]])/(TabTRADER[[#This Row],[M]]-TabTRADER[[#This Row],[A]])-1</f>
        <v>12.557695901056499</v>
      </c>
      <c r="BP75" s="1388">
        <f ca="1">_xlfn.XMATCH(TabTRADER[[#This Row],[ClickTick]]&amp;1, TabConsolid[#Headers])</f>
        <v>221</v>
      </c>
      <c r="BQ75" t="b">
        <f ca="1">IF(ABS(TabTRADER[[#This Row],[L_Bp]])&gt;=TabTRADER[[#This Row],[M]],"OK")</f>
        <v>0</v>
      </c>
    </row>
    <row r="76" spans="1:69" hidden="1">
      <c r="A76" s="225">
        <f ca="1">IF(_xlfn.XLOOKUP(TabTRADER[[#This Row],[ClickTick]],TabCalc[Ticker],TabCalc[Cur])="GBp",0.01,1)</f>
        <v>0.01</v>
      </c>
      <c r="B7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-451.01x20000=    +7,018 GBp</v>
      </c>
      <c r="C7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7.2%</v>
      </c>
      <c r="D76" s="697" t="str" cm="1">
        <f t="array" aca="1" ref="D7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14,249/30,000=69,265</v>
      </c>
      <c r="E76" s="765" t="str">
        <f ca="1">IF(      AND(TabTRADER[[#This Row],[A]]&lt;TabTRADER[[#This Row],[M]],    _xlfn.XLOOKUP(TabTRADER[[#This Row],[ClickTick]],TabCalc[Ticker],TabCalc[L_Sp])&gt;TabTRADER[[#This Row],[M]]),"BUY  "&amp;TEXT(DesiredBuyGain/TabTRADER[[#This Row],[Scale]]/(_xlfn.XLOOKUP(TabTRADER[[#This Row],[ClickTick]],TabCalc[Ticker],TabCalc[L_Sp])-TabTRADER[[#This Row],[M]]),"#,##0"),"")</f>
        <v>BUY  52,632</v>
      </c>
      <c r="F76" s="228" t="str">
        <f ca="1">TRUNC(TabCalc[[#This Row],[L_B1p]],2)&amp;"x"&amp;TabCalc[[#This Row],[L_B1n]]&amp;"=   "&amp;TEXT(TabCalc[[#This Row],[ReverseS1]],"#,#0")&amp;"$"</f>
        <v>-480.9x10000=   520$</v>
      </c>
      <c r="G76" s="227" t="str">
        <f ca="1">IFERROR(TRUNC(_xlfn.XLOOKUP(TabTRADER[[#This Row],[ClickTick]],TabCalc[Ticker],ListLastSalep),2)&amp;"x"&amp;_xlfn.XLOOKUP(TabTRADER[[#This Row],[ClickTick]],TabCalc[Ticker],ListLastSalen)&amp;"=   "&amp;TEXT(-_xlfn.XLOOKUP(TabTRADER[[#This Row],[ClickTick]],TabCalc[Ticker],ListReverseB),"#,#0")&amp;"$","")</f>
        <v>495.6x10000=   -950$</v>
      </c>
      <c r="H7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2.0% = 526</v>
      </c>
      <c r="I76" s="228" t="str">
        <f ca="1">IFERROR(TRUNC(TabCalc[[#This Row],[L_S1p]],2)&amp;"x"&amp;TabCalc[[#This Row],[L_S1n]]&amp;"=   "&amp;TEXT(TabCalc[[#This Row],[ReverseB1]],"#,#0"),"")</f>
        <v>544.2x18000=   10,458</v>
      </c>
      <c r="J76" s="297">
        <f ca="1">_xlfn.XLOOKUP(TabTRADER[[#This Row],[ClickTick]],TabCalc[Ticker],ListGravity)</f>
        <v>1.3550298292532399</v>
      </c>
      <c r="K76" s="324" cm="1">
        <f t="array" aca="1" ref="K76" ca="1">IF(_xlfn.XLOOKUP(TabTRADER[[#This Row],[ClickTick]],TabTRADER[ClickTick],ListExtra_n)&gt;0,_xlfn.XLOOKUP(TabTRADER[[#This Row],[ClickTick]],TabTRADER[ClickTick],ListExtra_n),"")</f>
        <v>10560</v>
      </c>
      <c r="L76" s="322">
        <f ca="1">IF(_xlfn.XLOOKUP(TabTRADER[[#This Row],[ClickTick]],TabCalc[Ticker],ListExtra_n)&gt;0,_xlfn.XLOOKUP(TabTRADER[[#This Row],[ClickTick]],TabCalc[Ticker],ListExtra_n)*TabTRADER[[#This Row],[M]]*_xlfn.XLOOKUP(TabTRADER[[#This Row],[ClickTick]],TabCalc[Ticker],ListScale),"")</f>
        <v>51332.160000000003</v>
      </c>
      <c r="M76" s="325">
        <f ca="1">_xlfn.XLOOKUP(TabTRADER[[#This Row],[ClickTick]],TabCalc[Ticker],TabCalc[Agiotage])</f>
        <v>0.52718982051715924</v>
      </c>
      <c r="N76" s="326" cm="1">
        <f t="array" aca="1" ref="N76" ca="1">_xlfn.XLOOKUP(TabTRADER[[#This Row],[ClickTick]],ListTickers,Tab2RSIConventional[RSIConv20])</f>
        <v>66</v>
      </c>
      <c r="O76" s="712" t="str">
        <f ca="1">TEXT(_xlfn.XLOOKUP(TabTRADER[[#This Row],[ClickTick]],TabCalc[Ticker],TabCalc[Nbegin]),"#,#0")&amp;": "&amp;_xlfn.XLOOKUP(TabTRADER[[#This Row],[ClickTick]],TabCalc[Ticker],TabCalc[Pile?])</f>
        <v xml:space="preserve">19,440: </v>
      </c>
      <c r="P76" s="877">
        <f ca="1">_xlfn.XLOOKUP(TabTRADER[[#This Row],[ClickTick]],TabCalc[Ticker],TabCalc[L_Bn])</f>
        <v>20000</v>
      </c>
      <c r="Q76" s="740">
        <f ca="1">_xlfn.XLOOKUP(TabTRADER[[#This Row],[ClickTick]],TabCalc[Ticker],TabCalc[L_Bp])</f>
        <v>-451.01</v>
      </c>
      <c r="R76" s="778">
        <f ca="1">(TabTRADER[[#This Row],[M]]+TabTRADER[[#This Row],[L_Bp]])/ABS(TabTRADER[[#This Row],[L_Bp]])</f>
        <v>7.7803152923438576E-2</v>
      </c>
      <c r="S76" s="692">
        <f ca="1">_xlfn.XLOOKUP(TabTRADER[[#This Row],[ClickTick]],TabCalc[Ticker],TabCalc[Rev(MinStock)])*(1-Commission)</f>
        <v>6999.7532000000065</v>
      </c>
      <c r="T76" s="798">
        <f ca="1">_xlfn.XLOOKUP(TabTRADER[[#This Row],[ClickTick]],TabCalc[Ticker],TabCalc[Agiotage])</f>
        <v>0.52718982051715924</v>
      </c>
      <c r="U76" s="759" t="str" cm="1">
        <f t="array" aca="1" ref="U7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930/930=&gt;1.4% / 1.4%</v>
      </c>
      <c r="V76" s="751" t="str">
        <f ca="1">_xlfn.XLOOKUP(TabTRADER[[#This Row],[ClickTick]],[1]!RTData[Ticker symbol],[1]!RTData[Currency])</f>
        <v>GBp</v>
      </c>
      <c r="W76" s="761">
        <f ca="1">_xlfn.XLOOKUP(TabTRADER[[#This Row],[ClickTick]],TabCalc[Ticker],TabCalc[M])</f>
        <v>486.1</v>
      </c>
      <c r="X76" s="762" t="str">
        <f ca="1">SORTING!B76</f>
        <v>EZJ</v>
      </c>
      <c r="Y76" s="819">
        <f ca="1">_xlfn.XLOOKUP(TabTRADER[[#This Row],[ClickTick]],TabCalc[Ticker],TabCalc[Y])</f>
        <v>658.68</v>
      </c>
      <c r="Z76" s="835">
        <f ca="1">_xlfn.XLOOKUP(TabTRADER[[#This Row],[ClickTick]],[1]!RTData[Ticker symbol],[1]!RTData[YTChange])</f>
        <v>-5.5398603203740085E-2</v>
      </c>
      <c r="AA76" s="851">
        <f ca="1">-_xlfn.XLOOKUP(TabTRADER[[#This Row],[ClickTick]]&amp;2,Consolid!B$3:JZ$3,Consolid!B$4:JZ$4)</f>
        <v>460.97333333333336</v>
      </c>
      <c r="AB76" s="835" cm="1">
        <f t="array" aca="1" ref="AB76" ca="1">_xlfn.XLOOKUP(TabTRADER[[#This Row],[ClickTick]],ListTickers,Tab1ChangePercent[Change%19])</f>
        <v>1.3764E-2</v>
      </c>
      <c r="AC76" s="782">
        <f ca="1">_xlfn.XLOOKUP(TabTRADER[[#This Row],[ClickTick]],TabCalc[Ticker],TabCalc[NAfter])</f>
        <v>30000</v>
      </c>
      <c r="AD76"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^38/146 K$</v>
      </c>
      <c r="AE76" s="1299" t="str" cm="1">
        <f t="array" aca="1" ref="AE7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76" s="1281" t="str" cm="1">
        <f t="array" aca="1" ref="AF76" ca="1">_xlfn.IFS(       TabTRADER[[#This Row],[Traps]]=RePurchaseGain,TEXT(TabTRADER[[#This Row],[L_Sn]],"#,#0")&amp;" x "&amp;TEXT(TabTRADER[[#This Row],[L_Sp]],"#,#0.#0"),     TabTRADER[[#This Row],[Traps]]=ReSaleGain,TEXT(TabTRADER[[#This Row],[L_Bn]],"#0,#0")&amp;" x "&amp;TEXT(TabTRADER[[#This Row],[L_Bp]],"#,#0.#0"),               TRUE,"")</f>
        <v>10,000 x 495.60</v>
      </c>
      <c r="AG76" s="1281" cm="1">
        <f t="array" aca="1" ref="AG7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947.53</v>
      </c>
      <c r="AH76" s="1281" t="str" cm="1">
        <f t="array" aca="1" ref="AH7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6" s="1281" cm="1">
        <f t="array" aca="1" ref="AI7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947.53</v>
      </c>
      <c r="AJ76" s="1290" cm="1">
        <f t="array" aca="1" ref="AJ7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1.916868442292171E-2</v>
      </c>
      <c r="AK76" s="1290" t="str" cm="1">
        <f t="array" aca="1" ref="AK7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6" s="843" t="str" cm="1">
        <f t="array" aca="1" ref="AL76" ca="1">_xlfn.IFS(   TabTRADER[[#This Row],[Traps]]=SellMorePercentGain,                     MIN(TabTRADER[[#This Row],[L_Sn]],TabTRADER[[#This Row],[N]])*(TabTRADER[[#This Row],[M]]-TabTRADER[[#This Row],[L_Sp]])*(1-Commission)*TabTRADER[[#This Row],[Scale]],                    TRUE,"")</f>
        <v/>
      </c>
      <c r="AM76" s="1296">
        <f ca="1">_xlfn.XLOOKUP(TabTRADER[[#This Row],[ClickTick]],TabCalc[Ticker],TabCalc[Ann%RevLB])</f>
        <v>0.75700365006588888</v>
      </c>
      <c r="AN76" s="1392">
        <f ca="1">_xlfn.XLOOKUP(TabTRADER[[#This Row],[ClickTick]],TabCalc[Ticker],TabCalc[Up20])</f>
        <v>0.63636363636363635</v>
      </c>
      <c r="AO76" s="1291" t="str" cm="1">
        <f t="array" aca="1" ref="AO7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6" s="843" t="str" cm="1">
        <f t="array" aca="1" ref="AP76" ca="1">_xlfn.IFS(         TabTRADER[[#This Row],[Traps]]=MDown,TabTRADER[[#This Row],[L_Bn]]*TabTRADER[[#This Row],[M]]*(-(TabTRADER[[#This Row],[L_Bp]]+TabTRADER[[#This Row],[M]])/TabTRADER[[#This Row],[M]])*(1-Commission)*TabTRADER[[#This Row],[Scale]],                               TRUE,"")</f>
        <v/>
      </c>
      <c r="AQ76" s="1290" t="str" cm="1">
        <f t="array" aca="1" ref="AQ76" ca="1">_xlfn.IFS(   TabTRADER[[#This Row],[Traps]]=MUp,TabTRADER[[#This Row],[TakeGain_A]]-Commission,        TabTRADER[[#This Row],[Traps]]=MDown,(TabTRADER[[#This Row],[A]]-TabTRADER[[#This Row],[M]])/TabTRADER[[#This Row],[M]]-Commission,                              TRUE,"")</f>
        <v/>
      </c>
      <c r="AR76" s="843" cm="1">
        <f t="array" aca="1" ref="AR7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7518.4012000000002</v>
      </c>
      <c r="AS76" s="774" t="str" cm="1">
        <f t="array" aca="1" ref="AS7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T76" s="748" t="str" cm="1">
        <f t="array" aca="1" ref="AT7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76" s="779" cm="1">
        <f t="array" aca="1" ref="AU76" ca="1">_xlfn.IFS(TabTRADER[[#This Row],[Traps]]=ReSaleGain,"",         TabTRADER[[#This Row],[Traps]]=MDown, (TabTRADER[[#This Row],[M]]-TabTRADER[[#This Row],[A]])/TabTRADER[[#This Row],[A]]*ComFactor,             TRUE, IFERROR((TabTRADER[[#This Row],[M]]-TabTRADER[[#This Row],[A]])/TabTRADER[[#This Row],[A]]*ComFactor,""))</f>
        <v>5.4366132531165928E-2</v>
      </c>
      <c r="AV76" s="776" cm="1">
        <f t="array" aca="1" ref="AV76" ca="1">_xlfn.IFS(               TabTRADER[[#This Row],[Traps]]=NoStock,(TabTRADER[[#This Row],[L_Sp]]-TabTRADER[[#This Row],[M]])/TabTRADER[[#This Row],[M]]-Commission,             TabTRADER[[#This Row],[A]]&lt;&gt;0,(TabTRADER[[#This Row],[A]]-TabTRADER[[#This Row],[M]])/TabTRADER[[#This Row],[M]]-Commission)</f>
        <v>-5.4290324350270855E-2</v>
      </c>
      <c r="AW76" s="326">
        <f ca="1">_xlfn.XLOOKUP(TabTRADER[[#This Row],[ClickTick]],TabCalc[Ticker],TabCalc[L_Sn])</f>
        <v>10000</v>
      </c>
      <c r="AX76" s="740">
        <f ca="1">_xlfn.XLOOKUP(TabTRADER[[#This Row],[ClickTick]],TabCalc[Ticker],TabCalc[L_Sp])</f>
        <v>495.6</v>
      </c>
      <c r="AY76" s="778">
        <f ca="1">-IFERROR((TabTRADER[[#This Row],[M]]-TabTRADER[[#This Row],[L_Sp]])/TabTRADER[[#This Row],[L_Sp]],0)</f>
        <v>1.916868442292171E-2</v>
      </c>
      <c r="AZ76" s="741">
        <f ca="1">TabTRADER[[#This Row],[L_Sn]]*(TabTRADER[[#This Row],[M]]-TabTRADER[[#This Row],[L_Sp]])*(1-Commission)*TabTRADER[[#This Row],[Scale]]</f>
        <v>-947.53</v>
      </c>
      <c r="BA76" s="701">
        <f ca="1">TabTRADER[[#This Row],[L_Sn]]*(TabTRADER[[#This Row],[Agiotage]]-TabTRADER[[#This Row],[M]])/(TabTRADER[[#This Row],[L_Bn]]*TabTRADER[[#This Row],[M]])</f>
        <v>-0.4994577352185588</v>
      </c>
      <c r="BB76" s="641">
        <f ca="1">IFERROR((TabTRADER[[#This Row],[M]]-TabTRADER[[#This Row],[A]])/TabTRADER[[#This Row],[A]],0)</f>
        <v>5.4507852948832897E-2</v>
      </c>
      <c r="BC76" s="644" t="str">
        <f ca="1">TEXT(_xlfn.XLOOKUP(TabTRADER[[#This Row],[ClickTick]],TabCalc[Ticker],TabCalc[NAfter]),"#,#0")&amp;" : "&amp;TEXT(_xlfn.XLOOKUP(TabTRADER[[#This Row],[ClickTick]],TabCalc[Ticker],TabCalc[NAfter])*(TabTRADER[[#This Row],[M]]-TabTRADER[[#This Row],[A]])*(1-Commission)*TabTRADER[[#This Row],[Scale]],"#,#0$")</f>
        <v>30,000 : 7,518$</v>
      </c>
      <c r="BD76" s="693">
        <f ca="1">_xlfn.XLOOKUP(TabTRADER[[#This Row],[ClickTick]],TabCalc[[#This Row],[Ticker]],TabCalc[[#This Row],[GL]])*(1-Commission)</f>
        <v>37780.916552200004</v>
      </c>
      <c r="BE76" s="693"/>
      <c r="BF76" s="675" t="str">
        <f ca="1">TabTRADER[[#This Row],[ClickTick]]&amp;": "&amp;_xlfn.XLOOKUP(TabTRADER[[#This Row],[ClickTick]],TabCalc[Ticker],TabCalc[Pile?])</f>
        <v xml:space="preserve">EZJ: </v>
      </c>
      <c r="BG76" s="353" t="s">
        <v>2052</v>
      </c>
      <c r="BH76" s="769" t="str" cm="1">
        <f t="array" aca="1" ref="BH76" ca="1">_xlfn.TEXTJOIN("",,INDEX({"M","A","Y"}, _xlfn.SORTBY({1,2,3}, -CHOOSE({1,2,3}, TabTRADER[[#This Row],[M]], TabTRADER[[#This Row],[A]], TabTRADER[[#This Row],[Agiotage]]))))</f>
        <v>MAY</v>
      </c>
      <c r="BI76" s="976" t="str" cm="1">
        <f t="array" aca="1" ref="BI7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6" s="688">
        <f ca="1">TabTRADER[[#This Row],[L_Sn]]*TabTRADER[[#This Row],[L_Sp]]+TabTRADER[[#This Row],[SellMore]]*TabTRADER[[#This Row],[M]]</f>
        <v>9817000</v>
      </c>
      <c r="BK76" s="688">
        <f ca="1">INDEX(
  INDEX(TabConsolid[], , _xlfn.XMATCH(TabTRADER[[#This Row],[ClickTick]]&amp;1, TabConsolid[#Headers])),
  MATCH(
    -TabTRADER[[#This Row],[M]],
    INDEX(TabConsolid[], , _xlfn.XMATCH(TabTRADER[[#This Row],[ClickTick]]&amp;2, TabConsolid[#Headers])),
    -1
  )
)</f>
        <v>10000</v>
      </c>
      <c r="BL76" s="688" cm="1">
        <f t="array" aca="1" ref="BL7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M76" s="1260">
        <f ca="1">TabTRADER[[#This Row],[ReBuy]]/(TabTRADER[[#This Row],[L_Sn]]+TabTRADER[[#This Row],[SellMore]])</f>
        <v>490.85</v>
      </c>
      <c r="BN76" s="696">
        <f ca="1">((_xlfn.XLOOKUP(TabTRADER[[#This Row],[ClickTick]],TabCalc[Ticker],TabCalc[NAfter])+TabTRADER[[#This Row],[L_Sn]])*(TabTRADER[[#This Row],[Agiotage]]-TabTRADER[[#This Row],[M]]))/(TabTRADER[[#This Row],[L_Sn]]*_xlfn.XLOOKUP(TabTRADER[[#This Row],[ClickTick]],TabCalc[Ticker],TabCalc[NAfter]))</f>
        <v>-6.4743041357264386E-2</v>
      </c>
      <c r="BO76" s="696">
        <f ca="1">(TabTRADER[[#This Row],[M]]-TabTRADER[[#This Row],[Agiotage]])/(TabTRADER[[#This Row],[M]]-TabTRADER[[#This Row],[A]])-1</f>
        <v>18.324999078514839</v>
      </c>
      <c r="BP76" s="1388">
        <f ca="1">_xlfn.XMATCH(TabTRADER[[#This Row],[ClickTick]]&amp;1, TabConsolid[#Headers])</f>
        <v>224</v>
      </c>
      <c r="BQ76" t="b">
        <f ca="1">IF(ABS(TabTRADER[[#This Row],[L_Bp]])&gt;=TabTRADER[[#This Row],[M]],"OK")</f>
        <v>0</v>
      </c>
    </row>
    <row r="77" spans="1:69" hidden="1">
      <c r="A77" s="225">
        <f ca="1">IF(_xlfn.XLOOKUP(TabTRADER[[#This Row],[ClickTick]],TabCalc[Ticker],TabCalc[Cur])="GBp",0.01,1)</f>
        <v>1</v>
      </c>
      <c r="B7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-9.23x10000=    0 USD</v>
      </c>
      <c r="C77"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33.3%</v>
      </c>
      <c r="D77" s="697" t="str" cm="1">
        <f t="array" aca="1" ref="D7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7" s="228" t="str">
        <f ca="1">TRUNC(TabCalc[[#This Row],[L_B1p]],2)&amp;"x"&amp;TabCalc[[#This Row],[L_B1n]]&amp;"=   "&amp;TEXT(TabCalc[[#This Row],[ReverseS1]],"#,#0")&amp;"$"</f>
        <v>-9.61x8000=   0$</v>
      </c>
      <c r="G77" s="227" t="str">
        <f ca="1">IFERROR(TRUNC(_xlfn.XLOOKUP(TabTRADER[[#This Row],[ClickTick]],TabCalc[Ticker],ListLastSalep),2)&amp;"x"&amp;_xlfn.XLOOKUP(TabTRADER[[#This Row],[ClickTick]],TabCalc[Ticker],ListLastSalen)&amp;"=   "&amp;TEXT(-_xlfn.XLOOKUP(TabTRADER[[#This Row],[ClickTick]],TabCalc[Ticker],ListReverseB),"#,#0")&amp;"$","")</f>
        <v>12.02x3000=   5,460$</v>
      </c>
      <c r="H7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-13.2% = 0</v>
      </c>
      <c r="I77" s="228" t="str">
        <f ca="1">IFERROR(TRUNC(TabCalc[[#This Row],[L_S1p]],2)&amp;"x"&amp;TabCalc[[#This Row],[L_S1n]]&amp;"=   "&amp;TEXT(TabCalc[[#This Row],[ReverseB1]],"#,#0"),"")</f>
        <v>11.41x2000=   -4,860</v>
      </c>
      <c r="J77" s="297">
        <f ca="1">_xlfn.XLOOKUP(TabTRADER[[#This Row],[ClickTick]],TabCalc[Ticker],ListGravity)</f>
        <v>0.77962427745664731</v>
      </c>
      <c r="K77" s="324" t="str" cm="1">
        <f t="array" aca="1" ref="K77" ca="1">IF(_xlfn.XLOOKUP(TabTRADER[[#This Row],[ClickTick]],TabTRADER[ClickTick],ListExtra_n)&gt;0,_xlfn.XLOOKUP(TabTRADER[[#This Row],[ClickTick]],TabTRADER[ClickTick],ListExtra_n),"")</f>
        <v/>
      </c>
      <c r="L77" s="322" t="str">
        <f ca="1">IF(_xlfn.XLOOKUP(TabTRADER[[#This Row],[ClickTick]],TabCalc[Ticker],ListExtra_n)&gt;0,_xlfn.XLOOKUP(TabTRADER[[#This Row],[ClickTick]],TabCalc[Ticker],ListExtra_n)*TabTRADER[[#This Row],[M]]*_xlfn.XLOOKUP(TabTRADER[[#This Row],[ClickTick]],TabCalc[Ticker],ListScale),"")</f>
        <v/>
      </c>
      <c r="M77" s="325">
        <f ca="1">_xlfn.XLOOKUP(TabTRADER[[#This Row],[ClickTick]],TabCalc[Ticker],TabCalc[Agiotage])</f>
        <v>2.4449132760383812</v>
      </c>
      <c r="N77" s="326" cm="1">
        <f t="array" aca="1" ref="N77" ca="1">_xlfn.XLOOKUP(TabTRADER[[#This Row],[ClickTick]],ListTickers,Tab2RSIConventional[RSIConv20])</f>
        <v>73</v>
      </c>
      <c r="O77" s="712" t="str">
        <f ca="1">TEXT(_xlfn.XLOOKUP(TabTRADER[[#This Row],[ClickTick]],TabCalc[Ticker],TabCalc[Nbegin]),"#,#0")&amp;": "&amp;_xlfn.XLOOKUP(TabTRADER[[#This Row],[ClickTick]],TabCalc[Ticker],TabCalc[Pile?])</f>
        <v>12,000: Pile</v>
      </c>
      <c r="P77" s="746">
        <f ca="1">_xlfn.XLOOKUP(TabTRADER[[#This Row],[ClickTick]],TabCalc[Ticker],TabCalc[L_Bn])</f>
        <v>10000</v>
      </c>
      <c r="Q77" s="690">
        <f ca="1">_xlfn.XLOOKUP(TabTRADER[[#This Row],[ClickTick]],TabCalc[Ticker],TabCalc[L_Bp])</f>
        <v>-9.2349999999999994</v>
      </c>
      <c r="R77" s="778">
        <f ca="1">(TabTRADER[[#This Row],[M]]+TabTRADER[[#This Row],[L_Bp]])/ABS(TabTRADER[[#This Row],[L_Bp]])</f>
        <v>0.49864645370871691</v>
      </c>
      <c r="S77" s="692">
        <f ca="1">_xlfn.XLOOKUP(TabTRADER[[#This Row],[ClickTick]],TabCalc[Ticker],TabCalc[Rev(MinStock)])*(1-Commission)</f>
        <v>0</v>
      </c>
      <c r="T77" s="798">
        <f ca="1">_xlfn.XLOOKUP(TabTRADER[[#This Row],[ClickTick]],TabCalc[Ticker],TabCalc[Agiotage])</f>
        <v>2.4449132760383812</v>
      </c>
      <c r="U77" s="759" t="str" cm="1">
        <f t="array" aca="1" ref="U7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0/0=&gt;12.1% / 12.2%</v>
      </c>
      <c r="V77" s="751" t="str">
        <f ca="1">_xlfn.XLOOKUP(TabTRADER[[#This Row],[ClickTick]],[1]!RTData[Ticker symbol],[1]!RTData[Currency])</f>
        <v>USD</v>
      </c>
      <c r="W77" s="761">
        <f ca="1">_xlfn.XLOOKUP(TabTRADER[[#This Row],[ClickTick]],TabCalc[Ticker],TabCalc[M])</f>
        <v>13.84</v>
      </c>
      <c r="X77" s="762" t="str">
        <f ca="1">SORTING!B77</f>
        <v>F</v>
      </c>
      <c r="Y77" s="819">
        <f ca="1">_xlfn.XLOOKUP(TabTRADER[[#This Row],[ClickTick]],TabCalc[Ticker],TabCalc[Y])</f>
        <v>10.79</v>
      </c>
      <c r="Z77" s="835">
        <f ca="1">_xlfn.XLOOKUP(TabTRADER[[#This Row],[ClickTick]],[1]!RTData[Ticker symbol],[1]!RTData[YTChange])</f>
        <v>4.0501446480231434E-2</v>
      </c>
      <c r="AA77" s="851">
        <f ca="1">-_xlfn.XLOOKUP(TabTRADER[[#This Row],[ClickTick]]&amp;2,Consolid!B$3:JZ$3,Consolid!B$4:JZ$4)</f>
        <v>0</v>
      </c>
      <c r="AB77" s="835" cm="1">
        <f t="array" aca="1" ref="AB77" ca="1">_xlfn.XLOOKUP(TabTRADER[[#This Row],[ClickTick]],ListTickers,Tab1ChangePercent[Change%19])</f>
        <v>0.12074600000000001</v>
      </c>
      <c r="AC77" s="782">
        <f ca="1">_xlfn.XLOOKUP(TabTRADER[[#This Row],[ClickTick]],TabCalc[Ticker],TabCalc[NAfter])</f>
        <v>0</v>
      </c>
      <c r="AD77"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-13/0 K$</v>
      </c>
      <c r="AE77" s="1299" t="str" cm="1">
        <f t="array" aca="1" ref="AE7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7" s="1281" t="str" cm="1">
        <f t="array" aca="1" ref="AF77" ca="1">_xlfn.IFS(       TabTRADER[[#This Row],[Traps]]=RePurchaseGain,TEXT(TabTRADER[[#This Row],[L_Sn]],"#,#0")&amp;" x "&amp;TEXT(TabTRADER[[#This Row],[L_Sp]],"#,#0.#0"),     TabTRADER[[#This Row],[Traps]]=ReSaleGain,TEXT(TabTRADER[[#This Row],[L_Bn]],"#0,#0")&amp;" x "&amp;TEXT(TabTRADER[[#This Row],[L_Bp]],"#,#0.#0"),               TRUE,"")</f>
        <v/>
      </c>
      <c r="AG77" s="1281" t="str" cm="1">
        <f t="array" aca="1" ref="AG7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7" s="1281" t="str" cm="1">
        <f t="array" aca="1" ref="AH7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7" s="1281" t="str" cm="1">
        <f t="array" aca="1" ref="AI7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7" s="1290" t="str" cm="1">
        <f t="array" aca="1" ref="AJ7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7" s="1290" t="str" cm="1">
        <f t="array" aca="1" ref="AK7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77" s="843" t="str" cm="1">
        <f t="array" aca="1" ref="AL77" ca="1">_xlfn.IFS(   TabTRADER[[#This Row],[Traps]]=SellMorePercentGain,                     MIN(TabTRADER[[#This Row],[L_Sn]],TabTRADER[[#This Row],[N]])*(TabTRADER[[#This Row],[M]]-TabTRADER[[#This Row],[L_Sp]])*(1-Commission)*TabTRADER[[#This Row],[Scale]],                    TRUE,"")</f>
        <v/>
      </c>
      <c r="AM77" s="1039">
        <f ca="1">_xlfn.XLOOKUP(TabTRADER[[#This Row],[ClickTick]],TabCalc[Ticker],TabCalc[Ann%RevLB])</f>
        <v>0.71805089334055239</v>
      </c>
      <c r="AN77" s="1038">
        <f ca="1">_xlfn.XLOOKUP(TabTRADER[[#This Row],[ClickTick]],TabCalc[Ticker],TabCalc[Up20])</f>
        <v>0.25</v>
      </c>
      <c r="AO77" s="1291" t="str" cm="1">
        <f t="array" aca="1" ref="AO7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77" s="843" t="str" cm="1">
        <f t="array" aca="1" ref="AP77" ca="1">_xlfn.IFS(         TabTRADER[[#This Row],[Traps]]=MDown,TabTRADER[[#This Row],[L_Bn]]*TabTRADER[[#This Row],[M]]*(-(TabTRADER[[#This Row],[L_Bp]]+TabTRADER[[#This Row],[M]])/TabTRADER[[#This Row],[M]])*(1-Commission)*TabTRADER[[#This Row],[Scale]],                               TRUE,"")</f>
        <v/>
      </c>
      <c r="AQ77" s="1290" t="str" cm="1">
        <f t="array" aca="1" ref="AQ77" ca="1">_xlfn.IFS(   TabTRADER[[#This Row],[Traps]]=MUp,TabTRADER[[#This Row],[TakeGain_A]]-Commission,        TabTRADER[[#This Row],[Traps]]=MDown,(TabTRADER[[#This Row],[A]]-TabTRADER[[#This Row],[M]])/TabTRADER[[#This Row],[M]]-Commission,                              TRUE,"")</f>
        <v/>
      </c>
      <c r="AR77" s="843" cm="1">
        <f t="array" aca="1" ref="AR7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7" s="774" t="str" cm="1">
        <f t="array" aca="1" ref="AS7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2.4%</v>
      </c>
      <c r="AT77" s="748" t="str" cm="1">
        <f t="array" aca="1" ref="AT7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0x13.84</v>
      </c>
      <c r="AU77" s="779" t="str" cm="1">
        <f t="array" aca="1" ref="AU77" ca="1">_xlfn.IFS(TabTRADER[[#This Row],[Traps]]=ReSaleGain,"",         TabTRADER[[#This Row],[Traps]]=MDown, (TabTRADER[[#This Row],[M]]-TabTRADER[[#This Row],[A]])/TabTRADER[[#This Row],[A]]*ComFactor,             TRUE, IFERROR((TabTRADER[[#This Row],[M]]-TabTRADER[[#This Row],[A]])/TabTRADER[[#This Row],[A]]*ComFactor,""))</f>
        <v/>
      </c>
      <c r="AV77" s="776" cm="1">
        <f t="array" aca="1" ref="AV77" ca="1">_xlfn.IFS(               TabTRADER[[#This Row],[Traps]]=NoStock,(TabTRADER[[#This Row],[L_Sp]]-TabTRADER[[#This Row],[M]])/TabTRADER[[#This Row],[M]]-Commission,             TabTRADER[[#This Row],[A]]&lt;&gt;0,(TabTRADER[[#This Row],[A]]-TabTRADER[[#This Row],[M]])/TabTRADER[[#This Row],[M]]-Commission)</f>
        <v>-0.13410289017341043</v>
      </c>
      <c r="AW77" s="326">
        <f ca="1">_xlfn.XLOOKUP(TabTRADER[[#This Row],[ClickTick]],TabCalc[Ticker],TabCalc[L_Sn])</f>
        <v>3000</v>
      </c>
      <c r="AX77" s="740">
        <f ca="1">_xlfn.XLOOKUP(TabTRADER[[#This Row],[ClickTick]],TabCalc[Ticker],TabCalc[L_Sp])</f>
        <v>12.02</v>
      </c>
      <c r="AY77" s="778">
        <f ca="1">-IFERROR((TabTRADER[[#This Row],[M]]-TabTRADER[[#This Row],[L_Sp]])/TabTRADER[[#This Row],[L_Sp]],0)</f>
        <v>-0.15141430948419304</v>
      </c>
      <c r="AZ77" s="741">
        <f ca="1">TabTRADER[[#This Row],[L_Sn]]*(TabTRADER[[#This Row],[M]]-TabTRADER[[#This Row],[L_Sp]])*(1-Commission)*TabTRADER[[#This Row],[Scale]]</f>
        <v>5445.804000000001</v>
      </c>
      <c r="BA77" s="701">
        <f ca="1">TabTRADER[[#This Row],[L_Sn]]*(TabTRADER[[#This Row],[Agiotage]]-TabTRADER[[#This Row],[M]])/(TabTRADER[[#This Row],[L_Bn]]*TabTRADER[[#This Row],[M]])</f>
        <v>-0.24700332494136454</v>
      </c>
      <c r="BB77" s="641">
        <f ca="1">IFERROR((TabTRADER[[#This Row],[M]]-TabTRADER[[#This Row],[A]])/TabTRADER[[#This Row],[A]],0)</f>
        <v>0</v>
      </c>
      <c r="BC77" s="644" t="str">
        <f ca="1">TEXT(_xlfn.XLOOKUP(TabTRADER[[#This Row],[ClickTick]],TabCalc[Ticker],TabCalc[NAfter]),"#,#0")&amp;" : "&amp;TEXT(_xlfn.XLOOKUP(TabTRADER[[#This Row],[ClickTick]],TabCalc[Ticker],TabCalc[NAfter])*(TabTRADER[[#This Row],[M]]-TabTRADER[[#This Row],[A]])*(1-Commission)*TabTRADER[[#This Row],[Scale]],"#,#0$")</f>
        <v>0 : 0$</v>
      </c>
      <c r="BD77" s="693">
        <f ca="1">_xlfn.XLOOKUP(TabTRADER[[#This Row],[ClickTick]],TabCalc[[#This Row],[Ticker]],TabCalc[[#This Row],[GL]])*(1-Commission)</f>
        <v>-12587.188</v>
      </c>
      <c r="BE77" s="693"/>
      <c r="BF77" s="675" t="str">
        <f ca="1">TabTRADER[[#This Row],[ClickTick]]&amp;": "&amp;_xlfn.XLOOKUP(TabTRADER[[#This Row],[ClickTick]],TabCalc[Ticker],TabCalc[Pile?])</f>
        <v>F: Pile</v>
      </c>
      <c r="BG77" s="353" t="s">
        <v>2057</v>
      </c>
      <c r="BH77" s="769" t="str" cm="1">
        <f t="array" aca="1" ref="BH77" ca="1">_xlfn.TEXTJOIN("",,INDEX({"M","A","Y"}, _xlfn.SORTBY({1,2,3}, -CHOOSE({1,2,3}, TabTRADER[[#This Row],[M]], TabTRADER[[#This Row],[A]], TabTRADER[[#This Row],[Agiotage]]))))</f>
        <v>MYA</v>
      </c>
      <c r="BI77" s="976" t="str" cm="1">
        <f t="array" aca="1" ref="BI7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77" s="688" t="e">
        <f ca="1">TabTRADER[[#This Row],[L_Sn]]*TabTRADER[[#This Row],[L_Sp]]+TabTRADER[[#This Row],[SellMore]]*TabTRADER[[#This Row],[M]]</f>
        <v>#N/A</v>
      </c>
      <c r="BK77" s="688" t="e">
        <f ca="1">INDEX(
  INDEX(TabConsolid[], , _xlfn.XMATCH(TabTRADER[[#This Row],[ClickTick]]&amp;1, TabConsolid[#Headers])),
  MATCH(
    -TabTRADER[[#This Row],[M]],
    INDEX(TabConsolid[], , _xlfn.XMATCH(TabTRADER[[#This Row],[ClickTick]]&amp;2, TabConsolid[#Headers])),
    -1
  )
)</f>
        <v>#N/A</v>
      </c>
      <c r="BL77" s="688" cm="1">
        <f t="array" aca="1" ref="BL7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7" s="1260" t="e">
        <f ca="1">TabTRADER[[#This Row],[ReBuy]]/(TabTRADER[[#This Row],[L_Sn]]+TabTRADER[[#This Row],[SellMore]])</f>
        <v>#N/A</v>
      </c>
      <c r="BN77" s="696" t="e">
        <f ca="1">((_xlfn.XLOOKUP(TabTRADER[[#This Row],[ClickTick]],TabCalc[Ticker],TabCalc[NAfter])+TabTRADER[[#This Row],[L_Sn]])*(TabTRADER[[#This Row],[Agiotage]]-TabTRADER[[#This Row],[M]]))/(TabTRADER[[#This Row],[L_Sn]]*_xlfn.XLOOKUP(TabTRADER[[#This Row],[ClickTick]],TabCalc[Ticker],TabCalc[NAfter]))</f>
        <v>#DIV/0!</v>
      </c>
      <c r="BO77" s="696">
        <f ca="1">(TabTRADER[[#This Row],[M]]-TabTRADER[[#This Row],[Agiotage]])/(TabTRADER[[#This Row],[M]]-TabTRADER[[#This Row],[A]])-1</f>
        <v>-0.17665558352878474</v>
      </c>
      <c r="BP77" s="1388">
        <f ca="1">_xlfn.XMATCH(TabTRADER[[#This Row],[ClickTick]]&amp;1, TabConsolid[#Headers])</f>
        <v>227</v>
      </c>
      <c r="BQ77" t="b">
        <f ca="1">IF(ABS(TabTRADER[[#This Row],[L_Bp]])&gt;=TabTRADER[[#This Row],[M]],"OK")</f>
        <v>0</v>
      </c>
    </row>
    <row r="78" spans="1:69" hidden="1">
      <c r="A78" s="225">
        <f ca="1">IF(_xlfn.XLOOKUP(TabTRADER[[#This Row],[ClickTick]],TabCalc[Ticker],TabCalc[Cur])="GBp",0.01,1)</f>
        <v>1</v>
      </c>
      <c r="B7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-28.94x2000=    0 EUR</v>
      </c>
      <c r="C7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46.1%</v>
      </c>
      <c r="D78" s="697" t="str" cm="1">
        <f t="array" aca="1" ref="D7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8"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8" s="228" t="str">
        <f ca="1">TRUNC(TabCalc[[#This Row],[L_B1p]],2)&amp;"x"&amp;TabCalc[[#This Row],[L_B1n]]&amp;"=   "&amp;TEXT(TabCalc[[#This Row],[ReverseS1]],"#,#0")&amp;"$"</f>
        <v>-21.87x2000=   0$</v>
      </c>
      <c r="G78" s="227" t="str">
        <f ca="1">IFERROR(TRUNC(_xlfn.XLOOKUP(TabTRADER[[#This Row],[ClickTick]],TabCalc[Ticker],ListLastSalep),2)&amp;"x"&amp;_xlfn.XLOOKUP(TabTRADER[[#This Row],[ClickTick]],TabCalc[Ticker],ListLastSalen)&amp;"=   "&amp;TEXT(-_xlfn.XLOOKUP(TabTRADER[[#This Row],[ClickTick]],TabCalc[Ticker],ListReverseB),"#,#0")&amp;"$","")</f>
        <v>31.1x2000=   45,160$</v>
      </c>
      <c r="H7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42.1% = 0</v>
      </c>
      <c r="I78" s="228" t="str">
        <f ca="1">IFERROR(TRUNC(TabCalc[[#This Row],[L_S1p]],2)&amp;"x"&amp;TabCalc[[#This Row],[L_S1n]]&amp;"=   "&amp;TEXT(TabCalc[[#This Row],[ReverseB1]],"#,#0"),"")</f>
        <v>23.05x2000=   -61,242</v>
      </c>
      <c r="J78" s="297">
        <f ca="1">_xlfn.XLOOKUP(TabTRADER[[#This Row],[ClickTick]],TabCalc[Ticker],ListGravity)</f>
        <v>1.1305886736214605</v>
      </c>
      <c r="K78" s="324" t="str" cm="1">
        <f t="array" aca="1" ref="K78" ca="1">IF(_xlfn.XLOOKUP(TabTRADER[[#This Row],[ClickTick]],TabTRADER[ClickTick],ListExtra_n)&gt;0,_xlfn.XLOOKUP(TabTRADER[[#This Row],[ClickTick]],TabTRADER[ClickTick],ListExtra_n),"")</f>
        <v/>
      </c>
      <c r="L78" s="322" t="str">
        <f ca="1">IF(_xlfn.XLOOKUP(TabTRADER[[#This Row],[ClickTick]],TabCalc[Ticker],ListExtra_n)&gt;0,_xlfn.XLOOKUP(TabTRADER[[#This Row],[ClickTick]],TabCalc[Ticker],ListExtra_n)*TabTRADER[[#This Row],[M]]*_xlfn.XLOOKUP(TabTRADER[[#This Row],[ClickTick]],TabCalc[Ticker],ListScale),"")</f>
        <v/>
      </c>
      <c r="M78" s="325">
        <f ca="1">_xlfn.XLOOKUP(TabTRADER[[#This Row],[ClickTick]],TabCalc[Ticker],TabCalc[Agiotage])</f>
        <v>0.79786255716959531</v>
      </c>
      <c r="N78" s="326" cm="1">
        <f t="array" aca="1" ref="N78" ca="1">_xlfn.XLOOKUP(TabTRADER[[#This Row],[ClickTick]],ListTickers,Tab2RSIConventional[RSIConv20])</f>
        <v>52</v>
      </c>
      <c r="O78" s="712" t="str">
        <f ca="1">TEXT(_xlfn.XLOOKUP(TabTRADER[[#This Row],[ClickTick]],TabCalc[Ticker],TabCalc[Nbegin]),"#,#0")&amp;": "&amp;_xlfn.XLOOKUP(TabTRADER[[#This Row],[ClickTick]],TabCalc[Ticker],TabCalc[Pile?])</f>
        <v>5,000: Pile</v>
      </c>
      <c r="P78" s="746">
        <f ca="1">_xlfn.XLOOKUP(TabTRADER[[#This Row],[ClickTick]],TabCalc[Ticker],TabCalc[L_Bn])</f>
        <v>2000</v>
      </c>
      <c r="Q78" s="690">
        <f ca="1">_xlfn.XLOOKUP(TabTRADER[[#This Row],[ClickTick]],TabCalc[Ticker],TabCalc[L_Bp])</f>
        <v>-28.94</v>
      </c>
      <c r="R78" s="778">
        <f ca="1">(TabTRADER[[#This Row],[M]]+TabTRADER[[#This Row],[L_Bp]])/ABS(TabTRADER[[#This Row],[L_Bp]])</f>
        <v>0.85487214927436062</v>
      </c>
      <c r="S78" s="692">
        <f ca="1">_xlfn.XLOOKUP(TabTRADER[[#This Row],[ClickTick]],TabCalc[Ticker],TabCalc[Rev(MinStock)])*(1-Commission)</f>
        <v>0</v>
      </c>
      <c r="T78" s="798">
        <f ca="1">_xlfn.XLOOKUP(TabTRADER[[#This Row],[ClickTick]],TabCalc[Ticker],TabCalc[Agiotage])</f>
        <v>0.79786255716959531</v>
      </c>
      <c r="U78" s="759" t="str" cm="1">
        <f t="array" aca="1" ref="U7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0/0=&gt;0.2% / 0.2%</v>
      </c>
      <c r="V78" s="751" t="str">
        <f ca="1">_xlfn.XLOOKUP(TabTRADER[[#This Row],[ClickTick]],[1]!RTData[Ticker symbol],[1]!RTData[Currency])</f>
        <v>EUR</v>
      </c>
      <c r="W78" s="761">
        <f ca="1">_xlfn.XLOOKUP(TabTRADER[[#This Row],[ClickTick]],TabCalc[Ticker],TabCalc[M])</f>
        <v>53.68</v>
      </c>
      <c r="X78" s="719" t="str">
        <f ca="1">SORTING!B78</f>
        <v>GLE</v>
      </c>
      <c r="Y78" s="819">
        <f ca="1">_xlfn.XLOOKUP(TabTRADER[[#This Row],[ClickTick]],TabCalc[Ticker],TabCalc[Y])</f>
        <v>60.69</v>
      </c>
      <c r="Z78" s="835">
        <f ca="1">_xlfn.XLOOKUP(TabTRADER[[#This Row],[ClickTick]],[1]!RTData[Ticker symbol],[1]!RTData[YTChange])</f>
        <v>1.5392337292956242E-2</v>
      </c>
      <c r="AA78" s="851">
        <f ca="1">-_xlfn.XLOOKUP(TabTRADER[[#This Row],[ClickTick]]&amp;2,Consolid!B$3:JZ$3,Consolid!B$4:JZ$4)</f>
        <v>0</v>
      </c>
      <c r="AB78" s="835" cm="1">
        <f t="array" aca="1" ref="AB78" ca="1">_xlfn.XLOOKUP(TabTRADER[[#This Row],[ClickTick]],ListTickers,Tab1ChangePercent[Change%19])</f>
        <v>1.8659999999999998E-3</v>
      </c>
      <c r="AC78" s="782">
        <f ca="1">_xlfn.XLOOKUP(TabTRADER[[#This Row],[ClickTick]],TabCalc[Ticker],TabCalc[NAfter])</f>
        <v>0</v>
      </c>
      <c r="AD78"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^43/0 K$</v>
      </c>
      <c r="AE78" s="1299" t="str" cm="1">
        <f t="array" aca="1" ref="AE7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8" s="1281" t="str" cm="1">
        <f t="array" aca="1" ref="AF78" ca="1">_xlfn.IFS(       TabTRADER[[#This Row],[Traps]]=RePurchaseGain,TEXT(TabTRADER[[#This Row],[L_Sn]],"#,#0")&amp;" x "&amp;TEXT(TabTRADER[[#This Row],[L_Sp]],"#,#0.#0"),     TabTRADER[[#This Row],[Traps]]=ReSaleGain,TEXT(TabTRADER[[#This Row],[L_Bn]],"#0,#0")&amp;" x "&amp;TEXT(TabTRADER[[#This Row],[L_Bp]],"#,#0.#0"),               TRUE,"")</f>
        <v/>
      </c>
      <c r="AG78" s="1281" t="str" cm="1">
        <f t="array" aca="1" ref="AG7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8" s="1281" t="str" cm="1">
        <f t="array" aca="1" ref="AH7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8" s="1281" t="str" cm="1">
        <f t="array" aca="1" ref="AI7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8" s="1290" t="str" cm="1">
        <f t="array" aca="1" ref="AJ7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8" s="1290" t="str" cm="1">
        <f t="array" aca="1" ref="AK7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8" s="843" t="str" cm="1">
        <f t="array" aca="1" ref="AL78" ca="1">_xlfn.IFS(   TabTRADER[[#This Row],[Traps]]=SellMorePercentGain,                     MIN(TabTRADER[[#This Row],[L_Sn]],TabTRADER[[#This Row],[N]])*(TabTRADER[[#This Row],[M]]-TabTRADER[[#This Row],[L_Sp]])*(1-Commission)*TabTRADER[[#This Row],[Scale]],                    TRUE,"")</f>
        <v/>
      </c>
      <c r="AM78" s="1296">
        <f ca="1">_xlfn.XLOOKUP(TabTRADER[[#This Row],[ClickTick]],TabCalc[Ticker],TabCalc[Ann%RevLB])</f>
        <v>1.0913261480098222</v>
      </c>
      <c r="AN78" s="1392">
        <f ca="1">_xlfn.XLOOKUP(TabTRADER[[#This Row],[ClickTick]],TabCalc[Ticker],TabCalc[Up20])</f>
        <v>0.38095238095238093</v>
      </c>
      <c r="AO78" s="1291" t="str" cm="1">
        <f t="array" aca="1" ref="AO7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8" s="843" t="str" cm="1">
        <f t="array" aca="1" ref="AP78" ca="1">_xlfn.IFS(         TabTRADER[[#This Row],[Traps]]=MDown,TabTRADER[[#This Row],[L_Bn]]*TabTRADER[[#This Row],[M]]*(-(TabTRADER[[#This Row],[L_Bp]]+TabTRADER[[#This Row],[M]])/TabTRADER[[#This Row],[M]])*(1-Commission)*TabTRADER[[#This Row],[Scale]],                               TRUE,"")</f>
        <v/>
      </c>
      <c r="AQ78" s="1290" t="str" cm="1">
        <f t="array" aca="1" ref="AQ78" ca="1">_xlfn.IFS(   TabTRADER[[#This Row],[Traps]]=MUp,TabTRADER[[#This Row],[TakeGain_A]]-Commission,        TabTRADER[[#This Row],[Traps]]=MDown,(TabTRADER[[#This Row],[A]]-TabTRADER[[#This Row],[M]])/TabTRADER[[#This Row],[M]]-Commission,                              TRUE,"")</f>
        <v/>
      </c>
      <c r="AR78" s="774" cm="1">
        <f t="array" aca="1" ref="AR7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8" s="774" t="str" cm="1">
        <f t="array" aca="1" ref="AS7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-0.6%</v>
      </c>
      <c r="AT78" s="748" t="str" cm="1">
        <f t="array" aca="1" ref="AT7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0x53.68</v>
      </c>
      <c r="AU78" s="779" t="str" cm="1">
        <f t="array" aca="1" ref="AU78" ca="1">_xlfn.IFS(TabTRADER[[#This Row],[Traps]]=ReSaleGain,"",         TabTRADER[[#This Row],[Traps]]=MDown, (TabTRADER[[#This Row],[M]]-TabTRADER[[#This Row],[A]])/TabTRADER[[#This Row],[A]]*ComFactor,             TRUE, IFERROR((TabTRADER[[#This Row],[M]]-TabTRADER[[#This Row],[A]])/TabTRADER[[#This Row],[A]]*ComFactor,""))</f>
        <v/>
      </c>
      <c r="AV78" s="776" cm="1">
        <f t="array" aca="1" ref="AV78" ca="1">_xlfn.IFS(               TabTRADER[[#This Row],[Traps]]=NoStock,(TabTRADER[[#This Row],[L_Sp]]-TabTRADER[[#This Row],[M]])/TabTRADER[[#This Row],[M]]-Commission,             TabTRADER[[#This Row],[A]]&lt;&gt;0,(TabTRADER[[#This Row],[A]]-TabTRADER[[#This Row],[M]])/TabTRADER[[#This Row],[M]]-Commission)</f>
        <v>-0.42324083457526079</v>
      </c>
      <c r="AW78" s="326">
        <f ca="1">_xlfn.XLOOKUP(TabTRADER[[#This Row],[ClickTick]],TabCalc[Ticker],TabCalc[L_Sn])</f>
        <v>2000</v>
      </c>
      <c r="AX78" s="740">
        <f ca="1">_xlfn.XLOOKUP(TabTRADER[[#This Row],[ClickTick]],TabCalc[Ticker],TabCalc[L_Sp])</f>
        <v>31.1</v>
      </c>
      <c r="AY78" s="778">
        <f ca="1">-IFERROR((TabTRADER[[#This Row],[M]]-TabTRADER[[#This Row],[L_Sp]])/TabTRADER[[#This Row],[L_Sp]],0)</f>
        <v>-0.72604501607717031</v>
      </c>
      <c r="AZ78" s="741">
        <f ca="1">TabTRADER[[#This Row],[L_Sn]]*(TabTRADER[[#This Row],[M]]-TabTRADER[[#This Row],[L_Sp]])*(1-Commission)*TabTRADER[[#This Row],[Scale]]</f>
        <v>45042.583999999995</v>
      </c>
      <c r="BA78" s="701">
        <f ca="1">TabTRADER[[#This Row],[L_Sn]]*(TabTRADER[[#This Row],[Agiotage]]-TabTRADER[[#This Row],[M]])/(TabTRADER[[#This Row],[L_Bn]]*TabTRADER[[#This Row],[M]])</f>
        <v>-0.98513668857731751</v>
      </c>
      <c r="BB78" s="641">
        <f ca="1">IFERROR((TabTRADER[[#This Row],[M]]-TabTRADER[[#This Row],[A]])/TabTRADER[[#This Row],[A]],0)</f>
        <v>0</v>
      </c>
      <c r="BC78" s="644" t="str">
        <f ca="1">TEXT(_xlfn.XLOOKUP(TabTRADER[[#This Row],[ClickTick]],TabCalc[Ticker],TabCalc[NAfter]),"#,#0")&amp;" : "&amp;TEXT(_xlfn.XLOOKUP(TabTRADER[[#This Row],[ClickTick]],TabCalc[Ticker],TabCalc[NAfter])*(TabTRADER[[#This Row],[M]]-TabTRADER[[#This Row],[A]])*(1-Commission)*TabTRADER[[#This Row],[Scale]],"#,#0$")</f>
        <v>0 : 0$</v>
      </c>
      <c r="BD78" s="693">
        <f ca="1">_xlfn.XLOOKUP(TabTRADER[[#This Row],[ClickTick]],TabCalc[[#This Row],[Ticker]],TabCalc[[#This Row],[GL]])*(1-Commission)</f>
        <v>43360.049991999993</v>
      </c>
      <c r="BE78" s="693"/>
      <c r="BF78" s="675" t="str">
        <f ca="1">TabTRADER[[#This Row],[ClickTick]]&amp;": "&amp;_xlfn.XLOOKUP(TabTRADER[[#This Row],[ClickTick]],TabCalc[Ticker],TabCalc[Pile?])</f>
        <v>GLE: Pile</v>
      </c>
      <c r="BG78" s="353" t="s">
        <v>2058</v>
      </c>
      <c r="BH78" s="769" t="str" cm="1">
        <f t="array" aca="1" ref="BH78" ca="1">_xlfn.TEXTJOIN("",,INDEX({"M","A","Y"}, _xlfn.SORTBY({1,2,3}, -CHOOSE({1,2,3}, TabTRADER[[#This Row],[M]], TabTRADER[[#This Row],[A]], TabTRADER[[#This Row],[Agiotage]]))))</f>
        <v>MYA</v>
      </c>
      <c r="BI78" s="976" t="str" cm="1">
        <f t="array" aca="1" ref="BI7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8" s="688" t="e">
        <f ca="1">TabTRADER[[#This Row],[L_Sn]]*TabTRADER[[#This Row],[L_Sp]]+TabTRADER[[#This Row],[SellMore]]*TabTRADER[[#This Row],[M]]</f>
        <v>#N/A</v>
      </c>
      <c r="BK78" s="688" t="e">
        <f ca="1">INDEX(
  INDEX(TabConsolid[], , _xlfn.XMATCH(TabTRADER[[#This Row],[ClickTick]]&amp;1, TabConsolid[#Headers])),
  MATCH(
    -TabTRADER[[#This Row],[M]],
    INDEX(TabConsolid[], , _xlfn.XMATCH(TabTRADER[[#This Row],[ClickTick]]&amp;2, TabConsolid[#Headers])),
    -1
  )
)</f>
        <v>#N/A</v>
      </c>
      <c r="BL78" s="688" cm="1">
        <f t="array" aca="1" ref="BL7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8" s="1260" t="e">
        <f ca="1">TabTRADER[[#This Row],[ReBuy]]/(TabTRADER[[#This Row],[L_Sn]]+TabTRADER[[#This Row],[SellMore]])</f>
        <v>#N/A</v>
      </c>
      <c r="BN78" s="696" t="e">
        <f ca="1">((_xlfn.XLOOKUP(TabTRADER[[#This Row],[ClickTick]],TabCalc[Ticker],TabCalc[NAfter])+TabTRADER[[#This Row],[L_Sn]])*(TabTRADER[[#This Row],[Agiotage]]-TabTRADER[[#This Row],[M]]))/(TabTRADER[[#This Row],[L_Sn]]*_xlfn.XLOOKUP(TabTRADER[[#This Row],[ClickTick]],TabCalc[Ticker],TabCalc[NAfter]))</f>
        <v>#DIV/0!</v>
      </c>
      <c r="BO78" s="696">
        <f ca="1">(TabTRADER[[#This Row],[M]]-TabTRADER[[#This Row],[Agiotage]])/(TabTRADER[[#This Row],[M]]-TabTRADER[[#This Row],[A]])-1</f>
        <v>-1.486331142268249E-2</v>
      </c>
      <c r="BP78" s="1388">
        <f ca="1">_xlfn.XMATCH(TabTRADER[[#This Row],[ClickTick]]&amp;1, TabConsolid[#Headers])</f>
        <v>230</v>
      </c>
      <c r="BQ78" t="b">
        <f ca="1">IF(ABS(TabTRADER[[#This Row],[L_Bp]])&gt;=TabTRADER[[#This Row],[M]],"OK")</f>
        <v>0</v>
      </c>
    </row>
    <row r="79" spans="1:69">
      <c r="A79" s="225">
        <f ca="1">IF(_xlfn.XLOOKUP(TabTRADER[[#This Row],[ClickTick]],TabCalc[Ticker],TabCalc[Cur])="GBp",0.01,1)</f>
        <v>1</v>
      </c>
      <c r="B7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-183.16x300=    +2,637 USD</v>
      </c>
      <c r="C79"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4.6%</v>
      </c>
      <c r="D79" s="697" t="str" cm="1">
        <f t="array" aca="1" ref="D7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9" s="765" t="str">
        <f ca="1">IF(      AND(TabTRADER[[#This Row],[A]]&lt;TabTRADER[[#This Row],[M]],    _xlfn.XLOOKUP(TabTRADER[[#This Row],[ClickTick]],TabCalc[Ticker],TabCalc[L_Sp])&gt;TabTRADER[[#This Row],[M]]),"BUY  "&amp;TEXT(DesiredBuyGain/TabTRADER[[#This Row],[Scale]]/(_xlfn.XLOOKUP(TabTRADER[[#This Row],[ClickTick]],TabCalc[Ticker],TabCalc[L_Sp])-TabTRADER[[#This Row],[M]]),"#,##0"),"")</f>
        <v>BUY  83,333</v>
      </c>
      <c r="F79" s="228" t="str">
        <f ca="1">TRUNC(TabCalc[[#This Row],[L_B1p]],2)&amp;"x"&amp;TabCalc[[#This Row],[L_B1n]]&amp;"=   "&amp;TEXT(TabCalc[[#This Row],[ReverseS1]],"#,#0")&amp;"$"</f>
        <v>-166.7x200=   5,050$</v>
      </c>
      <c r="G79" s="227" t="str">
        <f ca="1">IFERROR(TRUNC(_xlfn.XLOOKUP(TabTRADER[[#This Row],[ClickTick]],TabCalc[Ticker],ListLastSalep),2)&amp;"x"&amp;_xlfn.XLOOKUP(TabTRADER[[#This Row],[ClickTick]],TabCalc[Ticker],ListLastSalen)&amp;"=   "&amp;TEXT(-_xlfn.XLOOKUP(TabTRADER[[#This Row],[ClickTick]],TabCalc[Ticker],ListReverseB),"#,#0")&amp;"$","")</f>
        <v>192.01x200=   -12$</v>
      </c>
      <c r="H7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0.0% = 83,333</v>
      </c>
      <c r="I79" s="228" t="str">
        <f ca="1">IFERROR(TRUNC(TabCalc[[#This Row],[L_S1p]],2)&amp;"x"&amp;TabCalc[[#This Row],[L_S1n]]&amp;"=   "&amp;TEXT(TabCalc[[#This Row],[ReverseB1]],"#,#0"),"")</f>
        <v>189.91x600=   -1,224</v>
      </c>
      <c r="J79" s="297">
        <f ca="1">_xlfn.XLOOKUP(TabTRADER[[#This Row],[ClickTick]],TabCalc[Ticker],ListGravity)</f>
        <v>1.0595207085178433</v>
      </c>
      <c r="K79" s="324" cm="1">
        <f t="array" aca="1" ref="K79" ca="1">IF(_xlfn.XLOOKUP(TabTRADER[[#This Row],[ClickTick]],TabTRADER[ClickTick],ListExtra_n)&gt;0,_xlfn.XLOOKUP(TabTRADER[[#This Row],[ClickTick]],TabTRADER[ClickTick],ListExtra_n),"")</f>
        <v>350</v>
      </c>
      <c r="L79" s="322">
        <f ca="1">IF(_xlfn.XLOOKUP(TabTRADER[[#This Row],[ClickTick]],TabCalc[Ticker],ListExtra_n)&gt;0,_xlfn.XLOOKUP(TabTRADER[[#This Row],[ClickTick]],TabCalc[Ticker],ListExtra_n)*TabTRADER[[#This Row],[M]]*_xlfn.XLOOKUP(TabTRADER[[#This Row],[ClickTick]],TabCalc[Ticker],ListScale),"")</f>
        <v>67182.5</v>
      </c>
      <c r="M79" s="325">
        <f ca="1">_xlfn.XLOOKUP(TabTRADER[[#This Row],[ClickTick]],TabCalc[Ticker],TabCalc[Agiotage])</f>
        <v>0.75625107713290851</v>
      </c>
      <c r="N79" s="326" cm="1">
        <f t="array" aca="1" ref="N79" ca="1">_xlfn.XLOOKUP(TabTRADER[[#This Row],[ClickTick]],ListTickers,Tab2RSIConventional[RSIConv20])</f>
        <v>64</v>
      </c>
      <c r="O79" s="712" t="str">
        <f ca="1">TEXT(_xlfn.XLOOKUP(TabTRADER[[#This Row],[ClickTick]],TabCalc[Ticker],TabCalc[Nbegin]),"#,#0")&amp;": "&amp;_xlfn.XLOOKUP(TabTRADER[[#This Row],[ClickTick]],TabCalc[Ticker],TabCalc[Pile?])</f>
        <v xml:space="preserve">550: </v>
      </c>
      <c r="P79" s="746">
        <f ca="1">_xlfn.XLOOKUP(TabTRADER[[#This Row],[ClickTick]],TabCalc[Ticker],TabCalc[L_Bn])</f>
        <v>300</v>
      </c>
      <c r="Q79" s="690">
        <f ca="1">_xlfn.XLOOKUP(TabTRADER[[#This Row],[ClickTick]],TabCalc[Ticker],TabCalc[L_Bp])</f>
        <v>-183.16</v>
      </c>
      <c r="R79" s="778">
        <f ca="1">(TabTRADER[[#This Row],[M]]+TabTRADER[[#This Row],[L_Bp]])/ABS(TabTRADER[[#This Row],[L_Bp]])</f>
        <v>4.7990827691635686E-2</v>
      </c>
      <c r="S79" s="692">
        <f ca="1">_xlfn.XLOOKUP(TabTRADER[[#This Row],[ClickTick]],TabCalc[Ticker],TabCalc[Rev(MinStock)])*(1-Commission)</f>
        <v>2630.1437999999976</v>
      </c>
      <c r="T79" s="798">
        <f ca="1">_xlfn.XLOOKUP(TabTRADER[[#This Row],[ClickTick]],TabCalc[Ticker],TabCalc[Agiotage])</f>
        <v>0.75625107713290851</v>
      </c>
      <c r="U79" s="759" t="str" cm="1">
        <f t="array" aca="1" ref="U7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-684/-684=&gt;1.6% / 1.5%</v>
      </c>
      <c r="V79" s="751" t="str">
        <f ca="1">_xlfn.XLOOKUP(TabTRADER[[#This Row],[ClickTick]],[1]!RTData[Ticker symbol],[1]!RTData[Currency])</f>
        <v>USD</v>
      </c>
      <c r="W79" s="761">
        <f ca="1">_xlfn.XLOOKUP(TabTRADER[[#This Row],[ClickTick]],TabCalc[Ticker],TabCalc[M])</f>
        <v>191.95</v>
      </c>
      <c r="X79" s="762" t="str">
        <f ca="1">SORTING!B79</f>
        <v>GNRC</v>
      </c>
      <c r="Y79" s="819">
        <f ca="1">_xlfn.XLOOKUP(TabTRADER[[#This Row],[ClickTick]],TabCalc[Ticker],TabCalc[Y])</f>
        <v>203.375</v>
      </c>
      <c r="Z79" s="835">
        <f ca="1">_xlfn.XLOOKUP(TabTRADER[[#This Row],[ClickTick]],[1]!RTData[Ticker symbol],[1]!RTData[YTChange])</f>
        <v>0.29389871484921742</v>
      </c>
      <c r="AA79" s="851">
        <f ca="1">-_xlfn.XLOOKUP(TabTRADER[[#This Row],[ClickTick]]&amp;2,Consolid!B$3:JZ$3,Consolid!B$4:JZ$4)</f>
        <v>180.93777777777777</v>
      </c>
      <c r="AB79" s="835" cm="1">
        <f t="array" aca="1" ref="AB79" ca="1">_xlfn.XLOOKUP(TabTRADER[[#This Row],[ClickTick]],ListTickers,Tab1ChangePercent[Change%19])</f>
        <v>1.5710999999999999E-2</v>
      </c>
      <c r="AC79" s="782">
        <f ca="1">_xlfn.XLOOKUP(TabTRADER[[#This Row],[ClickTick]],TabCalc[Ticker],TabCalc[NAfter])</f>
        <v>900</v>
      </c>
      <c r="AD79"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^52/173 K$</v>
      </c>
      <c r="AE79" s="1299" t="str" cm="1">
        <f t="array" aca="1" ref="AE7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79" s="1281" t="str" cm="1">
        <f t="array" aca="1" ref="AF79" ca="1">_xlfn.IFS(       TabTRADER[[#This Row],[Traps]]=RePurchaseGain,TEXT(TabTRADER[[#This Row],[L_Sn]],"#,#0")&amp;" x "&amp;TEXT(TabTRADER[[#This Row],[L_Sp]],"#,#0.#0"),     TabTRADER[[#This Row],[Traps]]=ReSaleGain,TEXT(TabTRADER[[#This Row],[L_Bn]],"#0,#0")&amp;" x "&amp;TEXT(TabTRADER[[#This Row],[L_Bp]],"#,#0.#0"),               TRUE,"")</f>
        <v>300 x -183.16</v>
      </c>
      <c r="AG79" s="1281" cm="1">
        <f t="array" aca="1" ref="AG7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2630.1437999999976</v>
      </c>
      <c r="AH79" s="1281" t="str" cm="1">
        <f t="array" aca="1" ref="AH7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9" s="774" cm="1">
        <f t="array" aca="1" ref="AI7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2630.1437999999976</v>
      </c>
      <c r="AJ79" s="1290" cm="1">
        <f t="array" aca="1" ref="AJ7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4.7990827691635686E-2</v>
      </c>
      <c r="AK79" s="1290" t="str" cm="1">
        <f t="array" aca="1" ref="AK7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9" s="843" t="str" cm="1">
        <f t="array" aca="1" ref="AL79" ca="1">_xlfn.IFS(   TabTRADER[[#This Row],[Traps]]=SellMorePercentGain,                     MIN(TabTRADER[[#This Row],[L_Sn]],TabTRADER[[#This Row],[N]])*(TabTRADER[[#This Row],[M]]-TabTRADER[[#This Row],[L_Sp]])*(1-Commission)*TabTRADER[[#This Row],[Scale]],                    TRUE,"")</f>
        <v/>
      </c>
      <c r="AM79" s="1039">
        <f ca="1">_xlfn.XLOOKUP(TabTRADER[[#This Row],[ClickTick]],TabCalc[Ticker],TabCalc[Ann%RevLB])</f>
        <v>4.3191744922472122</v>
      </c>
      <c r="AN79" s="1038">
        <f ca="1">_xlfn.XLOOKUP(TabTRADER[[#This Row],[ClickTick]],TabCalc[Ticker],TabCalc[Up20])</f>
        <v>0.375</v>
      </c>
      <c r="AO79" s="1291" t="str" cm="1">
        <f t="array" aca="1" ref="AO7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9" s="843" t="str" cm="1">
        <f t="array" aca="1" ref="AP79" ca="1">_xlfn.IFS(         TabTRADER[[#This Row],[Traps]]=MDown,TabTRADER[[#This Row],[L_Bn]]*TabTRADER[[#This Row],[M]]*(-(TabTRADER[[#This Row],[L_Bp]]+TabTRADER[[#This Row],[M]])/TabTRADER[[#This Row],[M]])*(1-Commission)*TabTRADER[[#This Row],[Scale]],                               TRUE,"")</f>
        <v/>
      </c>
      <c r="AQ79" s="1290" t="str" cm="1">
        <f t="array" aca="1" ref="AQ79" ca="1">_xlfn.IFS(   TabTRADER[[#This Row],[Traps]]=MUp,TabTRADER[[#This Row],[TakeGain_A]]-Commission,        TabTRADER[[#This Row],[Traps]]=MDown,(TabTRADER[[#This Row],[A]]-TabTRADER[[#This Row],[M]])/TabTRADER[[#This Row],[M]]-Commission,                              TRUE,"")</f>
        <v/>
      </c>
      <c r="AR79" s="843" cm="1">
        <f t="array" aca="1" ref="AR7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10486.86565367468</v>
      </c>
      <c r="AS79" s="774" t="str" cm="1">
        <f t="array" aca="1" ref="AS7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-1.1%</v>
      </c>
      <c r="AT79" s="748" t="str" cm="1">
        <f t="array" aca="1" ref="AT7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79" s="779" t="str" cm="1">
        <f t="array" aca="1" ref="AU79" ca="1">_xlfn.IFS(TabTRADER[[#This Row],[Traps]]=ReSaleGain,"",         TabTRADER[[#This Row],[Traps]]=MDown, (TabTRADER[[#This Row],[M]]-TabTRADER[[#This Row],[A]])/TabTRADER[[#This Row],[A]]*ComFactor,             TRUE, IFERROR((TabTRADER[[#This Row],[M]]-TabTRADER[[#This Row],[A]])/TabTRADER[[#This Row],[A]]*ComFactor,""))</f>
        <v/>
      </c>
      <c r="AV79" s="776" cm="1">
        <f t="array" aca="1" ref="AV79" ca="1">_xlfn.IFS(               TabTRADER[[#This Row],[Traps]]=NoStock,(TabTRADER[[#This Row],[L_Sp]]-TabTRADER[[#This Row],[M]])/TabTRADER[[#This Row],[M]]-Commission,             TabTRADER[[#This Row],[A]]&lt;&gt;0,(TabTRADER[[#This Row],[A]]-TabTRADER[[#This Row],[M]])/TabTRADER[[#This Row],[M]]-Commission)</f>
        <v>-5.9970264247055073E-2</v>
      </c>
      <c r="AW79" s="326">
        <f ca="1">_xlfn.XLOOKUP(TabTRADER[[#This Row],[ClickTick]],TabCalc[Ticker],TabCalc[L_Sn])</f>
        <v>200</v>
      </c>
      <c r="AX79" s="740">
        <f ca="1">_xlfn.XLOOKUP(TabTRADER[[#This Row],[ClickTick]],TabCalc[Ticker],TabCalc[L_Sp])</f>
        <v>192.01</v>
      </c>
      <c r="AY79" s="778">
        <f ca="1">-IFERROR((TabTRADER[[#This Row],[M]]-TabTRADER[[#This Row],[L_Sp]])/TabTRADER[[#This Row],[L_Sp]],0)</f>
        <v>3.1248372480601155E-4</v>
      </c>
      <c r="AZ79" s="741">
        <f ca="1">TabTRADER[[#This Row],[L_Sn]]*(TabTRADER[[#This Row],[M]]-TabTRADER[[#This Row],[L_Sp]])*(1-Commission)*TabTRADER[[#This Row],[Scale]]</f>
        <v>-11.968800000000453</v>
      </c>
      <c r="BA79" s="701">
        <f ca="1">TabTRADER[[#This Row],[L_Sn]]*(TabTRADER[[#This Row],[Agiotage]]-TabTRADER[[#This Row],[M]])/(TabTRADER[[#This Row],[L_Bn]]*TabTRADER[[#This Row],[M]])</f>
        <v>-0.66404011087216142</v>
      </c>
      <c r="BB79" s="641">
        <f ca="1">IFERROR((TabTRADER[[#This Row],[M]]-TabTRADER[[#This Row],[A]])/TabTRADER[[#This Row],[A]],0)</f>
        <v>6.086192920832207E-2</v>
      </c>
      <c r="BC79" s="644" t="str">
        <f ca="1">TEXT(_xlfn.XLOOKUP(TabTRADER[[#This Row],[ClickTick]],TabCalc[Ticker],TabCalc[NAfter]),"#,#0")&amp;" : "&amp;TEXT(_xlfn.XLOOKUP(TabTRADER[[#This Row],[ClickTick]],TabCalc[Ticker],TabCalc[NAfter])*(TabTRADER[[#This Row],[M]]-TabTRADER[[#This Row],[A]])*(1-Commission)*TabTRADER[[#This Row],[Scale]],"#,#0$")</f>
        <v>900 : 9,885$</v>
      </c>
      <c r="BD79" s="693">
        <f ca="1">_xlfn.XLOOKUP(TabTRADER[[#This Row],[ClickTick]],TabCalc[[#This Row],[Ticker]],TabCalc[[#This Row],[GL]])*(1-Commission)</f>
        <v>51571.414790000017</v>
      </c>
      <c r="BE79" s="693"/>
      <c r="BF79" s="675" t="str">
        <f ca="1">TabTRADER[[#This Row],[ClickTick]]&amp;": "&amp;_xlfn.XLOOKUP(TabTRADER[[#This Row],[ClickTick]],TabCalc[Ticker],TabCalc[Pile?])</f>
        <v xml:space="preserve">GNRC: </v>
      </c>
      <c r="BG79" s="353" t="s">
        <v>2059</v>
      </c>
      <c r="BH79" s="769" t="str" cm="1">
        <f t="array" aca="1" ref="BH79" ca="1">_xlfn.TEXTJOIN("",,INDEX({"M","A","Y"}, _xlfn.SORTBY({1,2,3}, -CHOOSE({1,2,3}, TabTRADER[[#This Row],[M]], TabTRADER[[#This Row],[A]], TabTRADER[[#This Row],[Agiotage]]))))</f>
        <v>MAY</v>
      </c>
      <c r="BI79" s="976" t="str" cm="1">
        <f t="array" aca="1" ref="BI7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9" s="688">
        <f ca="1">TabTRADER[[#This Row],[L_Sn]]*TabTRADER[[#This Row],[L_Sp]]+TabTRADER[[#This Row],[SellMore]]*TabTRADER[[#This Row],[M]]</f>
        <v>115182</v>
      </c>
      <c r="BK79" s="688">
        <f ca="1">INDEX(
  INDEX(TabConsolid[], , _xlfn.XMATCH(TabTRADER[[#This Row],[ClickTick]]&amp;1, TabConsolid[#Headers])),
  MATCH(
    -TabTRADER[[#This Row],[M]],
    INDEX(TabConsolid[], , _xlfn.XMATCH(TabTRADER[[#This Row],[ClickTick]]&amp;2, TabConsolid[#Headers])),
    -1
  )
)</f>
        <v>400</v>
      </c>
      <c r="BL79" s="688" cm="1">
        <f t="array" aca="1" ref="BL7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v>
      </c>
      <c r="BM79" s="1260">
        <f ca="1">TabTRADER[[#This Row],[ReBuy]]/(TabTRADER[[#This Row],[L_Sn]]+TabTRADER[[#This Row],[SellMore]])</f>
        <v>191.97</v>
      </c>
      <c r="BN79" s="696">
        <f ca="1">((_xlfn.XLOOKUP(TabTRADER[[#This Row],[ClickTick]],TabCalc[Ticker],TabCalc[NAfter])+TabTRADER[[#This Row],[L_Sn]])*(TabTRADER[[#This Row],[Agiotage]]-TabTRADER[[#This Row],[M]]))/(TabTRADER[[#This Row],[L_Sn]]*_xlfn.XLOOKUP(TabTRADER[[#This Row],[ClickTick]],TabCalc[Ticker],TabCalc[NAfter]))</f>
        <v>-1.1684062434175211</v>
      </c>
      <c r="BO79" s="696">
        <f ca="1">(TabTRADER[[#This Row],[M]]-TabTRADER[[#This Row],[Agiotage]])/(TabTRADER[[#This Row],[M]]-TabTRADER[[#This Row],[A]])-1</f>
        <v>16.361958836704712</v>
      </c>
      <c r="BP79" s="1388">
        <f ca="1">_xlfn.XMATCH(TabTRADER[[#This Row],[ClickTick]]&amp;1, TabConsolid[#Headers])</f>
        <v>233</v>
      </c>
      <c r="BQ79" t="b">
        <f ca="1">IF(ABS(TabTRADER[[#This Row],[L_Bp]])&gt;=TabTRADER[[#This Row],[M]],"OK")</f>
        <v>0</v>
      </c>
    </row>
    <row r="80" spans="1:69" hidden="1">
      <c r="A80" s="225">
        <f ca="1">IF(_xlfn.XLOOKUP(TabTRADER[[#This Row],[ClickTick]],TabCalc[Ticker],TabCalc[Cur])="GBp",0.01,1)</f>
        <v>1</v>
      </c>
      <c r="B8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-561.6x100=    0 USD</v>
      </c>
      <c r="C80"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28.4%</v>
      </c>
      <c r="D80" s="697" t="str" cm="1">
        <f t="array" aca="1" ref="D8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0"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80" s="228" t="str">
        <f ca="1">TRUNC(TabCalc[[#This Row],[L_B1p]],2)&amp;"x"&amp;TabCalc[[#This Row],[L_B1n]]&amp;"=   "&amp;TEXT(TabCalc[[#This Row],[ReverseS1]],"#,#0")&amp;"$"</f>
        <v>-486.09x200=   0$</v>
      </c>
      <c r="G80" s="227" t="str">
        <f ca="1">IFERROR(TRUNC(_xlfn.XLOOKUP(TabTRADER[[#This Row],[ClickTick]],TabCalc[Ticker],ListLastSalep),2)&amp;"x"&amp;_xlfn.XLOOKUP(TabTRADER[[#This Row],[ClickTick]],TabCalc[Ticker],ListLastSalen)&amp;"=   "&amp;TEXT(-_xlfn.XLOOKUP(TabTRADER[[#This Row],[ClickTick]],TabCalc[Ticker],ListReverseB),"#,#0")&amp;"$","")</f>
        <v>631.9x100=   15,198$</v>
      </c>
      <c r="H8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-19.4% = 0</v>
      </c>
      <c r="I80" s="228" t="str">
        <f ca="1">IFERROR(TRUNC(TabCalc[[#This Row],[L_S1p]],2)&amp;"x"&amp;TabCalc[[#This Row],[L_S1n]]&amp;"=   "&amp;TEXT(TabCalc[[#This Row],[ReverseB1]],"#,#0"),"")</f>
        <v>495.03x100=   -28,885</v>
      </c>
      <c r="J80" s="297">
        <f ca="1">_xlfn.XLOOKUP(TabTRADER[[#This Row],[ClickTick]],TabCalc[Ticker],ListGravity)</f>
        <v>0.97551181303260703</v>
      </c>
      <c r="K80" s="324" t="str" cm="1">
        <f t="array" aca="1" ref="K80" ca="1">IF(_xlfn.XLOOKUP(TabTRADER[[#This Row],[ClickTick]],TabTRADER[ClickTick],ListExtra_n)&gt;0,_xlfn.XLOOKUP(TabTRADER[[#This Row],[ClickTick]],TabTRADER[ClickTick],ListExtra_n),"")</f>
        <v/>
      </c>
      <c r="L80" s="322" t="str">
        <f ca="1">IF(_xlfn.XLOOKUP(TabTRADER[[#This Row],[ClickTick]],TabCalc[Ticker],ListExtra_n)&gt;0,_xlfn.XLOOKUP(TabTRADER[[#This Row],[ClickTick]],TabCalc[Ticker],ListExtra_n)*TabTRADER[[#This Row],[M]]*_xlfn.XLOOKUP(TabTRADER[[#This Row],[ClickTick]],TabCalc[Ticker],ListScale),"")</f>
        <v/>
      </c>
      <c r="M80" s="325">
        <f ca="1">_xlfn.XLOOKUP(TabTRADER[[#This Row],[ClickTick]],TabCalc[Ticker],TabCalc[Agiotage])</f>
        <v>1.1912264037021929</v>
      </c>
      <c r="N80" s="326" cm="1">
        <f t="array" aca="1" ref="N80" ca="1">_xlfn.XLOOKUP(TabTRADER[[#This Row],[ClickTick]],ListTickers,Tab2RSIConventional[RSIConv20])</f>
        <v>49</v>
      </c>
      <c r="O80" s="712" t="str">
        <f ca="1">TEXT(_xlfn.XLOOKUP(TabTRADER[[#This Row],[ClickTick]],TabCalc[Ticker],TabCalc[Nbegin]),"#,#0")&amp;": "&amp;_xlfn.XLOOKUP(TabTRADER[[#This Row],[ClickTick]],TabCalc[Ticker],TabCalc[Pile?])</f>
        <v>310: Pile</v>
      </c>
      <c r="P80" s="326">
        <f ca="1">_xlfn.XLOOKUP(TabTRADER[[#This Row],[ClickTick]],TabCalc[Ticker],TabCalc[L_Bn])</f>
        <v>100</v>
      </c>
      <c r="Q80" s="690">
        <f ca="1">_xlfn.XLOOKUP(TabTRADER[[#This Row],[ClickTick]],TabCalc[Ticker],TabCalc[L_Bp])</f>
        <v>-561.60149999999999</v>
      </c>
      <c r="R80" s="778">
        <f ca="1">(TabTRADER[[#This Row],[M]]+TabTRADER[[#This Row],[L_Bp]])/ABS(TabTRADER[[#This Row],[L_Bp]])</f>
        <v>0.39579399271547533</v>
      </c>
      <c r="S80" s="692">
        <f ca="1">_xlfn.XLOOKUP(TabTRADER[[#This Row],[ClickTick]],TabCalc[Ticker],TabCalc[Rev(MinStock)])*(1-Commission)</f>
        <v>0</v>
      </c>
      <c r="T80" s="798">
        <f ca="1">_xlfn.XLOOKUP(TabTRADER[[#This Row],[ClickTick]],TabCalc[Ticker],TabCalc[Agiotage])</f>
        <v>1.1912264037021929</v>
      </c>
      <c r="U80" s="759" t="str" cm="1">
        <f t="array" aca="1" ref="U8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0/0=&gt;4.4% / 4.4%</v>
      </c>
      <c r="V80" s="751" t="str">
        <f ca="1">_xlfn.XLOOKUP(TabTRADER[[#This Row],[ClickTick]],[1]!RTData[Ticker symbol],[1]!RTData[Currency])</f>
        <v>USD</v>
      </c>
      <c r="W80" s="761">
        <f ca="1">_xlfn.XLOOKUP(TabTRADER[[#This Row],[ClickTick]],TabCalc[Ticker],TabCalc[M])</f>
        <v>783.88</v>
      </c>
      <c r="X80" s="762" t="str">
        <f ca="1">SORTING!B80</f>
        <v>GS</v>
      </c>
      <c r="Y80" s="819">
        <f ca="1">_xlfn.XLOOKUP(TabTRADER[[#This Row],[ClickTick]],TabCalc[Ticker],TabCalc[Y])</f>
        <v>764.68420000000003</v>
      </c>
      <c r="Z80" s="835">
        <f ca="1">_xlfn.XLOOKUP(TabTRADER[[#This Row],[ClickTick]],[1]!RTData[Ticker symbol],[1]!RTData[YTChange])</f>
        <v>0.68466039523253508</v>
      </c>
      <c r="AA80" s="851">
        <f ca="1">-_xlfn.XLOOKUP(TabTRADER[[#This Row],[ClickTick]]&amp;2,Consolid!B$3:JZ$3,Consolid!B$4:JZ$4)</f>
        <v>0</v>
      </c>
      <c r="AB80" s="835" cm="1">
        <f t="array" aca="1" ref="AB80" ca="1">_xlfn.XLOOKUP(TabTRADER[[#This Row],[ClickTick]],ListTickers,Tab1ChangePercent[Change%19])</f>
        <v>4.4074000000000002E-2</v>
      </c>
      <c r="AC80" s="782">
        <f ca="1">_xlfn.XLOOKUP(TabTRADER[[#This Row],[ClickTick]],TabCalc[Ticker],TabCalc[NAfter])</f>
        <v>0</v>
      </c>
      <c r="AD80"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^46/0 K$</v>
      </c>
      <c r="AE80" s="1299" t="str" cm="1">
        <f t="array" aca="1" ref="AE8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80" s="1281" t="str" cm="1">
        <f t="array" aca="1" ref="AF80" ca="1">_xlfn.IFS(       TabTRADER[[#This Row],[Traps]]=RePurchaseGain,TEXT(TabTRADER[[#This Row],[L_Sn]],"#,#0")&amp;" x "&amp;TEXT(TabTRADER[[#This Row],[L_Sp]],"#,#0.#0"),     TabTRADER[[#This Row],[Traps]]=ReSaleGain,TEXT(TabTRADER[[#This Row],[L_Bn]],"#0,#0")&amp;" x "&amp;TEXT(TabTRADER[[#This Row],[L_Bp]],"#,#0.#0"),               TRUE,"")</f>
        <v/>
      </c>
      <c r="AG80" s="1281" t="str" cm="1">
        <f t="array" aca="1" ref="AG8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80" s="1281" t="str" cm="1">
        <f t="array" aca="1" ref="AH8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0" s="774" t="str" cm="1">
        <f t="array" aca="1" ref="AI8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80" s="1290" t="str" cm="1">
        <f t="array" aca="1" ref="AJ8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80" s="1290" t="str" cm="1">
        <f t="array" aca="1" ref="AK8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80" s="843" t="str" cm="1">
        <f t="array" aca="1" ref="AL80" ca="1">_xlfn.IFS(   TabTRADER[[#This Row],[Traps]]=SellMorePercentGain,                     MIN(TabTRADER[[#This Row],[L_Sn]],TabTRADER[[#This Row],[N]])*(TabTRADER[[#This Row],[M]]-TabTRADER[[#This Row],[L_Sp]])*(1-Commission)*TabTRADER[[#This Row],[Scale]],                    TRUE,"")</f>
        <v/>
      </c>
      <c r="AM80" s="1296">
        <f ca="1">_xlfn.XLOOKUP(TabTRADER[[#This Row],[ClickTick]],TabCalc[Ticker],TabCalc[Ann%RevLB])</f>
        <v>0.36534830096813103</v>
      </c>
      <c r="AN80" s="1392">
        <f ca="1">_xlfn.XLOOKUP(TabTRADER[[#This Row],[ClickTick]],TabCalc[Ticker],TabCalc[Up20])</f>
        <v>0.5714285714285714</v>
      </c>
      <c r="AO80" s="1291" t="str" cm="1">
        <f t="array" aca="1" ref="AO8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80" s="843" t="str" cm="1">
        <f t="array" aca="1" ref="AP80" ca="1">_xlfn.IFS(         TabTRADER[[#This Row],[Traps]]=MDown,TabTRADER[[#This Row],[L_Bn]]*TabTRADER[[#This Row],[M]]*(-(TabTRADER[[#This Row],[L_Bp]]+TabTRADER[[#This Row],[M]])/TabTRADER[[#This Row],[M]])*(1-Commission)*TabTRADER[[#This Row],[Scale]],                               TRUE,"")</f>
        <v/>
      </c>
      <c r="AQ80" s="1290" t="str" cm="1">
        <f t="array" aca="1" ref="AQ80" ca="1">_xlfn.IFS(   TabTRADER[[#This Row],[Traps]]=MUp,TabTRADER[[#This Row],[TakeGain_A]]-Commission,        TabTRADER[[#This Row],[Traps]]=MDown,(TabTRADER[[#This Row],[A]]-TabTRADER[[#This Row],[M]])/TabTRADER[[#This Row],[M]]-Commission,                              TRUE,"")</f>
        <v/>
      </c>
      <c r="AR80" s="774" cm="1">
        <f t="array" aca="1" ref="AR8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80" s="774" t="str" cm="1">
        <f t="array" aca="1" ref="AS8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0.7%</v>
      </c>
      <c r="AT80" s="748" t="str" cm="1">
        <f t="array" aca="1" ref="AT8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0x783.88</v>
      </c>
      <c r="AU80" s="779" t="str" cm="1">
        <f t="array" aca="1" ref="AU80" ca="1">_xlfn.IFS(TabTRADER[[#This Row],[Traps]]=ReSaleGain,"",         TabTRADER[[#This Row],[Traps]]=MDown, (TabTRADER[[#This Row],[M]]-TabTRADER[[#This Row],[A]])/TabTRADER[[#This Row],[A]]*ComFactor,             TRUE, IFERROR((TabTRADER[[#This Row],[M]]-TabTRADER[[#This Row],[A]])/TabTRADER[[#This Row],[A]]*ComFactor,""))</f>
        <v/>
      </c>
      <c r="AV80" s="776" cm="1">
        <f t="array" aca="1" ref="AV80" ca="1">_xlfn.IFS(               TabTRADER[[#This Row],[Traps]]=NoStock,(TabTRADER[[#This Row],[L_Sp]]-TabTRADER[[#This Row],[M]])/TabTRADER[[#This Row],[M]]-Commission,             TabTRADER[[#This Row],[A]]&lt;&gt;0,(TabTRADER[[#This Row],[A]]-TabTRADER[[#This Row],[M]])/TabTRADER[[#This Row],[M]]-Commission)</f>
        <v>-0.19648171658927388</v>
      </c>
      <c r="AW80" s="326">
        <f ca="1">_xlfn.XLOOKUP(TabTRADER[[#This Row],[ClickTick]],TabCalc[Ticker],TabCalc[L_Sn])</f>
        <v>100</v>
      </c>
      <c r="AX80" s="740">
        <f ca="1">_xlfn.XLOOKUP(TabTRADER[[#This Row],[ClickTick]],TabCalc[Ticker],TabCalc[L_Sp])</f>
        <v>631.9</v>
      </c>
      <c r="AY80" s="778">
        <f ca="1">-IFERROR((TabTRADER[[#This Row],[M]]-TabTRADER[[#This Row],[L_Sp]])/TabTRADER[[#This Row],[L_Sp]],0)</f>
        <v>-0.24051273935749332</v>
      </c>
      <c r="AZ80" s="741">
        <f ca="1">TabTRADER[[#This Row],[L_Sn]]*(TabTRADER[[#This Row],[M]]-TabTRADER[[#This Row],[L_Sp]])*(1-Commission)*TabTRADER[[#This Row],[Scale]]</f>
        <v>15158.485200000001</v>
      </c>
      <c r="BA80" s="701">
        <f ca="1">TabTRADER[[#This Row],[L_Sn]]*(TabTRADER[[#This Row],[Agiotage]]-TabTRADER[[#This Row],[M]])/(TabTRADER[[#This Row],[L_Bn]]*TabTRADER[[#This Row],[M]])</f>
        <v>-0.99848034596659929</v>
      </c>
      <c r="BB80" s="641">
        <f ca="1">IFERROR((TabTRADER[[#This Row],[M]]-TabTRADER[[#This Row],[A]])/TabTRADER[[#This Row],[A]],0)</f>
        <v>0</v>
      </c>
      <c r="BC80" s="644" t="str">
        <f ca="1">TEXT(_xlfn.XLOOKUP(TabTRADER[[#This Row],[ClickTick]],TabCalc[Ticker],TabCalc[NAfter]),"#,#0")&amp;" : "&amp;TEXT(_xlfn.XLOOKUP(TabTRADER[[#This Row],[ClickTick]],TabCalc[Ticker],TabCalc[NAfter])*(TabTRADER[[#This Row],[M]]-TabTRADER[[#This Row],[A]])*(1-Commission)*TabTRADER[[#This Row],[Scale]],"#,#0$")</f>
        <v>0 : 0$</v>
      </c>
      <c r="BD80" s="693">
        <f ca="1">_xlfn.XLOOKUP(TabTRADER[[#This Row],[ClickTick]],TabCalc[[#This Row],[Ticker]],TabCalc[[#This Row],[GL]])*(1-Commission)</f>
        <v>45798.352878600024</v>
      </c>
      <c r="BE80" s="693"/>
      <c r="BF80" s="675" t="str">
        <f ca="1">TabTRADER[[#This Row],[ClickTick]]&amp;": "&amp;_xlfn.XLOOKUP(TabTRADER[[#This Row],[ClickTick]],TabCalc[Ticker],TabCalc[Pile?])</f>
        <v>GS: Pile</v>
      </c>
      <c r="BG80" s="353" t="s">
        <v>2060</v>
      </c>
      <c r="BH80" s="769" t="str" cm="1">
        <f t="array" aca="1" ref="BH80" ca="1">_xlfn.TEXTJOIN("",,INDEX({"M","A","Y"}, _xlfn.SORTBY({1,2,3}, -CHOOSE({1,2,3}, TabTRADER[[#This Row],[M]], TabTRADER[[#This Row],[A]], TabTRADER[[#This Row],[Agiotage]]))))</f>
        <v>MYA</v>
      </c>
      <c r="BI80" s="976" t="str" cm="1">
        <f t="array" aca="1" ref="BI8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80" s="688" t="e">
        <f ca="1">TabTRADER[[#This Row],[L_Sn]]*TabTRADER[[#This Row],[L_Sp]]+TabTRADER[[#This Row],[SellMore]]*TabTRADER[[#This Row],[M]]</f>
        <v>#N/A</v>
      </c>
      <c r="BK80" s="688" t="e">
        <f ca="1">INDEX(
  INDEX(TabConsolid[], , _xlfn.XMATCH(TabTRADER[[#This Row],[ClickTick]]&amp;1, TabConsolid[#Headers])),
  MATCH(
    -TabTRADER[[#This Row],[M]],
    INDEX(TabConsolid[], , _xlfn.XMATCH(TabTRADER[[#This Row],[ClickTick]]&amp;2, TabConsolid[#Headers])),
    -1
  )
)</f>
        <v>#N/A</v>
      </c>
      <c r="BL80" s="688" cm="1">
        <f t="array" aca="1" ref="BL8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0" s="1260" t="e">
        <f ca="1">TabTRADER[[#This Row],[ReBuy]]/(TabTRADER[[#This Row],[L_Sn]]+TabTRADER[[#This Row],[SellMore]])</f>
        <v>#N/A</v>
      </c>
      <c r="BN80" s="696" t="e">
        <f ca="1">((_xlfn.XLOOKUP(TabTRADER[[#This Row],[ClickTick]],TabCalc[Ticker],TabCalc[NAfter])+TabTRADER[[#This Row],[L_Sn]])*(TabTRADER[[#This Row],[Agiotage]]-TabTRADER[[#This Row],[M]]))/(TabTRADER[[#This Row],[L_Sn]]*_xlfn.XLOOKUP(TabTRADER[[#This Row],[ClickTick]],TabCalc[Ticker],TabCalc[NAfter]))</f>
        <v>#DIV/0!</v>
      </c>
      <c r="BO80" s="696">
        <f ca="1">(TabTRADER[[#This Row],[M]]-TabTRADER[[#This Row],[Agiotage]])/(TabTRADER[[#This Row],[M]]-TabTRADER[[#This Row],[A]])-1</f>
        <v>-1.5196540334008191E-3</v>
      </c>
      <c r="BP80" s="1388">
        <f ca="1">_xlfn.XMATCH(TabTRADER[[#This Row],[ClickTick]]&amp;1, TabConsolid[#Headers])</f>
        <v>236</v>
      </c>
      <c r="BQ80" t="b">
        <f ca="1">IF(ABS(TabTRADER[[#This Row],[L_Bp]])&gt;=TabTRADER[[#This Row],[M]],"OK")</f>
        <v>0</v>
      </c>
    </row>
    <row r="81" spans="1:69" hidden="1">
      <c r="A81" s="225">
        <f ca="1">IF(_xlfn.XLOOKUP(TabTRADER[[#This Row],[ClickTick]],TabCalc[Ticker],TabCalc[Cur])="GBp",0.01,1)</f>
        <v>1</v>
      </c>
      <c r="B8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-6.44x9647=    -40,710 USD</v>
      </c>
      <c r="C81"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-190.1%</v>
      </c>
      <c r="D81" s="697" t="str" cm="1">
        <f t="array" aca="1" ref="D8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81" s="228" t="str">
        <f ca="1">TRUNC(TabCalc[[#This Row],[L_B1p]],2)&amp;"x"&amp;TabCalc[[#This Row],[L_B1n]]&amp;"=   "&amp;TEXT(TabCalc[[#This Row],[ReverseS1]],"#,#0")&amp;"$"</f>
        <v>-42.94x518=   -21,093$</v>
      </c>
      <c r="G81" s="227" t="str">
        <f ca="1">IFERROR(TRUNC(_xlfn.XLOOKUP(TabTRADER[[#This Row],[ClickTick]],TabCalc[Ticker],ListLastSalep),2)&amp;"x"&amp;_xlfn.XLOOKUP(TabTRADER[[#This Row],[ClickTick]],TabCalc[Ticker],ListLastSalen)&amp;"=   "&amp;TEXT(-_xlfn.XLOOKUP(TabTRADER[[#This Row],[ClickTick]],TabCalc[Ticker],ListReverseB),"#,#0")&amp;"$","")</f>
        <v>0x0=   0$</v>
      </c>
      <c r="H8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81" s="228" t="str">
        <f ca="1">IFERROR(TRUNC(TabCalc[[#This Row],[L_S1p]],2)&amp;"x"&amp;TabCalc[[#This Row],[L_S1n]]&amp;"=   "&amp;TEXT(TabCalc[[#This Row],[ReverseB1]],"#,#0"),"")</f>
        <v>0x0=   0</v>
      </c>
      <c r="J81" s="297">
        <f ca="1">_xlfn.XLOOKUP(TabTRADER[[#This Row],[ClickTick]],TabCalc[Ticker],ListGravity)</f>
        <v>1.3513513513513513</v>
      </c>
      <c r="K81" s="324" cm="1">
        <f t="array" aca="1" ref="K81" ca="1">IF(_xlfn.XLOOKUP(TabTRADER[[#This Row],[ClickTick]],TabTRADER[ClickTick],ListExtra_n)&gt;0,_xlfn.XLOOKUP(TabTRADER[[#This Row],[ClickTick]],TabTRADER[ClickTick],ListExtra_n),"")</f>
        <v>10165</v>
      </c>
      <c r="L81" s="322">
        <f ca="1">IF(_xlfn.XLOOKUP(TabTRADER[[#This Row],[ClickTick]],TabCalc[Ticker],ListExtra_n)&gt;0,_xlfn.XLOOKUP(TabTRADER[[#This Row],[ClickTick]],TabCalc[Ticker],ListExtra_n)*TabTRADER[[#This Row],[M]]*_xlfn.XLOOKUP(TabTRADER[[#This Row],[ClickTick]],TabCalc[Ticker],ListScale),"")</f>
        <v>22566.300000000003</v>
      </c>
      <c r="M81" s="325">
        <f ca="1">_xlfn.XLOOKUP(TabTRADER[[#This Row],[ClickTick]],TabCalc[Ticker],TabCalc[Agiotage])</f>
        <v>4.1306761269999361</v>
      </c>
      <c r="N81" s="326" cm="1">
        <f t="array" aca="1" ref="N81" ca="1">_xlfn.XLOOKUP(TabTRADER[[#This Row],[ClickTick]],ListTickers,Tab2RSIConventional[RSIConv20])</f>
        <v>53</v>
      </c>
      <c r="O81" s="712" t="str">
        <f ca="1">TEXT(_xlfn.XLOOKUP(TabTRADER[[#This Row],[ClickTick]],TabCalc[Ticker],TabCalc[Nbegin]),"#,#0")&amp;": "&amp;_xlfn.XLOOKUP(TabTRADER[[#This Row],[ClickTick]],TabCalc[Ticker],TabCalc[Pile?])</f>
        <v>5,353: Pile</v>
      </c>
      <c r="P81" s="746">
        <f ca="1">_xlfn.XLOOKUP(TabTRADER[[#This Row],[ClickTick]],TabCalc[Ticker],TabCalc[L_Bn])</f>
        <v>9647</v>
      </c>
      <c r="Q81" s="740">
        <f ca="1">_xlfn.XLOOKUP(TabTRADER[[#This Row],[ClickTick]],TabCalc[Ticker],TabCalc[L_Bp])</f>
        <v>-6.44</v>
      </c>
      <c r="R81" s="778">
        <f ca="1">(TabTRADER[[#This Row],[M]]+TabTRADER[[#This Row],[L_Bp]])/ABS(TabTRADER[[#This Row],[L_Bp]])</f>
        <v>-0.65527950310559013</v>
      </c>
      <c r="S81" s="692">
        <f ca="1">_xlfn.XLOOKUP(TabTRADER[[#This Row],[ClickTick]],TabCalc[Ticker],TabCalc[Rev(MinStock)])*(1-Commission)</f>
        <v>-40604.493116000005</v>
      </c>
      <c r="T81" s="798">
        <f ca="1">_xlfn.XLOOKUP(TabTRADER[[#This Row],[ClickTick]],TabCalc[Ticker],TabCalc[Agiotage])</f>
        <v>4.1306761269999361</v>
      </c>
      <c r="U81" s="759" t="str" cm="1">
        <f t="array" aca="1" ref="U8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7,681/7,681=&gt;31.4% / 31.4%</v>
      </c>
      <c r="V81" s="751" t="str">
        <f ca="1">_xlfn.XLOOKUP(TabTRADER[[#This Row],[ClickTick]],[1]!RTData[Ticker symbol],[1]!RTData[Currency])</f>
        <v>USD</v>
      </c>
      <c r="W81" s="761">
        <f ca="1">_xlfn.XLOOKUP(TabTRADER[[#This Row],[ClickTick]],TabCalc[Ticker],TabCalc[M])</f>
        <v>2.2200000000000002</v>
      </c>
      <c r="X81" s="762" t="str">
        <f ca="1">SORTING!B81</f>
        <v>LAZR</v>
      </c>
      <c r="Y81" s="819">
        <f ca="1">_xlfn.XLOOKUP(TabTRADER[[#This Row],[ClickTick]],TabCalc[Ticker],TabCalc[Y])</f>
        <v>3</v>
      </c>
      <c r="Z81" s="835">
        <f ca="1">_xlfn.XLOOKUP(TabTRADER[[#This Row],[ClickTick]],[1]!RTData[Ticker symbol],[1]!RTData[YTChange])</f>
        <v>-0.30555555555555558</v>
      </c>
      <c r="AA81" s="851">
        <f ca="1">-_xlfn.XLOOKUP(TabTRADER[[#This Row],[ClickTick]]&amp;2,Consolid!B$3:JZ$3,Consolid!B$4:JZ$4)</f>
        <v>21.677332130429178</v>
      </c>
      <c r="AB81" s="835" cm="1">
        <f t="array" aca="1" ref="AB81" ca="1">_xlfn.XLOOKUP(TabTRADER[[#This Row],[ClickTick]],ListTickers,Tab1ChangePercent[Change%19])</f>
        <v>0.31360900000000003</v>
      </c>
      <c r="AC81" s="782">
        <f ca="1">_xlfn.XLOOKUP(TabTRADER[[#This Row],[ClickTick]],TabCalc[Ticker],TabCalc[NAfter])</f>
        <v>15518</v>
      </c>
      <c r="AD81"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-302/34 K$</v>
      </c>
      <c r="AE81" s="1299" t="str" cm="1">
        <f t="array" aca="1" ref="AE8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1" s="1281" t="str" cm="1">
        <f t="array" aca="1" ref="AF81" ca="1">_xlfn.IFS(       TabTRADER[[#This Row],[Traps]]=RePurchaseGain,TEXT(TabTRADER[[#This Row],[L_Sn]],"#,#0")&amp;" x "&amp;TEXT(TabTRADER[[#This Row],[L_Sp]],"#,#0.#0"),     TabTRADER[[#This Row],[Traps]]=ReSaleGain,TEXT(TabTRADER[[#This Row],[L_Bn]],"#0,#0")&amp;" x "&amp;TEXT(TabTRADER[[#This Row],[L_Bp]],"#,#0.#0"),               TRUE,"")</f>
        <v/>
      </c>
      <c r="AG81" s="1281" t="str" cm="1">
        <f t="array" aca="1" ref="AG8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9,647 x -6.44</v>
      </c>
      <c r="AH81" s="1281" cm="1">
        <f t="array" aca="1" ref="AH8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40604.493116000005</v>
      </c>
      <c r="AI81" s="774" cm="1">
        <f t="array" aca="1" ref="AI8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34449.960000000006</v>
      </c>
      <c r="AJ81" s="1290" cm="1">
        <f t="array" aca="1" ref="AJ8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0.89758887363801965</v>
      </c>
      <c r="AK81" s="1290" cm="1">
        <f t="array" aca="1" ref="AK8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1.8983009009009011</v>
      </c>
      <c r="AL81" s="843" t="str" cm="1">
        <f t="array" aca="1" ref="AL81" ca="1">_xlfn.IFS(   TabTRADER[[#This Row],[Traps]]=SellMorePercentGain,                     MIN(TabTRADER[[#This Row],[L_Sn]],TabTRADER[[#This Row],[N]])*(TabTRADER[[#This Row],[M]]-TabTRADER[[#This Row],[L_Sp]])*(1-Commission)*TabTRADER[[#This Row],[Scale]],                    TRUE,"")</f>
        <v/>
      </c>
      <c r="AM81" s="1039">
        <f ca="1">_xlfn.XLOOKUP(TabTRADER[[#This Row],[ClickTick]],TabCalc[Ticker],TabCalc[Ann%RevLB])</f>
        <v>-0.85162679103975603</v>
      </c>
      <c r="AN81" s="1038">
        <f ca="1">_xlfn.XLOOKUP(TabTRADER[[#This Row],[ClickTick]],TabCalc[Ticker],TabCalc[Up20])</f>
        <v>0</v>
      </c>
      <c r="AO81" s="1291" cm="1">
        <f t="array" aca="1" ref="AO8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1.900900900900901</v>
      </c>
      <c r="AP81" s="843" cm="1">
        <f t="array" aca="1" ref="AP81" ca="1">_xlfn.IFS(         TabTRADER[[#This Row],[Traps]]=MDown,TabTRADER[[#This Row],[L_Bn]]*TabTRADER[[#This Row],[M]]*(-(TabTRADER[[#This Row],[L_Bp]]+TabTRADER[[#This Row],[M]])/TabTRADER[[#This Row],[M]])*(1-Commission)*TabTRADER[[#This Row],[Scale]],                               TRUE,"")</f>
        <v>40604.493116000005</v>
      </c>
      <c r="AQ81" s="1290" cm="1">
        <f t="array" aca="1" ref="AQ81" ca="1">_xlfn.IFS(   TabTRADER[[#This Row],[Traps]]=MUp,TabTRADER[[#This Row],[TakeGain_A]]-Commission,        TabTRADER[[#This Row],[Traps]]=MDown,(TabTRADER[[#This Row],[A]]-TabTRADER[[#This Row],[M]])/TabTRADER[[#This Row],[M]]-Commission,                              TRUE,"")</f>
        <v>8.761964022715846</v>
      </c>
      <c r="AR81" s="774" cm="1">
        <f t="array" aca="1" ref="AR8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301153.83891200001</v>
      </c>
      <c r="AS81" s="774" t="str" cm="1">
        <f t="array" aca="1" ref="AS8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3.3%</v>
      </c>
      <c r="AT81" s="748" cm="1">
        <f t="array" aca="1" ref="AT8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-4.22</v>
      </c>
      <c r="AU81" s="779" cm="1">
        <f t="array" aca="1" ref="AU81" ca="1">_xlfn.IFS(TabTRADER[[#This Row],[Traps]]=ReSaleGain,"",         TabTRADER[[#This Row],[Traps]]=MDown, (TabTRADER[[#This Row],[M]]-TabTRADER[[#This Row],[A]])/TabTRADER[[#This Row],[A]]*ComFactor,             TRUE, IFERROR((TabTRADER[[#This Row],[M]]-TabTRADER[[#This Row],[A]])/TabTRADER[[#This Row],[A]]*ComFactor,""))</f>
        <v>-0.8952551425665608</v>
      </c>
      <c r="AV81" s="776" cm="1">
        <f t="array" aca="1" ref="AV81" ca="1">_xlfn.IFS(               TabTRADER[[#This Row],[Traps]]=NoStock,(TabTRADER[[#This Row],[L_Sp]]-TabTRADER[[#This Row],[M]])/TabTRADER[[#This Row],[M]]-Commission,             TabTRADER[[#This Row],[A]]&lt;&gt;0,(TabTRADER[[#This Row],[A]]-TabTRADER[[#This Row],[M]])/TabTRADER[[#This Row],[M]]-Commission)</f>
        <v>8.761964022715846</v>
      </c>
      <c r="AW81" s="326">
        <f ca="1">_xlfn.XLOOKUP(TabTRADER[[#This Row],[ClickTick]],TabCalc[Ticker],TabCalc[L_Sn])</f>
        <v>0</v>
      </c>
      <c r="AX81" s="740">
        <f ca="1">_xlfn.XLOOKUP(TabTRADER[[#This Row],[ClickTick]],TabCalc[Ticker],TabCalc[L_Sp])</f>
        <v>0</v>
      </c>
      <c r="AY81" s="778">
        <f ca="1">-IFERROR((TabTRADER[[#This Row],[M]]-TabTRADER[[#This Row],[L_Sp]])/TabTRADER[[#This Row],[L_Sp]],0)</f>
        <v>0</v>
      </c>
      <c r="AZ81" s="741">
        <f ca="1">TabTRADER[[#This Row],[L_Sn]]*(TabTRADER[[#This Row],[M]]-TabTRADER[[#This Row],[L_Sp]])*(1-Commission)*TabTRADER[[#This Row],[Scale]]</f>
        <v>0</v>
      </c>
      <c r="BA81" s="701">
        <f ca="1">TabTRADER[[#This Row],[L_Sn]]*(TabTRADER[[#This Row],[Agiotage]]-TabTRADER[[#This Row],[M]])/(TabTRADER[[#This Row],[L_Bn]]*TabTRADER[[#This Row],[M]])</f>
        <v>0</v>
      </c>
      <c r="BB81" s="641">
        <f ca="1">IFERROR((TabTRADER[[#This Row],[M]]-TabTRADER[[#This Row],[A]])/TabTRADER[[#This Row],[A]],0)</f>
        <v>-0.89758887363801965</v>
      </c>
      <c r="BC81" s="644" t="str">
        <f ca="1">TEXT(_xlfn.XLOOKUP(TabTRADER[[#This Row],[ClickTick]],TabCalc[Ticker],TabCalc[NAfter]),"#,#0")&amp;" : "&amp;TEXT(_xlfn.XLOOKUP(TabTRADER[[#This Row],[ClickTick]],TabCalc[Ticker],TabCalc[NAfter])*(TabTRADER[[#This Row],[M]]-TabTRADER[[#This Row],[A]])*(1-Commission)*TabTRADER[[#This Row],[Scale]],"#,#0$")</f>
        <v>15,518 : -301,154$</v>
      </c>
      <c r="BD81" s="693">
        <f ca="1">_xlfn.XLOOKUP(TabTRADER[[#This Row],[ClickTick]],TabCalc[[#This Row],[Ticker]],TabCalc[[#This Row],[GL]])*(1-Commission)</f>
        <v>-301153.83891199995</v>
      </c>
      <c r="BE81" s="693"/>
      <c r="BF81" s="675" t="str">
        <f ca="1">TabTRADER[[#This Row],[ClickTick]]&amp;": "&amp;_xlfn.XLOOKUP(TabTRADER[[#This Row],[ClickTick]],TabCalc[Ticker],TabCalc[Pile?])</f>
        <v>LAZR: Pile</v>
      </c>
      <c r="BG81" s="353" t="s">
        <v>2061</v>
      </c>
      <c r="BH81" s="769" t="str" cm="1">
        <f t="array" aca="1" ref="BH81" ca="1">_xlfn.TEXTJOIN("",,INDEX({"M","A","Y"}, _xlfn.SORTBY({1,2,3}, -CHOOSE({1,2,3}, TabTRADER[[#This Row],[M]], TabTRADER[[#This Row],[A]], TabTRADER[[#This Row],[Agiotage]]))))</f>
        <v>AYM</v>
      </c>
      <c r="BI81" s="976" cm="1">
        <f t="array" aca="1" ref="BI8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1.900900900900901</v>
      </c>
      <c r="BJ81" s="688" t="e">
        <f ca="1">TabTRADER[[#This Row],[L_Sn]]*TabTRADER[[#This Row],[L_Sp]]+TabTRADER[[#This Row],[SellMore]]*TabTRADER[[#This Row],[M]]</f>
        <v>#N/A</v>
      </c>
      <c r="BK81" s="688" t="e">
        <f ca="1">INDEX(
  INDEX(TabConsolid[], , _xlfn.XMATCH(TabTRADER[[#This Row],[ClickTick]]&amp;1, TabConsolid[#Headers])),
  MATCH(
    -TabTRADER[[#This Row],[M]],
    INDEX(TabConsolid[], , _xlfn.XMATCH(TabTRADER[[#This Row],[ClickTick]]&amp;2, TabConsolid[#Headers])),
    -1
  )
)</f>
        <v>#N/A</v>
      </c>
      <c r="BL81" s="688" cm="1">
        <f t="array" aca="1" ref="BL8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81" s="1260" t="e">
        <f ca="1">TabTRADER[[#This Row],[ReBuy]]/(TabTRADER[[#This Row],[L_Sn]]+TabTRADER[[#This Row],[SellMore]])</f>
        <v>#N/A</v>
      </c>
      <c r="BN81" s="696" t="e">
        <f ca="1">((_xlfn.XLOOKUP(TabTRADER[[#This Row],[ClickTick]],TabCalc[Ticker],TabCalc[NAfter])+TabTRADER[[#This Row],[L_Sn]])*(TabTRADER[[#This Row],[Agiotage]]-TabTRADER[[#This Row],[M]]))/(TabTRADER[[#This Row],[L_Sn]]*_xlfn.XLOOKUP(TabTRADER[[#This Row],[ClickTick]],TabCalc[Ticker],TabCalc[NAfter]))</f>
        <v>#DIV/0!</v>
      </c>
      <c r="BO81" s="696">
        <f ca="1">(TabTRADER[[#This Row],[M]]-TabTRADER[[#This Row],[Agiotage]])/(TabTRADER[[#This Row],[M]]-TabTRADER[[#This Row],[A]])-1</f>
        <v>-0.90180174166776728</v>
      </c>
      <c r="BP81" s="1388">
        <f ca="1">_xlfn.XMATCH(TabTRADER[[#This Row],[ClickTick]]&amp;1, TabConsolid[#Headers])</f>
        <v>239</v>
      </c>
      <c r="BQ81" t="str">
        <f ca="1">IF(ABS(TabTRADER[[#This Row],[L_Bp]])&gt;=TabTRADER[[#This Row],[M]],"OK")</f>
        <v>OK</v>
      </c>
    </row>
    <row r="82" spans="1:69" hidden="1">
      <c r="A82" s="225">
        <f ca="1">IF(_xlfn.XLOOKUP(TabTRADER[[#This Row],[ClickTick]],TabCalc[Ticker],TabCalc[Cur])="GBp",0.01,1)</f>
        <v>1</v>
      </c>
      <c r="B8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-30.69x1200=    +1,803 USD</v>
      </c>
      <c r="C82"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4.7%</v>
      </c>
      <c r="D82" s="697" t="str" cm="1">
        <f t="array" aca="1" ref="D8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2" s="765" t="str">
        <f ca="1">IF(      AND(TabTRADER[[#This Row],[A]]&lt;TabTRADER[[#This Row],[M]],    _xlfn.XLOOKUP(TabTRADER[[#This Row],[ClickTick]],TabCalc[Ticker],TabCalc[L_Sp])&gt;TabTRADER[[#This Row],[M]]),"BUY  "&amp;TEXT(DesiredBuyGain/TabTRADER[[#This Row],[Scale]]/(_xlfn.XLOOKUP(TabTRADER[[#This Row],[ClickTick]],TabCalc[Ticker],TabCalc[L_Sp])-TabTRADER[[#This Row],[M]]),"#,##0"),"")</f>
        <v>BUY  3,457</v>
      </c>
      <c r="F82" s="228" t="str">
        <f ca="1">TRUNC(TabCalc[[#This Row],[L_B1p]],2)&amp;"x"&amp;TabCalc[[#This Row],[L_B1n]]&amp;"=   "&amp;TEXT(TabCalc[[#This Row],[ReverseS1]],"#,#0")&amp;"$"</f>
        <v>-33.84x1200=   -1,968$</v>
      </c>
      <c r="G82" s="227" t="str">
        <f ca="1">IFERROR(TRUNC(_xlfn.XLOOKUP(TabTRADER[[#This Row],[ClickTick]],TabCalc[Ticker],ListLastSalep),2)&amp;"x"&amp;_xlfn.XLOOKUP(TabTRADER[[#This Row],[ClickTick]],TabCalc[Ticker],ListLastSalen)&amp;"=   "&amp;TEXT(-_xlfn.XLOOKUP(TabTRADER[[#This Row],[ClickTick]],TabCalc[Ticker],ListReverseB),"#,#0")&amp;"$","")</f>
        <v>33.64x1200=   -1,736$</v>
      </c>
      <c r="H8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4.5% = 3,457</v>
      </c>
      <c r="I82" s="228" t="str">
        <f ca="1">IFERROR(TRUNC(TabCalc[[#This Row],[L_S1p]],2)&amp;"x"&amp;TabCalc[[#This Row],[L_S1n]]&amp;"=   "&amp;TEXT(TabCalc[[#This Row],[ReverseB1]],"#,#0"),"")</f>
        <v>28.54x2000=   -7,320</v>
      </c>
      <c r="J82" s="297">
        <f ca="1">_xlfn.XLOOKUP(TabTRADER[[#This Row],[ClickTick]],TabCalc[Ticker],ListGravity)</f>
        <v>1.0267080745341615</v>
      </c>
      <c r="K82" s="324" t="str" cm="1">
        <f t="array" aca="1" ref="K82" ca="1">IF(_xlfn.XLOOKUP(TabTRADER[[#This Row],[ClickTick]],TabTRADER[ClickTick],ListExtra_n)&gt;0,_xlfn.XLOOKUP(TabTRADER[[#This Row],[ClickTick]],TabTRADER[ClickTick],ListExtra_n),"")</f>
        <v/>
      </c>
      <c r="L82" s="322" t="str">
        <f ca="1">IF(_xlfn.XLOOKUP(TabTRADER[[#This Row],[ClickTick]],TabCalc[Ticker],ListExtra_n)&gt;0,_xlfn.XLOOKUP(TabTRADER[[#This Row],[ClickTick]],TabCalc[Ticker],ListExtra_n)*TabTRADER[[#This Row],[M]]*_xlfn.XLOOKUP(TabTRADER[[#This Row],[ClickTick]],TabCalc[Ticker],ListScale),"")</f>
        <v/>
      </c>
      <c r="M82" s="325">
        <f ca="1">_xlfn.XLOOKUP(TabTRADER[[#This Row],[ClickTick]],TabCalc[Ticker],TabCalc[Agiotage])</f>
        <v>1.489304344356059</v>
      </c>
      <c r="N82" s="326" cm="1">
        <f t="array" aca="1" ref="N82" ca="1">_xlfn.XLOOKUP(TabTRADER[[#This Row],[ClickTick]],ListTickers,Tab2RSIConventional[RSIConv20])</f>
        <v>43</v>
      </c>
      <c r="O82" s="712" t="str">
        <f ca="1">TEXT(_xlfn.XLOOKUP(TabTRADER[[#This Row],[ClickTick]],TabCalc[Ticker],TabCalc[Nbegin]),"#,#0")&amp;": "&amp;_xlfn.XLOOKUP(TabTRADER[[#This Row],[ClickTick]],TabCalc[Ticker],TabCalc[Pile?])</f>
        <v xml:space="preserve">2,100: </v>
      </c>
      <c r="P82" s="323">
        <f ca="1">_xlfn.XLOOKUP(TabTRADER[[#This Row],[ClickTick]],TabCalc[Ticker],TabCalc[L_Bn])</f>
        <v>1200</v>
      </c>
      <c r="Q82" s="690">
        <f ca="1">_xlfn.XLOOKUP(TabTRADER[[#This Row],[ClickTick]],TabCalc[Ticker],TabCalc[L_Bp])</f>
        <v>-30.697399999999998</v>
      </c>
      <c r="R82" s="778">
        <f ca="1">(TabTRADER[[#This Row],[M]]+TabTRADER[[#This Row],[L_Bp]])/ABS(TabTRADER[[#This Row],[L_Bp]])</f>
        <v>4.8948770905679458E-2</v>
      </c>
      <c r="S82" s="692">
        <f ca="1">_xlfn.XLOOKUP(TabTRADER[[#This Row],[ClickTick]],TabCalc[Ticker],TabCalc[Rev(MinStock)])*(1-Commission)</f>
        <v>1798.4318880000055</v>
      </c>
      <c r="T82" s="798">
        <f ca="1">_xlfn.XLOOKUP(TabTRADER[[#This Row],[ClickTick]],TabCalc[Ticker],TabCalc[Agiotage])</f>
        <v>1.489304344356059</v>
      </c>
      <c r="U82" s="759" t="str" cm="1">
        <f t="array" aca="1" ref="U8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180/180=&gt;1.7% / 1.7%</v>
      </c>
      <c r="V82" s="751" t="str">
        <f ca="1">_xlfn.XLOOKUP(TabTRADER[[#This Row],[ClickTick]],[1]!RTData[Ticker symbol],[1]!RTData[Currency])</f>
        <v>USD</v>
      </c>
      <c r="W82" s="761">
        <f ca="1">_xlfn.XLOOKUP(TabTRADER[[#This Row],[ClickTick]],TabCalc[Ticker],TabCalc[M])</f>
        <v>32.200000000000003</v>
      </c>
      <c r="X82" s="762" t="str">
        <f ca="1">SORTING!B82</f>
        <v>LUV</v>
      </c>
      <c r="Y82" s="819">
        <f ca="1">_xlfn.XLOOKUP(TabTRADER[[#This Row],[ClickTick]],TabCalc[Ticker],TabCalc[Y])</f>
        <v>33.06</v>
      </c>
      <c r="Z82" s="835">
        <f ca="1">_xlfn.XLOOKUP(TabTRADER[[#This Row],[ClickTick]],[1]!RTData[Ticker symbol],[1]!RTData[YTChange])</f>
        <v>0.17902995720399442</v>
      </c>
      <c r="AA82" s="851">
        <f ca="1">-_xlfn.XLOOKUP(TabTRADER[[#This Row],[ClickTick]]&amp;2,Consolid!B$3:JZ$3,Consolid!B$4:JZ$4)</f>
        <v>30.697399999999998</v>
      </c>
      <c r="AB82" s="835" cm="1">
        <f t="array" aca="1" ref="AB82" ca="1">_xlfn.XLOOKUP(TabTRADER[[#This Row],[ClickTick]],ListTickers,Tab1ChangePercent[Change%19])</f>
        <v>1.7062000000000001E-2</v>
      </c>
      <c r="AC82" s="782">
        <f ca="1">_xlfn.XLOOKUP(TabTRADER[[#This Row],[ClickTick]],TabCalc[Ticker],TabCalc[NAfter])</f>
        <v>1200</v>
      </c>
      <c r="AD82"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-19/39 K$</v>
      </c>
      <c r="AE82" s="1277" t="str" cm="1">
        <f t="array" aca="1" ref="AE8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82" s="1281" t="str" cm="1">
        <f t="array" aca="1" ref="AF82" ca="1">_xlfn.IFS(       TabTRADER[[#This Row],[Traps]]=RePurchaseGain,TEXT(TabTRADER[[#This Row],[L_Sn]],"#,#0")&amp;" x "&amp;TEXT(TabTRADER[[#This Row],[L_Sp]],"#,#0.#0"),     TabTRADER[[#This Row],[Traps]]=ReSaleGain,TEXT(TabTRADER[[#This Row],[L_Bn]],"#0,#0")&amp;" x "&amp;TEXT(TabTRADER[[#This Row],[L_Bp]],"#,#0.#0"),               TRUE,"")</f>
        <v>1,200 x 33.65</v>
      </c>
      <c r="AG82" s="1281" cm="1">
        <f t="array" aca="1" ref="AG8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1731.3168419999929</v>
      </c>
      <c r="AH82" s="1281" t="str" cm="1">
        <f t="array" aca="1" ref="AH8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2" s="774" cm="1">
        <f t="array" aca="1" ref="AI8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1731.3168419999929</v>
      </c>
      <c r="AJ82" s="1290" cm="1">
        <f t="array" aca="1" ref="AJ8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4.2991809703973712E-2</v>
      </c>
      <c r="AK82" s="1290" t="str" cm="1">
        <f t="array" aca="1" ref="AK8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2" s="843" t="str" cm="1">
        <f t="array" aca="1" ref="AL82" ca="1">_xlfn.IFS(   TabTRADER[[#This Row],[Traps]]=SellMorePercentGain,                     MIN(TabTRADER[[#This Row],[L_Sn]],TabTRADER[[#This Row],[N]])*(TabTRADER[[#This Row],[M]]-TabTRADER[[#This Row],[L_Sp]])*(1-Commission)*TabTRADER[[#This Row],[Scale]],                    TRUE,"")</f>
        <v/>
      </c>
      <c r="AM82" s="1279">
        <f ca="1">_xlfn.XLOOKUP(TabTRADER[[#This Row],[ClickTick]],TabCalc[Ticker],TabCalc[Ann%RevLB])</f>
        <v>6.5752080321061959E-2</v>
      </c>
      <c r="AN82" s="1038">
        <f ca="1">_xlfn.XLOOKUP(TabTRADER[[#This Row],[ClickTick]],TabCalc[Ticker],TabCalc[Up20])</f>
        <v>0</v>
      </c>
      <c r="AO82" s="1291" t="str" cm="1">
        <f t="array" aca="1" ref="AO8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2" s="843" t="str" cm="1">
        <f t="array" aca="1" ref="AP82" ca="1">_xlfn.IFS(         TabTRADER[[#This Row],[Traps]]=MDown,TabTRADER[[#This Row],[L_Bn]]*TabTRADER[[#This Row],[M]]*(-(TabTRADER[[#This Row],[L_Bp]]+TabTRADER[[#This Row],[M]])/TabTRADER[[#This Row],[M]])*(1-Commission)*TabTRADER[[#This Row],[Scale]],                               TRUE,"")</f>
        <v/>
      </c>
      <c r="AQ82" s="1290" t="str" cm="1">
        <f t="array" aca="1" ref="AQ82" ca="1">_xlfn.IFS(   TabTRADER[[#This Row],[Traps]]=MUp,TabTRADER[[#This Row],[TakeGain_A]]-Commission,        TabTRADER[[#This Row],[Traps]]=MDown,(TabTRADER[[#This Row],[A]]-TabTRADER[[#This Row],[M]])/TabTRADER[[#This Row],[M]]-Commission,                              TRUE,"")</f>
        <v/>
      </c>
      <c r="AR82" s="843" cm="1">
        <f t="array" aca="1" ref="AR8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1798.4318880000055</v>
      </c>
      <c r="AS82" s="774" t="str" cm="1">
        <f t="array" aca="1" ref="AS8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-0.4%</v>
      </c>
      <c r="AT82" s="748" t="str" cm="1">
        <f t="array" aca="1" ref="AT8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82" s="779" cm="1">
        <f t="array" aca="1" ref="AU82" ca="1">_xlfn.IFS(TabTRADER[[#This Row],[Traps]]=ReSaleGain,"",         TabTRADER[[#This Row],[Traps]]=MDown, (TabTRADER[[#This Row],[M]]-TabTRADER[[#This Row],[A]])/TabTRADER[[#This Row],[A]]*ComFactor,             TRUE, IFERROR((TabTRADER[[#This Row],[M]]-TabTRADER[[#This Row],[A]])/TabTRADER[[#This Row],[A]]*ComFactor,""))</f>
        <v>4.8821504101324686E-2</v>
      </c>
      <c r="AV82" s="776" cm="1">
        <f t="array" aca="1" ref="AV82" ca="1">_xlfn.IFS(               TabTRADER[[#This Row],[Traps]]=NoStock,(TabTRADER[[#This Row],[L_Sp]]-TabTRADER[[#This Row],[M]])/TabTRADER[[#This Row],[M]]-Commission,             TabTRADER[[#This Row],[A]]&lt;&gt;0,(TabTRADER[[#This Row],[A]]-TabTRADER[[#This Row],[M]])/TabTRADER[[#This Row],[M]]-Commission)</f>
        <v>-4.9264596273292063E-2</v>
      </c>
      <c r="AW82" s="326">
        <f ca="1">_xlfn.XLOOKUP(TabTRADER[[#This Row],[ClickTick]],TabCalc[Ticker],TabCalc[L_Sn])</f>
        <v>1200</v>
      </c>
      <c r="AX82" s="740">
        <f ca="1">_xlfn.XLOOKUP(TabTRADER[[#This Row],[ClickTick]],TabCalc[Ticker],TabCalc[L_Sp])</f>
        <v>33.646524999999997</v>
      </c>
      <c r="AY82" s="778">
        <f ca="1">-IFERROR((TabTRADER[[#This Row],[M]]-TabTRADER[[#This Row],[L_Sp]])/TabTRADER[[#This Row],[L_Sp]],0)</f>
        <v>4.2991809703973712E-2</v>
      </c>
      <c r="AZ82" s="741">
        <f ca="1">TabTRADER[[#This Row],[L_Sn]]*(TabTRADER[[#This Row],[M]]-TabTRADER[[#This Row],[L_Sp]])*(1-Commission)*TabTRADER[[#This Row],[Scale]]</f>
        <v>-1731.3168419999929</v>
      </c>
      <c r="BA82" s="701">
        <f ca="1">TabTRADER[[#This Row],[L_Sn]]*(TabTRADER[[#This Row],[Agiotage]]-TabTRADER[[#This Row],[M]])/(TabTRADER[[#This Row],[L_Bn]]*TabTRADER[[#This Row],[M]])</f>
        <v>-0.95374831228707901</v>
      </c>
      <c r="BB82" s="641">
        <f ca="1">IFERROR((TabTRADER[[#This Row],[M]]-TabTRADER[[#This Row],[A]])/TabTRADER[[#This Row],[A]],0)</f>
        <v>4.8948770905679458E-2</v>
      </c>
      <c r="BC82" s="644" t="str">
        <f ca="1">TEXT(_xlfn.XLOOKUP(TabTRADER[[#This Row],[ClickTick]],TabCalc[Ticker],TabCalc[NAfter]),"#,#0")&amp;" : "&amp;TEXT(_xlfn.XLOOKUP(TabTRADER[[#This Row],[ClickTick]],TabCalc[Ticker],TabCalc[NAfter])*(TabTRADER[[#This Row],[M]]-TabTRADER[[#This Row],[A]])*(1-Commission)*TabTRADER[[#This Row],[Scale]],"#,#0$")</f>
        <v>1,200 : 1,798$</v>
      </c>
      <c r="BD82" s="693">
        <f ca="1">_xlfn.XLOOKUP(TabTRADER[[#This Row],[ClickTick]],TabCalc[[#This Row],[Ticker]],TabCalc[[#This Row],[GL]])*(1-Commission)</f>
        <v>-19110.632830000002</v>
      </c>
      <c r="BE82" s="693"/>
      <c r="BF82" s="675" t="str">
        <f ca="1">TabTRADER[[#This Row],[ClickTick]]&amp;": "&amp;_xlfn.XLOOKUP(TabTRADER[[#This Row],[ClickTick]],TabCalc[Ticker],TabCalc[Pile?])</f>
        <v xml:space="preserve">LUV: </v>
      </c>
      <c r="BG82" s="353" t="s">
        <v>2062</v>
      </c>
      <c r="BH82" s="769" t="str" cm="1">
        <f t="array" aca="1" ref="BH82" ca="1">_xlfn.TEXTJOIN("",,INDEX({"M","A","Y"}, _xlfn.SORTBY({1,2,3}, -CHOOSE({1,2,3}, TabTRADER[[#This Row],[M]], TabTRADER[[#This Row],[A]], TabTRADER[[#This Row],[Agiotage]]))))</f>
        <v>MAY</v>
      </c>
      <c r="BI82" s="976" t="str" cm="1">
        <f t="array" aca="1" ref="BI8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2" s="688">
        <f ca="1">TabTRADER[[#This Row],[L_Sn]]*TabTRADER[[#This Row],[L_Sp]]+TabTRADER[[#This Row],[SellMore]]*TabTRADER[[#This Row],[M]]</f>
        <v>79015.829999999987</v>
      </c>
      <c r="BK82" s="688">
        <f ca="1">INDEX(
  INDEX(TabConsolid[], , _xlfn.XMATCH(TabTRADER[[#This Row],[ClickTick]]&amp;1, TabConsolid[#Headers])),
  MATCH(
    -TabTRADER[[#This Row],[M]],
    INDEX(TabConsolid[], , _xlfn.XMATCH(TabTRADER[[#This Row],[ClickTick]]&amp;2, TabConsolid[#Headers])),
    -1
  )
)</f>
        <v>1200</v>
      </c>
      <c r="BL82" s="688" cm="1">
        <f t="array" aca="1" ref="BL8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2" s="1260">
        <f ca="1">TabTRADER[[#This Row],[ReBuy]]/(TabTRADER[[#This Row],[L_Sn]]+TabTRADER[[#This Row],[SellMore]])</f>
        <v>32.923262499999993</v>
      </c>
      <c r="BN82" s="696">
        <f ca="1">((_xlfn.XLOOKUP(TabTRADER[[#This Row],[ClickTick]],TabCalc[Ticker],TabCalc[NAfter])+TabTRADER[[#This Row],[L_Sn]])*(TabTRADER[[#This Row],[Agiotage]]-TabTRADER[[#This Row],[M]]))/(TabTRADER[[#This Row],[L_Sn]]*_xlfn.XLOOKUP(TabTRADER[[#This Row],[ClickTick]],TabCalc[Ticker],TabCalc[NAfter]))</f>
        <v>-5.1184492759406577E-2</v>
      </c>
      <c r="BO82" s="696">
        <f ca="1">(TabTRADER[[#This Row],[M]]-TabTRADER[[#This Row],[Agiotage]])/(TabTRADER[[#This Row],[M]]-TabTRADER[[#This Row],[A]])-1</f>
        <v>19.438370594731701</v>
      </c>
      <c r="BP82" s="1388">
        <f ca="1">_xlfn.XMATCH(TabTRADER[[#This Row],[ClickTick]]&amp;1, TabConsolid[#Headers])</f>
        <v>242</v>
      </c>
      <c r="BQ82" t="b">
        <f ca="1">IF(ABS(TabTRADER[[#This Row],[L_Bp]])&gt;=TabTRADER[[#This Row],[M]],"OK")</f>
        <v>0</v>
      </c>
    </row>
    <row r="83" spans="1:69">
      <c r="A83" s="225">
        <f ca="1">IF(_xlfn.XLOOKUP(TabTRADER[[#This Row],[ClickTick]],TabCalc[Ticker],TabCalc[Cur])="GBp",0.01,1)</f>
        <v>1</v>
      </c>
      <c r="B8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-565.89x100=    +778 USD</v>
      </c>
      <c r="C83"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1.4%</v>
      </c>
      <c r="D83" s="697" t="str" cm="1">
        <f t="array" aca="1" ref="D8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3" s="765" t="str">
        <f ca="1">IF(      AND(TabTRADER[[#This Row],[A]]&lt;TabTRADER[[#This Row],[M]],    _xlfn.XLOOKUP(TabTRADER[[#This Row],[ClickTick]],TabCalc[Ticker],TabCalc[L_Sp])&gt;TabTRADER[[#This Row],[M]]),"BUY  "&amp;TEXT(DesiredBuyGain/TabTRADER[[#This Row],[Scale]]/(_xlfn.XLOOKUP(TabTRADER[[#This Row],[ClickTick]],TabCalc[Ticker],TabCalc[L_Sp])-TabTRADER[[#This Row],[M]]),"#,##0"),"")</f>
        <v>BUY  263</v>
      </c>
      <c r="F83" s="228" t="str">
        <f ca="1">TRUNC(TabCalc[[#This Row],[L_B1p]],2)&amp;"x"&amp;TabCalc[[#This Row],[L_B1n]]&amp;"=   "&amp;TEXT(TabCalc[[#This Row],[ReverseS1]],"#,#0")&amp;"$"</f>
        <v>-546.81x200=   5,372$</v>
      </c>
      <c r="G83" s="227" t="str">
        <f ca="1">IFERROR(TRUNC(_xlfn.XLOOKUP(TabTRADER[[#This Row],[ClickTick]],TabCalc[Ticker],ListLastSalep),2)&amp;"x"&amp;_xlfn.XLOOKUP(TabTRADER[[#This Row],[ClickTick]],TabCalc[Ticker],ListLastSalen)&amp;"=   "&amp;TEXT(-_xlfn.XLOOKUP(TabTRADER[[#This Row],[ClickTick]],TabCalc[Ticker],ListReverseB),"#,#0")&amp;"$","")</f>
        <v>592.68x100=   -1,901$</v>
      </c>
      <c r="H8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3.3% = 263</v>
      </c>
      <c r="I83" s="228" t="str">
        <f ca="1">IFERROR(TRUNC(TabCalc[[#This Row],[L_S1p]],2)&amp;"x"&amp;TabCalc[[#This Row],[L_S1n]]&amp;"=   "&amp;TEXT(TabCalc[[#This Row],[ReverseB1]],"#,#0"),"")</f>
        <v>546.67x100=   -2,700</v>
      </c>
      <c r="J83" s="297">
        <f ca="1">_xlfn.XLOOKUP(TabTRADER[[#This Row],[ClickTick]],TabCalc[Ticker],ListGravity)</f>
        <v>1.1303193473599806</v>
      </c>
      <c r="K83" s="324" t="str" cm="1">
        <f t="array" aca="1" ref="K83" ca="1">IF(_xlfn.XLOOKUP(TabTRADER[[#This Row],[ClickTick]],TabTRADER[ClickTick],ListExtra_n)&gt;0,_xlfn.XLOOKUP(TabTRADER[[#This Row],[ClickTick]],TabTRADER[ClickTick],ListExtra_n),"")</f>
        <v/>
      </c>
      <c r="L83" s="322" t="str">
        <f ca="1">IF(_xlfn.XLOOKUP(TabTRADER[[#This Row],[ClickTick]],TabCalc[Ticker],ListExtra_n)&gt;0,_xlfn.XLOOKUP(TabTRADER[[#This Row],[ClickTick]],TabCalc[Ticker],ListExtra_n)*TabTRADER[[#This Row],[M]]*_xlfn.XLOOKUP(TabTRADER[[#This Row],[ClickTick]],TabCalc[Ticker],ListScale),"")</f>
        <v/>
      </c>
      <c r="M83" s="325">
        <f ca="1">_xlfn.XLOOKUP(TabTRADER[[#This Row],[ClickTick]],TabCalc[Ticker],TabCalc[Agiotage])</f>
        <v>0.65917487861225288</v>
      </c>
      <c r="N83" s="326" cm="1">
        <f t="array" aca="1" ref="N83" ca="1">_xlfn.XLOOKUP(TabTRADER[[#This Row],[ClickTick]],ListTickers,Tab2RSIConventional[RSIConv20])</f>
        <v>44</v>
      </c>
      <c r="O83" s="712" t="str">
        <f ca="1">TEXT(_xlfn.XLOOKUP(TabTRADER[[#This Row],[ClickTick]],TabCalc[Ticker],TabCalc[Nbegin]),"#,#0")&amp;": "&amp;_xlfn.XLOOKUP(TabTRADER[[#This Row],[ClickTick]],TabCalc[Ticker],TabCalc[Pile?])</f>
        <v>330: Pile</v>
      </c>
      <c r="P83" s="746">
        <f ca="1">_xlfn.XLOOKUP(TabTRADER[[#This Row],[ClickTick]],TabCalc[Ticker],TabCalc[L_Bn])</f>
        <v>100</v>
      </c>
      <c r="Q83" s="740">
        <f ca="1">_xlfn.XLOOKUP(TabTRADER[[#This Row],[ClickTick]],TabCalc[Ticker],TabCalc[L_Bp])</f>
        <v>-565.89</v>
      </c>
      <c r="R83" s="778">
        <f ca="1">(TabTRADER[[#This Row],[M]]+TabTRADER[[#This Row],[L_Bp]])/ABS(TabTRADER[[#This Row],[L_Bp]])</f>
        <v>1.3748254961211495E-2</v>
      </c>
      <c r="S83" s="692">
        <f ca="1">_xlfn.XLOOKUP(TabTRADER[[#This Row],[ClickTick]],TabCalc[Ticker],TabCalc[Rev(MinStock)])*(1-Commission)</f>
        <v>775.9771999999972</v>
      </c>
      <c r="T83" s="798">
        <f ca="1">_xlfn.XLOOKUP(TabTRADER[[#This Row],[ClickTick]],TabCalc[Ticker],TabCalc[Agiotage])</f>
        <v>0.65917487861225288</v>
      </c>
      <c r="U83" s="759" t="str" cm="1">
        <f t="array" aca="1" ref="U8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-714/-714=&gt;0.1% / 0.0%</v>
      </c>
      <c r="V83" s="751" t="str">
        <f ca="1">_xlfn.XLOOKUP(TabTRADER[[#This Row],[ClickTick]],[1]!RTData[Ticker symbol],[1]!RTData[Currency])</f>
        <v>USD</v>
      </c>
      <c r="W83" s="761">
        <f ca="1">_xlfn.XLOOKUP(TabTRADER[[#This Row],[ClickTick]],TabCalc[Ticker],TabCalc[M])</f>
        <v>573.66999999999996</v>
      </c>
      <c r="X83" s="762" t="str">
        <f ca="1">SORTING!B83</f>
        <v>MA</v>
      </c>
      <c r="Y83" s="819">
        <f ca="1">_xlfn.XLOOKUP(TabTRADER[[#This Row],[ClickTick]],TabCalc[Ticker],TabCalc[Y])</f>
        <v>648.43029999999999</v>
      </c>
      <c r="Z83" s="835">
        <f ca="1">_xlfn.XLOOKUP(TabTRADER[[#This Row],[ClickTick]],[1]!RTData[Ticker symbol],[1]!RTData[YTChange])</f>
        <v>0.18044510385756687</v>
      </c>
      <c r="AA83" s="851">
        <f ca="1">-_xlfn.XLOOKUP(TabTRADER[[#This Row],[ClickTick]]&amp;2,Consolid!B$3:JZ$3,Consolid!B$4:JZ$4)</f>
        <v>556.35</v>
      </c>
      <c r="AB83" s="835" cm="1">
        <f t="array" aca="1" ref="AB83" ca="1">_xlfn.XLOOKUP(TabTRADER[[#This Row],[ClickTick]],ListTickers,Tab1ChangePercent[Change%19])</f>
        <v>8.0170000000000003E-4</v>
      </c>
      <c r="AC83" s="782">
        <f ca="1">_xlfn.XLOOKUP(TabTRADER[[#This Row],[ClickTick]],TabCalc[Ticker],TabCalc[NAfter])</f>
        <v>200</v>
      </c>
      <c r="AD8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^52/115 K$</v>
      </c>
      <c r="AE83" s="1277" t="str" cm="1">
        <f t="array" aca="1" ref="AE8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83" s="1281" t="str" cm="1">
        <f t="array" aca="1" ref="AF83" ca="1">_xlfn.IFS(       TabTRADER[[#This Row],[Traps]]=RePurchaseGain,TEXT(TabTRADER[[#This Row],[L_Sn]],"#,#0")&amp;" x "&amp;TEXT(TabTRADER[[#This Row],[L_Sp]],"#,#0.#0"),     TabTRADER[[#This Row],[Traps]]=ReSaleGain,TEXT(TabTRADER[[#This Row],[L_Bn]],"#0,#0")&amp;" x "&amp;TEXT(TabTRADER[[#This Row],[L_Bp]],"#,#0.#0"),               TRUE,"")</f>
        <v>100 x -565.89</v>
      </c>
      <c r="AG83" s="1281" cm="1">
        <f t="array" aca="1" ref="AG8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775.9771999999972</v>
      </c>
      <c r="AH83" s="1281" t="str" cm="1">
        <f t="array" aca="1" ref="AH8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3" s="774" cm="1">
        <f t="array" aca="1" ref="AI8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775.9771999999972</v>
      </c>
      <c r="AJ83" s="1290" cm="1">
        <f t="array" aca="1" ref="AJ8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1.3748254961211495E-2</v>
      </c>
      <c r="AK83" s="1290" t="str" cm="1">
        <f t="array" aca="1" ref="AK8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3" s="843" t="str" cm="1">
        <f t="array" aca="1" ref="AL83" ca="1">_xlfn.IFS(   TabTRADER[[#This Row],[Traps]]=SellMorePercentGain,                     MIN(TabTRADER[[#This Row],[L_Sn]],TabTRADER[[#This Row],[N]])*(TabTRADER[[#This Row],[M]]-TabTRADER[[#This Row],[L_Sp]])*(1-Commission)*TabTRADER[[#This Row],[Scale]],                    TRUE,"")</f>
        <v/>
      </c>
      <c r="AM83" s="1039">
        <f ca="1">_xlfn.XLOOKUP(TabTRADER[[#This Row],[ClickTick]],TabCalc[Ticker],TabCalc[Ann%RevLB])</f>
        <v>0.15466786831362933</v>
      </c>
      <c r="AN83" s="1038">
        <f ca="1">_xlfn.XLOOKUP(TabTRADER[[#This Row],[ClickTick]],TabCalc[Ticker],TabCalc[Up20])</f>
        <v>0</v>
      </c>
      <c r="AO83" s="1291" t="str" cm="1">
        <f t="array" aca="1" ref="AO8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3" s="843" t="str" cm="1">
        <f t="array" aca="1" ref="AP83" ca="1">_xlfn.IFS(         TabTRADER[[#This Row],[Traps]]=MDown,TabTRADER[[#This Row],[L_Bn]]*TabTRADER[[#This Row],[M]]*(-(TabTRADER[[#This Row],[L_Bp]]+TabTRADER[[#This Row],[M]])/TabTRADER[[#This Row],[M]])*(1-Commission)*TabTRADER[[#This Row],[Scale]],                               TRUE,"")</f>
        <v/>
      </c>
      <c r="AQ83" s="1290" t="str" cm="1">
        <f t="array" aca="1" ref="AQ83" ca="1">_xlfn.IFS(   TabTRADER[[#This Row],[Traps]]=MUp,TabTRADER[[#This Row],[TakeGain_A]]-Commission,        TabTRADER[[#This Row],[Traps]]=MDown,(TabTRADER[[#This Row],[A]]-TabTRADER[[#This Row],[M]])/TabTRADER[[#This Row],[M]]-Commission,                              TRUE,"")</f>
        <v/>
      </c>
      <c r="AR83" s="843" cm="1">
        <f t="array" aca="1" ref="AR8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3562.5526710020531</v>
      </c>
      <c r="AS83" s="774" t="str" cm="1">
        <f t="array" aca="1" ref="AS8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0.5%</v>
      </c>
      <c r="AT83" s="748" t="str" cm="1">
        <f t="array" aca="1" ref="AT8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83" s="779" t="str" cm="1">
        <f t="array" aca="1" ref="AU83" ca="1">_xlfn.IFS(TabTRADER[[#This Row],[Traps]]=ReSaleGain,"",         TabTRADER[[#This Row],[Traps]]=MDown, (TabTRADER[[#This Row],[M]]-TabTRADER[[#This Row],[A]])/TabTRADER[[#This Row],[A]]*ComFactor,             TRUE, IFERROR((TabTRADER[[#This Row],[M]]-TabTRADER[[#This Row],[A]])/TabTRADER[[#This Row],[A]]*ComFactor,""))</f>
        <v/>
      </c>
      <c r="AV83" s="776" cm="1">
        <f t="array" aca="1" ref="AV83" ca="1">_xlfn.IFS(               TabTRADER[[#This Row],[Traps]]=NoStock,(TabTRADER[[#This Row],[L_Sp]]-TabTRADER[[#This Row],[M]])/TabTRADER[[#This Row],[M]]-Commission,             TabTRADER[[#This Row],[A]]&lt;&gt;0,(TabTRADER[[#This Row],[A]]-TabTRADER[[#This Row],[M]])/TabTRADER[[#This Row],[M]]-Commission)</f>
        <v>-3.2791573552739268E-2</v>
      </c>
      <c r="AW83" s="326">
        <f ca="1">_xlfn.XLOOKUP(TabTRADER[[#This Row],[ClickTick]],TabCalc[Ticker],TabCalc[L_Sn])</f>
        <v>100</v>
      </c>
      <c r="AX83" s="740">
        <f ca="1">_xlfn.XLOOKUP(TabTRADER[[#This Row],[ClickTick]],TabCalc[Ticker],TabCalc[L_Sp])</f>
        <v>592.67999999999995</v>
      </c>
      <c r="AY83" s="778">
        <f ca="1">-IFERROR((TabTRADER[[#This Row],[M]]-TabTRADER[[#This Row],[L_Sp]])/TabTRADER[[#This Row],[L_Sp]],0)</f>
        <v>3.2074643990011462E-2</v>
      </c>
      <c r="AZ83" s="741">
        <f ca="1">TabTRADER[[#This Row],[L_Sn]]*(TabTRADER[[#This Row],[M]]-TabTRADER[[#This Row],[L_Sp]])*(1-Commission)*TabTRADER[[#This Row],[Scale]]</f>
        <v>-1896.057399999999</v>
      </c>
      <c r="BA83" s="701">
        <f ca="1">TabTRADER[[#This Row],[L_Sn]]*(TabTRADER[[#This Row],[Agiotage]]-TabTRADER[[#This Row],[M]])/(TabTRADER[[#This Row],[L_Bn]]*TabTRADER[[#This Row],[M]])</f>
        <v>-0.99885095110671251</v>
      </c>
      <c r="BB83" s="641">
        <f ca="1">IFERROR((TabTRADER[[#This Row],[M]]-TabTRADER[[#This Row],[A]])/TabTRADER[[#This Row],[A]],0)</f>
        <v>3.1131481980767386E-2</v>
      </c>
      <c r="BC83" s="644" t="str">
        <f ca="1">TEXT(_xlfn.XLOOKUP(TabTRADER[[#This Row],[ClickTick]],TabCalc[Ticker],TabCalc[NAfter]),"#,#0")&amp;" : "&amp;TEXT(_xlfn.XLOOKUP(TabTRADER[[#This Row],[ClickTick]],TabCalc[Ticker],TabCalc[NAfter])*(TabTRADER[[#This Row],[M]]-TabTRADER[[#This Row],[A]])*(1-Commission)*TabTRADER[[#This Row],[Scale]],"#,#0$")</f>
        <v>200 : 3,455$</v>
      </c>
      <c r="BD83" s="693">
        <f ca="1">_xlfn.XLOOKUP(TabTRADER[[#This Row],[ClickTick]],TabCalc[[#This Row],[Ticker]],TabCalc[[#This Row],[GL]])*(1-Commission)</f>
        <v>51948.341226599972</v>
      </c>
      <c r="BE83" s="693"/>
      <c r="BF83" s="675" t="str">
        <f ca="1">TabTRADER[[#This Row],[ClickTick]]&amp;": "&amp;_xlfn.XLOOKUP(TabTRADER[[#This Row],[ClickTick]],TabCalc[Ticker],TabCalc[Pile?])</f>
        <v>MA: Pile</v>
      </c>
      <c r="BG83" s="353" t="s">
        <v>2063</v>
      </c>
      <c r="BH83" s="769" t="str" cm="1">
        <f t="array" aca="1" ref="BH83" ca="1">_xlfn.TEXTJOIN("",,INDEX({"M","A","Y"}, _xlfn.SORTBY({1,2,3}, -CHOOSE({1,2,3}, TabTRADER[[#This Row],[M]], TabTRADER[[#This Row],[A]], TabTRADER[[#This Row],[Agiotage]]))))</f>
        <v>MAY</v>
      </c>
      <c r="BI83" s="976" t="str" cm="1">
        <f t="array" aca="1" ref="BI8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3" s="688">
        <f ca="1">TabTRADER[[#This Row],[L_Sn]]*TabTRADER[[#This Row],[L_Sp]]+TabTRADER[[#This Row],[SellMore]]*TabTRADER[[#This Row],[M]]</f>
        <v>116634.99999999999</v>
      </c>
      <c r="BK83" s="688">
        <f ca="1">INDEX(
  INDEX(TabConsolid[], , _xlfn.XMATCH(TabTRADER[[#This Row],[ClickTick]]&amp;1, TabConsolid[#Headers])),
  MATCH(
    -TabTRADER[[#This Row],[M]],
    INDEX(TabConsolid[], , _xlfn.XMATCH(TabTRADER[[#This Row],[ClickTick]]&amp;2, TabConsolid[#Headers])),
    -1
  )
)</f>
        <v>100</v>
      </c>
      <c r="BL83" s="688" cm="1">
        <f t="array" aca="1" ref="BL8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v>
      </c>
      <c r="BM83" s="1260">
        <f ca="1">TabTRADER[[#This Row],[ReBuy]]/(TabTRADER[[#This Row],[L_Sn]]+TabTRADER[[#This Row],[SellMore]])</f>
        <v>583.17499999999995</v>
      </c>
      <c r="BN83" s="696">
        <f ca="1">((_xlfn.XLOOKUP(TabTRADER[[#This Row],[ClickTick]],TabCalc[Ticker],TabCalc[NAfter])+TabTRADER[[#This Row],[L_Sn]])*(TabTRADER[[#This Row],[Agiotage]]-TabTRADER[[#This Row],[M]]))/(TabTRADER[[#This Row],[L_Sn]]*_xlfn.XLOOKUP(TabTRADER[[#This Row],[ClickTick]],TabCalc[Ticker],TabCalc[NAfter]))</f>
        <v>-8.5951623768208147</v>
      </c>
      <c r="BO83" s="696">
        <f ca="1">(TabTRADER[[#This Row],[M]]-TabTRADER[[#This Row],[Agiotage]])/(TabTRADER[[#This Row],[M]]-TabTRADER[[#This Row],[A]])-1</f>
        <v>32.083765884606805</v>
      </c>
      <c r="BP83" s="1388">
        <f ca="1">_xlfn.XMATCH(TabTRADER[[#This Row],[ClickTick]]&amp;1, TabConsolid[#Headers])</f>
        <v>245</v>
      </c>
      <c r="BQ83" t="b">
        <f ca="1">IF(ABS(TabTRADER[[#This Row],[L_Bp]])&gt;=TabTRADER[[#This Row],[M]],"OK")</f>
        <v>0</v>
      </c>
    </row>
    <row r="84" spans="1:69" hidden="1">
      <c r="A84" s="225">
        <f ca="1">IF(_xlfn.XLOOKUP(TabTRADER[[#This Row],[ClickTick]],TabCalc[Ticker],TabCalc[Cur])="GBp",0.01,1)</f>
        <v>1</v>
      </c>
      <c r="B8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-9.74x4500=    -5,530 USD</v>
      </c>
      <c r="C84"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-14.4%</v>
      </c>
      <c r="D84" s="697" t="str" cm="1">
        <f t="array" aca="1" ref="D8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4" s="765" t="str">
        <f ca="1">IF(      AND(TabTRADER[[#This Row],[A]]&lt;TabTRADER[[#This Row],[M]],    _xlfn.XLOOKUP(TabTRADER[[#This Row],[ClickTick]],TabCalc[Ticker],TabCalc[L_Sp])&gt;TabTRADER[[#This Row],[M]]),"BUY  "&amp;TEXT(DesiredBuyGain/TabTRADER[[#This Row],[Scale]]/(_xlfn.XLOOKUP(TabTRADER[[#This Row],[ClickTick]],TabCalc[Ticker],TabCalc[L_Sp])-TabTRADER[[#This Row],[M]]),"#,##0"),"")</f>
        <v>BUY  1,034</v>
      </c>
      <c r="F84" s="228" t="str">
        <f ca="1">TRUNC(TabCalc[[#This Row],[L_B1p]],2)&amp;"x"&amp;TabCalc[[#This Row],[L_B1n]]&amp;"=   "&amp;TEXT(TabCalc[[#This Row],[ReverseS1]],"#,#0")&amp;"$"</f>
        <v>-5.33x7000=   20,671$</v>
      </c>
      <c r="G84" s="227" t="str">
        <f ca="1">IFERROR(TRUNC(_xlfn.XLOOKUP(TabTRADER[[#This Row],[ClickTick]],TabCalc[Ticker],ListLastSalep),2)&amp;"x"&amp;_xlfn.XLOOKUP(TabTRADER[[#This Row],[ClickTick]],TabCalc[Ticker],ListLastSalen)&amp;"=   "&amp;TEXT(-_xlfn.XLOOKUP(TabTRADER[[#This Row],[ClickTick]],TabCalc[Ticker],ListReverseB),"#,#0")&amp;"$","")</f>
        <v>13.35x5000=   -24,185$</v>
      </c>
      <c r="H8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56.8% = 1,034</v>
      </c>
      <c r="I84" s="228" t="str">
        <f ca="1">IFERROR(TRUNC(TabCalc[[#This Row],[L_S1p]],2)&amp;"x"&amp;TabCalc[[#This Row],[L_S1n]]&amp;"=   "&amp;TEXT(TabCalc[[#This Row],[ReverseB1]],"#,#0"),"")</f>
        <v>14.95x2700=   17,361</v>
      </c>
      <c r="J84" s="297">
        <f ca="1">_xlfn.XLOOKUP(TabTRADER[[#This Row],[ClickTick]],TabCalc[Ticker],ListGravity)</f>
        <v>1.4671361502347418</v>
      </c>
      <c r="K84" s="324" cm="1">
        <f t="array" aca="1" ref="K84" ca="1">IF(_xlfn.XLOOKUP(TabTRADER[[#This Row],[ClickTick]],TabTRADER[ClickTick],ListExtra_n)&gt;0,_xlfn.XLOOKUP(TabTRADER[[#This Row],[ClickTick]],TabTRADER[ClickTick],ListExtra_n),"")</f>
        <v>3800</v>
      </c>
      <c r="L84" s="322">
        <f ca="1">IF(_xlfn.XLOOKUP(TabTRADER[[#This Row],[ClickTick]],TabCalc[Ticker],ListExtra_n)&gt;0,_xlfn.XLOOKUP(TabTRADER[[#This Row],[ClickTick]],TabCalc[Ticker],ListExtra_n)*TabTRADER[[#This Row],[M]]*_xlfn.XLOOKUP(TabTRADER[[#This Row],[ClickTick]],TabCalc[Ticker],ListScale),"")</f>
        <v>32376</v>
      </c>
      <c r="M84" s="325">
        <f ca="1">_xlfn.XLOOKUP(TabTRADER[[#This Row],[ClickTick]],TabCalc[Ticker],TabCalc[Agiotage])</f>
        <v>0.60110333158128726</v>
      </c>
      <c r="N84" s="326" cm="1">
        <f t="array" aca="1" ref="N84" ca="1">_xlfn.XLOOKUP(TabTRADER[[#This Row],[ClickTick]],ListTickers,Tab2RSIConventional[RSIConv20])</f>
        <v>40</v>
      </c>
      <c r="O84" s="712" t="str">
        <f ca="1">TEXT(_xlfn.XLOOKUP(TabTRADER[[#This Row],[ClickTick]],TabCalc[Ticker],TabCalc[Nbegin]),"#,#0")&amp;": "&amp;_xlfn.XLOOKUP(TabTRADER[[#This Row],[ClickTick]],TabCalc[Ticker],TabCalc[Pile?])</f>
        <v xml:space="preserve">2,700: </v>
      </c>
      <c r="P84" s="323">
        <f ca="1">_xlfn.XLOOKUP(TabTRADER[[#This Row],[ClickTick]],TabCalc[Ticker],TabCalc[L_Bn])</f>
        <v>4500</v>
      </c>
      <c r="Q84" s="740">
        <f ca="1">_xlfn.XLOOKUP(TabTRADER[[#This Row],[ClickTick]],TabCalc[Ticker],TabCalc[L_Bp])</f>
        <v>-9.7487999999999992</v>
      </c>
      <c r="R84" s="778">
        <f ca="1">(TabTRADER[[#This Row],[M]]+TabTRADER[[#This Row],[L_Bp]])/ABS(TabTRADER[[#This Row],[L_Bp]])</f>
        <v>-0.12604628261939929</v>
      </c>
      <c r="S84" s="692">
        <f ca="1">_xlfn.XLOOKUP(TabTRADER[[#This Row],[ClickTick]],TabCalc[Ticker],TabCalc[Rev(MinStock)])*(1-Commission)</f>
        <v>-5515.223039999998</v>
      </c>
      <c r="T84" s="798">
        <f ca="1">_xlfn.XLOOKUP(TabTRADER[[#This Row],[ClickTick]],TabCalc[Ticker],TabCalc[Agiotage])</f>
        <v>0.60110333158128726</v>
      </c>
      <c r="U84" s="759" t="str" cm="1">
        <f t="array" aca="1" ref="U8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-455/-455=&gt;1.9% / 1.9%</v>
      </c>
      <c r="V84" s="751" t="str">
        <f ca="1">_xlfn.XLOOKUP(TabTRADER[[#This Row],[ClickTick]],[1]!RTData[Ticker symbol],[1]!RTData[Currency])</f>
        <v>USD</v>
      </c>
      <c r="W84" s="761">
        <f ca="1">_xlfn.XLOOKUP(TabTRADER[[#This Row],[ClickTick]],TabCalc[Ticker],TabCalc[M])</f>
        <v>8.52</v>
      </c>
      <c r="X84" s="762" t="str">
        <f ca="1">SORTING!B84</f>
        <v>NVAX</v>
      </c>
      <c r="Y84" s="819">
        <f ca="1">_xlfn.XLOOKUP(TabTRADER[[#This Row],[ClickTick]],TabCalc[Ticker],TabCalc[Y])</f>
        <v>12.5</v>
      </c>
      <c r="Z84" s="835">
        <f ca="1">_xlfn.XLOOKUP(TabTRADER[[#This Row],[ClickTick]],[1]!RTData[Ticker symbol],[1]!RTData[YTChange])</f>
        <v>-0.14792092706203136</v>
      </c>
      <c r="AA84" s="851">
        <f ca="1">-_xlfn.XLOOKUP(TabTRADER[[#This Row],[ClickTick]]&amp;2,Consolid!B$3:JZ$3,Consolid!B$4:JZ$4)</f>
        <v>8.3922153846153833</v>
      </c>
      <c r="AB84" s="835" cm="1">
        <f t="array" aca="1" ref="AB84" ca="1">_xlfn.XLOOKUP(TabTRADER[[#This Row],[ClickTick]],ListTickers,Tab1ChangePercent[Change%19])</f>
        <v>1.9139E-2</v>
      </c>
      <c r="AC84" s="782">
        <f ca="1">_xlfn.XLOOKUP(TabTRADER[[#This Row],[ClickTick]],TabCalc[Ticker],TabCalc[NAfter])</f>
        <v>6500</v>
      </c>
      <c r="AD8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-79/55 K$</v>
      </c>
      <c r="AE84" s="1299" t="str" cm="1">
        <f t="array" aca="1" ref="AE8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4" s="1281" t="str" cm="1">
        <f t="array" aca="1" ref="AF84" ca="1">_xlfn.IFS(       TabTRADER[[#This Row],[Traps]]=RePurchaseGain,TEXT(TabTRADER[[#This Row],[L_Sn]],"#,#0")&amp;" x "&amp;TEXT(TabTRADER[[#This Row],[L_Sp]],"#,#0.#0"),     TabTRADER[[#This Row],[Traps]]=ReSaleGain,TEXT(TabTRADER[[#This Row],[L_Bn]],"#0,#0")&amp;" x "&amp;TEXT(TabTRADER[[#This Row],[L_Bp]],"#,#0.#0"),               TRUE,"")</f>
        <v/>
      </c>
      <c r="AG84" s="1281" t="str" cm="1">
        <f t="array" aca="1" ref="AG8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4,500 x -9.75</v>
      </c>
      <c r="AH84" s="1281" cm="1">
        <f t="array" aca="1" ref="AH8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5515.223039999998</v>
      </c>
      <c r="AI84" s="774" cm="1">
        <f t="array" aca="1" ref="AI8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55380</v>
      </c>
      <c r="AJ84" s="1290" cm="1">
        <f t="array" aca="1" ref="AJ8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-1.5226565278444968E-2</v>
      </c>
      <c r="AK84" s="1290" cm="1">
        <f t="array" aca="1" ref="AK8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0.14162535211267605</v>
      </c>
      <c r="AL84" s="843" t="str" cm="1">
        <f t="array" aca="1" ref="AL84" ca="1">_xlfn.IFS(   TabTRADER[[#This Row],[Traps]]=SellMorePercentGain,                     MIN(TabTRADER[[#This Row],[L_Sn]],TabTRADER[[#This Row],[N]])*(TabTRADER[[#This Row],[M]]-TabTRADER[[#This Row],[L_Sp]])*(1-Commission)*TabTRADER[[#This Row],[Scale]],                    TRUE,"")</f>
        <v/>
      </c>
      <c r="AM84" s="1039">
        <f ca="1">_xlfn.XLOOKUP(TabTRADER[[#This Row],[ClickTick]],TabCalc[Ticker],TabCalc[Ann%RevLB])</f>
        <v>-0.15486915270642915</v>
      </c>
      <c r="AN84" s="1038">
        <f ca="1">_xlfn.XLOOKUP(TabTRADER[[#This Row],[ClickTick]],TabCalc[Ticker],TabCalc[Up20])</f>
        <v>0</v>
      </c>
      <c r="AO84" s="1291" cm="1">
        <f t="array" aca="1" ref="AO8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0.14422535211267604</v>
      </c>
      <c r="AP84" s="843" cm="1">
        <f t="array" aca="1" ref="AP84" ca="1">_xlfn.IFS(         TabTRADER[[#This Row],[Traps]]=MDown,TabTRADER[[#This Row],[L_Bn]]*TabTRADER[[#This Row],[M]]*(-(TabTRADER[[#This Row],[L_Bp]]+TabTRADER[[#This Row],[M]])/TabTRADER[[#This Row],[M]])*(1-Commission)*TabTRADER[[#This Row],[Scale]],                               TRUE,"")</f>
        <v>5515.2230399999989</v>
      </c>
      <c r="AQ84" s="1290" cm="1">
        <f t="array" aca="1" ref="AQ84" ca="1">_xlfn.IFS(   TabTRADER[[#This Row],[Traps]]=MUp,TabTRADER[[#This Row],[TakeGain_A]]-Commission,        TabTRADER[[#This Row],[Traps]]=MDown,(TabTRADER[[#This Row],[A]]-TabTRADER[[#This Row],[M]])/TabTRADER[[#This Row],[M]]-Commission,                              TRUE,"")</f>
        <v>-1.7598194293969048E-2</v>
      </c>
      <c r="AR84" s="843" cm="1">
        <f t="array" aca="1" ref="AR8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-828.44044000000576</v>
      </c>
      <c r="AS84" s="774" t="str" cm="1">
        <f t="array" aca="1" ref="AS8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-0.1%</v>
      </c>
      <c r="AT84" s="748" cm="1">
        <f t="array" aca="1" ref="AT8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-1.22</v>
      </c>
      <c r="AU84" s="779" cm="1">
        <f t="array" aca="1" ref="AU84" ca="1">_xlfn.IFS(TabTRADER[[#This Row],[Traps]]=ReSaleGain,"",         TabTRADER[[#This Row],[Traps]]=MDown, (TabTRADER[[#This Row],[M]]-TabTRADER[[#This Row],[A]])/TabTRADER[[#This Row],[A]]*ComFactor,             TRUE, IFERROR((TabTRADER[[#This Row],[M]]-TabTRADER[[#This Row],[A]])/TabTRADER[[#This Row],[A]]*ComFactor,""))</f>
        <v>1.5186976208721011E-2</v>
      </c>
      <c r="AV84" s="776" cm="1">
        <f t="array" aca="1" ref="AV84" ca="1">_xlfn.IFS(               TabTRADER[[#This Row],[Traps]]=NoStock,(TabTRADER[[#This Row],[L_Sp]]-TabTRADER[[#This Row],[M]])/TabTRADER[[#This Row],[M]]-Commission,             TabTRADER[[#This Row],[A]]&lt;&gt;0,(TabTRADER[[#This Row],[A]]-TabTRADER[[#This Row],[M]])/TabTRADER[[#This Row],[M]]-Commission)</f>
        <v>-1.7598194293969048E-2</v>
      </c>
      <c r="AW84" s="326">
        <f ca="1">_xlfn.XLOOKUP(TabTRADER[[#This Row],[ClickTick]],TabCalc[Ticker],TabCalc[L_Sn])</f>
        <v>5000</v>
      </c>
      <c r="AX84" s="740">
        <f ca="1">_xlfn.XLOOKUP(TabTRADER[[#This Row],[ClickTick]],TabCalc[Ticker],TabCalc[L_Sp])</f>
        <v>13.356999999999999</v>
      </c>
      <c r="AY84" s="778">
        <f ca="1">-IFERROR((TabTRADER[[#This Row],[M]]-TabTRADER[[#This Row],[L_Sp]])/TabTRADER[[#This Row],[L_Sp]],0)</f>
        <v>0.36213221531781087</v>
      </c>
      <c r="AZ84" s="741">
        <f ca="1">TabTRADER[[#This Row],[L_Sn]]*(TabTRADER[[#This Row],[M]]-TabTRADER[[#This Row],[L_Sp]])*(1-Commission)*TabTRADER[[#This Row],[Scale]]</f>
        <v>-24122.118999999999</v>
      </c>
      <c r="BA84" s="701">
        <f ca="1">TabTRADER[[#This Row],[L_Sn]]*(TabTRADER[[#This Row],[Agiotage]]-TabTRADER[[#This Row],[M]])/(TabTRADER[[#This Row],[L_Bn]]*TabTRADER[[#This Row],[M]])</f>
        <v>-1.0327199619742713</v>
      </c>
      <c r="BB84" s="641">
        <f ca="1">IFERROR((TabTRADER[[#This Row],[M]]-TabTRADER[[#This Row],[A]])/TabTRADER[[#This Row],[A]],0)</f>
        <v>1.5226565278444968E-2</v>
      </c>
      <c r="BC84" s="644" t="str">
        <f ca="1">TEXT(_xlfn.XLOOKUP(TabTRADER[[#This Row],[ClickTick]],TabCalc[Ticker],TabCalc[NAfter]),"#,#0")&amp;" : "&amp;TEXT(_xlfn.XLOOKUP(TabTRADER[[#This Row],[ClickTick]],TabCalc[Ticker],TabCalc[NAfter])*(TabTRADER[[#This Row],[M]]-TabTRADER[[#This Row],[A]])*(1-Commission)*TabTRADER[[#This Row],[Scale]],"#,#0$")</f>
        <v>6,500 : 828$</v>
      </c>
      <c r="BD84" s="693">
        <f ca="1">_xlfn.XLOOKUP(TabTRADER[[#This Row],[ClickTick]],TabCalc[[#This Row],[Ticker]],TabCalc[[#This Row],[GL]])*(1-Commission)</f>
        <v>-78623.944859999989</v>
      </c>
      <c r="BE84" s="693"/>
      <c r="BF84" s="675" t="str">
        <f ca="1">TabTRADER[[#This Row],[ClickTick]]&amp;": "&amp;_xlfn.XLOOKUP(TabTRADER[[#This Row],[ClickTick]],TabCalc[Ticker],TabCalc[Pile?])</f>
        <v xml:space="preserve">NVAX: </v>
      </c>
      <c r="BG84" s="353" t="s">
        <v>2064</v>
      </c>
      <c r="BH84" s="769" t="str" cm="1">
        <f t="array" aca="1" ref="BH84" ca="1">_xlfn.TEXTJOIN("",,INDEX({"M","A","Y"}, _xlfn.SORTBY({1,2,3}, -CHOOSE({1,2,3}, TabTRADER[[#This Row],[M]], TabTRADER[[#This Row],[A]], TabTRADER[[#This Row],[Agiotage]]))))</f>
        <v>MAY</v>
      </c>
      <c r="BI84" s="976" cm="1">
        <f t="array" aca="1" ref="BI8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0.14422535211267604</v>
      </c>
      <c r="BJ84" s="688">
        <f ca="1">TabTRADER[[#This Row],[L_Sn]]*TabTRADER[[#This Row],[L_Sp]]+TabTRADER[[#This Row],[SellMore]]*TabTRADER[[#This Row],[M]]</f>
        <v>83825</v>
      </c>
      <c r="BK84" s="688">
        <f ca="1">INDEX(
  INDEX(TabConsolid[], , _xlfn.XMATCH(TabTRADER[[#This Row],[ClickTick]]&amp;1, TabConsolid[#Headers])),
  MATCH(
    -TabTRADER[[#This Row],[M]],
    INDEX(TabConsolid[], , _xlfn.XMATCH(TabTRADER[[#This Row],[ClickTick]]&amp;2, TabConsolid[#Headers])),
    -1
  )
)</f>
        <v>2000</v>
      </c>
      <c r="BL84" s="688" cm="1">
        <f t="array" aca="1" ref="BL8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4" s="1260">
        <f ca="1">TabTRADER[[#This Row],[ReBuy]]/(TabTRADER[[#This Row],[L_Sn]]+TabTRADER[[#This Row],[SellMore]])</f>
        <v>11.975</v>
      </c>
      <c r="BN84" s="696">
        <f ca="1">((_xlfn.XLOOKUP(TabTRADER[[#This Row],[ClickTick]],TabCalc[Ticker],TabCalc[NAfter])+TabTRADER[[#This Row],[L_Sn]])*(TabTRADER[[#This Row],[Agiotage]]-TabTRADER[[#This Row],[M]]))/(TabTRADER[[#This Row],[L_Sn]]*_xlfn.XLOOKUP(TabTRADER[[#This Row],[ClickTick]],TabCalc[Ticker],TabCalc[NAfter]))</f>
        <v>-2.8020711288250831E-3</v>
      </c>
      <c r="BO84" s="696">
        <f ca="1">(TabTRADER[[#This Row],[M]]-TabTRADER[[#This Row],[Agiotage]])/(TabTRADER[[#This Row],[M]]-TabTRADER[[#This Row],[A]])-1</f>
        <v>60.970657771154919</v>
      </c>
      <c r="BP84" s="1388">
        <f ca="1">_xlfn.XMATCH(TabTRADER[[#This Row],[ClickTick]]&amp;1, TabConsolid[#Headers])</f>
        <v>248</v>
      </c>
      <c r="BQ84" t="str">
        <f ca="1">IF(ABS(TabTRADER[[#This Row],[L_Bp]])&gt;=TabTRADER[[#This Row],[M]],"OK")</f>
        <v>OK</v>
      </c>
    </row>
    <row r="85" spans="1:69" hidden="1">
      <c r="A85" s="225">
        <f ca="1">IF(_xlfn.XLOOKUP(TabTRADER[[#This Row],[ClickTick]],TabCalc[Ticker],TabCalc[Cur])="GBp",0.01,1)</f>
        <v>1</v>
      </c>
      <c r="B8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-98.03x1000=    0 USD</v>
      </c>
      <c r="C85"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24.8%</v>
      </c>
      <c r="D85" s="697" t="str" cm="1">
        <f t="array" aca="1" ref="D8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85" s="228" t="str">
        <f ca="1">TRUNC(TabCalc[[#This Row],[L_B1p]],2)&amp;"x"&amp;TabCalc[[#This Row],[L_B1n]]&amp;"=   "&amp;TEXT(TabCalc[[#This Row],[ReverseS1]],"#,#0")&amp;"$"</f>
        <v>-97.66x400=   0$</v>
      </c>
      <c r="G85" s="227" t="str">
        <f ca="1">IFERROR(TRUNC(_xlfn.XLOOKUP(TabTRADER[[#This Row],[ClickTick]],TabCalc[Ticker],ListLastSalep),2)&amp;"x"&amp;_xlfn.XLOOKUP(TabTRADER[[#This Row],[ClickTick]],TabCalc[Ticker],ListLastSalen)&amp;"=   "&amp;TEXT(-_xlfn.XLOOKUP(TabTRADER[[#This Row],[ClickTick]],TabCalc[Ticker],ListReverseB),"#,#0")&amp;"$","")</f>
        <v>103.01x400=   10,940$</v>
      </c>
      <c r="H8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21.0% = 0</v>
      </c>
      <c r="I85" s="228" t="str">
        <f ca="1">IFERROR(TRUNC(TabCalc[[#This Row],[L_S1p]],2)&amp;"x"&amp;TabCalc[[#This Row],[L_S1n]]&amp;"=   "&amp;TEXT(TabCalc[[#This Row],[ReverseB1]],"#,#0"),"")</f>
        <v>99.4x1000=   -30,960</v>
      </c>
      <c r="J85" s="297">
        <f ca="1">_xlfn.XLOOKUP(TabTRADER[[#This Row],[ClickTick]],TabCalc[Ticker],ListGravity)</f>
        <v>0.9362841362381098</v>
      </c>
      <c r="K85" s="324" t="str" cm="1">
        <f t="array" aca="1" ref="K85" ca="1">IF(_xlfn.XLOOKUP(TabTRADER[[#This Row],[ClickTick]],TabTRADER[ClickTick],ListExtra_n)&gt;0,_xlfn.XLOOKUP(TabTRADER[[#This Row],[ClickTick]],TabTRADER[ClickTick],ListExtra_n),"")</f>
        <v/>
      </c>
      <c r="L85" s="322" t="str">
        <f ca="1">IF(_xlfn.XLOOKUP(TabTRADER[[#This Row],[ClickTick]],TabCalc[Ticker],ListExtra_n)&gt;0,_xlfn.XLOOKUP(TabTRADER[[#This Row],[ClickTick]],TabCalc[Ticker],ListExtra_n)*TabTRADER[[#This Row],[M]]*_xlfn.XLOOKUP(TabTRADER[[#This Row],[ClickTick]],TabCalc[Ticker],ListScale),"")</f>
        <v/>
      </c>
      <c r="M85" s="325">
        <f ca="1">_xlfn.XLOOKUP(TabTRADER[[#This Row],[ClickTick]],TabCalc[Ticker],TabCalc[Agiotage])</f>
        <v>0.80980626695147584</v>
      </c>
      <c r="N85" s="326" cm="1">
        <f t="array" aca="1" ref="N85" ca="1">_xlfn.XLOOKUP(TabTRADER[[#This Row],[ClickTick]],ListTickers,Tab2RSIConventional[RSIConv20])</f>
        <v>42</v>
      </c>
      <c r="O85" s="712" t="str">
        <f ca="1">TEXT(_xlfn.XLOOKUP(TabTRADER[[#This Row],[ClickTick]],TabCalc[Ticker],TabCalc[Nbegin]),"#,#0")&amp;": "&amp;_xlfn.XLOOKUP(TabTRADER[[#This Row],[ClickTick]],TabCalc[Ticker],TabCalc[Pile?])</f>
        <v xml:space="preserve">200: </v>
      </c>
      <c r="P85" s="326">
        <f ca="1">_xlfn.XLOOKUP(TabTRADER[[#This Row],[ClickTick]],TabCalc[Ticker],TabCalc[L_Bn])</f>
        <v>1000</v>
      </c>
      <c r="Q85" s="690">
        <f ca="1">_xlfn.XLOOKUP(TabTRADER[[#This Row],[ClickTick]],TabCalc[Ticker],TabCalc[L_Bp])</f>
        <v>-98.036000000000001</v>
      </c>
      <c r="R85" s="778">
        <f ca="1">(TabTRADER[[#This Row],[M]]+TabTRADER[[#This Row],[L_Bp]])/ABS(TabTRADER[[#This Row],[L_Bp]])</f>
        <v>0.32971561467216137</v>
      </c>
      <c r="S85" s="692">
        <f ca="1">_xlfn.XLOOKUP(TabTRADER[[#This Row],[ClickTick]],TabCalc[Ticker],TabCalc[Rev(MinStock)])*(1-Commission)</f>
        <v>0</v>
      </c>
      <c r="T85" s="798">
        <f ca="1">_xlfn.XLOOKUP(TabTRADER[[#This Row],[ClickTick]],TabCalc[Ticker],TabCalc[Agiotage])</f>
        <v>0.80980626695147584</v>
      </c>
      <c r="U85" s="759" t="str" cm="1">
        <f t="array" aca="1" ref="U8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0/0=&gt;-1.0% / -1.0%</v>
      </c>
      <c r="V85" s="751" t="str">
        <f ca="1">_xlfn.XLOOKUP(TabTRADER[[#This Row],[ClickTick]],[1]!RTData[Ticker symbol],[1]!RTData[Currency])</f>
        <v>USD</v>
      </c>
      <c r="W85" s="761">
        <f ca="1">_xlfn.XLOOKUP(TabTRADER[[#This Row],[ClickTick]],TabCalc[Ticker],TabCalc[M])</f>
        <v>130.36000000000001</v>
      </c>
      <c r="X85" s="762" t="str">
        <f ca="1">SORTING!B85</f>
        <v>NVS</v>
      </c>
      <c r="Y85" s="819">
        <f ca="1">_xlfn.XLOOKUP(TabTRADER[[#This Row],[ClickTick]],TabCalc[Ticker],TabCalc[Y])</f>
        <v>122.054</v>
      </c>
      <c r="Z85" s="835">
        <f ca="1">_xlfn.XLOOKUP(TabTRADER[[#This Row],[ClickTick]],[1]!RTData[Ticker symbol],[1]!RTData[YTChange])</f>
        <v>5.5282725229119881E-2</v>
      </c>
      <c r="AA85" s="851">
        <f ca="1">-_xlfn.XLOOKUP(TabTRADER[[#This Row],[ClickTick]]&amp;2,Consolid!B$3:JZ$3,Consolid!B$4:JZ$4)</f>
        <v>0</v>
      </c>
      <c r="AB85" s="835" cm="1">
        <f t="array" aca="1" ref="AB85" ca="1">_xlfn.XLOOKUP(TabTRADER[[#This Row],[ClickTick]],ListTickers,Tab1ChangePercent[Change%19])</f>
        <v>-9.5720000000000006E-3</v>
      </c>
      <c r="AC85" s="782">
        <f ca="1">_xlfn.XLOOKUP(TabTRADER[[#This Row],[ClickTick]],TabCalc[Ticker],TabCalc[NAfter])</f>
        <v>0</v>
      </c>
      <c r="AD8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^14/0 K$</v>
      </c>
      <c r="AE85" s="1299" t="str" cm="1">
        <f t="array" aca="1" ref="AE8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85" s="1281" t="str" cm="1">
        <f t="array" aca="1" ref="AF85" ca="1">_xlfn.IFS(       TabTRADER[[#This Row],[Traps]]=RePurchaseGain,TEXT(TabTRADER[[#This Row],[L_Sn]],"#,#0")&amp;" x "&amp;TEXT(TabTRADER[[#This Row],[L_Sp]],"#,#0.#0"),     TabTRADER[[#This Row],[Traps]]=ReSaleGain,TEXT(TabTRADER[[#This Row],[L_Bn]],"#0,#0")&amp;" x "&amp;TEXT(TabTRADER[[#This Row],[L_Bp]],"#,#0.#0"),               TRUE,"")</f>
        <v/>
      </c>
      <c r="AG85" s="1281" t="str" cm="1">
        <f t="array" aca="1" ref="AG8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85" s="1281" t="str" cm="1">
        <f t="array" aca="1" ref="AH8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5" s="774" t="str" cm="1">
        <f t="array" aca="1" ref="AI8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85" s="1290" t="str" cm="1">
        <f t="array" aca="1" ref="AJ8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85" s="1290" t="str" cm="1">
        <f t="array" aca="1" ref="AK8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85" s="843" t="str" cm="1">
        <f t="array" aca="1" ref="AL85" ca="1">_xlfn.IFS(   TabTRADER[[#This Row],[Traps]]=SellMorePercentGain,                     MIN(TabTRADER[[#This Row],[L_Sn]],TabTRADER[[#This Row],[N]])*(TabTRADER[[#This Row],[M]]-TabTRADER[[#This Row],[L_Sp]])*(1-Commission)*TabTRADER[[#This Row],[Scale]],                    TRUE,"")</f>
        <v/>
      </c>
      <c r="AM85" s="1296">
        <f ca="1">_xlfn.XLOOKUP(TabTRADER[[#This Row],[ClickTick]],TabCalc[Ticker],TabCalc[Ann%RevLB])</f>
        <v>0.40511133543337235</v>
      </c>
      <c r="AN85" s="1392">
        <f ca="1">_xlfn.XLOOKUP(TabTRADER[[#This Row],[ClickTick]],TabCalc[Ticker],TabCalc[Up20])</f>
        <v>0</v>
      </c>
      <c r="AO85" s="1291" t="str" cm="1">
        <f t="array" aca="1" ref="AO8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85" s="843" t="str" cm="1">
        <f t="array" aca="1" ref="AP85" ca="1">_xlfn.IFS(         TabTRADER[[#This Row],[Traps]]=MDown,TabTRADER[[#This Row],[L_Bn]]*TabTRADER[[#This Row],[M]]*(-(TabTRADER[[#This Row],[L_Bp]]+TabTRADER[[#This Row],[M]])/TabTRADER[[#This Row],[M]])*(1-Commission)*TabTRADER[[#This Row],[Scale]],                               TRUE,"")</f>
        <v/>
      </c>
      <c r="AQ85" s="1290" t="str" cm="1">
        <f t="array" aca="1" ref="AQ85" ca="1">_xlfn.IFS(   TabTRADER[[#This Row],[Traps]]=MUp,TabTRADER[[#This Row],[TakeGain_A]]-Commission,        TabTRADER[[#This Row],[Traps]]=MDown,(TabTRADER[[#This Row],[A]]-TabTRADER[[#This Row],[M]])/TabTRADER[[#This Row],[M]]-Commission,                              TRUE,"")</f>
        <v/>
      </c>
      <c r="AR85" s="774" cm="1">
        <f t="array" aca="1" ref="AR8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85" s="774" t="str" cm="1">
        <f t="array" aca="1" ref="AS8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-0.4%</v>
      </c>
      <c r="AT85" s="748" t="str" cm="1">
        <f t="array" aca="1" ref="AT8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0x130.36</v>
      </c>
      <c r="AU85" s="779" t="str" cm="1">
        <f t="array" aca="1" ref="AU85" ca="1">_xlfn.IFS(TabTRADER[[#This Row],[Traps]]=ReSaleGain,"",         TabTRADER[[#This Row],[Traps]]=MDown, (TabTRADER[[#This Row],[M]]-TabTRADER[[#This Row],[A]])/TabTRADER[[#This Row],[A]]*ComFactor,             TRUE, IFERROR((TabTRADER[[#This Row],[M]]-TabTRADER[[#This Row],[A]])/TabTRADER[[#This Row],[A]]*ComFactor,""))</f>
        <v/>
      </c>
      <c r="AV85" s="776" cm="1">
        <f t="array" aca="1" ref="AV85" ca="1">_xlfn.IFS(               TabTRADER[[#This Row],[Traps]]=NoStock,(TabTRADER[[#This Row],[L_Sp]]-TabTRADER[[#This Row],[M]])/TabTRADER[[#This Row],[M]]-Commission,             TabTRADER[[#This Row],[A]]&lt;&gt;0,(TabTRADER[[#This Row],[A]]-TabTRADER[[#This Row],[M]])/TabTRADER[[#This Row],[M]]-Commission)</f>
        <v>-0.21239978521018729</v>
      </c>
      <c r="AW85" s="326">
        <f ca="1">_xlfn.XLOOKUP(TabTRADER[[#This Row],[ClickTick]],TabCalc[Ticker],TabCalc[L_Sn])</f>
        <v>400</v>
      </c>
      <c r="AX85" s="740">
        <f ca="1">_xlfn.XLOOKUP(TabTRADER[[#This Row],[ClickTick]],TabCalc[Ticker],TabCalc[L_Sp])</f>
        <v>103.01049999999999</v>
      </c>
      <c r="AY85" s="778">
        <f ca="1">-IFERROR((TabTRADER[[#This Row],[M]]-TabTRADER[[#This Row],[L_Sp]])/TabTRADER[[#This Row],[L_Sp]],0)</f>
        <v>-0.26550206046956398</v>
      </c>
      <c r="AZ85" s="741">
        <f ca="1">TabTRADER[[#This Row],[L_Sn]]*(TabTRADER[[#This Row],[M]]-TabTRADER[[#This Row],[L_Sp]])*(1-Commission)*TabTRADER[[#This Row],[Scale]]</f>
        <v>10911.356520000008</v>
      </c>
      <c r="BA85" s="701">
        <f ca="1">TabTRADER[[#This Row],[L_Sn]]*(TabTRADER[[#This Row],[Agiotage]]-TabTRADER[[#This Row],[M]])/(TabTRADER[[#This Row],[L_Bn]]*TabTRADER[[#This Row],[M]])</f>
        <v>-0.39751516947851645</v>
      </c>
      <c r="BB85" s="641">
        <f ca="1">IFERROR((TabTRADER[[#This Row],[M]]-TabTRADER[[#This Row],[A]])/TabTRADER[[#This Row],[A]],0)</f>
        <v>0</v>
      </c>
      <c r="BC85" s="644" t="str">
        <f ca="1">TEXT(_xlfn.XLOOKUP(TabTRADER[[#This Row],[ClickTick]],TabCalc[Ticker],TabCalc[NAfter]),"#,#0")&amp;" : "&amp;TEXT(_xlfn.XLOOKUP(TabTRADER[[#This Row],[ClickTick]],TabCalc[Ticker],TabCalc[NAfter])*(TabTRADER[[#This Row],[M]]-TabTRADER[[#This Row],[A]])*(1-Commission)*TabTRADER[[#This Row],[Scale]],"#,#0$")</f>
        <v>0 : 0$</v>
      </c>
      <c r="BD85" s="693">
        <f ca="1">_xlfn.XLOOKUP(TabTRADER[[#This Row],[ClickTick]],TabCalc[[#This Row],[Ticker]],TabCalc[[#This Row],[GL]])*(1-Commission)</f>
        <v>13527.530635859988</v>
      </c>
      <c r="BE85" s="693"/>
      <c r="BF85" s="675" t="str">
        <f ca="1">TabTRADER[[#This Row],[ClickTick]]&amp;": "&amp;_xlfn.XLOOKUP(TabTRADER[[#This Row],[ClickTick]],TabCalc[Ticker],TabCalc[Pile?])</f>
        <v xml:space="preserve">NVS: </v>
      </c>
      <c r="BG85" s="353" t="s">
        <v>2065</v>
      </c>
      <c r="BH85" s="769" t="str" cm="1">
        <f t="array" aca="1" ref="BH85" ca="1">_xlfn.TEXTJOIN("",,INDEX({"M","A","Y"}, _xlfn.SORTBY({1,2,3}, -CHOOSE({1,2,3}, TabTRADER[[#This Row],[M]], TabTRADER[[#This Row],[A]], TabTRADER[[#This Row],[Agiotage]]))))</f>
        <v>MYA</v>
      </c>
      <c r="BI85" s="976" t="str" cm="1">
        <f t="array" aca="1" ref="BI8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85" s="688" t="e">
        <f ca="1">TabTRADER[[#This Row],[L_Sn]]*TabTRADER[[#This Row],[L_Sp]]+TabTRADER[[#This Row],[SellMore]]*TabTRADER[[#This Row],[M]]</f>
        <v>#N/A</v>
      </c>
      <c r="BK85" s="688" t="e">
        <f ca="1">INDEX(
  INDEX(TabConsolid[], , _xlfn.XMATCH(TabTRADER[[#This Row],[ClickTick]]&amp;1, TabConsolid[#Headers])),
  MATCH(
    -TabTRADER[[#This Row],[M]],
    INDEX(TabConsolid[], , _xlfn.XMATCH(TabTRADER[[#This Row],[ClickTick]]&amp;2, TabConsolid[#Headers])),
    -1
  )
)</f>
        <v>#N/A</v>
      </c>
      <c r="BL85" s="688" cm="1">
        <f t="array" aca="1" ref="BL8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5" s="1260" t="e">
        <f ca="1">TabTRADER[[#This Row],[ReBuy]]/(TabTRADER[[#This Row],[L_Sn]]+TabTRADER[[#This Row],[SellMore]])</f>
        <v>#N/A</v>
      </c>
      <c r="BN85" s="696" t="e">
        <f ca="1">((_xlfn.XLOOKUP(TabTRADER[[#This Row],[ClickTick]],TabCalc[Ticker],TabCalc[NAfter])+TabTRADER[[#This Row],[L_Sn]])*(TabTRADER[[#This Row],[Agiotage]]-TabTRADER[[#This Row],[M]]))/(TabTRADER[[#This Row],[L_Sn]]*_xlfn.XLOOKUP(TabTRADER[[#This Row],[ClickTick]],TabCalc[Ticker],TabCalc[NAfter]))</f>
        <v>#DIV/0!</v>
      </c>
      <c r="BO85" s="696">
        <f ca="1">(TabTRADER[[#This Row],[M]]-TabTRADER[[#This Row],[Agiotage]])/(TabTRADER[[#This Row],[M]]-TabTRADER[[#This Row],[A]])-1</f>
        <v>-6.2120763037087912E-3</v>
      </c>
      <c r="BP85" s="1388">
        <f ca="1">_xlfn.XMATCH(TabTRADER[[#This Row],[ClickTick]]&amp;1, TabConsolid[#Headers])</f>
        <v>251</v>
      </c>
      <c r="BQ85" t="b">
        <f ca="1">IF(ABS(TabTRADER[[#This Row],[L_Bp]])&gt;=TabTRADER[[#This Row],[M]],"OK")</f>
        <v>0</v>
      </c>
    </row>
    <row r="86" spans="1:69" hidden="1">
      <c r="A86" s="225">
        <f ca="1">IF(_xlfn.XLOOKUP(TabTRADER[[#This Row],[ClickTick]],TabCalc[Ticker],TabCalc[Cur])="GBp",0.01,1)</f>
        <v>1</v>
      </c>
      <c r="B8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-13.74x1200=    +210 EUR</v>
      </c>
      <c r="C8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1.3%</v>
      </c>
      <c r="D86" s="697" t="str" cm="1">
        <f t="array" aca="1" ref="D8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6"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86" s="228" t="str">
        <f ca="1">TRUNC(TabCalc[[#This Row],[L_B1p]],2)&amp;"x"&amp;TabCalc[[#This Row],[L_B1n]]&amp;"=   "&amp;TEXT(TabCalc[[#This Row],[ReverseS1]],"#,#0")&amp;"$"</f>
        <v>-9.78x4000=   4,968$</v>
      </c>
      <c r="G86" s="227" t="str">
        <f ca="1">IFERROR(TRUNC(_xlfn.XLOOKUP(TabTRADER[[#This Row],[ClickTick]],TabCalc[Ticker],ListLastSalep),2)&amp;"x"&amp;_xlfn.XLOOKUP(TabTRADER[[#This Row],[ClickTick]],TabCalc[Ticker],ListLastSalen)&amp;"=   "&amp;TEXT(-_xlfn.XLOOKUP(TabTRADER[[#This Row],[ClickTick]],TabCalc[Ticker],ListReverseB),"#,#0")&amp;"$","")</f>
        <v>12.03x2000=   3,780$</v>
      </c>
      <c r="H8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13.6% = 0</v>
      </c>
      <c r="I86" s="228" t="str">
        <f ca="1">IFERROR(TRUNC(TabCalc[[#This Row],[L_S1p]],2)&amp;"x"&amp;TabCalc[[#This Row],[L_S1n]]&amp;"=   "&amp;TEXT(TabCalc[[#This Row],[ReverseB1]],"#,#0"),"")</f>
        <v>11.84x2000=   -4,150</v>
      </c>
      <c r="J86" s="297">
        <f ca="1">_xlfn.XLOOKUP(TabTRADER[[#This Row],[ClickTick]],TabCalc[Ticker],ListGravity)</f>
        <v>1.0718390804597702</v>
      </c>
      <c r="K86" s="324" t="str" cm="1">
        <f t="array" aca="1" ref="K86" ca="1">IF(_xlfn.XLOOKUP(TabTRADER[[#This Row],[ClickTick]],TabTRADER[ClickTick],ListExtra_n)&gt;0,_xlfn.XLOOKUP(TabTRADER[[#This Row],[ClickTick]],TabTRADER[ClickTick],ListExtra_n),"")</f>
        <v/>
      </c>
      <c r="L86" s="322" t="str">
        <f ca="1">IF(_xlfn.XLOOKUP(TabTRADER[[#This Row],[ClickTick]],TabCalc[Ticker],ListExtra_n)&gt;0,_xlfn.XLOOKUP(TabTRADER[[#This Row],[ClickTick]],TabCalc[Ticker],ListExtra_n)*TabTRADER[[#This Row],[M]]*_xlfn.XLOOKUP(TabTRADER[[#This Row],[ClickTick]],TabCalc[Ticker],ListScale),"")</f>
        <v/>
      </c>
      <c r="M86" s="325">
        <f ca="1">_xlfn.XLOOKUP(TabTRADER[[#This Row],[ClickTick]],TabCalc[Ticker],TabCalc[Agiotage])</f>
        <v>0.95426628132187385</v>
      </c>
      <c r="N86" s="326" cm="1">
        <f t="array" aca="1" ref="N86" ca="1">_xlfn.XLOOKUP(TabTRADER[[#This Row],[ClickTick]],ListTickers,Tab2RSIConventional[RSIConv20])</f>
        <v>65</v>
      </c>
      <c r="O86" s="712" t="str">
        <f ca="1">TEXT(_xlfn.XLOOKUP(TabTRADER[[#This Row],[ClickTick]],TabCalc[Ticker],TabCalc[Nbegin]),"#,#0")&amp;": "&amp;_xlfn.XLOOKUP(TabTRADER[[#This Row],[ClickTick]],TabCalc[Ticker],TabCalc[Pile?])</f>
        <v>7,700: Pile</v>
      </c>
      <c r="P86" s="326">
        <f ca="1">_xlfn.XLOOKUP(TabTRADER[[#This Row],[ClickTick]],TabCalc[Ticker],TabCalc[L_Bn])</f>
        <v>1200</v>
      </c>
      <c r="Q86" s="690">
        <f ca="1">_xlfn.XLOOKUP(TabTRADER[[#This Row],[ClickTick]],TabCalc[Ticker],TabCalc[L_Bp])</f>
        <v>-13.744999999999999</v>
      </c>
      <c r="R86" s="778">
        <f ca="1">(TabTRADER[[#This Row],[M]]+TabTRADER[[#This Row],[L_Bp]])/ABS(TabTRADER[[#This Row],[L_Bp]])</f>
        <v>1.273190251000369E-2</v>
      </c>
      <c r="S86" s="692">
        <f ca="1">_xlfn.XLOOKUP(TabTRADER[[#This Row],[ClickTick]],TabCalc[Ticker],TabCalc[Rev(MinStock)])*(1-Commission)</f>
        <v>209.45400000000083</v>
      </c>
      <c r="T86" s="798">
        <f ca="1">_xlfn.XLOOKUP(TabTRADER[[#This Row],[ClickTick]],TabCalc[Ticker],TabCalc[Agiotage])</f>
        <v>0.95426628132187385</v>
      </c>
      <c r="U86" s="759" t="str" cm="1">
        <f t="array" aca="1" ref="U8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-252/-252=&gt;-1.6% / -1.6%</v>
      </c>
      <c r="V86" s="751" t="str">
        <f ca="1">_xlfn.XLOOKUP(TabTRADER[[#This Row],[ClickTick]],[1]!RTData[Ticker symbol],[1]!RTData[Currency])</f>
        <v>EUR</v>
      </c>
      <c r="W86" s="761">
        <f ca="1">_xlfn.XLOOKUP(TabTRADER[[#This Row],[ClickTick]],TabCalc[Ticker],TabCalc[M])</f>
        <v>13.92</v>
      </c>
      <c r="X86" s="762" t="str">
        <f ca="1">SORTING!B86</f>
        <v>ORA</v>
      </c>
      <c r="Y86" s="819">
        <f ca="1">_xlfn.XLOOKUP(TabTRADER[[#This Row],[ClickTick]],TabCalc[Ticker],TabCalc[Y])</f>
        <v>14.92</v>
      </c>
      <c r="Z86" s="835">
        <f ca="1">_xlfn.XLOOKUP(TabTRADER[[#This Row],[ClickTick]],[1]!RTData[Ticker symbol],[1]!RTData[YTChange])</f>
        <v>6.0687795010114535E-3</v>
      </c>
      <c r="AA86" s="851">
        <f ca="1">-_xlfn.XLOOKUP(TabTRADER[[#This Row],[ClickTick]]&amp;2,Consolid!B$3:JZ$3,Consolid!B$4:JZ$4)</f>
        <v>13.744999999999999</v>
      </c>
      <c r="AB86" s="835" cm="1">
        <f t="array" aca="1" ref="AB86" ca="1">_xlfn.XLOOKUP(TabTRADER[[#This Row],[ClickTick]],ListTickers,Tab1ChangePercent[Change%19])</f>
        <v>-1.6254000000000001E-2</v>
      </c>
      <c r="AC86" s="782">
        <f ca="1">_xlfn.XLOOKUP(TabTRADER[[#This Row],[ClickTick]],TabCalc[Ticker],TabCalc[NAfter])</f>
        <v>1200</v>
      </c>
      <c r="AD86"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^6/17 K$</v>
      </c>
      <c r="AE86" s="1299" t="str" cm="1">
        <f t="array" aca="1" ref="AE8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86" s="1281" t="str" cm="1">
        <f t="array" aca="1" ref="AF86" ca="1">_xlfn.IFS(       TabTRADER[[#This Row],[Traps]]=RePurchaseGain,TEXT(TabTRADER[[#This Row],[L_Sn]],"#,#0")&amp;" x "&amp;TEXT(TabTRADER[[#This Row],[L_Sp]],"#,#0.#0"),     TabTRADER[[#This Row],[Traps]]=ReSaleGain,TEXT(TabTRADER[[#This Row],[L_Bn]],"#0,#0")&amp;" x "&amp;TEXT(TabTRADER[[#This Row],[L_Bp]],"#,#0.#0"),               TRUE,"")</f>
        <v>1,200 x -13.75</v>
      </c>
      <c r="AG86" s="1281" cm="1">
        <f t="array" aca="1" ref="AG8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209.45400000000083</v>
      </c>
      <c r="AH86" s="1281" t="str" cm="1">
        <f t="array" aca="1" ref="AH8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6" s="774" cm="1">
        <f t="array" aca="1" ref="AI8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209.45400000000083</v>
      </c>
      <c r="AJ86" s="1290" cm="1">
        <f t="array" aca="1" ref="AJ8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1.273190251000369E-2</v>
      </c>
      <c r="AK86" s="1290" t="str" cm="1">
        <f t="array" aca="1" ref="AK8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6" s="843" t="str" cm="1">
        <f t="array" aca="1" ref="AL86" ca="1">_xlfn.IFS(   TabTRADER[[#This Row],[Traps]]=SellMorePercentGain,                     MIN(TabTRADER[[#This Row],[L_Sn]],TabTRADER[[#This Row],[N]])*(TabTRADER[[#This Row],[M]]-TabTRADER[[#This Row],[L_Sp]])*(1-Commission)*TabTRADER[[#This Row],[Scale]],                    TRUE,"")</f>
        <v/>
      </c>
      <c r="AM86" s="1039">
        <f ca="1">_xlfn.XLOOKUP(TabTRADER[[#This Row],[ClickTick]],TabCalc[Ticker],TabCalc[Ann%RevLB])</f>
        <v>0.12387797036760348</v>
      </c>
      <c r="AN86" s="1038">
        <f ca="1">_xlfn.XLOOKUP(TabTRADER[[#This Row],[ClickTick]],TabCalc[Ticker],TabCalc[Up20])</f>
        <v>0</v>
      </c>
      <c r="AO86" s="1291" t="str" cm="1">
        <f t="array" aca="1" ref="AO8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6" s="843" t="str" cm="1">
        <f t="array" aca="1" ref="AP86" ca="1">_xlfn.IFS(         TabTRADER[[#This Row],[Traps]]=MDown,TabTRADER[[#This Row],[L_Bn]]*TabTRADER[[#This Row],[M]]*(-(TabTRADER[[#This Row],[L_Bp]]+TabTRADER[[#This Row],[M]])/TabTRADER[[#This Row],[M]])*(1-Commission)*TabTRADER[[#This Row],[Scale]],                               TRUE,"")</f>
        <v/>
      </c>
      <c r="AQ86" s="1290" t="str" cm="1">
        <f t="array" aca="1" ref="AQ86" ca="1">_xlfn.IFS(   TabTRADER[[#This Row],[Traps]]=MUp,TabTRADER[[#This Row],[TakeGain_A]]-Commission,        TabTRADER[[#This Row],[Traps]]=MDown,(TabTRADER[[#This Row],[A]]-TabTRADER[[#This Row],[M]])/TabTRADER[[#This Row],[M]]-Commission,                              TRUE,"")</f>
        <v/>
      </c>
      <c r="AR86" s="774" cm="1">
        <f t="array" aca="1" ref="AR8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212.12074790833117</v>
      </c>
      <c r="AS86" s="774" t="str" cm="1">
        <f t="array" aca="1" ref="AS8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-0.4%</v>
      </c>
      <c r="AT86" s="748" t="str" cm="1">
        <f t="array" aca="1" ref="AT8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86" s="779" t="str" cm="1">
        <f t="array" aca="1" ref="AU86" ca="1">_xlfn.IFS(TabTRADER[[#This Row],[Traps]]=ReSaleGain,"",         TabTRADER[[#This Row],[Traps]]=MDown, (TabTRADER[[#This Row],[M]]-TabTRADER[[#This Row],[A]])/TabTRADER[[#This Row],[A]]*ComFactor,             TRUE, IFERROR((TabTRADER[[#This Row],[M]]-TabTRADER[[#This Row],[A]])/TabTRADER[[#This Row],[A]]*ComFactor,""))</f>
        <v/>
      </c>
      <c r="AV86" s="776" cm="1">
        <f t="array" aca="1" ref="AV86" ca="1">_xlfn.IFS(               TabTRADER[[#This Row],[Traps]]=NoStock,(TabTRADER[[#This Row],[L_Sp]]-TabTRADER[[#This Row],[M]])/TabTRADER[[#This Row],[M]]-Commission,             TabTRADER[[#This Row],[A]]&lt;&gt;0,(TabTRADER[[#This Row],[A]]-TabTRADER[[#This Row],[M]])/TabTRADER[[#This Row],[M]]-Commission)</f>
        <v>-1.5171839080459821E-2</v>
      </c>
      <c r="AW86" s="326">
        <f ca="1">_xlfn.XLOOKUP(TabTRADER[[#This Row],[ClickTick]],TabCalc[Ticker],TabCalc[L_Sn])</f>
        <v>2000</v>
      </c>
      <c r="AX86" s="740">
        <f ca="1">_xlfn.XLOOKUP(TabTRADER[[#This Row],[ClickTick]],TabCalc[Ticker],TabCalc[L_Sp])</f>
        <v>12.03</v>
      </c>
      <c r="AY86" s="778">
        <f ca="1">-IFERROR((TabTRADER[[#This Row],[M]]-TabTRADER[[#This Row],[L_Sp]])/TabTRADER[[#This Row],[L_Sp]],0)</f>
        <v>-0.15710723192019957</v>
      </c>
      <c r="AZ86" s="741">
        <f ca="1">TabTRADER[[#This Row],[L_Sn]]*(TabTRADER[[#This Row],[M]]-TabTRADER[[#This Row],[L_Sp]])*(1-Commission)*TabTRADER[[#This Row],[Scale]]</f>
        <v>3770.1720000000009</v>
      </c>
      <c r="BA86" s="701">
        <f ca="1">TabTRADER[[#This Row],[L_Sn]]*(TabTRADER[[#This Row],[Agiotage]]-TabTRADER[[#This Row],[M]])/(TabTRADER[[#This Row],[L_Bn]]*TabTRADER[[#This Row],[M]])</f>
        <v>-1.5524106463934539</v>
      </c>
      <c r="BB86" s="641">
        <f ca="1">IFERROR((TabTRADER[[#This Row],[M]]-TabTRADER[[#This Row],[A]])/TabTRADER[[#This Row],[A]],0)</f>
        <v>1.273190251000369E-2</v>
      </c>
      <c r="BC86" s="644" t="str">
        <f ca="1">TEXT(_xlfn.XLOOKUP(TabTRADER[[#This Row],[ClickTick]],TabCalc[Ticker],TabCalc[NAfter]),"#,#0")&amp;" : "&amp;TEXT(_xlfn.XLOOKUP(TabTRADER[[#This Row],[ClickTick]],TabCalc[Ticker],TabCalc[NAfter])*(TabTRADER[[#This Row],[M]]-TabTRADER[[#This Row],[A]])*(1-Commission)*TabTRADER[[#This Row],[Scale]],"#,#0$")</f>
        <v>1,200 : 209$</v>
      </c>
      <c r="BD86" s="693">
        <f ca="1">_xlfn.XLOOKUP(TabTRADER[[#This Row],[ClickTick]],TabCalc[[#This Row],[Ticker]],TabCalc[[#This Row],[GL]])*(1-Commission)</f>
        <v>6159.1444800000118</v>
      </c>
      <c r="BE86" s="693"/>
      <c r="BF86" s="675" t="str">
        <f ca="1">TabTRADER[[#This Row],[ClickTick]]&amp;": "&amp;_xlfn.XLOOKUP(TabTRADER[[#This Row],[ClickTick]],TabCalc[Ticker],TabCalc[Pile?])</f>
        <v>ORA: Pile</v>
      </c>
      <c r="BG86" s="353" t="s">
        <v>2066</v>
      </c>
      <c r="BH86" s="769" t="str" cm="1">
        <f t="array" aca="1" ref="BH86" ca="1">_xlfn.TEXTJOIN("",,INDEX({"M","A","Y"}, _xlfn.SORTBY({1,2,3}, -CHOOSE({1,2,3}, TabTRADER[[#This Row],[M]], TabTRADER[[#This Row],[A]], TabTRADER[[#This Row],[Agiotage]]))))</f>
        <v>MAY</v>
      </c>
      <c r="BI86" s="976" t="str" cm="1">
        <f t="array" aca="1" ref="BI8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6" s="688">
        <f ca="1">TabTRADER[[#This Row],[L_Sn]]*TabTRADER[[#This Row],[L_Sp]]+TabTRADER[[#This Row],[SellMore]]*TabTRADER[[#This Row],[M]]</f>
        <v>40764</v>
      </c>
      <c r="BK86" s="688">
        <f ca="1">INDEX(
  INDEX(TabConsolid[], , _xlfn.XMATCH(TabTRADER[[#This Row],[ClickTick]]&amp;1, TabConsolid[#Headers])),
  MATCH(
    -TabTRADER[[#This Row],[M]],
    INDEX(TabConsolid[], , _xlfn.XMATCH(TabTRADER[[#This Row],[ClickTick]]&amp;2, TabConsolid[#Headers])),
    -1
  )
)</f>
        <v>1200</v>
      </c>
      <c r="BL86" s="688" cm="1">
        <f t="array" aca="1" ref="BL8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6" s="1260">
        <f ca="1">TabTRADER[[#This Row],[ReBuy]]/(TabTRADER[[#This Row],[L_Sn]]+TabTRADER[[#This Row],[SellMore]])</f>
        <v>12.73875</v>
      </c>
      <c r="BN86" s="696">
        <f ca="1">((_xlfn.XLOOKUP(TabTRADER[[#This Row],[ClickTick]],TabCalc[Ticker],TabCalc[NAfter])+TabTRADER[[#This Row],[L_Sn]])*(TabTRADER[[#This Row],[Agiotage]]-TabTRADER[[#This Row],[M]]))/(TabTRADER[[#This Row],[L_Sn]]*_xlfn.XLOOKUP(TabTRADER[[#This Row],[ClickTick]],TabCalc[Ticker],TabCalc[NAfter]))</f>
        <v>-1.7287644958237505E-2</v>
      </c>
      <c r="BO86" s="696">
        <f ca="1">(TabTRADER[[#This Row],[M]]-TabTRADER[[#This Row],[Agiotage]])/(TabTRADER[[#This Row],[M]]-TabTRADER[[#This Row],[A]])-1</f>
        <v>73.089906963874711</v>
      </c>
      <c r="BP86" s="1388">
        <f ca="1">_xlfn.XMATCH(TabTRADER[[#This Row],[ClickTick]]&amp;1, TabConsolid[#Headers])</f>
        <v>254</v>
      </c>
      <c r="BQ86" t="b">
        <f ca="1">IF(ABS(TabTRADER[[#This Row],[L_Bp]])&gt;=TabTRADER[[#This Row],[M]],"OK")</f>
        <v>0</v>
      </c>
    </row>
    <row r="87" spans="1:69" hidden="1">
      <c r="A87" s="225">
        <f ca="1">IF(_xlfn.XLOOKUP(TabTRADER[[#This Row],[ClickTick]],TabCalc[Ticker],TabCalc[Cur])="GBp",0.01,1)</f>
        <v>1</v>
      </c>
      <c r="B8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-47.24x1000=    -4,670 USD</v>
      </c>
      <c r="C87"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-11.0%</v>
      </c>
      <c r="D87" s="697" t="str" cm="1">
        <f t="array" aca="1" ref="D8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87" s="228" t="str">
        <f ca="1">TRUNC(TabCalc[[#This Row],[L_B1p]],2)&amp;"x"&amp;TabCalc[[#This Row],[L_B1n]]&amp;"=   "&amp;TEXT(TabCalc[[#This Row],[ReverseS1]],"#,#0")&amp;"$"</f>
        <v>-48.09x900=   -4,968$</v>
      </c>
      <c r="G87" s="227" t="str">
        <f ca="1">IFERROR(TRUNC(_xlfn.XLOOKUP(TabTRADER[[#This Row],[ClickTick]],TabCalc[Ticker],ListLastSalep),2)&amp;"x"&amp;_xlfn.XLOOKUP(TabTRADER[[#This Row],[ClickTick]],TabCalc[Ticker],ListLastSalen)&amp;"=   "&amp;TEXT(-_xlfn.XLOOKUP(TabTRADER[[#This Row],[ClickTick]],TabCalc[Ticker],ListReverseB),"#,#0")&amp;"$","")</f>
        <v>51.86x1000=   -9,290$</v>
      </c>
      <c r="H8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21.8% = 538</v>
      </c>
      <c r="I87" s="228" t="str">
        <f ca="1">IFERROR(TRUNC(TabCalc[[#This Row],[L_S1p]],2)&amp;"x"&amp;TabCalc[[#This Row],[L_S1n]]&amp;"=   "&amp;TEXT(TabCalc[[#This Row],[ReverseB1]],"#,#0"),"")</f>
        <v>62.9x2000=   40,660</v>
      </c>
      <c r="J87" s="297">
        <f ca="1">_xlfn.XLOOKUP(TabTRADER[[#This Row],[ClickTick]],TabCalc[Ticker],ListGravity)</f>
        <v>1.2108397932816537</v>
      </c>
      <c r="K87" s="324" cm="1">
        <f t="array" aca="1" ref="K87" ca="1">IF(_xlfn.XLOOKUP(TabTRADER[[#This Row],[ClickTick]],TabTRADER[ClickTick],ListExtra_n)&gt;0,_xlfn.XLOOKUP(TabTRADER[[#This Row],[ClickTick]],TabTRADER[ClickTick],ListExtra_n),"")</f>
        <v>2900</v>
      </c>
      <c r="L87" s="322">
        <f ca="1">IF(_xlfn.XLOOKUP(TabTRADER[[#This Row],[ClickTick]],TabCalc[Ticker],ListExtra_n)&gt;0,_xlfn.XLOOKUP(TabTRADER[[#This Row],[ClickTick]],TabCalc[Ticker],ListExtra_n)*TabTRADER[[#This Row],[M]]*_xlfn.XLOOKUP(TabTRADER[[#This Row],[ClickTick]],TabCalc[Ticker],ListScale),"")</f>
        <v>123453</v>
      </c>
      <c r="M87" s="325">
        <f ca="1">_xlfn.XLOOKUP(TabTRADER[[#This Row],[ClickTick]],TabCalc[Ticker],TabCalc[Agiotage])</f>
        <v>0.57867052995526091</v>
      </c>
      <c r="N87" s="326" cm="1">
        <f t="array" aca="1" ref="N87" ca="1">_xlfn.XLOOKUP(TabTRADER[[#This Row],[ClickTick]],ListTickers,Tab2RSIConventional[RSIConv20])</f>
        <v>49</v>
      </c>
      <c r="O87" s="712" t="str">
        <f ca="1">TEXT(_xlfn.XLOOKUP(TabTRADER[[#This Row],[ClickTick]],TabCalc[Ticker],TabCalc[Nbegin]),"#,#0")&amp;": "&amp;_xlfn.XLOOKUP(TabTRADER[[#This Row],[ClickTick]],TabCalc[Ticker],TabCalc[Pile?])</f>
        <v>1,100: Pile</v>
      </c>
      <c r="P87" s="323">
        <f ca="1">_xlfn.XLOOKUP(TabTRADER[[#This Row],[ClickTick]],TabCalc[Ticker],TabCalc[L_Bn])</f>
        <v>1000</v>
      </c>
      <c r="Q87" s="740">
        <f ca="1">_xlfn.XLOOKUP(TabTRADER[[#This Row],[ClickTick]],TabCalc[Ticker],TabCalc[L_Bp])</f>
        <v>-47.24</v>
      </c>
      <c r="R87" s="778">
        <f ca="1">(TabTRADER[[#This Row],[M]]+TabTRADER[[#This Row],[L_Bp]])/ABS(TabTRADER[[#This Row],[L_Bp]])</f>
        <v>-9.8856900931414082E-2</v>
      </c>
      <c r="S87" s="692">
        <f ca="1">_xlfn.XLOOKUP(TabTRADER[[#This Row],[ClickTick]],TabCalc[Ticker],TabCalc[Rev(MinStock)])*(1-Commission)</f>
        <v>-4657.858000000002</v>
      </c>
      <c r="T87" s="798">
        <f ca="1">_xlfn.XLOOKUP(TabTRADER[[#This Row],[ClickTick]],TabCalc[Ticker],TabCalc[Agiotage])</f>
        <v>0.57867052995526091</v>
      </c>
      <c r="U87" s="759" t="str" cm="1">
        <f t="array" aca="1" ref="U8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-1,720/-1,720=&gt;-0.7% / -0.7%</v>
      </c>
      <c r="V87" s="751" t="str">
        <f ca="1">_xlfn.XLOOKUP(TabTRADER[[#This Row],[ClickTick]],[1]!RTData[Ticker symbol],[1]!RTData[Currency])</f>
        <v>USD</v>
      </c>
      <c r="W87" s="761">
        <f ca="1">_xlfn.XLOOKUP(TabTRADER[[#This Row],[ClickTick]],TabCalc[Ticker],TabCalc[M])</f>
        <v>42.57</v>
      </c>
      <c r="X87" s="762" t="str">
        <f ca="1">SORTING!B87</f>
        <v>OXY</v>
      </c>
      <c r="Y87" s="819">
        <f ca="1">_xlfn.XLOOKUP(TabTRADER[[#This Row],[ClickTick]],TabCalc[Ticker],TabCalc[Y])</f>
        <v>51.545450000000002</v>
      </c>
      <c r="Z87" s="835">
        <f ca="1">_xlfn.XLOOKUP(TabTRADER[[#This Row],[ClickTick]],[1]!RTData[Ticker symbol],[1]!RTData[YTChange])</f>
        <v>-0.28129601226993861</v>
      </c>
      <c r="AA87" s="851">
        <f ca="1">-_xlfn.XLOOKUP(TabTRADER[[#This Row],[ClickTick]]&amp;2,Consolid!B$3:JZ$3,Consolid!B$4:JZ$4)</f>
        <v>54.334474999999998</v>
      </c>
      <c r="AB87" s="835" cm="1">
        <f t="array" aca="1" ref="AB87" ca="1">_xlfn.XLOOKUP(TabTRADER[[#This Row],[ClickTick]],ListTickers,Tab1ChangePercent[Change%19])</f>
        <v>-6.9959999999999996E-3</v>
      </c>
      <c r="AC87" s="782">
        <f ca="1">_xlfn.XLOOKUP(TabTRADER[[#This Row],[ClickTick]],TabCalc[Ticker],TabCalc[NAfter])</f>
        <v>4000</v>
      </c>
      <c r="AD87"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-64/170 K$</v>
      </c>
      <c r="AE87" s="1299" t="str" cm="1">
        <f t="array" aca="1" ref="AE8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7" s="1281" t="str" cm="1">
        <f t="array" aca="1" ref="AF87" ca="1">_xlfn.IFS(       TabTRADER[[#This Row],[Traps]]=RePurchaseGain,TEXT(TabTRADER[[#This Row],[L_Sn]],"#,#0")&amp;" x "&amp;TEXT(TabTRADER[[#This Row],[L_Sp]],"#,#0.#0"),     TabTRADER[[#This Row],[Traps]]=ReSaleGain,TEXT(TabTRADER[[#This Row],[L_Bn]],"#0,#0")&amp;" x "&amp;TEXT(TabTRADER[[#This Row],[L_Bp]],"#,#0.#0"),               TRUE,"")</f>
        <v/>
      </c>
      <c r="AG87" s="1281" t="str" cm="1">
        <f t="array" aca="1" ref="AG8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-47.24</v>
      </c>
      <c r="AH87" s="1281" cm="1">
        <f t="array" aca="1" ref="AH8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4657.858000000002</v>
      </c>
      <c r="AI87" s="774" cm="1">
        <f t="array" aca="1" ref="AI8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170280</v>
      </c>
      <c r="AJ87" s="1290" cm="1">
        <f t="array" aca="1" ref="AJ8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0.21651953018778589</v>
      </c>
      <c r="AK87" s="1290" cm="1">
        <f t="array" aca="1" ref="AK8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0.10710166784120276</v>
      </c>
      <c r="AL87" s="843" t="str" cm="1">
        <f t="array" aca="1" ref="AL87" ca="1">_xlfn.IFS(   TabTRADER[[#This Row],[Traps]]=SellMorePercentGain,                     MIN(TabTRADER[[#This Row],[L_Sn]],TabTRADER[[#This Row],[N]])*(TabTRADER[[#This Row],[M]]-TabTRADER[[#This Row],[L_Sp]])*(1-Commission)*TabTRADER[[#This Row],[Scale]],                    TRUE,"")</f>
        <v/>
      </c>
      <c r="AM87" s="1039">
        <f ca="1">_xlfn.XLOOKUP(TabTRADER[[#This Row],[ClickTick]],TabCalc[Ticker],TabCalc[Ann%RevLB])</f>
        <v>-0.15958961585340392</v>
      </c>
      <c r="AN87" s="1038">
        <f ca="1">_xlfn.XLOOKUP(TabTRADER[[#This Row],[ClickTick]],TabCalc[Ticker],TabCalc[Up20])</f>
        <v>0.5</v>
      </c>
      <c r="AO87" s="1291" cm="1">
        <f t="array" aca="1" ref="AO8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0.10970166784120276</v>
      </c>
      <c r="AP87" s="843" cm="1">
        <f t="array" aca="1" ref="AP87" ca="1">_xlfn.IFS(         TabTRADER[[#This Row],[Traps]]=MDown,TabTRADER[[#This Row],[L_Bn]]*TabTRADER[[#This Row],[M]]*(-(TabTRADER[[#This Row],[L_Bp]]+TabTRADER[[#This Row],[M]])/TabTRADER[[#This Row],[M]])*(1-Commission)*TabTRADER[[#This Row],[Scale]],                               TRUE,"")</f>
        <v>4657.858000000002</v>
      </c>
      <c r="AQ87" s="1290" cm="1">
        <f t="array" aca="1" ref="AQ87" ca="1">_xlfn.IFS(   TabTRADER[[#This Row],[Traps]]=MUp,TabTRADER[[#This Row],[TakeGain_A]]-Commission,        TabTRADER[[#This Row],[Traps]]=MDown,(TabTRADER[[#This Row],[A]]-TabTRADER[[#This Row],[M]])/TabTRADER[[#This Row],[M]]-Commission,                              TRUE,"")</f>
        <v>0.27375600187925764</v>
      </c>
      <c r="AR87" s="774" cm="1">
        <f t="array" aca="1" ref="AR8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46935.549459999987</v>
      </c>
      <c r="AS87" s="774" t="str" cm="1">
        <f t="array" aca="1" ref="AS8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0.9%</v>
      </c>
      <c r="AT87" s="748" cm="1">
        <f t="array" aca="1" ref="AT8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-4.67</v>
      </c>
      <c r="AU87" s="779" cm="1">
        <f t="array" aca="1" ref="AU87" ca="1">_xlfn.IFS(TabTRADER[[#This Row],[Traps]]=ReSaleGain,"",         TabTRADER[[#This Row],[Traps]]=MDown, (TabTRADER[[#This Row],[M]]-TabTRADER[[#This Row],[A]])/TabTRADER[[#This Row],[A]]*ComFactor,             TRUE, IFERROR((TabTRADER[[#This Row],[M]]-TabTRADER[[#This Row],[A]])/TabTRADER[[#This Row],[A]]*ComFactor,""))</f>
        <v>-0.21595657940929763</v>
      </c>
      <c r="AV87" s="776" cm="1">
        <f t="array" aca="1" ref="AV87" ca="1">_xlfn.IFS(               TabTRADER[[#This Row],[Traps]]=NoStock,(TabTRADER[[#This Row],[L_Sp]]-TabTRADER[[#This Row],[M]])/TabTRADER[[#This Row],[M]]-Commission,             TabTRADER[[#This Row],[A]]&lt;&gt;0,(TabTRADER[[#This Row],[A]]-TabTRADER[[#This Row],[M]])/TabTRADER[[#This Row],[M]]-Commission)</f>
        <v>0.27375600187925764</v>
      </c>
      <c r="AW87" s="326">
        <f ca="1">_xlfn.XLOOKUP(TabTRADER[[#This Row],[ClickTick]],TabCalc[Ticker],TabCalc[L_Sn])</f>
        <v>1000</v>
      </c>
      <c r="AX87" s="740">
        <f ca="1">_xlfn.XLOOKUP(TabTRADER[[#This Row],[ClickTick]],TabCalc[Ticker],TabCalc[L_Sp])</f>
        <v>51.86</v>
      </c>
      <c r="AY87" s="778">
        <f ca="1">-IFERROR((TabTRADER[[#This Row],[M]]-TabTRADER[[#This Row],[L_Sp]])/TabTRADER[[#This Row],[L_Sp]],0)</f>
        <v>0.1791361357500964</v>
      </c>
      <c r="AZ87" s="741">
        <f ca="1">TabTRADER[[#This Row],[L_Sn]]*(TabTRADER[[#This Row],[M]]-TabTRADER[[#This Row],[L_Sp]])*(1-Commission)*TabTRADER[[#This Row],[Scale]]</f>
        <v>-9265.8459999999995</v>
      </c>
      <c r="BA87" s="701">
        <f ca="1">TabTRADER[[#This Row],[L_Sn]]*(TabTRADER[[#This Row],[Agiotage]]-TabTRADER[[#This Row],[M]])/(TabTRADER[[#This Row],[L_Bn]]*TabTRADER[[#This Row],[M]])</f>
        <v>-0.98640661193433721</v>
      </c>
      <c r="BB87" s="641">
        <f ca="1">IFERROR((TabTRADER[[#This Row],[M]]-TabTRADER[[#This Row],[A]])/TabTRADER[[#This Row],[A]],0)</f>
        <v>-0.21651953018778589</v>
      </c>
      <c r="BC87" s="644" t="str">
        <f ca="1">TEXT(_xlfn.XLOOKUP(TabTRADER[[#This Row],[ClickTick]],TabCalc[Ticker],TabCalc[NAfter]),"#,#0")&amp;" : "&amp;TEXT(_xlfn.XLOOKUP(TabTRADER[[#This Row],[ClickTick]],TabCalc[Ticker],TabCalc[NAfter])*(TabTRADER[[#This Row],[M]]-TabTRADER[[#This Row],[A]])*(1-Commission)*TabTRADER[[#This Row],[Scale]],"#,#0$")</f>
        <v>4,000 : -46,936$</v>
      </c>
      <c r="BD87" s="693">
        <f ca="1">_xlfn.XLOOKUP(TabTRADER[[#This Row],[ClickTick]],TabCalc[[#This Row],[Ticker]],TabCalc[[#This Row],[GL]])*(1-Commission)</f>
        <v>-63872.325052399996</v>
      </c>
      <c r="BE87" s="693"/>
      <c r="BF87" s="675" t="str">
        <f ca="1">TabTRADER[[#This Row],[ClickTick]]&amp;": "&amp;_xlfn.XLOOKUP(TabTRADER[[#This Row],[ClickTick]],TabCalc[Ticker],TabCalc[Pile?])</f>
        <v>OXY: Pile</v>
      </c>
      <c r="BG87" s="353" t="s">
        <v>2067</v>
      </c>
      <c r="BH87" s="769" t="str" cm="1">
        <f t="array" aca="1" ref="BH87" ca="1">_xlfn.TEXTJOIN("",,INDEX({"M","A","Y"}, _xlfn.SORTBY({1,2,3}, -CHOOSE({1,2,3}, TabTRADER[[#This Row],[M]], TabTRADER[[#This Row],[A]], TabTRADER[[#This Row],[Agiotage]]))))</f>
        <v>AMY</v>
      </c>
      <c r="BI87" s="976" cm="1">
        <f t="array" aca="1" ref="BI8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0.10970166784120276</v>
      </c>
      <c r="BJ87" s="688" t="e">
        <f ca="1">TabTRADER[[#This Row],[L_Sn]]*TabTRADER[[#This Row],[L_Sp]]+TabTRADER[[#This Row],[SellMore]]*TabTRADER[[#This Row],[M]]</f>
        <v>#N/A</v>
      </c>
      <c r="BK87" s="688" t="e">
        <f ca="1">INDEX(
  INDEX(TabConsolid[], , _xlfn.XMATCH(TabTRADER[[#This Row],[ClickTick]]&amp;1, TabConsolid[#Headers])),
  MATCH(
    -TabTRADER[[#This Row],[M]],
    INDEX(TabConsolid[], , _xlfn.XMATCH(TabTRADER[[#This Row],[ClickTick]]&amp;2, TabConsolid[#Headers])),
    -1
  )
)</f>
        <v>#N/A</v>
      </c>
      <c r="BL87" s="688" cm="1">
        <f t="array" aca="1" ref="BL8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87" s="1260" t="e">
        <f ca="1">TabTRADER[[#This Row],[ReBuy]]/(TabTRADER[[#This Row],[L_Sn]]+TabTRADER[[#This Row],[SellMore]])</f>
        <v>#N/A</v>
      </c>
      <c r="BN87" s="696">
        <f ca="1">((_xlfn.XLOOKUP(TabTRADER[[#This Row],[ClickTick]],TabCalc[Ticker],TabCalc[NAfter])+TabTRADER[[#This Row],[L_Sn]])*(TabTRADER[[#This Row],[Agiotage]]-TabTRADER[[#This Row],[M]]))/(TabTRADER[[#This Row],[L_Sn]]*_xlfn.XLOOKUP(TabTRADER[[#This Row],[ClickTick]],TabCalc[Ticker],TabCalc[NAfter]))</f>
        <v>-5.2489161837555927E-2</v>
      </c>
      <c r="BO87" s="696">
        <f ca="1">(TabTRADER[[#This Row],[M]]-TabTRADER[[#This Row],[Agiotage]])/(TabTRADER[[#This Row],[M]]-TabTRADER[[#This Row],[A]])-1</f>
        <v>-4.5693330531149705</v>
      </c>
      <c r="BP87" s="1388">
        <f ca="1">_xlfn.XMATCH(TabTRADER[[#This Row],[ClickTick]]&amp;1, TabConsolid[#Headers])</f>
        <v>257</v>
      </c>
      <c r="BQ87" t="str">
        <f ca="1">IF(ABS(TabTRADER[[#This Row],[L_Bp]])&gt;=TabTRADER[[#This Row],[M]],"OK")</f>
        <v>OK</v>
      </c>
    </row>
    <row r="88" spans="1:69" hidden="1">
      <c r="A88" s="225">
        <f ca="1">IF(_xlfn.XLOOKUP(TabTRADER[[#This Row],[ClickTick]],TabCalc[Ticker],TabCalc[Cur])="GBp",0.01,1)</f>
        <v>1</v>
      </c>
      <c r="B8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-24.94x1600=    -288 USD</v>
      </c>
      <c r="C88"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-0.7%</v>
      </c>
      <c r="D88" s="697" t="str" cm="1">
        <f t="array" aca="1" ref="D8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8"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88" s="228" t="str">
        <f ca="1">TRUNC(TabCalc[[#This Row],[L_B1p]],2)&amp;"x"&amp;TabCalc[[#This Row],[L_B1n]]&amp;"=   "&amp;TEXT(TabCalc[[#This Row],[ReverseS1]],"#,#0")&amp;"$"</f>
        <v>-27.92x2000=   -5,064$</v>
      </c>
      <c r="G88" s="227" t="str">
        <f ca="1">IFERROR(TRUNC(_xlfn.XLOOKUP(TabTRADER[[#This Row],[ClickTick]],TabCalc[Ticker],ListLastSalep),2)&amp;"x"&amp;_xlfn.XLOOKUP(TabTRADER[[#This Row],[ClickTick]],TabCalc[Ticker],ListLastSalen)&amp;"=   "&amp;TEXT(-_xlfn.XLOOKUP(TabTRADER[[#This Row],[ClickTick]],TabCalc[Ticker],ListReverseB),"#,#0")&amp;"$","")</f>
        <v>29.9x2010=   -10,336$</v>
      </c>
      <c r="H8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20.8% = 972</v>
      </c>
      <c r="I88" s="228" t="str">
        <f ca="1">IFERROR(TRUNC(TabCalc[[#This Row],[L_S1p]],2)&amp;"x"&amp;TabCalc[[#This Row],[L_S1n]]&amp;"=   "&amp;TEXT(TabCalc[[#This Row],[ReverseB1]],"#,#0"),"")</f>
        <v>28.22x1990=   6,895</v>
      </c>
      <c r="J88" s="297">
        <f ca="1">_xlfn.XLOOKUP(TabTRADER[[#This Row],[ClickTick]],TabCalc[Ticker],ListGravity)</f>
        <v>1.1635153473344102</v>
      </c>
      <c r="K88" s="324" cm="1">
        <f t="array" aca="1" ref="K88" ca="1">IF(_xlfn.XLOOKUP(TabTRADER[[#This Row],[ClickTick]],TabTRADER[ClickTick],ListExtra_n)&gt;0,_xlfn.XLOOKUP(TabTRADER[[#This Row],[ClickTick]],TabTRADER[ClickTick],ListExtra_n),"")</f>
        <v>300</v>
      </c>
      <c r="L88" s="322">
        <f ca="1">IF(_xlfn.XLOOKUP(TabTRADER[[#This Row],[ClickTick]],TabCalc[Ticker],ListExtra_n)&gt;0,_xlfn.XLOOKUP(TabTRADER[[#This Row],[ClickTick]],TabCalc[Ticker],ListExtra_n)*TabTRADER[[#This Row],[M]]*_xlfn.XLOOKUP(TabTRADER[[#This Row],[ClickTick]],TabCalc[Ticker],ListScale),"")</f>
        <v>7428.0000000000009</v>
      </c>
      <c r="M88" s="325">
        <f ca="1">_xlfn.XLOOKUP(TabTRADER[[#This Row],[ClickTick]],TabCalc[Ticker],TabCalc[Agiotage])</f>
        <v>0.46671560948294799</v>
      </c>
      <c r="N88" s="326" cm="1">
        <f t="array" aca="1" ref="N88" ca="1">_xlfn.XLOOKUP(TabTRADER[[#This Row],[ClickTick]],ListTickers,Tab2RSIConventional[RSIConv20])</f>
        <v>23</v>
      </c>
      <c r="O88" s="712" t="str">
        <f ca="1">TEXT(_xlfn.XLOOKUP(TabTRADER[[#This Row],[ClickTick]],TabCalc[Ticker],TabCalc[Nbegin]),"#,#0")&amp;": "&amp;_xlfn.XLOOKUP(TabTRADER[[#This Row],[ClickTick]],TabCalc[Ticker],TabCalc[Pile?])</f>
        <v xml:space="preserve">1,300: </v>
      </c>
      <c r="P88" s="323">
        <f ca="1">_xlfn.XLOOKUP(TabTRADER[[#This Row],[ClickTick]],TabCalc[Ticker],TabCalc[L_Bn])</f>
        <v>1600</v>
      </c>
      <c r="Q88" s="690">
        <f ca="1">_xlfn.XLOOKUP(TabTRADER[[#This Row],[ClickTick]],TabCalc[Ticker],TabCalc[L_Bp])</f>
        <v>-24.94</v>
      </c>
      <c r="R88" s="778">
        <f ca="1">(TabTRADER[[#This Row],[M]]+TabTRADER[[#This Row],[L_Bp]])/ABS(TabTRADER[[#This Row],[L_Bp]])</f>
        <v>-7.217321571772242E-3</v>
      </c>
      <c r="S88" s="692">
        <f ca="1">_xlfn.XLOOKUP(TabTRADER[[#This Row],[ClickTick]],TabCalc[Ticker],TabCalc[Rev(MinStock)])*(1-Commission)</f>
        <v>-287.25119999999953</v>
      </c>
      <c r="T88" s="798">
        <f ca="1">_xlfn.XLOOKUP(TabTRADER[[#This Row],[ClickTick]],TabCalc[Ticker],TabCalc[Agiotage])</f>
        <v>0.46671560948294799</v>
      </c>
      <c r="U88" s="759" t="str" cm="1">
        <f t="array" aca="1" ref="U8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104/104=&gt;0.4% / 0.4%</v>
      </c>
      <c r="V88" s="751" t="str">
        <f ca="1">_xlfn.XLOOKUP(TabTRADER[[#This Row],[ClickTick]],[1]!RTData[Ticker symbol],[1]!RTData[Currency])</f>
        <v>USD</v>
      </c>
      <c r="W88" s="761">
        <f ca="1">_xlfn.XLOOKUP(TabTRADER[[#This Row],[ClickTick]],TabCalc[Ticker],TabCalc[M])</f>
        <v>24.76</v>
      </c>
      <c r="X88" s="762" t="str">
        <f ca="1">SORTING!B88</f>
        <v>PFE</v>
      </c>
      <c r="Y88" s="819">
        <f ca="1">_xlfn.XLOOKUP(TabTRADER[[#This Row],[ClickTick]],TabCalc[Ticker],TabCalc[Y])</f>
        <v>28.80864</v>
      </c>
      <c r="Z88" s="835">
        <f ca="1">_xlfn.XLOOKUP(TabTRADER[[#This Row],[ClickTick]],[1]!RTData[Ticker symbol],[1]!RTData[YTChange])</f>
        <v>-0.13096108597285064</v>
      </c>
      <c r="AA88" s="851">
        <f ca="1">-_xlfn.XLOOKUP(TabTRADER[[#This Row],[ClickTick]]&amp;2,Consolid!B$3:JZ$3,Consolid!B$4:JZ$4)</f>
        <v>24.94</v>
      </c>
      <c r="AB88" s="835" cm="1">
        <f t="array" aca="1" ref="AB88" ca="1">_xlfn.XLOOKUP(TabTRADER[[#This Row],[ClickTick]],ListTickers,Tab1ChangePercent[Change%19])</f>
        <v>4.4590000000000003E-3</v>
      </c>
      <c r="AC88" s="782">
        <f ca="1">_xlfn.XLOOKUP(TabTRADER[[#This Row],[ClickTick]],TabCalc[Ticker],TabCalc[NAfter])</f>
        <v>1600</v>
      </c>
      <c r="AD88"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-8/40 K$</v>
      </c>
      <c r="AE88" s="1299" t="str" cm="1">
        <f t="array" aca="1" ref="AE8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8" s="1281" t="str" cm="1">
        <f t="array" aca="1" ref="AF88" ca="1">_xlfn.IFS(       TabTRADER[[#This Row],[Traps]]=RePurchaseGain,TEXT(TabTRADER[[#This Row],[L_Sn]],"#,#0")&amp;" x "&amp;TEXT(TabTRADER[[#This Row],[L_Sp]],"#,#0.#0"),     TabTRADER[[#This Row],[Traps]]=ReSaleGain,TEXT(TabTRADER[[#This Row],[L_Bn]],"#0,#0")&amp;" x "&amp;TEXT(TabTRADER[[#This Row],[L_Bp]],"#,#0.#0"),               TRUE,"")</f>
        <v/>
      </c>
      <c r="AG88" s="1281" t="str" cm="1">
        <f t="array" aca="1" ref="AG8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1,600 x -24.94</v>
      </c>
      <c r="AH88" s="1281" cm="1">
        <f t="array" aca="1" ref="AH8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287.25119999999953</v>
      </c>
      <c r="AI88" s="774" cm="1">
        <f t="array" aca="1" ref="AI8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39616</v>
      </c>
      <c r="AJ88" s="1290" cm="1">
        <f t="array" aca="1" ref="AJ8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7.217321571772242E-3</v>
      </c>
      <c r="AK88" s="1290" cm="1">
        <f t="array" aca="1" ref="AK8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4.6697899838448994E-3</v>
      </c>
      <c r="AL88" s="843" t="str" cm="1">
        <f t="array" aca="1" ref="AL88" ca="1">_xlfn.IFS(   TabTRADER[[#This Row],[Traps]]=SellMorePercentGain,                     MIN(TabTRADER[[#This Row],[L_Sn]],TabTRADER[[#This Row],[N]])*(TabTRADER[[#This Row],[M]]-TabTRADER[[#This Row],[L_Sp]])*(1-Commission)*TabTRADER[[#This Row],[Scale]],                    TRUE,"")</f>
        <v/>
      </c>
      <c r="AM88" s="1039">
        <f ca="1">_xlfn.XLOOKUP(TabTRADER[[#This Row],[ClickTick]],TabCalc[Ticker],TabCalc[Ann%RevLB])</f>
        <v>-7.6644122886076905E-3</v>
      </c>
      <c r="AN88" s="1038">
        <f ca="1">_xlfn.XLOOKUP(TabTRADER[[#This Row],[ClickTick]],TabCalc[Ticker],TabCalc[Up20])</f>
        <v>0.55555555555555558</v>
      </c>
      <c r="AO88" s="1291" cm="1">
        <f t="array" aca="1" ref="AO8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7.2697899838448992E-3</v>
      </c>
      <c r="AP88" s="843" cm="1">
        <f t="array" aca="1" ref="AP88" ca="1">_xlfn.IFS(         TabTRADER[[#This Row],[Traps]]=MDown,TabTRADER[[#This Row],[L_Bn]]*TabTRADER[[#This Row],[M]]*(-(TabTRADER[[#This Row],[L_Bp]]+TabTRADER[[#This Row],[M]])/TabTRADER[[#This Row],[M]])*(1-Commission)*TabTRADER[[#This Row],[Scale]],                               TRUE,"")</f>
        <v>287.25119999999953</v>
      </c>
      <c r="AQ88" s="1290" cm="1">
        <f t="array" aca="1" ref="AQ88" ca="1">_xlfn.IFS(   TabTRADER[[#This Row],[Traps]]=MUp,TabTRADER[[#This Row],[TakeGain_A]]-Commission,        TabTRADER[[#This Row],[Traps]]=MDown,(TabTRADER[[#This Row],[A]]-TabTRADER[[#This Row],[M]])/TabTRADER[[#This Row],[M]]-Commission,                              TRUE,"")</f>
        <v>4.6697899838448994E-3</v>
      </c>
      <c r="AR88" s="843" cm="1">
        <f t="array" aca="1" ref="AR8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287.25119999999953</v>
      </c>
      <c r="AS88" s="774" t="str" cm="1">
        <f t="array" aca="1" ref="AS8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-0.1%</v>
      </c>
      <c r="AT88" s="748" cm="1">
        <f t="array" aca="1" ref="AT8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-0.18</v>
      </c>
      <c r="AU88" s="779" cm="1">
        <f t="array" aca="1" ref="AU88" ca="1">_xlfn.IFS(TabTRADER[[#This Row],[Traps]]=ReSaleGain,"",         TabTRADER[[#This Row],[Traps]]=MDown, (TabTRADER[[#This Row],[M]]-TabTRADER[[#This Row],[A]])/TabTRADER[[#This Row],[A]]*ComFactor,             TRUE, IFERROR((TabTRADER[[#This Row],[M]]-TabTRADER[[#This Row],[A]])/TabTRADER[[#This Row],[A]]*ComFactor,""))</f>
        <v>-7.1985565356856339E-3</v>
      </c>
      <c r="AV88" s="776" cm="1">
        <f t="array" aca="1" ref="AV88" ca="1">_xlfn.IFS(               TabTRADER[[#This Row],[Traps]]=NoStock,(TabTRADER[[#This Row],[L_Sp]]-TabTRADER[[#This Row],[M]])/TabTRADER[[#This Row],[M]]-Commission,             TabTRADER[[#This Row],[A]]&lt;&gt;0,(TabTRADER[[#This Row],[A]]-TabTRADER[[#This Row],[M]])/TabTRADER[[#This Row],[M]]-Commission)</f>
        <v>4.6697899838448994E-3</v>
      </c>
      <c r="AW88" s="326">
        <f ca="1">_xlfn.XLOOKUP(TabTRADER[[#This Row],[ClickTick]],TabCalc[Ticker],TabCalc[L_Sn])</f>
        <v>2010</v>
      </c>
      <c r="AX88" s="740">
        <f ca="1">_xlfn.XLOOKUP(TabTRADER[[#This Row],[ClickTick]],TabCalc[Ticker],TabCalc[L_Sp])</f>
        <v>29.902200000000001</v>
      </c>
      <c r="AY88" s="778">
        <f ca="1">-IFERROR((TabTRADER[[#This Row],[M]]-TabTRADER[[#This Row],[L_Sp]])/TabTRADER[[#This Row],[L_Sp]],0)</f>
        <v>0.17196727999946487</v>
      </c>
      <c r="AZ88" s="741">
        <f ca="1">TabTRADER[[#This Row],[L_Sn]]*(TabTRADER[[#This Row],[M]]-TabTRADER[[#This Row],[L_Sp]])*(1-Commission)*TabTRADER[[#This Row],[Scale]]</f>
        <v>-10308.948862799998</v>
      </c>
      <c r="BA88" s="701">
        <f ca="1">TabTRADER[[#This Row],[L_Sn]]*(TabTRADER[[#This Row],[Agiotage]]-TabTRADER[[#This Row],[M]])/(TabTRADER[[#This Row],[L_Bn]]*TabTRADER[[#This Row],[M]])</f>
        <v>-1.2325702146844528</v>
      </c>
      <c r="BB88" s="641">
        <f ca="1">IFERROR((TabTRADER[[#This Row],[M]]-TabTRADER[[#This Row],[A]])/TabTRADER[[#This Row],[A]],0)</f>
        <v>-7.217321571772242E-3</v>
      </c>
      <c r="BC88" s="644" t="str">
        <f ca="1">TEXT(_xlfn.XLOOKUP(TabTRADER[[#This Row],[ClickTick]],TabCalc[Ticker],TabCalc[NAfter]),"#,#0")&amp;" : "&amp;TEXT(_xlfn.XLOOKUP(TabTRADER[[#This Row],[ClickTick]],TabCalc[Ticker],TabCalc[NAfter])*(TabTRADER[[#This Row],[M]]-TabTRADER[[#This Row],[A]])*(1-Commission)*TabTRADER[[#This Row],[Scale]],"#,#0$")</f>
        <v>1,600 : -287$</v>
      </c>
      <c r="BD88" s="693">
        <f ca="1">_xlfn.XLOOKUP(TabTRADER[[#This Row],[ClickTick]],TabCalc[[#This Row],[Ticker]],TabCalc[[#This Row],[GL]])*(1-Commission)</f>
        <v>-8315.4015972000016</v>
      </c>
      <c r="BE88" s="693"/>
      <c r="BF88" s="675" t="str">
        <f ca="1">TabTRADER[[#This Row],[ClickTick]]&amp;": "&amp;_xlfn.XLOOKUP(TabTRADER[[#This Row],[ClickTick]],TabCalc[Ticker],TabCalc[Pile?])</f>
        <v xml:space="preserve">PFE: </v>
      </c>
      <c r="BG88" s="353" t="s">
        <v>2068</v>
      </c>
      <c r="BH88" s="769" t="str" cm="1">
        <f t="array" aca="1" ref="BH88" ca="1">_xlfn.TEXTJOIN("",,INDEX({"M","A","Y"}, _xlfn.SORTBY({1,2,3}, -CHOOSE({1,2,3}, TabTRADER[[#This Row],[M]], TabTRADER[[#This Row],[A]], TabTRADER[[#This Row],[Agiotage]]))))</f>
        <v>AMY</v>
      </c>
      <c r="BI88" s="976" cm="1">
        <f t="array" aca="1" ref="BI8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7.2697899838448992E-3</v>
      </c>
      <c r="BJ88" s="688" t="e">
        <f ca="1">TabTRADER[[#This Row],[L_Sn]]*TabTRADER[[#This Row],[L_Sp]]+TabTRADER[[#This Row],[SellMore]]*TabTRADER[[#This Row],[M]]</f>
        <v>#N/A</v>
      </c>
      <c r="BK88" s="688" t="e">
        <f ca="1">INDEX(
  INDEX(TabConsolid[], , _xlfn.XMATCH(TabTRADER[[#This Row],[ClickTick]]&amp;1, TabConsolid[#Headers])),
  MATCH(
    -TabTRADER[[#This Row],[M]],
    INDEX(TabConsolid[], , _xlfn.XMATCH(TabTRADER[[#This Row],[ClickTick]]&amp;2, TabConsolid[#Headers])),
    -1
  )
)</f>
        <v>#N/A</v>
      </c>
      <c r="BL88" s="688" cm="1">
        <f t="array" aca="1" ref="BL8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8" s="1260" t="e">
        <f ca="1">TabTRADER[[#This Row],[ReBuy]]/(TabTRADER[[#This Row],[L_Sn]]+TabTRADER[[#This Row],[SellMore]])</f>
        <v>#N/A</v>
      </c>
      <c r="BN88" s="696">
        <f ca="1">((_xlfn.XLOOKUP(TabTRADER[[#This Row],[ClickTick]],TabCalc[Ticker],TabCalc[NAfter])+TabTRADER[[#This Row],[L_Sn]])*(TabTRADER[[#This Row],[Agiotage]]-TabTRADER[[#This Row],[M]]))/(TabTRADER[[#This Row],[L_Sn]]*_xlfn.XLOOKUP(TabTRADER[[#This Row],[ClickTick]],TabCalc[Ticker],TabCalc[NAfter]))</f>
        <v>-2.7269513883633884E-2</v>
      </c>
      <c r="BO88" s="696">
        <f ca="1">(TabTRADER[[#This Row],[M]]-TabTRADER[[#This Row],[Agiotage]])/(TabTRADER[[#This Row],[M]]-TabTRADER[[#This Row],[A]])-1</f>
        <v>-135.96269105842831</v>
      </c>
      <c r="BP88" s="1388">
        <f ca="1">_xlfn.XMATCH(TabTRADER[[#This Row],[ClickTick]]&amp;1, TabConsolid[#Headers])</f>
        <v>260</v>
      </c>
      <c r="BQ88" t="str">
        <f ca="1">IF(ABS(TabTRADER[[#This Row],[L_Bp]])&gt;=TabTRADER[[#This Row],[M]],"OK")</f>
        <v>OK</v>
      </c>
    </row>
    <row r="89" spans="1:69">
      <c r="A89" s="225">
        <f ca="1">IF(_xlfn.XLOOKUP(TabTRADER[[#This Row],[ClickTick]],TabCalc[Ticker],TabCalc[Cur])="GBp",0.01,1)</f>
        <v>1</v>
      </c>
      <c r="B8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-3.38x13000=    +6,760 USD</v>
      </c>
      <c r="C8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13.3%</v>
      </c>
      <c r="D89" s="697" t="str" cm="1">
        <f t="array" aca="1" ref="D8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9,615/48,000=37,500</v>
      </c>
      <c r="E89" s="765" t="str">
        <f ca="1">IF(      AND(TabTRADER[[#This Row],[A]]&lt;TabTRADER[[#This Row],[M]],    _xlfn.XLOOKUP(TabTRADER[[#This Row],[ClickTick]],TabCalc[Ticker],TabCalc[L_Sp])&gt;TabTRADER[[#This Row],[M]]),"BUY  "&amp;TEXT(DesiredBuyGain/TabTRADER[[#This Row],[Scale]]/(_xlfn.XLOOKUP(TabTRADER[[#This Row],[ClickTick]],TabCalc[Ticker],TabCalc[L_Sp])-TabTRADER[[#This Row],[M]]),"#,##0"),"")</f>
        <v>BUY  2,586</v>
      </c>
      <c r="F89" s="228" t="str">
        <f ca="1">TRUNC(TabCalc[[#This Row],[L_B1p]],2)&amp;"x"&amp;TabCalc[[#This Row],[L_B1n]]&amp;"=   "&amp;TEXT(TabCalc[[#This Row],[ReverseS1]],"#,#0")&amp;"$"</f>
        <v>-3.04x25000=   21,500$</v>
      </c>
      <c r="G89" s="227" t="str">
        <f ca="1">IFERROR(TRUNC(_xlfn.XLOOKUP(TabTRADER[[#This Row],[ClickTick]],TabCalc[Ticker],ListLastSalep),2)&amp;"x"&amp;_xlfn.XLOOKUP(TabTRADER[[#This Row],[ClickTick]],TabCalc[Ticker],ListLastSalen)&amp;"=   "&amp;TEXT(-_xlfn.XLOOKUP(TabTRADER[[#This Row],[ClickTick]],TabCalc[Ticker],ListReverseB),"#,#0")&amp;"$","")</f>
        <v>5.83x3000=   -5,800$</v>
      </c>
      <c r="H8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49.6% = 2,586</v>
      </c>
      <c r="I89" s="228" t="str">
        <f ca="1">IFERROR(TRUNC(TabCalc[[#This Row],[L_S1p]],2)&amp;"x"&amp;TabCalc[[#This Row],[L_S1n]]&amp;"=   "&amp;TEXT(TabCalc[[#This Row],[ReverseB1]],"#,#0"),"")</f>
        <v>5.58x8000=   13,475</v>
      </c>
      <c r="J89" s="297">
        <f ca="1">_xlfn.XLOOKUP(TabTRADER[[#This Row],[ClickTick]],TabCalc[Ticker],ListGravity)</f>
        <v>0.99743589743589745</v>
      </c>
      <c r="K89" s="324" cm="1">
        <f t="array" aca="1" ref="K89" ca="1">IF(_xlfn.XLOOKUP(TabTRADER[[#This Row],[ClickTick]],TabTRADER[ClickTick],ListExtra_n)&gt;0,_xlfn.XLOOKUP(TabTRADER[[#This Row],[ClickTick]],TabTRADER[ClickTick],ListExtra_n),"")</f>
        <v>41000</v>
      </c>
      <c r="L89" s="322">
        <f ca="1">IF(_xlfn.XLOOKUP(TabTRADER[[#This Row],[ClickTick]],TabCalc[Ticker],ListExtra_n)&gt;0,_xlfn.XLOOKUP(TabTRADER[[#This Row],[ClickTick]],TabCalc[Ticker],ListExtra_n)*TabTRADER[[#This Row],[M]]*_xlfn.XLOOKUP(TabTRADER[[#This Row],[ClickTick]],TabCalc[Ticker],ListScale),"")</f>
        <v>159900</v>
      </c>
      <c r="M89" s="325">
        <f ca="1">_xlfn.XLOOKUP(TabTRADER[[#This Row],[ClickTick]],TabCalc[Ticker],TabCalc[Agiotage])</f>
        <v>1.2634872054354884</v>
      </c>
      <c r="N89" s="326" cm="1">
        <f t="array" aca="1" ref="N89" ca="1">_xlfn.XLOOKUP(TabTRADER[[#This Row],[ClickTick]],ListTickers,Tab2RSIConventional[RSIConv20])</f>
        <v>74</v>
      </c>
      <c r="O89" s="712" t="str">
        <f ca="1">TEXT(_xlfn.XLOOKUP(TabTRADER[[#This Row],[ClickTick]],TabCalc[Ticker],TabCalc[Nbegin]),"#,#0")&amp;": "&amp;_xlfn.XLOOKUP(TabTRADER[[#This Row],[ClickTick]],TabCalc[Ticker],TabCalc[Pile?])</f>
        <v xml:space="preserve">7,000: </v>
      </c>
      <c r="P89" s="746">
        <f ca="1">_xlfn.XLOOKUP(TabTRADER[[#This Row],[ClickTick]],TabCalc[Ticker],TabCalc[L_Bn])</f>
        <v>13000</v>
      </c>
      <c r="Q89" s="740">
        <f ca="1">_xlfn.XLOOKUP(TabTRADER[[#This Row],[ClickTick]],TabCalc[Ticker],TabCalc[L_Bp])</f>
        <v>-3.38</v>
      </c>
      <c r="R89" s="778">
        <f ca="1">(TabTRADER[[#This Row],[M]]+TabTRADER[[#This Row],[L_Bp]])/ABS(TabTRADER[[#This Row],[L_Bp]])</f>
        <v>0.15384615384615385</v>
      </c>
      <c r="S89" s="692">
        <f ca="1">_xlfn.XLOOKUP(TabTRADER[[#This Row],[ClickTick]],TabCalc[Ticker],TabCalc[Rev(MinStock)])*(1-Commission)</f>
        <v>6742.424</v>
      </c>
      <c r="T89" s="798">
        <f ca="1">_xlfn.XLOOKUP(TabTRADER[[#This Row],[ClickTick]],TabCalc[Ticker],TabCalc[Agiotage])</f>
        <v>1.2634872054354884</v>
      </c>
      <c r="U89" s="759" t="str" cm="1">
        <f t="array" aca="1" ref="U8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0/0=&gt;0.1% / 0.3%</v>
      </c>
      <c r="V89" s="751" t="str">
        <f ca="1">_xlfn.XLOOKUP(TabTRADER[[#This Row],[ClickTick]],[1]!RTData[Ticker symbol],[1]!RTData[Currency])</f>
        <v>USD</v>
      </c>
      <c r="W89" s="761">
        <f ca="1">_xlfn.XLOOKUP(TabTRADER[[#This Row],[ClickTick]],TabCalc[Ticker],TabCalc[M])</f>
        <v>3.9</v>
      </c>
      <c r="X89" s="762" t="str">
        <f ca="1">SORTING!B89</f>
        <v>RIG</v>
      </c>
      <c r="Y89" s="819">
        <f ca="1">_xlfn.XLOOKUP(TabTRADER[[#This Row],[ClickTick]],TabCalc[Ticker],TabCalc[Y])</f>
        <v>3.89</v>
      </c>
      <c r="Z89" s="835">
        <f ca="1">_xlfn.XLOOKUP(TabTRADER[[#This Row],[ClickTick]],[1]!RTData[Ticker symbol],[1]!RTData[YTChange])</f>
        <v>-4.6568627450980379E-2</v>
      </c>
      <c r="AA89" s="851">
        <f ca="1">-_xlfn.XLOOKUP(TabTRADER[[#This Row],[ClickTick]]&amp;2,Consolid!B$3:JZ$3,Consolid!B$4:JZ$4)</f>
        <v>3.5051041666666665</v>
      </c>
      <c r="AB89" s="835" cm="1">
        <f t="array" aca="1" ref="AB89" ca="1">_xlfn.XLOOKUP(TabTRADER[[#This Row],[ClickTick]],ListTickers,Tab1ChangePercent[Change%19])</f>
        <v>1.2850000000000001E-3</v>
      </c>
      <c r="AC89" s="782">
        <f ca="1">_xlfn.XLOOKUP(TabTRADER[[#This Row],[ClickTick]],TabCalc[Ticker],TabCalc[NAfter])</f>
        <v>48000</v>
      </c>
      <c r="AD89"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^25/187 K$</v>
      </c>
      <c r="AE89" s="1277" t="str" cm="1">
        <f t="array" aca="1" ref="AE8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89" s="1281" t="str" cm="1">
        <f t="array" aca="1" ref="AF89" ca="1">_xlfn.IFS(       TabTRADER[[#This Row],[Traps]]=RePurchaseGain,TEXT(TabTRADER[[#This Row],[L_Sn]],"#,#0")&amp;" x "&amp;TEXT(TabTRADER[[#This Row],[L_Sp]],"#,#0.#0"),     TabTRADER[[#This Row],[Traps]]=ReSaleGain,TEXT(TabTRADER[[#This Row],[L_Bn]],"#0,#0")&amp;" x "&amp;TEXT(TabTRADER[[#This Row],[L_Bp]],"#,#0.#0"),               TRUE,"")</f>
        <v>13,000 x -3.38</v>
      </c>
      <c r="AG89" s="1281" cm="1">
        <f t="array" aca="1" ref="AG8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6742.424</v>
      </c>
      <c r="AH89" s="1281" t="str" cm="1">
        <f t="array" aca="1" ref="AH8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9" s="774" cm="1">
        <f t="array" aca="1" ref="AI8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6742.424</v>
      </c>
      <c r="AJ89" s="1290" cm="1">
        <f t="array" aca="1" ref="AJ8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0.15384615384615385</v>
      </c>
      <c r="AK89" s="1290" t="str" cm="1">
        <f t="array" aca="1" ref="AK8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89" s="843" t="str" cm="1">
        <f t="array" aca="1" ref="AL89" ca="1">_xlfn.IFS(   TabTRADER[[#This Row],[Traps]]=SellMorePercentGain,                     MIN(TabTRADER[[#This Row],[L_Sn]],TabTRADER[[#This Row],[N]])*(TabTRADER[[#This Row],[M]]-TabTRADER[[#This Row],[L_Sp]])*(1-Commission)*TabTRADER[[#This Row],[Scale]],                    TRUE,"")</f>
        <v/>
      </c>
      <c r="AM89" s="1039">
        <f ca="1">_xlfn.XLOOKUP(TabTRADER[[#This Row],[ClickTick]],TabCalc[Ticker],TabCalc[Ann%RevLB])</f>
        <v>1.6289592760180998</v>
      </c>
      <c r="AN89" s="1038">
        <f ca="1">_xlfn.XLOOKUP(TabTRADER[[#This Row],[ClickTick]],TabCalc[Ticker],TabCalc[Up20])</f>
        <v>0.41666666666666669</v>
      </c>
      <c r="AO89" s="1291" t="str" cm="1">
        <f t="array" aca="1" ref="AO8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89" s="843" t="str" cm="1">
        <f t="array" aca="1" ref="AP89" ca="1">_xlfn.IFS(         TabTRADER[[#This Row],[Traps]]=MDown,TabTRADER[[#This Row],[L_Bn]]*TabTRADER[[#This Row],[M]]*(-(TabTRADER[[#This Row],[L_Bp]]+TabTRADER[[#This Row],[M]])/TabTRADER[[#This Row],[M]])*(1-Commission)*TabTRADER[[#This Row],[Scale]],                               TRUE,"")</f>
        <v/>
      </c>
      <c r="AQ89" s="1290" t="str" cm="1">
        <f t="array" aca="1" ref="AQ89" ca="1">_xlfn.IFS(   TabTRADER[[#This Row],[Traps]]=MUp,TabTRADER[[#This Row],[TakeGain_A]]-Commission,        TabTRADER[[#This Row],[Traps]]=MDown,(TabTRADER[[#This Row],[A]]-TabTRADER[[#This Row],[M]])/TabTRADER[[#This Row],[M]]-Commission,                              TRUE,"")</f>
        <v/>
      </c>
      <c r="AR89" s="843" cm="1">
        <f t="array" aca="1" ref="AR8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21035.69331867218</v>
      </c>
      <c r="AS89" s="774" t="str" cm="1">
        <f t="array" aca="1" ref="AS8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1.6%</v>
      </c>
      <c r="AT89" s="748" t="str" cm="1">
        <f t="array" aca="1" ref="AT8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89" s="779" t="str" cm="1">
        <f t="array" aca="1" ref="AU89" ca="1">_xlfn.IFS(TabTRADER[[#This Row],[Traps]]=ReSaleGain,"",         TabTRADER[[#This Row],[Traps]]=MDown, (TabTRADER[[#This Row],[M]]-TabTRADER[[#This Row],[A]])/TabTRADER[[#This Row],[A]]*ComFactor,             TRUE, IFERROR((TabTRADER[[#This Row],[M]]-TabTRADER[[#This Row],[A]])/TabTRADER[[#This Row],[A]]*ComFactor,""))</f>
        <v/>
      </c>
      <c r="AV89" s="776" cm="1">
        <f t="array" aca="1" ref="AV89" ca="1">_xlfn.IFS(               TabTRADER[[#This Row],[Traps]]=NoStock,(TabTRADER[[#This Row],[L_Sp]]-TabTRADER[[#This Row],[M]])/TabTRADER[[#This Row],[M]]-Commission,             TabTRADER[[#This Row],[A]]&lt;&gt;0,(TabTRADER[[#This Row],[A]]-TabTRADER[[#This Row],[M]])/TabTRADER[[#This Row],[M]]-Commission)</f>
        <v>-0.10385534188034191</v>
      </c>
      <c r="AW89" s="326">
        <f ca="1">_xlfn.XLOOKUP(TabTRADER[[#This Row],[ClickTick]],TabCalc[Ticker],TabCalc[L_Sn])</f>
        <v>3000</v>
      </c>
      <c r="AX89" s="740">
        <f ca="1">_xlfn.XLOOKUP(TabTRADER[[#This Row],[ClickTick]],TabCalc[Ticker],TabCalc[L_Sp])</f>
        <v>5.8333000000000004</v>
      </c>
      <c r="AY89" s="778">
        <f ca="1">-IFERROR((TabTRADER[[#This Row],[M]]-TabTRADER[[#This Row],[L_Sp]])/TabTRADER[[#This Row],[L_Sp]],0)</f>
        <v>0.33142475099857721</v>
      </c>
      <c r="AZ89" s="741">
        <f ca="1">TabTRADER[[#This Row],[L_Sn]]*(TabTRADER[[#This Row],[M]]-TabTRADER[[#This Row],[L_Sp]])*(1-Commission)*TabTRADER[[#This Row],[Scale]]</f>
        <v>-5784.8202600000013</v>
      </c>
      <c r="BA89" s="701">
        <f ca="1">TabTRADER[[#This Row],[L_Sn]]*(TabTRADER[[#This Row],[Agiotage]]-TabTRADER[[#This Row],[M]])/(TabTRADER[[#This Row],[L_Bn]]*TabTRADER[[#This Row],[M]])</f>
        <v>-0.1560066742345865</v>
      </c>
      <c r="BB89" s="641">
        <f ca="1">IFERROR((TabTRADER[[#This Row],[M]]-TabTRADER[[#This Row],[A]])/TabTRADER[[#This Row],[A]],0)</f>
        <v>0.11266308062646739</v>
      </c>
      <c r="BC89" s="644" t="str">
        <f ca="1">TEXT(_xlfn.XLOOKUP(TabTRADER[[#This Row],[ClickTick]],TabCalc[Ticker],TabCalc[NAfter]),"#,#0")&amp;" : "&amp;TEXT(_xlfn.XLOOKUP(TabTRADER[[#This Row],[ClickTick]],TabCalc[Ticker],TabCalc[NAfter])*(TabTRADER[[#This Row],[M]]-TabTRADER[[#This Row],[A]])*(1-Commission)*TabTRADER[[#This Row],[Scale]],"#,#0$")</f>
        <v>48,000 : 18,906$</v>
      </c>
      <c r="BD89" s="693">
        <f ca="1">_xlfn.XLOOKUP(TabTRADER[[#This Row],[ClickTick]],TabCalc[[#This Row],[Ticker]],TabCalc[[#This Row],[GL]])*(1-Commission)</f>
        <v>25309.124740000003</v>
      </c>
      <c r="BE89" s="693"/>
      <c r="BF89" s="675" t="str">
        <f ca="1">TabTRADER[[#This Row],[ClickTick]]&amp;": "&amp;_xlfn.XLOOKUP(TabTRADER[[#This Row],[ClickTick]],TabCalc[Ticker],TabCalc[Pile?])</f>
        <v xml:space="preserve">RIG: </v>
      </c>
      <c r="BG89" s="353" t="s">
        <v>2069</v>
      </c>
      <c r="BH89" s="769" t="str" cm="1">
        <f t="array" aca="1" ref="BH89" ca="1">_xlfn.TEXTJOIN("",,INDEX({"M","A","Y"}, _xlfn.SORTBY({1,2,3}, -CHOOSE({1,2,3}, TabTRADER[[#This Row],[M]], TabTRADER[[#This Row],[A]], TabTRADER[[#This Row],[Agiotage]]))))</f>
        <v>MAY</v>
      </c>
      <c r="BI89" s="976" t="str" cm="1">
        <f t="array" aca="1" ref="BI8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89" s="688">
        <f ca="1">TabTRADER[[#This Row],[L_Sn]]*TabTRADER[[#This Row],[L_Sp]]+TabTRADER[[#This Row],[SellMore]]*TabTRADER[[#This Row],[M]]</f>
        <v>29199.9</v>
      </c>
      <c r="BK89" s="688">
        <f ca="1">INDEX(
  INDEX(TabConsolid[], , _xlfn.XMATCH(TabTRADER[[#This Row],[ClickTick]]&amp;1, TabConsolid[#Headers])),
  MATCH(
    -TabTRADER[[#This Row],[M]],
    INDEX(TabConsolid[], , _xlfn.XMATCH(TabTRADER[[#This Row],[ClickTick]]&amp;2, TabConsolid[#Headers])),
    -1
  )
)</f>
        <v>3000</v>
      </c>
      <c r="BL89" s="688" cm="1">
        <f t="array" aca="1" ref="BL8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89" s="1260">
        <f ca="1">TabTRADER[[#This Row],[ReBuy]]/(TabTRADER[[#This Row],[L_Sn]]+TabTRADER[[#This Row],[SellMore]])</f>
        <v>4.8666499999999999</v>
      </c>
      <c r="BN89" s="696">
        <f ca="1">((_xlfn.XLOOKUP(TabTRADER[[#This Row],[ClickTick]],TabCalc[Ticker],TabCalc[NAfter])+TabTRADER[[#This Row],[L_Sn]])*(TabTRADER[[#This Row],[Agiotage]]-TabTRADER[[#This Row],[M]]))/(TabTRADER[[#This Row],[L_Sn]]*_xlfn.XLOOKUP(TabTRADER[[#This Row],[ClickTick]],TabCalc[Ticker],TabCalc[NAfter]))</f>
        <v>-9.3376494807493129E-4</v>
      </c>
      <c r="BO89" s="696">
        <f ca="1">(TabTRADER[[#This Row],[M]]-TabTRADER[[#This Row],[Agiotage]])/(TabTRADER[[#This Row],[M]]-TabTRADER[[#This Row],[A]])-1</f>
        <v>5.676476609817807</v>
      </c>
      <c r="BP89" s="1388">
        <f ca="1">_xlfn.XMATCH(TabTRADER[[#This Row],[ClickTick]]&amp;1, TabConsolid[#Headers])</f>
        <v>263</v>
      </c>
      <c r="BQ89" t="b">
        <f ca="1">IF(ABS(TabTRADER[[#This Row],[L_Bp]])&gt;=TabTRADER[[#This Row],[M]],"OK")</f>
        <v>0</v>
      </c>
    </row>
    <row r="90" spans="1:69" hidden="1">
      <c r="A90" s="225">
        <f ca="1">IF(_xlfn.XLOOKUP(TabTRADER[[#This Row],[ClickTick]],TabCalc[Ticker],TabCalc[Cur])="GBp",0.01,1)</f>
        <v>1</v>
      </c>
      <c r="B9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-36.78x2300=    0 USD</v>
      </c>
      <c r="C90"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2.2%</v>
      </c>
      <c r="D90" s="697" t="str" cm="1">
        <f t="array" aca="1" ref="D9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0"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90" s="228" t="str">
        <f ca="1">TRUNC(TabCalc[[#This Row],[L_B1p]],2)&amp;"x"&amp;TabCalc[[#This Row],[L_B1n]]&amp;"=   "&amp;TEXT(TabCalc[[#This Row],[ReverseS1]],"#,#0")&amp;"$"</f>
        <v>-31.62x2300=   0$</v>
      </c>
      <c r="G90" s="227" t="str">
        <f ca="1">IFERROR(TRUNC(_xlfn.XLOOKUP(TabTRADER[[#This Row],[ClickTick]],TabCalc[Ticker],ListLastSalep),2)&amp;"x"&amp;_xlfn.XLOOKUP(TabTRADER[[#This Row],[ClickTick]],TabCalc[Ticker],ListLastSalen)&amp;"=   "&amp;TEXT(-_xlfn.XLOOKUP(TabTRADER[[#This Row],[ClickTick]],TabCalc[Ticker],ListReverseB),"#,#0")&amp;"$","")</f>
        <v>35.85x5000=   8,805$</v>
      </c>
      <c r="H9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-4.7% = 0</v>
      </c>
      <c r="I90" s="228" t="str">
        <f ca="1">IFERROR(TRUNC(TabCalc[[#This Row],[L_S1p]],2)&amp;"x"&amp;TabCalc[[#This Row],[L_S1n]]&amp;"=   "&amp;TEXT(TabCalc[[#This Row],[ReverseB1]],"#,#0"),"")</f>
        <v>33.25x1300=   -5,681</v>
      </c>
      <c r="J90" s="297">
        <f ca="1">_xlfn.XLOOKUP(TabTRADER[[#This Row],[ClickTick]],TabCalc[Ticker],ListGravity)</f>
        <v>1.1485911749069644</v>
      </c>
      <c r="K90" s="324" t="str" cm="1">
        <f t="array" aca="1" ref="K90" ca="1">IF(_xlfn.XLOOKUP(TabTRADER[[#This Row],[ClickTick]],TabTRADER[ClickTick],ListExtra_n)&gt;0,_xlfn.XLOOKUP(TabTRADER[[#This Row],[ClickTick]],TabTRADER[ClickTick],ListExtra_n),"")</f>
        <v/>
      </c>
      <c r="L90" s="322" t="str">
        <f ca="1">IF(_xlfn.XLOOKUP(TabTRADER[[#This Row],[ClickTick]],TabCalc[Ticker],ListExtra_n)&gt;0,_xlfn.XLOOKUP(TabTRADER[[#This Row],[ClickTick]],TabCalc[Ticker],ListExtra_n)*TabTRADER[[#This Row],[M]]*_xlfn.XLOOKUP(TabTRADER[[#This Row],[ClickTick]],TabCalc[Ticker],ListScale),"")</f>
        <v/>
      </c>
      <c r="M90" s="325">
        <f ca="1">_xlfn.XLOOKUP(TabTRADER[[#This Row],[ClickTick]],TabCalc[Ticker],TabCalc[Agiotage])</f>
        <v>0.85549111882391193</v>
      </c>
      <c r="N90" s="326" cm="1">
        <f t="array" aca="1" ref="N90" ca="1">_xlfn.XLOOKUP(TabTRADER[[#This Row],[ClickTick]],ListTickers,Tab2RSIConventional[RSIConv20])</f>
        <v>45</v>
      </c>
      <c r="O90" s="712" t="str">
        <f ca="1">TEXT(_xlfn.XLOOKUP(TabTRADER[[#This Row],[ClickTick]],TabCalc[Ticker],TabCalc[Nbegin]),"#,#0")&amp;": "&amp;_xlfn.XLOOKUP(TabTRADER[[#This Row],[ClickTick]],TabCalc[Ticker],TabCalc[Pile?])</f>
        <v>2,700: Pile</v>
      </c>
      <c r="P90" s="323">
        <f ca="1">_xlfn.XLOOKUP(TabTRADER[[#This Row],[ClickTick]],TabCalc[Ticker],TabCalc[L_Bn])</f>
        <v>2300</v>
      </c>
      <c r="Q90" s="690">
        <f ca="1">_xlfn.XLOOKUP(TabTRADER[[#This Row],[ClickTick]],TabCalc[Ticker],TabCalc[L_Bp])</f>
        <v>-36.789099999999998</v>
      </c>
      <c r="R90" s="778">
        <f ca="1">(TabTRADER[[#This Row],[M]]+TabTRADER[[#This Row],[L_Bp]])/ABS(TabTRADER[[#This Row],[L_Bp]])</f>
        <v>2.2585494072972695E-2</v>
      </c>
      <c r="S90" s="692">
        <f ca="1">_xlfn.XLOOKUP(TabTRADER[[#This Row],[ClickTick]],TabCalc[Ticker],TabCalc[Rev(MinStock)])*(1-Commission)</f>
        <v>0</v>
      </c>
      <c r="T90" s="798">
        <f ca="1">_xlfn.XLOOKUP(TabTRADER[[#This Row],[ClickTick]],TabCalc[Ticker],TabCalc[Agiotage])</f>
        <v>0.85549111882391193</v>
      </c>
      <c r="U90" s="759" t="str" cm="1">
        <f t="array" aca="1" ref="U9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0/0=&gt;0.3% / 0.3%</v>
      </c>
      <c r="V90" s="751" t="str">
        <f ca="1">_xlfn.XLOOKUP(TabTRADER[[#This Row],[ClickTick]],[1]!RTData[Ticker symbol],[1]!RTData[Currency])</f>
        <v>USD</v>
      </c>
      <c r="W90" s="761">
        <f ca="1">_xlfn.XLOOKUP(TabTRADER[[#This Row],[ClickTick]],TabCalc[Ticker],TabCalc[M])</f>
        <v>37.619999999999997</v>
      </c>
      <c r="X90" s="762" t="str">
        <f ca="1">SORTING!B90</f>
        <v>RRC</v>
      </c>
      <c r="Y90" s="819">
        <f ca="1">_xlfn.XLOOKUP(TabTRADER[[#This Row],[ClickTick]],TabCalc[Ticker],TabCalc[Y])</f>
        <v>43.21</v>
      </c>
      <c r="Z90" s="835">
        <f ca="1">_xlfn.XLOOKUP(TabTRADER[[#This Row],[ClickTick]],[1]!RTData[Ticker symbol],[1]!RTData[YTChange])</f>
        <v>5.1287041993090463E-2</v>
      </c>
      <c r="AA90" s="851">
        <f ca="1">-_xlfn.XLOOKUP(TabTRADER[[#This Row],[ClickTick]]&amp;2,Consolid!B$3:JZ$3,Consolid!B$4:JZ$4)</f>
        <v>0</v>
      </c>
      <c r="AB90" s="835" cm="1">
        <f t="array" aca="1" ref="AB90" ca="1">_xlfn.XLOOKUP(TabTRADER[[#This Row],[ClickTick]],ListTickers,Tab1ChangePercent[Change%19])</f>
        <v>2.8000000000000004E-3</v>
      </c>
      <c r="AC90" s="782">
        <f ca="1">_xlfn.XLOOKUP(TabTRADER[[#This Row],[ClickTick]],TabCalc[Ticker],TabCalc[NAfter])</f>
        <v>0</v>
      </c>
      <c r="AD90"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^10/0 K$</v>
      </c>
      <c r="AE90" s="1277" t="str" cm="1">
        <f t="array" aca="1" ref="AE9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90" s="1281" t="str" cm="1">
        <f t="array" aca="1" ref="AF90" ca="1">_xlfn.IFS(       TabTRADER[[#This Row],[Traps]]=RePurchaseGain,TEXT(TabTRADER[[#This Row],[L_Sn]],"#,#0")&amp;" x "&amp;TEXT(TabTRADER[[#This Row],[L_Sp]],"#,#0.#0"),     TabTRADER[[#This Row],[Traps]]=ReSaleGain,TEXT(TabTRADER[[#This Row],[L_Bn]],"#0,#0")&amp;" x "&amp;TEXT(TabTRADER[[#This Row],[L_Bp]],"#,#0.#0"),               TRUE,"")</f>
        <v/>
      </c>
      <c r="AG90" s="1281" t="str" cm="1">
        <f t="array" aca="1" ref="AG9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90" s="1281" t="str" cm="1">
        <f t="array" aca="1" ref="AH9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0" s="774" t="str" cm="1">
        <f t="array" aca="1" ref="AI9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90" s="1290" t="str" cm="1">
        <f t="array" aca="1" ref="AJ9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90" s="1290" t="str" cm="1">
        <f t="array" aca="1" ref="AK9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0" s="843" t="str" cm="1">
        <f t="array" aca="1" ref="AL90" ca="1">_xlfn.IFS(   TabTRADER[[#This Row],[Traps]]=SellMorePercentGain,                     MIN(TabTRADER[[#This Row],[L_Sn]],TabTRADER[[#This Row],[N]])*(TabTRADER[[#This Row],[M]]-TabTRADER[[#This Row],[L_Sp]])*(1-Commission)*TabTRADER[[#This Row],[Scale]],                    TRUE,"")</f>
        <v/>
      </c>
      <c r="AM90" s="1039">
        <f ca="1">_xlfn.XLOOKUP(TabTRADER[[#This Row],[ClickTick]],TabCalc[Ticker],TabCalc[Ann%RevLB])</f>
        <v>2.7102592887567237E-2</v>
      </c>
      <c r="AN90" s="1038">
        <f ca="1">_xlfn.XLOOKUP(TabTRADER[[#This Row],[ClickTick]],TabCalc[Ticker],TabCalc[Up20])</f>
        <v>0.5</v>
      </c>
      <c r="AO90" s="1291" t="str" cm="1">
        <f t="array" aca="1" ref="AO9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0" s="843" t="str" cm="1">
        <f t="array" aca="1" ref="AP90" ca="1">_xlfn.IFS(         TabTRADER[[#This Row],[Traps]]=MDown,TabTRADER[[#This Row],[L_Bn]]*TabTRADER[[#This Row],[M]]*(-(TabTRADER[[#This Row],[L_Bp]]+TabTRADER[[#This Row],[M]])/TabTRADER[[#This Row],[M]])*(1-Commission)*TabTRADER[[#This Row],[Scale]],                               TRUE,"")</f>
        <v/>
      </c>
      <c r="AQ90" s="1290" t="str" cm="1">
        <f t="array" aca="1" ref="AQ90" ca="1">_xlfn.IFS(   TabTRADER[[#This Row],[Traps]]=MUp,TabTRADER[[#This Row],[TakeGain_A]]-Commission,        TabTRADER[[#This Row],[Traps]]=MDown,(TabTRADER[[#This Row],[A]]-TabTRADER[[#This Row],[M]])/TabTRADER[[#This Row],[M]]-Commission,                              TRUE,"")</f>
        <v/>
      </c>
      <c r="AR90" s="843" cm="1">
        <f t="array" aca="1" ref="AR9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90" s="774" t="str" cm="1">
        <f t="array" aca="1" ref="AS9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0.4%</v>
      </c>
      <c r="AT90" s="748" t="str" cm="1">
        <f t="array" aca="1" ref="AT9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0x37.62</v>
      </c>
      <c r="AU90" s="779" t="str" cm="1">
        <f t="array" aca="1" ref="AU90" ca="1">_xlfn.IFS(TabTRADER[[#This Row],[Traps]]=ReSaleGain,"",         TabTRADER[[#This Row],[Traps]]=MDown, (TabTRADER[[#This Row],[M]]-TabTRADER[[#This Row],[A]])/TabTRADER[[#This Row],[A]]*ComFactor,             TRUE, IFERROR((TabTRADER[[#This Row],[M]]-TabTRADER[[#This Row],[A]])/TabTRADER[[#This Row],[A]]*ComFactor,""))</f>
        <v/>
      </c>
      <c r="AV90" s="776" cm="1">
        <f t="array" aca="1" ref="AV90" ca="1">_xlfn.IFS(               TabTRADER[[#This Row],[Traps]]=NoStock,(TabTRADER[[#This Row],[L_Sp]]-TabTRADER[[#This Row],[M]])/TabTRADER[[#This Row],[M]]-Commission,             TabTRADER[[#This Row],[A]]&lt;&gt;0,(TabTRADER[[#This Row],[A]]-TabTRADER[[#This Row],[M]])/TabTRADER[[#This Row],[M]]-Commission)</f>
        <v>-4.9410207336523015E-2</v>
      </c>
      <c r="AW90" s="326">
        <f ca="1">_xlfn.XLOOKUP(TabTRADER[[#This Row],[ClickTick]],TabCalc[Ticker],TabCalc[L_Sn])</f>
        <v>5000</v>
      </c>
      <c r="AX90" s="740">
        <f ca="1">_xlfn.XLOOKUP(TabTRADER[[#This Row],[ClickTick]],TabCalc[Ticker],TabCalc[L_Sp])</f>
        <v>35.859000000000002</v>
      </c>
      <c r="AY90" s="778">
        <f ca="1">-IFERROR((TabTRADER[[#This Row],[M]]-TabTRADER[[#This Row],[L_Sp]])/TabTRADER[[#This Row],[L_Sp]],0)</f>
        <v>-4.9109010290303567E-2</v>
      </c>
      <c r="AZ90" s="741">
        <f ca="1">TabTRADER[[#This Row],[L_Sn]]*(TabTRADER[[#This Row],[M]]-TabTRADER[[#This Row],[L_Sp]])*(1-Commission)*TabTRADER[[#This Row],[Scale]]</f>
        <v>8782.1069999999781</v>
      </c>
      <c r="BA90" s="701">
        <f ca="1">TabTRADER[[#This Row],[L_Sn]]*(TabTRADER[[#This Row],[Agiotage]]-TabTRADER[[#This Row],[M]])/(TabTRADER[[#This Row],[L_Bn]]*TabTRADER[[#This Row],[M]])</f>
        <v>-2.124477549012787</v>
      </c>
      <c r="BB90" s="641">
        <f ca="1">IFERROR((TabTRADER[[#This Row],[M]]-TabTRADER[[#This Row],[A]])/TabTRADER[[#This Row],[A]],0)</f>
        <v>0</v>
      </c>
      <c r="BC90" s="644" t="str">
        <f ca="1">TEXT(_xlfn.XLOOKUP(TabTRADER[[#This Row],[ClickTick]],TabCalc[Ticker],TabCalc[NAfter]),"#,#0")&amp;" : "&amp;TEXT(_xlfn.XLOOKUP(TabTRADER[[#This Row],[ClickTick]],TabCalc[Ticker],TabCalc[NAfter])*(TabTRADER[[#This Row],[M]]-TabTRADER[[#This Row],[A]])*(1-Commission)*TabTRADER[[#This Row],[Scale]],"#,#0$")</f>
        <v>0 : 0$</v>
      </c>
      <c r="BD90" s="693">
        <f ca="1">_xlfn.XLOOKUP(TabTRADER[[#This Row],[ClickTick]],TabCalc[[#This Row],[Ticker]],TabCalc[[#This Row],[GL]])*(1-Commission)</f>
        <v>9777.9809779999723</v>
      </c>
      <c r="BE90" s="693"/>
      <c r="BF90" s="675" t="str">
        <f ca="1">TabTRADER[[#This Row],[ClickTick]]&amp;": "&amp;_xlfn.XLOOKUP(TabTRADER[[#This Row],[ClickTick]],TabCalc[Ticker],TabCalc[Pile?])</f>
        <v>RRC: Pile</v>
      </c>
      <c r="BG90" s="353" t="s">
        <v>2070</v>
      </c>
      <c r="BH90" s="769" t="str" cm="1">
        <f t="array" aca="1" ref="BH90" ca="1">_xlfn.TEXTJOIN("",,INDEX({"M","A","Y"}, _xlfn.SORTBY({1,2,3}, -CHOOSE({1,2,3}, TabTRADER[[#This Row],[M]], TabTRADER[[#This Row],[A]], TabTRADER[[#This Row],[Agiotage]]))))</f>
        <v>MYA</v>
      </c>
      <c r="BI90" s="976" t="str" cm="1">
        <f t="array" aca="1" ref="BI9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0" s="688" t="e">
        <f ca="1">TabTRADER[[#This Row],[L_Sn]]*TabTRADER[[#This Row],[L_Sp]]+TabTRADER[[#This Row],[SellMore]]*TabTRADER[[#This Row],[M]]</f>
        <v>#N/A</v>
      </c>
      <c r="BK90" s="688" t="e">
        <f ca="1">INDEX(
  INDEX(TabConsolid[], , _xlfn.XMATCH(TabTRADER[[#This Row],[ClickTick]]&amp;1, TabConsolid[#Headers])),
  MATCH(
    -TabTRADER[[#This Row],[M]],
    INDEX(TabConsolid[], , _xlfn.XMATCH(TabTRADER[[#This Row],[ClickTick]]&amp;2, TabConsolid[#Headers])),
    -1
  )
)</f>
        <v>#N/A</v>
      </c>
      <c r="BL90" s="688" cm="1">
        <f t="array" aca="1" ref="BL9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0" s="1260" t="e">
        <f ca="1">TabTRADER[[#This Row],[ReBuy]]/(TabTRADER[[#This Row],[L_Sn]]+TabTRADER[[#This Row],[SellMore]])</f>
        <v>#N/A</v>
      </c>
      <c r="BN90" s="696" t="e">
        <f ca="1">((_xlfn.XLOOKUP(TabTRADER[[#This Row],[ClickTick]],TabCalc[Ticker],TabCalc[NAfter])+TabTRADER[[#This Row],[L_Sn]])*(TabTRADER[[#This Row],[Agiotage]]-TabTRADER[[#This Row],[M]]))/(TabTRADER[[#This Row],[L_Sn]]*_xlfn.XLOOKUP(TabTRADER[[#This Row],[ClickTick]],TabCalc[Ticker],TabCalc[NAfter]))</f>
        <v>#DIV/0!</v>
      </c>
      <c r="BO90" s="696">
        <f ca="1">(TabTRADER[[#This Row],[M]]-TabTRADER[[#This Row],[Agiotage]])/(TabTRADER[[#This Row],[M]]-TabTRADER[[#This Row],[A]])-1</f>
        <v>-2.2740327454117804E-2</v>
      </c>
      <c r="BP90" s="1388">
        <f ca="1">_xlfn.XMATCH(TabTRADER[[#This Row],[ClickTick]]&amp;1, TabConsolid[#Headers])</f>
        <v>266</v>
      </c>
      <c r="BQ90" t="b">
        <f ca="1">IF(ABS(TabTRADER[[#This Row],[L_Bp]])&gt;=TabTRADER[[#This Row],[M]],"OK")</f>
        <v>0</v>
      </c>
    </row>
    <row r="91" spans="1:69">
      <c r="A91" s="225">
        <f ca="1">IF(_xlfn.XLOOKUP(TabTRADER[[#This Row],[ClickTick]],TabCalc[Ticker],TabCalc[Cur])="GBp",0.01,1)</f>
        <v>1</v>
      </c>
      <c r="B9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-76.94x600=    +1,560 USD</v>
      </c>
      <c r="C91"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3.3%</v>
      </c>
      <c r="D91" s="697" t="str" cm="1">
        <f t="array" aca="1" ref="D9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91" s="228" t="str">
        <f ca="1">TRUNC(TabCalc[[#This Row],[L_B1p]],2)&amp;"x"&amp;TabCalc[[#This Row],[L_B1n]]&amp;"=   "&amp;TEXT(TabCalc[[#This Row],[ReverseS1]],"#,#0")&amp;"$"</f>
        <v>-60.14x2000=   11,640$</v>
      </c>
      <c r="G91" s="227" t="str">
        <f ca="1">IFERROR(TRUNC(_xlfn.XLOOKUP(TabTRADER[[#This Row],[ClickTick]],TabCalc[Ticker],ListLastSalep),2)&amp;"x"&amp;_xlfn.XLOOKUP(TabTRADER[[#This Row],[ClickTick]],TabCalc[Ticker],ListLastSalen)&amp;"=   "&amp;TEXT(-_xlfn.XLOOKUP(TabTRADER[[#This Row],[ClickTick]],TabCalc[Ticker],ListReverseB),"#,#0")&amp;"$","")</f>
        <v>61.26x2000=   36,560$</v>
      </c>
      <c r="H9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23.0% = 0</v>
      </c>
      <c r="I91" s="228" t="str">
        <f ca="1">IFERROR(TRUNC(TabCalc[[#This Row],[L_S1p]],2)&amp;"x"&amp;TabCalc[[#This Row],[L_S1n]]&amp;"=   "&amp;TEXT(TabCalc[[#This Row],[ReverseB1]],"#,#0"),"")</f>
        <v>67.82x1500=   -17,580</v>
      </c>
      <c r="J91" s="297">
        <f ca="1">_xlfn.XLOOKUP(TabTRADER[[#This Row],[ClickTick]],TabCalc[Ticker],ListGravity)</f>
        <v>1.0739250691475986</v>
      </c>
      <c r="K91" s="324" cm="1">
        <f t="array" aca="1" ref="K91" ca="1">IF(_xlfn.XLOOKUP(TabTRADER[[#This Row],[ClickTick]],TabTRADER[ClickTick],ListExtra_n)&gt;0,_xlfn.XLOOKUP(TabTRADER[[#This Row],[ClickTick]],TabTRADER[ClickTick],ListExtra_n),"")</f>
        <v>150</v>
      </c>
      <c r="L91" s="322">
        <f ca="1">IF(_xlfn.XLOOKUP(TabTRADER[[#This Row],[ClickTick]],TabCalc[Ticker],ListExtra_n)&gt;0,_xlfn.XLOOKUP(TabTRADER[[#This Row],[ClickTick]],TabCalc[Ticker],ListExtra_n)*TabTRADER[[#This Row],[M]]*_xlfn.XLOOKUP(TabTRADER[[#This Row],[ClickTick]],TabCalc[Ticker],ListScale),"")</f>
        <v>11931.000000000002</v>
      </c>
      <c r="M91" s="325">
        <f ca="1">_xlfn.XLOOKUP(TabTRADER[[#This Row],[ClickTick]],TabCalc[Ticker],TabCalc[Agiotage])</f>
        <v>0.64221317390250832</v>
      </c>
      <c r="N91" s="326" cm="1">
        <f t="array" aca="1" ref="N91" ca="1">_xlfn.XLOOKUP(TabTRADER[[#This Row],[ClickTick]],ListTickers,Tab2RSIConventional[RSIConv20])</f>
        <v>63</v>
      </c>
      <c r="O91" s="712" t="str">
        <f ca="1">TEXT(_xlfn.XLOOKUP(TabTRADER[[#This Row],[ClickTick]],TabCalc[Ticker],TabCalc[Nbegin]),"#,#0")&amp;": "&amp;_xlfn.XLOOKUP(TabTRADER[[#This Row],[ClickTick]],TabCalc[Ticker],TabCalc[Pile?])</f>
        <v>450: Pile</v>
      </c>
      <c r="P91" s="326">
        <f ca="1">_xlfn.XLOOKUP(TabTRADER[[#This Row],[ClickTick]],TabCalc[Ticker],TabCalc[L_Bn])</f>
        <v>600</v>
      </c>
      <c r="Q91" s="690">
        <f ca="1">_xlfn.XLOOKUP(TabTRADER[[#This Row],[ClickTick]],TabCalc[Ticker],TabCalc[L_Bp])</f>
        <v>-76.94</v>
      </c>
      <c r="R91" s="778">
        <f ca="1">(TabTRADER[[#This Row],[M]]+TabTRADER[[#This Row],[L_Bp]])/ABS(TabTRADER[[#This Row],[L_Bp]])</f>
        <v>3.3792565635560289E-2</v>
      </c>
      <c r="S91" s="692">
        <f ca="1">_xlfn.XLOOKUP(TabTRADER[[#This Row],[ClickTick]],TabCalc[Ticker],TabCalc[Rev(MinStock)])*(1-Commission)</f>
        <v>1555.944000000005</v>
      </c>
      <c r="T91" s="798">
        <f ca="1">_xlfn.XLOOKUP(TabTRADER[[#This Row],[ClickTick]],TabCalc[Ticker],TabCalc[Agiotage])</f>
        <v>0.64221317390250832</v>
      </c>
      <c r="U91" s="759" t="str" cm="1">
        <f t="array" aca="1" ref="U9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-156/-156=&gt;1.2% / 1.2%</v>
      </c>
      <c r="V91" s="751" t="str">
        <f ca="1">_xlfn.XLOOKUP(TabTRADER[[#This Row],[ClickTick]],[1]!RTData[Ticker symbol],[1]!RTData[Currency])</f>
        <v>USD</v>
      </c>
      <c r="W91" s="761">
        <f ca="1">_xlfn.XLOOKUP(TabTRADER[[#This Row],[ClickTick]],TabCalc[Ticker],TabCalc[M])</f>
        <v>79.540000000000006</v>
      </c>
      <c r="X91" s="762" t="str">
        <f ca="1">SORTING!B91</f>
        <v>XYZ</v>
      </c>
      <c r="Y91" s="819">
        <f ca="1">_xlfn.XLOOKUP(TabTRADER[[#This Row],[ClickTick]],TabCalc[Ticker],TabCalc[Y])</f>
        <v>85.42</v>
      </c>
      <c r="Z91" s="835">
        <f ca="1">_xlfn.XLOOKUP(TabTRADER[[#This Row],[ClickTick]],[1]!RTData[Ticker symbol],[1]!RTData[YTChange])</f>
        <v>0.12914738929279571</v>
      </c>
      <c r="AA91" s="851">
        <f ca="1">-_xlfn.XLOOKUP(TabTRADER[[#This Row],[ClickTick]]&amp;2,Consolid!B$3:JZ$3,Consolid!B$4:JZ$4)</f>
        <v>76.94</v>
      </c>
      <c r="AB91" s="835" cm="1">
        <f t="array" aca="1" ref="AB91" ca="1">_xlfn.XLOOKUP(TabTRADER[[#This Row],[ClickTick]],ListTickers,Tab1ChangePercent[Change%19])</f>
        <v>1.2475E-2</v>
      </c>
      <c r="AC91" s="782">
        <f ca="1">_xlfn.XLOOKUP(TabTRADER[[#This Row],[ClickTick]],TabCalc[Ticker],TabCalc[NAfter])</f>
        <v>600</v>
      </c>
      <c r="AD91"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-160/48 K$</v>
      </c>
      <c r="AE91" s="1299" t="str" cm="1">
        <f t="array" aca="1" ref="AE9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91" s="1281" t="str" cm="1">
        <f t="array" aca="1" ref="AF91" ca="1">_xlfn.IFS(       TabTRADER[[#This Row],[Traps]]=RePurchaseGain,TEXT(TabTRADER[[#This Row],[L_Sn]],"#,#0")&amp;" x "&amp;TEXT(TabTRADER[[#This Row],[L_Sp]],"#,#0.#0"),     TabTRADER[[#This Row],[Traps]]=ReSaleGain,TEXT(TabTRADER[[#This Row],[L_Bn]],"#0,#0")&amp;" x "&amp;TEXT(TabTRADER[[#This Row],[L_Bp]],"#,#0.#0"),               TRUE,"")</f>
        <v>600 x -76.94</v>
      </c>
      <c r="AG91" s="1281" cm="1">
        <f t="array" aca="1" ref="AG9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1555.944000000005</v>
      </c>
      <c r="AH91" s="1281" t="str" cm="1">
        <f t="array" aca="1" ref="AH9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1" s="774" cm="1">
        <f t="array" aca="1" ref="AI9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1555.944000000005</v>
      </c>
      <c r="AJ91" s="1290" cm="1">
        <f t="array" aca="1" ref="AJ9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3.3792565635560289E-2</v>
      </c>
      <c r="AK91" s="1290" t="str" cm="1">
        <f t="array" aca="1" ref="AK9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1" s="843" t="str" cm="1">
        <f t="array" aca="1" ref="AL91" ca="1">_xlfn.IFS(   TabTRADER[[#This Row],[Traps]]=SellMorePercentGain,                     MIN(TabTRADER[[#This Row],[L_Sn]],TabTRADER[[#This Row],[N]])*(TabTRADER[[#This Row],[M]]-TabTRADER[[#This Row],[L_Sp]])*(1-Commission)*TabTRADER[[#This Row],[Scale]],                    TRUE,"")</f>
        <v/>
      </c>
      <c r="AM91" s="1039">
        <f ca="1">_xlfn.XLOOKUP(TabTRADER[[#This Row],[ClickTick]],TabCalc[Ticker],TabCalc[Ann%RevLB])</f>
        <v>0.32879253050815416</v>
      </c>
      <c r="AN91" s="1038">
        <f ca="1">_xlfn.XLOOKUP(TabTRADER[[#This Row],[ClickTick]],TabCalc[Ticker],TabCalc[Up20])</f>
        <v>0.8571428571428571</v>
      </c>
      <c r="AO91" s="1291" t="str" cm="1">
        <f t="array" aca="1" ref="AO9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1" s="843" t="str" cm="1">
        <f t="array" aca="1" ref="AP91" ca="1">_xlfn.IFS(         TabTRADER[[#This Row],[Traps]]=MDown,TabTRADER[[#This Row],[L_Bn]]*TabTRADER[[#This Row],[M]]*(-(TabTRADER[[#This Row],[L_Bp]]+TabTRADER[[#This Row],[M]])/TabTRADER[[#This Row],[M]])*(1-Commission)*TabTRADER[[#This Row],[Scale]],                               TRUE,"")</f>
        <v/>
      </c>
      <c r="AQ91" s="1290" t="str" cm="1">
        <f t="array" aca="1" ref="AQ91" ca="1">_xlfn.IFS(   TabTRADER[[#This Row],[Traps]]=MUp,TabTRADER[[#This Row],[TakeGain_A]]-Commission,        TabTRADER[[#This Row],[Traps]]=MDown,(TabTRADER[[#This Row],[A]]-TabTRADER[[#This Row],[M]])/TabTRADER[[#This Row],[M]]-Commission,                              TRUE,"")</f>
        <v/>
      </c>
      <c r="AR91" s="843" cm="1">
        <f t="array" aca="1" ref="AR9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1608.5233397452616</v>
      </c>
      <c r="AS91" s="774" t="str" cm="1">
        <f t="array" aca="1" ref="AS9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0.0%</v>
      </c>
      <c r="AT91" s="748" t="str" cm="1">
        <f t="array" aca="1" ref="AT9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91" s="779" t="str" cm="1">
        <f t="array" aca="1" ref="AU91" ca="1">_xlfn.IFS(TabTRADER[[#This Row],[Traps]]=ReSaleGain,"",         TabTRADER[[#This Row],[Traps]]=MDown, (TabTRADER[[#This Row],[M]]-TabTRADER[[#This Row],[A]])/TabTRADER[[#This Row],[A]]*ComFactor,             TRUE, IFERROR((TabTRADER[[#This Row],[M]]-TabTRADER[[#This Row],[A]])/TabTRADER[[#This Row],[A]]*ComFactor,""))</f>
        <v/>
      </c>
      <c r="AV91" s="776" cm="1">
        <f t="array" aca="1" ref="AV91" ca="1">_xlfn.IFS(               TabTRADER[[#This Row],[Traps]]=NoStock,(TabTRADER[[#This Row],[L_Sp]]-TabTRADER[[#This Row],[M]])/TabTRADER[[#This Row],[M]]-Commission,             TabTRADER[[#This Row],[A]]&lt;&gt;0,(TabTRADER[[#This Row],[A]]-TabTRADER[[#This Row],[M]])/TabTRADER[[#This Row],[M]]-Commission)</f>
        <v>-3.5287955745536941E-2</v>
      </c>
      <c r="AW91" s="326">
        <f ca="1">_xlfn.XLOOKUP(TabTRADER[[#This Row],[ClickTick]],TabCalc[Ticker],TabCalc[L_Sn])</f>
        <v>2000</v>
      </c>
      <c r="AX91" s="740">
        <f ca="1">_xlfn.XLOOKUP(TabTRADER[[#This Row],[ClickTick]],TabCalc[Ticker],TabCalc[L_Sp])</f>
        <v>61.26</v>
      </c>
      <c r="AY91" s="778">
        <f ca="1">-IFERROR((TabTRADER[[#This Row],[M]]-TabTRADER[[#This Row],[L_Sp]])/TabTRADER[[#This Row],[L_Sp]],0)</f>
        <v>-0.29840026118184798</v>
      </c>
      <c r="AZ91" s="741">
        <f ca="1">TabTRADER[[#This Row],[L_Sn]]*(TabTRADER[[#This Row],[M]]-TabTRADER[[#This Row],[L_Sp]])*(1-Commission)*TabTRADER[[#This Row],[Scale]]</f>
        <v>36464.94400000001</v>
      </c>
      <c r="BA91" s="701">
        <f ca="1">TabTRADER[[#This Row],[L_Sn]]*(TabTRADER[[#This Row],[Agiotage]]-TabTRADER[[#This Row],[M]])/(TabTRADER[[#This Row],[L_Bn]]*TabTRADER[[#This Row],[M]])</f>
        <v>-3.306419697682403</v>
      </c>
      <c r="BB91" s="641">
        <f ca="1">IFERROR((TabTRADER[[#This Row],[M]]-TabTRADER[[#This Row],[A]])/TabTRADER[[#This Row],[A]],0)</f>
        <v>3.3792565635560289E-2</v>
      </c>
      <c r="BC91" s="644" t="str">
        <f ca="1">TEXT(_xlfn.XLOOKUP(TabTRADER[[#This Row],[ClickTick]],TabCalc[Ticker],TabCalc[NAfter]),"#,#0")&amp;" : "&amp;TEXT(_xlfn.XLOOKUP(TabTRADER[[#This Row],[ClickTick]],TabCalc[Ticker],TabCalc[NAfter])*(TabTRADER[[#This Row],[M]]-TabTRADER[[#This Row],[A]])*(1-Commission)*TabTRADER[[#This Row],[Scale]],"#,#0$")</f>
        <v>600 : 1,556$</v>
      </c>
      <c r="BD91" s="693">
        <f ca="1">_xlfn.XLOOKUP(TabTRADER[[#This Row],[ClickTick]],TabCalc[[#This Row],[Ticker]],TabCalc[[#This Row],[GL]])*(1-Commission)</f>
        <v>-159507.10046000002</v>
      </c>
      <c r="BE91" s="693"/>
      <c r="BF91" s="675" t="str">
        <f ca="1">TabTRADER[[#This Row],[ClickTick]]&amp;": "&amp;_xlfn.XLOOKUP(TabTRADER[[#This Row],[ClickTick]],TabCalc[Ticker],TabCalc[Pile?])</f>
        <v>XYZ: Pile</v>
      </c>
      <c r="BG91" s="353" t="s">
        <v>2071</v>
      </c>
      <c r="BH91" s="769" t="str" cm="1">
        <f t="array" aca="1" ref="BH91" ca="1">_xlfn.TEXTJOIN("",,INDEX({"M","A","Y"}, _xlfn.SORTBY({1,2,3}, -CHOOSE({1,2,3}, TabTRADER[[#This Row],[M]], TabTRADER[[#This Row],[A]], TabTRADER[[#This Row],[Agiotage]]))))</f>
        <v>MAY</v>
      </c>
      <c r="BI91" s="976" t="str" cm="1">
        <f t="array" aca="1" ref="BI9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1" s="688">
        <f ca="1">TabTRADER[[#This Row],[L_Sn]]*TabTRADER[[#This Row],[L_Sp]]+TabTRADER[[#This Row],[SellMore]]*TabTRADER[[#This Row],[M]]</f>
        <v>170244</v>
      </c>
      <c r="BK91" s="688">
        <f ca="1">INDEX(
  INDEX(TabConsolid[], , _xlfn.XMATCH(TabTRADER[[#This Row],[ClickTick]]&amp;1, TabConsolid[#Headers])),
  MATCH(
    -TabTRADER[[#This Row],[M]],
    INDEX(TabConsolid[], , _xlfn.XMATCH(TabTRADER[[#This Row],[ClickTick]]&amp;2, TabConsolid[#Headers])),
    -1
  )
)</f>
        <v>600</v>
      </c>
      <c r="BL91" s="688" cm="1">
        <f t="array" aca="1" ref="BL9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1" s="1260">
        <f ca="1">TabTRADER[[#This Row],[ReBuy]]/(TabTRADER[[#This Row],[L_Sn]]+TabTRADER[[#This Row],[SellMore]])</f>
        <v>65.478461538461545</v>
      </c>
      <c r="BN91" s="696">
        <f ca="1">((_xlfn.XLOOKUP(TabTRADER[[#This Row],[ClickTick]],TabCalc[Ticker],TabCalc[NAfter])+TabTRADER[[#This Row],[L_Sn]])*(TabTRADER[[#This Row],[Agiotage]]-TabTRADER[[#This Row],[M]]))/(TabTRADER[[#This Row],[L_Sn]]*_xlfn.XLOOKUP(TabTRADER[[#This Row],[ClickTick]],TabCalc[Ticker],TabCalc[NAfter]))</f>
        <v>-0.17094520478987793</v>
      </c>
      <c r="BO91" s="696">
        <f ca="1">(TabTRADER[[#This Row],[M]]-TabTRADER[[#This Row],[Agiotage]])/(TabTRADER[[#This Row],[M]]-TabTRADER[[#This Row],[A]])-1</f>
        <v>29.345302625422015</v>
      </c>
      <c r="BP91" s="1388">
        <f ca="1">_xlfn.XMATCH(TabTRADER[[#This Row],[ClickTick]]&amp;1, TabConsolid[#Headers])</f>
        <v>269</v>
      </c>
      <c r="BQ91" t="b">
        <f ca="1">IF(ABS(TabTRADER[[#This Row],[L_Bp]])&gt;=TabTRADER[[#This Row],[M]],"OK")</f>
        <v>0</v>
      </c>
    </row>
    <row r="92" spans="1:69">
      <c r="A92" s="225">
        <f ca="1">IF(_xlfn.XLOOKUP(TabTRADER[[#This Row],[ClickTick]],TabCalc[Ticker],TabCalc[Cur])="GBp",0.01,1)</f>
        <v>1</v>
      </c>
      <c r="B9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-201.24x300=    +2,742 USD</v>
      </c>
      <c r="C92"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4.3%</v>
      </c>
      <c r="D92" s="697" t="str" cm="1">
        <f t="array" aca="1" ref="D9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2"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92" s="228" t="str">
        <f ca="1">TRUNC(TabCalc[[#This Row],[L_B1p]],2)&amp;"x"&amp;TabCalc[[#This Row],[L_B1n]]&amp;"=   "&amp;TEXT(TabCalc[[#This Row],[ReverseS1]],"#,#0")&amp;"$"</f>
        <v>-152.18x1000=   58,200$</v>
      </c>
      <c r="G92" s="227" t="str">
        <f ca="1">IFERROR(TRUNC(_xlfn.XLOOKUP(TabTRADER[[#This Row],[ClickTick]],TabCalc[Ticker],ListLastSalep),2)&amp;"x"&amp;_xlfn.XLOOKUP(TabTRADER[[#This Row],[ClickTick]],TabCalc[Ticker],ListLastSalen)&amp;"=   "&amp;TEXT(-_xlfn.XLOOKUP(TabTRADER[[#This Row],[ClickTick]],TabCalc[Ticker],ListReverseB),"#,#0")&amp;"$","")</f>
        <v>204.54x1000=   5,840$</v>
      </c>
      <c r="H9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-2.8% = 0</v>
      </c>
      <c r="I92" s="228" t="str">
        <f ca="1">IFERROR(TRUNC(TabCalc[[#This Row],[L_S1p]],2)&amp;"x"&amp;TabCalc[[#This Row],[L_S1n]]&amp;"=   "&amp;TEXT(TabCalc[[#This Row],[ReverseB1]],"#,#0"),"")</f>
        <v>194.28x250=   -4,025</v>
      </c>
      <c r="J92" s="297">
        <f ca="1">_xlfn.XLOOKUP(TabTRADER[[#This Row],[ClickTick]],TabCalc[Ticker],ListGravity)</f>
        <v>0.97397447475995824</v>
      </c>
      <c r="K92" s="324" t="str" cm="1">
        <f t="array" aca="1" ref="K92" ca="1">IF(_xlfn.XLOOKUP(TabTRADER[[#This Row],[ClickTick]],TabTRADER[ClickTick],ListExtra_n)&gt;0,_xlfn.XLOOKUP(TabTRADER[[#This Row],[ClickTick]],TabTRADER[ClickTick],ListExtra_n),"")</f>
        <v/>
      </c>
      <c r="L92" s="322" t="str">
        <f ca="1">IF(_xlfn.XLOOKUP(TabTRADER[[#This Row],[ClickTick]],TabCalc[Ticker],ListExtra_n)&gt;0,_xlfn.XLOOKUP(TabTRADER[[#This Row],[ClickTick]],TabCalc[Ticker],ListExtra_n)*TabTRADER[[#This Row],[M]]*_xlfn.XLOOKUP(TabTRADER[[#This Row],[ClickTick]],TabCalc[Ticker],ListScale),"")</f>
        <v/>
      </c>
      <c r="M92" s="325">
        <f ca="1">_xlfn.XLOOKUP(TabTRADER[[#This Row],[ClickTick]],TabCalc[Ticker],TabCalc[Agiotage])</f>
        <v>1.7966639763795496</v>
      </c>
      <c r="N92" s="326" cm="1">
        <f t="array" aca="1" ref="N92" ca="1">_xlfn.XLOOKUP(TabTRADER[[#This Row],[ClickTick]],ListTickers,Tab2RSIConventional[RSIConv20])</f>
        <v>59</v>
      </c>
      <c r="O92" s="712" t="str">
        <f ca="1">TEXT(_xlfn.XLOOKUP(TabTRADER[[#This Row],[ClickTick]],TabCalc[Ticker],TabCalc[Nbegin]),"#,#0")&amp;": "&amp;_xlfn.XLOOKUP(TabTRADER[[#This Row],[ClickTick]],TabCalc[Ticker],TabCalc[Pile?])</f>
        <v>2,000: Pile</v>
      </c>
      <c r="P92" s="746">
        <f ca="1">_xlfn.XLOOKUP(TabTRADER[[#This Row],[ClickTick]],TabCalc[Ticker],TabCalc[L_Bn])</f>
        <v>300</v>
      </c>
      <c r="Q92" s="740">
        <f ca="1">_xlfn.XLOOKUP(TabTRADER[[#This Row],[ClickTick]],TabCalc[Ticker],TabCalc[L_Bp])</f>
        <v>-201.24</v>
      </c>
      <c r="R92" s="778">
        <f ca="1">(TabTRADER[[#This Row],[M]]+TabTRADER[[#This Row],[L_Bp]])/ABS(TabTRADER[[#This Row],[L_Bp]])</f>
        <v>4.5418405883522091E-2</v>
      </c>
      <c r="S92" s="692">
        <f ca="1">_xlfn.XLOOKUP(TabTRADER[[#This Row],[ClickTick]],TabCalc[Ticker],TabCalc[Rev(MinStock)])*(1-Commission)</f>
        <v>2734.8707999999956</v>
      </c>
      <c r="T92" s="798">
        <f ca="1">_xlfn.XLOOKUP(TabTRADER[[#This Row],[ClickTick]],TabCalc[Ticker],TabCalc[Agiotage])</f>
        <v>1.7966639763795496</v>
      </c>
      <c r="U92" s="759" t="str" cm="1">
        <f t="array" aca="1" ref="U9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1,305/1,305=&gt;1.7% / 1.7%</v>
      </c>
      <c r="V92" s="751" t="str">
        <f ca="1">_xlfn.XLOOKUP(TabTRADER[[#This Row],[ClickTick]],[1]!RTData[Ticker symbol],[1]!RTData[Currency])</f>
        <v>USD</v>
      </c>
      <c r="W92" s="761">
        <f ca="1">_xlfn.XLOOKUP(TabTRADER[[#This Row],[ClickTick]],TabCalc[Ticker],TabCalc[M])</f>
        <v>210.38</v>
      </c>
      <c r="X92" s="762" t="str">
        <f ca="1">SORTING!B92</f>
        <v>THC</v>
      </c>
      <c r="Y92" s="819">
        <f ca="1">_xlfn.XLOOKUP(TabTRADER[[#This Row],[ClickTick]],TabCalc[Ticker],TabCalc[Y])</f>
        <v>204.90475000000001</v>
      </c>
      <c r="Z92" s="835">
        <f ca="1">_xlfn.XLOOKUP(TabTRADER[[#This Row],[ClickTick]],[1]!RTData[Ticker symbol],[1]!RTData[YTChange])</f>
        <v>0.15628209468991591</v>
      </c>
      <c r="AA92" s="851">
        <f ca="1">-_xlfn.XLOOKUP(TabTRADER[[#This Row],[ClickTick]]&amp;2,Consolid!B$3:JZ$3,Consolid!B$4:JZ$4)</f>
        <v>160.48125666666667</v>
      </c>
      <c r="AB92" s="835" cm="1">
        <f t="array" aca="1" ref="AB92" ca="1">_xlfn.XLOOKUP(TabTRADER[[#This Row],[ClickTick]],ListTickers,Tab1ChangePercent[Change%19])</f>
        <v>1.6771000000000001E-2</v>
      </c>
      <c r="AC92" s="782">
        <f ca="1">_xlfn.XLOOKUP(TabTRADER[[#This Row],[ClickTick]],TabCalc[Ticker],TabCalc[NAfter])</f>
        <v>1500</v>
      </c>
      <c r="AD92"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^309/316 K$</v>
      </c>
      <c r="AE92" s="1299" t="str" cm="1">
        <f t="array" aca="1" ref="AE9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92" s="1281" t="str" cm="1">
        <f t="array" aca="1" ref="AF92" ca="1">_xlfn.IFS(       TabTRADER[[#This Row],[Traps]]=RePurchaseGain,TEXT(TabTRADER[[#This Row],[L_Sn]],"#,#0")&amp;" x "&amp;TEXT(TabTRADER[[#This Row],[L_Sp]],"#,#0.#0"),     TabTRADER[[#This Row],[Traps]]=ReSaleGain,TEXT(TabTRADER[[#This Row],[L_Bn]],"#0,#0")&amp;" x "&amp;TEXT(TabTRADER[[#This Row],[L_Bp]],"#,#0.#0"),               TRUE,"")</f>
        <v>300 x -201.24</v>
      </c>
      <c r="AG92" s="1281" cm="1">
        <f t="array" aca="1" ref="AG9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2734.8707999999956</v>
      </c>
      <c r="AH92" s="1281" t="str" cm="1">
        <f t="array" aca="1" ref="AH9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2" s="774" cm="1">
        <f t="array" aca="1" ref="AI9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2734.8707999999956</v>
      </c>
      <c r="AJ92" s="1290" cm="1">
        <f t="array" aca="1" ref="AJ9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4.5418405883522091E-2</v>
      </c>
      <c r="AK92" s="1290" t="str" cm="1">
        <f t="array" aca="1" ref="AK9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92" s="843" t="str" cm="1">
        <f t="array" aca="1" ref="AL92" ca="1">_xlfn.IFS(   TabTRADER[[#This Row],[Traps]]=SellMorePercentGain,                     MIN(TabTRADER[[#This Row],[L_Sn]],TabTRADER[[#This Row],[N]])*(TabTRADER[[#This Row],[M]]-TabTRADER[[#This Row],[L_Sp]])*(1-Commission)*TabTRADER[[#This Row],[Scale]],                    TRUE,"")</f>
        <v/>
      </c>
      <c r="AM92" s="1039">
        <f ca="1">_xlfn.XLOOKUP(TabTRADER[[#This Row],[ClickTick]],TabCalc[Ticker],TabCalc[Ann%RevLB])</f>
        <v>0.90836811767044179</v>
      </c>
      <c r="AN92" s="1038">
        <f ca="1">_xlfn.XLOOKUP(TabTRADER[[#This Row],[ClickTick]],TabCalc[Ticker],TabCalc[Up20])</f>
        <v>0.42857142857142855</v>
      </c>
      <c r="AO92" s="1291" t="str" cm="1">
        <f t="array" aca="1" ref="AO9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92" s="843" t="str" cm="1">
        <f t="array" aca="1" ref="AP92" ca="1">_xlfn.IFS(         TabTRADER[[#This Row],[Traps]]=MDown,TabTRADER[[#This Row],[L_Bn]]*TabTRADER[[#This Row],[M]]*(-(TabTRADER[[#This Row],[L_Bp]]+TabTRADER[[#This Row],[M]])/TabTRADER[[#This Row],[M]])*(1-Commission)*TabTRADER[[#This Row],[Scale]],                               TRUE,"")</f>
        <v/>
      </c>
      <c r="AQ92" s="1290" t="str" cm="1">
        <f t="array" aca="1" ref="AQ92" ca="1">_xlfn.IFS(   TabTRADER[[#This Row],[Traps]]=MUp,TabTRADER[[#This Row],[TakeGain_A]]-Commission,        TabTRADER[[#This Row],[Traps]]=MDown,(TabTRADER[[#This Row],[A]]-TabTRADER[[#This Row],[M]])/TabTRADER[[#This Row],[M]]-Commission,                              TRUE,"")</f>
        <v/>
      </c>
      <c r="AR92" s="774" cm="1">
        <f t="array" aca="1" ref="AR9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97865.668173288723</v>
      </c>
      <c r="AS92" s="774" t="str" cm="1">
        <f t="array" aca="1" ref="AS9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0.7%</v>
      </c>
      <c r="AT92" s="748" t="str" cm="1">
        <f t="array" aca="1" ref="AT9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92" s="779" t="str" cm="1">
        <f t="array" aca="1" ref="AU92" ca="1">_xlfn.IFS(TabTRADER[[#This Row],[Traps]]=ReSaleGain,"",         TabTRADER[[#This Row],[Traps]]=MDown, (TabTRADER[[#This Row],[M]]-TabTRADER[[#This Row],[A]])/TabTRADER[[#This Row],[A]]*ComFactor,             TRUE, IFERROR((TabTRADER[[#This Row],[M]]-TabTRADER[[#This Row],[A]])/TabTRADER[[#This Row],[A]]*ComFactor,""))</f>
        <v/>
      </c>
      <c r="AV92" s="776" cm="1">
        <f t="array" aca="1" ref="AV92" ca="1">_xlfn.IFS(               TabTRADER[[#This Row],[Traps]]=NoStock,(TabTRADER[[#This Row],[L_Sp]]-TabTRADER[[#This Row],[M]])/TabTRADER[[#This Row],[M]]-Commission,             TabTRADER[[#This Row],[A]]&lt;&gt;0,(TabTRADER[[#This Row],[A]]-TabTRADER[[#This Row],[M]])/TabTRADER[[#This Row],[M]]-Commission)</f>
        <v>-0.23978387362550302</v>
      </c>
      <c r="AW92" s="326">
        <f ca="1">_xlfn.XLOOKUP(TabTRADER[[#This Row],[ClickTick]],TabCalc[Ticker],TabCalc[L_Sn])</f>
        <v>1000</v>
      </c>
      <c r="AX92" s="740">
        <f ca="1">_xlfn.XLOOKUP(TabTRADER[[#This Row],[ClickTick]],TabCalc[Ticker],TabCalc[L_Sp])</f>
        <v>204.54</v>
      </c>
      <c r="AY92" s="778">
        <f ca="1">-IFERROR((TabTRADER[[#This Row],[M]]-TabTRADER[[#This Row],[L_Sp]])/TabTRADER[[#This Row],[L_Sp]],0)</f>
        <v>-2.8551872494377645E-2</v>
      </c>
      <c r="AZ92" s="741">
        <f ca="1">TabTRADER[[#This Row],[L_Sn]]*(TabTRADER[[#This Row],[M]]-TabTRADER[[#This Row],[L_Sp]])*(1-Commission)*TabTRADER[[#This Row],[Scale]]</f>
        <v>5824.8160000000034</v>
      </c>
      <c r="BA92" s="701">
        <f ca="1">TabTRADER[[#This Row],[L_Sn]]*(TabTRADER[[#This Row],[Agiotage]]-TabTRADER[[#This Row],[M]])/(TabTRADER[[#This Row],[L_Bn]]*TabTRADER[[#This Row],[M]])</f>
        <v>-3.3048663691672284</v>
      </c>
      <c r="BB92" s="641">
        <f ca="1">IFERROR((TabTRADER[[#This Row],[M]]-TabTRADER[[#This Row],[A]])/TabTRADER[[#This Row],[A]],0)</f>
        <v>0.31093190799831094</v>
      </c>
      <c r="BC92" s="644" t="str">
        <f ca="1">TEXT(_xlfn.XLOOKUP(TabTRADER[[#This Row],[ClickTick]],TabCalc[Ticker],TabCalc[NAfter]),"#,#0")&amp;" : "&amp;TEXT(_xlfn.XLOOKUP(TabTRADER[[#This Row],[ClickTick]],TabCalc[Ticker],TabCalc[NAfter])*(TabTRADER[[#This Row],[M]]-TabTRADER[[#This Row],[A]])*(1-Commission)*TabTRADER[[#This Row],[Scale]],"#,#0$")</f>
        <v>1,500 : 74,654$</v>
      </c>
      <c r="BD92" s="693">
        <f ca="1">_xlfn.XLOOKUP(TabTRADER[[#This Row],[ClickTick]],TabCalc[[#This Row],[Ticker]],TabCalc[[#This Row],[GL]])*(1-Commission)</f>
        <v>307933.13479519996</v>
      </c>
      <c r="BE92" s="693"/>
      <c r="BF92" s="675" t="str">
        <f ca="1">TabTRADER[[#This Row],[ClickTick]]&amp;": "&amp;_xlfn.XLOOKUP(TabTRADER[[#This Row],[ClickTick]],TabCalc[Ticker],TabCalc[Pile?])</f>
        <v>THC: Pile</v>
      </c>
      <c r="BG92" s="353" t="s">
        <v>2072</v>
      </c>
      <c r="BH92" s="769" t="str" cm="1">
        <f t="array" aca="1" ref="BH92" ca="1">_xlfn.TEXTJOIN("",,INDEX({"M","A","Y"}, _xlfn.SORTBY({1,2,3}, -CHOOSE({1,2,3}, TabTRADER[[#This Row],[M]], TabTRADER[[#This Row],[A]], TabTRADER[[#This Row],[Agiotage]]))))</f>
        <v>MAY</v>
      </c>
      <c r="BI92" s="976" t="str" cm="1">
        <f t="array" aca="1" ref="BI9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92" s="688">
        <f ca="1">TabTRADER[[#This Row],[L_Sn]]*TabTRADER[[#This Row],[L_Sp]]+TabTRADER[[#This Row],[SellMore]]*TabTRADER[[#This Row],[M]]</f>
        <v>267654</v>
      </c>
      <c r="BK92" s="688">
        <f ca="1">INDEX(
  INDEX(TabConsolid[], , _xlfn.XMATCH(TabTRADER[[#This Row],[ClickTick]]&amp;1, TabConsolid[#Headers])),
  MATCH(
    -TabTRADER[[#This Row],[M]],
    INDEX(TabConsolid[], , _xlfn.XMATCH(TabTRADER[[#This Row],[ClickTick]]&amp;2, TabConsolid[#Headers])),
    -1
  )
)</f>
        <v>300</v>
      </c>
      <c r="BL92" s="688" cm="1">
        <f t="array" aca="1" ref="BL9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v>
      </c>
      <c r="BM92" s="1260">
        <f ca="1">TabTRADER[[#This Row],[ReBuy]]/(TabTRADER[[#This Row],[L_Sn]]+TabTRADER[[#This Row],[SellMore]])</f>
        <v>205.8876923076923</v>
      </c>
      <c r="BN92" s="696">
        <f ca="1">((_xlfn.XLOOKUP(TabTRADER[[#This Row],[ClickTick]],TabCalc[Ticker],TabCalc[NAfter])+TabTRADER[[#This Row],[L_Sn]])*(TabTRADER[[#This Row],[Agiotage]]-TabTRADER[[#This Row],[M]]))/(TabTRADER[[#This Row],[L_Sn]]*_xlfn.XLOOKUP(TabTRADER[[#This Row],[ClickTick]],TabCalc[Ticker],TabCalc[NAfter]))</f>
        <v>-0.34763889337270071</v>
      </c>
      <c r="BO92" s="696">
        <f ca="1">(TabTRADER[[#This Row],[M]]-TabTRADER[[#This Row],[Agiotage]])/(TabTRADER[[#This Row],[M]]-TabTRADER[[#This Row],[A]])-1</f>
        <v>3.1801320452149087</v>
      </c>
      <c r="BP92" s="1388">
        <f ca="1">_xlfn.XMATCH(TabTRADER[[#This Row],[ClickTick]]&amp;1, TabConsolid[#Headers])</f>
        <v>272</v>
      </c>
      <c r="BQ92" t="b">
        <f ca="1">IF(ABS(TabTRADER[[#This Row],[L_Bp]])&gt;=TabTRADER[[#This Row],[M]],"OK")</f>
        <v>0</v>
      </c>
    </row>
    <row r="93" spans="1:69" hidden="1">
      <c r="A93" s="225">
        <f ca="1">IF(_xlfn.XLOOKUP(TabTRADER[[#This Row],[ClickTick]],TabCalc[Ticker],TabCalc[Cur])="GBp",0.01,1)</f>
        <v>1</v>
      </c>
      <c r="B9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-30.95x1800=    +239 USD</v>
      </c>
      <c r="C93"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43.5%</v>
      </c>
      <c r="D93" s="697" t="str" cm="1">
        <f t="array" aca="1" ref="D9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3"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93" s="228" t="str">
        <f ca="1">TRUNC(TabCalc[[#This Row],[L_B1p]],2)&amp;"x"&amp;TabCalc[[#This Row],[L_B1n]]&amp;"=   "&amp;TEXT(TabCalc[[#This Row],[ReverseS1]],"#,#0")&amp;"$"</f>
        <v>-31.38x1400=   235$</v>
      </c>
      <c r="G93" s="227" t="str">
        <f ca="1">IFERROR(TRUNC(_xlfn.XLOOKUP(TabTRADER[[#This Row],[ClickTick]],TabCalc[Ticker],ListLastSalep),2)&amp;"x"&amp;_xlfn.XLOOKUP(TabTRADER[[#This Row],[ClickTick]],TabCalc[Ticker],ListLastSalen)&amp;"=   "&amp;TEXT(-_xlfn.XLOOKUP(TabTRADER[[#This Row],[ClickTick]],TabCalc[Ticker],ListReverseB),"#,#0")&amp;"$","")</f>
        <v>36.08x1590=   29,828$</v>
      </c>
      <c r="H9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-34.2% = 0</v>
      </c>
      <c r="I93" s="228" t="str">
        <f ca="1">IFERROR(TRUNC(TabCalc[[#This Row],[L_S1p]],2)&amp;"x"&amp;TabCalc[[#This Row],[L_S1n]]&amp;"=   "&amp;TEXT(TabCalc[[#This Row],[ReverseB1]],"#,#0"),"")</f>
        <v>34.06x1600=   -33,248</v>
      </c>
      <c r="J93" s="297">
        <f ca="1">_xlfn.XLOOKUP(TabTRADER[[#This Row],[ClickTick]],TabCalc[Ticker],ListGravity)</f>
        <v>0</v>
      </c>
      <c r="K93" s="324" t="str" cm="1">
        <f t="array" aca="1" ref="K93" ca="1">IF(_xlfn.XLOOKUP(TabTRADER[[#This Row],[ClickTick]],TabTRADER[ClickTick],ListExtra_n)&gt;0,_xlfn.XLOOKUP(TabTRADER[[#This Row],[ClickTick]],TabTRADER[ClickTick],ListExtra_n),"")</f>
        <v/>
      </c>
      <c r="L93" s="322" t="str">
        <f ca="1">IF(_xlfn.XLOOKUP(TabTRADER[[#This Row],[ClickTick]],TabCalc[Ticker],ListExtra_n)&gt;0,_xlfn.XLOOKUP(TabTRADER[[#This Row],[ClickTick]],TabCalc[Ticker],ListExtra_n)*TabTRADER[[#This Row],[M]]*_xlfn.XLOOKUP(TabTRADER[[#This Row],[ClickTick]],TabCalc[Ticker],ListScale),"")</f>
        <v/>
      </c>
      <c r="M93" s="325">
        <f ca="1">_xlfn.XLOOKUP(TabTRADER[[#This Row],[ClickTick]],TabCalc[Ticker],TabCalc[Agiotage])</f>
        <v>7.2077806511077887E-5</v>
      </c>
      <c r="N93" s="326" t="e" cm="1">
        <f t="array" aca="1" ref="N93" ca="1">_xlfn.XLOOKUP(TabTRADER[[#This Row],[ClickTick]],ListTickers,Tab2RSIConventional[RSIConv20])</f>
        <v>#DIV/0!</v>
      </c>
      <c r="O93" s="712" t="str">
        <f ca="1">TEXT(_xlfn.XLOOKUP(TabTRADER[[#This Row],[ClickTick]],TabCalc[Ticker],TabCalc[Nbegin]),"#,#0")&amp;": "&amp;_xlfn.XLOOKUP(TabTRADER[[#This Row],[ClickTick]],TabCalc[Ticker],TabCalc[Pile?])</f>
        <v>3,200: Pile</v>
      </c>
      <c r="P93" s="326">
        <f ca="1">_xlfn.XLOOKUP(TabTRADER[[#This Row],[ClickTick]],TabCalc[Ticker],TabCalc[L_Bn])</f>
        <v>1800</v>
      </c>
      <c r="Q93" s="690">
        <f ca="1">_xlfn.XLOOKUP(TabTRADER[[#This Row],[ClickTick]],TabCalc[Ticker],TabCalc[L_Bp])</f>
        <v>-30.957205999999999</v>
      </c>
      <c r="R93" s="778">
        <f ca="1">(TabTRADER[[#This Row],[M]]+TabTRADER[[#This Row],[L_Bp]])/ABS(TabTRADER[[#This Row],[L_Bp]])</f>
        <v>0.77147769730898852</v>
      </c>
      <c r="S93" s="692">
        <f ca="1">_xlfn.XLOOKUP(TabTRADER[[#This Row],[ClickTick]],TabCalc[Ticker],TabCalc[Rev(MinStock)])*(1-Commission)</f>
        <v>238.20698735600004</v>
      </c>
      <c r="T93" s="798">
        <f ca="1">_xlfn.XLOOKUP(TabTRADER[[#This Row],[ClickTick]],TabCalc[Ticker],TabCalc[Agiotage])</f>
        <v>7.2077806511077887E-5</v>
      </c>
      <c r="U93" s="759" t="str" cm="1">
        <f t="array" aca="1" ref="U9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0/0=&gt;0.0% / 0.0%</v>
      </c>
      <c r="V93" s="751" t="str">
        <f ca="1">_xlfn.XLOOKUP(TabTRADER[[#This Row],[ClickTick]],[1]!RTData[Ticker symbol],[1]!RTData[Currency])</f>
        <v>USD</v>
      </c>
      <c r="W93" s="761">
        <f ca="1">_xlfn.XLOOKUP(TabTRADER[[#This Row],[ClickTick]],TabCalc[Ticker],TabCalc[M])</f>
        <v>54.84</v>
      </c>
      <c r="X93" s="762" t="str">
        <f ca="1">SORTING!B93</f>
        <v>X</v>
      </c>
      <c r="Y93" s="819">
        <f ca="1">_xlfn.XLOOKUP(TabTRADER[[#This Row],[ClickTick]],TabCalc[Ticker],TabCalc[Y])</f>
        <v>0</v>
      </c>
      <c r="Z93" s="835">
        <f ca="1">_xlfn.XLOOKUP(TabTRADER[[#This Row],[ClickTick]],[1]!RTData[Ticker symbol],[1]!RTData[YTChange])</f>
        <v>0</v>
      </c>
      <c r="AA93" s="851">
        <f ca="1">-_xlfn.XLOOKUP(TabTRADER[[#This Row],[ClickTick]]&amp;2,Consolid!B$3:JZ$3,Consolid!B$4:JZ$4)</f>
        <v>30.957205999999996</v>
      </c>
      <c r="AB93" s="835" cm="1">
        <f t="array" aca="1" ref="AB93" ca="1">_xlfn.XLOOKUP(TabTRADER[[#This Row],[ClickTick]],ListTickers,Tab1ChangePercent[Change%19])</f>
        <v>0</v>
      </c>
      <c r="AC93" s="782">
        <f ca="1">_xlfn.XLOOKUP(TabTRADER[[#This Row],[ClickTick]],TabCalc[Ticker],TabCalc[NAfter])</f>
        <v>10</v>
      </c>
      <c r="AD9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^60/1 K$</v>
      </c>
      <c r="AE93" s="1299" t="str" cm="1">
        <f t="array" aca="1" ref="AE9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93" s="1281" t="str" cm="1">
        <f t="array" aca="1" ref="AF93" ca="1">_xlfn.IFS(       TabTRADER[[#This Row],[Traps]]=RePurchaseGain,TEXT(TabTRADER[[#This Row],[L_Sn]],"#,#0")&amp;" x "&amp;TEXT(TabTRADER[[#This Row],[L_Sp]],"#,#0.#0"),     TabTRADER[[#This Row],[Traps]]=ReSaleGain,TEXT(TabTRADER[[#This Row],[L_Bn]],"#0,#0")&amp;" x "&amp;TEXT(TabTRADER[[#This Row],[L_Bp]],"#,#0.#0"),               TRUE,"")</f>
        <v/>
      </c>
      <c r="AG93" s="1281" t="str" cm="1">
        <f t="array" aca="1" ref="AG9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36.08</v>
      </c>
      <c r="AH93" s="1281" cm="1">
        <f t="array" aca="1" ref="AH9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187.11224000000004</v>
      </c>
      <c r="AI93" s="774" cm="1">
        <f t="array" aca="1" ref="AI9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238.20698735600007</v>
      </c>
      <c r="AJ93" s="1290" cm="1">
        <f t="array" aca="1" ref="AJ9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0.77147769730898874</v>
      </c>
      <c r="AK93" s="1290" cm="1">
        <f t="array" aca="1" ref="AK9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0.33948606856309271</v>
      </c>
      <c r="AL93" s="843" cm="1">
        <f t="array" aca="1" ref="AL93" ca="1">_xlfn.IFS(   TabTRADER[[#This Row],[Traps]]=SellMorePercentGain,                     MIN(TabTRADER[[#This Row],[L_Sn]],TabTRADER[[#This Row],[N]])*(TabTRADER[[#This Row],[M]]-TabTRADER[[#This Row],[L_Sp]])*(1-Commission)*TabTRADER[[#This Row],[Scale]],                    TRUE,"")</f>
        <v>187.11224000000004</v>
      </c>
      <c r="AM93" s="1279">
        <f ca="1">_xlfn.XLOOKUP(TabTRADER[[#This Row],[ClickTick]],TabCalc[Ticker],TabCalc[Ann%RevLB])</f>
        <v>0.93828368591633748</v>
      </c>
      <c r="AN93" s="1038">
        <f ca="1">_xlfn.XLOOKUP(TabTRADER[[#This Row],[ClickTick]],TabCalc[Ticker],TabCalc[Up20])</f>
        <v>0</v>
      </c>
      <c r="AO93" s="1291" t="str" cm="1">
        <f t="array" aca="1" ref="AO9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3" s="843" t="str" cm="1">
        <f t="array" aca="1" ref="AP93" ca="1">_xlfn.IFS(         TabTRADER[[#This Row],[Traps]]=MDown,TabTRADER[[#This Row],[L_Bn]]*TabTRADER[[#This Row],[M]]*(-(TabTRADER[[#This Row],[L_Bp]]+TabTRADER[[#This Row],[M]])/TabTRADER[[#This Row],[M]])*(1-Commission)*TabTRADER[[#This Row],[Scale]],                               TRUE,"")</f>
        <v/>
      </c>
      <c r="AQ93" s="1290" cm="1">
        <f t="array" aca="1" ref="AQ93" ca="1">_xlfn.IFS(   TabTRADER[[#This Row],[Traps]]=MUp,TabTRADER[[#This Row],[TakeGain_A]]-Commission,        TabTRADER[[#This Row],[Traps]]=MDown,(TabTRADER[[#This Row],[A]]-TabTRADER[[#This Row],[M]])/TabTRADER[[#This Row],[M]]-Commission,                              TRUE,"")</f>
        <v>0.76887769730898869</v>
      </c>
      <c r="AR93" s="774" cm="1">
        <f t="array" aca="1" ref="AR9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421.97836544431846</v>
      </c>
      <c r="AS93" s="774" t="str" cm="1">
        <f t="array" aca="1" ref="AS9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T93" s="748" t="str" cm="1">
        <f t="array" aca="1" ref="AT9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10x23.88</v>
      </c>
      <c r="AU93" s="779" cm="1">
        <f t="array" aca="1" ref="AU93" ca="1">_xlfn.IFS(TabTRADER[[#This Row],[Traps]]=ReSaleGain,"",         TabTRADER[[#This Row],[Traps]]=MDown, (TabTRADER[[#This Row],[M]]-TabTRADER[[#This Row],[A]])/TabTRADER[[#This Row],[A]]*ComFactor,             TRUE, IFERROR((TabTRADER[[#This Row],[M]]-TabTRADER[[#This Row],[A]])/TabTRADER[[#This Row],[A]]*ComFactor,""))</f>
        <v>0.76947185529598539</v>
      </c>
      <c r="AV93" s="776" cm="1">
        <f t="array" aca="1" ref="AV93" ca="1">_xlfn.IFS(               TabTRADER[[#This Row],[Traps]]=NoStock,(TabTRADER[[#This Row],[L_Sp]]-TabTRADER[[#This Row],[M]])/TabTRADER[[#This Row],[M]]-Commission,             TabTRADER[[#This Row],[A]]&lt;&gt;0,(TabTRADER[[#This Row],[A]]-TabTRADER[[#This Row],[M]])/TabTRADER[[#This Row],[M]]-Commission)</f>
        <v>-0.43809952589350848</v>
      </c>
      <c r="AW93" s="326">
        <f ca="1">_xlfn.XLOOKUP(TabTRADER[[#This Row],[ClickTick]],TabCalc[Ticker],TabCalc[L_Sn])</f>
        <v>1590</v>
      </c>
      <c r="AX93" s="740">
        <f ca="1">_xlfn.XLOOKUP(TabTRADER[[#This Row],[ClickTick]],TabCalc[Ticker],TabCalc[L_Sp])</f>
        <v>36.08</v>
      </c>
      <c r="AY93" s="778">
        <f ca="1">-IFERROR((TabTRADER[[#This Row],[M]]-TabTRADER[[#This Row],[L_Sp]])/TabTRADER[[#This Row],[L_Sp]],0)</f>
        <v>-0.51995565410199573</v>
      </c>
      <c r="AZ93" s="741">
        <f ca="1">TabTRADER[[#This Row],[L_Sn]]*(TabTRADER[[#This Row],[M]]-TabTRADER[[#This Row],[L_Sp]])*(1-Commission)*TabTRADER[[#This Row],[Scale]]</f>
        <v>29750.846160000008</v>
      </c>
      <c r="BA93" s="701">
        <f ca="1">TabTRADER[[#This Row],[L_Sn]]*(TabTRADER[[#This Row],[Agiotage]]-TabTRADER[[#This Row],[M]])/(TabTRADER[[#This Row],[L_Bn]]*TabTRADER[[#This Row],[M]])</f>
        <v>-0.88333217234264982</v>
      </c>
      <c r="BB93" s="641">
        <f ca="1">IFERROR((TabTRADER[[#This Row],[M]]-TabTRADER[[#This Row],[A]])/TabTRADER[[#This Row],[A]],0)</f>
        <v>0.77147769730898874</v>
      </c>
      <c r="BC93" s="644" t="str">
        <f ca="1">TEXT(_xlfn.XLOOKUP(TabTRADER[[#This Row],[ClickTick]],TabCalc[Ticker],TabCalc[NAfter]),"#,#0")&amp;" : "&amp;TEXT(_xlfn.XLOOKUP(TabTRADER[[#This Row],[ClickTick]],TabCalc[Ticker],TabCalc[NAfter])*(TabTRADER[[#This Row],[M]]-TabTRADER[[#This Row],[A]])*(1-Commission)*TabTRADER[[#This Row],[Scale]],"#,#0$")</f>
        <v>10 : 238$</v>
      </c>
      <c r="BD93" s="693">
        <f ca="1">_xlfn.XLOOKUP(TabTRADER[[#This Row],[ClickTick]],TabCalc[[#This Row],[Ticker]],TabCalc[[#This Row],[GL]])*(1-Commission)</f>
        <v>60051.568116079914</v>
      </c>
      <c r="BE93" s="693"/>
      <c r="BF93" s="675" t="str">
        <f ca="1">TabTRADER[[#This Row],[ClickTick]]&amp;": "&amp;_xlfn.XLOOKUP(TabTRADER[[#This Row],[ClickTick]],TabCalc[Ticker],TabCalc[Pile?])</f>
        <v>X: Pile</v>
      </c>
      <c r="BG93" s="353" t="s">
        <v>2073</v>
      </c>
      <c r="BH93" s="769" t="str" cm="1">
        <f t="array" aca="1" ref="BH93" ca="1">_xlfn.TEXTJOIN("",,INDEX({"M","A","Y"}, _xlfn.SORTBY({1,2,3}, -CHOOSE({1,2,3}, TabTRADER[[#This Row],[M]], TabTRADER[[#This Row],[A]], TabTRADER[[#This Row],[Agiotage]]))))</f>
        <v>MAY</v>
      </c>
      <c r="BI93" s="976" cm="1">
        <f t="array" aca="1" ref="BI9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0.3420860685630927</v>
      </c>
      <c r="BJ93" s="688">
        <f ca="1">TabTRADER[[#This Row],[L_Sn]]*TabTRADER[[#This Row],[L_Sp]]+TabTRADER[[#This Row],[SellMore]]*TabTRADER[[#This Row],[M]]</f>
        <v>57915.6</v>
      </c>
      <c r="BK93" s="688">
        <f ca="1">INDEX(
  INDEX(TabConsolid[], , _xlfn.XMATCH(TabTRADER[[#This Row],[ClickTick]]&amp;1, TabConsolid[#Headers])),
  MATCH(
    -TabTRADER[[#This Row],[M]],
    INDEX(TabConsolid[], , _xlfn.XMATCH(TabTRADER[[#This Row],[ClickTick]]&amp;2, TabConsolid[#Headers])),
    -1
  )
)</f>
        <v>10</v>
      </c>
      <c r="BL93" s="688" cm="1">
        <f t="array" aca="1" ref="BL9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v>
      </c>
      <c r="BM93" s="1260">
        <f ca="1">TabTRADER[[#This Row],[ReBuy]]/(TabTRADER[[#This Row],[L_Sn]]+TabTRADER[[#This Row],[SellMore]])</f>
        <v>36.197249999999997</v>
      </c>
      <c r="BN93" s="696">
        <f ca="1">((_xlfn.XLOOKUP(TabTRADER[[#This Row],[ClickTick]],TabCalc[Ticker],TabCalc[NAfter])+TabTRADER[[#This Row],[L_Sn]])*(TabTRADER[[#This Row],[Agiotage]]-TabTRADER[[#This Row],[M]]))/(TabTRADER[[#This Row],[L_Sn]]*_xlfn.XLOOKUP(TabTRADER[[#This Row],[ClickTick]],TabCalc[Ticker],TabCalc[NAfter]))</f>
        <v>-5.5184833129251309</v>
      </c>
      <c r="BO93" s="696">
        <f ca="1">(TabTRADER[[#This Row],[M]]-TabTRADER[[#This Row],[Agiotage]])/(TabTRADER[[#This Row],[M]]-TabTRADER[[#This Row],[A]])-1</f>
        <v>1.2962107332246582</v>
      </c>
      <c r="BP93" s="1388">
        <f ca="1">_xlfn.XMATCH(TabTRADER[[#This Row],[ClickTick]]&amp;1, TabConsolid[#Headers])</f>
        <v>275</v>
      </c>
      <c r="BQ93" t="b">
        <f ca="1">IF(ABS(TabTRADER[[#This Row],[L_Bp]])&gt;=TabTRADER[[#This Row],[M]],"OK")</f>
        <v>0</v>
      </c>
    </row>
    <row r="94" spans="1:69">
      <c r="A94" s="225">
        <f ca="1">IF(_xlfn.XLOOKUP(TabTRADER[[#This Row],[ClickTick]],TabCalc[Ticker],TabCalc[Cur])="GBp",0.01,1)</f>
        <v>1</v>
      </c>
      <c r="B9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-14.82x5000=    +6,325 EUR</v>
      </c>
      <c r="C94"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7.9%</v>
      </c>
      <c r="D94" s="697" t="str" cm="1">
        <f t="array" aca="1" ref="D9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3,953/18,000=63,577</v>
      </c>
      <c r="E94" s="765" t="str">
        <f ca="1">IF(      AND(TabTRADER[[#This Row],[A]]&lt;TabTRADER[[#This Row],[M]],    _xlfn.XLOOKUP(TabTRADER[[#This Row],[ClickTick]],TabCalc[Ticker],TabCalc[L_Sp])&gt;TabTRADER[[#This Row],[M]]),"BUY  "&amp;TEXT(DesiredBuyGain/TabTRADER[[#This Row],[Scale]]/(_xlfn.XLOOKUP(TabTRADER[[#This Row],[ClickTick]],TabCalc[Ticker],TabCalc[L_Sp])-TabTRADER[[#This Row],[M]]),"#,##0"),"")</f>
        <v>BUY  142,857</v>
      </c>
      <c r="F94" s="228" t="str">
        <f ca="1">TRUNC(TabCalc[[#This Row],[L_B1p]],2)&amp;"x"&amp;TabCalc[[#This Row],[L_B1n]]&amp;"=   "&amp;TEXT(TabCalc[[#This Row],[ReverseS1]],"#,#0")&amp;"$"</f>
        <v>-15.54x3000=   1,612$</v>
      </c>
      <c r="G94" s="227" t="str">
        <f ca="1">IFERROR(TRUNC(_xlfn.XLOOKUP(TabTRADER[[#This Row],[ClickTick]],TabCalc[Ticker],ListLastSalep),2)&amp;"x"&amp;_xlfn.XLOOKUP(TabTRADER[[#This Row],[ClickTick]],TabCalc[Ticker],ListLastSalen)&amp;"=   "&amp;TEXT(-_xlfn.XLOOKUP(TabTRADER[[#This Row],[ClickTick]],TabCalc[Ticker],ListReverseB),"#,#0")&amp;"$","")</f>
        <v>16.12x3000=   -105$</v>
      </c>
      <c r="H9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0.2% = 142,857</v>
      </c>
      <c r="I94" s="228" t="str">
        <f ca="1">IFERROR(TRUNC(TabCalc[[#This Row],[L_S1p]],2)&amp;"x"&amp;TabCalc[[#This Row],[L_S1n]]&amp;"=   "&amp;TEXT(TabCalc[[#This Row],[ReverseB1]],"#,#0"),"")</f>
        <v>15.96x12000=   -1,500</v>
      </c>
      <c r="J94" s="297">
        <f ca="1">_xlfn.XLOOKUP(TabTRADER[[#This Row],[ClickTick]],TabCalc[Ticker],ListGravity)</f>
        <v>1.0500466272925086</v>
      </c>
      <c r="K94" s="324" t="str" cm="1">
        <f t="array" aca="1" ref="K94" ca="1">IF(_xlfn.XLOOKUP(TabTRADER[[#This Row],[ClickTick]],TabTRADER[ClickTick],ListExtra_n)&gt;0,_xlfn.XLOOKUP(TabTRADER[[#This Row],[ClickTick]],TabTRADER[ClickTick],ListExtra_n),"")</f>
        <v/>
      </c>
      <c r="L94" s="322" t="str">
        <f ca="1">IF(_xlfn.XLOOKUP(TabTRADER[[#This Row],[ClickTick]],TabCalc[Ticker],ListExtra_n)&gt;0,_xlfn.XLOOKUP(TabTRADER[[#This Row],[ClickTick]],TabCalc[Ticker],ListExtra_n)*TabTRADER[[#This Row],[M]]*_xlfn.XLOOKUP(TabTRADER[[#This Row],[ClickTick]],TabCalc[Ticker],ListScale),"")</f>
        <v/>
      </c>
      <c r="M94" s="325">
        <f ca="1">_xlfn.XLOOKUP(TabTRADER[[#This Row],[ClickTick]],TabCalc[Ticker],TabCalc[Agiotage])</f>
        <v>1.1313503925264488</v>
      </c>
      <c r="N94" s="326" cm="1">
        <f t="array" aca="1" ref="N94" ca="1">_xlfn.XLOOKUP(TabTRADER[[#This Row],[ClickTick]],ListTickers,Tab2RSIConventional[RSIConv20])</f>
        <v>53</v>
      </c>
      <c r="O94" s="712" t="str">
        <f ca="1">TEXT(_xlfn.XLOOKUP(TabTRADER[[#This Row],[ClickTick]],TabCalc[Ticker],TabCalc[Nbegin]),"#,#0")&amp;": "&amp;_xlfn.XLOOKUP(TabTRADER[[#This Row],[ClickTick]],TabCalc[Ticker],TabCalc[Pile?])</f>
        <v>50,000: Pile</v>
      </c>
      <c r="P94" s="326">
        <f ca="1">_xlfn.XLOOKUP(TabTRADER[[#This Row],[ClickTick]],TabCalc[Ticker],TabCalc[L_Bn])</f>
        <v>5000</v>
      </c>
      <c r="Q94" s="690">
        <f ca="1">_xlfn.XLOOKUP(TabTRADER[[#This Row],[ClickTick]],TabCalc[Ticker],TabCalc[L_Bp])</f>
        <v>-14.82</v>
      </c>
      <c r="R94" s="778">
        <f ca="1">(TabTRADER[[#This Row],[M]]+TabTRADER[[#This Row],[L_Bp]])/ABS(TabTRADER[[#This Row],[L_Bp]])</f>
        <v>8.5357624831309084E-2</v>
      </c>
      <c r="S94" s="692">
        <f ca="1">_xlfn.XLOOKUP(TabTRADER[[#This Row],[ClickTick]],TabCalc[Ticker],TabCalc[Rev(MinStock)])*(1-Commission)</f>
        <v>6308.5550000000021</v>
      </c>
      <c r="T94" s="798">
        <f ca="1">_xlfn.XLOOKUP(TabTRADER[[#This Row],[ClickTick]],TabCalc[Ticker],TabCalc[Agiotage])</f>
        <v>1.1313503925264488</v>
      </c>
      <c r="U94" s="759" t="str" cm="1">
        <f t="array" aca="1" ref="U9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2,070/2,070=&gt;2.0% / 0.3%</v>
      </c>
      <c r="V94" s="751" t="str">
        <f ca="1">_xlfn.XLOOKUP(TabTRADER[[#This Row],[ClickTick]],[1]!RTData[Ticker symbol],[1]!RTData[Currency])</f>
        <v>EUR</v>
      </c>
      <c r="W94" s="761">
        <f ca="1">_xlfn.XLOOKUP(TabTRADER[[#This Row],[ClickTick]],TabCalc[Ticker],TabCalc[M])</f>
        <v>16.085000000000001</v>
      </c>
      <c r="X94" s="762" t="str">
        <f ca="1">SORTING!B94</f>
        <v>JBEOAN</v>
      </c>
      <c r="Y94" s="819">
        <f ca="1">_xlfn.XLOOKUP(TabTRADER[[#This Row],[ClickTick]],TabCalc[Ticker],TabCalc[Y])</f>
        <v>16.89</v>
      </c>
      <c r="Z94" s="835">
        <f ca="1">_xlfn.XLOOKUP(TabTRADER[[#This Row],[ClickTick]],[1]!RTData[Ticker symbol],[1]!RTData[YTChange])</f>
        <v>1.0771992818671437E-2</v>
      </c>
      <c r="AA94" s="851">
        <f ca="1">-_xlfn.XLOOKUP(TabTRADER[[#This Row],[ClickTick]]&amp;2,Consolid!B$3:JZ$3,Consolid!B$4:JZ$4)</f>
        <v>14.337085499999999</v>
      </c>
      <c r="AB94" s="835" cm="1">
        <f t="array" aca="1" ref="AB94" ca="1">_xlfn.XLOOKUP(TabTRADER[[#This Row],[ClickTick]],ListTickers,Tab1ChangePercent[Change%19])</f>
        <v>1.9646E-2</v>
      </c>
      <c r="AC94" s="782">
        <f ca="1">_xlfn.XLOOKUP(TabTRADER[[#This Row],[ClickTick]],TabCalc[Ticker],TabCalc[NAfter])</f>
        <v>18000</v>
      </c>
      <c r="AD9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^319/290 K$</v>
      </c>
      <c r="AE94" s="1299" t="str" cm="1">
        <f t="array" aca="1" ref="AE9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94" s="1281" t="str" cm="1">
        <f t="array" aca="1" ref="AF94" ca="1">_xlfn.IFS(       TabTRADER[[#This Row],[Traps]]=RePurchaseGain,TEXT(TabTRADER[[#This Row],[L_Sn]],"#,#0")&amp;" x "&amp;TEXT(TabTRADER[[#This Row],[L_Sp]],"#,#0.#0"),     TabTRADER[[#This Row],[Traps]]=ReSaleGain,TEXT(TabTRADER[[#This Row],[L_Bn]],"#0,#0")&amp;" x "&amp;TEXT(TabTRADER[[#This Row],[L_Bp]],"#,#0.#0"),               TRUE,"")</f>
        <v>3,000 x 16.12</v>
      </c>
      <c r="AG94" s="1281" cm="1">
        <f t="array" aca="1" ref="AG9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104.72700000000042</v>
      </c>
      <c r="AH94" s="1281" t="str" cm="1">
        <f t="array" aca="1" ref="AH9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4" s="774" cm="1">
        <f t="array" aca="1" ref="AI9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104.72700000000042</v>
      </c>
      <c r="AJ94" s="1290" cm="1">
        <f t="array" aca="1" ref="AJ9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2.171215880893309E-3</v>
      </c>
      <c r="AK94" s="1290" t="str" cm="1">
        <f t="array" aca="1" ref="AK9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4" s="843" t="str" cm="1">
        <f t="array" aca="1" ref="AL94" ca="1">_xlfn.IFS(   TabTRADER[[#This Row],[Traps]]=SellMorePercentGain,                     MIN(TabTRADER[[#This Row],[L_Sn]],TabTRADER[[#This Row],[N]])*(TabTRADER[[#This Row],[M]]-TabTRADER[[#This Row],[L_Sp]])*(1-Commission)*TabTRADER[[#This Row],[Scale]],                    TRUE,"")</f>
        <v/>
      </c>
      <c r="AM94" s="1039">
        <f ca="1">_xlfn.XLOOKUP(TabTRADER[[#This Row],[ClickTick]],TabCalc[Ticker],TabCalc[Ann%RevLB])</f>
        <v>0.56905083220872721</v>
      </c>
      <c r="AN94" s="1038">
        <f ca="1">_xlfn.XLOOKUP(TabTRADER[[#This Row],[ClickTick]],TabCalc[Ticker],TabCalc[Up20])</f>
        <v>0</v>
      </c>
      <c r="AO94" s="1291" t="str" cm="1">
        <f t="array" aca="1" ref="AO9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4" s="843" t="str" cm="1">
        <f t="array" aca="1" ref="AP94" ca="1">_xlfn.IFS(         TabTRADER[[#This Row],[Traps]]=MDown,TabTRADER[[#This Row],[L_Bn]]*TabTRADER[[#This Row],[M]]*(-(TabTRADER[[#This Row],[L_Bp]]+TabTRADER[[#This Row],[M]])/TabTRADER[[#This Row],[M]])*(1-Commission)*TabTRADER[[#This Row],[Scale]],                               TRUE,"")</f>
        <v/>
      </c>
      <c r="AQ94" s="1290" t="str" cm="1">
        <f t="array" aca="1" ref="AQ94" ca="1">_xlfn.IFS(   TabTRADER[[#This Row],[Traps]]=MUp,TabTRADER[[#This Row],[TakeGain_A]]-Commission,        TabTRADER[[#This Row],[Traps]]=MDown,(TabTRADER[[#This Row],[A]]-TabTRADER[[#This Row],[M]])/TabTRADER[[#This Row],[M]]-Commission,                              TRUE,"")</f>
        <v/>
      </c>
      <c r="AR94" s="774" cm="1">
        <f t="array" aca="1" ref="AR9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31380.658601400035</v>
      </c>
      <c r="AS94" s="774" t="str" cm="1">
        <f t="array" aca="1" ref="AS9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0.1%</v>
      </c>
      <c r="AT94" s="748" t="str" cm="1">
        <f t="array" aca="1" ref="AT9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94" s="779" cm="1">
        <f t="array" aca="1" ref="AU94" ca="1">_xlfn.IFS(TabTRADER[[#This Row],[Traps]]=ReSaleGain,"",         TabTRADER[[#This Row],[Traps]]=MDown, (TabTRADER[[#This Row],[M]]-TabTRADER[[#This Row],[A]])/TabTRADER[[#This Row],[A]]*ComFactor,             TRUE, IFERROR((TabTRADER[[#This Row],[M]]-TabTRADER[[#This Row],[A]])/TabTRADER[[#This Row],[A]]*ComFactor,""))</f>
        <v>0.12159862771969952</v>
      </c>
      <c r="AV94" s="776" cm="1">
        <f t="array" aca="1" ref="AV94" ca="1">_xlfn.IFS(               TabTRADER[[#This Row],[Traps]]=NoStock,(TabTRADER[[#This Row],[L_Sp]]-TabTRADER[[#This Row],[M]])/TabTRADER[[#This Row],[M]]-Commission,             TabTRADER[[#This Row],[A]]&lt;&gt;0,(TabTRADER[[#This Row],[A]]-TabTRADER[[#This Row],[M]])/TabTRADER[[#This Row],[M]]-Commission)</f>
        <v>-0.11126736089524414</v>
      </c>
      <c r="AW94" s="326">
        <f ca="1">_xlfn.XLOOKUP(TabTRADER[[#This Row],[ClickTick]],TabCalc[Ticker],TabCalc[L_Sn])</f>
        <v>3000</v>
      </c>
      <c r="AX94" s="740">
        <f ca="1">_xlfn.XLOOKUP(TabTRADER[[#This Row],[ClickTick]],TabCalc[Ticker],TabCalc[L_Sp])</f>
        <v>16.12</v>
      </c>
      <c r="AY94" s="778">
        <f ca="1">-IFERROR((TabTRADER[[#This Row],[M]]-TabTRADER[[#This Row],[L_Sp]])/TabTRADER[[#This Row],[L_Sp]],0)</f>
        <v>2.171215880893309E-3</v>
      </c>
      <c r="AZ94" s="741">
        <f ca="1">TabTRADER[[#This Row],[L_Sn]]*(TabTRADER[[#This Row],[M]]-TabTRADER[[#This Row],[L_Sp]])*(1-Commission)*TabTRADER[[#This Row],[Scale]]</f>
        <v>-104.72700000000042</v>
      </c>
      <c r="BA94" s="701">
        <f ca="1">TabTRADER[[#This Row],[L_Sn]]*(TabTRADER[[#This Row],[Agiotage]]-TabTRADER[[#This Row],[M]])/(TabTRADER[[#This Row],[L_Bn]]*TabTRADER[[#This Row],[M]])</f>
        <v>-0.55779855545440671</v>
      </c>
      <c r="BB94" s="641">
        <f ca="1">IFERROR((TabTRADER[[#This Row],[M]]-TabTRADER[[#This Row],[A]])/TabTRADER[[#This Row],[A]],0)</f>
        <v>0.12191560830128287</v>
      </c>
      <c r="BC94" s="644" t="str">
        <f ca="1">TEXT(_xlfn.XLOOKUP(TabTRADER[[#This Row],[ClickTick]],TabCalc[Ticker],TabCalc[NAfter]),"#,#0")&amp;" : "&amp;TEXT(_xlfn.XLOOKUP(TabTRADER[[#This Row],[ClickTick]],TabCalc[Ticker],TabCalc[NAfter])*(TabTRADER[[#This Row],[M]]-TabTRADER[[#This Row],[A]])*(1-Commission)*TabTRADER[[#This Row],[Scale]],"#,#0$")</f>
        <v>18,000 : 31,381$</v>
      </c>
      <c r="BD94" s="693">
        <f ca="1">_xlfn.XLOOKUP(TabTRADER[[#This Row],[ClickTick]],TabCalc[[#This Row],[Ticker]],TabCalc[[#This Row],[GL]])*(1-Commission)</f>
        <v>317854.44514540001</v>
      </c>
      <c r="BE94" s="693"/>
      <c r="BF94" s="675" t="str">
        <f ca="1">TabTRADER[[#This Row],[ClickTick]]&amp;": "&amp;_xlfn.XLOOKUP(TabTRADER[[#This Row],[ClickTick]],TabCalc[Ticker],TabCalc[Pile?])</f>
        <v>JBEOAN: Pile</v>
      </c>
      <c r="BG94" s="353" t="s">
        <v>2074</v>
      </c>
      <c r="BH94" s="769" t="str" cm="1">
        <f t="array" aca="1" ref="BH94" ca="1">_xlfn.TEXTJOIN("",,INDEX({"M","A","Y"}, _xlfn.SORTBY({1,2,3}, -CHOOSE({1,2,3}, TabTRADER[[#This Row],[M]], TabTRADER[[#This Row],[A]], TabTRADER[[#This Row],[Agiotage]]))))</f>
        <v>MAY</v>
      </c>
      <c r="BI94" s="976" t="str" cm="1">
        <f t="array" aca="1" ref="BI9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4" s="688">
        <f ca="1">TabTRADER[[#This Row],[L_Sn]]*TabTRADER[[#This Row],[L_Sp]]+TabTRADER[[#This Row],[SellMore]]*TabTRADER[[#This Row],[M]]</f>
        <v>96615</v>
      </c>
      <c r="BK94" s="688">
        <f ca="1">INDEX(
  INDEX(TabConsolid[], , _xlfn.XMATCH(TabTRADER[[#This Row],[ClickTick]]&amp;1, TabConsolid[#Headers])),
  MATCH(
    -TabTRADER[[#This Row],[M]],
    INDEX(TabConsolid[], , _xlfn.XMATCH(TabTRADER[[#This Row],[ClickTick]]&amp;2, TabConsolid[#Headers])),
    -1
  )
)</f>
        <v>3000</v>
      </c>
      <c r="BL94" s="688" cm="1">
        <f t="array" aca="1" ref="BL9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94" s="1260">
        <f ca="1">TabTRADER[[#This Row],[ReBuy]]/(TabTRADER[[#This Row],[L_Sn]]+TabTRADER[[#This Row],[SellMore]])</f>
        <v>16.102499999999999</v>
      </c>
      <c r="BN94" s="696">
        <f ca="1">((_xlfn.XLOOKUP(TabTRADER[[#This Row],[ClickTick]],TabCalc[Ticker],TabCalc[NAfter])+TabTRADER[[#This Row],[L_Sn]])*(TabTRADER[[#This Row],[Agiotage]]-TabTRADER[[#This Row],[M]]))/(TabTRADER[[#This Row],[L_Sn]]*_xlfn.XLOOKUP(TabTRADER[[#This Row],[ClickTick]],TabCalc[Ticker],TabCalc[NAfter]))</f>
        <v>-5.8153081806841594E-3</v>
      </c>
      <c r="BO94" s="696">
        <f ca="1">(TabTRADER[[#This Row],[M]]-TabTRADER[[#This Row],[Agiotage]])/(TabTRADER[[#This Row],[M]]-TabTRADER[[#This Row],[A]])-1</f>
        <v>7.555137912909089</v>
      </c>
      <c r="BP94" s="1388">
        <f ca="1">_xlfn.XMATCH(TabTRADER[[#This Row],[ClickTick]]&amp;1, TabConsolid[#Headers])</f>
        <v>284</v>
      </c>
      <c r="BQ94" t="b">
        <f ca="1">IF(ABS(TabTRADER[[#This Row],[L_Bp]])&gt;=TabTRADER[[#This Row],[M]],"OK")</f>
        <v>0</v>
      </c>
    </row>
    <row r="95" spans="1:69" ht="23" hidden="1" thickBot="1">
      <c r="A95" s="225">
        <f ca="1">IF(_xlfn.XLOOKUP(TabTRADER[[#This Row],[ClickTick]],TabCalc[Ticker],TabCalc[Cur])="GBp",0.01,1)</f>
        <v>1</v>
      </c>
      <c r="B9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-5.34x77100=    +403,387 USD</v>
      </c>
      <c r="C95"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49.5%</v>
      </c>
      <c r="D95" s="697" t="str" cm="1">
        <f t="array" aca="1" ref="D9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956/77,100=10,103</v>
      </c>
      <c r="E9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95" s="228" t="str">
        <f ca="1">TRUNC(TabCalc[[#This Row],[L_B1p]],2)&amp;"x"&amp;TabCalc[[#This Row],[L_B1n]]&amp;"=   "&amp;TEXT(TabCalc[[#This Row],[ReverseS1]],"#,#0")&amp;"$"</f>
        <v>0x0=   0$</v>
      </c>
      <c r="G95" s="227" t="str">
        <f ca="1">IFERROR(TRUNC(_xlfn.XLOOKUP(TabTRADER[[#This Row],[ClickTick]],TabCalc[Ticker],ListLastSalep),2)&amp;"x"&amp;_xlfn.XLOOKUP(TabTRADER[[#This Row],[ClickTick]],TabCalc[Ticker],ListLastSalen)&amp;"=   "&amp;TEXT(-_xlfn.XLOOKUP(TabTRADER[[#This Row],[ClickTick]],TabCalc[Ticker],ListReverseB),"#,#0")&amp;"$","")</f>
        <v>0x0=   0$</v>
      </c>
      <c r="H9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95" s="228" t="str">
        <f ca="1">IFERROR(TRUNC(TabCalc[[#This Row],[L_S1p]],2)&amp;"x"&amp;TabCalc[[#This Row],[L_S1n]]&amp;"=   "&amp;TEXT(TabCalc[[#This Row],[ReverseB1]],"#,#0"),"")</f>
        <v>0x0=   0</v>
      </c>
      <c r="J95" s="297">
        <f ca="1">_xlfn.XLOOKUP(TabTRADER[[#This Row],[ClickTick]],TabCalc[Ticker],ListGravity)</f>
        <v>82.662056375331076</v>
      </c>
      <c r="K95" s="324" t="str" cm="1">
        <f t="array" aca="1" ref="K95" ca="1">IF(_xlfn.XLOOKUP(TabTRADER[[#This Row],[ClickTick]],TabTRADER[ClickTick],ListExtra_n)&gt;0,_xlfn.XLOOKUP(TabTRADER[[#This Row],[ClickTick]],TabTRADER[ClickTick],ListExtra_n),"")</f>
        <v/>
      </c>
      <c r="L95" s="322" t="str">
        <f ca="1">IF(_xlfn.XLOOKUP(TabTRADER[[#This Row],[ClickTick]],TabCalc[Ticker],ListExtra_n)&gt;0,_xlfn.XLOOKUP(TabTRADER[[#This Row],[ClickTick]],TabCalc[Ticker],ListExtra_n)*TabTRADER[[#This Row],[M]]*_xlfn.XLOOKUP(TabTRADER[[#This Row],[ClickTick]],TabCalc[Ticker],ListScale),"")</f>
        <v/>
      </c>
      <c r="M95" s="325">
        <f ca="1">_xlfn.XLOOKUP(TabTRADER[[#This Row],[ClickTick]],TabCalc[Ticker],TabCalc[Agiotage])</f>
        <v>1</v>
      </c>
      <c r="N95" s="326" cm="1">
        <f t="array" aca="1" ref="N95" ca="1">_xlfn.XLOOKUP(TabTRADER[[#This Row],[ClickTick]],ListTickers,Tab2RSIConventional[RSIConv20])</f>
        <v>57</v>
      </c>
      <c r="O95" s="712" t="str">
        <f ca="1">TEXT(_xlfn.XLOOKUP(TabTRADER[[#This Row],[ClickTick]],TabCalc[Ticker],TabCalc[Nbegin]),"#,#0")&amp;": "&amp;_xlfn.XLOOKUP(TabTRADER[[#This Row],[ClickTick]],TabCalc[Ticker],TabCalc[Pile?])</f>
        <v xml:space="preserve">77,100: </v>
      </c>
      <c r="P95" s="1042">
        <f ca="1">_xlfn.XLOOKUP(TabTRADER[[#This Row],[ClickTick]],TabCalc[Ticker],TabCalc[L_Bn])</f>
        <v>77100</v>
      </c>
      <c r="Q95" s="740">
        <f ca="1">_xlfn.XLOOKUP(TabTRADER[[#This Row],[ClickTick]],TabCalc[Ticker],TabCalc[L_Bp])</f>
        <v>-5.34</v>
      </c>
      <c r="R95" s="778">
        <f ca="1">(TabTRADER[[#This Row],[M]]+TabTRADER[[#This Row],[L_Bp]])/ABS(TabTRADER[[#This Row],[L_Bp]])</f>
        <v>0.97977528089887633</v>
      </c>
      <c r="S95" s="692">
        <f ca="1">_xlfn.XLOOKUP(TabTRADER[[#This Row],[ClickTick]],TabCalc[Ticker],TabCalc[Rev(MinStock)])*(1-Commission)</f>
        <v>402338.39327999996</v>
      </c>
      <c r="T95" s="798">
        <f ca="1">_xlfn.XLOOKUP(TabTRADER[[#This Row],[ClickTick]],TabCalc[Ticker],TabCalc[Agiotage])</f>
        <v>1</v>
      </c>
      <c r="U95" s="759" t="str" cm="1">
        <f t="array" aca="1" ref="U9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6,631/6,631=&gt;0.8% / 1.4%</v>
      </c>
      <c r="V95" s="751" t="str">
        <f ca="1">_xlfn.XLOOKUP(TabTRADER[[#This Row],[ClickTick]],[1]!RTData[Ticker symbol],[1]!RTData[Currency])</f>
        <v>USD</v>
      </c>
      <c r="W95" s="761">
        <f ca="1">_xlfn.XLOOKUP(TabTRADER[[#This Row],[ClickTick]],TabCalc[Ticker],TabCalc[M])</f>
        <v>10.571999999999999</v>
      </c>
      <c r="X95" s="762" t="str">
        <f ca="1">SORTING!B95</f>
        <v>LOCK</v>
      </c>
      <c r="Y95" s="819">
        <f ca="1">_xlfn.XLOOKUP(TabTRADER[[#This Row],[ClickTick]],TabCalc[Ticker],TabCalc[Y])</f>
        <v>873.90326000000005</v>
      </c>
      <c r="Z95" s="835">
        <f ca="1">_xlfn.XLOOKUP(TabTRADER[[#This Row],[ClickTick]],[1]!RTData[Ticker symbol],[1]!RTData[YTChange])</f>
        <v>81.599551984877124</v>
      </c>
      <c r="AA95" s="851">
        <f ca="1">-_xlfn.XLOOKUP(TabTRADER[[#This Row],[ClickTick]]&amp;2,Consolid!B$3:JZ$3,Consolid!B$4:JZ$4)</f>
        <v>5.34</v>
      </c>
      <c r="AB95" s="835" cm="1">
        <f t="array" aca="1" ref="AB95" ca="1">_xlfn.XLOOKUP(TabTRADER[[#This Row],[ClickTick]],ListTickers,Tab1ChangePercent[Change%19])</f>
        <v>7.548E-3</v>
      </c>
      <c r="AC95" s="782">
        <f ca="1">_xlfn.XLOOKUP(TabTRADER[[#This Row],[ClickTick]],TabCalc[Ticker],TabCalc[NAfter])</f>
        <v>77100</v>
      </c>
      <c r="AD9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^403/815 K$</v>
      </c>
      <c r="AE95" s="1295" t="str" cm="1">
        <f t="array" aca="1" ref="AE9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95" s="1281" t="str" cm="1">
        <f t="array" aca="1" ref="AF95" ca="1">_xlfn.IFS(       TabTRADER[[#This Row],[Traps]]=RePurchaseGain,TEXT(TabTRADER[[#This Row],[L_Sn]],"#,#0")&amp;" x "&amp;TEXT(TabTRADER[[#This Row],[L_Sp]],"#,#0.#0"),     TabTRADER[[#This Row],[Traps]]=ReSaleGain,TEXT(TabTRADER[[#This Row],[L_Bn]],"#0,#0")&amp;" x "&amp;TEXT(TabTRADER[[#This Row],[L_Bp]],"#,#0.#0"),               TRUE,"")</f>
        <v>77,100 x -5.34</v>
      </c>
      <c r="AG95" s="1281" cm="1">
        <f t="array" aca="1" ref="AG9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402338.39327999996</v>
      </c>
      <c r="AH95" s="1281" t="str" cm="1">
        <f t="array" aca="1" ref="AH9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5" s="774" cm="1">
        <f t="array" aca="1" ref="AI9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402338.39327999996</v>
      </c>
      <c r="AJ95" s="1290" cm="1">
        <f t="array" aca="1" ref="AJ9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0.97977528089887633</v>
      </c>
      <c r="AK95" s="1290" t="str" cm="1">
        <f t="array" aca="1" ref="AK9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5" s="843" t="str" cm="1">
        <f t="array" aca="1" ref="AL95" ca="1">_xlfn.IFS(   TabTRADER[[#This Row],[Traps]]=SellMorePercentGain,                     MIN(TabTRADER[[#This Row],[L_Sn]],TabTRADER[[#This Row],[N]])*(TabTRADER[[#This Row],[M]]-TabTRADER[[#This Row],[L_Sp]])*(1-Commission)*TabTRADER[[#This Row],[Scale]],                    TRUE,"")</f>
        <v/>
      </c>
      <c r="AM95" s="1279">
        <f ca="1">_xlfn.XLOOKUP(TabTRADER[[#This Row],[ClickTick]],TabCalc[Ticker],TabCalc[Ann%RevLB])</f>
        <v>0.28217528089887639</v>
      </c>
      <c r="AN95" s="1038">
        <f ca="1">_xlfn.XLOOKUP(TabTRADER[[#This Row],[ClickTick]],TabCalc[Ticker],TabCalc[Up20])</f>
        <v>0.36363636363636365</v>
      </c>
      <c r="AO95" s="1291" t="str" cm="1">
        <f t="array" aca="1" ref="AO9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5" s="843" t="str" cm="1">
        <f t="array" aca="1" ref="AP95" ca="1">_xlfn.IFS(         TabTRADER[[#This Row],[Traps]]=MDown,TabTRADER[[#This Row],[L_Bn]]*TabTRADER[[#This Row],[M]]*(-(TabTRADER[[#This Row],[L_Bp]]+TabTRADER[[#This Row],[M]])/TabTRADER[[#This Row],[M]])*(1-Commission)*TabTRADER[[#This Row],[Scale]],                               TRUE,"")</f>
        <v/>
      </c>
      <c r="AQ95" s="1290" t="str" cm="1">
        <f t="array" aca="1" ref="AQ95" ca="1">_xlfn.IFS(   TabTRADER[[#This Row],[Traps]]=MUp,TabTRADER[[#This Row],[TakeGain_A]]-Commission,        TabTRADER[[#This Row],[Traps]]=MDown,(TabTRADER[[#This Row],[A]]-TabTRADER[[#This Row],[M]])/TabTRADER[[#This Row],[M]]-Commission,                              TRUE,"")</f>
        <v/>
      </c>
      <c r="AR95" s="843" cm="1">
        <f t="array" aca="1" ref="AR9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796539.60557231447</v>
      </c>
      <c r="AS95" s="774" t="str" cm="1">
        <f t="array" aca="1" ref="AS9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-0.4%</v>
      </c>
      <c r="AT95" s="749" t="str" cm="1">
        <f t="array" aca="1" ref="AT9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95" s="779" t="str" cm="1">
        <f t="array" aca="1" ref="AU95" ca="1">_xlfn.IFS(TabTRADER[[#This Row],[Traps]]=ReSaleGain,"",         TabTRADER[[#This Row],[Traps]]=MDown, (TabTRADER[[#This Row],[M]]-TabTRADER[[#This Row],[A]])/TabTRADER[[#This Row],[A]]*ComFactor,             TRUE, IFERROR((TabTRADER[[#This Row],[M]]-TabTRADER[[#This Row],[A]])/TabTRADER[[#This Row],[A]]*ComFactor,""))</f>
        <v/>
      </c>
      <c r="AV95" s="777" cm="1">
        <f t="array" aca="1" ref="AV95" ca="1">_xlfn.IFS(               TabTRADER[[#This Row],[Traps]]=NoStock,(TabTRADER[[#This Row],[L_Sp]]-TabTRADER[[#This Row],[M]])/TabTRADER[[#This Row],[M]]-Commission,             TabTRADER[[#This Row],[A]]&lt;&gt;0,(TabTRADER[[#This Row],[A]]-TabTRADER[[#This Row],[M]])/TabTRADER[[#This Row],[M]]-Commission)</f>
        <v>-0.49749216799091939</v>
      </c>
      <c r="AW95" s="326">
        <f ca="1">_xlfn.XLOOKUP(TabTRADER[[#This Row],[ClickTick]],TabCalc[Ticker],TabCalc[L_Sn])</f>
        <v>0</v>
      </c>
      <c r="AX95" s="740">
        <f ca="1">_xlfn.XLOOKUP(TabTRADER[[#This Row],[ClickTick]],TabCalc[Ticker],TabCalc[L_Sp])</f>
        <v>0</v>
      </c>
      <c r="AY95" s="778">
        <f ca="1">-IFERROR((TabTRADER[[#This Row],[M]]-TabTRADER[[#This Row],[L_Sp]])/TabTRADER[[#This Row],[L_Sp]],0)</f>
        <v>0</v>
      </c>
      <c r="AZ95" s="741">
        <f ca="1">TabTRADER[[#This Row],[L_Sn]]*(TabTRADER[[#This Row],[M]]-TabTRADER[[#This Row],[L_Sp]])*(1-Commission)*TabTRADER[[#This Row],[Scale]]</f>
        <v>0</v>
      </c>
      <c r="BA95" s="701">
        <f ca="1">TabTRADER[[#This Row],[L_Sn]]*(TabTRADER[[#This Row],[Agiotage]]-TabTRADER[[#This Row],[M]])/(TabTRADER[[#This Row],[L_Bn]]*TabTRADER[[#This Row],[M]])</f>
        <v>0</v>
      </c>
      <c r="BB95" s="641">
        <f ca="1">IFERROR((TabTRADER[[#This Row],[M]]-TabTRADER[[#This Row],[A]])/TabTRADER[[#This Row],[A]],0)</f>
        <v>0.97977528089887633</v>
      </c>
      <c r="BC95" s="644" t="str">
        <f ca="1">TEXT(_xlfn.XLOOKUP(TabTRADER[[#This Row],[ClickTick]],TabCalc[Ticker],TabCalc[NAfter]),"#,#0")&amp;" : "&amp;TEXT(_xlfn.XLOOKUP(TabTRADER[[#This Row],[ClickTick]],TabCalc[Ticker],TabCalc[NAfter])*(TabTRADER[[#This Row],[M]]-TabTRADER[[#This Row],[A]])*(1-Commission)*TabTRADER[[#This Row],[Scale]],"#,#0$")</f>
        <v>77,100 : 402,338$</v>
      </c>
      <c r="BD95" s="693">
        <f ca="1">_xlfn.XLOOKUP(TabTRADER[[#This Row],[ClickTick]],TabCalc[[#This Row],[Ticker]],TabCalc[[#This Row],[GL]])*(1-Commission)</f>
        <v>402338.39327999996</v>
      </c>
      <c r="BE95" s="693"/>
      <c r="BF95" s="675" t="str">
        <f ca="1">TabTRADER[[#This Row],[ClickTick]]&amp;": "&amp;_xlfn.XLOOKUP(TabTRADER[[#This Row],[ClickTick]],TabCalc[Ticker],TabCalc[Pile?])</f>
        <v xml:space="preserve">LOCK: </v>
      </c>
      <c r="BG95" s="354" t="s">
        <v>2078</v>
      </c>
      <c r="BH95" s="769" t="str" cm="1">
        <f t="array" aca="1" ref="BH95" ca="1">_xlfn.TEXTJOIN("",,INDEX({"M","A","Y"}, _xlfn.SORTBY({1,2,3}, -CHOOSE({1,2,3}, TabTRADER[[#This Row],[M]], TabTRADER[[#This Row],[A]], TabTRADER[[#This Row],[Agiotage]]))))</f>
        <v>MAY</v>
      </c>
      <c r="BI95" s="976" t="str" cm="1">
        <f t="array" aca="1" ref="BI9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5" s="688">
        <f ca="1">TabTRADER[[#This Row],[L_Sn]]*TabTRADER[[#This Row],[L_Sp]]+TabTRADER[[#This Row],[SellMore]]*TabTRADER[[#This Row],[M]]</f>
        <v>815101.2</v>
      </c>
      <c r="BK95" s="688">
        <f ca="1">INDEX(
  INDEX(TabConsolid[], , _xlfn.XMATCH(TabTRADER[[#This Row],[ClickTick]]&amp;1, TabConsolid[#Headers])),
  MATCH(
    -TabTRADER[[#This Row],[M]],
    INDEX(TabConsolid[], , _xlfn.XMATCH(TabTRADER[[#This Row],[ClickTick]]&amp;2, TabConsolid[#Headers])),
    -1
  )
)</f>
        <v>77100</v>
      </c>
      <c r="BL95" s="688" cm="1">
        <f t="array" aca="1" ref="BL9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5" s="1260">
        <f ca="1">TabTRADER[[#This Row],[ReBuy]]/(TabTRADER[[#This Row],[L_Sn]]+TabTRADER[[#This Row],[SellMore]])</f>
        <v>10.571999999999999</v>
      </c>
      <c r="BN95" s="696" t="e">
        <f ca="1">((_xlfn.XLOOKUP(TabTRADER[[#This Row],[ClickTick]],TabCalc[Ticker],TabCalc[NAfter])+TabTRADER[[#This Row],[L_Sn]])*(TabTRADER[[#This Row],[Agiotage]]-TabTRADER[[#This Row],[M]]))/(TabTRADER[[#This Row],[L_Sn]]*_xlfn.XLOOKUP(TabTRADER[[#This Row],[ClickTick]],TabCalc[Ticker],TabCalc[NAfter]))</f>
        <v>#DIV/0!</v>
      </c>
      <c r="BO95" s="696">
        <f ca="1">(TabTRADER[[#This Row],[M]]-TabTRADER[[#This Row],[Agiotage]])/(TabTRADER[[#This Row],[M]]-TabTRADER[[#This Row],[A]])-1</f>
        <v>0.82951070336391441</v>
      </c>
      <c r="BP95" s="1388">
        <f ca="1">_xlfn.XMATCH(TabTRADER[[#This Row],[ClickTick]]&amp;1, TabConsolid[#Headers])</f>
        <v>278</v>
      </c>
      <c r="BQ95" t="b">
        <f ca="1">IF(ABS(TabTRADER[[#This Row],[L_Bp]])&gt;=TabTRADER[[#This Row],[M]],"OK")</f>
        <v>0</v>
      </c>
    </row>
    <row r="96" spans="1:69" ht="23" hidden="1" thickBot="1">
      <c r="A96" s="225" t="e">
        <f ca="1">IF(_xlfn.XLOOKUP(TabTRADER[[#This Row],[ClickTick]],TabCalc[Ticker],TabCalc[Cur])="GBp",0.01,1)</f>
        <v>#VALUE!</v>
      </c>
      <c r="B9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96" s="314" t="e">
        <f ca="1">_xlfn.XLOOKUP(TabTRADER[[#This Row],[ClickTick]],TabCalc[Ticker],ListResale)&amp;" @ "&amp;TEXT((_xlfn.XLOOKUP(TabTRADER[[#This Row],[ClickTick]],TabCalc[Ticker],TabCalc[L_Bp])+_xlfn.XLOOKUP(TabTRADER[[#This Row],[ClickTick]],TabCalc[Ticker],TabCalc[M]))/_xlfn.XLOOKUP(TabTRADER[[#This Row],[ClickTick]],TabCalc[Ticker],TabCalc[M]),"#0.0%")</f>
        <v>#VALUE!</v>
      </c>
      <c r="D96" s="697" t="e" cm="1">
        <f t="array" aca="1" ref="D9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#VALUE!</v>
      </c>
      <c r="E96" s="766" t="e">
        <f ca="1">IF(      AND(TabTRADER[[#This Row],[A]]&lt;TabTRADER[[#This Row],[M]],    _xlfn.XLOOKUP(TabTRADER[[#This Row],[ClickTick]],TabCalc[Ticker],TabCalc[L_Sp])&gt;TabTRADER[[#This Row],[M]]),"BUY  "&amp;TEXT(DesiredBuyGain/TabTRADER[[#This Row],[Scale]]/(_xlfn.XLOOKUP(TabTRADER[[#This Row],[ClickTick]],TabCalc[Ticker],TabCalc[L_Sp])-TabTRADER[[#This Row],[M]]),"#,##0"),"")</f>
        <v>#VALUE!</v>
      </c>
      <c r="F96" s="1218"/>
      <c r="G96" s="227"/>
      <c r="H96" s="496"/>
      <c r="I96" s="1219"/>
      <c r="J96" s="297" t="e">
        <f ca="1">_xlfn.XLOOKUP(TabTRADER[[#This Row],[ClickTick]],TabCalc[Ticker],ListGravity)</f>
        <v>#VALUE!</v>
      </c>
      <c r="K96" s="324" t="e" cm="1">
        <f t="array" aca="1" ref="K96" ca="1">IF(_xlfn.XLOOKUP(TabTRADER[[#This Row],[ClickTick]],TabTRADER[ClickTick],ListExtra_n)&gt;0,_xlfn.XLOOKUP(TabTRADER[[#This Row],[ClickTick]],TabTRADER[ClickTick],ListExtra_n),"")</f>
        <v>#VALUE!</v>
      </c>
      <c r="L96" s="322" t="e">
        <f ca="1">IF(_xlfn.XLOOKUP(TabTRADER[[#This Row],[ClickTick]],TabCalc[Ticker],ListExtra_n)&gt;0,_xlfn.XLOOKUP(TabTRADER[[#This Row],[ClickTick]],TabCalc[Ticker],ListExtra_n)*TabTRADER[[#This Row],[M]]*_xlfn.XLOOKUP(TabTRADER[[#This Row],[ClickTick]],TabCalc[Ticker],ListScale),"")</f>
        <v>#VALUE!</v>
      </c>
      <c r="M96" s="325" t="e">
        <f ca="1">_xlfn.XLOOKUP(TabTRADER[[#This Row],[ClickTick]],TabCalc[Ticker],TabCalc[Agiotage])</f>
        <v>#VALUE!</v>
      </c>
      <c r="N96" s="326" t="e" cm="1">
        <f t="array" aca="1" ref="N96" ca="1">_xlfn.XLOOKUP(TabTRADER[[#This Row],[ClickTick]],ListTickers,Tab2RSIConventional[RSIConv20])</f>
        <v>#VALUE!</v>
      </c>
      <c r="O96" s="1220" t="e">
        <f ca="1">TEXT(_xlfn.XLOOKUP(TabTRADER[[#This Row],[ClickTick]],TabCalc[Ticker],TabCalc[Nbegin]),"#,#0")&amp;": "&amp;_xlfn.XLOOKUP(TabTRADER[[#This Row],[ClickTick]],TabCalc[Ticker],TabCalc[Pile?])</f>
        <v>#VALUE!</v>
      </c>
      <c r="P96" s="326" t="e">
        <f ca="1">_xlfn.XLOOKUP(TabTRADER[[#This Row],[ClickTick]],TabCalc[Ticker],TabCalc[L_Bn])</f>
        <v>#VALUE!</v>
      </c>
      <c r="Q96" s="1221" t="e">
        <f ca="1">_xlfn.XLOOKUP(TabTRADER[[#This Row],[ClickTick]],TabCalc[Ticker],TabCalc[L_Bp])</f>
        <v>#VALUE!</v>
      </c>
      <c r="R96" s="1222" t="e">
        <f ca="1">(TabTRADER[[#This Row],[M]]+TabTRADER[[#This Row],[L_Bp]])/ABS(TabTRADER[[#This Row],[L_Bp]])</f>
        <v>#VALUE!</v>
      </c>
      <c r="S96" s="692" t="e">
        <f ca="1">_xlfn.XLOOKUP(TabTRADER[[#This Row],[ClickTick]],TabCalc[Ticker],TabCalc[Rev(MinStock)])*(1-Commission)</f>
        <v>#VALUE!</v>
      </c>
      <c r="T96" s="1223" t="e">
        <f ca="1">_xlfn.XLOOKUP(TabTRADER[[#This Row],[ClickTick]],TabCalc[Ticker],TabCalc[Agiotage])</f>
        <v>#VALUE!</v>
      </c>
      <c r="U96" s="1224" t="e" cm="1">
        <f t="array" aca="1" ref="U9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#VALUE!</v>
      </c>
      <c r="V96" s="1225" t="e">
        <f ca="1">_xlfn.XLOOKUP(TabTRADER[[#This Row],[ClickTick]],[1]!RTData[Ticker symbol],[1]!RTData[Currency])</f>
        <v>#VALUE!</v>
      </c>
      <c r="W96" s="761" t="e">
        <f ca="1">_xlfn.XLOOKUP(TabTRADER[[#This Row],[ClickTick]],TabCalc[Ticker],TabCalc[M])</f>
        <v>#VALUE!</v>
      </c>
      <c r="X96" s="1234" t="e">
        <f ca="1">SORTING!B96</f>
        <v>#VALUE!</v>
      </c>
      <c r="Y96" s="819" t="e">
        <f ca="1">_xlfn.XLOOKUP(TabTRADER[[#This Row],[ClickTick]],TabCalc[Ticker],TabCalc[Y])</f>
        <v>#VALUE!</v>
      </c>
      <c r="Z96" s="1226" t="e">
        <f ca="1">_xlfn.XLOOKUP(TabTRADER[[#This Row],[ClickTick]],[1]!RTData[Ticker symbol],[1]!RTData[YTChange])</f>
        <v>#VALUE!</v>
      </c>
      <c r="AA96" s="851" t="e">
        <f ca="1">-_xlfn.XLOOKUP(TabTRADER[[#This Row],[ClickTick]]&amp;2,Consolid!B$3:JZ$3,Consolid!B$4:JZ$4)</f>
        <v>#VALUE!</v>
      </c>
      <c r="AB96" s="835" t="e" cm="1">
        <f t="array" aca="1" ref="AB96" ca="1">_xlfn.XLOOKUP(TabTRADER[[#This Row],[ClickTick]],ListTickers,Tab1ChangePercent[Change%19])</f>
        <v>#VALUE!</v>
      </c>
      <c r="AC96" s="782" t="e">
        <f ca="1">_xlfn.XLOOKUP(TabTRADER[[#This Row],[ClickTick]],TabCalc[Ticker],TabCalc[NAfter])</f>
        <v>#VALUE!</v>
      </c>
      <c r="AD96" s="1227" t="e">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#VALUE!</v>
      </c>
      <c r="AE96" s="1295" t="e" cm="1">
        <f t="array" aca="1" ref="AE9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#VALUE!</v>
      </c>
      <c r="AF96" s="1281" t="e" cm="1">
        <f t="array" aca="1" ref="AF96" ca="1">_xlfn.IFS(       TabTRADER[[#This Row],[Traps]]=RePurchaseGain,TEXT(TabTRADER[[#This Row],[L_Sn]],"#,#0")&amp;" x "&amp;TEXT(TabTRADER[[#This Row],[L_Sp]],"#,#0.#0"),     TabTRADER[[#This Row],[Traps]]=ReSaleGain,TEXT(TabTRADER[[#This Row],[L_Bn]],"#0,#0")&amp;" x "&amp;TEXT(TabTRADER[[#This Row],[L_Bp]],"#,#0.#0"),               TRUE,"")</f>
        <v>#VALUE!</v>
      </c>
      <c r="AG96" s="1281" t="e" cm="1">
        <f t="array" aca="1" ref="AG9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#VALUE!</v>
      </c>
      <c r="AH96" s="1281" t="e" cm="1">
        <f t="array" aca="1" ref="AH9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#VALUE!</v>
      </c>
      <c r="AI96" s="774" t="e" cm="1">
        <f t="array" aca="1" ref="AI9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#VALUE!</v>
      </c>
      <c r="AJ96" s="1290" t="e" cm="1">
        <f t="array" aca="1" ref="AJ9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#VALUE!</v>
      </c>
      <c r="AK96" s="1290" t="e" cm="1">
        <f t="array" aca="1" ref="AK9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#VALUE!</v>
      </c>
      <c r="AL96" s="774" t="e" cm="1">
        <f t="array" aca="1" ref="AL96" ca="1">_xlfn.IFS(   TabTRADER[[#This Row],[Traps]]=SellMorePercentGain,                     MIN(TabTRADER[[#This Row],[L_Sn]],TabTRADER[[#This Row],[N]])*(TabTRADER[[#This Row],[M]]-TabTRADER[[#This Row],[L_Sp]])*(1-Commission)*TabTRADER[[#This Row],[Scale]],                    TRUE,"")</f>
        <v>#VALUE!</v>
      </c>
      <c r="AM96" s="1279" t="e">
        <f ca="1">_xlfn.XLOOKUP(TabTRADER[[#This Row],[ClickTick]],TabCalc[Ticker],TabCalc[Ann%RevLB])</f>
        <v>#VALUE!</v>
      </c>
      <c r="AN96" s="1038" t="e">
        <f ca="1">_xlfn.XLOOKUP(TabTRADER[[#This Row],[ClickTick]],TabCalc[Ticker],TabCalc[Up20])</f>
        <v>#VALUE!</v>
      </c>
      <c r="AO96" s="1292" t="e" cm="1">
        <f t="array" aca="1" ref="AO9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#VALUE!</v>
      </c>
      <c r="AP96" s="774" t="e" cm="1">
        <f t="array" aca="1" ref="AP96" ca="1">_xlfn.IFS(         TabTRADER[[#This Row],[Traps]]=MDown,TabTRADER[[#This Row],[L_Bn]]*TabTRADER[[#This Row],[M]]*(-(TabTRADER[[#This Row],[L_Bp]]+TabTRADER[[#This Row],[M]])/TabTRADER[[#This Row],[M]])*(1-Commission)*TabTRADER[[#This Row],[Scale]],                               TRUE,"")</f>
        <v>#VALUE!</v>
      </c>
      <c r="AQ96" s="1290" t="e" cm="1">
        <f t="array" aca="1" ref="AQ96" ca="1">_xlfn.IFS(   TabTRADER[[#This Row],[Traps]]=MUp,TabTRADER[[#This Row],[TakeGain_A]]-Commission,        TabTRADER[[#This Row],[Traps]]=MDown,(TabTRADER[[#This Row],[A]]-TabTRADER[[#This Row],[M]])/TabTRADER[[#This Row],[M]]-Commission,                              TRUE,"")</f>
        <v>#VALUE!</v>
      </c>
      <c r="AR96" s="843" t="e" cm="1">
        <f t="array" aca="1" ref="AR9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#VALUE!</v>
      </c>
      <c r="AS96" s="774" t="e" cm="1">
        <f t="array" aca="1" ref="AS9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T96" s="1228" t="e" cm="1">
        <f t="array" aca="1" ref="AT9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#VALUE!</v>
      </c>
      <c r="AU96" s="1229" t="e" cm="1">
        <f t="array" aca="1" ref="AU96" ca="1">_xlfn.IFS(TabTRADER[[#This Row],[Traps]]=ReSaleGain,"",         TabTRADER[[#This Row],[Traps]]=MDown, (TabTRADER[[#This Row],[M]]-TabTRADER[[#This Row],[A]])/TabTRADER[[#This Row],[A]]*ComFactor,             TRUE, IFERROR((TabTRADER[[#This Row],[M]]-TabTRADER[[#This Row],[A]])/TabTRADER[[#This Row],[A]]*ComFactor,""))</f>
        <v>#VALUE!</v>
      </c>
      <c r="AV96" s="776" t="e" cm="1">
        <f t="array" aca="1" ref="AV96" ca="1">_xlfn.IFS(               TabTRADER[[#This Row],[Traps]]=NoStock,(TabTRADER[[#This Row],[L_Sp]]-TabTRADER[[#This Row],[M]])/TabTRADER[[#This Row],[M]]-Commission,             TabTRADER[[#This Row],[A]]&lt;&gt;0,(TabTRADER[[#This Row],[A]]-TabTRADER[[#This Row],[M]])/TabTRADER[[#This Row],[M]]-Commission)</f>
        <v>#VALUE!</v>
      </c>
      <c r="AW96" s="1230" t="e">
        <f ca="1">_xlfn.XLOOKUP(TabTRADER[[#This Row],[ClickTick]],TabCalc[Ticker],TabCalc[L_Sn])</f>
        <v>#VALUE!</v>
      </c>
      <c r="AX96" s="740" t="e">
        <f ca="1">_xlfn.XLOOKUP(TabTRADER[[#This Row],[ClickTick]],TabCalc[Ticker],TabCalc[L_Sp])</f>
        <v>#VALUE!</v>
      </c>
      <c r="AY96" s="1222">
        <f ca="1">-IFERROR((TabTRADER[[#This Row],[M]]-TabTRADER[[#This Row],[L_Sp]])/TabTRADER[[#This Row],[L_Sp]],0)</f>
        <v>0</v>
      </c>
      <c r="AZ96" s="1231" t="e">
        <f ca="1">TabTRADER[[#This Row],[L_Sn]]*(TabTRADER[[#This Row],[M]]-TabTRADER[[#This Row],[L_Sp]])*(1-Commission)*TabTRADER[[#This Row],[Scale]]</f>
        <v>#VALUE!</v>
      </c>
      <c r="BA96" s="701" t="e">
        <f ca="1">TabTRADER[[#This Row],[L_Sn]]*(TabTRADER[[#This Row],[Agiotage]]-TabTRADER[[#This Row],[M]])/(TabTRADER[[#This Row],[L_Bn]]*TabTRADER[[#This Row],[M]])</f>
        <v>#VALUE!</v>
      </c>
      <c r="BB96" s="1232">
        <f ca="1">IFERROR((TabTRADER[[#This Row],[M]]-TabTRADER[[#This Row],[A]])/TabTRADER[[#This Row],[A]],0)</f>
        <v>0</v>
      </c>
      <c r="BC96" s="644" t="e">
        <f ca="1">TEXT(_xlfn.XLOOKUP(TabTRADER[[#This Row],[ClickTick]],TabCalc[Ticker],TabCalc[NAfter]),"#,#0")&amp;" : "&amp;TEXT(_xlfn.XLOOKUP(TabTRADER[[#This Row],[ClickTick]],TabCalc[Ticker],TabCalc[NAfter])*(TabTRADER[[#This Row],[M]]-TabTRADER[[#This Row],[A]])*(1-Commission)*TabTRADER[[#This Row],[Scale]],"#,#0$")</f>
        <v>#VALUE!</v>
      </c>
      <c r="BD96" s="693"/>
      <c r="BE96" s="693"/>
      <c r="BF96" s="675" t="e">
        <f ca="1">TabTRADER[[#This Row],[ClickTick]]&amp;": "&amp;_xlfn.XLOOKUP(TabTRADER[[#This Row],[ClickTick]],TabCalc[Ticker],TabCalc[Pile?])</f>
        <v>#VALUE!</v>
      </c>
      <c r="BG96" s="353"/>
      <c r="BH96" s="1233" t="str" cm="1">
        <f t="array" aca="1" ref="BH96" ca="1">_xlfn.TEXTJOIN("",,INDEX({"M","A","Y"}, _xlfn.SORTBY({1,2,3}, -CHOOSE({1,2,3}, TabTRADER[[#This Row],[M]], TabTRADER[[#This Row],[A]], TabTRADER[[#This Row],[Agiotage]]))))</f>
        <v>MAY</v>
      </c>
      <c r="BI96" s="976" t="e" cm="1">
        <f t="array" aca="1" ref="BI9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#VALUE!</v>
      </c>
      <c r="BJ96" s="688" t="e">
        <f ca="1">TabTRADER[[#This Row],[L_Sn]]*TabTRADER[[#This Row],[L_Sp]]+TabTRADER[[#This Row],[SellMore]]*TabTRADER[[#This Row],[M]]</f>
        <v>#VALUE!</v>
      </c>
      <c r="BK96" s="688" t="e">
        <f ca="1">INDEX(
  INDEX(TabConsolid[], , _xlfn.XMATCH(TabTRADER[[#This Row],[ClickTick]]&amp;1, TabConsolid[#Headers])),
  MATCH(
    -TabTRADER[[#This Row],[M]],
    INDEX(TabConsolid[], , _xlfn.XMATCH(TabTRADER[[#This Row],[ClickTick]]&amp;2, TabConsolid[#Headers])),
    -1
  )
)</f>
        <v>#VALUE!</v>
      </c>
      <c r="BL96" s="688" t="e" cm="1">
        <f t="array" aca="1" ref="BL9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#VALUE!</v>
      </c>
      <c r="BM96" s="1260" t="e">
        <f ca="1">TabTRADER[[#This Row],[ReBuy]]/(TabTRADER[[#This Row],[L_Sn]]+TabTRADER[[#This Row],[SellMore]])</f>
        <v>#VALUE!</v>
      </c>
      <c r="BN96" s="696" t="e">
        <f ca="1">((_xlfn.XLOOKUP(TabTRADER[[#This Row],[ClickTick]],TabCalc[Ticker],TabCalc[NAfter])+TabTRADER[[#This Row],[L_Sn]])*(TabTRADER[[#This Row],[Agiotage]]-TabTRADER[[#This Row],[M]]))/(TabTRADER[[#This Row],[L_Sn]]*_xlfn.XLOOKUP(TabTRADER[[#This Row],[ClickTick]],TabCalc[Ticker],TabCalc[NAfter]))</f>
        <v>#VALUE!</v>
      </c>
      <c r="BO96" s="696" t="e">
        <f ca="1">(TabTRADER[[#This Row],[M]]-TabTRADER[[#This Row],[Agiotage]])/(TabTRADER[[#This Row],[M]]-TabTRADER[[#This Row],[A]])-1</f>
        <v>#VALUE!</v>
      </c>
      <c r="BP96" s="1388" t="e">
        <f ca="1">_xlfn.XMATCH(TabTRADER[[#This Row],[ClickTick]]&amp;1, TabConsolid[#Headers])</f>
        <v>#VALUE!</v>
      </c>
    </row>
    <row r="97" spans="1:68" ht="28" thickBot="1">
      <c r="A97" s="226" t="s">
        <v>1087</v>
      </c>
      <c r="B97" s="228"/>
      <c r="C97" s="295"/>
      <c r="D97" s="677"/>
      <c r="E97" s="766"/>
      <c r="F97" s="228"/>
      <c r="G97" s="227"/>
      <c r="H97" s="295"/>
      <c r="I97" s="678"/>
      <c r="J97" s="295"/>
      <c r="K97" s="295"/>
      <c r="L97" s="679"/>
      <c r="M97" s="295"/>
      <c r="N97" s="680"/>
      <c r="O97" s="712"/>
      <c r="P97" s="878"/>
      <c r="Q97" s="876"/>
      <c r="R97" s="788"/>
      <c r="S97" s="711">
        <f ca="1">SUBTOTAL(109,TabTRADER[Sale_Back_$])</f>
        <v>53402.469437719978</v>
      </c>
      <c r="T97" s="802"/>
      <c r="U97" s="706">
        <f ca="1">SUBTOTAL(109,TabTRADER[SncOpenYest%])</f>
        <v>0</v>
      </c>
      <c r="V97" s="752"/>
      <c r="W97" s="1164"/>
      <c r="X97" s="1234"/>
      <c r="Y97" s="820"/>
      <c r="Z97" s="887"/>
      <c r="AA97" s="1"/>
      <c r="AB97" s="1"/>
      <c r="AC97" s="781"/>
      <c r="AD97" s="863"/>
      <c r="AE97" s="1278"/>
      <c r="AF97" s="1278"/>
      <c r="AG97" s="750">
        <f ca="1">SUBTOTAL(109,TabTRADER[Sell/Buy_nL])</f>
        <v>15031.316699999994</v>
      </c>
      <c r="AH97" s="775">
        <f ca="1">SUBTOTAL(109,TabTRADER[GL_nM])</f>
        <v>6983.5404630000066</v>
      </c>
      <c r="AI97" s="1015">
        <f ca="1">SUBTOTAL(109,TabTRADER[GL_R/M_NA])</f>
        <v>569235.11556181812</v>
      </c>
      <c r="AJ97" s="775"/>
      <c r="AK97" s="1004"/>
      <c r="AL97" s="1015">
        <f ca="1">SUBTOTAL(109,TabTRADER[vs.LS$])</f>
        <v>758.02400000000227</v>
      </c>
      <c r="AM97" s="1396"/>
      <c r="AN97" s="1396"/>
      <c r="AO97" s="775"/>
      <c r="AP97" s="1015">
        <f ca="1">SUBTOTAL(109,TabTRADER[vs.LB$])</f>
        <v>6225.5164630000036</v>
      </c>
      <c r="AQ97" s="775"/>
      <c r="AR97" s="775"/>
      <c r="AS97" s="775"/>
      <c r="AT97" s="750"/>
      <c r="AU97" s="837">
        <f ca="1">SUBTOTAL(109,TabTRADER[SellMore(/A)])</f>
        <v>0.82641806176150168</v>
      </c>
      <c r="AV97" s="838">
        <f ca="1">SUBTOTAL(109,TabTRADER[BuyMore])</f>
        <v>-0.55135161538050537</v>
      </c>
      <c r="AW97" s="680"/>
      <c r="AX97" s="691"/>
      <c r="AY97" s="725"/>
      <c r="AZ97" s="742">
        <f ca="1">SUBTOTAL(109,TabTRADER[Buy_Back])</f>
        <v>-26186.207879299993</v>
      </c>
      <c r="BA97" s="702">
        <f ca="1">SUBTOTAL(104,TabTRADER[Rev_B@Y])</f>
        <v>-7.4457652434518962E-2</v>
      </c>
      <c r="BB97" s="295"/>
      <c r="BC97" s="683"/>
      <c r="BD97" s="694">
        <f ca="1">SUBTOTAL(109,TabTRADER[GL_Total])</f>
        <v>1594264.0911439399</v>
      </c>
      <c r="BE97" s="694"/>
      <c r="BF97" s="681"/>
      <c r="BG97" s="682">
        <f>SUBTOTAL(103,TabTRADER[Status])</f>
        <v>13</v>
      </c>
      <c r="BH97" s="771"/>
      <c r="BI97" s="977"/>
      <c r="BM97" s="197"/>
      <c r="BP97" s="82"/>
    </row>
    <row r="98" spans="1:68" ht="24" thickTop="1" thickBot="1">
      <c r="A98" s="330"/>
      <c r="B98" s="330"/>
      <c r="C98" s="329"/>
      <c r="D98" s="295"/>
      <c r="E98" s="295">
        <v>67</v>
      </c>
      <c r="F98" s="227"/>
      <c r="G98" s="329"/>
      <c r="H98" s="329"/>
      <c r="I98" s="329"/>
      <c r="J98" s="533">
        <v>93</v>
      </c>
      <c r="K98" s="533"/>
      <c r="L98" s="295"/>
      <c r="M98" s="295"/>
      <c r="N98" s="499"/>
      <c r="O98" s="329"/>
      <c r="P98" s="315"/>
      <c r="R98" s="331"/>
      <c r="S98" s="332"/>
      <c r="T98" s="329"/>
      <c r="U98" s="295"/>
      <c r="V98" s="755" t="e">
        <f ca="1">SUM(TabTRADER[SncOpenYest%])</f>
        <v>#VALUE!</v>
      </c>
      <c r="W98" s="670"/>
      <c r="X98" s="784">
        <f ca="1">COUNTA(TabTRADER[ClickTick])</f>
        <v>94</v>
      </c>
      <c r="Y98" s="331"/>
      <c r="Z98" s="331"/>
      <c r="AA98" s="331"/>
      <c r="AB98" s="331"/>
      <c r="AC98" s="331"/>
      <c r="AD98" s="331"/>
      <c r="AI98" s="783"/>
      <c r="AK98" s="814"/>
      <c r="AL98" s="814"/>
      <c r="AM98" s="814"/>
      <c r="AN98" s="814"/>
      <c r="AO98" s="814"/>
      <c r="AP98" s="814"/>
      <c r="AQ98" s="814"/>
      <c r="AR98" s="814"/>
      <c r="AS98" s="329"/>
      <c r="AT98" s="331"/>
      <c r="AU98" s="332"/>
      <c r="AV98" s="823" t="e">
        <f ca="1">SUM(TabTRADER[SellMore(/A)])</f>
        <v>#VALUE!</v>
      </c>
      <c r="AW98" s="824" t="e">
        <f ca="1">SUM(TabTRADER[BuyMore])</f>
        <v>#VALUE!</v>
      </c>
      <c r="AX98" s="676"/>
      <c r="AY98" s="313"/>
    </row>
    <row r="99" spans="1:68" ht="23" thickBot="1">
      <c r="A99" s="329"/>
      <c r="B99" s="330"/>
      <c r="C99" s="329"/>
      <c r="D99" s="329"/>
      <c r="E99" s="329"/>
      <c r="F99" s="305"/>
      <c r="G99" s="329"/>
      <c r="H99" s="571" t="s">
        <v>1790</v>
      </c>
      <c r="I99" s="314"/>
      <c r="J99" s="533"/>
      <c r="K99" s="305"/>
      <c r="L99" s="305"/>
      <c r="M99" s="295"/>
      <c r="N99" s="1"/>
      <c r="O99" s="305"/>
      <c r="P99" s="329"/>
      <c r="Q99" s="689"/>
      <c r="R99" s="689"/>
      <c r="S99" s="315"/>
      <c r="T99" s="331"/>
      <c r="U99" s="753"/>
      <c r="V99" s="756"/>
      <c r="Y99" s="671"/>
      <c r="Z99" s="671"/>
      <c r="AA99" s="671"/>
      <c r="AB99" s="671"/>
      <c r="AI99" s="1031" t="s">
        <v>2449</v>
      </c>
      <c r="AL99" s="93" t="e">
        <f ca="1">SUM(AL3:AL96)</f>
        <v>#VALUE!</v>
      </c>
      <c r="AM99" s="93"/>
      <c r="AN99" s="93"/>
      <c r="AO99" s="93"/>
      <c r="AP99" s="93"/>
      <c r="AR99" s="93" t="e">
        <f ca="1">SUM(AR3:AR96)</f>
        <v>#VALUE!</v>
      </c>
    </row>
    <row r="100" spans="1:68" ht="24" thickTop="1" thickBot="1">
      <c r="A100" s="483"/>
      <c r="B100" s="483"/>
      <c r="C100" s="626" t="s">
        <v>1862</v>
      </c>
      <c r="D100" s="627" t="s">
        <v>1878</v>
      </c>
      <c r="E100" s="626" t="s">
        <v>144</v>
      </c>
      <c r="F100" s="626" t="s">
        <v>1787</v>
      </c>
      <c r="H100" s="626" t="s">
        <v>1553</v>
      </c>
      <c r="I100" s="626" t="s">
        <v>1580</v>
      </c>
      <c r="J100" s="626" t="s">
        <v>677</v>
      </c>
      <c r="K100" s="628"/>
      <c r="L100" s="628"/>
      <c r="M100" s="626" t="s">
        <v>1865</v>
      </c>
      <c r="AH100" s="1031" t="e">
        <f ca="1">SUM(TabTRADER[GL_nM])</f>
        <v>#VALUE!</v>
      </c>
      <c r="AI100" s="1031" t="e">
        <f ca="1">SUM(TabTRADER[GL_R/M_NA])</f>
        <v>#VALUE!</v>
      </c>
    </row>
    <row r="101" spans="1:68" ht="23" thickBot="1">
      <c r="A101" s="305" t="s">
        <v>1132</v>
      </c>
      <c r="B101" s="330">
        <v>238.96</v>
      </c>
      <c r="C101" s="305" t="e">
        <v>#REF!</v>
      </c>
      <c r="D101" s="305" t="s">
        <v>1925</v>
      </c>
      <c r="E101" s="329" t="s">
        <v>1926</v>
      </c>
      <c r="F101" s="314" t="s">
        <v>1927</v>
      </c>
      <c r="H101" s="305" t="s">
        <v>1928</v>
      </c>
      <c r="I101" s="637">
        <v>199.67713608247422</v>
      </c>
      <c r="J101" s="638">
        <v>209.1874</v>
      </c>
      <c r="K101" s="607" t="s">
        <v>3</v>
      </c>
      <c r="L101" s="607"/>
      <c r="M101" s="600">
        <v>2029117.78</v>
      </c>
      <c r="W101" s="1282" t="s">
        <v>2618</v>
      </c>
      <c r="AD101" s="1381" t="s">
        <v>2619</v>
      </c>
      <c r="AE101" s="1369"/>
    </row>
    <row r="102" spans="1:68" ht="23" thickBot="1">
      <c r="A102" s="329" t="s">
        <v>1132</v>
      </c>
      <c r="B102" s="330">
        <v>84.19</v>
      </c>
      <c r="C102" s="330"/>
      <c r="D102" s="330" t="s">
        <v>1936</v>
      </c>
      <c r="E102" s="329" t="s">
        <v>1937</v>
      </c>
      <c r="F102" s="305" t="s">
        <v>1938</v>
      </c>
      <c r="G102" s="314"/>
      <c r="H102" s="314" t="s">
        <v>1939</v>
      </c>
      <c r="I102" s="637">
        <v>64.48833333333333</v>
      </c>
      <c r="J102" s="638">
        <v>78.37</v>
      </c>
      <c r="K102" s="1" t="s">
        <v>8</v>
      </c>
      <c r="L102" s="1"/>
      <c r="M102" s="600">
        <v>47022</v>
      </c>
      <c r="W102" s="1283" t="s">
        <v>1135</v>
      </c>
      <c r="X102" s="1284">
        <f ca="1">COUNTIFS(TabTRADER[Cur], "EUR", TabTRADER[ClickTick], "?*")</f>
        <v>21</v>
      </c>
      <c r="AD102" s="1380" t="s">
        <v>2731</v>
      </c>
      <c r="AR102" s="974"/>
      <c r="AU102" s="974"/>
      <c r="AY102" s="411" cm="1">
        <f t="array" ref="AY102">_xlfn.LAMBDA(_xlpm.x, _xlpm.x+1)(5)</f>
        <v>6</v>
      </c>
    </row>
    <row r="103" spans="1:68" ht="23" thickBot="1">
      <c r="A103" s="329" t="s">
        <v>1132</v>
      </c>
      <c r="B103" s="330">
        <v>69.33</v>
      </c>
      <c r="C103" s="330"/>
      <c r="D103" s="330" t="s">
        <v>1941</v>
      </c>
      <c r="E103" s="329" t="s">
        <v>1942</v>
      </c>
      <c r="F103" s="305" t="s">
        <v>1943</v>
      </c>
      <c r="G103" s="314"/>
      <c r="H103" s="314" t="s">
        <v>1944</v>
      </c>
      <c r="I103" s="637">
        <v>58.935950000000005</v>
      </c>
      <c r="J103" s="638">
        <v>65.793800000000005</v>
      </c>
      <c r="K103" s="1" t="s">
        <v>9</v>
      </c>
      <c r="L103" s="1"/>
      <c r="M103" s="600">
        <v>131587.6</v>
      </c>
      <c r="S103" s="710"/>
      <c r="W103" s="1285" t="s">
        <v>1446</v>
      </c>
      <c r="X103" s="1286">
        <f ca="1">COUNTIFS(TabTRADER[Cur], "GBp", TabTRADER[ClickTick], "?*")</f>
        <v>4</v>
      </c>
      <c r="AC103" s="1370"/>
      <c r="AD103" s="1379" t="str">
        <f>"See "&amp;TabTRADER[[#Headers],[Rev%]]</f>
        <v>See Rev%</v>
      </c>
    </row>
    <row r="104" spans="1:68" ht="23" thickBot="1">
      <c r="A104" s="329" t="s">
        <v>1132</v>
      </c>
      <c r="B104" s="330">
        <v>123.91</v>
      </c>
      <c r="C104" s="330"/>
      <c r="D104" s="330" t="s">
        <v>1948</v>
      </c>
      <c r="E104" s="329" t="s">
        <v>1949</v>
      </c>
      <c r="F104" s="305" t="s">
        <v>1950</v>
      </c>
      <c r="G104" s="314"/>
      <c r="H104" s="314" t="s">
        <v>1951</v>
      </c>
      <c r="I104" s="637">
        <v>109.68285714285715</v>
      </c>
      <c r="J104" s="638">
        <v>117.1</v>
      </c>
      <c r="K104" s="1" t="s">
        <v>12</v>
      </c>
      <c r="L104" s="1"/>
      <c r="M104" s="600">
        <v>163940</v>
      </c>
      <c r="W104" s="1285" t="s">
        <v>1132</v>
      </c>
      <c r="X104" s="1286">
        <f ca="1">COUNTIFS(TabTRADER[Cur], "USD", TabTRADER[ClickTick], "?*")</f>
        <v>67</v>
      </c>
      <c r="AC104" s="542" t="s">
        <v>2724</v>
      </c>
      <c r="AD104" s="1382">
        <f>1-AD111</f>
        <v>0.99739999999999995</v>
      </c>
    </row>
    <row r="105" spans="1:68" ht="23" thickBot="1">
      <c r="A105" s="329" t="s">
        <v>1446</v>
      </c>
      <c r="B105" s="330">
        <v>369.45</v>
      </c>
      <c r="C105" s="330"/>
      <c r="D105" s="330" t="s">
        <v>1961</v>
      </c>
      <c r="E105" s="329" t="s">
        <v>1962</v>
      </c>
      <c r="F105" s="305" t="s">
        <v>1963</v>
      </c>
      <c r="G105" s="314"/>
      <c r="H105" s="314" t="s">
        <v>1964</v>
      </c>
      <c r="I105" s="637">
        <v>199.831180912458</v>
      </c>
      <c r="J105" s="638">
        <v>313.10000000000002</v>
      </c>
      <c r="K105" s="1" t="s">
        <v>22</v>
      </c>
      <c r="L105" s="1"/>
      <c r="M105" s="600">
        <v>1090495.9900000002</v>
      </c>
      <c r="S105" s="710"/>
      <c r="W105" s="1287" t="s">
        <v>1134</v>
      </c>
      <c r="X105" s="1288">
        <f ca="1">COUNTIFS(TabTRADER[Cur], "CHF", TabTRADER[ClickTick], "?*")</f>
        <v>1</v>
      </c>
      <c r="AC105" s="1371"/>
      <c r="AD105" s="1378" t="s">
        <v>2620</v>
      </c>
      <c r="AE105" s="1369"/>
    </row>
    <row r="106" spans="1:68" ht="23" thickBot="1">
      <c r="A106" s="329" t="s">
        <v>1132</v>
      </c>
      <c r="B106" s="330">
        <v>70.69</v>
      </c>
      <c r="C106" s="330"/>
      <c r="D106" s="330" t="s">
        <v>1966</v>
      </c>
      <c r="E106" s="329" t="s">
        <v>1967</v>
      </c>
      <c r="F106" s="305" t="s">
        <v>1968</v>
      </c>
      <c r="G106" s="314"/>
      <c r="H106" s="314" t="s">
        <v>1969</v>
      </c>
      <c r="I106" s="637">
        <v>65.726249999999993</v>
      </c>
      <c r="J106" s="638">
        <v>71.47</v>
      </c>
      <c r="K106" s="1" t="s">
        <v>23</v>
      </c>
      <c r="L106" s="1"/>
      <c r="M106" s="600">
        <v>214410</v>
      </c>
      <c r="AD106" s="1377" t="s">
        <v>2732</v>
      </c>
      <c r="AE106" s="1369"/>
    </row>
    <row r="107" spans="1:68" ht="23" thickBot="1">
      <c r="A107" s="329" t="s">
        <v>1132</v>
      </c>
      <c r="B107" s="330">
        <v>509.92</v>
      </c>
      <c r="C107" s="330"/>
      <c r="D107" s="330" t="s">
        <v>1974</v>
      </c>
      <c r="E107" s="329" t="s">
        <v>1975</v>
      </c>
      <c r="F107" s="305" t="s">
        <v>1976</v>
      </c>
      <c r="G107" s="314"/>
      <c r="H107" s="314" t="s">
        <v>1977</v>
      </c>
      <c r="I107" s="637">
        <v>312.91400952380951</v>
      </c>
      <c r="J107" s="638">
        <v>478.43</v>
      </c>
      <c r="K107" s="1" t="s">
        <v>27</v>
      </c>
      <c r="L107" s="1"/>
      <c r="M107" s="600">
        <v>5023515</v>
      </c>
      <c r="S107" s="81"/>
      <c r="T107" s="82"/>
      <c r="U107" s="754"/>
      <c r="V107" s="757"/>
      <c r="W107" s="83"/>
      <c r="AD107" s="1372" t="s">
        <v>2516</v>
      </c>
    </row>
    <row r="108" spans="1:68" ht="23" thickBot="1">
      <c r="A108" s="329" t="s">
        <v>1132</v>
      </c>
      <c r="B108" s="330">
        <v>81.099999999999994</v>
      </c>
      <c r="C108" s="330"/>
      <c r="D108" s="330" t="s">
        <v>1979</v>
      </c>
      <c r="E108" s="329" t="s">
        <v>1980</v>
      </c>
      <c r="F108" s="305" t="s">
        <v>1981</v>
      </c>
      <c r="G108" s="314"/>
      <c r="H108" s="314" t="s">
        <v>1982</v>
      </c>
      <c r="I108" s="637">
        <v>66.638333333333335</v>
      </c>
      <c r="J108" s="638">
        <v>72.17</v>
      </c>
      <c r="K108" s="1" t="s">
        <v>28</v>
      </c>
      <c r="L108" s="1"/>
      <c r="M108" s="600">
        <v>86604</v>
      </c>
      <c r="AD108" s="1373"/>
      <c r="AE108" s="1369"/>
    </row>
    <row r="109" spans="1:68" ht="23" thickBot="1">
      <c r="A109" s="329" t="s">
        <v>1132</v>
      </c>
      <c r="B109" s="330">
        <v>62.84</v>
      </c>
      <c r="C109" s="330"/>
      <c r="D109" s="330" t="s">
        <v>1984</v>
      </c>
      <c r="E109" s="329" t="s">
        <v>1985</v>
      </c>
      <c r="F109" s="305" t="s">
        <v>1986</v>
      </c>
      <c r="G109" s="314"/>
      <c r="H109" s="314" t="s">
        <v>1987</v>
      </c>
      <c r="I109" s="637">
        <v>46.471382500000004</v>
      </c>
      <c r="J109" s="638">
        <v>58.54</v>
      </c>
      <c r="K109" s="1" t="s">
        <v>29</v>
      </c>
      <c r="L109" s="1"/>
      <c r="M109" s="600">
        <v>1170800</v>
      </c>
      <c r="AD109" s="1376" t="s">
        <v>2151</v>
      </c>
      <c r="AE109" s="1369"/>
    </row>
    <row r="110" spans="1:68" ht="23" thickBot="1">
      <c r="A110" s="329" t="s">
        <v>1132</v>
      </c>
      <c r="B110" s="330">
        <v>1140.95</v>
      </c>
      <c r="C110" s="330"/>
      <c r="D110" s="330" t="s">
        <v>1989</v>
      </c>
      <c r="E110" s="329" t="s">
        <v>1990</v>
      </c>
      <c r="F110" s="305" t="s">
        <v>1991</v>
      </c>
      <c r="G110" s="314"/>
      <c r="H110" s="314" t="s">
        <v>1992</v>
      </c>
      <c r="I110" s="637">
        <v>831.495</v>
      </c>
      <c r="J110" s="638">
        <v>1227.7149999999999</v>
      </c>
      <c r="K110" s="1" t="s">
        <v>30</v>
      </c>
      <c r="L110" s="1"/>
      <c r="M110" s="600">
        <v>245542.99999999997</v>
      </c>
      <c r="AD110" s="1374" t="s">
        <v>2197</v>
      </c>
      <c r="AE110" s="1369"/>
    </row>
    <row r="111" spans="1:68" ht="23" thickBot="1">
      <c r="A111" s="329" t="s">
        <v>1132</v>
      </c>
      <c r="B111" s="330">
        <v>224.36</v>
      </c>
      <c r="C111" s="330"/>
      <c r="D111" s="330" t="s">
        <v>2005</v>
      </c>
      <c r="E111" s="329" t="s">
        <v>2006</v>
      </c>
      <c r="F111" s="305" t="s">
        <v>2007</v>
      </c>
      <c r="G111" s="314"/>
      <c r="H111" s="314" t="s">
        <v>2008</v>
      </c>
      <c r="I111" s="637">
        <v>169.57051559999999</v>
      </c>
      <c r="J111" s="638">
        <v>208.97</v>
      </c>
      <c r="K111" s="1" t="s">
        <v>43</v>
      </c>
      <c r="L111" s="1"/>
      <c r="M111" s="600">
        <v>1044850</v>
      </c>
      <c r="AD111" s="1375">
        <v>2.5999999999999999E-3</v>
      </c>
      <c r="AN111" t="s">
        <v>2621</v>
      </c>
      <c r="AO111" s="82">
        <f>BankCheck!Q7</f>
        <v>-28.58</v>
      </c>
    </row>
    <row r="112" spans="1:68" ht="23" thickBot="1">
      <c r="A112" s="329" t="s">
        <v>1132</v>
      </c>
      <c r="B112" s="330">
        <v>250.52</v>
      </c>
      <c r="C112" s="330"/>
      <c r="D112" s="330" t="s">
        <v>2012</v>
      </c>
      <c r="E112" s="329" t="s">
        <v>2013</v>
      </c>
      <c r="F112" s="305" t="s">
        <v>2014</v>
      </c>
      <c r="G112" s="314"/>
      <c r="H112" s="314" t="s">
        <v>2015</v>
      </c>
      <c r="I112" s="637">
        <v>204.79114283428572</v>
      </c>
      <c r="J112" s="638">
        <v>247.03</v>
      </c>
      <c r="K112" s="1" t="s">
        <v>46</v>
      </c>
      <c r="L112" s="1"/>
      <c r="M112" s="600">
        <v>86460.5</v>
      </c>
      <c r="AD112" s="1"/>
      <c r="AN112" t="s">
        <v>2622</v>
      </c>
      <c r="AO112" s="82">
        <f>BankCheck!Q43</f>
        <v>437571.04</v>
      </c>
    </row>
    <row r="113" spans="1:41" ht="23" thickBot="1">
      <c r="A113" s="329" t="s">
        <v>1135</v>
      </c>
      <c r="B113" s="330">
        <v>14.81</v>
      </c>
      <c r="C113" s="330"/>
      <c r="D113" s="330" t="s">
        <v>2027</v>
      </c>
      <c r="E113" s="329" t="s">
        <v>2028</v>
      </c>
      <c r="F113" s="305" t="s">
        <v>2029</v>
      </c>
      <c r="G113" s="314"/>
      <c r="H113" s="314" t="s">
        <v>2030</v>
      </c>
      <c r="I113" s="637">
        <v>13.909629166666665</v>
      </c>
      <c r="J113" s="638">
        <v>14.305999999999999</v>
      </c>
      <c r="K113" s="1" t="s">
        <v>58</v>
      </c>
      <c r="L113" s="1"/>
      <c r="M113" s="600">
        <v>686688</v>
      </c>
      <c r="AD113" s="1"/>
      <c r="AN113" t="s">
        <v>2623</v>
      </c>
      <c r="AO113" s="82">
        <f>BankCheck!Q60</f>
        <v>248911.91</v>
      </c>
    </row>
    <row r="114" spans="1:41" ht="23" thickBot="1">
      <c r="A114" s="329" t="s">
        <v>1132</v>
      </c>
      <c r="B114" s="330">
        <v>123.91</v>
      </c>
      <c r="C114" s="330"/>
      <c r="D114" s="330" t="s">
        <v>2042</v>
      </c>
      <c r="E114" s="329" t="s">
        <v>2043</v>
      </c>
      <c r="F114" s="305" t="s">
        <v>2044</v>
      </c>
      <c r="G114" s="314"/>
      <c r="H114" s="314" t="s">
        <v>2045</v>
      </c>
      <c r="I114" s="637">
        <v>101.01333333333334</v>
      </c>
      <c r="J114" s="638">
        <v>117.1</v>
      </c>
      <c r="K114" s="1" t="s">
        <v>69</v>
      </c>
      <c r="L114" s="1"/>
      <c r="M114" s="600">
        <v>210780</v>
      </c>
      <c r="AD114" s="1"/>
      <c r="AO114" s="1294">
        <f>SUM(AO111:AO113)</f>
        <v>686454.37</v>
      </c>
    </row>
    <row r="115" spans="1:41" ht="23" thickBot="1">
      <c r="A115" s="329" t="s">
        <v>1132</v>
      </c>
      <c r="B115" s="330">
        <v>10.37</v>
      </c>
      <c r="C115" s="330"/>
      <c r="D115" s="330" t="s">
        <v>2053</v>
      </c>
      <c r="E115" s="329" t="s">
        <v>2054</v>
      </c>
      <c r="F115" s="305" t="s">
        <v>2055</v>
      </c>
      <c r="G115" s="314"/>
      <c r="H115" s="314" t="s">
        <v>2056</v>
      </c>
      <c r="I115" s="637">
        <v>9.2349999999999994</v>
      </c>
      <c r="J115" s="638">
        <v>10.49</v>
      </c>
      <c r="K115" s="1" t="s">
        <v>79</v>
      </c>
      <c r="L115" s="1"/>
      <c r="M115" s="600">
        <v>104900</v>
      </c>
      <c r="AD115" s="1"/>
      <c r="AO115" s="1293">
        <f ca="1">AO114/[1]ExtEntry!$B$99</f>
        <v>742353.59576078726</v>
      </c>
    </row>
    <row r="116" spans="1:41" ht="23" thickBot="1">
      <c r="A116" s="329" t="s">
        <v>1132</v>
      </c>
      <c r="B116" s="330">
        <v>0</v>
      </c>
      <c r="C116" s="330"/>
      <c r="D116" s="330" t="s">
        <v>2075</v>
      </c>
      <c r="E116" s="329" t="s">
        <v>2076</v>
      </c>
      <c r="F116" s="305" t="s">
        <v>2077</v>
      </c>
      <c r="G116" s="314"/>
      <c r="H116" s="314" t="s">
        <v>1930</v>
      </c>
      <c r="I116" s="637">
        <v>5.34</v>
      </c>
      <c r="J116" s="638">
        <v>9.5050000000000008</v>
      </c>
      <c r="K116" s="1" t="s">
        <v>1557</v>
      </c>
      <c r="L116" s="1"/>
      <c r="M116" s="600">
        <v>732835.50000000012</v>
      </c>
      <c r="AD116" s="1"/>
    </row>
    <row r="117" spans="1:41" ht="23" thickBot="1">
      <c r="A117" s="329"/>
      <c r="B117" s="330"/>
      <c r="C117" s="330"/>
      <c r="D117" s="330"/>
      <c r="E117" s="329"/>
      <c r="F117" s="305"/>
      <c r="G117" s="314"/>
      <c r="H117" s="314"/>
      <c r="I117" s="637"/>
      <c r="J117" s="638"/>
      <c r="K117" s="1"/>
      <c r="L117" s="1"/>
      <c r="M117" s="600"/>
      <c r="AD117" s="1"/>
    </row>
    <row r="118" spans="1:41" ht="23" thickBot="1">
      <c r="A118" s="329"/>
      <c r="B118" s="330"/>
      <c r="C118" s="330"/>
      <c r="D118" s="330"/>
      <c r="E118" s="329"/>
      <c r="F118" s="305"/>
      <c r="G118" s="314"/>
      <c r="H118" s="314"/>
      <c r="I118" s="637"/>
      <c r="J118" s="638"/>
      <c r="K118" s="1"/>
      <c r="L118" s="1"/>
      <c r="M118" s="600"/>
    </row>
    <row r="119" spans="1:41" ht="23" thickBot="1">
      <c r="A119" s="329"/>
      <c r="B119" s="330"/>
      <c r="C119" s="330"/>
      <c r="D119" s="330"/>
      <c r="E119" s="329"/>
      <c r="F119" s="305"/>
      <c r="G119" s="314"/>
      <c r="H119" s="314"/>
      <c r="I119" s="637"/>
      <c r="J119" s="638"/>
      <c r="K119" s="1"/>
      <c r="L119" s="1"/>
      <c r="M119" s="600"/>
    </row>
    <row r="120" spans="1:41" ht="23" thickBot="1">
      <c r="A120" s="329"/>
      <c r="B120" s="330"/>
      <c r="C120" s="330"/>
      <c r="D120" s="330"/>
      <c r="E120" s="329"/>
      <c r="F120" s="305"/>
      <c r="G120" s="314"/>
      <c r="H120" s="314"/>
      <c r="I120" s="637"/>
      <c r="J120" s="638"/>
      <c r="K120" s="1"/>
      <c r="L120" s="1"/>
      <c r="M120" s="600"/>
    </row>
    <row r="121" spans="1:41" ht="23" thickBot="1">
      <c r="A121" s="329"/>
      <c r="B121" s="330"/>
      <c r="C121" s="330"/>
      <c r="D121" s="330"/>
      <c r="E121" s="329"/>
      <c r="F121" s="305"/>
      <c r="G121" s="314"/>
      <c r="H121" s="314"/>
      <c r="I121" s="637"/>
      <c r="J121" s="638"/>
      <c r="K121" s="1"/>
      <c r="L121" s="1"/>
      <c r="M121" s="600"/>
    </row>
    <row r="122" spans="1:41" ht="23" thickBot="1">
      <c r="A122" s="329"/>
      <c r="B122" s="330"/>
      <c r="C122" s="330"/>
      <c r="D122" s="330"/>
      <c r="E122" s="329"/>
      <c r="F122" s="305"/>
      <c r="G122" s="314"/>
      <c r="H122" s="314"/>
      <c r="I122" s="637"/>
      <c r="J122" s="638"/>
      <c r="K122" s="1"/>
      <c r="L122" s="1"/>
      <c r="M122" s="600"/>
    </row>
    <row r="123" spans="1:41" ht="23" thickBot="1">
      <c r="A123" s="329"/>
      <c r="B123" s="330"/>
      <c r="C123" s="330"/>
      <c r="D123" s="330"/>
      <c r="E123" s="329"/>
      <c r="F123" s="305"/>
      <c r="G123" s="314"/>
      <c r="H123" s="314"/>
      <c r="I123" s="637"/>
      <c r="J123" s="638"/>
      <c r="K123" s="1"/>
      <c r="L123" s="1"/>
      <c r="M123" s="600"/>
    </row>
    <row r="124" spans="1:41" ht="23" thickBot="1">
      <c r="A124" s="329"/>
      <c r="B124" s="330"/>
      <c r="C124" s="330"/>
      <c r="D124" s="330"/>
      <c r="E124" s="329"/>
      <c r="F124" s="305"/>
      <c r="G124" s="314"/>
      <c r="H124" s="314"/>
      <c r="I124" s="637"/>
      <c r="J124" s="638"/>
      <c r="K124" s="1"/>
      <c r="L124" s="1"/>
      <c r="M124" s="600"/>
    </row>
    <row r="125" spans="1:41" ht="23" thickBot="1">
      <c r="A125" s="329"/>
      <c r="B125" s="330"/>
      <c r="C125" s="330"/>
      <c r="D125" s="330"/>
      <c r="E125" s="329"/>
      <c r="F125" s="305"/>
      <c r="G125" s="314"/>
      <c r="H125" s="314"/>
      <c r="I125" s="637"/>
      <c r="J125" s="638"/>
      <c r="K125" s="1"/>
      <c r="L125" s="1"/>
      <c r="M125" s="600"/>
    </row>
    <row r="126" spans="1:41" ht="23" thickBot="1">
      <c r="A126" s="329"/>
      <c r="B126" s="330"/>
      <c r="C126" s="330"/>
      <c r="D126" s="330"/>
      <c r="E126" s="329"/>
      <c r="F126" s="305"/>
      <c r="G126" s="314"/>
      <c r="H126" s="314"/>
      <c r="I126" s="637"/>
      <c r="J126" s="638"/>
      <c r="K126" s="1"/>
      <c r="L126" s="1"/>
      <c r="M126" s="600"/>
    </row>
    <row r="127" spans="1:41" ht="23" thickBot="1">
      <c r="A127" s="329"/>
      <c r="B127" s="330"/>
      <c r="C127" s="330"/>
      <c r="D127" s="330"/>
      <c r="E127" s="329"/>
      <c r="F127" s="305"/>
      <c r="G127" s="314"/>
      <c r="H127" s="314"/>
      <c r="I127" s="637"/>
      <c r="J127" s="638"/>
      <c r="K127" s="1"/>
      <c r="L127" s="1"/>
      <c r="M127" s="600"/>
    </row>
    <row r="128" spans="1:41" ht="23" thickBot="1">
      <c r="A128" s="329"/>
      <c r="B128" s="330"/>
      <c r="C128" s="330"/>
      <c r="D128" s="330"/>
      <c r="E128" s="329"/>
      <c r="F128" s="305"/>
      <c r="G128" s="314"/>
      <c r="H128" s="314"/>
      <c r="I128" s="637"/>
      <c r="J128" s="638"/>
      <c r="K128" s="1"/>
      <c r="L128" s="1"/>
      <c r="M128" s="600"/>
    </row>
    <row r="129" spans="1:13" ht="23" thickBot="1">
      <c r="A129" s="329"/>
      <c r="B129" s="330"/>
      <c r="C129" s="330"/>
      <c r="D129" s="330"/>
      <c r="E129" s="329"/>
      <c r="F129" s="305"/>
      <c r="G129" s="314"/>
      <c r="H129" s="314"/>
      <c r="I129" s="637"/>
      <c r="J129" s="638"/>
      <c r="K129" s="1"/>
      <c r="L129" s="1"/>
      <c r="M129" s="600"/>
    </row>
    <row r="130" spans="1:13">
      <c r="A130" s="329"/>
      <c r="B130" s="330"/>
      <c r="C130" s="330"/>
      <c r="D130" s="330"/>
      <c r="E130" s="329"/>
      <c r="F130" s="305"/>
      <c r="G130" s="314"/>
      <c r="H130" s="314"/>
      <c r="I130" s="637"/>
      <c r="J130" s="638"/>
      <c r="K130" s="1"/>
      <c r="L130" s="1"/>
      <c r="M130" s="600"/>
    </row>
    <row r="131" spans="1:13">
      <c r="F131" s="305"/>
      <c r="G131" s="305"/>
      <c r="H131" s="305"/>
      <c r="I131" s="637"/>
      <c r="J131" s="638"/>
      <c r="K131" s="1"/>
      <c r="L131" s="1"/>
    </row>
    <row r="132" spans="1:13">
      <c r="F132" s="305"/>
      <c r="G132" s="305"/>
      <c r="H132" s="305"/>
      <c r="I132" s="305"/>
      <c r="J132" s="607"/>
      <c r="K132" s="1"/>
      <c r="L132" s="1"/>
      <c r="M132" s="229"/>
    </row>
    <row r="133" spans="1:13">
      <c r="E133" s="1"/>
      <c r="F133" s="305"/>
      <c r="G133" s="305"/>
      <c r="H133" s="305"/>
      <c r="I133" s="305"/>
      <c r="J133" s="607"/>
      <c r="K133" s="1"/>
      <c r="L133" s="1"/>
      <c r="M133" s="229"/>
    </row>
    <row r="134" spans="1:13">
      <c r="E134" s="1"/>
      <c r="F134" s="305"/>
      <c r="G134" s="305"/>
      <c r="H134" s="305"/>
      <c r="I134" s="305"/>
      <c r="J134" s="607"/>
      <c r="K134" s="1"/>
      <c r="L134" s="1"/>
      <c r="M134" s="229"/>
    </row>
    <row r="135" spans="1:13">
      <c r="E135" s="1"/>
      <c r="F135" s="305"/>
      <c r="G135" s="305"/>
      <c r="H135" s="305"/>
      <c r="I135" s="305"/>
      <c r="J135" s="607"/>
      <c r="K135" s="1"/>
      <c r="L135" s="1"/>
      <c r="M135" s="229"/>
    </row>
    <row r="136" spans="1:13">
      <c r="E136" s="1"/>
      <c r="F136" s="305"/>
      <c r="G136" s="305"/>
      <c r="H136" s="305"/>
      <c r="I136" s="305"/>
      <c r="J136" s="607"/>
      <c r="K136" s="1"/>
      <c r="L136" s="1"/>
      <c r="M136" s="229"/>
    </row>
    <row r="137" spans="1:13">
      <c r="E137" s="1"/>
      <c r="F137" s="305"/>
      <c r="G137" s="305"/>
      <c r="H137" s="305"/>
      <c r="I137" s="305"/>
      <c r="J137" s="607"/>
      <c r="K137" s="1"/>
      <c r="L137" s="1"/>
      <c r="M137" s="229"/>
    </row>
    <row r="138" spans="1:13">
      <c r="E138" s="1"/>
      <c r="F138" s="305"/>
      <c r="G138" s="305"/>
      <c r="H138" s="305"/>
      <c r="I138" s="305"/>
      <c r="J138" s="607"/>
      <c r="K138" s="1"/>
      <c r="L138" s="1"/>
      <c r="M138" s="229"/>
    </row>
    <row r="139" spans="1:13">
      <c r="E139" s="1"/>
      <c r="F139" s="305"/>
      <c r="G139" s="305"/>
      <c r="H139" s="305"/>
      <c r="I139" s="305"/>
      <c r="J139" s="607"/>
      <c r="K139" s="1"/>
      <c r="L139" s="1"/>
      <c r="M139" s="229"/>
    </row>
    <row r="140" spans="1:13">
      <c r="E140" s="1"/>
      <c r="F140" s="305"/>
      <c r="G140" s="305"/>
      <c r="H140" s="305"/>
      <c r="I140" s="305"/>
      <c r="J140" s="607"/>
      <c r="K140" s="1"/>
      <c r="L140" s="1"/>
      <c r="M140" s="229"/>
    </row>
    <row r="141" spans="1:13">
      <c r="E141" s="1"/>
      <c r="F141" s="305"/>
      <c r="G141" s="305"/>
      <c r="H141" s="305"/>
      <c r="I141" s="305"/>
      <c r="J141" s="607"/>
      <c r="K141" s="1"/>
      <c r="L141" s="1"/>
      <c r="M141" s="229"/>
    </row>
    <row r="142" spans="1:13">
      <c r="F142" s="305"/>
      <c r="G142" s="305"/>
      <c r="H142" s="305"/>
      <c r="I142" s="305"/>
      <c r="J142" s="607"/>
      <c r="K142" s="1"/>
      <c r="L142" s="1"/>
      <c r="M142" s="229"/>
    </row>
    <row r="143" spans="1:13">
      <c r="F143" s="305"/>
      <c r="G143" s="305"/>
      <c r="H143" s="305"/>
      <c r="I143" s="305"/>
      <c r="J143" s="607"/>
      <c r="K143" s="1"/>
      <c r="L143" s="1"/>
      <c r="M143" s="229"/>
    </row>
    <row r="144" spans="1:13">
      <c r="F144" s="305"/>
      <c r="G144" s="305"/>
      <c r="H144" s="305"/>
      <c r="I144" s="305"/>
      <c r="J144" s="607"/>
      <c r="K144" s="1"/>
      <c r="L144" s="1"/>
      <c r="M144" s="229"/>
    </row>
    <row r="145" spans="6:13">
      <c r="F145" s="305"/>
      <c r="G145" s="305"/>
      <c r="H145" s="305"/>
      <c r="I145" s="305"/>
      <c r="J145" s="305"/>
      <c r="K145" s="1"/>
      <c r="L145" s="1"/>
      <c r="M145" s="229"/>
    </row>
    <row r="146" spans="6:13">
      <c r="F146" s="305"/>
      <c r="G146" s="305"/>
      <c r="H146" s="305"/>
      <c r="I146" s="305"/>
      <c r="J146" s="305"/>
      <c r="K146" s="1"/>
      <c r="L146" s="1"/>
      <c r="M146" s="229"/>
    </row>
    <row r="147" spans="6:13">
      <c r="F147" s="305"/>
      <c r="G147" s="305"/>
      <c r="H147" s="305"/>
      <c r="I147" s="305"/>
      <c r="J147" s="305"/>
      <c r="K147" s="1"/>
      <c r="L147" s="1"/>
      <c r="M147" s="229"/>
    </row>
    <row r="148" spans="6:13">
      <c r="F148" s="305"/>
      <c r="G148" s="305"/>
      <c r="H148" s="305"/>
      <c r="I148" s="305"/>
      <c r="J148" s="305"/>
      <c r="K148" s="1"/>
      <c r="L148" s="1"/>
      <c r="M148" s="229"/>
    </row>
    <row r="149" spans="6:13">
      <c r="F149" s="305"/>
      <c r="G149" s="305"/>
      <c r="H149" s="305"/>
      <c r="I149" s="305"/>
      <c r="J149" s="305"/>
      <c r="K149" s="1"/>
      <c r="L149" s="1"/>
      <c r="M149" s="229"/>
    </row>
    <row r="150" spans="6:13">
      <c r="F150" s="305"/>
      <c r="G150" s="305"/>
      <c r="H150" s="305"/>
      <c r="I150" s="305"/>
      <c r="J150" s="305"/>
      <c r="K150" s="1"/>
      <c r="L150" s="1"/>
      <c r="M150" s="229"/>
    </row>
    <row r="151" spans="6:13">
      <c r="F151" s="305"/>
      <c r="G151" s="305"/>
      <c r="H151" s="305"/>
      <c r="I151" s="305"/>
      <c r="J151" s="305"/>
      <c r="K151" s="1"/>
      <c r="L151" s="1"/>
      <c r="M151" s="229"/>
    </row>
    <row r="152" spans="6:13">
      <c r="F152" s="305"/>
      <c r="G152" s="305"/>
      <c r="H152" s="305"/>
      <c r="I152" s="305"/>
      <c r="J152" s="305"/>
      <c r="K152" s="1"/>
      <c r="L152" s="1"/>
      <c r="M152" s="229"/>
    </row>
    <row r="153" spans="6:13">
      <c r="F153" s="305"/>
      <c r="G153" s="305"/>
      <c r="H153" s="305"/>
      <c r="I153" s="305"/>
      <c r="J153" s="305"/>
      <c r="K153" s="1"/>
      <c r="L153" s="1"/>
      <c r="M153" s="229"/>
    </row>
    <row r="154" spans="6:13">
      <c r="F154" s="305"/>
      <c r="G154" s="305"/>
      <c r="H154" s="305"/>
      <c r="I154" s="305"/>
      <c r="J154" s="305"/>
      <c r="K154" s="1"/>
      <c r="L154" s="1"/>
      <c r="M154" s="229"/>
    </row>
    <row r="155" spans="6:13">
      <c r="F155" s="305"/>
      <c r="G155" s="305"/>
      <c r="H155" s="305"/>
      <c r="I155" s="305"/>
      <c r="J155" s="305"/>
      <c r="K155" s="1"/>
      <c r="L155" s="1"/>
      <c r="M155" s="229"/>
    </row>
    <row r="156" spans="6:13">
      <c r="F156" s="305"/>
      <c r="G156" s="305"/>
      <c r="H156" s="305"/>
      <c r="I156" s="305"/>
      <c r="J156" s="305"/>
      <c r="K156" s="1"/>
      <c r="L156" s="1"/>
      <c r="M156" s="229"/>
    </row>
    <row r="157" spans="6:13">
      <c r="F157" s="305"/>
      <c r="G157" s="305"/>
      <c r="H157" s="305"/>
      <c r="I157" s="305"/>
      <c r="J157" s="305"/>
      <c r="K157" s="1"/>
      <c r="L157" s="1"/>
      <c r="M157" s="229"/>
    </row>
    <row r="158" spans="6:13">
      <c r="F158" s="305"/>
      <c r="G158" s="305"/>
      <c r="H158" s="305"/>
      <c r="I158" s="305"/>
      <c r="J158" s="305"/>
      <c r="K158" s="1"/>
      <c r="L158" s="1"/>
      <c r="M158" s="229"/>
    </row>
    <row r="159" spans="6:13">
      <c r="F159" s="305"/>
      <c r="G159" s="305"/>
      <c r="H159" s="305"/>
      <c r="I159" s="305"/>
      <c r="J159" s="305"/>
      <c r="K159" s="1"/>
      <c r="L159" s="1"/>
      <c r="M159" s="229"/>
    </row>
    <row r="160" spans="6:13">
      <c r="F160" s="305"/>
      <c r="G160" s="305"/>
      <c r="H160" s="305"/>
      <c r="I160" s="305"/>
      <c r="J160" s="305"/>
      <c r="K160" s="1"/>
      <c r="L160" s="1"/>
      <c r="M160" s="229"/>
    </row>
    <row r="161" spans="6:13">
      <c r="F161" s="305"/>
      <c r="G161" s="305"/>
      <c r="H161" s="305"/>
      <c r="I161" s="305"/>
      <c r="J161" s="305"/>
      <c r="K161" s="1"/>
      <c r="L161" s="1"/>
      <c r="M161" s="229"/>
    </row>
    <row r="162" spans="6:13">
      <c r="F162" s="305"/>
      <c r="G162" s="305"/>
      <c r="H162" s="305"/>
      <c r="I162" s="305"/>
      <c r="J162" s="305"/>
      <c r="K162" s="1"/>
      <c r="L162" s="1"/>
      <c r="M162" s="229"/>
    </row>
    <row r="163" spans="6:13">
      <c r="F163" s="305"/>
      <c r="G163" s="305"/>
      <c r="H163" s="305"/>
      <c r="I163" s="305"/>
      <c r="J163" s="305"/>
      <c r="K163" s="1"/>
      <c r="L163" s="1"/>
      <c r="M163" s="229"/>
    </row>
    <row r="164" spans="6:13">
      <c r="F164" s="305"/>
      <c r="G164" s="305"/>
      <c r="H164" s="305"/>
      <c r="I164" s="305"/>
      <c r="J164" s="305"/>
      <c r="K164" s="1"/>
      <c r="L164" s="1"/>
      <c r="M164" s="229"/>
    </row>
    <row r="165" spans="6:13">
      <c r="F165" s="305"/>
      <c r="G165" s="305"/>
      <c r="H165" s="305"/>
      <c r="I165" s="305"/>
      <c r="J165" s="305"/>
      <c r="K165" s="1"/>
      <c r="L165" s="1"/>
      <c r="M165" s="229"/>
    </row>
    <row r="166" spans="6:13">
      <c r="F166" s="305"/>
      <c r="G166" s="305"/>
      <c r="H166" s="305"/>
      <c r="I166" s="305"/>
      <c r="J166" s="305"/>
      <c r="K166" s="1"/>
      <c r="L166" s="1"/>
      <c r="M166" s="229"/>
    </row>
    <row r="167" spans="6:13">
      <c r="F167" s="305"/>
      <c r="G167" s="305"/>
      <c r="H167" s="305"/>
      <c r="I167" s="305"/>
      <c r="J167" s="305"/>
      <c r="K167" s="1"/>
      <c r="L167" s="1"/>
      <c r="M167" s="229"/>
    </row>
    <row r="168" spans="6:13">
      <c r="F168" s="305"/>
      <c r="G168" s="305"/>
      <c r="H168" s="305"/>
      <c r="I168" s="305"/>
      <c r="J168" s="305"/>
      <c r="K168" s="1"/>
      <c r="L168" s="1"/>
      <c r="M168" s="229"/>
    </row>
    <row r="169" spans="6:13">
      <c r="F169" s="305"/>
      <c r="G169" s="305"/>
      <c r="H169" s="305"/>
      <c r="I169" s="305"/>
      <c r="J169" s="305"/>
      <c r="K169" s="1"/>
      <c r="L169" s="1"/>
      <c r="M169" s="229"/>
    </row>
    <row r="170" spans="6:13">
      <c r="F170" s="305"/>
      <c r="G170" s="305"/>
      <c r="H170" s="305"/>
      <c r="I170" s="305"/>
      <c r="J170" s="305"/>
      <c r="K170" s="1"/>
      <c r="L170" s="1"/>
      <c r="M170" s="229"/>
    </row>
    <row r="171" spans="6:13">
      <c r="F171" s="305"/>
      <c r="G171" s="305"/>
      <c r="H171" s="305"/>
      <c r="I171" s="305"/>
      <c r="J171" s="305"/>
      <c r="K171" s="1"/>
      <c r="L171" s="1"/>
      <c r="M171" s="229"/>
    </row>
    <row r="172" spans="6:13">
      <c r="F172" s="305"/>
      <c r="G172" s="305"/>
      <c r="H172" s="305"/>
      <c r="I172" s="305"/>
      <c r="J172" s="305"/>
      <c r="K172" s="1"/>
      <c r="L172" s="1"/>
      <c r="M172" s="229"/>
    </row>
    <row r="173" spans="6:13">
      <c r="F173" s="305"/>
      <c r="G173" s="305"/>
      <c r="H173" s="305"/>
      <c r="I173" s="305"/>
      <c r="J173" s="305"/>
      <c r="K173" s="1"/>
      <c r="L173" s="1"/>
      <c r="M173" s="229"/>
    </row>
    <row r="174" spans="6:13">
      <c r="F174" s="305"/>
      <c r="G174" s="305"/>
      <c r="H174" s="305"/>
      <c r="I174" s="305"/>
      <c r="J174" s="305"/>
      <c r="K174" s="1"/>
      <c r="L174" s="1"/>
      <c r="M174" s="229"/>
    </row>
    <row r="175" spans="6:13">
      <c r="F175" s="305"/>
      <c r="G175" s="305"/>
      <c r="H175" s="305"/>
      <c r="I175" s="305"/>
      <c r="J175" s="305"/>
      <c r="K175" s="1"/>
      <c r="L175" s="1"/>
      <c r="M175" s="229"/>
    </row>
    <row r="176" spans="6:13">
      <c r="F176" s="305"/>
      <c r="G176" s="305"/>
      <c r="H176" s="305"/>
      <c r="I176" s="305"/>
      <c r="J176" s="305"/>
      <c r="K176" s="1"/>
      <c r="L176" s="1"/>
      <c r="M176" s="229"/>
    </row>
    <row r="177" spans="6:13">
      <c r="F177" s="305"/>
      <c r="G177" s="305"/>
      <c r="H177" s="305"/>
      <c r="I177" s="305"/>
      <c r="J177" s="305"/>
      <c r="K177" s="1"/>
      <c r="L177" s="1"/>
      <c r="M177" s="229"/>
    </row>
    <row r="178" spans="6:13">
      <c r="F178" s="305"/>
      <c r="G178" s="305"/>
      <c r="H178" s="305"/>
      <c r="I178" s="305"/>
      <c r="J178" s="305"/>
      <c r="K178" s="1"/>
      <c r="L178" s="1"/>
      <c r="M178" s="229"/>
    </row>
    <row r="179" spans="6:13">
      <c r="F179" s="305"/>
      <c r="G179" s="305"/>
      <c r="H179" s="305"/>
      <c r="I179" s="305"/>
      <c r="J179" s="305"/>
      <c r="K179" s="1"/>
      <c r="L179" s="1"/>
      <c r="M179" s="229"/>
    </row>
    <row r="180" spans="6:13">
      <c r="F180" s="305"/>
      <c r="G180" s="305"/>
      <c r="H180" s="305"/>
      <c r="I180" s="305"/>
      <c r="J180" s="305"/>
      <c r="K180" s="1"/>
      <c r="L180" s="1"/>
      <c r="M180" s="229"/>
    </row>
    <row r="181" spans="6:13">
      <c r="F181" s="305"/>
      <c r="G181" s="305"/>
      <c r="H181" s="305"/>
      <c r="I181" s="305"/>
      <c r="J181" s="305"/>
      <c r="K181" s="1"/>
      <c r="L181" s="1"/>
      <c r="M181" s="229"/>
    </row>
    <row r="182" spans="6:13">
      <c r="F182" s="305"/>
      <c r="G182" s="305"/>
      <c r="H182" s="305"/>
      <c r="I182" s="305"/>
      <c r="J182" s="305"/>
      <c r="K182" s="1"/>
      <c r="L182" s="1"/>
      <c r="M182" s="229"/>
    </row>
    <row r="183" spans="6:13">
      <c r="F183" s="305"/>
      <c r="G183" s="305"/>
      <c r="H183" s="305"/>
      <c r="I183" s="305"/>
      <c r="J183" s="305"/>
      <c r="K183" s="1"/>
      <c r="L183" s="1"/>
      <c r="M183" s="229"/>
    </row>
    <row r="184" spans="6:13">
      <c r="F184" s="305"/>
      <c r="G184" s="305"/>
      <c r="H184" s="305"/>
      <c r="I184" s="305"/>
      <c r="J184" s="305"/>
      <c r="K184" s="1"/>
      <c r="L184" s="1"/>
      <c r="M184" s="229"/>
    </row>
    <row r="185" spans="6:13">
      <c r="F185" s="305"/>
      <c r="G185" s="305"/>
      <c r="H185" s="305"/>
      <c r="I185" s="305"/>
      <c r="J185" s="305"/>
      <c r="K185" s="1"/>
      <c r="L185" s="1"/>
      <c r="M185" s="229"/>
    </row>
    <row r="186" spans="6:13">
      <c r="F186" s="305"/>
      <c r="G186" s="305"/>
      <c r="H186" s="305"/>
      <c r="I186" s="305"/>
      <c r="J186" s="305"/>
      <c r="K186" s="1"/>
      <c r="L186" s="1"/>
      <c r="M186" s="229"/>
    </row>
    <row r="187" spans="6:13">
      <c r="F187" s="305"/>
      <c r="G187" s="305"/>
      <c r="H187" s="305"/>
      <c r="I187" s="305"/>
      <c r="J187" s="305"/>
      <c r="K187" s="1"/>
      <c r="L187" s="1"/>
      <c r="M187" s="229"/>
    </row>
    <row r="188" spans="6:13">
      <c r="F188" s="305"/>
      <c r="G188" s="305"/>
      <c r="H188" s="305"/>
      <c r="I188" s="305"/>
      <c r="J188" s="305"/>
      <c r="K188" s="1"/>
      <c r="L188" s="1"/>
      <c r="M188" s="229"/>
    </row>
    <row r="189" spans="6:13">
      <c r="F189" s="305"/>
      <c r="G189" s="305"/>
      <c r="H189" s="305"/>
      <c r="I189" s="305"/>
      <c r="J189" s="305"/>
      <c r="K189" s="1"/>
      <c r="L189" s="1"/>
      <c r="M189" s="229"/>
    </row>
    <row r="190" spans="6:13">
      <c r="F190" s="305"/>
      <c r="G190" s="305"/>
      <c r="H190" s="305"/>
      <c r="I190" s="305"/>
      <c r="J190" s="305"/>
      <c r="K190" s="1"/>
      <c r="L190" s="1"/>
      <c r="M190" s="229"/>
    </row>
    <row r="191" spans="6:13">
      <c r="F191" s="305"/>
      <c r="G191" s="305"/>
      <c r="H191" s="305"/>
      <c r="I191" s="305"/>
      <c r="J191" s="305"/>
      <c r="K191" s="1"/>
      <c r="L191" s="1"/>
      <c r="M191" s="229"/>
    </row>
    <row r="192" spans="6:13">
      <c r="F192" s="305"/>
      <c r="G192" s="305"/>
      <c r="H192" s="305"/>
      <c r="I192" s="305"/>
      <c r="J192" s="305"/>
      <c r="K192" s="1"/>
      <c r="L192" s="1"/>
      <c r="M192" s="229"/>
    </row>
    <row r="193" spans="6:13">
      <c r="F193" s="305"/>
      <c r="G193" s="305"/>
      <c r="H193" s="305"/>
      <c r="I193" s="305"/>
      <c r="J193" s="305"/>
      <c r="K193" s="1"/>
      <c r="L193" s="1"/>
      <c r="M193" s="229"/>
    </row>
  </sheetData>
  <mergeCells count="7">
    <mergeCell ref="AW1:AZ1"/>
    <mergeCell ref="P1:S1"/>
    <mergeCell ref="AT1:AV1"/>
    <mergeCell ref="AK1:AL1"/>
    <mergeCell ref="AQ1:AR1"/>
    <mergeCell ref="AO1:AP1"/>
    <mergeCell ref="AD1:AG1"/>
  </mergeCells>
  <phoneticPr fontId="47" type="noConversion"/>
  <conditionalFormatting sqref="G3:I96">
    <cfRule type="containsText" dxfId="2320" priority="145" operator="containsText" text="x0">
      <formula>NOT(ISERROR(SEARCH("x0",G3)))</formula>
    </cfRule>
    <cfRule type="containsText" dxfId="2319" priority="168" operator="containsText" text=" -">
      <formula>NOT(ISERROR(SEARCH(" -",G3)))</formula>
    </cfRule>
  </conditionalFormatting>
  <conditionalFormatting sqref="I3:I96">
    <cfRule type="containsText" dxfId="2318" priority="167" operator="containsText" text=" -">
      <formula>NOT(ISERROR(SEARCH(" -",I3)))</formula>
    </cfRule>
  </conditionalFormatting>
  <conditionalFormatting sqref="M7:M89">
    <cfRule type="colorScale" priority="164">
      <colorScale>
        <cfvo type="min"/>
        <cfvo type="percentile" val="50"/>
        <cfvo type="max"/>
        <color rgb="FFF8696B"/>
        <color rgb="FFFFEB84"/>
        <color rgb="FF63BE7B"/>
      </colorScale>
    </cfRule>
  </conditionalFormatting>
  <conditionalFormatting sqref="B3:B96">
    <cfRule type="containsText" dxfId="2317" priority="162" operator="containsText" text=" 0">
      <formula>NOT(ISERROR(SEARCH(" 0",B3)))</formula>
    </cfRule>
  </conditionalFormatting>
  <conditionalFormatting sqref="B3:B96">
    <cfRule type="containsText" dxfId="2316" priority="163" operator="containsText" text=" -">
      <formula>NOT(ISERROR(SEARCH(" -",B3)))</formula>
    </cfRule>
  </conditionalFormatting>
  <conditionalFormatting sqref="H3:I96">
    <cfRule type="containsText" dxfId="2315" priority="158" operator="containsText" text="Free">
      <formula>NOT(ISERROR(SEARCH("Free",H3)))</formula>
    </cfRule>
    <cfRule type="containsText" dxfId="2314" priority="159" operator="containsText" text="Buy">
      <formula>NOT(ISERROR(SEARCH("Buy",H3)))</formula>
    </cfRule>
    <cfRule type="containsText" dxfId="2313" priority="160" operator="containsText" text="Refill">
      <formula>NOT(ISERROR(SEARCH("Refill",H3)))</formula>
    </cfRule>
    <cfRule type="containsText" dxfId="2312" priority="161" operator="containsText" text="S_more">
      <formula>NOT(ISERROR(SEARCH("S_more",H3)))</formula>
    </cfRule>
  </conditionalFormatting>
  <conditionalFormatting sqref="D98 C2:C96">
    <cfRule type="containsText" dxfId="2311" priority="154" operator="containsText" text="Free">
      <formula>NOT(ISERROR(SEARCH("Free",C2)))</formula>
    </cfRule>
    <cfRule type="containsText" dxfId="2310" priority="155" operator="containsText" text="Sell">
      <formula>NOT(ISERROR(SEARCH("Sell",C2)))</formula>
    </cfRule>
    <cfRule type="containsText" dxfId="2309" priority="156" operator="containsText" text="Re-Sell">
      <formula>NOT(ISERROR(SEARCH("Re-Sell",C2)))</formula>
    </cfRule>
    <cfRule type="containsText" dxfId="2308" priority="157" operator="containsText" text="B_more">
      <formula>NOT(ISERROR(SEARCH("B_more",C2)))</formula>
    </cfRule>
  </conditionalFormatting>
  <conditionalFormatting sqref="N98 E3:E96">
    <cfRule type="containsText" dxfId="2307" priority="142" operator="containsText" text="Free">
      <formula>NOT(ISERROR(SEARCH("Free",E3)))</formula>
    </cfRule>
    <cfRule type="containsText" dxfId="2306" priority="149" operator="containsText" text="M&lt;min">
      <formula>NOT(ISERROR(SEARCH("M&lt;min",E3)))</formula>
    </cfRule>
    <cfRule type="containsText" dxfId="2305" priority="150" operator="containsText" text="A&lt;M">
      <formula>NOT(ISERROR(SEARCH("A&lt;M",E3)))</formula>
    </cfRule>
    <cfRule type="containsText" dxfId="2304" priority="151" operator="containsText" text="M&gt;Last Sale">
      <formula>NOT(ISERROR(SEARCH("M&gt;Last Sale",E3)))</formula>
    </cfRule>
    <cfRule type="containsText" dxfId="2303" priority="152" operator="containsText" text="M&gt;Y">
      <formula>NOT(ISERROR(SEARCH("M&gt;Y",E3)))</formula>
    </cfRule>
  </conditionalFormatting>
  <conditionalFormatting sqref="C3:C96">
    <cfRule type="expression" dxfId="2302" priority="146">
      <formula>#REF!=0</formula>
    </cfRule>
  </conditionalFormatting>
  <conditionalFormatting sqref="N98 E3:E96">
    <cfRule type="containsText" dxfId="2301" priority="148" operator="containsText" text="A&gt;M">
      <formula>NOT(ISERROR(SEARCH("A&gt;M",E3)))</formula>
    </cfRule>
  </conditionalFormatting>
  <conditionalFormatting sqref="BG2:BK96">
    <cfRule type="containsText" dxfId="2300" priority="135" operator="containsText" text="Trade">
      <formula>NOT(ISERROR(SEARCH("Trade",BG2)))</formula>
    </cfRule>
  </conditionalFormatting>
  <conditionalFormatting sqref="D3:E96">
    <cfRule type="expression" dxfId="2299" priority="182">
      <formula>#REF!=0</formula>
    </cfRule>
    <cfRule type="expression" dxfId="2298" priority="183">
      <formula>LEFT(#REF!,5)="Trade"</formula>
    </cfRule>
  </conditionalFormatting>
  <conditionalFormatting sqref="BB30:BB95 M3:N96">
    <cfRule type="colorScale" priority="184">
      <colorScale>
        <cfvo type="min"/>
        <cfvo type="percentile" val="50"/>
        <cfvo type="max"/>
        <color rgb="FFF8696B"/>
        <color rgb="FFFFEB84"/>
        <color rgb="FF63BE7B"/>
      </colorScale>
    </cfRule>
  </conditionalFormatting>
  <conditionalFormatting sqref="BB30:BB95 N3:N96">
    <cfRule type="colorScale" priority="185">
      <colorScale>
        <cfvo type="min"/>
        <cfvo type="percentile" val="50"/>
        <cfvo type="max"/>
        <color rgb="FFF8696B"/>
        <color rgb="FFFFEB84"/>
        <color rgb="FF63BE7B"/>
      </colorScale>
    </cfRule>
  </conditionalFormatting>
  <conditionalFormatting sqref="BB3:BB96">
    <cfRule type="cellIs" dxfId="2297" priority="131" operator="greaterThan">
      <formula>0</formula>
    </cfRule>
    <cfRule type="cellIs" dxfId="2296" priority="132" operator="lessThan">
      <formula>0</formula>
    </cfRule>
  </conditionalFormatting>
  <conditionalFormatting sqref="BF3:BF96">
    <cfRule type="containsText" dxfId="2295" priority="122" operator="containsText" text="Pile">
      <formula>NOT(ISERROR(SEARCH("Pile",BF3)))</formula>
    </cfRule>
  </conditionalFormatting>
  <conditionalFormatting sqref="BM97:BP97">
    <cfRule type="expression" dxfId="2294" priority="119">
      <formula>$BG98&gt;=$BF98</formula>
    </cfRule>
  </conditionalFormatting>
  <conditionalFormatting sqref="BM2:BO3 BN4:BO94 BM4:BM96 BP2:BP94">
    <cfRule type="expression" dxfId="2293" priority="1068">
      <formula>$BM3&gt;=$BL3</formula>
    </cfRule>
  </conditionalFormatting>
  <conditionalFormatting sqref="U97">
    <cfRule type="cellIs" dxfId="2292" priority="117" operator="lessThan">
      <formula>"/ -"</formula>
    </cfRule>
  </conditionalFormatting>
  <conditionalFormatting sqref="S2:S97">
    <cfRule type="cellIs" dxfId="2291" priority="115" operator="lessThan">
      <formula>-1000</formula>
    </cfRule>
    <cfRule type="cellIs" dxfId="2290" priority="116" operator="greaterThan">
      <formula>1000</formula>
    </cfRule>
  </conditionalFormatting>
  <conditionalFormatting sqref="O3:O96">
    <cfRule type="containsText" dxfId="2289" priority="112" operator="containsText" text="Pile">
      <formula>NOT(ISERROR(SEARCH("Pile",O3)))</formula>
    </cfRule>
  </conditionalFormatting>
  <conditionalFormatting sqref="AD2:AD97">
    <cfRule type="containsText" dxfId="2288" priority="104" operator="containsText" text="Trade">
      <formula>NOT(ISERROR(SEARCH("Trade",AD2)))</formula>
    </cfRule>
    <cfRule type="containsText" dxfId="2287" priority="111" operator="containsText" text="Pile^">
      <formula>NOT(ISERROR(SEARCH("Pile^",AD2)))</formula>
    </cfRule>
  </conditionalFormatting>
  <conditionalFormatting sqref="BA3:BA96">
    <cfRule type="cellIs" dxfId="2286" priority="106" operator="lessThan">
      <formula>0</formula>
    </cfRule>
    <cfRule type="expression" dxfId="2285" priority="1351">
      <formula>AND($BA3&gt;50%,$BA3&lt;100%)</formula>
    </cfRule>
    <cfRule type="cellIs" dxfId="2284" priority="1352" operator="greaterThan">
      <formula>1</formula>
    </cfRule>
  </conditionalFormatting>
  <conditionalFormatting sqref="U3:U96">
    <cfRule type="containsText" dxfId="2283" priority="99" operator="containsText" text="/ -">
      <formula>NOT(ISERROR(SEARCH("/ -",U3)))</formula>
    </cfRule>
  </conditionalFormatting>
  <conditionalFormatting sqref="BL2:BL96">
    <cfRule type="containsText" dxfId="2282" priority="85" operator="containsText" text="Trade">
      <formula>NOT(ISERROR(SEARCH("Trade",BL2)))</formula>
    </cfRule>
  </conditionalFormatting>
  <conditionalFormatting sqref="AD101">
    <cfRule type="containsText" dxfId="2281" priority="79" operator="containsText" text="More">
      <formula>NOT(ISERROR(SEARCH("More",AD101)))</formula>
    </cfRule>
    <cfRule type="containsText" dxfId="2280" priority="80" operator="containsText" text="Up">
      <formula>NOT(ISERROR(SEARCH("Up",AD101)))</formula>
    </cfRule>
    <cfRule type="containsText" dxfId="2279" priority="81" operator="containsText" text="Down">
      <formula>NOT(ISERROR(SEARCH("Down",AD101)))</formula>
    </cfRule>
  </conditionalFormatting>
  <conditionalFormatting sqref="AD101">
    <cfRule type="containsText" dxfId="2278" priority="82" operator="containsText" text="Buy">
      <formula>NOT(ISERROR(SEARCH("Buy",AD101)))</formula>
    </cfRule>
    <cfRule type="containsText" dxfId="2277" priority="83" operator="containsText" text="Sell">
      <formula>NOT(ISERROR(SEARCH("Sell",AD101)))</formula>
    </cfRule>
  </conditionalFormatting>
  <conditionalFormatting sqref="AD102">
    <cfRule type="containsText" dxfId="2276" priority="69" operator="containsText" text="More">
      <formula>NOT(ISERROR(SEARCH("More",AD102)))</formula>
    </cfRule>
    <cfRule type="containsText" dxfId="2275" priority="70" operator="containsText" text="Up">
      <formula>NOT(ISERROR(SEARCH("Up",AD102)))</formula>
    </cfRule>
    <cfRule type="containsText" dxfId="2274" priority="71" operator="containsText" text="Down">
      <formula>NOT(ISERROR(SEARCH("Down",AD102)))</formula>
    </cfRule>
  </conditionalFormatting>
  <conditionalFormatting sqref="AD102">
    <cfRule type="containsText" dxfId="2273" priority="72" operator="containsText" text="Buy">
      <formula>NOT(ISERROR(SEARCH("Buy",AD102)))</formula>
    </cfRule>
    <cfRule type="containsText" dxfId="2272" priority="73" operator="containsText" text="Sell">
      <formula>NOT(ISERROR(SEARCH("Sell",AD102)))</formula>
    </cfRule>
  </conditionalFormatting>
  <conditionalFormatting sqref="AD105">
    <cfRule type="containsText" dxfId="2271" priority="64" operator="containsText" text="More">
      <formula>NOT(ISERROR(SEARCH("More",AD105)))</formula>
    </cfRule>
    <cfRule type="containsText" dxfId="2270" priority="65" operator="containsText" text="Up">
      <formula>NOT(ISERROR(SEARCH("Up",AD105)))</formula>
    </cfRule>
    <cfRule type="containsText" dxfId="2269" priority="66" operator="containsText" text="Down">
      <formula>NOT(ISERROR(SEARCH("Down",AD105)))</formula>
    </cfRule>
  </conditionalFormatting>
  <conditionalFormatting sqref="AD105">
    <cfRule type="containsText" dxfId="2268" priority="67" operator="containsText" text="Buy">
      <formula>NOT(ISERROR(SEARCH("Buy",AD105)))</formula>
    </cfRule>
    <cfRule type="containsText" dxfId="2267" priority="68" operator="containsText" text="Sell">
      <formula>NOT(ISERROR(SEARCH("Sell",AD105)))</formula>
    </cfRule>
  </conditionalFormatting>
  <conditionalFormatting sqref="AD106">
    <cfRule type="containsText" dxfId="2266" priority="59" operator="containsText" text="More">
      <formula>NOT(ISERROR(SEARCH("More",AD106)))</formula>
    </cfRule>
    <cfRule type="containsText" dxfId="2265" priority="60" operator="containsText" text="Up">
      <formula>NOT(ISERROR(SEARCH("Up",AD106)))</formula>
    </cfRule>
    <cfRule type="containsText" dxfId="2264" priority="61" operator="containsText" text="Down">
      <formula>NOT(ISERROR(SEARCH("Down",AD106)))</formula>
    </cfRule>
  </conditionalFormatting>
  <conditionalFormatting sqref="AD106">
    <cfRule type="containsText" dxfId="2263" priority="62" operator="containsText" text="Buy">
      <formula>NOT(ISERROR(SEARCH("Buy",AD106)))</formula>
    </cfRule>
    <cfRule type="containsText" dxfId="2262" priority="63" operator="containsText" text="Sell">
      <formula>NOT(ISERROR(SEARCH("Sell",AD106)))</formula>
    </cfRule>
  </conditionalFormatting>
  <conditionalFormatting sqref="AV3:AV96">
    <cfRule type="containsText" dxfId="2261" priority="54" operator="containsText" text="More">
      <formula>NOT(ISERROR(SEARCH("More",AV3)))</formula>
    </cfRule>
    <cfRule type="containsText" dxfId="2260" priority="55" operator="containsText" text="Up">
      <formula>NOT(ISERROR(SEARCH("Up",AV3)))</formula>
    </cfRule>
    <cfRule type="containsText" dxfId="2259" priority="56" operator="containsText" text="Down">
      <formula>NOT(ISERROR(SEARCH("Down",AV3)))</formula>
    </cfRule>
  </conditionalFormatting>
  <conditionalFormatting sqref="AV3:AV96">
    <cfRule type="containsText" dxfId="2258" priority="57" operator="containsText" text="Buy">
      <formula>NOT(ISERROR(SEARCH("Buy",AV3)))</formula>
    </cfRule>
    <cfRule type="containsText" dxfId="2257" priority="58" operator="containsText" text="Sell">
      <formula>NOT(ISERROR(SEARCH("Sell",AV3)))</formula>
    </cfRule>
  </conditionalFormatting>
  <conditionalFormatting sqref="Y3:Y96">
    <cfRule type="expression" dxfId="2256" priority="22">
      <formula>AND(Y3&lt;&gt;0,Y3&lt;MIN(W3,AA3))</formula>
    </cfRule>
    <cfRule type="expression" dxfId="2255" priority="45">
      <formula>AND(Y3&lt;&gt;0,Y3&lt;W3,Y3&gt;AA3)</formula>
    </cfRule>
  </conditionalFormatting>
  <conditionalFormatting sqref="T3:T96">
    <cfRule type="expression" dxfId="2254" priority="1829" stopIfTrue="1">
      <formula>$T3&gt;MAX(ABS($AA3),$W3)</formula>
    </cfRule>
    <cfRule type="expression" dxfId="2253" priority="1830" stopIfTrue="1">
      <formula>$T3&gt;AND(MAX(ABS($AA3),$W3),ABS($AA3)&lt;$W3)</formula>
    </cfRule>
  </conditionalFormatting>
  <conditionalFormatting sqref="T3:T96">
    <cfRule type="expression" dxfId="2252" priority="1831" stopIfTrue="1">
      <formula>AND($T3&lt;=MIN(ABS($AA3),$W3),ABS($AA3)&gt;$W3,$W3&lt;=0)</formula>
    </cfRule>
    <cfRule type="expression" dxfId="2251" priority="1832" stopIfTrue="1">
      <formula>AND($T3&lt;=MIN(ABS($AA3),$W3),ABS($AA3)&lt;$W3,$W3&lt;=0)</formula>
    </cfRule>
  </conditionalFormatting>
  <conditionalFormatting sqref="W3:W96">
    <cfRule type="expression" dxfId="2250" priority="1833">
      <formula>W3&gt;MAX(AA3,Y3)</formula>
    </cfRule>
    <cfRule type="expression" dxfId="2249" priority="1834">
      <formula>AND(W3&gt;MAX(Y3,AA3), AA3&lt;Y3)</formula>
    </cfRule>
    <cfRule type="expression" dxfId="2248" priority="1835" stopIfTrue="1">
      <formula>AND(W3&gt;MAX(Y3,AA3), AA3&gt;Y3)</formula>
    </cfRule>
    <cfRule type="expression" dxfId="2247" priority="1836">
      <formula>AND(W3&lt;MIN(Y3,AA3),AA3&lt;Y3)</formula>
    </cfRule>
    <cfRule type="expression" dxfId="2246" priority="1837">
      <formula>AND(AA3&gt;MAX(Y3,W3),Y3&lt;W3)</formula>
    </cfRule>
  </conditionalFormatting>
  <conditionalFormatting sqref="AT3:AT96">
    <cfRule type="containsText" dxfId="2245" priority="26" operator="containsText" text="No">
      <formula>NOT(ISERROR(SEARCH("No",AT3)))</formula>
    </cfRule>
    <cfRule type="containsText" dxfId="2244" priority="27" operator="containsText" text="M&lt;">
      <formula>NOT(ISERROR(SEARCH("M&lt;",AT3)))</formula>
    </cfRule>
    <cfRule type="containsText" dxfId="2243" priority="28" operator="containsText" text="M&gt;">
      <formula>NOT(ISERROR(SEARCH("M&gt;",AT3)))</formula>
    </cfRule>
  </conditionalFormatting>
  <conditionalFormatting sqref="AA3:AA96">
    <cfRule type="expression" dxfId="2242" priority="24">
      <formula>$AA3&lt;MIN($W3,$Y3)</formula>
    </cfRule>
  </conditionalFormatting>
  <conditionalFormatting sqref="AK2:AK97">
    <cfRule type="containsText" dxfId="2241" priority="21" operator="containsText" text="Don't">
      <formula>NOT(ISERROR(SEARCH("Don't",AK2)))</formula>
    </cfRule>
  </conditionalFormatting>
  <conditionalFormatting sqref="AN2:AN97">
    <cfRule type="cellIs" dxfId="2240" priority="19" operator="lessThan">
      <formula>0.5</formula>
    </cfRule>
  </conditionalFormatting>
  <conditionalFormatting sqref="AM2:AM96">
    <cfRule type="cellIs" dxfId="2239" priority="18" operator="lessThan">
      <formula>0</formula>
    </cfRule>
  </conditionalFormatting>
  <conditionalFormatting sqref="AA21:AA96 BK72:BK96 BL5:BL96 BM4:BM96 W20:W96 AK21:AK96 AI79:BL95 AF3:AH96 A97:BO98 W102:X105 A99:V104 A105:BO107 A118:BO121 AO111:BO114 AI3:AI78 A1:AD1 AH1:XFD1 A3:AE95 Y99:BO104 AG111:AM114 AG115:BO116 AG108:BO110 A108:AF111 AE117:BO117 A112:AD117 AE112:AF116 BP98:XFD120 BQ96:XFD97 BN4:XFD95 AJ3:XFD3 BP97 A2:XFD2 AJ4:BL78">
    <cfRule type="expression" dxfId="2238" priority="16">
      <formula>AND(ROW()&gt;2, ROW()=SelRowNum)</formula>
    </cfRule>
  </conditionalFormatting>
  <conditionalFormatting sqref="X2:X97">
    <cfRule type="containsText" dxfId="2237" priority="15" operator="containsText" text="WBA">
      <formula>NOT(ISERROR(SEARCH("WBA",X2)))</formula>
    </cfRule>
  </conditionalFormatting>
  <conditionalFormatting sqref="BN95:BP95">
    <cfRule type="expression" dxfId="2236" priority="2349">
      <formula>$BM97&gt;=$BL97</formula>
    </cfRule>
  </conditionalFormatting>
  <conditionalFormatting sqref="AP3:AR96 AJ3:AL96">
    <cfRule type="expression" dxfId="2235" priority="2358">
      <formula>$AE3=$AD$102</formula>
    </cfRule>
  </conditionalFormatting>
  <conditionalFormatting sqref="AI79:AJ96 AJ3:AJ78">
    <cfRule type="expression" dxfId="2234" priority="2360">
      <formula>$AE3=$AD$105</formula>
    </cfRule>
  </conditionalFormatting>
  <conditionalFormatting sqref="AP3:AR96 AI79:AL96 AJ3:AL78">
    <cfRule type="expression" dxfId="2233" priority="2361">
      <formula>$AE3=$AD$106</formula>
    </cfRule>
  </conditionalFormatting>
  <conditionalFormatting sqref="X96">
    <cfRule type="expression" dxfId="2232" priority="14">
      <formula>AND(ROW()&gt;2, ROW()=SelRowNum)</formula>
    </cfRule>
  </conditionalFormatting>
  <conditionalFormatting sqref="X96">
    <cfRule type="expression" dxfId="2231" priority="13">
      <formula>AND(ROW()&gt;2, ROW()=SelRowNum)</formula>
    </cfRule>
  </conditionalFormatting>
  <conditionalFormatting sqref="AX96">
    <cfRule type="expression" dxfId="2230" priority="12">
      <formula>AND(ROW()&gt;2, ROW()=SelRowNum)</formula>
    </cfRule>
  </conditionalFormatting>
  <conditionalFormatting sqref="AK96">
    <cfRule type="expression" dxfId="2229" priority="11">
      <formula>AND(ROW()&gt;2, ROW()=SelRowNum)</formula>
    </cfRule>
  </conditionalFormatting>
  <conditionalFormatting sqref="AE96">
    <cfRule type="expression" dxfId="2228" priority="9">
      <formula>AND(ROW()&gt;2, ROW()=SelRowNum)</formula>
    </cfRule>
  </conditionalFormatting>
  <conditionalFormatting sqref="AM96">
    <cfRule type="expression" dxfId="2227" priority="8">
      <formula>AND(ROW()&gt;2, ROW()=SelRowNum)</formula>
    </cfRule>
  </conditionalFormatting>
  <conditionalFormatting sqref="AF3:AF96">
    <cfRule type="containsText" priority="6" operator="containsText" text="&quot;&quot;">
      <formula>NOT(ISERROR(SEARCH("""""",AF3)))</formula>
    </cfRule>
  </conditionalFormatting>
  <conditionalFormatting sqref="AG3:AH96">
    <cfRule type="containsText" priority="4" operator="containsText" text="&quot;&quot;">
      <formula>NOT(ISERROR(SEARCH("""""",AG3)))</formula>
    </cfRule>
  </conditionalFormatting>
  <conditionalFormatting sqref="AI3:AI78">
    <cfRule type="containsText" priority="2" operator="containsText" text="&quot;&quot;">
      <formula>NOT(ISERROR(SEARCH("""""",AI3)))</formula>
    </cfRule>
  </conditionalFormatting>
  <conditionalFormatting sqref="AN46">
    <cfRule type="cellIs" dxfId="2226" priority="1" operator="lessThan">
      <formula>0</formula>
    </cfRule>
  </conditionalFormatting>
  <pageMargins left="0.7" right="0.7" top="0.75" bottom="0.75" header="0.3" footer="0.3"/>
  <pageSetup paperSize="9" orientation="portrait" horizontalDpi="0" verticalDpi="0"/>
  <legacy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107" operator="containsText" id="{05EA184F-559F-9D4D-9F17-30D9EE9305E8}">
            <xm:f>NOT(ISERROR(SEARCH("-",AD2)))</xm:f>
            <xm:f>"-"</xm:f>
            <x14:dxf>
              <font>
                <color rgb="FF9C0006"/>
              </font>
              <fill>
                <patternFill>
                  <bgColor rgb="FFFFC7CE"/>
                </patternFill>
              </fill>
            </x14:dxf>
          </x14:cfRule>
          <xm:sqref>AS2:AS97 BH2:BK96 AD2:AD97</xm:sqref>
        </x14:conditionalFormatting>
        <x14:conditionalFormatting xmlns:xm="http://schemas.microsoft.com/office/excel/2006/main">
          <x14:cfRule type="containsText" priority="144" stopIfTrue="1" operator="containsText" id="{29B48DBA-FDF4-1646-9E73-C171269BF4F6}">
            <xm:f>NOT(ISERROR(SEARCH("-",H3)))</xm:f>
            <xm:f>"-"</xm:f>
            <x14:dxf>
              <font>
                <color rgb="FF9C0006"/>
              </font>
            </x14:dxf>
          </x14:cfRule>
          <xm:sqref>H3:I96</xm:sqref>
        </x14:conditionalFormatting>
        <x14:conditionalFormatting xmlns:xm="http://schemas.microsoft.com/office/excel/2006/main">
          <x14:cfRule type="containsText" priority="147" operator="containsText" id="{61415A15-B5EF-4841-B706-30675341482C}">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53" operator="containsText" id="{BD8B8451-B30C-D643-B891-8027328812FD}">
            <xm:f>NOT(ISERROR(SEARCH("-",C2)))</xm:f>
            <xm:f>"-"</xm:f>
            <x14:dxf>
              <font>
                <color rgb="FF9C0006"/>
              </font>
              <fill>
                <patternFill>
                  <bgColor rgb="FFFFC7CE"/>
                </patternFill>
              </fill>
            </x14:dxf>
          </x14:cfRule>
          <xm:sqref>D98 C2:C96 BC3:BC96</xm:sqref>
        </x14:conditionalFormatting>
        <x14:conditionalFormatting xmlns:xm="http://schemas.microsoft.com/office/excel/2006/main">
          <x14:cfRule type="containsText" priority="134" operator="containsText" id="{CD22A8B3-19FF-2147-9EC1-8D62016E7FBD}">
            <xm:f>NOT(ISERROR(SEARCH("-",BG2)))</xm:f>
            <xm:f>"-"</xm:f>
            <x14:dxf>
              <font>
                <color rgb="FF9C0006"/>
              </font>
              <fill>
                <patternFill>
                  <bgColor rgb="FFFFC7CE"/>
                </patternFill>
              </fill>
            </x14:dxf>
          </x14:cfRule>
          <xm:sqref>BG2:BG96</xm:sqref>
        </x14:conditionalFormatting>
        <x14:conditionalFormatting xmlns:xm="http://schemas.microsoft.com/office/excel/2006/main">
          <x14:cfRule type="containsText" priority="86" operator="containsText" id="{B99F83B7-29EA-CD41-B326-1AB29303CB79}">
            <xm:f>NOT(ISERROR(SEARCH("-",BL2)))</xm:f>
            <xm:f>"-"</xm:f>
            <x14:dxf>
              <font>
                <color rgb="FF9C0006"/>
              </font>
              <fill>
                <patternFill>
                  <bgColor rgb="FFFFC7CE"/>
                </patternFill>
              </fill>
            </x14:dxf>
          </x14:cfRule>
          <xm:sqref>BL2:BL96</xm:sqref>
        </x14:conditionalFormatting>
        <x14:conditionalFormatting xmlns:xm="http://schemas.microsoft.com/office/excel/2006/main">
          <x14:cfRule type="containsText" priority="7" operator="containsText" id="{8E0F0146-707D-D849-A192-5ED9477E1926}">
            <xm:f>NOT(ISERROR(SEARCH("-",AF3)))</xm:f>
            <xm:f>"-"</xm:f>
            <x14:dxf>
              <fill>
                <patternFill>
                  <bgColor theme="9" tint="0.39994506668294322"/>
                </patternFill>
              </fill>
            </x14:dxf>
          </x14:cfRule>
          <xm:sqref>AF3:AF96</xm:sqref>
        </x14:conditionalFormatting>
        <x14:conditionalFormatting xmlns:xm="http://schemas.microsoft.com/office/excel/2006/main">
          <x14:cfRule type="containsText" priority="5" operator="containsText" id="{B0048314-66F0-1940-9FBF-5064B0CDA694}">
            <xm:f>NOT(ISERROR(SEARCH("-",AG3)))</xm:f>
            <xm:f>"-"</xm:f>
            <x14:dxf>
              <fill>
                <patternFill>
                  <bgColor theme="9" tint="0.39994506668294322"/>
                </patternFill>
              </fill>
            </x14:dxf>
          </x14:cfRule>
          <xm:sqref>AG3:AH96</xm:sqref>
        </x14:conditionalFormatting>
        <x14:conditionalFormatting xmlns:xm="http://schemas.microsoft.com/office/excel/2006/main">
          <x14:cfRule type="containsText" priority="3" operator="containsText" id="{9F801087-DCD6-D345-8E37-36FA2ED71F24}">
            <xm:f>NOT(ISERROR(SEARCH("-",AI3)))</xm:f>
            <xm:f>"-"</xm:f>
            <x14:dxf>
              <fill>
                <patternFill>
                  <bgColor theme="9" tint="0.39994506668294322"/>
                </patternFill>
              </fill>
            </x14:dxf>
          </x14:cfRule>
          <xm:sqref>AI3:AI78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37449E23-741F-494F-B5A8-86A3AEBDB8F5}">
          <x14:formula1>
            <xm:f>_xlfn._TRO_TRAILING(SORTING!$D$2:BB$2)</xm:f>
          </x14:formula1>
          <xm:sqref>AC1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139184-D2D7-284F-9F30-1F193CE037CB}">
  <sheetPr codeName="Sheet6">
    <tabColor theme="5" tint="0.39997558519241921"/>
  </sheetPr>
  <dimension ref="A1:IK216"/>
  <sheetViews>
    <sheetView zoomScale="80" zoomScaleNormal="80" workbookViewId="0">
      <pane xSplit="8" ySplit="2" topLeftCell="P41" activePane="bottomRight" state="frozen"/>
      <selection pane="topRight" activeCell="I1" sqref="I1"/>
      <selection pane="bottomLeft" activeCell="A3" sqref="A3"/>
      <selection pane="bottomRight" activeCell="Z59" sqref="Z59"/>
    </sheetView>
  </sheetViews>
  <sheetFormatPr baseColWidth="10" defaultRowHeight="22"/>
  <cols>
    <col min="1" max="1" width="7.625" customWidth="1"/>
    <col min="2" max="2" width="4.625" customWidth="1"/>
    <col min="3" max="3" width="9.625" customWidth="1"/>
    <col min="4" max="4" width="9.75" bestFit="1" customWidth="1"/>
    <col min="5" max="5" width="10.875" bestFit="1" customWidth="1"/>
    <col min="6" max="6" width="12" customWidth="1"/>
    <col min="7" max="11" width="11.75" customWidth="1"/>
    <col min="12" max="13" width="13" bestFit="1" customWidth="1"/>
    <col min="14" max="14" width="6.375" bestFit="1" customWidth="1"/>
    <col min="15" max="15" width="11.25" bestFit="1" customWidth="1"/>
    <col min="16" max="17" width="11.375" bestFit="1" customWidth="1"/>
    <col min="18" max="18" width="8.125" bestFit="1" customWidth="1"/>
    <col min="19" max="19" width="10.875" customWidth="1"/>
    <col min="20" max="20" width="8.625" customWidth="1"/>
    <col min="21" max="21" width="9.375" bestFit="1" customWidth="1"/>
    <col min="22" max="22" width="10.875" bestFit="1" customWidth="1"/>
    <col min="23" max="23" width="6.5" bestFit="1" customWidth="1"/>
    <col min="24" max="24" width="8.625" customWidth="1"/>
    <col min="25" max="25" width="17.375" style="87" bestFit="1" customWidth="1"/>
    <col min="26" max="26" width="18" style="160" bestFit="1" customWidth="1"/>
    <col min="27" max="36" width="11.75" customWidth="1"/>
    <col min="37" max="37" width="11.75" style="1" customWidth="1"/>
    <col min="38" max="38" width="11.75" customWidth="1"/>
    <col min="39" max="39" width="11.75" style="1" customWidth="1"/>
    <col min="40" max="41" width="11.75" customWidth="1"/>
    <col min="42" max="42" width="13.375" style="307" customWidth="1"/>
    <col min="43" max="49" width="11.75" customWidth="1"/>
    <col min="50" max="50" width="13.75" customWidth="1"/>
    <col min="51" max="57" width="11.75" customWidth="1"/>
    <col min="58" max="58" width="13.125" bestFit="1" customWidth="1"/>
    <col min="59" max="60" width="11.75" customWidth="1"/>
    <col min="61" max="61" width="13.75" customWidth="1"/>
    <col min="62" max="66" width="11.75" customWidth="1"/>
    <col min="67" max="67" width="12.875" customWidth="1"/>
    <col min="68" max="68" width="11.75" customWidth="1"/>
    <col min="69" max="69" width="11.75" style="82" customWidth="1"/>
    <col min="70" max="70" width="12.625" bestFit="1" customWidth="1"/>
    <col min="71" max="71" width="11.75" customWidth="1"/>
    <col min="72" max="72" width="13" customWidth="1"/>
    <col min="73" max="99" width="11.75" customWidth="1"/>
    <col min="102" max="102" width="12" customWidth="1"/>
    <col min="104" max="104" width="13.375" bestFit="1" customWidth="1"/>
    <col min="105" max="106" width="14.25" bestFit="1" customWidth="1"/>
    <col min="107" max="113" width="15.25" bestFit="1" customWidth="1"/>
    <col min="114" max="118" width="14.25" bestFit="1" customWidth="1"/>
    <col min="119" max="128" width="15.25" bestFit="1" customWidth="1"/>
    <col min="129" max="130" width="14.25" bestFit="1" customWidth="1"/>
    <col min="131" max="131" width="15.25" bestFit="1" customWidth="1"/>
  </cols>
  <sheetData>
    <row r="1" spans="1:119" ht="28" thickBot="1">
      <c r="B1" s="132" t="s">
        <v>966</v>
      </c>
      <c r="C1" s="132"/>
      <c r="D1" s="132"/>
      <c r="E1" s="132"/>
      <c r="I1" s="502" t="s">
        <v>1528</v>
      </c>
      <c r="J1" s="503" t="s">
        <v>1619</v>
      </c>
      <c r="K1" s="502" t="s">
        <v>1529</v>
      </c>
      <c r="M1" s="1173" t="s">
        <v>2544</v>
      </c>
      <c r="N1" s="1420" t="s">
        <v>2545</v>
      </c>
      <c r="O1" s="1421"/>
      <c r="P1" s="1421"/>
      <c r="Q1" s="1421"/>
      <c r="R1" s="1421"/>
      <c r="S1" s="1421"/>
      <c r="T1" s="1422"/>
      <c r="Y1"/>
      <c r="Z1" s="232" t="s">
        <v>1057</v>
      </c>
      <c r="AA1" s="233"/>
      <c r="AB1" s="233"/>
      <c r="AC1" s="233"/>
      <c r="AD1" s="1043" t="s">
        <v>1068</v>
      </c>
      <c r="AE1" s="1043"/>
      <c r="AF1" s="1043"/>
      <c r="AG1" s="1044"/>
      <c r="AH1" s="234" t="s">
        <v>1117</v>
      </c>
      <c r="AI1" s="235"/>
      <c r="AJ1" s="236"/>
      <c r="AK1" s="235"/>
      <c r="AL1" s="1045" t="s">
        <v>1116</v>
      </c>
      <c r="AM1" s="1045"/>
      <c r="AN1" s="1045"/>
      <c r="AO1" s="1045"/>
      <c r="AP1" s="1276" t="s">
        <v>182</v>
      </c>
      <c r="AQ1" s="1166" t="s">
        <v>2173</v>
      </c>
      <c r="AR1" s="1165" t="s">
        <v>2539</v>
      </c>
      <c r="AS1" s="1167"/>
      <c r="AT1" s="298" t="s">
        <v>1282</v>
      </c>
      <c r="AV1" s="298" t="s">
        <v>1114</v>
      </c>
      <c r="AX1" s="114" t="s">
        <v>1069</v>
      </c>
      <c r="AY1" s="114" t="s">
        <v>937</v>
      </c>
      <c r="AZ1" s="87"/>
      <c r="BA1" s="160"/>
      <c r="BL1" s="316">
        <v>0.2</v>
      </c>
      <c r="BQ1"/>
      <c r="BU1" s="183" t="s">
        <v>1056</v>
      </c>
      <c r="BV1" s="184"/>
      <c r="BW1" s="184" t="s">
        <v>1055</v>
      </c>
      <c r="BX1" s="184"/>
      <c r="BY1" s="185"/>
      <c r="BZ1" s="695" t="s">
        <v>2083</v>
      </c>
      <c r="CA1" s="199" t="s">
        <v>1077</v>
      </c>
      <c r="CB1" s="139"/>
      <c r="CC1" s="139"/>
      <c r="CD1" s="199" t="s">
        <v>1078</v>
      </c>
      <c r="CE1" s="139"/>
      <c r="CF1" s="139"/>
      <c r="CG1" s="198" t="s">
        <v>1076</v>
      </c>
      <c r="CH1" s="197"/>
      <c r="CI1" s="197"/>
      <c r="CJ1" s="198" t="s">
        <v>1075</v>
      </c>
      <c r="CK1" s="197"/>
      <c r="CL1" s="197"/>
      <c r="CM1" s="139" t="s">
        <v>1092</v>
      </c>
      <c r="CN1" s="139"/>
      <c r="CO1" s="139"/>
      <c r="CP1" s="198" t="s">
        <v>1070</v>
      </c>
      <c r="CQ1" s="197"/>
      <c r="CR1" s="197"/>
      <c r="CX1" t="s">
        <v>1621</v>
      </c>
      <c r="CZ1" t="s">
        <v>2511</v>
      </c>
      <c r="DB1" s="1"/>
      <c r="DM1" s="224" t="s">
        <v>1461</v>
      </c>
    </row>
    <row r="2" spans="1:119" s="1" customFormat="1" ht="23" thickBot="1">
      <c r="A2" s="1" t="s">
        <v>1115</v>
      </c>
      <c r="B2" s="1" t="s">
        <v>547</v>
      </c>
      <c r="C2" s="1" t="s">
        <v>1617</v>
      </c>
      <c r="D2" s="1" t="s">
        <v>1464</v>
      </c>
      <c r="E2" s="1" t="s">
        <v>1904</v>
      </c>
      <c r="F2" s="215" t="s">
        <v>960</v>
      </c>
      <c r="G2" s="1" t="s">
        <v>1616</v>
      </c>
      <c r="H2" s="1" t="s">
        <v>546</v>
      </c>
      <c r="I2" s="378" t="s">
        <v>677</v>
      </c>
      <c r="J2" s="590" t="s">
        <v>1580</v>
      </c>
      <c r="K2" s="382" t="s">
        <v>682</v>
      </c>
      <c r="L2" s="376" t="s">
        <v>690</v>
      </c>
      <c r="M2" s="743" t="s">
        <v>2543</v>
      </c>
      <c r="N2" s="963" t="s">
        <v>2336</v>
      </c>
      <c r="O2" s="963" t="s">
        <v>2447</v>
      </c>
      <c r="P2" s="963" t="s">
        <v>2396</v>
      </c>
      <c r="Q2" s="963" t="s">
        <v>2337</v>
      </c>
      <c r="R2" s="963" t="s">
        <v>2448</v>
      </c>
      <c r="S2" s="963" t="s">
        <v>2442</v>
      </c>
      <c r="T2" s="963" t="s">
        <v>2441</v>
      </c>
      <c r="U2" s="963" t="s">
        <v>2518</v>
      </c>
      <c r="V2" s="963" t="s">
        <v>2519</v>
      </c>
      <c r="W2" s="963" t="s">
        <v>2524</v>
      </c>
      <c r="X2" s="963" t="s">
        <v>2443</v>
      </c>
      <c r="Y2" s="377" t="s">
        <v>1853</v>
      </c>
      <c r="Z2" s="375" t="s">
        <v>2140</v>
      </c>
      <c r="AA2" s="231" t="s">
        <v>1691</v>
      </c>
      <c r="AB2" s="231" t="s">
        <v>1685</v>
      </c>
      <c r="AC2" s="231" t="s">
        <v>1690</v>
      </c>
      <c r="AD2" s="366" t="s">
        <v>1456</v>
      </c>
      <c r="AE2" s="366" t="s">
        <v>1692</v>
      </c>
      <c r="AF2" s="366" t="s">
        <v>1693</v>
      </c>
      <c r="AG2" s="366" t="s">
        <v>1686</v>
      </c>
      <c r="AH2" s="367" t="s">
        <v>1457</v>
      </c>
      <c r="AI2" s="368" t="s">
        <v>1066</v>
      </c>
      <c r="AJ2" s="368" t="s">
        <v>1447</v>
      </c>
      <c r="AK2" s="368" t="s">
        <v>1687</v>
      </c>
      <c r="AL2" s="230" t="s">
        <v>1458</v>
      </c>
      <c r="AM2" s="230" t="s">
        <v>1067</v>
      </c>
      <c r="AN2" s="230" t="s">
        <v>1448</v>
      </c>
      <c r="AO2" s="1072" t="s">
        <v>1688</v>
      </c>
      <c r="AP2" s="1075" t="s">
        <v>2615</v>
      </c>
      <c r="AQ2" s="1076" t="s">
        <v>2460</v>
      </c>
      <c r="AR2" s="1076" t="s">
        <v>2461</v>
      </c>
      <c r="AS2" s="1077" t="s">
        <v>702</v>
      </c>
      <c r="AT2" s="202" t="s">
        <v>1460</v>
      </c>
      <c r="AU2" s="202" t="s">
        <v>1459</v>
      </c>
      <c r="AV2" s="202" t="s">
        <v>1114</v>
      </c>
      <c r="AW2" s="202" t="s">
        <v>1530</v>
      </c>
      <c r="AX2" s="306" t="s">
        <v>1283</v>
      </c>
      <c r="AY2" s="1058" t="s">
        <v>1889</v>
      </c>
      <c r="AZ2" s="33" t="s">
        <v>933</v>
      </c>
      <c r="BA2" s="33" t="s">
        <v>1062</v>
      </c>
      <c r="BB2" s="33" t="s">
        <v>544</v>
      </c>
      <c r="BC2" s="652" t="s">
        <v>1890</v>
      </c>
      <c r="BD2" s="162" t="s">
        <v>1888</v>
      </c>
      <c r="BE2" s="653" t="s">
        <v>1016</v>
      </c>
      <c r="BF2" s="658" t="s">
        <v>1900</v>
      </c>
      <c r="BG2" s="657" t="s">
        <v>1901</v>
      </c>
      <c r="BH2" s="659" t="s">
        <v>1902</v>
      </c>
      <c r="BI2" s="159" t="s">
        <v>1905</v>
      </c>
      <c r="BJ2" s="159" t="s">
        <v>1872</v>
      </c>
      <c r="BK2" s="159" t="s">
        <v>1903</v>
      </c>
      <c r="BL2" s="397" t="s">
        <v>946</v>
      </c>
      <c r="BM2" s="397" t="s">
        <v>2737</v>
      </c>
      <c r="BN2" s="159" t="s">
        <v>729</v>
      </c>
      <c r="BO2" s="159" t="s">
        <v>1556</v>
      </c>
      <c r="BP2" s="159" t="s">
        <v>731</v>
      </c>
      <c r="BQ2" s="206" t="s">
        <v>1455</v>
      </c>
      <c r="BR2" s="159" t="s">
        <v>2084</v>
      </c>
      <c r="BS2" s="182" t="s">
        <v>1052</v>
      </c>
      <c r="BT2" s="159" t="s">
        <v>2221</v>
      </c>
      <c r="BU2" s="186" t="s">
        <v>1035</v>
      </c>
      <c r="BV2" s="187" t="s">
        <v>1036</v>
      </c>
      <c r="BW2" s="159" t="s">
        <v>1034</v>
      </c>
      <c r="BX2" s="159" t="s">
        <v>2093</v>
      </c>
      <c r="BY2" s="159" t="s">
        <v>1053</v>
      </c>
      <c r="BZ2" s="188" t="s">
        <v>1054</v>
      </c>
      <c r="CA2" s="311" t="s">
        <v>1308</v>
      </c>
      <c r="CB2" s="179" t="s">
        <v>1039</v>
      </c>
      <c r="CC2" s="179" t="s">
        <v>1449</v>
      </c>
      <c r="CD2" s="179" t="s">
        <v>1041</v>
      </c>
      <c r="CE2" s="180" t="s">
        <v>1042</v>
      </c>
      <c r="CF2" s="180" t="s">
        <v>1450</v>
      </c>
      <c r="CG2" s="180" t="s">
        <v>1044</v>
      </c>
      <c r="CH2" s="162" t="s">
        <v>1050</v>
      </c>
      <c r="CI2" s="162" t="s">
        <v>1451</v>
      </c>
      <c r="CJ2" s="162" t="s">
        <v>1051</v>
      </c>
      <c r="CK2" s="162" t="s">
        <v>1038</v>
      </c>
      <c r="CL2" s="162" t="s">
        <v>1452</v>
      </c>
      <c r="CM2" s="162" t="s">
        <v>1037</v>
      </c>
      <c r="CN2" s="162" t="s">
        <v>1071</v>
      </c>
      <c r="CO2" s="162" t="s">
        <v>1453</v>
      </c>
      <c r="CP2" s="162" t="s">
        <v>1074</v>
      </c>
      <c r="CQ2" s="201" t="s">
        <v>1072</v>
      </c>
      <c r="CR2" s="201" t="s">
        <v>1454</v>
      </c>
      <c r="CS2" s="201" t="s">
        <v>1073</v>
      </c>
      <c r="CT2" s="398" t="s">
        <v>1695</v>
      </c>
      <c r="CU2" s="402" t="s">
        <v>1620</v>
      </c>
      <c r="CV2" s="403" t="s">
        <v>1694</v>
      </c>
      <c r="CW2" s="404" t="s">
        <v>1699</v>
      </c>
      <c r="CX2" s="398" t="s">
        <v>2527</v>
      </c>
      <c r="CY2" s="399" t="s">
        <v>1001</v>
      </c>
      <c r="CZ2" s="763" t="s">
        <v>2141</v>
      </c>
      <c r="DA2" s="1089" t="s">
        <v>2459</v>
      </c>
      <c r="DB2" s="1090" t="s">
        <v>2487</v>
      </c>
      <c r="DC2" s="1090" t="s">
        <v>2577</v>
      </c>
      <c r="DM2" s="1" t="s">
        <v>1558</v>
      </c>
      <c r="DN2" s="1" t="s">
        <v>1560</v>
      </c>
      <c r="DO2" s="1" t="s">
        <v>1559</v>
      </c>
    </row>
    <row r="3" spans="1:119">
      <c r="A3" s="120" t="str">
        <f ca="1">_xlfn.XLOOKUP(TabCalc[[#This Row],[Ticker]],[1]!RTData[Ticker symbol],[1]!RTData[Currency])</f>
        <v>USD</v>
      </c>
      <c r="B3" s="121">
        <f ca="1">IF(TabCalc[[#This Row],[Cur]]="GBP",0.01,1)</f>
        <v>1</v>
      </c>
      <c r="C3" s="82">
        <f ca="1">_xlfn.XLOOKUP(TabCalc[[#This Row],[Ticker]],DM$3:DM$96,DN$3:DN$96)</f>
        <v>5000</v>
      </c>
      <c r="D3" s="1254">
        <f ca="1">_xlfn.XLOOKUP(TabCalc[[#This Row],[Ticker]],DM$3:DM$96,DO$3:DO$96)</f>
        <v>-107.46</v>
      </c>
      <c r="E3" s="121">
        <f t="shared" ref="E3:E36" ca="1" si="0">SUMPRODUCT(C3,D3,B3)</f>
        <v>-537300</v>
      </c>
      <c r="F3" s="82">
        <f ca="1">TabCalc[[#This Row],[NAfter]]*TabCalc[[#This Row],[M]]*TabCalc[[#This Row],[Scale]]</f>
        <v>2628200</v>
      </c>
      <c r="G3" s="82">
        <f ca="1">IFERROR(TabCalc[[#This Row],[SB]]-TabCalc[[#This Row],[SST]],TabCalc[[#This Row],[SB]])</f>
        <v>10000</v>
      </c>
      <c r="H3" s="535" t="str">
        <f ca="1">[1]!RTData[[#This Row],[Ticker symbol]]</f>
        <v>AAPL</v>
      </c>
      <c r="I3" s="385">
        <f ca="1">[1]!RTData[[#This Row],[M-Price]]</f>
        <v>262.82</v>
      </c>
      <c r="J3" s="384">
        <v>212.634761</v>
      </c>
      <c r="K3" s="383">
        <f>[1]!RTData[[#This Row],[1YT]]</f>
        <v>248.17128</v>
      </c>
      <c r="L3" s="384">
        <f ca="1">IF(OR(TabCalc[[#This Row],[NAfter]]=0,TabCalc[[#This Row],[EfCost]]&gt;0),0,TabCalc[[#This Row],[EfCost]]/TabCalc[[#This Row],[NAfter]]/TabCalc[[#This Row],[Scale]])</f>
        <v>-154.79071249999998</v>
      </c>
      <c r="M3" s="744">
        <f ca="1">[1]!RTData[[#This Row],[Change%]]</f>
        <v>1.2482E-2</v>
      </c>
      <c r="N3" s="1172">
        <v>0.5</v>
      </c>
      <c r="O3" s="966">
        <f>TabCalc[[#This Row],[Up20]]-1+TabCalc[[#This Row],[Up20]]</f>
        <v>0</v>
      </c>
      <c r="P3" s="966">
        <f>TabCalc[[#This Row],[Up20]]-TabCalc[[#This Row],[Up150]]</f>
        <v>-7.1428571428571397E-2</v>
      </c>
      <c r="Q3" s="966">
        <v>0.5714285714285714</v>
      </c>
      <c r="R3" s="966">
        <f>TabCalc[[#This Row],[Up150]]-1+TabCalc[[#This Row],[Up150]]</f>
        <v>0.14285714285714279</v>
      </c>
      <c r="S3" s="966">
        <f>IFERROR(SUMPRODUCT(DataShift!F1497:Z1497,DataShift!AB704:AV704)/SQRT(SUMPRODUCT(DataShift!F1497:Z1497,DataShift!F1497:Z1497)*SUMPRODUCT(DataShift!AB704:AV704,DataShift!AB704:AV704)),0)</f>
        <v>0</v>
      </c>
      <c r="T3" s="966">
        <f ca="1">IFERROR(SUMPRODUCT(DataShift!F1497:Z1497,DataShift!F704:Z704)/SQRT(SUMPRODUCT(DataShift!F1497:Z1497,DataShift!F1497:Z1497)*SUMPRODUCT(DataShift!F704:Z704,DataShift!F704:Z704)),0)</f>
        <v>0</v>
      </c>
      <c r="U3" s="1107">
        <v>10000</v>
      </c>
      <c r="V3" s="1107">
        <v>0</v>
      </c>
      <c r="W3" s="1107">
        <v>0</v>
      </c>
      <c r="X3" s="966" t="str">
        <f ca="1">IF(TabCalc[[#This Row],[EfCost]]+TabCalc[[#This Row],[M_V]]&lt;TabCalc[[#This Row],[NoT_GL]],"Pile","")</f>
        <v/>
      </c>
      <c r="Y3"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 s="213">
        <f ca="1">MIN(TabCalc[[#This Row],[L_Bn]],TabCalc[[#This Row],[NAfter]])*(TabCalc[[#This Row],[M]]+TabCalc[[#This Row],[L_Bp]])*TabCalc[[#This Row],[Scale]]</f>
        <v>2859.9999999999964</v>
      </c>
      <c r="AA3" s="207" cm="1">
        <f t="array" aca="1" ref="AA3" ca="1">_xlfn.XLOOKUP(TabCalc[[#This Row],[L_Bp]],INDIRECT("TabReg["&amp;TabCalc[[#This Row],[Ticker]]&amp;"2]"),INDIRECT("TabReg["&amp;TabCalc[[#This Row],[Ticker]]&amp;"]"))</f>
        <v>45943</v>
      </c>
      <c r="AB3" s="208" cm="1">
        <f t="array" aca="1" ref="AB3" ca="1">_xlfn.XLOOKUP(TabCalc[[#This Row],[L_Bp]],INDIRECT("TabReg["&amp;TabCalc[[#This Row],[Ticker]]&amp;"2]"),INDIRECT("TabReg["&amp;TabCalc[[#This Row],[Ticker]]&amp;"1]"))</f>
        <v>200</v>
      </c>
      <c r="AC3" s="209" cm="1">
        <f t="array" aca="1" ref="AC3" ca="1">IFERROR(INDEX(INDIRECT("TabReg["&amp;TabCalc[[#This Row],[Ticker]]&amp;"2]"),    _xlfn.XMATCH(    MAX(    _xlfn._xlws.FILTER(INDIRECT("TabReg["&amp;TabCalc[[#This Row],[Ticker]]&amp;"]"), INDIRECT("TabReg["&amp;TabCalc[[#This Row],[Ticker]]&amp;"2]")&lt;0)     ), INDIRECT("TabReg["&amp;TabCalc[[#This Row],[Ticker]]&amp;"]"),      0)), "")</f>
        <v>-248.52</v>
      </c>
      <c r="AD3" s="213">
        <f ca="1">IFERROR(MIN(TabCalc[[#This Row],[L_B1n]],TabCalc[[#This Row],[NAfter]])*(TabCalc[[#This Row],[M]]+TabCalc[[#This Row],[L_B1p]])*TabCalc[[#This Row],[Scale]],"")</f>
        <v>18636</v>
      </c>
      <c r="AE3" s="207" cm="1">
        <f t="array" aca="1" ref="AE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F3" s="208" cm="1">
        <f t="array" aca="1" ref="AF3" ca="1">IFERROR(_xlfn.XLOOKUP(TabCalc[[#This Row],[L_B1D]],INDIRECT("TabReg["&amp;TabCalc[[#This Row],[Ticker]]&amp;"]"),INDIRECT("TabReg["&amp;TabCalc[[#This Row],[Ticker]]&amp;"1]")),0)</f>
        <v>300</v>
      </c>
      <c r="AG3" s="209" cm="1">
        <f t="array" aca="1" ref="AG3" ca="1">IFERROR(_xlfn.XLOOKUP(TabCalc[[#This Row],[L_B1D]],INDIRECT("TabReg["&amp;TabCalc[[#This Row],[Ticker]]&amp;"]"),INDIRECT("TabReg["&amp;TabCalc[[#This Row],[Ticker]]&amp;"2]")),0)</f>
        <v>-200.7</v>
      </c>
      <c r="AH3" s="302">
        <f ca="1">IFERROR(TabCalc[[#This Row],[L_Sn]]*(TabCalc[[#This Row],[L_Sp]]-TabCalc[[#This Row],[M]])*TabCalc[[#This Row],[Scale]],"")</f>
        <v>379.99999999999545</v>
      </c>
      <c r="AI3" s="207" cm="1">
        <f t="array" aca="1" ref="AI3" ca="1">IFERROR(_xlfn.XLOOKUP(TabCalc[[#This Row],[L_Sp]],INDIRECT("TabReg["&amp;TabCalc[[#This Row],[Ticker]]&amp;"2]"),INDIRECT("TabReg["&amp;TabCalc[[#This Row],[Ticker]]&amp;"]")),0)</f>
        <v>45951</v>
      </c>
      <c r="AJ3" s="208" cm="1">
        <f t="array" aca="1" ref="AJ3" ca="1">IFERROR(_xlfn.XLOOKUP(TabCalc[[#This Row],[L_Sp]],INDIRECT("TabReg["&amp;TabCalc[[#This Row],[Ticker]]&amp;"2]"),INDIRECT("TabReg["&amp;TabCalc[[#This Row],[Ticker]]&amp;"1]")),0)</f>
        <v>500</v>
      </c>
      <c r="AK3" s="209" cm="1">
        <f t="array" aca="1" ref="AK3" ca="1">IFERROR(INDEX(INDIRECT("TabReg["&amp;TabCalc[[#This Row],[Ticker]]&amp;"2]"), _xlfn.XMATCH(MAX(_xlfn._xlws.FILTER(INDIRECT("TabReg["&amp;TabCalc[[#This Row],[Ticker]]&amp;"]"), INDIRECT("TabReg["&amp;TabCalc[[#This Row],[Ticker]]&amp;"2]")&gt;0)), INDIRECT("TabReg["&amp;TabCalc[[#This Row],[Ticker]]&amp;"]"), 0)), 0)</f>
        <v>263.58</v>
      </c>
      <c r="AL3" s="214">
        <f ca="1">IFERROR(TabCalc[[#This Row],[L_S1n]]*(TabCalc[[#This Row],[L_S1p]]-TabCalc[[#This Row],[M]])*TabCalc[[#This Row],[Scale]],0)</f>
        <v>-1839.9999999999977</v>
      </c>
      <c r="AM3" s="207" cm="1">
        <f t="array" aca="1" ref="AM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N3" s="208" cm="1">
        <f t="array" aca="1" ref="AN3" ca="1">IFERROR(_xlfn.XLOOKUP(TabCalc[[#This Row],[L_S1D]],INDIRECT("TabReg["&amp;TabCalc[[#This Row],[Ticker]]&amp;"]"),INDIRECT("TabReg["&amp;TabCalc[[#This Row],[Ticker]]&amp;"1]")),0)</f>
        <v>200</v>
      </c>
      <c r="AO3" s="1073" cm="1">
        <f t="array" aca="1" ref="AO3" ca="1">IFERROR(_xlfn.XLOOKUP(TabCalc[[#This Row],[L_S1D]],INDIRECT("TabReg["&amp;TabCalc[[#This Row],[Ticker]]&amp;"]"),INDIRECT("TabReg["&amp;TabCalc[[#This Row],[Ticker]]&amp;"2]")),0)</f>
        <v>253.62</v>
      </c>
      <c r="AP3" s="336">
        <f ca="1">_xlfn.LET(_xlpm.MVOpen,[1]!RTData[[#This Row],[Open]]*TabCalc[[#This Row],[NAfter]],_xlpm.MVNow,TabCalc[[#This Row],[M]]*TabCalc[[#This Row],[NAfter]],_xlpm.MVNow-_xlpm.MVOpen)*TabCalc[[#This Row],[Scale]]</f>
        <v>16300</v>
      </c>
      <c r="AQ3" s="336">
        <f ca="1">_xlfn.LET(_xlpm.MVToday,DataShift!AV505,         _xlpm.MVY,DataShift!AU505,        _xlpm.MVYY, DataShift!AT505,                                IF(_xlpm.MVToday=_xlpm.MVY,_xlpm.MVY-_xlpm.MVYY,_xlpm.MVToday-_xlpm.MVY))</f>
        <v>32400</v>
      </c>
      <c r="AR3" s="336">
        <f ca="1">_xlfn.LET(_xlpm.MVToday,DataShift!AV505,         _xlpm.MVY,DataShift!AU505,        _xlpm.MVYY, DataShift!AT505,         _xlpm.MVYYY, DataShift!AS505,                      IF(_xlpm.MVToday=_xlpm.MVY,      _xlpm.MVYY-_xlpm.MVYYY,          _xlpm.MVY-_xlpm.MVYY))</f>
        <v>11300</v>
      </c>
      <c r="AS3" s="1078">
        <f ca="1">TabCalc[[#This Row],[Y]]/TabCalc[[#This Row],[M]]</f>
        <v>0.94426329807472797</v>
      </c>
      <c r="AT3" s="299" t="str" cm="1">
        <f t="array" aca="1" ref="AT3" ca="1">IFERROR(_xlfn.IFS(          TabCalc[[#This Row],[E]]&gt;0, "Free Trade",      TabCalc[[#This Row],[A]]&lt;MIN(TabCalc[[#This Row],[L_Sp]],TabCalc[[#This Row],[M]]), "Buy",            TabCalc[[#This Row],[M]]&lt;TabCalc[[#This Row],[L_Sp]],       "Refill",       TabCalc[[#This Row],[M]]&gt;TabCalc[[#This Row],[L_Sp]],"S_more"),"")</f>
        <v>Buy</v>
      </c>
      <c r="AU3" s="299" t="str">
        <f ca="1">IF(           AND(TabCalc[[#This Row],[E]]&lt;=0,          TabCalc[[#This Row],[A]]&gt;MIN(TabCalc[[#This Row],[M]],TabCalc[[#This Row],[L_Sp]]),             TabCalc[[#This Row],[L_Sp]]&lt;=TabCalc[[#This Row],[M]]),                       "S_more","")</f>
        <v/>
      </c>
      <c r="AV3" s="82" t="str" cm="1">
        <f t="array" aca="1" ref="AV3" ca="1">IFERROR(_xlfn.IFS(TabCalc[[#This Row],[E]]&gt;0,"Free trade",                 TabCalc[[#This Row],[A]]&lt;MAX(ABS(TabCalc[[#This Row],[L_Bp]]),TabCalc[[#This Row],[A]]),"Sell",             TabCalc[[#This Row],[M]]&gt;ABS(TabCalc[[#This Row],[L_Bp]]),"Resell",             TabCalc[[#This Row],[M]]&lt;ABS(TabCalc[[#This Row],[L_Bp]]),"B_more"),"")</f>
        <v>Sell</v>
      </c>
      <c r="AW3" s="82">
        <f ca="1">TabCalc[[#This Row],[NAfter]]-TabCalc[[#This Row],[Nbegin]]</f>
        <v>5000</v>
      </c>
      <c r="AX3" s="307">
        <f ca="1">IFERROR((TabCalc[[#This Row],[M]]-TabCalc[[#This Row],[Y]])*(TabCalc[[#This Row],[M]]-TabCalc[[#This Row],[Y]])*(TabCalc[[#This Row],[M]]-TabCalc[[#This Row],[Y]])/(TabCalc[[#This Row],[Y]]*TabCalc[[#This Row],[M]]),"")</f>
        <v>4.8193570388187959E-2</v>
      </c>
      <c r="AY3" s="82">
        <f t="shared" ref="AY3:AY36" ca="1" si="1">IF(G3&lt;C3,C3-G3,0)</f>
        <v>0</v>
      </c>
      <c r="AZ3" s="90">
        <f ca="1">[1]!RTData[[#This Row],[V/VA]]</f>
        <v>0.72655349107793532</v>
      </c>
      <c r="BA3" s="90" t="str" cm="1">
        <f t="array" aca="1" ref="BA3" ca="1">IFERROR(_xlfn.IFS(TabCalc[[#This Row],[Cur]]="USD",Timer!F$27,TabCalc[[#This Row],[Cur]]="EUR",Timer!F$18,TabCalc[[#This Row],[Cur]]="GBP",Timer!F$12,TabCalc[[#This Row],[Cur]]="CAD",Timer!F$27,TabCalc[[#This Row],[Cur]]="JPY",Timer!F$31,TabCalc[[#This Row],[Cur]]="CHF",Timer!F$18),"Timing")</f>
        <v>None-Working Day</v>
      </c>
      <c r="BB3" s="90">
        <f ca="1">IF(ISNUMBER(TabCalc[[#This Row],[TimeEX]]),TabCalc[[#This Row],[V/VA]]/TabCalc[[#This Row],[TimeEX]],TabCalc[[#This Row],[V/VA]])</f>
        <v>0.72655349107793532</v>
      </c>
      <c r="BC3" s="87" cm="1">
        <f t="array" aca="1" ref="BC3" ca="1">INDEX(TabReg[], 1, _xlfn.XMATCH(TabCalc[[#This Row],[Ticker]]&amp;1, TabReg[#Headers], 0))</f>
        <v>5000</v>
      </c>
      <c r="BD3" s="161">
        <f ca="1">TabCalc[[#This Row],[Nbegin]]*TabCalc[[#This Row],[M]]*TabCalc[[#This Row],[Scale]]+TabCalc[[#This Row],[ValueBegin]]</f>
        <v>776800</v>
      </c>
      <c r="BE3" s="335" t="str" cm="1">
        <f t="array" aca="1" ref="BE3" ca="1">_xlfn.IFS(TabCalc[[#This Row],[Cost+Gain]]&gt;0,"Free",             TabCalc[[#This Row],[GL]]&gt;0,"Gainer",                TRUE,"Looser")</f>
        <v>Gainer</v>
      </c>
      <c r="BF3" s="161">
        <f ca="1">TabCalc[[#This Row],[Tot_Paid]]-TabCalc[[#This Row],[ValueBegin]]</f>
        <v>-2155765.4221859998</v>
      </c>
      <c r="BG3" s="337">
        <f ca="1">IF(TabCalc[[#This Row],[EfCost]]&gt;TabCalc[[#This Row],[ValueBegin]],       0,        TabCalc[[#This Row],[EfCost]]-TabCalc[[#This Row],[ValueBegin]]*(1+Commission))</f>
        <v>-1009210.1449999998</v>
      </c>
      <c r="BH3" s="338">
        <f ca="1">TabCalc[[#This Row],[M_V]]+TabCalc[[#This Row],[ValueBegin]]</f>
        <v>2090900</v>
      </c>
      <c r="BI3" s="161" cm="1">
        <f t="array" aca="1" ref="BI3" ca="1">SUMPRODUCT(_xlfn._xlws.FILTER(INDIRECT("TabReg["&amp;TabCalc[[#This Row],[Ticker]]&amp;"1]") * INDIRECT("TabReg["&amp;TabCalc[[#This Row],[Ticker]]&amp;"2]"), INDIRECT("TabReg["&amp;TabCalc[[#This Row],[Ticker]]&amp;"2]")&lt;0))*(1+Commission)*TabCalc[[#This Row],[Scale]]</f>
        <v>-2693065.4221859998</v>
      </c>
      <c r="BJ3" s="161" cm="1">
        <f t="array" aca="1" ref="BJ3" ca="1">SUMPRODUCT(IF(INDIRECT("TabReg["&amp;TabCalc[[#This Row],[Ticker]]&amp;"2]") ="", 0, INDIRECT("TabReg["&amp;TabCalc[[#This Row],[Ticker]]&amp;"1]") * INDIRECT("TabReg["&amp;TabCalc[[#This Row],[Ticker]]&amp;"2]") ))*TabCalc[[#This Row],[Scale]]</f>
        <v>-1547907.1249999998</v>
      </c>
      <c r="BK3" s="161" cm="1">
        <f t="array" aca="1" ref="BK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1135215.2313389999</v>
      </c>
      <c r="BL3" s="161">
        <f ca="1">TabCalc[[#This Row],[M_V]]+TabCalc[[#This Row],[EfCost]]</f>
        <v>1080292.8750000002</v>
      </c>
      <c r="BM3" s="161">
        <f ca="1">IF(        OR( TabCalc[[#This Row],[GL]]&gt;ABS(TabCalc[[#This Row],[EfCost]]),TabCalc[[#This Row],[NAfter]]=0),             TabCalc[[#This Row],[GL]],     0)</f>
        <v>0</v>
      </c>
      <c r="BN3" s="161" cm="1">
        <f t="array" aca="1" ref="BN3" ca="1">SUMPRODUCT(_xlfn._xlws.FILTER(IF(INDIRECT("TabReg["&amp;TabCalc[[#This Row],[Ticker]]&amp;"2]") ="", 0, INDIRECT("TabReg["&amp;TabCalc[[#This Row],[Ticker]]&amp;"1]")  ),  INDIRECT("TabReg["&amp;TabCalc[[#This Row],[Ticker]]&amp;"2]") &lt; 0))</f>
        <v>15100</v>
      </c>
      <c r="BO3" s="161">
        <f ca="1">TabCalc[[#This Row],[SB]]-TabCalc[[#This Row],[Nbegin]]</f>
        <v>10100</v>
      </c>
      <c r="BP3" s="161" cm="1">
        <f t="array" aca="1" ref="BP3" ca="1">IFERROR(SUMPRODUCT(_xlfn._xlws.FILTER(IF(INDIRECT("TabReg["&amp;TabCalc[[#This Row],[Ticker]]&amp;"2]") ="", 0, INDIRECT("TabReg["&amp;TabCalc[[#This Row],[Ticker]]&amp;"1]")  ),  INDIRECT("TabReg["&amp;TabCalc[[#This Row],[Ticker]]&amp;"2]") &gt; 0)),0)</f>
        <v>5100</v>
      </c>
      <c r="BQ3" s="161"/>
      <c r="BR3" s="176" t="str">
        <f ca="1">IF(TabCalc[[#This Row],[EfCost]]+TabCalc[[#This Row],[M_V]]&lt;TabCalc[[#This Row],[NoT_GL]],"Pile","")</f>
        <v/>
      </c>
      <c r="BS3" s="167">
        <f ca="1">[1]!RTData[[#This Row],[Last trade time]]</f>
        <v>45954.999963008595</v>
      </c>
      <c r="BT3" s="177">
        <f ca="1">(TabCalc[[#This Row],[ValueBegin]]+(TabCalc[[#This Row],[M]]-TabCalc[[#This Row],[A]])*TabCalc[[#This Row],[NAfter]])*TabCalc[[#This Row],[Scale]]</f>
        <v>-35447.610000000044</v>
      </c>
      <c r="BU3" s="189" cm="1">
        <f t="array" aca="1" ref="BU3" ca="1">_xlfn.XLOOKUP(TabCalc[[#This Row],[Ticker]],TabReg[[#Headers],[AAPL]:[UnknownX28]],Reg!B$72:KF$72)+3</f>
        <v>26</v>
      </c>
      <c r="BV3" s="190" cm="1">
        <f t="array" aca="1" ref="BV3" ca="1">_xlfn.XLOOKUP(TabCalc[[#This Row],[Ticker]],TabReg[[#Headers],[AAPL]:[UnknownX28]],Reg!B$73:KF$73)+2</f>
        <v>3</v>
      </c>
      <c r="BW3" s="191">
        <f ca="1">IFERROR(MAX(TabCalc[[#This Row],[Max_SD]],TabCalc[[#This Row],[Max_PD]]),0)</f>
        <v>45951</v>
      </c>
      <c r="BX3" s="191" t="str" cm="1">
        <f t="array" aca="1" ref="BX3" ca="1">_xlfn.IFS(TabCalc[[#This Row],[L_TP]]&lt;0,"Purchase",TabCalc[[#This Row],[L_TP]]&gt;0,"Sale")</f>
        <v>Sale</v>
      </c>
      <c r="BY3" s="190" cm="1">
        <f t="array" aca="1" ref="BY3" ca="1">INDEX(Reg!$A$1:$KF$73,TabCalc[[#This Row],[L_I1]],TabCalc[[#This Row],[L_I2]])</f>
        <v>500</v>
      </c>
      <c r="BZ3" s="192" cm="1">
        <f t="array" aca="1" ref="BZ3" ca="1">INDEX(Reg!$A$1:$KF$73,TabCalc[[#This Row],[L_I1]],TabCalc[[#This Row],[L_I2]]+1)</f>
        <v>263.58</v>
      </c>
      <c r="CA3" s="161">
        <f ca="1">TabCalc[[#This Row],[NAfter]]*(TabCalc[[#This Row],[M]]-IF(TabCalc[[#This Row],[E]]&gt;0,0,TabCalc[[#This Row],[A]]))</f>
        <v>501852.38999999996</v>
      </c>
      <c r="CB3" s="167" cm="1">
        <f t="array" aca="1" ref="CB3" ca="1">IFERROR(MIN(_xlfn._xlws.FILTER(INDIRECT("TabReg["&amp;TabCalc[[#This Row],[Ticker]]&amp;"]"), INDIRECT("TabReg["&amp;TabCalc[[#This Row],[Ticker]]&amp;"2]")&gt;0)),0)</f>
        <v>45357</v>
      </c>
      <c r="CC3" s="178" cm="1">
        <f t="array" aca="1" ref="CC3" ca="1">IFERROR(MIN(_xlfn._xlws.FILTER(INDIRECT("TabReg["&amp;TabCalc[[#This Row],[Ticker]]&amp;"1]"), INDIRECT("TabReg["&amp;TabCalc[[#This Row],[Ticker]]&amp;"2]")&gt;0)),0)</f>
        <v>200</v>
      </c>
      <c r="CD3" s="173" cm="1">
        <f t="array" aca="1" ref="CD3" ca="1">IFERROR(MIN(_xlfn._xlws.FILTER(INDIRECT("TabReg["&amp;TabCalc[[#This Row],[Ticker]]&amp;"2]"), INDIRECT("TabReg["&amp;TabCalc[[#This Row],[Ticker]]&amp;"2]")&gt;0)),0)</f>
        <v>193.66</v>
      </c>
      <c r="CE3" s="167" cm="1">
        <f t="array" aca="1" ref="CE3" ca="1">IFERROR(MAX(_xlfn._xlws.FILTER(INDIRECT("TabReg["&amp;TabCalc[[#This Row],[Ticker]]&amp;"]"), INDIRECT("TabReg["&amp;TabCalc[[#This Row],[Ticker]]&amp;"2]")&gt;0)),0)</f>
        <v>45951</v>
      </c>
      <c r="CF3" s="178" cm="1">
        <f t="array" aca="1" ref="CF3" ca="1">IFERROR(MAX(_xlfn._xlws.FILTER(INDIRECT("TabReg["&amp;TabCalc[[#This Row],[Ticker]]&amp;"1]"), INDIRECT("TabReg["&amp;TabCalc[[#This Row],[Ticker]]&amp;"2]")&gt;0)),0)</f>
        <v>1000</v>
      </c>
      <c r="CG3" s="173" cm="1">
        <f t="array" aca="1" ref="CG3" ca="1">IFERROR(MAX(_xlfn._xlws.FILTER(INDIRECT("TabReg["&amp;TabCalc[[#This Row],[Ticker]]&amp;"2]"), INDIRECT("TabReg["&amp;TabCalc[[#This Row],[Ticker]]&amp;"2]")&gt;0)),0)</f>
        <v>263.58</v>
      </c>
      <c r="CH3" s="167" cm="1">
        <f t="array" aca="1" ref="CH3" ca="1">MIN(_xlfn._xlws.FILTER(INDIRECT("TabReg["&amp;TabCalc[[#This Row],[Ticker]]&amp;"]"), INDIRECT("TabReg["&amp;TabCalc[[#This Row],[Ticker]]&amp;"2]")&lt;0))</f>
        <v>40544</v>
      </c>
      <c r="CI3" s="177" cm="1">
        <f t="array" aca="1" ref="CI3" ca="1">MIN(_xlfn._xlws.FILTER(INDIRECT("TabReg["&amp;TabCalc[[#This Row],[Ticker]]&amp;"1]"), INDIRECT("TabReg["&amp;TabCalc[[#This Row],[Ticker]]&amp;"2]")&lt;0))</f>
        <v>200</v>
      </c>
      <c r="CJ3" s="173" cm="1">
        <f t="array" aca="1" ref="CJ3" ca="1">MIN(_xlfn._xlws.FILTER(INDIRECT("TabReg["&amp;TabCalc[[#This Row],[Ticker]]&amp;"2]"), INDIRECT("TabReg["&amp;TabCalc[[#This Row],[Ticker]]&amp;"2]")&lt;0))</f>
        <v>-248.52</v>
      </c>
      <c r="CK3" s="167" cm="1">
        <f t="array" aca="1" ref="CK3" ca="1">MAX(_xlfn._xlws.FILTER(INDIRECT("TabReg["&amp;TabCalc[[#This Row],[Ticker]]&amp;"]"), INDIRECT("TabReg["&amp;TabCalc[[#This Row],[Ticker]]&amp;"2]")&lt;0))</f>
        <v>45943</v>
      </c>
      <c r="CL3" s="177" cm="1">
        <f t="array" aca="1" ref="CL3" ca="1">MAX(_xlfn._xlws.FILTER(INDIRECT("TabReg["&amp;TabCalc[[#This Row],[Ticker]]&amp;"1]"), INDIRECT("TabReg["&amp;TabCalc[[#This Row],[Ticker]]&amp;"2]")&lt;0))</f>
        <v>5000</v>
      </c>
      <c r="CM3" s="173" cm="1">
        <f t="array" aca="1" ref="CM3" ca="1">MAX(_xlfn._xlws.FILTER(INDIRECT("TabReg["&amp;TabCalc[[#This Row],[Ticker]]&amp;"2]"), INDIRECT("TabReg["&amp;TabCalc[[#This Row],[Ticker]]&amp;"2]")&lt;0))</f>
        <v>-107.46</v>
      </c>
      <c r="CN3" s="167" cm="1">
        <f t="array" aca="1" ref="CN3" ca="1">IFERROR(_xlfn.XLOOKUP(TabCalc[[#This Row],[BS2P]],INDIRECT("TabReg["&amp;TabCalc[[#This Row],[Ticker]]&amp;"2]"),INDIRECT("TabReg["&amp;TabCalc[[#This Row],[Ticker]]&amp;"]")),0)</f>
        <v>45939</v>
      </c>
      <c r="CO3" s="300" cm="1">
        <f t="array" aca="1" ref="CO3" ca="1">IFERROR(_xlfn.XLOOKUP(TabCalc[[#This Row],[BS2P]],INDIRECT("TabReg["&amp;TabCalc[[#This Row],[Ticker]]&amp;"2]"),INDIRECT("TabReg["&amp;TabCalc[[#This Row],[Ticker]]&amp;"1]")),0)</f>
        <v>200</v>
      </c>
      <c r="CP3" s="173">
        <f ca="1">_xlfn.MAXIFS(INDIRECT("TabReg["&amp;TabCalc[[#This Row],[Ticker]]&amp;"2]"), INDIRECT("TabReg["&amp;TabCalc[[#This Row],[Ticker]]&amp;"2]"), "&lt;" &amp; MAX(INDIRECT("TabReg["&amp;TabCalc[[#This Row],[Ticker]]&amp;"2]")))</f>
        <v>253.62</v>
      </c>
      <c r="CQ3" s="167" cm="1">
        <f t="array" aca="1" ref="CQ3" ca="1">IFERROR(_xlfn.XLOOKUP(TabCalc[[#This Row],[WB2P]],INDIRECT("TabReg["&amp;TabCalc[[#This Row],[Ticker]]&amp;"2]"),INDIRECT("TabReg["&amp;TabCalc[[#This Row],[Ticker]]&amp;"]")),0)</f>
        <v>45714</v>
      </c>
      <c r="CR3" s="300" cm="1">
        <f t="array" aca="1" ref="CR3" ca="1">IFERROR(_xlfn.XLOOKUP(TabCalc[[#This Row],[WB2P]],INDIRECT("TabReg["&amp;TabCalc[[#This Row],[Ticker]]&amp;"2]"),INDIRECT("TabReg["&amp;TabCalc[[#This Row],[Ticker]]&amp;"1]")),0)</f>
        <v>300</v>
      </c>
      <c r="CS3" s="173">
        <f ca="1">_xlfn.MINIFS(INDIRECT("TabReg["&amp;TabCalc[[#This Row],[Ticker]]&amp;"2]"), INDIRECT("TabReg["&amp;TabCalc[[#This Row],[Ticker]]&amp;"2]"), "&gt;" &amp; MIN(INDIRECT("TabReg["&amp;TabCalc[[#This Row],[Ticker]]&amp;"2]")))</f>
        <v>-240.34</v>
      </c>
      <c r="CT3" s="405">
        <f ca="1">IF(TabCalc[[#This Row],[M]]&lt;TabCalc[[#This Row],[L_Sp]],DesiredBuyGain/(TabCalc[[#This Row],[L_Sp]]-TabCalc[[#This Row],[M]]),0)</f>
        <v>6578.9473684211316</v>
      </c>
      <c r="CU3" s="406">
        <f ca="1">IF(TabCalc[[#This Row],[ntoBuy]]*TabCalc[[#This Row],[M]]&lt;=0,0,TabCalc[[#This Row],[ntoBuy]]*TabCalc[[#This Row],[M]])</f>
        <v>1729078.9473684418</v>
      </c>
      <c r="CV3" s="406">
        <f ca="1">IF(TabCalc[[#This Row],[M]]&gt;ABS(TabCalc[[#This Row],[L_Bp]]),MIN(TabCalc[[#This Row],[NAfter]],DesiredSaleGain/(TabCalc[[#This Row],[M]]+TabCalc[[#This Row],[L_Bp]])),0)/TabCalc[[#This Row],[Scale]]</f>
        <v>349.65034965035005</v>
      </c>
      <c r="CW3" s="407">
        <f ca="1">TabCalc[[#This Row],[ntoSell]]*TabCalc[[#This Row],[M]]</f>
        <v>91895.104895105003</v>
      </c>
      <c r="CX3" s="400">
        <f ca="1">_xlfn.LET(_xlpm.nToSell,IF(TabCalc[[#This Row],[M]]-TabCalc[[#This Row],[A]]&lt;=0,"",INT(DesiredSaleGain/(TabCalc[[#This Row],[M]]-IF(TabCalc[[#This Row],[E]]&gt;0,0,TabCalc[[#This Row],[A]])))),IF(_xlpm.nToSell&lt;=TabCalc[[#This Row],[NAfter]],_xlpm.nToSell,0))</f>
        <v>99</v>
      </c>
      <c r="CY3" s="338">
        <f ca="1">IFERROR(TabCalc[[#This Row],[NMA]]*TabCalc[[#This Row],[M]],"")</f>
        <v>26019.18</v>
      </c>
      <c r="CZ3" s="337" cm="1">
        <f t="array" aca="1" ref="CZ3" ca="1">_xlfn.IFS(TabCalc[[#This Row],[M]]&gt;= TabCalc[[#This Row],[L_Sp]],(TabCalc[[#This Row],[M]]-TabCalc[[#This Row],[A]])*TabCalc[[#This Row],[NAfter]]*TabCalc[[#This Row],[Scale]],           TabCalc[[#This Row],[M]]&lt; TabCalc[[#This Row],[L_Sp]],(TabCalc[[#This Row],[M]]-TabCalc[[#This Row],[A]])*TabCalc[[#This Row],[NAfter]]*TabCalc[[#This Row],[Scale]],               TRUE,"")</f>
        <v>501852.38999999996</v>
      </c>
      <c r="DA3" s="90">
        <f ca="1">IFERROR((TabCalc[[#This Row],[M]]+TabCalc[[#This Row],[L_Bp]])/ABS(TabCalc[[#This Row],[L_Bp]])/(TODAY()-TabCalc[[#This Row],[L_Bdate]])*360,"")</f>
        <v>1.5934331240946382</v>
      </c>
      <c r="DB3" s="312">
        <f ca="1">MEDIAN(DataShift!F704:Z704)</f>
        <v>3.2200000000000002E-3</v>
      </c>
      <c r="DC3" s="312" t="e" cm="1">
        <f t="array" aca="1" ref="DC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 s="88" t="s">
        <v>0</v>
      </c>
      <c r="DN3" s="81">
        <v>5000</v>
      </c>
      <c r="DO3" s="317">
        <v>-107.46</v>
      </c>
    </row>
    <row r="4" spans="1:119">
      <c r="A4" s="120" t="str">
        <f ca="1">_xlfn.XLOOKUP(TabCalc[[#This Row],[Ticker]],[1]!RTData[Ticker symbol],[1]!RTData[Currency])</f>
        <v>USD</v>
      </c>
      <c r="B4" s="121">
        <f ca="1">IF(TabCalc[[#This Row],[Cur]]="GBP",0.01,1)</f>
        <v>1</v>
      </c>
      <c r="C4" s="82">
        <f ca="1">_xlfn.XLOOKUP(TabCalc[[#This Row],[Ticker]],DM$3:DM$96,DN$3:DN$96)</f>
        <v>9000</v>
      </c>
      <c r="D4" s="1254">
        <f ca="1">_xlfn.XLOOKUP(TabCalc[[#This Row],[Ticker]],DM$3:DM$96,DO$3:DO$96)</f>
        <v>-9.8365559999999999</v>
      </c>
      <c r="E4" s="121">
        <f t="shared" ca="1" si="0"/>
        <v>-88529.004000000001</v>
      </c>
      <c r="F4" s="82">
        <f ca="1">TabCalc[[#This Row],[NAfter]]*TabCalc[[#This Row],[M]]*TabCalc[[#This Row],[Scale]]</f>
        <v>85500</v>
      </c>
      <c r="G4" s="82">
        <f ca="1">IFERROR(TabCalc[[#This Row],[SB]]-TabCalc[[#This Row],[SST]],TabCalc[[#This Row],[SB]])</f>
        <v>5000</v>
      </c>
      <c r="H4" s="535" t="str">
        <f ca="1">[1]!RTData[[#This Row],[Ticker symbol]]</f>
        <v>ADEA</v>
      </c>
      <c r="I4" s="385">
        <f ca="1">[1]!RTData[[#This Row],[M-Price]]</f>
        <v>17.100000000000001</v>
      </c>
      <c r="J4" s="384">
        <v>13.074779999999999</v>
      </c>
      <c r="K4" s="383">
        <f>[1]!RTData[[#This Row],[1YT]]</f>
        <v>20.66667</v>
      </c>
      <c r="L4" s="384">
        <f ca="1">IF(OR(TabCalc[[#This Row],[NAfter]]=0,TabCalc[[#This Row],[EfCost]]&gt;0),0,TabCalc[[#This Row],[EfCost]]/TabCalc[[#This Row],[NAfter]]/TabCalc[[#This Row],[Scale]])</f>
        <v>-5.9167810035999979</v>
      </c>
      <c r="M4" s="744">
        <f ca="1">[1]!RTData[[#This Row],[Change%]]</f>
        <v>1.9678000000000001E-2</v>
      </c>
      <c r="N4" s="1172">
        <v>0.16666666666666666</v>
      </c>
      <c r="O4" s="966">
        <f>TabCalc[[#This Row],[Up20]]-1+TabCalc[[#This Row],[Up20]]</f>
        <v>-0.66666666666666674</v>
      </c>
      <c r="P4" s="966">
        <f>TabCalc[[#This Row],[Up20]]-TabCalc[[#This Row],[Up150]]</f>
        <v>-0.35185185185185186</v>
      </c>
      <c r="Q4" s="966">
        <v>0.51851851851851849</v>
      </c>
      <c r="R4" s="966">
        <f>TabCalc[[#This Row],[Up150]]-1+TabCalc[[#This Row],[Up150]]</f>
        <v>3.7037037037036979E-2</v>
      </c>
      <c r="S4" s="966">
        <f>IFERROR(SUMPRODUCT(DataShift!F1498:Z1498,DataShift!AB705:AV705)/SQRT(SUMPRODUCT(DataShift!F1498:Z1498,DataShift!F1498:Z1498)*SUMPRODUCT(DataShift!AB705:AV705,DataShift!AB705:AV705)),0)</f>
        <v>0</v>
      </c>
      <c r="T4" s="966">
        <f ca="1">IFERROR(SUMPRODUCT(DataShift!F1498:Z1498,DataShift!F705:Z705)/SQRT(SUMPRODUCT(DataShift!F1498:Z1498,DataShift!F1498:Z1498)*SUMPRODUCT(DataShift!F705:Z705,DataShift!F705:Z705)),0)</f>
        <v>0</v>
      </c>
      <c r="U4" s="1107">
        <v>5000</v>
      </c>
      <c r="V4" s="1107">
        <v>0</v>
      </c>
      <c r="W4" s="1107">
        <v>0</v>
      </c>
      <c r="X4" s="966" t="str">
        <f ca="1">IF(TabCalc[[#This Row],[EfCost]]+TabCalc[[#This Row],[M_V]]&lt;TabCalc[[#This Row],[NoT_GL]],"Pile","")</f>
        <v>Pile</v>
      </c>
      <c r="Y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 s="213">
        <f ca="1">MIN(TabCalc[[#This Row],[L_Bn]],TabCalc[[#This Row],[NAfter]])*(TabCalc[[#This Row],[M]]+TabCalc[[#This Row],[L_Bp]])*TabCalc[[#This Row],[Scale]]</f>
        <v>541.50000000000023</v>
      </c>
      <c r="AA4" s="210" cm="1">
        <f t="array" aca="1" ref="AA4" ca="1">_xlfn.XLOOKUP(TabCalc[[#This Row],[L_Bp]],INDIRECT("TabReg["&amp;TabCalc[[#This Row],[Ticker]]&amp;"2]"),INDIRECT("TabReg["&amp;TabCalc[[#This Row],[Ticker]]&amp;"]"))</f>
        <v>45855</v>
      </c>
      <c r="AB4" s="181" cm="1">
        <f t="array" aca="1" ref="AB4" ca="1">_xlfn.XLOOKUP(TabCalc[[#This Row],[L_Bp]],INDIRECT("TabReg["&amp;TabCalc[[#This Row],[Ticker]]&amp;"2]"),INDIRECT("TabReg["&amp;TabCalc[[#This Row],[Ticker]]&amp;"1]"))</f>
        <v>190</v>
      </c>
      <c r="AC4" s="192" cm="1">
        <f t="array" aca="1" ref="AC4" ca="1">IFERROR(INDEX(INDIRECT("TabReg["&amp;TabCalc[[#This Row],[Ticker]]&amp;"2]"),    _xlfn.XMATCH(    MAX(    _xlfn._xlws.FILTER(INDIRECT("TabReg["&amp;TabCalc[[#This Row],[Ticker]]&amp;"]"), INDIRECT("TabReg["&amp;TabCalc[[#This Row],[Ticker]]&amp;"2]")&lt;0)     ), INDIRECT("TabReg["&amp;TabCalc[[#This Row],[Ticker]]&amp;"]"),      0)), "")</f>
        <v>-14.25</v>
      </c>
      <c r="AD4" s="213">
        <f ca="1">IFERROR(MIN(TabCalc[[#This Row],[L_B1n]],TabCalc[[#This Row],[NAfter]])*(TabCalc[[#This Row],[M]]+TabCalc[[#This Row],[L_B1p]])*TabCalc[[#This Row],[Scale]],"")</f>
        <v>11424.000000000005</v>
      </c>
      <c r="AE4" s="210" cm="1">
        <f t="array" aca="1" ref="AE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4" s="181" cm="1">
        <f t="array" aca="1" ref="AF4" ca="1">IFERROR(_xlfn.XLOOKUP(TabCalc[[#This Row],[L_B1D]],INDIRECT("TabReg["&amp;TabCalc[[#This Row],[Ticker]]&amp;"]"),INDIRECT("TabReg["&amp;TabCalc[[#This Row],[Ticker]]&amp;"1]")),0)</f>
        <v>2800</v>
      </c>
      <c r="AG4" s="192" cm="1">
        <f t="array" aca="1" ref="AG4" ca="1">IFERROR(_xlfn.XLOOKUP(TabCalc[[#This Row],[L_B1D]],INDIRECT("TabReg["&amp;TabCalc[[#This Row],[Ticker]]&amp;"]"),INDIRECT("TabReg["&amp;TabCalc[[#This Row],[Ticker]]&amp;"2]")),0)</f>
        <v>-13.02</v>
      </c>
      <c r="AH4" s="302">
        <f ca="1">IFERROR(TabCalc[[#This Row],[L_Sn]]*(TabCalc[[#This Row],[L_Sp]]-TabCalc[[#This Row],[M]])*TabCalc[[#This Row],[Scale]],"")</f>
        <v>-240.00000000000199</v>
      </c>
      <c r="AI4" s="210" cm="1">
        <f t="array" aca="1" ref="AI4" ca="1">IFERROR(_xlfn.XLOOKUP(TabCalc[[#This Row],[L_Sp]],INDIRECT("TabReg["&amp;TabCalc[[#This Row],[Ticker]]&amp;"2]"),INDIRECT("TabReg["&amp;TabCalc[[#This Row],[Ticker]]&amp;"]")),0)</f>
        <v>45922</v>
      </c>
      <c r="AJ4" s="181" cm="1">
        <f t="array" aca="1" ref="AJ4" ca="1">IFERROR(_xlfn.XLOOKUP(TabCalc[[#This Row],[L_Sp]],INDIRECT("TabReg["&amp;TabCalc[[#This Row],[Ticker]]&amp;"2]"),INDIRECT("TabReg["&amp;TabCalc[[#This Row],[Ticker]]&amp;"1]")),0)</f>
        <v>1000</v>
      </c>
      <c r="AK4" s="192" cm="1">
        <f t="array" aca="1" ref="AK4" ca="1">IFERROR(INDEX(INDIRECT("TabReg["&amp;TabCalc[[#This Row],[Ticker]]&amp;"2]"), _xlfn.XMATCH(MAX(_xlfn._xlws.FILTER(INDIRECT("TabReg["&amp;TabCalc[[#This Row],[Ticker]]&amp;"]"), INDIRECT("TabReg["&amp;TabCalc[[#This Row],[Ticker]]&amp;"2]")&gt;0)), INDIRECT("TabReg["&amp;TabCalc[[#This Row],[Ticker]]&amp;"]"), 0)), 0)</f>
        <v>16.86</v>
      </c>
      <c r="AL4" s="214">
        <f ca="1">IFERROR(TabCalc[[#This Row],[L_S1n]]*(TabCalc[[#This Row],[L_S1p]]-TabCalc[[#This Row],[M]])*TabCalc[[#This Row],[Scale]],0)</f>
        <v>-1285.6999999999991</v>
      </c>
      <c r="AM4" s="210" cm="1">
        <f t="array" aca="1" ref="AM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N4" s="181" cm="1">
        <f t="array" aca="1" ref="AN4" ca="1">IFERROR(_xlfn.XLOOKUP(TabCalc[[#This Row],[L_S1D]],INDIRECT("TabReg["&amp;TabCalc[[#This Row],[Ticker]]&amp;"]"),INDIRECT("TabReg["&amp;TabCalc[[#This Row],[Ticker]]&amp;"1]")),0)</f>
        <v>2990</v>
      </c>
      <c r="AO4" s="384" cm="1">
        <f t="array" aca="1" ref="AO4" ca="1">IFERROR(_xlfn.XLOOKUP(TabCalc[[#This Row],[L_S1D]],INDIRECT("TabReg["&amp;TabCalc[[#This Row],[Ticker]]&amp;"]"),INDIRECT("TabReg["&amp;TabCalc[[#This Row],[Ticker]]&amp;"2]")),0)</f>
        <v>16.670000000000002</v>
      </c>
      <c r="AP4" s="336">
        <f ca="1">_xlfn.LET(_xlpm.MVOpen,[1]!RTData[[#This Row],[Open]]*TabCalc[[#This Row],[NAfter]],_xlpm.MVNow,TabCalc[[#This Row],[M]]*TabCalc[[#This Row],[NAfter]],_xlpm.MVNow-_xlpm.MVOpen)*TabCalc[[#This Row],[Scale]]</f>
        <v>50</v>
      </c>
      <c r="AQ4" s="336">
        <f ca="1">_xlfn.LET(_xlpm.MVToday,DataShift!AV506,         _xlpm.MVY,DataShift!AU506,        _xlpm.MVYY, DataShift!AT506,                                IF(_xlpm.MVToday=_xlpm.MVY,_xlpm.MVY-_xlpm.MVYY,_xlpm.MVToday-_xlpm.MVY))</f>
        <v>1650</v>
      </c>
      <c r="AR4" s="336">
        <f ca="1">_xlfn.LET(_xlpm.MVToday,DataShift!AV506,         _xlpm.MVY,DataShift!AU506,        _xlpm.MVYY, DataShift!AT506,         _xlpm.MVYYY, DataShift!AS506,                      IF(_xlpm.MVToday=_xlpm.MVY,      _xlpm.MVYY-_xlpm.MVYYY,          _xlpm.MVY-_xlpm.MVYY))</f>
        <v>-250</v>
      </c>
      <c r="AS4" s="1078">
        <f ca="1">TabCalc[[#This Row],[Y]]/TabCalc[[#This Row],[M]]</f>
        <v>1.208577192982456</v>
      </c>
      <c r="AT4" s="299" t="str" cm="1">
        <f t="array" aca="1" ref="AT4" ca="1">IFERROR(_xlfn.IFS(          TabCalc[[#This Row],[E]]&gt;0, "Free Trade",      TabCalc[[#This Row],[A]]&lt;MIN(TabCalc[[#This Row],[L_Sp]],TabCalc[[#This Row],[M]]), "Buy",            TabCalc[[#This Row],[M]]&lt;TabCalc[[#This Row],[L_Sp]],       "Refill",       TabCalc[[#This Row],[M]]&gt;TabCalc[[#This Row],[L_Sp]],"S_more"),"")</f>
        <v>Buy</v>
      </c>
      <c r="AU4" s="299" t="str">
        <f ca="1">IF(           AND(TabCalc[[#This Row],[E]]&lt;=0,          TabCalc[[#This Row],[A]]&gt;MIN(TabCalc[[#This Row],[M]],TabCalc[[#This Row],[L_Sp]]),             TabCalc[[#This Row],[L_Sp]]&lt;=TabCalc[[#This Row],[M]]),                       "S_more","")</f>
        <v/>
      </c>
      <c r="AV4" s="82" t="str" cm="1">
        <f t="array" aca="1" ref="AV4" ca="1">IFERROR(_xlfn.IFS(TabCalc[[#This Row],[E]]&gt;0,"Free trade",                 TabCalc[[#This Row],[A]]&lt;MAX(ABS(TabCalc[[#This Row],[L_Bp]]),TabCalc[[#This Row],[A]]),"Sell",             TabCalc[[#This Row],[M]]&gt;ABS(TabCalc[[#This Row],[L_Bp]]),"Resell",             TabCalc[[#This Row],[M]]&lt;ABS(TabCalc[[#This Row],[L_Bp]]),"B_more"),"")</f>
        <v>Sell</v>
      </c>
      <c r="AW4" s="82">
        <f ca="1">TabCalc[[#This Row],[NAfter]]-TabCalc[[#This Row],[Nbegin]]</f>
        <v>-4000</v>
      </c>
      <c r="AX4" s="307">
        <f ca="1">IFERROR((TabCalc[[#This Row],[M]]-TabCalc[[#This Row],[Y]])*(TabCalc[[#This Row],[M]]-TabCalc[[#This Row],[Y]])*(TabCalc[[#This Row],[M]]-TabCalc[[#This Row],[Y]])/(TabCalc[[#This Row],[Y]]*TabCalc[[#This Row],[M]]),"")</f>
        <v>-0.12838733122839566</v>
      </c>
      <c r="AY4" s="82">
        <f t="shared" ca="1" si="1"/>
        <v>4000</v>
      </c>
      <c r="AZ4" s="90">
        <f ca="1">[1]!RTData[[#This Row],[V/VA]]</f>
        <v>0.68498517708641593</v>
      </c>
      <c r="BA4" s="90" t="str" cm="1">
        <f t="array" aca="1" ref="BA4" ca="1">IFERROR(_xlfn.IFS(TabCalc[[#This Row],[Cur]]="USD",Timer!F$27,TabCalc[[#This Row],[Cur]]="EUR",Timer!F$18,TabCalc[[#This Row],[Cur]]="GBP",Timer!F$12,TabCalc[[#This Row],[Cur]]="CAD",Timer!F$27,TabCalc[[#This Row],[Cur]]="JPY",Timer!F$31,TabCalc[[#This Row],[Cur]]="CHF",Timer!F$18),"Timing")</f>
        <v>None-Working Day</v>
      </c>
      <c r="BB4" s="90">
        <f ca="1">IF(ISNUMBER(TabCalc[[#This Row],[TimeEX]]),TabCalc[[#This Row],[V/VA]]/TabCalc[[#This Row],[TimeEX]],TabCalc[[#This Row],[V/VA]])</f>
        <v>0.68498517708641593</v>
      </c>
      <c r="BC4" s="87" cm="1">
        <f t="array" aca="1" ref="BC4" ca="1">INDEX(TabReg[], 1, _xlfn.XMATCH(TabCalc[[#This Row],[Ticker]]&amp;1, TabReg[#Headers], 0))</f>
        <v>9000</v>
      </c>
      <c r="BD4" s="161">
        <f ca="1">TabCalc[[#This Row],[Nbegin]]*TabCalc[[#This Row],[M]]*TabCalc[[#This Row],[Scale]]+TabCalc[[#This Row],[ValueBegin]]</f>
        <v>65370.995999999999</v>
      </c>
      <c r="BE4" s="336" t="str" cm="1">
        <f t="array" aca="1" ref="BE4" ca="1">_xlfn.IFS(TabCalc[[#This Row],[Cost+Gain]]&gt;0,"Free",             TabCalc[[#This Row],[GL]]&gt;0,"Gainer",                TRUE,"Looser")</f>
        <v>Free</v>
      </c>
      <c r="BF4" s="161">
        <f ca="1">TabCalc[[#This Row],[Tot_Paid]]-TabCalc[[#This Row],[ValueBegin]]</f>
        <v>-242130.25463044678</v>
      </c>
      <c r="BG4" s="337">
        <f ca="1">IF(TabCalc[[#This Row],[EfCost]]&gt;TabCalc[[#This Row],[ValueBegin]],       0,        TabCalc[[#This Row],[EfCost]]-TabCalc[[#This Row],[ValueBegin]]*(1+Commission))</f>
        <v>0</v>
      </c>
      <c r="BH4" s="338">
        <f ca="1">TabCalc[[#This Row],[M_V]]+TabCalc[[#This Row],[ValueBegin]]</f>
        <v>-3029.0040000000008</v>
      </c>
      <c r="BI4" s="161" cm="1">
        <f t="array" aca="1" ref="BI4" ca="1">SUMPRODUCT(_xlfn._xlws.FILTER(INDIRECT("TabReg["&amp;TabCalc[[#This Row],[Ticker]]&amp;"1]") * INDIRECT("TabReg["&amp;TabCalc[[#This Row],[Ticker]]&amp;"2]"), INDIRECT("TabReg["&amp;TabCalc[[#This Row],[Ticker]]&amp;"2]")&lt;0))*(1+Commission)*TabCalc[[#This Row],[Scale]]</f>
        <v>-330659.2586304468</v>
      </c>
      <c r="BJ4" s="161" cm="1">
        <f t="array" aca="1" ref="BJ4" ca="1">SUMPRODUCT(IF(INDIRECT("TabReg["&amp;TabCalc[[#This Row],[Ticker]]&amp;"2]") ="", 0, INDIRECT("TabReg["&amp;TabCalc[[#This Row],[Ticker]]&amp;"1]") * INDIRECT("TabReg["&amp;TabCalc[[#This Row],[Ticker]]&amp;"2]") ))*TabCalc[[#This Row],[Scale]]</f>
        <v>-29583.90501799999</v>
      </c>
      <c r="BK4" s="161" cm="1">
        <f t="array" aca="1" ref="BK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299437.30254060001</v>
      </c>
      <c r="BL4" s="161">
        <f ca="1">TabCalc[[#This Row],[M_V]]+TabCalc[[#This Row],[EfCost]]</f>
        <v>55916.09498200001</v>
      </c>
      <c r="BM4" s="161">
        <f ca="1">IF(        OR( TabCalc[[#This Row],[GL]]&gt;ABS(TabCalc[[#This Row],[EfCost]]),TabCalc[[#This Row],[NAfter]]=0),             TabCalc[[#This Row],[GL]],     0)</f>
        <v>55916.09498200001</v>
      </c>
      <c r="BN4" s="161" cm="1">
        <f t="array" aca="1" ref="BN4" ca="1">SUMPRODUCT(_xlfn._xlws.FILTER(IF(INDIRECT("TabReg["&amp;TabCalc[[#This Row],[Ticker]]&amp;"2]") ="", 0, INDIRECT("TabReg["&amp;TabCalc[[#This Row],[Ticker]]&amp;"1]")  ),  INDIRECT("TabReg["&amp;TabCalc[[#This Row],[Ticker]]&amp;"2]") &lt; 0))</f>
        <v>27970</v>
      </c>
      <c r="BO4" s="161">
        <f ca="1">TabCalc[[#This Row],[SB]]-TabCalc[[#This Row],[Nbegin]]</f>
        <v>18970</v>
      </c>
      <c r="BP4" s="161" cm="1">
        <f t="array" aca="1" ref="BP4" ca="1">IFERROR(SUMPRODUCT(_xlfn._xlws.FILTER(IF(INDIRECT("TabReg["&amp;TabCalc[[#This Row],[Ticker]]&amp;"2]") ="", 0, INDIRECT("TabReg["&amp;TabCalc[[#This Row],[Ticker]]&amp;"1]")  ),  INDIRECT("TabReg["&amp;TabCalc[[#This Row],[Ticker]]&amp;"2]") &gt; 0)),0)</f>
        <v>22970</v>
      </c>
      <c r="BQ4"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 s="176" t="str">
        <f ca="1">IF(TabCalc[[#This Row],[EfCost]]+TabCalc[[#This Row],[M_V]]&lt;TabCalc[[#This Row],[NoT_GL]],"Pile","")</f>
        <v>Pile</v>
      </c>
      <c r="BS4" s="167">
        <f ca="1">[1]!RTData[[#This Row],[Last trade time]]</f>
        <v>45954.970231885934</v>
      </c>
      <c r="BT4" s="177">
        <f ca="1">(TabCalc[[#This Row],[ValueBegin]]+(TabCalc[[#This Row],[M]]-TabCalc[[#This Row],[A]])*TabCalc[[#This Row],[NAfter]])*TabCalc[[#This Row],[Scale]]</f>
        <v>-68402.90399999998</v>
      </c>
      <c r="BU4" s="189" cm="1">
        <f t="array" aca="1" ref="BU4" ca="1">_xlfn.XLOOKUP(TabCalc[[#This Row],[Ticker]],TabReg[[#Headers],[AAPL]:[UnknownX28]],Reg!B$72:KF$72)+3</f>
        <v>18</v>
      </c>
      <c r="BV4" s="190" cm="1">
        <f t="array" aca="1" ref="BV4" ca="1">_xlfn.XLOOKUP(TabCalc[[#This Row],[Ticker]],TabReg[[#Headers],[AAPL]:[UnknownX28]],Reg!B$73:KF$73)+2</f>
        <v>6</v>
      </c>
      <c r="BW4" s="191">
        <f ca="1">IFERROR(MAX(TabCalc[[#This Row],[Max_SD]],TabCalc[[#This Row],[Max_PD]]),0)</f>
        <v>45922</v>
      </c>
      <c r="BX4" s="191" t="str" cm="1">
        <f t="array" aca="1" ref="BX4" ca="1">_xlfn.IFS(TabCalc[[#This Row],[L_TP]]&lt;0,"Purchase",TabCalc[[#This Row],[L_TP]]&gt;0,"Sale")</f>
        <v>Sale</v>
      </c>
      <c r="BY4" s="190" cm="1">
        <f t="array" aca="1" ref="BY4" ca="1">INDEX(Reg!$A$1:$KF$73,TabCalc[[#This Row],[L_I1]],TabCalc[[#This Row],[L_I2]])</f>
        <v>1000</v>
      </c>
      <c r="BZ4" s="192" cm="1">
        <f t="array" aca="1" ref="BZ4" ca="1">INDEX(Reg!$A$1:$KF$73,TabCalc[[#This Row],[L_I1]],TabCalc[[#This Row],[L_I2]]+1)</f>
        <v>16.86</v>
      </c>
      <c r="CA4" s="161">
        <f ca="1">TabCalc[[#This Row],[NAfter]]*(TabCalc[[#This Row],[M]]-IF(TabCalc[[#This Row],[E]]&gt;0,0,TabCalc[[#This Row],[A]]))</f>
        <v>20126.100000000013</v>
      </c>
      <c r="CB4" s="167" cm="1">
        <f t="array" aca="1" ref="CB4" ca="1">IFERROR(MIN(_xlfn._xlws.FILTER(INDIRECT("TabReg["&amp;TabCalc[[#This Row],[Ticker]]&amp;"]"), INDIRECT("TabReg["&amp;TabCalc[[#This Row],[Ticker]]&amp;"2]")&gt;0)),0)</f>
        <v>45369</v>
      </c>
      <c r="CC4" s="178" cm="1">
        <f t="array" aca="1" ref="CC4" ca="1">IFERROR(MIN(_xlfn._xlws.FILTER(INDIRECT("TabReg["&amp;TabCalc[[#This Row],[Ticker]]&amp;"1]"), INDIRECT("TabReg["&amp;TabCalc[[#This Row],[Ticker]]&amp;"2]")&gt;0)),0)</f>
        <v>1000</v>
      </c>
      <c r="CD4" s="173" cm="1">
        <f t="array" aca="1" ref="CD4" ca="1">IFERROR(MIN(_xlfn._xlws.FILTER(INDIRECT("TabReg["&amp;TabCalc[[#This Row],[Ticker]]&amp;"2]"), INDIRECT("TabReg["&amp;TabCalc[[#This Row],[Ticker]]&amp;"2]")&gt;0)),0)</f>
        <v>10.8331</v>
      </c>
      <c r="CE4" s="167" cm="1">
        <f t="array" aca="1" ref="CE4" ca="1">IFERROR(MAX(_xlfn._xlws.FILTER(INDIRECT("TabReg["&amp;TabCalc[[#This Row],[Ticker]]&amp;"]"), INDIRECT("TabReg["&amp;TabCalc[[#This Row],[Ticker]]&amp;"2]")&gt;0)),0)</f>
        <v>45922</v>
      </c>
      <c r="CF4" s="178" cm="1">
        <f t="array" aca="1" ref="CF4" ca="1">IFERROR(MAX(_xlfn._xlws.FILTER(INDIRECT("TabReg["&amp;TabCalc[[#This Row],[Ticker]]&amp;"1]"), INDIRECT("TabReg["&amp;TabCalc[[#This Row],[Ticker]]&amp;"2]")&gt;0)),0)</f>
        <v>6990</v>
      </c>
      <c r="CG4" s="173" cm="1">
        <f t="array" aca="1" ref="CG4" ca="1">IFERROR(MAX(_xlfn._xlws.FILTER(INDIRECT("TabReg["&amp;TabCalc[[#This Row],[Ticker]]&amp;"2]"), INDIRECT("TabReg["&amp;TabCalc[[#This Row],[Ticker]]&amp;"2]")&gt;0)),0)</f>
        <v>16.86</v>
      </c>
      <c r="CH4" s="167" cm="1">
        <f t="array" aca="1" ref="CH4" ca="1">MIN(_xlfn._xlws.FILTER(INDIRECT("TabReg["&amp;TabCalc[[#This Row],[Ticker]]&amp;"]"), INDIRECT("TabReg["&amp;TabCalc[[#This Row],[Ticker]]&amp;"2]")&lt;0))</f>
        <v>40544</v>
      </c>
      <c r="CI4" s="177" cm="1">
        <f t="array" aca="1" ref="CI4" ca="1">MIN(_xlfn._xlws.FILTER(INDIRECT("TabReg["&amp;TabCalc[[#This Row],[Ticker]]&amp;"1]"), INDIRECT("TabReg["&amp;TabCalc[[#This Row],[Ticker]]&amp;"2]")&lt;0))</f>
        <v>190</v>
      </c>
      <c r="CJ4" s="173" cm="1">
        <f t="array" aca="1" ref="CJ4" ca="1">MIN(_xlfn._xlws.FILTER(INDIRECT("TabReg["&amp;TabCalc[[#This Row],[Ticker]]&amp;"2]"), INDIRECT("TabReg["&amp;TabCalc[[#This Row],[Ticker]]&amp;"2]")&lt;0))</f>
        <v>-14.25</v>
      </c>
      <c r="CK4" s="167" cm="1">
        <f t="array" aca="1" ref="CK4" ca="1">MAX(_xlfn._xlws.FILTER(INDIRECT("TabReg["&amp;TabCalc[[#This Row],[Ticker]]&amp;"]"), INDIRECT("TabReg["&amp;TabCalc[[#This Row],[Ticker]]&amp;"2]")&lt;0))</f>
        <v>45855</v>
      </c>
      <c r="CL4" s="177" cm="1">
        <f t="array" aca="1" ref="CL4" ca="1">MAX(_xlfn._xlws.FILTER(INDIRECT("TabReg["&amp;TabCalc[[#This Row],[Ticker]]&amp;"1]"), INDIRECT("TabReg["&amp;TabCalc[[#This Row],[Ticker]]&amp;"2]")&lt;0))</f>
        <v>9000</v>
      </c>
      <c r="CM4" s="173" cm="1">
        <f t="array" aca="1" ref="CM4" ca="1">MAX(_xlfn._xlws.FILTER(INDIRECT("TabReg["&amp;TabCalc[[#This Row],[Ticker]]&amp;"2]"), INDIRECT("TabReg["&amp;TabCalc[[#This Row],[Ticker]]&amp;"2]")&lt;0))</f>
        <v>-9.8365559999999999</v>
      </c>
      <c r="CN4" s="167" cm="1">
        <f t="array" aca="1" ref="CN4" ca="1">IFERROR(_xlfn.XLOOKUP(TabCalc[[#This Row],[BS2P]],INDIRECT("TabReg["&amp;TabCalc[[#This Row],[Ticker]]&amp;"2]"),INDIRECT("TabReg["&amp;TabCalc[[#This Row],[Ticker]]&amp;"]")),0)</f>
        <v>45712</v>
      </c>
      <c r="CO4" s="178" cm="1">
        <f t="array" aca="1" ref="CO4" ca="1">IFERROR(_xlfn.XLOOKUP(TabCalc[[#This Row],[BS2P]],INDIRECT("TabReg["&amp;TabCalc[[#This Row],[Ticker]]&amp;"2]"),INDIRECT("TabReg["&amp;TabCalc[[#This Row],[Ticker]]&amp;"1]")),0)</f>
        <v>2990</v>
      </c>
      <c r="CP4" s="173">
        <f ca="1">_xlfn.MAXIFS(INDIRECT("TabReg["&amp;TabCalc[[#This Row],[Ticker]]&amp;"2]"), INDIRECT("TabReg["&amp;TabCalc[[#This Row],[Ticker]]&amp;"2]"), "&lt;" &amp; MAX(INDIRECT("TabReg["&amp;TabCalc[[#This Row],[Ticker]]&amp;"2]")))</f>
        <v>16.670000000000002</v>
      </c>
      <c r="CQ4" s="167" cm="1">
        <f t="array" aca="1" ref="CQ4" ca="1">IFERROR(_xlfn.XLOOKUP(TabCalc[[#This Row],[WB2P]],INDIRECT("TabReg["&amp;TabCalc[[#This Row],[Ticker]]&amp;"2]"),INDIRECT("TabReg["&amp;TabCalc[[#This Row],[Ticker]]&amp;"]")),0)</f>
        <v>45608</v>
      </c>
      <c r="CR4" s="178" cm="1">
        <f t="array" aca="1" ref="CR4" ca="1">IFERROR(_xlfn.XLOOKUP(TabCalc[[#This Row],[WB2P]],INDIRECT("TabReg["&amp;TabCalc[[#This Row],[Ticker]]&amp;"2]"),INDIRECT("TabReg["&amp;TabCalc[[#This Row],[Ticker]]&amp;"1]")),0)</f>
        <v>3000</v>
      </c>
      <c r="CS4" s="173">
        <f ca="1">_xlfn.MINIFS(INDIRECT("TabReg["&amp;TabCalc[[#This Row],[Ticker]]&amp;"2]"), INDIRECT("TabReg["&amp;TabCalc[[#This Row],[Ticker]]&amp;"2]"), "&gt;" &amp; MIN(INDIRECT("TabReg["&amp;TabCalc[[#This Row],[Ticker]]&amp;"2]")))</f>
        <v>-14.02</v>
      </c>
      <c r="CT4" s="405">
        <f ca="1">IF(TabCalc[[#This Row],[M]]&lt;TabCalc[[#This Row],[L_Sp]],DesiredBuyGain/(TabCalc[[#This Row],[L_Sp]]-TabCalc[[#This Row],[M]]),0)</f>
        <v>0</v>
      </c>
      <c r="CU4" s="406">
        <f ca="1">IF(TabCalc[[#This Row],[ntoBuy]]*TabCalc[[#This Row],[M]]&lt;=0,0,TabCalc[[#This Row],[ntoBuy]]*TabCalc[[#This Row],[M]])</f>
        <v>0</v>
      </c>
      <c r="CV4" s="406">
        <f ca="1">IF(TabCalc[[#This Row],[M]]&gt;ABS(TabCalc[[#This Row],[L_Bp]]),MIN(TabCalc[[#This Row],[NAfter]],DesiredSaleGain/(TabCalc[[#This Row],[M]]+TabCalc[[#This Row],[L_Bp]])),0)/TabCalc[[#This Row],[Scale]]</f>
        <v>1754.3859649122799</v>
      </c>
      <c r="CW4" s="407">
        <f ca="1">TabCalc[[#This Row],[ntoSell]]*TabCalc[[#This Row],[M]]</f>
        <v>29999.999999999989</v>
      </c>
      <c r="CX4" s="400">
        <f ca="1">_xlfn.LET(_xlpm.nToSell,IF(TabCalc[[#This Row],[M]]-TabCalc[[#This Row],[A]]&lt;=0,"",INT(DesiredSaleGain/(TabCalc[[#This Row],[M]]-IF(TabCalc[[#This Row],[E]]&gt;0,0,TabCalc[[#This Row],[A]])))),IF(_xlpm.nToSell&lt;=TabCalc[[#This Row],[NAfter]],_xlpm.nToSell,0))</f>
        <v>1242</v>
      </c>
      <c r="CY4" s="338">
        <f ca="1">IFERROR(TabCalc[[#This Row],[NMA]]*TabCalc[[#This Row],[M]],"")</f>
        <v>21238.2</v>
      </c>
      <c r="CZ4" s="337" cm="1">
        <f t="array" aca="1" ref="CZ4" ca="1">_xlfn.IFS(TabCalc[[#This Row],[M]]&gt;= TabCalc[[#This Row],[L_Sp]],(TabCalc[[#This Row],[M]]-TabCalc[[#This Row],[A]])*TabCalc[[#This Row],[NAfter]]*TabCalc[[#This Row],[Scale]],           TabCalc[[#This Row],[M]]&lt; TabCalc[[#This Row],[L_Sp]],(TabCalc[[#This Row],[M]]-TabCalc[[#This Row],[A]])*TabCalc[[#This Row],[NAfter]]*TabCalc[[#This Row],[Scale]],               TRUE,"")</f>
        <v>20126.100000000013</v>
      </c>
      <c r="DA4" s="90">
        <f ca="1">IFERROR((TabCalc[[#This Row],[M]]+TabCalc[[#This Row],[L_Bp]])/ABS(TabCalc[[#This Row],[L_Bp]])/(TODAY()-TabCalc[[#This Row],[L_Bdate]])*360,"")</f>
        <v>0.71287128712871317</v>
      </c>
      <c r="DB4" s="312">
        <f ca="1">MEDIAN(DataShift!F705:Z705)</f>
        <v>-1.732E-3</v>
      </c>
      <c r="DC4" s="312" t="e" cm="1">
        <f t="array" aca="1" ref="DC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 s="88" t="s">
        <v>1</v>
      </c>
      <c r="DN4" s="82">
        <v>9000</v>
      </c>
      <c r="DO4" s="317">
        <v>-9.8365559999999999</v>
      </c>
    </row>
    <row r="5" spans="1:119">
      <c r="A5" s="120" t="str">
        <f ca="1">_xlfn.XLOOKUP(TabCalc[[#This Row],[Ticker]],[1]!RTData[Ticker symbol],[1]!RTData[Currency])</f>
        <v>GBp</v>
      </c>
      <c r="B5" s="120">
        <f ca="1">IF(TabCalc[[#This Row],[Cur]]="GBP",0.01,1)</f>
        <v>0.01</v>
      </c>
      <c r="C5" s="82">
        <f ca="1">_xlfn.XLOOKUP(TabCalc[[#This Row],[Ticker]],DM$3:DM$96,DN$3:DN$96)</f>
        <v>400000</v>
      </c>
      <c r="D5" s="1254">
        <f ca="1">_xlfn.XLOOKUP(TabCalc[[#This Row],[Ticker]],DM$3:DM$96,DO$3:DO$96)</f>
        <v>-40.441576750000003</v>
      </c>
      <c r="E5" s="121">
        <f t="shared" ca="1" si="0"/>
        <v>-161766.307</v>
      </c>
      <c r="F5" s="82">
        <f ca="1">TabCalc[[#This Row],[NAfter]]*TabCalc[[#This Row],[M]]*TabCalc[[#This Row],[Scale]]</f>
        <v>375560</v>
      </c>
      <c r="G5" s="82">
        <f ca="1">IFERROR(TabCalc[[#This Row],[SB]]-TabCalc[[#This Row],[SST]],TabCalc[[#This Row],[SB]])</f>
        <v>820000</v>
      </c>
      <c r="H5" s="535" t="str">
        <f ca="1">[1]!RTData[[#This Row],[Ticker symbol]]</f>
        <v>AET</v>
      </c>
      <c r="I5" s="385">
        <f ca="1">[1]!RTData[[#This Row],[M-Price]]</f>
        <v>45.8</v>
      </c>
      <c r="J5" s="384">
        <v>49.237027903292685</v>
      </c>
      <c r="K5" s="383">
        <f>[1]!RTData[[#This Row],[1YT]]</f>
        <v>95.06</v>
      </c>
      <c r="L5" s="384">
        <f ca="1">IF(OR(TabCalc[[#This Row],[NAfter]]=0,TabCalc[[#This Row],[EfCost]]&gt;0),0,TabCalc[[#This Row],[EfCost]]/TabCalc[[#This Row],[NAfter]]/TabCalc[[#This Row],[Scale]])</f>
        <v>-41.800126317926825</v>
      </c>
      <c r="M5" s="744">
        <f ca="1">[1]!RTData[[#This Row],[Change%]]</f>
        <v>3.1531999999999998E-2</v>
      </c>
      <c r="N5" s="1172">
        <v>0.2</v>
      </c>
      <c r="O5" s="966">
        <f>TabCalc[[#This Row],[Up20]]-1+TabCalc[[#This Row],[Up20]]</f>
        <v>-0.60000000000000009</v>
      </c>
      <c r="P5" s="966">
        <f>TabCalc[[#This Row],[Up20]]-TabCalc[[#This Row],[Up150]]</f>
        <v>-0.25967741935483868</v>
      </c>
      <c r="Q5" s="966">
        <v>0.45967741935483869</v>
      </c>
      <c r="R5" s="966">
        <f>TabCalc[[#This Row],[Up150]]-1+TabCalc[[#This Row],[Up150]]</f>
        <v>-8.0645161290322565E-2</v>
      </c>
      <c r="S5" s="966">
        <f>IFERROR(SUMPRODUCT(DataShift!F1499:Z1499,DataShift!AB706:AV706)/SQRT(SUMPRODUCT(DataShift!F1499:Z1499,DataShift!F1499:Z1499)*SUMPRODUCT(DataShift!AB706:AV706,DataShift!AB706:AV706)),0)</f>
        <v>0</v>
      </c>
      <c r="T5" s="966">
        <f ca="1">IFERROR(SUMPRODUCT(DataShift!F1499:Z1499,DataShift!F706:Z706)/SQRT(SUMPRODUCT(DataShift!F1499:Z1499,DataShift!F1499:Z1499)*SUMPRODUCT(DataShift!F706:Z706,DataShift!F706:Z706)),0)</f>
        <v>0</v>
      </c>
      <c r="U5" s="1107">
        <v>43000</v>
      </c>
      <c r="V5" s="1107">
        <v>777000</v>
      </c>
      <c r="W5" s="1107">
        <v>0</v>
      </c>
      <c r="X5" s="966" t="str">
        <f ca="1">IF(TabCalc[[#This Row],[EfCost]]+TabCalc[[#This Row],[M_V]]&lt;TabCalc[[#This Row],[NoT_GL]],"Pile","")</f>
        <v/>
      </c>
      <c r="Y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 s="213">
        <f ca="1">MIN(TabCalc[[#This Row],[L_Bn]],TabCalc[[#This Row],[NAfter]])*(TabCalc[[#This Row],[M]]+TabCalc[[#This Row],[L_Bp]])*TabCalc[[#This Row],[Scale]]</f>
        <v>19.999999999999574</v>
      </c>
      <c r="AA5" s="210" cm="1">
        <f t="array" aca="1" ref="AA5" ca="1">_xlfn.XLOOKUP(TabCalc[[#This Row],[L_Bp]],INDIRECT("TabReg["&amp;TabCalc[[#This Row],[Ticker]]&amp;"2]"),INDIRECT("TabReg["&amp;TabCalc[[#This Row],[Ticker]]&amp;"]"))</f>
        <v>45941</v>
      </c>
      <c r="AB5" s="181" cm="1">
        <f t="array" aca="1" ref="AB5" ca="1">_xlfn.XLOOKUP(TabCalc[[#This Row],[L_Bp]],INDIRECT("TabReg["&amp;TabCalc[[#This Row],[Ticker]]&amp;"2]"),INDIRECT("TabReg["&amp;TabCalc[[#This Row],[Ticker]]&amp;"1]"))</f>
        <v>10000</v>
      </c>
      <c r="AC5" s="192" cm="1">
        <f t="array" aca="1" ref="AC5" ca="1">IFERROR(INDEX(INDIRECT("TabReg["&amp;TabCalc[[#This Row],[Ticker]]&amp;"2]"),    _xlfn.XMATCH(    MAX(    _xlfn._xlws.FILTER(INDIRECT("TabReg["&amp;TabCalc[[#This Row],[Ticker]]&amp;"]"), INDIRECT("TabReg["&amp;TabCalc[[#This Row],[Ticker]]&amp;"2]")&lt;0)     ), INDIRECT("TabReg["&amp;TabCalc[[#This Row],[Ticker]]&amp;"]"),      0)), "")</f>
        <v>-45.6</v>
      </c>
      <c r="AD5" s="213">
        <f ca="1">IFERROR(MIN(TabCalc[[#This Row],[L_B1n]],TabCalc[[#This Row],[NAfter]])*(TabCalc[[#This Row],[M]]+TabCalc[[#This Row],[L_B1p]])*TabCalc[[#This Row],[Scale]],"")</f>
        <v>0</v>
      </c>
      <c r="AE5" s="210" cm="1">
        <f t="array" aca="1" ref="AE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F5" s="181" cm="1">
        <f t="array" aca="1" ref="AF5" ca="1">IFERROR(_xlfn.XLOOKUP(TabCalc[[#This Row],[L_B1D]],INDIRECT("TabReg["&amp;TabCalc[[#This Row],[Ticker]]&amp;"]"),INDIRECT("TabReg["&amp;TabCalc[[#This Row],[Ticker]]&amp;"1]")),0)</f>
        <v>10000</v>
      </c>
      <c r="AG5" s="192" cm="1">
        <f t="array" aca="1" ref="AG5" ca="1">IFERROR(_xlfn.XLOOKUP(TabCalc[[#This Row],[L_B1D]],INDIRECT("TabReg["&amp;TabCalc[[#This Row],[Ticker]]&amp;"]"),INDIRECT("TabReg["&amp;TabCalc[[#This Row],[Ticker]]&amp;"2]")),0)</f>
        <v>-45.8</v>
      </c>
      <c r="AH5" s="302">
        <f ca="1">IFERROR(TabCalc[[#This Row],[L_Sn]]*(TabCalc[[#This Row],[L_Sp]]-TabCalc[[#This Row],[M]])*TabCalc[[#This Row],[Scale]],"")</f>
        <v>1242.0000000000002</v>
      </c>
      <c r="AI5" s="210" cm="1">
        <f t="array" aca="1" ref="AI5" ca="1">IFERROR(_xlfn.XLOOKUP(TabCalc[[#This Row],[L_Sp]],INDIRECT("TabReg["&amp;TabCalc[[#This Row],[Ticker]]&amp;"2]"),INDIRECT("TabReg["&amp;TabCalc[[#This Row],[Ticker]]&amp;"]")),0)</f>
        <v>45828</v>
      </c>
      <c r="AJ5" s="181" cm="1">
        <f t="array" aca="1" ref="AJ5" ca="1">IFERROR(_xlfn.XLOOKUP(TabCalc[[#This Row],[L_Sp]],INDIRECT("TabReg["&amp;TabCalc[[#This Row],[Ticker]]&amp;"2]"),INDIRECT("TabReg["&amp;TabCalc[[#This Row],[Ticker]]&amp;"1]")),0)</f>
        <v>20000</v>
      </c>
      <c r="AK5" s="192" cm="1">
        <f t="array" aca="1" ref="AK5" ca="1">IFERROR(INDEX(INDIRECT("TabReg["&amp;TabCalc[[#This Row],[Ticker]]&amp;"2]"), _xlfn.XMATCH(MAX(_xlfn._xlws.FILTER(INDIRECT("TabReg["&amp;TabCalc[[#This Row],[Ticker]]&amp;"]"), INDIRECT("TabReg["&amp;TabCalc[[#This Row],[Ticker]]&amp;"2]")&gt;0)), INDIRECT("TabReg["&amp;TabCalc[[#This Row],[Ticker]]&amp;"]"), 0)), 0)</f>
        <v>52.01</v>
      </c>
      <c r="AL5" s="214">
        <f ca="1">IFERROR(TabCalc[[#This Row],[L_S1n]]*(TabCalc[[#This Row],[L_S1p]]-TabCalc[[#This Row],[M]])*TabCalc[[#This Row],[Scale]],0)</f>
        <v>7038</v>
      </c>
      <c r="AM5" s="210" cm="1">
        <f t="array" aca="1" ref="AM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N5" s="181" cm="1">
        <f t="array" aca="1" ref="AN5" ca="1">IFERROR(_xlfn.XLOOKUP(TabCalc[[#This Row],[L_S1D]],INDIRECT("TabReg["&amp;TabCalc[[#This Row],[Ticker]]&amp;"]"),INDIRECT("TabReg["&amp;TabCalc[[#This Row],[Ticker]]&amp;"1]")),0)</f>
        <v>90000</v>
      </c>
      <c r="AO5" s="384" cm="1">
        <f t="array" aca="1" ref="AO5" ca="1">IFERROR(_xlfn.XLOOKUP(TabCalc[[#This Row],[L_S1D]],INDIRECT("TabReg["&amp;TabCalc[[#This Row],[Ticker]]&amp;"]"),INDIRECT("TabReg["&amp;TabCalc[[#This Row],[Ticker]]&amp;"2]")),0)</f>
        <v>53.62</v>
      </c>
      <c r="AP5" s="336">
        <f ca="1">_xlfn.LET(_xlpm.MVOpen,[1]!RTData[[#This Row],[Open]]*TabCalc[[#This Row],[NAfter]],_xlpm.MVNow,TabCalc[[#This Row],[M]]*TabCalc[[#This Row],[NAfter]],_xlpm.MVNow-_xlpm.MVOpen)*TabCalc[[#This Row],[Scale]]</f>
        <v>7380</v>
      </c>
      <c r="AQ5" s="336">
        <f ca="1">_xlfn.LET(_xlpm.MVToday,DataShift!AV507,         _xlpm.MVY,DataShift!AU507,        _xlpm.MVYY, DataShift!AT507,                                IF(_xlpm.MVToday=_xlpm.MVY,_xlpm.MVY-_xlpm.MVYY,_xlpm.MVToday-_xlpm.MVY))</f>
        <v>11480</v>
      </c>
      <c r="AR5" s="336">
        <f ca="1">_xlfn.LET(_xlpm.MVToday,DataShift!AV507,         _xlpm.MVY,DataShift!AU507,        _xlpm.MVYY, DataShift!AT507,         _xlpm.MVYYY, DataShift!AS507,                      IF(_xlpm.MVToday=_xlpm.MVY,      _xlpm.MVYY-_xlpm.MVYYY,          _xlpm.MVY-_xlpm.MVYY))</f>
        <v>8200</v>
      </c>
      <c r="AS5" s="1078">
        <f ca="1">TabCalc[[#This Row],[Y]]/TabCalc[[#This Row],[M]]</f>
        <v>2.0755458515283847</v>
      </c>
      <c r="AT5" s="299" t="str" cm="1">
        <f t="array" aca="1" ref="AT5" ca="1">IFERROR(_xlfn.IFS(          TabCalc[[#This Row],[E]]&gt;0, "Free Trade",      TabCalc[[#This Row],[A]]&lt;MIN(TabCalc[[#This Row],[L_Sp]],TabCalc[[#This Row],[M]]), "Buy",            TabCalc[[#This Row],[M]]&lt;TabCalc[[#This Row],[L_Sp]],       "Refill",       TabCalc[[#This Row],[M]]&gt;TabCalc[[#This Row],[L_Sp]],"S_more"),"")</f>
        <v>Refill</v>
      </c>
      <c r="AU5" s="299" t="str">
        <f ca="1">IF(           AND(TabCalc[[#This Row],[E]]&lt;=0,          TabCalc[[#This Row],[A]]&gt;MIN(TabCalc[[#This Row],[M]],TabCalc[[#This Row],[L_Sp]]),             TabCalc[[#This Row],[L_Sp]]&lt;=TabCalc[[#This Row],[M]]),                       "S_more","")</f>
        <v/>
      </c>
      <c r="AV5" s="82" t="str" cm="1">
        <f t="array" aca="1" ref="AV5" ca="1">IFERROR(_xlfn.IFS(TabCalc[[#This Row],[E]]&gt;0,"Free trade",                 TabCalc[[#This Row],[A]]&lt;MAX(ABS(TabCalc[[#This Row],[L_Bp]]),TabCalc[[#This Row],[A]]),"Sell",             TabCalc[[#This Row],[M]]&gt;ABS(TabCalc[[#This Row],[L_Bp]]),"Resell",             TabCalc[[#This Row],[M]]&lt;ABS(TabCalc[[#This Row],[L_Bp]]),"B_more"),"")</f>
        <v>Resell</v>
      </c>
      <c r="AW5" s="82">
        <f ca="1">TabCalc[[#This Row],[NAfter]]-TabCalc[[#This Row],[Nbegin]]</f>
        <v>420000</v>
      </c>
      <c r="AX5" s="307">
        <f ca="1">IFERROR((TabCalc[[#This Row],[M]]-TabCalc[[#This Row],[Y]])*(TabCalc[[#This Row],[M]]-TabCalc[[#This Row],[Y]])*(TabCalc[[#This Row],[M]]-TabCalc[[#This Row],[Y]])/(TabCalc[[#This Row],[Y]]*TabCalc[[#This Row],[M]]),"")</f>
        <v>-27.45490432059918</v>
      </c>
      <c r="AY5" s="82">
        <f t="shared" ca="1" si="1"/>
        <v>0</v>
      </c>
      <c r="AZ5" s="90">
        <f ca="1">[1]!RTData[[#This Row],[V/VA]]</f>
        <v>0.26618830322220155</v>
      </c>
      <c r="BA5" s="90" t="str" cm="1">
        <f t="array" aca="1" ref="BA5" ca="1">IFERROR(_xlfn.IFS(TabCalc[[#This Row],[Cur]]="USD",Timer!F$27,TabCalc[[#This Row],[Cur]]="EUR",Timer!F$18,TabCalc[[#This Row],[Cur]]="GBP",Timer!F$12,TabCalc[[#This Row],[Cur]]="CAD",Timer!F$27,TabCalc[[#This Row],[Cur]]="JPY",Timer!F$31,TabCalc[[#This Row],[Cur]]="CHF",Timer!F$18),"Timing")</f>
        <v>None-Working Day</v>
      </c>
      <c r="BB5" s="90">
        <f ca="1">IF(ISNUMBER(TabCalc[[#This Row],[TimeEX]]),TabCalc[[#This Row],[V/VA]]/TabCalc[[#This Row],[TimeEX]],TabCalc[[#This Row],[V/VA]])</f>
        <v>0.26618830322220155</v>
      </c>
      <c r="BC5" s="87" cm="1">
        <f t="array" aca="1" ref="BC5" ca="1">INDEX(TabReg[], 1, _xlfn.XMATCH(TabCalc[[#This Row],[Ticker]]&amp;1, TabReg[#Headers], 0))</f>
        <v>400000</v>
      </c>
      <c r="BD5" s="161">
        <f ca="1">TabCalc[[#This Row],[Nbegin]]*TabCalc[[#This Row],[M]]*TabCalc[[#This Row],[Scale]]+TabCalc[[#This Row],[ValueBegin]]</f>
        <v>21433.692999999999</v>
      </c>
      <c r="BE5" s="336" t="str" cm="1">
        <f t="array" aca="1" ref="BE5" ca="1">_xlfn.IFS(TabCalc[[#This Row],[Cost+Gain]]&gt;0,"Free",             TabCalc[[#This Row],[GL]]&gt;0,"Gainer",                TRUE,"Looser")</f>
        <v>Gainer</v>
      </c>
      <c r="BF5" s="161">
        <f ca="1">TabCalc[[#This Row],[Tot_Paid]]-TabCalc[[#This Row],[ValueBegin]]</f>
        <v>-464218.06750009814</v>
      </c>
      <c r="BG5" s="337">
        <f ca="1">IF(TabCalc[[#This Row],[EfCost]]&gt;TabCalc[[#This Row],[ValueBegin]],       0,        TabCalc[[#This Row],[EfCost]]-TabCalc[[#This Row],[ValueBegin]]*(1+Commission))</f>
        <v>-180574.13640880003</v>
      </c>
      <c r="BH5" s="338">
        <f ca="1">TabCalc[[#This Row],[M_V]]+TabCalc[[#This Row],[ValueBegin]]</f>
        <v>213793.693</v>
      </c>
      <c r="BI5" s="161" cm="1">
        <f t="array" aca="1" ref="BI5" ca="1">SUMPRODUCT(_xlfn._xlws.FILTER(INDIRECT("TabReg["&amp;TabCalc[[#This Row],[Ticker]]&amp;"1]") * INDIRECT("TabReg["&amp;TabCalc[[#This Row],[Ticker]]&amp;"2]"), INDIRECT("TabReg["&amp;TabCalc[[#This Row],[Ticker]]&amp;"2]")&lt;0))*(1+Commission)*TabCalc[[#This Row],[Scale]]</f>
        <v>-625984.37450009817</v>
      </c>
      <c r="BJ5" s="161" cm="1">
        <f t="array" aca="1" ref="BJ5" ca="1">SUMPRODUCT(IF(INDIRECT("TabReg["&amp;TabCalc[[#This Row],[Ticker]]&amp;"2]") ="", 0, INDIRECT("TabReg["&amp;TabCalc[[#This Row],[Ticker]]&amp;"1]") * INDIRECT("TabReg["&amp;TabCalc[[#This Row],[Ticker]]&amp;"2]") ))*TabCalc[[#This Row],[Scale]]</f>
        <v>-342761.03580700001</v>
      </c>
      <c r="BK5" s="161" cm="1">
        <f t="array" aca="1" ref="BK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280867.84000000003</v>
      </c>
      <c r="BL5" s="161">
        <f ca="1">TabCalc[[#This Row],[M_V]]+TabCalc[[#This Row],[EfCost]]</f>
        <v>32798.964192999993</v>
      </c>
      <c r="BM5" s="161">
        <f ca="1">IF(        OR( TabCalc[[#This Row],[GL]]&gt;ABS(TabCalc[[#This Row],[EfCost]]),TabCalc[[#This Row],[NAfter]]=0),             TabCalc[[#This Row],[GL]],     0)</f>
        <v>0</v>
      </c>
      <c r="BN5" s="161" cm="1">
        <f t="array" aca="1" ref="BN5" ca="1">SUMPRODUCT(_xlfn._xlws.FILTER(IF(INDIRECT("TabReg["&amp;TabCalc[[#This Row],[Ticker]]&amp;"2]") ="", 0, INDIRECT("TabReg["&amp;TabCalc[[#This Row],[Ticker]]&amp;"1]")  ),  INDIRECT("TabReg["&amp;TabCalc[[#This Row],[Ticker]]&amp;"2]") &lt; 0))</f>
        <v>1330000</v>
      </c>
      <c r="BO5" s="161">
        <f ca="1">TabCalc[[#This Row],[SB]]-TabCalc[[#This Row],[Nbegin]]</f>
        <v>930000</v>
      </c>
      <c r="BP5" s="161" cm="1">
        <f t="array" aca="1" ref="BP5" ca="1">IFERROR(SUMPRODUCT(_xlfn._xlws.FILTER(IF(INDIRECT("TabReg["&amp;TabCalc[[#This Row],[Ticker]]&amp;"2]") ="", 0, INDIRECT("TabReg["&amp;TabCalc[[#This Row],[Ticker]]&amp;"1]")  ),  INDIRECT("TabReg["&amp;TabCalc[[#This Row],[Ticker]]&amp;"2]") &gt; 0)),0)</f>
        <v>510000</v>
      </c>
      <c r="BQ5"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66.65</v>
      </c>
      <c r="BR5" s="176" t="str">
        <f ca="1">IF(TabCalc[[#This Row],[EfCost]]+TabCalc[[#This Row],[M_V]]&lt;TabCalc[[#This Row],[NoT_GL]],"Pile","")</f>
        <v/>
      </c>
      <c r="BS5" s="167">
        <f ca="1">[1]!RTData[[#This Row],[Last trade time]]</f>
        <v>45954.649334640628</v>
      </c>
      <c r="BT5" s="177">
        <f ca="1">(TabCalc[[#This Row],[ValueBegin]]+(TabCalc[[#This Row],[M]]-TabCalc[[#This Row],[A]])*TabCalc[[#This Row],[NAfter]])*TabCalc[[#This Row],[Scale]]</f>
        <v>-29801.29187700004</v>
      </c>
      <c r="BU5" s="189" cm="1">
        <f t="array" aca="1" ref="BU5" ca="1">_xlfn.XLOOKUP(TabCalc[[#This Row],[Ticker]],TabReg[[#Headers],[AAPL]:[UnknownX28]],Reg!B$72:KF$72)+3</f>
        <v>23</v>
      </c>
      <c r="BV5" s="190" cm="1">
        <f t="array" aca="1" ref="BV5" ca="1">_xlfn.XLOOKUP(TabCalc[[#This Row],[Ticker]],TabReg[[#Headers],[AAPL]:[UnknownX28]],Reg!B$73:KF$73)+2</f>
        <v>9</v>
      </c>
      <c r="BW5" s="191">
        <f ca="1">IFERROR(MAX(TabCalc[[#This Row],[Max_SD]],TabCalc[[#This Row],[Max_PD]]),0)</f>
        <v>45941</v>
      </c>
      <c r="BX5" s="191" t="str" cm="1">
        <f t="array" aca="1" ref="BX5" ca="1">_xlfn.IFS(TabCalc[[#This Row],[L_TP]]&lt;0,"Purchase",TabCalc[[#This Row],[L_TP]]&gt;0,"Sale")</f>
        <v>Purchase</v>
      </c>
      <c r="BY5" s="190" cm="1">
        <f t="array" aca="1" ref="BY5" ca="1">INDEX(Reg!$A$1:$KF$73,TabCalc[[#This Row],[L_I1]],TabCalc[[#This Row],[L_I2]])</f>
        <v>10000</v>
      </c>
      <c r="BZ5" s="192" cm="1">
        <f t="array" aca="1" ref="BZ5" ca="1">INDEX(Reg!$A$1:$KF$73,TabCalc[[#This Row],[L_I1]],TabCalc[[#This Row],[L_I2]]+1)</f>
        <v>-45.6</v>
      </c>
      <c r="CA5" s="161">
        <f ca="1">TabCalc[[#This Row],[NAfter]]*(TabCalc[[#This Row],[M]]-IF(TabCalc[[#This Row],[E]]&gt;0,0,TabCalc[[#This Row],[A]]))</f>
        <v>-2818362.8807000038</v>
      </c>
      <c r="CB5" s="167" cm="1">
        <f t="array" aca="1" ref="CB5" ca="1">IFERROR(MIN(_xlfn._xlws.FILTER(INDIRECT("TabReg["&amp;TabCalc[[#This Row],[Ticker]]&amp;"]"), INDIRECT("TabReg["&amp;TabCalc[[#This Row],[Ticker]]&amp;"2]")&gt;0)),0)</f>
        <v>45442</v>
      </c>
      <c r="CC5" s="178" cm="1">
        <f t="array" aca="1" ref="CC5" ca="1">IFERROR(MIN(_xlfn._xlws.FILTER(INDIRECT("TabReg["&amp;TabCalc[[#This Row],[Ticker]]&amp;"1]"), INDIRECT("TabReg["&amp;TabCalc[[#This Row],[Ticker]]&amp;"2]")&gt;0)),0)</f>
        <v>20000</v>
      </c>
      <c r="CD5" s="173" cm="1">
        <f t="array" aca="1" ref="CD5" ca="1">IFERROR(MIN(_xlfn._xlws.FILTER(INDIRECT("TabReg["&amp;TabCalc[[#This Row],[Ticker]]&amp;"2]"), INDIRECT("TabReg["&amp;TabCalc[[#This Row],[Ticker]]&amp;"2]")&gt;0)),0)</f>
        <v>52.01</v>
      </c>
      <c r="CE5" s="167" cm="1">
        <f t="array" aca="1" ref="CE5" ca="1">IFERROR(MAX(_xlfn._xlws.FILTER(INDIRECT("TabReg["&amp;TabCalc[[#This Row],[Ticker]]&amp;"]"), INDIRECT("TabReg["&amp;TabCalc[[#This Row],[Ticker]]&amp;"2]")&gt;0)),0)</f>
        <v>45828</v>
      </c>
      <c r="CF5" s="178" cm="1">
        <f t="array" aca="1" ref="CF5" ca="1">IFERROR(MAX(_xlfn._xlws.FILTER(INDIRECT("TabReg["&amp;TabCalc[[#This Row],[Ticker]]&amp;"1]"), INDIRECT("TabReg["&amp;TabCalc[[#This Row],[Ticker]]&amp;"2]")&gt;0)),0)</f>
        <v>100000</v>
      </c>
      <c r="CG5" s="173" cm="1">
        <f t="array" aca="1" ref="CG5" ca="1">IFERROR(MAX(_xlfn._xlws.FILTER(INDIRECT("TabReg["&amp;TabCalc[[#This Row],[Ticker]]&amp;"2]"), INDIRECT("TabReg["&amp;TabCalc[[#This Row],[Ticker]]&amp;"2]")&gt;0)),0)</f>
        <v>58.6</v>
      </c>
      <c r="CH5" s="167" cm="1">
        <f t="array" aca="1" ref="CH5" ca="1">MIN(_xlfn._xlws.FILTER(INDIRECT("TabReg["&amp;TabCalc[[#This Row],[Ticker]]&amp;"]"), INDIRECT("TabReg["&amp;TabCalc[[#This Row],[Ticker]]&amp;"2]")&lt;0))</f>
        <v>40544</v>
      </c>
      <c r="CI5" s="177" cm="1">
        <f t="array" aca="1" ref="CI5" ca="1">MIN(_xlfn._xlws.FILTER(INDIRECT("TabReg["&amp;TabCalc[[#This Row],[Ticker]]&amp;"1]"), INDIRECT("TabReg["&amp;TabCalc[[#This Row],[Ticker]]&amp;"2]")&lt;0))</f>
        <v>7000</v>
      </c>
      <c r="CJ5" s="173" cm="1">
        <f t="array" aca="1" ref="CJ5" ca="1">MIN(_xlfn._xlws.FILTER(INDIRECT("TabReg["&amp;TabCalc[[#This Row],[Ticker]]&amp;"2]"), INDIRECT("TabReg["&amp;TabCalc[[#This Row],[Ticker]]&amp;"2]")&lt;0))</f>
        <v>-53.54</v>
      </c>
      <c r="CK5" s="167" cm="1">
        <f t="array" aca="1" ref="CK5" ca="1">MAX(_xlfn._xlws.FILTER(INDIRECT("TabReg["&amp;TabCalc[[#This Row],[Ticker]]&amp;"]"), INDIRECT("TabReg["&amp;TabCalc[[#This Row],[Ticker]]&amp;"2]")&lt;0))</f>
        <v>45941</v>
      </c>
      <c r="CL5" s="177" cm="1">
        <f t="array" aca="1" ref="CL5" ca="1">MAX(_xlfn._xlws.FILTER(INDIRECT("TabReg["&amp;TabCalc[[#This Row],[Ticker]]&amp;"1]"), INDIRECT("TabReg["&amp;TabCalc[[#This Row],[Ticker]]&amp;"2]")&lt;0))</f>
        <v>400000</v>
      </c>
      <c r="CM5" s="173" cm="1">
        <f t="array" aca="1" ref="CM5" ca="1">MAX(_xlfn._xlws.FILTER(INDIRECT("TabReg["&amp;TabCalc[[#This Row],[Ticker]]&amp;"2]"), INDIRECT("TabReg["&amp;TabCalc[[#This Row],[Ticker]]&amp;"2]")&lt;0))</f>
        <v>-40.4</v>
      </c>
      <c r="CN5" s="167" cm="1">
        <f t="array" aca="1" ref="CN5" ca="1">IFERROR(_xlfn.XLOOKUP(TabCalc[[#This Row],[BS2P]],INDIRECT("TabReg["&amp;TabCalc[[#This Row],[Ticker]]&amp;"2]"),INDIRECT("TabReg["&amp;TabCalc[[#This Row],[Ticker]]&amp;"]")),0)</f>
        <v>45486</v>
      </c>
      <c r="CO5" s="178" cm="1">
        <f t="array" aca="1" ref="CO5" ca="1">IFERROR(_xlfn.XLOOKUP(TabCalc[[#This Row],[BS2P]],INDIRECT("TabReg["&amp;TabCalc[[#This Row],[Ticker]]&amp;"2]"),INDIRECT("TabReg["&amp;TabCalc[[#This Row],[Ticker]]&amp;"1]")),0)</f>
        <v>100000</v>
      </c>
      <c r="CP5" s="173">
        <f ca="1">_xlfn.MAXIFS(INDIRECT("TabReg["&amp;TabCalc[[#This Row],[Ticker]]&amp;"2]"), INDIRECT("TabReg["&amp;TabCalc[[#This Row],[Ticker]]&amp;"2]"), "&lt;" &amp; MAX(INDIRECT("TabReg["&amp;TabCalc[[#This Row],[Ticker]]&amp;"2]")))</f>
        <v>56</v>
      </c>
      <c r="CQ5" s="167" cm="1">
        <f t="array" aca="1" ref="CQ5" ca="1">IFERROR(_xlfn.XLOOKUP(TabCalc[[#This Row],[WB2P]],INDIRECT("TabReg["&amp;TabCalc[[#This Row],[Ticker]]&amp;"2]"),INDIRECT("TabReg["&amp;TabCalc[[#This Row],[Ticker]]&amp;"]")),0)</f>
        <v>45516</v>
      </c>
      <c r="CR5" s="178" cm="1">
        <f t="array" aca="1" ref="CR5" ca="1">IFERROR(_xlfn.XLOOKUP(TabCalc[[#This Row],[WB2P]],INDIRECT("TabReg["&amp;TabCalc[[#This Row],[Ticker]]&amp;"2]"),INDIRECT("TabReg["&amp;TabCalc[[#This Row],[Ticker]]&amp;"1]")),0)</f>
        <v>190000</v>
      </c>
      <c r="CS5" s="173">
        <f ca="1">_xlfn.MINIFS(INDIRECT("TabReg["&amp;TabCalc[[#This Row],[Ticker]]&amp;"2]"), INDIRECT("TabReg["&amp;TabCalc[[#This Row],[Ticker]]&amp;"2]"), "&gt;" &amp; MIN(INDIRECT("TabReg["&amp;TabCalc[[#This Row],[Ticker]]&amp;"2]")))</f>
        <v>-53.110999999999997</v>
      </c>
      <c r="CT5" s="405">
        <f ca="1">IF(TabCalc[[#This Row],[M]]&lt;TabCalc[[#This Row],[L_Sp]],DesiredBuyGain/(TabCalc[[#This Row],[L_Sp]]-TabCalc[[#This Row],[M]]),0)</f>
        <v>805.15297906602245</v>
      </c>
      <c r="CU5" s="406">
        <f ca="1">IF(TabCalc[[#This Row],[ntoBuy]]*TabCalc[[#This Row],[M]]&lt;=0,0,TabCalc[[#This Row],[ntoBuy]]*TabCalc[[#This Row],[M]])</f>
        <v>36876.006441223828</v>
      </c>
      <c r="CV5" s="406">
        <f ca="1">IF(TabCalc[[#This Row],[M]]&gt;ABS(TabCalc[[#This Row],[L_Bp]]),MIN(TabCalc[[#This Row],[NAfter]],DesiredSaleGain/(TabCalc[[#This Row],[M]]+TabCalc[[#This Row],[L_Bp]])),0)/TabCalc[[#This Row],[Scale]]</f>
        <v>2500000.0000000531</v>
      </c>
      <c r="CW5" s="407">
        <f ca="1">TabCalc[[#This Row],[ntoSell]]*TabCalc[[#This Row],[M]]</f>
        <v>114500000.00000243</v>
      </c>
      <c r="CX5" s="400">
        <f ca="1">_xlfn.LET(_xlpm.nToSell,IF(TabCalc[[#This Row],[M]]-TabCalc[[#This Row],[A]]&lt;=0,"",INT(DesiredSaleGain/(TabCalc[[#This Row],[M]]-IF(TabCalc[[#This Row],[E]]&gt;0,0,TabCalc[[#This Row],[A]])))),IF(_xlpm.nToSell&lt;=TabCalc[[#This Row],[NAfter]],_xlpm.nToSell,0))</f>
        <v>0</v>
      </c>
      <c r="CY5" s="338">
        <f ca="1">IFERROR(TabCalc[[#This Row],[NMA]]*TabCalc[[#This Row],[M]],"")</f>
        <v>0</v>
      </c>
      <c r="CZ5" s="337" cm="1">
        <f t="array" aca="1" ref="CZ5" ca="1">_xlfn.IFS(TabCalc[[#This Row],[M]]&gt;= TabCalc[[#This Row],[L_Sp]],(TabCalc[[#This Row],[M]]-TabCalc[[#This Row],[A]])*TabCalc[[#This Row],[NAfter]]*TabCalc[[#This Row],[Scale]],           TabCalc[[#This Row],[M]]&lt; TabCalc[[#This Row],[L_Sp]],(TabCalc[[#This Row],[M]]-TabCalc[[#This Row],[A]])*TabCalc[[#This Row],[NAfter]]*TabCalc[[#This Row],[Scale]],               TRUE,"")</f>
        <v>-28183.628807000037</v>
      </c>
      <c r="DA5" s="90">
        <f ca="1">IFERROR((TabCalc[[#This Row],[M]]+TabCalc[[#This Row],[L_Bp]])/ABS(TabCalc[[#This Row],[L_Bp]])/(TODAY()-TabCalc[[#This Row],[L_Bdate]])*360,"")</f>
        <v>0.10526315789473457</v>
      </c>
      <c r="DB5" s="312">
        <f ca="1">MEDIAN(DataShift!F706:Z706)</f>
        <v>2.16E-3</v>
      </c>
      <c r="DC5" s="312" t="e" cm="1">
        <f t="array" aca="1" ref="DC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 s="88" t="s">
        <v>2</v>
      </c>
      <c r="DN5" s="82">
        <v>400000</v>
      </c>
      <c r="DO5" s="317">
        <v>-40.441576750000003</v>
      </c>
    </row>
    <row r="6" spans="1:119">
      <c r="A6" s="120" t="str">
        <f ca="1">_xlfn.XLOOKUP(TabCalc[[#This Row],[Ticker]],[1]!RTData[Ticker symbol],[1]!RTData[Currency])</f>
        <v>USD</v>
      </c>
      <c r="B6" s="121">
        <f ca="1">IF(TabCalc[[#This Row],[Cur]]="GBP",0.01,1)</f>
        <v>1</v>
      </c>
      <c r="C6" s="82">
        <f ca="1">_xlfn.XLOOKUP(TabCalc[[#This Row],[Ticker]],DM$3:DM$96,DN$3:DN$96)</f>
        <v>8000</v>
      </c>
      <c r="D6" s="1254">
        <f ca="1">_xlfn.XLOOKUP(TabCalc[[#This Row],[Ticker]],DM$3:DM$96,DO$3:DO$96)</f>
        <v>-132.55000000000001</v>
      </c>
      <c r="E6" s="121">
        <f t="shared" ca="1" si="0"/>
        <v>-1060400</v>
      </c>
      <c r="F6" s="82">
        <f ca="1">TabCalc[[#This Row],[NAfter]]*TabCalc[[#This Row],[M]]*TabCalc[[#This Row],[Scale]]</f>
        <v>2690520</v>
      </c>
      <c r="G6" s="82">
        <f ca="1">IFERROR(TabCalc[[#This Row],[SB]]-TabCalc[[#This Row],[SST]],TabCalc[[#This Row],[SB]])</f>
        <v>12000</v>
      </c>
      <c r="H6" s="535" t="str">
        <f ca="1">[1]!RTData[[#This Row],[Ticker symbol]]</f>
        <v>AMZN</v>
      </c>
      <c r="I6" s="385">
        <f ca="1">[1]!RTData[[#This Row],[M-Price]]</f>
        <v>224.21</v>
      </c>
      <c r="J6" s="384">
        <v>203.15856500000001</v>
      </c>
      <c r="K6" s="383">
        <f>[1]!RTData[[#This Row],[1YT]]</f>
        <v>266.56450000000001</v>
      </c>
      <c r="L6" s="384">
        <f ca="1">IF(OR(TabCalc[[#This Row],[NAfter]]=0,TabCalc[[#This Row],[EfCost]]&gt;0),0,TabCalc[[#This Row],[EfCost]]/TabCalc[[#This Row],[NAfter]]/TabCalc[[#This Row],[Scale]])</f>
        <v>-163.53035166666666</v>
      </c>
      <c r="M6" s="744">
        <f ca="1">[1]!RTData[[#This Row],[Change%]]</f>
        <v>1.4112E-2</v>
      </c>
      <c r="N6" s="1172">
        <v>0.1</v>
      </c>
      <c r="O6" s="966">
        <f>TabCalc[[#This Row],[Up20]]-1+TabCalc[[#This Row],[Up20]]</f>
        <v>-0.8</v>
      </c>
      <c r="P6" s="966">
        <f>TabCalc[[#This Row],[Up20]]-TabCalc[[#This Row],[Up150]]</f>
        <v>-0.40892857142857142</v>
      </c>
      <c r="Q6" s="966">
        <v>0.5089285714285714</v>
      </c>
      <c r="R6" s="966">
        <f>TabCalc[[#This Row],[Up150]]-1+TabCalc[[#This Row],[Up150]]</f>
        <v>1.7857142857142794E-2</v>
      </c>
      <c r="S6" s="966">
        <f>IFERROR(SUMPRODUCT(DataShift!F1500:Z1500,DataShift!AB707:AV707)/SQRT(SUMPRODUCT(DataShift!F1500:Z1500,DataShift!F1500:Z1500)*SUMPRODUCT(DataShift!AB707:AV707,DataShift!AB707:AV707)),0)</f>
        <v>0</v>
      </c>
      <c r="T6" s="966">
        <f ca="1">IFERROR(SUMPRODUCT(DataShift!F1500:Z1500,DataShift!F707:Z707)/SQRT(SUMPRODUCT(DataShift!F1500:Z1500,DataShift!F1500:Z1500)*SUMPRODUCT(DataShift!F707:Z707,DataShift!F707:Z707)),0)</f>
        <v>0</v>
      </c>
      <c r="U6" s="1107">
        <v>9800</v>
      </c>
      <c r="V6" s="1107">
        <v>2200</v>
      </c>
      <c r="W6" s="1107">
        <v>0</v>
      </c>
      <c r="X6" s="966" t="str">
        <f ca="1">IF(TabCalc[[#This Row],[EfCost]]+TabCalc[[#This Row],[M_V]]&lt;TabCalc[[#This Row],[NoT_GL]],"Pile","")</f>
        <v>Pile</v>
      </c>
      <c r="Y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 s="213">
        <f ca="1">MIN(TabCalc[[#This Row],[L_Bn]],TabCalc[[#This Row],[NAfter]])*(TabCalc[[#This Row],[M]]+TabCalc[[#This Row],[L_Bp]])*TabCalc[[#This Row],[Scale]]</f>
        <v>18379.999999999996</v>
      </c>
      <c r="AA6" s="210" cm="1">
        <f t="array" aca="1" ref="AA6" ca="1">_xlfn.XLOOKUP(TabCalc[[#This Row],[L_Bp]],INDIRECT("TabReg["&amp;TabCalc[[#This Row],[Ticker]]&amp;"2]"),INDIRECT("TabReg["&amp;TabCalc[[#This Row],[Ticker]]&amp;"]"))</f>
        <v>45870</v>
      </c>
      <c r="AB6" s="181" cm="1">
        <f t="array" aca="1" ref="AB6" ca="1">_xlfn.XLOOKUP(TabCalc[[#This Row],[L_Bp]],INDIRECT("TabReg["&amp;TabCalc[[#This Row],[Ticker]]&amp;"2]"),INDIRECT("TabReg["&amp;TabCalc[[#This Row],[Ticker]]&amp;"1]"))</f>
        <v>2000</v>
      </c>
      <c r="AC6" s="192" cm="1">
        <f t="array" aca="1" ref="AC6" ca="1">IFERROR(INDEX(INDIRECT("TabReg["&amp;TabCalc[[#This Row],[Ticker]]&amp;"2]"),    _xlfn.XMATCH(    MAX(    _xlfn._xlws.FILTER(INDIRECT("TabReg["&amp;TabCalc[[#This Row],[Ticker]]&amp;"]"), INDIRECT("TabReg["&amp;TabCalc[[#This Row],[Ticker]]&amp;"2]")&lt;0)     ), INDIRECT("TabReg["&amp;TabCalc[[#This Row],[Ticker]]&amp;"]"),      0)), "")</f>
        <v>-215.02</v>
      </c>
      <c r="AD6" s="213">
        <f ca="1">IFERROR(MIN(TabCalc[[#This Row],[L_B1n]],TabCalc[[#This Row],[NAfter]])*(TabCalc[[#This Row],[M]]+TabCalc[[#This Row],[L_B1p]])*TabCalc[[#This Row],[Scale]],"")</f>
        <v>5615.0000000000091</v>
      </c>
      <c r="AE6" s="210" cm="1">
        <f t="array" aca="1" ref="AE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F6" s="181" cm="1">
        <f t="array" aca="1" ref="AF6" ca="1">IFERROR(_xlfn.XLOOKUP(TabCalc[[#This Row],[L_B1D]],INDIRECT("TabReg["&amp;TabCalc[[#This Row],[Ticker]]&amp;"]"),INDIRECT("TabReg["&amp;TabCalc[[#This Row],[Ticker]]&amp;"1]")),0)</f>
        <v>500</v>
      </c>
      <c r="AG6" s="192" cm="1">
        <f t="array" aca="1" ref="AG6" ca="1">IFERROR(_xlfn.XLOOKUP(TabCalc[[#This Row],[L_B1D]],INDIRECT("TabReg["&amp;TabCalc[[#This Row],[Ticker]]&amp;"]"),INDIRECT("TabReg["&amp;TabCalc[[#This Row],[Ticker]]&amp;"2]")),0)</f>
        <v>-212.98</v>
      </c>
      <c r="AH6" s="302">
        <f ca="1">IFERROR(TabCalc[[#This Row],[L_Sn]]*(TabCalc[[#This Row],[L_Sp]]-TabCalc[[#This Row],[M]])*TabCalc[[#This Row],[Scale]],"")</f>
        <v>-539.00000000000432</v>
      </c>
      <c r="AI6" s="210" cm="1">
        <f t="array" aca="1" ref="AI6" ca="1">IFERROR(_xlfn.XLOOKUP(TabCalc[[#This Row],[L_Sp]],INDIRECT("TabReg["&amp;TabCalc[[#This Row],[Ticker]]&amp;"2]"),INDIRECT("TabReg["&amp;TabCalc[[#This Row],[Ticker]]&amp;"]")),0)</f>
        <v>45929</v>
      </c>
      <c r="AJ6" s="181" cm="1">
        <f t="array" aca="1" ref="AJ6" ca="1">IFERROR(_xlfn.XLOOKUP(TabCalc[[#This Row],[L_Sp]],INDIRECT("TabReg["&amp;TabCalc[[#This Row],[Ticker]]&amp;"2]"),INDIRECT("TabReg["&amp;TabCalc[[#This Row],[Ticker]]&amp;"1]")),0)</f>
        <v>200</v>
      </c>
      <c r="AK6" s="192" cm="1">
        <f t="array" aca="1" ref="AK6" ca="1">IFERROR(INDEX(INDIRECT("TabReg["&amp;TabCalc[[#This Row],[Ticker]]&amp;"2]"), _xlfn.XMATCH(MAX(_xlfn._xlws.FILTER(INDIRECT("TabReg["&amp;TabCalc[[#This Row],[Ticker]]&amp;"]"), INDIRECT("TabReg["&amp;TabCalc[[#This Row],[Ticker]]&amp;"2]")&gt;0)), INDIRECT("TabReg["&amp;TabCalc[[#This Row],[Ticker]]&amp;"]"), 0)), 0)</f>
        <v>221.51499999999999</v>
      </c>
      <c r="AL6" s="214">
        <f ca="1">IFERROR(TabCalc[[#This Row],[L_S1n]]*(TabCalc[[#This Row],[L_S1p]]-TabCalc[[#This Row],[M]])*TabCalc[[#This Row],[Scale]],0)</f>
        <v>5015.0000000000009</v>
      </c>
      <c r="AM6" s="210" cm="1">
        <f t="array" aca="1" ref="AM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N6" s="181" cm="1">
        <f t="array" aca="1" ref="AN6" ca="1">IFERROR(_xlfn.XLOOKUP(TabCalc[[#This Row],[L_S1D]],INDIRECT("TabReg["&amp;TabCalc[[#This Row],[Ticker]]&amp;"]"),INDIRECT("TabReg["&amp;TabCalc[[#This Row],[Ticker]]&amp;"1]")),0)</f>
        <v>500</v>
      </c>
      <c r="AO6" s="384" cm="1">
        <f t="array" aca="1" ref="AO6" ca="1">IFERROR(_xlfn.XLOOKUP(TabCalc[[#This Row],[L_S1D]],INDIRECT("TabReg["&amp;TabCalc[[#This Row],[Ticker]]&amp;"]"),INDIRECT("TabReg["&amp;TabCalc[[#This Row],[Ticker]]&amp;"2]")),0)</f>
        <v>234.24</v>
      </c>
      <c r="AP6" s="336">
        <f ca="1">_xlfn.LET(_xlpm.MVOpen,[1]!RTData[[#This Row],[Open]]*TabCalc[[#This Row],[NAfter]],_xlpm.MVNow,TabCalc[[#This Row],[M]]*TabCalc[[#This Row],[NAfter]],_xlpm.MVNow-_xlpm.MVOpen)*TabCalc[[#This Row],[Scale]]</f>
        <v>26880</v>
      </c>
      <c r="AQ6" s="336">
        <f ca="1">_xlfn.LET(_xlpm.MVToday,DataShift!AV508,         _xlpm.MVY,DataShift!AU508,        _xlpm.MVYY, DataShift!AT508,                                IF(_xlpm.MVToday=_xlpm.MVY,_xlpm.MVY-_xlpm.MVYY,_xlpm.MVToday-_xlpm.MVY))</f>
        <v>37440</v>
      </c>
      <c r="AR6" s="336">
        <f ca="1">_xlfn.LET(_xlpm.MVToday,DataShift!AV508,         _xlpm.MVY,DataShift!AU508,        _xlpm.MVYY, DataShift!AT508,         _xlpm.MVYYY, DataShift!AS508,                      IF(_xlpm.MVToday=_xlpm.MVY,      _xlpm.MVYY-_xlpm.MVYYY,          _xlpm.MVY-_xlpm.MVYY))</f>
        <v>37680</v>
      </c>
      <c r="AS6" s="1078">
        <f ca="1">TabCalc[[#This Row],[Y]]/TabCalc[[#This Row],[M]]</f>
        <v>1.188905490388475</v>
      </c>
      <c r="AT6" s="299" t="str" cm="1">
        <f t="array" aca="1" ref="AT6" ca="1">IFERROR(_xlfn.IFS(          TabCalc[[#This Row],[E]]&gt;0, "Free Trade",      TabCalc[[#This Row],[A]]&lt;MIN(TabCalc[[#This Row],[L_Sp]],TabCalc[[#This Row],[M]]), "Buy",            TabCalc[[#This Row],[M]]&lt;TabCalc[[#This Row],[L_Sp]],       "Refill",       TabCalc[[#This Row],[M]]&gt;TabCalc[[#This Row],[L_Sp]],"S_more"),"")</f>
        <v>Buy</v>
      </c>
      <c r="AU6" s="299" t="str">
        <f ca="1">IF(           AND(TabCalc[[#This Row],[E]]&lt;=0,          TabCalc[[#This Row],[A]]&gt;MIN(TabCalc[[#This Row],[M]],TabCalc[[#This Row],[L_Sp]]),             TabCalc[[#This Row],[L_Sp]]&lt;=TabCalc[[#This Row],[M]]),                       "S_more","")</f>
        <v/>
      </c>
      <c r="AV6" s="82" t="str" cm="1">
        <f t="array" aca="1" ref="AV6" ca="1">IFERROR(_xlfn.IFS(TabCalc[[#This Row],[E]]&gt;0,"Free trade",                 TabCalc[[#This Row],[A]]&lt;MAX(ABS(TabCalc[[#This Row],[L_Bp]]),TabCalc[[#This Row],[A]]),"Sell",             TabCalc[[#This Row],[M]]&gt;ABS(TabCalc[[#This Row],[L_Bp]]),"Resell",             TabCalc[[#This Row],[M]]&lt;ABS(TabCalc[[#This Row],[L_Bp]]),"B_more"),"")</f>
        <v>Sell</v>
      </c>
      <c r="AW6" s="82">
        <f ca="1">TabCalc[[#This Row],[NAfter]]-TabCalc[[#This Row],[Nbegin]]</f>
        <v>4000</v>
      </c>
      <c r="AX6" s="307">
        <f ca="1">IFERROR((TabCalc[[#This Row],[M]]-TabCalc[[#This Row],[Y]])*(TabCalc[[#This Row],[M]]-TabCalc[[#This Row],[Y]])*(TabCalc[[#This Row],[M]]-TabCalc[[#This Row],[Y]])/(TabCalc[[#This Row],[Y]]*TabCalc[[#This Row],[M]]),"")</f>
        <v>-1.271280506362481</v>
      </c>
      <c r="AY6" s="82">
        <f t="shared" ca="1" si="1"/>
        <v>0</v>
      </c>
      <c r="AZ6" s="90">
        <f ca="1">[1]!RTData[[#This Row],[V/VA]]</f>
        <v>0.80389560397611193</v>
      </c>
      <c r="BA6" s="90" t="str" cm="1">
        <f t="array" aca="1" ref="BA6" ca="1">IFERROR(_xlfn.IFS(TabCalc[[#This Row],[Cur]]="USD",Timer!F$27,TabCalc[[#This Row],[Cur]]="EUR",Timer!F$18,TabCalc[[#This Row],[Cur]]="GBP",Timer!F$12,TabCalc[[#This Row],[Cur]]="CAD",Timer!F$27,TabCalc[[#This Row],[Cur]]="JPY",Timer!F$31,TabCalc[[#This Row],[Cur]]="CHF",Timer!F$18),"Timing")</f>
        <v>None-Working Day</v>
      </c>
      <c r="BB6" s="90">
        <f ca="1">IF(ISNUMBER(TabCalc[[#This Row],[TimeEX]]),TabCalc[[#This Row],[V/VA]]/TabCalc[[#This Row],[TimeEX]],TabCalc[[#This Row],[V/VA]])</f>
        <v>0.80389560397611193</v>
      </c>
      <c r="BC6" s="87" cm="1">
        <f t="array" aca="1" ref="BC6" ca="1">INDEX(TabReg[], 1, _xlfn.XMATCH(TabCalc[[#This Row],[Ticker]]&amp;1, TabReg[#Headers], 0))</f>
        <v>8000</v>
      </c>
      <c r="BD6" s="161">
        <f ca="1">TabCalc[[#This Row],[Nbegin]]*TabCalc[[#This Row],[M]]*TabCalc[[#This Row],[Scale]]+TabCalc[[#This Row],[ValueBegin]]</f>
        <v>733280</v>
      </c>
      <c r="BE6" s="336" t="str" cm="1">
        <f t="array" aca="1" ref="BE6" ca="1">_xlfn.IFS(TabCalc[[#This Row],[Cost+Gain]]&gt;0,"Free",             TabCalc[[#This Row],[GL]]&gt;0,"Gainer",                TRUE,"Looser")</f>
        <v>Gainer</v>
      </c>
      <c r="BF6" s="161">
        <f ca="1">TabCalc[[#This Row],[Tot_Paid]]-TabCalc[[#This Row],[ValueBegin]]</f>
        <v>-3029118.3943719999</v>
      </c>
      <c r="BG6" s="337">
        <f ca="1">IF(TabCalc[[#This Row],[EfCost]]&gt;TabCalc[[#This Row],[ValueBegin]],       0,        TabCalc[[#This Row],[EfCost]]-TabCalc[[#This Row],[ValueBegin]]*(1+Commission))</f>
        <v>-899207.17999999993</v>
      </c>
      <c r="BH6" s="338">
        <f ca="1">TabCalc[[#This Row],[M_V]]+TabCalc[[#This Row],[ValueBegin]]</f>
        <v>1630120</v>
      </c>
      <c r="BI6" s="161" cm="1">
        <f t="array" aca="1" ref="BI6" ca="1">SUMPRODUCT(_xlfn._xlws.FILTER(INDIRECT("TabReg["&amp;TabCalc[[#This Row],[Ticker]]&amp;"1]") * INDIRECT("TabReg["&amp;TabCalc[[#This Row],[Ticker]]&amp;"2]"), INDIRECT("TabReg["&amp;TabCalc[[#This Row],[Ticker]]&amp;"2]")&lt;0))*(1+Commission)*TabCalc[[#This Row],[Scale]]</f>
        <v>-4089518.3943719999</v>
      </c>
      <c r="BJ6" s="161" cm="1">
        <f t="array" aca="1" ref="BJ6" ca="1">SUMPRODUCT(IF(INDIRECT("TabReg["&amp;TabCalc[[#This Row],[Ticker]]&amp;"2]") ="", 0, INDIRECT("TabReg["&amp;TabCalc[[#This Row],[Ticker]]&amp;"1]") * INDIRECT("TabReg["&amp;TabCalc[[#This Row],[Ticker]]&amp;"2]") ))*TabCalc[[#This Row],[Scale]]</f>
        <v>-1962364.22</v>
      </c>
      <c r="BK6" s="161" cm="1">
        <f t="array" aca="1" ref="BK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2111045.9726</v>
      </c>
      <c r="BL6" s="161">
        <f ca="1">TabCalc[[#This Row],[M_V]]+TabCalc[[#This Row],[EfCost]]</f>
        <v>728155.78</v>
      </c>
      <c r="BM6" s="161">
        <f ca="1">IF(        OR( TabCalc[[#This Row],[GL]]&gt;ABS(TabCalc[[#This Row],[EfCost]]),TabCalc[[#This Row],[NAfter]]=0),             TabCalc[[#This Row],[GL]],     0)</f>
        <v>0</v>
      </c>
      <c r="BN6" s="161" cm="1">
        <f t="array" aca="1" ref="BN6" ca="1">SUMPRODUCT(_xlfn._xlws.FILTER(IF(INDIRECT("TabReg["&amp;TabCalc[[#This Row],[Ticker]]&amp;"2]") ="", 0, INDIRECT("TabReg["&amp;TabCalc[[#This Row],[Ticker]]&amp;"1]")  ),  INDIRECT("TabReg["&amp;TabCalc[[#This Row],[Ticker]]&amp;"2]") &lt; 0))</f>
        <v>23200</v>
      </c>
      <c r="BO6" s="161">
        <f ca="1">TabCalc[[#This Row],[SB]]-TabCalc[[#This Row],[Nbegin]]</f>
        <v>15200</v>
      </c>
      <c r="BP6" s="161" cm="1">
        <f t="array" aca="1" ref="BP6" ca="1">IFERROR(SUMPRODUCT(_xlfn._xlws.FILTER(IF(INDIRECT("TabReg["&amp;TabCalc[[#This Row],[Ticker]]&amp;"2]") ="", 0, INDIRECT("TabReg["&amp;TabCalc[[#This Row],[Ticker]]&amp;"1]")  ),  INDIRECT("TabReg["&amp;TabCalc[[#This Row],[Ticker]]&amp;"2]") &gt; 0)),0)</f>
        <v>11200</v>
      </c>
      <c r="BQ6"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 s="176" t="str">
        <f ca="1">IF(TabCalc[[#This Row],[EfCost]]+TabCalc[[#This Row],[M_V]]&lt;TabCalc[[#This Row],[NoT_GL]],"Pile","")</f>
        <v>Pile</v>
      </c>
      <c r="BS6" s="167">
        <f ca="1">[1]!RTData[[#This Row],[Last trade time]]</f>
        <v>45954.999975635939</v>
      </c>
      <c r="BT6" s="177">
        <f ca="1">(TabCalc[[#This Row],[ValueBegin]]+(TabCalc[[#This Row],[M]]-TabCalc[[#This Row],[A]])*TabCalc[[#This Row],[NAfter]])*TabCalc[[#This Row],[Scale]]</f>
        <v>-807782.78</v>
      </c>
      <c r="BU6" s="189" cm="1">
        <f t="array" aca="1" ref="BU6" ca="1">_xlfn.XLOOKUP(TabCalc[[#This Row],[Ticker]],TabReg[[#Headers],[AAPL]:[UnknownX28]],Reg!B$72:KF$72)+3</f>
        <v>33</v>
      </c>
      <c r="BV6" s="190" cm="1">
        <f t="array" aca="1" ref="BV6" ca="1">_xlfn.XLOOKUP(TabCalc[[#This Row],[Ticker]],TabReg[[#Headers],[AAPL]:[UnknownX28]],Reg!B$73:KF$73)+2</f>
        <v>12</v>
      </c>
      <c r="BW6" s="191">
        <f ca="1">IFERROR(MAX(TabCalc[[#This Row],[Max_SD]],TabCalc[[#This Row],[Max_PD]]),0)</f>
        <v>45929</v>
      </c>
      <c r="BX6" s="191" t="str" cm="1">
        <f t="array" aca="1" ref="BX6" ca="1">_xlfn.IFS(TabCalc[[#This Row],[L_TP]]&lt;0,"Purchase",TabCalc[[#This Row],[L_TP]]&gt;0,"Sale")</f>
        <v>Sale</v>
      </c>
      <c r="BY6" s="190" cm="1">
        <f t="array" aca="1" ref="BY6" ca="1">INDEX(Reg!$A$1:$KF$73,TabCalc[[#This Row],[L_I1]],TabCalc[[#This Row],[L_I2]])</f>
        <v>200</v>
      </c>
      <c r="BZ6" s="192" cm="1">
        <f t="array" aca="1" ref="BZ6" ca="1">INDEX(Reg!$A$1:$KF$73,TabCalc[[#This Row],[L_I1]],TabCalc[[#This Row],[L_I2]]+1)</f>
        <v>221.51499999999999</v>
      </c>
      <c r="CA6" s="161">
        <f ca="1">TabCalc[[#This Row],[NAfter]]*(TabCalc[[#This Row],[M]]-IF(TabCalc[[#This Row],[E]]&gt;0,0,TabCalc[[#This Row],[A]]))</f>
        <v>252617.21999999997</v>
      </c>
      <c r="CB6" s="167" cm="1">
        <f t="array" aca="1" ref="CB6" ca="1">IFERROR(MIN(_xlfn._xlws.FILTER(INDIRECT("TabReg["&amp;TabCalc[[#This Row],[Ticker]]&amp;"]"), INDIRECT("TabReg["&amp;TabCalc[[#This Row],[Ticker]]&amp;"2]")&gt;0)),0)</f>
        <v>45298</v>
      </c>
      <c r="CC6" s="178" cm="1">
        <f t="array" aca="1" ref="CC6" ca="1">IFERROR(MIN(_xlfn._xlws.FILTER(INDIRECT("TabReg["&amp;TabCalc[[#This Row],[Ticker]]&amp;"1]"), INDIRECT("TabReg["&amp;TabCalc[[#This Row],[Ticker]]&amp;"2]")&gt;0)),0)</f>
        <v>200</v>
      </c>
      <c r="CD6" s="173" cm="1">
        <f t="array" aca="1" ref="CD6" ca="1">IFERROR(MIN(_xlfn._xlws.FILTER(INDIRECT("TabReg["&amp;TabCalc[[#This Row],[Ticker]]&amp;"2]"), INDIRECT("TabReg["&amp;TabCalc[[#This Row],[Ticker]]&amp;"2]")&gt;0)),0)</f>
        <v>166.94</v>
      </c>
      <c r="CE6" s="167" cm="1">
        <f t="array" aca="1" ref="CE6" ca="1">IFERROR(MAX(_xlfn._xlws.FILTER(INDIRECT("TabReg["&amp;TabCalc[[#This Row],[Ticker]]&amp;"]"), INDIRECT("TabReg["&amp;TabCalc[[#This Row],[Ticker]]&amp;"2]")&gt;0)),0)</f>
        <v>45929</v>
      </c>
      <c r="CF6" s="178" cm="1">
        <f t="array" aca="1" ref="CF6" ca="1">IFERROR(MAX(_xlfn._xlws.FILTER(INDIRECT("TabReg["&amp;TabCalc[[#This Row],[Ticker]]&amp;"1]"), INDIRECT("TabReg["&amp;TabCalc[[#This Row],[Ticker]]&amp;"2]")&gt;0)),0)</f>
        <v>2000</v>
      </c>
      <c r="CG6" s="173" cm="1">
        <f t="array" aca="1" ref="CG6" ca="1">IFERROR(MAX(_xlfn._xlws.FILTER(INDIRECT("TabReg["&amp;TabCalc[[#This Row],[Ticker]]&amp;"2]"), INDIRECT("TabReg["&amp;TabCalc[[#This Row],[Ticker]]&amp;"2]")&gt;0)),0)</f>
        <v>234.24</v>
      </c>
      <c r="CH6" s="167" cm="1">
        <f t="array" aca="1" ref="CH6" ca="1">MIN(_xlfn._xlws.FILTER(INDIRECT("TabReg["&amp;TabCalc[[#This Row],[Ticker]]&amp;"]"), INDIRECT("TabReg["&amp;TabCalc[[#This Row],[Ticker]]&amp;"2]")&lt;0))</f>
        <v>40544</v>
      </c>
      <c r="CI6" s="177" cm="1">
        <f t="array" aca="1" ref="CI6" ca="1">MIN(_xlfn._xlws.FILTER(INDIRECT("TabReg["&amp;TabCalc[[#This Row],[Ticker]]&amp;"1]"), INDIRECT("TabReg["&amp;TabCalc[[#This Row],[Ticker]]&amp;"2]")&lt;0))</f>
        <v>200</v>
      </c>
      <c r="CJ6" s="173" cm="1">
        <f t="array" aca="1" ref="CJ6" ca="1">MIN(_xlfn._xlws.FILTER(INDIRECT("TabReg["&amp;TabCalc[[#This Row],[Ticker]]&amp;"2]"), INDIRECT("TabReg["&amp;TabCalc[[#This Row],[Ticker]]&amp;"2]")&lt;0))</f>
        <v>-236.70750000000001</v>
      </c>
      <c r="CK6" s="167" cm="1">
        <f t="array" aca="1" ref="CK6" ca="1">MAX(_xlfn._xlws.FILTER(INDIRECT("TabReg["&amp;TabCalc[[#This Row],[Ticker]]&amp;"]"), INDIRECT("TabReg["&amp;TabCalc[[#This Row],[Ticker]]&amp;"2]")&lt;0))</f>
        <v>45870</v>
      </c>
      <c r="CL6" s="177" cm="1">
        <f t="array" aca="1" ref="CL6" ca="1">MAX(_xlfn._xlws.FILTER(INDIRECT("TabReg["&amp;TabCalc[[#This Row],[Ticker]]&amp;"1]"), INDIRECT("TabReg["&amp;TabCalc[[#This Row],[Ticker]]&amp;"2]")&lt;0))</f>
        <v>8000</v>
      </c>
      <c r="CM6" s="173" cm="1">
        <f t="array" aca="1" ref="CM6" ca="1">MAX(_xlfn._xlws.FILTER(INDIRECT("TabReg["&amp;TabCalc[[#This Row],[Ticker]]&amp;"2]"), INDIRECT("TabReg["&amp;TabCalc[[#This Row],[Ticker]]&amp;"2]")&lt;0))</f>
        <v>-132.55000000000001</v>
      </c>
      <c r="CN6" s="167" cm="1">
        <f t="array" aca="1" ref="CN6" ca="1">IFERROR(_xlfn.XLOOKUP(TabCalc[[#This Row],[BS2P]],INDIRECT("TabReg["&amp;TabCalc[[#This Row],[Ticker]]&amp;"2]"),INDIRECT("TabReg["&amp;TabCalc[[#This Row],[Ticker]]&amp;"]")),0)</f>
        <v>45673</v>
      </c>
      <c r="CO6" s="178" cm="1">
        <f t="array" aca="1" ref="CO6" ca="1">IFERROR(_xlfn.XLOOKUP(TabCalc[[#This Row],[BS2P]],INDIRECT("TabReg["&amp;TabCalc[[#This Row],[Ticker]]&amp;"2]"),INDIRECT("TabReg["&amp;TabCalc[[#This Row],[Ticker]]&amp;"1]")),0)</f>
        <v>500</v>
      </c>
      <c r="CP6" s="173">
        <f ca="1">_xlfn.MAXIFS(INDIRECT("TabReg["&amp;TabCalc[[#This Row],[Ticker]]&amp;"2]"), INDIRECT("TabReg["&amp;TabCalc[[#This Row],[Ticker]]&amp;"2]"), "&lt;" &amp; MAX(INDIRECT("TabReg["&amp;TabCalc[[#This Row],[Ticker]]&amp;"2]")))</f>
        <v>223.01</v>
      </c>
      <c r="CQ6" s="167" cm="1">
        <f t="array" aca="1" ref="CQ6" ca="1">IFERROR(_xlfn.XLOOKUP(TabCalc[[#This Row],[WB2P]],INDIRECT("TabReg["&amp;TabCalc[[#This Row],[Ticker]]&amp;"2]"),INDIRECT("TabReg["&amp;TabCalc[[#This Row],[Ticker]]&amp;"]")),0)</f>
        <v>45698</v>
      </c>
      <c r="CR6" s="178" cm="1">
        <f t="array" aca="1" ref="CR6" ca="1">IFERROR(_xlfn.XLOOKUP(TabCalc[[#This Row],[WB2P]],INDIRECT("TabReg["&amp;TabCalc[[#This Row],[Ticker]]&amp;"2]"),INDIRECT("TabReg["&amp;TabCalc[[#This Row],[Ticker]]&amp;"1]")),0)</f>
        <v>250</v>
      </c>
      <c r="CS6" s="173">
        <f ca="1">_xlfn.MINIFS(INDIRECT("TabReg["&amp;TabCalc[[#This Row],[Ticker]]&amp;"2]"), INDIRECT("TabReg["&amp;TabCalc[[#This Row],[Ticker]]&amp;"2]"), "&gt;" &amp; MIN(INDIRECT("TabReg["&amp;TabCalc[[#This Row],[Ticker]]&amp;"2]")))</f>
        <v>-232.89</v>
      </c>
      <c r="CT6" s="405">
        <f ca="1">IF(TabCalc[[#This Row],[M]]&lt;TabCalc[[#This Row],[L_Sp]],DesiredBuyGain/(TabCalc[[#This Row],[L_Sp]]-TabCalc[[#This Row],[M]]),0)</f>
        <v>0</v>
      </c>
      <c r="CU6" s="406">
        <f ca="1">IF(TabCalc[[#This Row],[ntoBuy]]*TabCalc[[#This Row],[M]]&lt;=0,0,TabCalc[[#This Row],[ntoBuy]]*TabCalc[[#This Row],[M]])</f>
        <v>0</v>
      </c>
      <c r="CV6" s="406">
        <f ca="1">IF(TabCalc[[#This Row],[M]]&gt;ABS(TabCalc[[#This Row],[L_Bp]]),MIN(TabCalc[[#This Row],[NAfter]],DesiredSaleGain/(TabCalc[[#This Row],[M]]+TabCalc[[#This Row],[L_Bp]])),0)/TabCalc[[#This Row],[Scale]]</f>
        <v>544.06964091403711</v>
      </c>
      <c r="CW6" s="407">
        <f ca="1">TabCalc[[#This Row],[ntoSell]]*TabCalc[[#This Row],[M]]</f>
        <v>121985.85418933627</v>
      </c>
      <c r="CX6" s="400">
        <f ca="1">_xlfn.LET(_xlpm.nToSell,IF(TabCalc[[#This Row],[M]]-TabCalc[[#This Row],[A]]&lt;=0,"",INT(DesiredSaleGain/(TabCalc[[#This Row],[M]]-IF(TabCalc[[#This Row],[E]]&gt;0,0,TabCalc[[#This Row],[A]])))),IF(_xlpm.nToSell&lt;=TabCalc[[#This Row],[NAfter]],_xlpm.nToSell,0))</f>
        <v>237</v>
      </c>
      <c r="CY6" s="338">
        <f ca="1">IFERROR(TabCalc[[#This Row],[NMA]]*TabCalc[[#This Row],[M]],"")</f>
        <v>53137.770000000004</v>
      </c>
      <c r="CZ6" s="337" cm="1">
        <f t="array" aca="1" ref="CZ6" ca="1">_xlfn.IFS(TabCalc[[#This Row],[M]]&gt;= TabCalc[[#This Row],[L_Sp]],(TabCalc[[#This Row],[M]]-TabCalc[[#This Row],[A]])*TabCalc[[#This Row],[NAfter]]*TabCalc[[#This Row],[Scale]],           TabCalc[[#This Row],[M]]&lt; TabCalc[[#This Row],[L_Sp]],(TabCalc[[#This Row],[M]]-TabCalc[[#This Row],[A]])*TabCalc[[#This Row],[NAfter]]*TabCalc[[#This Row],[Scale]],               TRUE,"")</f>
        <v>252617.21999999997</v>
      </c>
      <c r="DA6" s="90">
        <f ca="1">IFERROR((TabCalc[[#This Row],[M]]+TabCalc[[#This Row],[L_Bp]])/ABS(TabCalc[[#This Row],[L_Bp]])/(TODAY()-TabCalc[[#This Row],[L_Bdate]])*360,"")</f>
        <v>0.17891250786838644</v>
      </c>
      <c r="DB6" s="312">
        <f ca="1">MEDIAN(DataShift!F707:Z707)</f>
        <v>5.6879999999999995E-3</v>
      </c>
      <c r="DC6" s="312" t="e" cm="1">
        <f t="array" aca="1" ref="DC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 s="88" t="s">
        <v>3</v>
      </c>
      <c r="DN6" s="81">
        <v>8000</v>
      </c>
      <c r="DO6" s="317">
        <v>-132.55000000000001</v>
      </c>
    </row>
    <row r="7" spans="1:119">
      <c r="A7" s="120" t="str">
        <f ca="1">_xlfn.XLOOKUP(TabCalc[[#This Row],[Ticker]],[1]!RTData[Ticker symbol],[1]!RTData[Currency])</f>
        <v>EUR</v>
      </c>
      <c r="B7" s="121">
        <f ca="1">IF(TabCalc[[#This Row],[Cur]]="GBP",0.01,1)</f>
        <v>1</v>
      </c>
      <c r="C7" s="82">
        <f ca="1">_xlfn.XLOOKUP(TabCalc[[#This Row],[Ticker]],DM$3:DM$96,DN$3:DN$96)</f>
        <v>2448050</v>
      </c>
      <c r="D7" s="1254">
        <f ca="1">_xlfn.XLOOKUP(TabCalc[[#This Row],[Ticker]],DM$3:DM$96,DO$3:DO$96)</f>
        <v>-1.1677472432195899</v>
      </c>
      <c r="E7" s="121">
        <f t="shared" ca="1" si="0"/>
        <v>-2858703.6387637169</v>
      </c>
      <c r="F7" s="82">
        <f ca="1">TabCalc[[#This Row],[NAfter]]*TabCalc[[#This Row],[M]]*TabCalc[[#This Row],[Scale]]</f>
        <v>2089780</v>
      </c>
      <c r="G7" s="82">
        <f ca="1">IFERROR(TabCalc[[#This Row],[SB]]-TabCalc[[#This Row],[SST]],TabCalc[[#This Row],[SB]])</f>
        <v>2530000</v>
      </c>
      <c r="H7" s="535" t="str">
        <f ca="1">[1]!RTData[[#This Row],[Ticker symbol]]</f>
        <v>ALDNE</v>
      </c>
      <c r="I7" s="385">
        <f ca="1">[1]!RTData[[#This Row],[M-Price]]</f>
        <v>0.82599999999999996</v>
      </c>
      <c r="J7" s="384">
        <v>1.1669648384441569</v>
      </c>
      <c r="K7" s="383">
        <f>[1]!RTData[[#This Row],[1YT]]</f>
        <v>1.5333300000000001</v>
      </c>
      <c r="L7" s="384">
        <f ca="1">IF(OR(TabCalc[[#This Row],[NAfter]]=0,TabCalc[[#This Row],[EfCost]]&gt;0),0,TabCalc[[#This Row],[EfCost]]/TabCalc[[#This Row],[NAfter]]/TabCalc[[#This Row],[Scale]])</f>
        <v>-1.1669648384441569</v>
      </c>
      <c r="M7" s="744">
        <f ca="1">[1]!RTData[[#This Row],[Change%]]</f>
        <v>-1.4319999999999999E-2</v>
      </c>
      <c r="N7" s="1172">
        <v>0.2857142857142857</v>
      </c>
      <c r="O7" s="966">
        <f>TabCalc[[#This Row],[Up20]]-1+TabCalc[[#This Row],[Up20]]</f>
        <v>-0.4285714285714286</v>
      </c>
      <c r="P7" s="966">
        <f>TabCalc[[#This Row],[Up20]]-TabCalc[[#This Row],[Up150]]</f>
        <v>-0.18275418275418276</v>
      </c>
      <c r="Q7" s="966">
        <v>0.46846846846846846</v>
      </c>
      <c r="R7" s="966">
        <f>TabCalc[[#This Row],[Up150]]-1+TabCalc[[#This Row],[Up150]]</f>
        <v>-6.3063063063063085E-2</v>
      </c>
      <c r="S7" s="966">
        <f>IFERROR(SUMPRODUCT(DataShift!F1501:Z1501,DataShift!AB708:AV708)/SQRT(SUMPRODUCT(DataShift!F1501:Z1501,DataShift!F1501:Z1501)*SUMPRODUCT(DataShift!AB708:AV708,DataShift!AB708:AV708)),0)</f>
        <v>0</v>
      </c>
      <c r="T7" s="966">
        <f ca="1">IFERROR(SUMPRODUCT(DataShift!F1501:Z1501,DataShift!F708:Z708)/SQRT(SUMPRODUCT(DataShift!F1501:Z1501,DataShift!F1501:Z1501)*SUMPRODUCT(DataShift!F708:Z708,DataShift!F708:Z708)),0)</f>
        <v>0</v>
      </c>
      <c r="U7" s="1107">
        <v>0</v>
      </c>
      <c r="V7" s="1107">
        <v>2530000</v>
      </c>
      <c r="W7" s="1107">
        <v>0</v>
      </c>
      <c r="X7" s="966" t="str">
        <f ca="1">IF(TabCalc[[#This Row],[EfCost]]+TabCalc[[#This Row],[M_V]]&lt;TabCalc[[#This Row],[NoT_GL]],"Pile","")</f>
        <v>Pile</v>
      </c>
      <c r="Y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 s="213">
        <f ca="1">MIN(TabCalc[[#This Row],[L_Bn]],TabCalc[[#This Row],[NAfter]])*(TabCalc[[#This Row],[M]]+TabCalc[[#This Row],[L_Bp]])*TabCalc[[#This Row],[Scale]]</f>
        <v>-1560.0000000000014</v>
      </c>
      <c r="AA7" s="210" cm="1">
        <f t="array" aca="1" ref="AA7" ca="1">_xlfn.XLOOKUP(TabCalc[[#This Row],[L_Bp]],INDIRECT("TabReg["&amp;TabCalc[[#This Row],[Ticker]]&amp;"2]"),INDIRECT("TabReg["&amp;TabCalc[[#This Row],[Ticker]]&amp;"]"))</f>
        <v>45734</v>
      </c>
      <c r="AB7" s="181" cm="1">
        <f t="array" aca="1" ref="AB7" ca="1">_xlfn.XLOOKUP(TabCalc[[#This Row],[L_Bp]],INDIRECT("TabReg["&amp;TabCalc[[#This Row],[Ticker]]&amp;"2]"),INDIRECT("TabReg["&amp;TabCalc[[#This Row],[Ticker]]&amp;"1]"))</f>
        <v>15000</v>
      </c>
      <c r="AC7" s="192" cm="1">
        <f t="array" aca="1" ref="AC7" ca="1">IFERROR(INDEX(INDIRECT("TabReg["&amp;TabCalc[[#This Row],[Ticker]]&amp;"2]"),    _xlfn.XMATCH(    MAX(    _xlfn._xlws.FILTER(INDIRECT("TabReg["&amp;TabCalc[[#This Row],[Ticker]]&amp;"]"), INDIRECT("TabReg["&amp;TabCalc[[#This Row],[Ticker]]&amp;"2]")&lt;0)     ), INDIRECT("TabReg["&amp;TabCalc[[#This Row],[Ticker]]&amp;"]"),      0)), "")</f>
        <v>-0.93</v>
      </c>
      <c r="AD7" s="213">
        <f ca="1">IFERROR(MIN(TabCalc[[#This Row],[L_B1n]],TabCalc[[#This Row],[NAfter]])*(TabCalc[[#This Row],[M]]+TabCalc[[#This Row],[L_B1p]])*TabCalc[[#This Row],[Scale]],"")</f>
        <v>-5610</v>
      </c>
      <c r="AE7" s="210" cm="1">
        <f t="array" aca="1" ref="AE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7" s="181" cm="1">
        <f t="array" aca="1" ref="AF7" ca="1">IFERROR(_xlfn.XLOOKUP(TabCalc[[#This Row],[L_B1D]],INDIRECT("TabReg["&amp;TabCalc[[#This Row],[Ticker]]&amp;"]"),INDIRECT("TabReg["&amp;TabCalc[[#This Row],[Ticker]]&amp;"1]")),0)</f>
        <v>15000</v>
      </c>
      <c r="AG7" s="192" cm="1">
        <f t="array" aca="1" ref="AG7" ca="1">IFERROR(_xlfn.XLOOKUP(TabCalc[[#This Row],[L_B1D]],INDIRECT("TabReg["&amp;TabCalc[[#This Row],[Ticker]]&amp;"]"),INDIRECT("TabReg["&amp;TabCalc[[#This Row],[Ticker]]&amp;"2]")),0)</f>
        <v>-1.2</v>
      </c>
      <c r="AH7" s="302">
        <f ca="1">IFERROR(TabCalc[[#This Row],[L_Sn]]*(TabCalc[[#This Row],[L_Sp]]-TabCalc[[#This Row],[M]])*TabCalc[[#This Row],[Scale]],"")</f>
        <v>0</v>
      </c>
      <c r="AI7" s="210" cm="1">
        <f t="array" aca="1" ref="AI7" ca="1">IFERROR(_xlfn.XLOOKUP(TabCalc[[#This Row],[L_Sp]],INDIRECT("TabReg["&amp;TabCalc[[#This Row],[Ticker]]&amp;"2]"),INDIRECT("TabReg["&amp;TabCalc[[#This Row],[Ticker]]&amp;"]")),0)</f>
        <v>0</v>
      </c>
      <c r="AJ7" s="181" cm="1">
        <f t="array" aca="1" ref="AJ7" ca="1">IFERROR(_xlfn.XLOOKUP(TabCalc[[#This Row],[L_Sp]],INDIRECT("TabReg["&amp;TabCalc[[#This Row],[Ticker]]&amp;"2]"),INDIRECT("TabReg["&amp;TabCalc[[#This Row],[Ticker]]&amp;"1]")),0)</f>
        <v>0</v>
      </c>
      <c r="AK7" s="192" cm="1">
        <f t="array" aca="1" ref="AK7" ca="1">IFERROR(INDEX(INDIRECT("TabReg["&amp;TabCalc[[#This Row],[Ticker]]&amp;"2]"), _xlfn.XMATCH(MAX(_xlfn._xlws.FILTER(INDIRECT("TabReg["&amp;TabCalc[[#This Row],[Ticker]]&amp;"]"), INDIRECT("TabReg["&amp;TabCalc[[#This Row],[Ticker]]&amp;"2]")&gt;0)), INDIRECT("TabReg["&amp;TabCalc[[#This Row],[Ticker]]&amp;"]"), 0)), 0)</f>
        <v>0</v>
      </c>
      <c r="AL7" s="214">
        <f ca="1">IFERROR(TabCalc[[#This Row],[L_S1n]]*(TabCalc[[#This Row],[L_S1p]]-TabCalc[[#This Row],[M]])*TabCalc[[#This Row],[Scale]],0)</f>
        <v>0</v>
      </c>
      <c r="AM7" s="210" t="str" cm="1">
        <f t="array" aca="1" ref="AM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7" s="181" cm="1">
        <f t="array" aca="1" ref="AN7" ca="1">IFERROR(_xlfn.XLOOKUP(TabCalc[[#This Row],[L_S1D]],INDIRECT("TabReg["&amp;TabCalc[[#This Row],[Ticker]]&amp;"]"),INDIRECT("TabReg["&amp;TabCalc[[#This Row],[Ticker]]&amp;"1]")),0)</f>
        <v>0</v>
      </c>
      <c r="AO7" s="384" cm="1">
        <f t="array" aca="1" ref="AO7" ca="1">IFERROR(_xlfn.XLOOKUP(TabCalc[[#This Row],[L_S1D]],INDIRECT("TabReg["&amp;TabCalc[[#This Row],[Ticker]]&amp;"]"),INDIRECT("TabReg["&amp;TabCalc[[#This Row],[Ticker]]&amp;"2]")),0)</f>
        <v>0</v>
      </c>
      <c r="AP7" s="336">
        <f ca="1">_xlfn.LET(_xlpm.MVOpen,[1]!RTData[[#This Row],[Open]]*TabCalc[[#This Row],[NAfter]],_xlpm.MVNow,TabCalc[[#This Row],[M]]*TabCalc[[#This Row],[NAfter]],_xlpm.MVNow-_xlpm.MVOpen)*TabCalc[[#This Row],[Scale]]</f>
        <v>15180.000000000233</v>
      </c>
      <c r="AQ7" s="336">
        <f ca="1">_xlfn.LET(_xlpm.MVToday,DataShift!AV509,         _xlpm.MVY,DataShift!AU509,        _xlpm.MVYY, DataShift!AT509,                                IF(_xlpm.MVToday=_xlpm.MVY,_xlpm.MVY-_xlpm.MVYY,_xlpm.MVToday-_xlpm.MVY))</f>
        <v>-30360</v>
      </c>
      <c r="AR7" s="336">
        <f ca="1">_xlfn.LET(_xlpm.MVToday,DataShift!AV509,         _xlpm.MVY,DataShift!AU509,        _xlpm.MVYY, DataShift!AT509,         _xlpm.MVYYY, DataShift!AS509,                      IF(_xlpm.MVToday=_xlpm.MVY,      _xlpm.MVYY-_xlpm.MVYYY,          _xlpm.MVY-_xlpm.MVYY))</f>
        <v>-5060</v>
      </c>
      <c r="AS7" s="1078">
        <f ca="1">TabCalc[[#This Row],[Y]]/TabCalc[[#This Row],[M]]</f>
        <v>1.8563317191283295</v>
      </c>
      <c r="AT7" s="299" t="str" cm="1">
        <f t="array" aca="1" ref="AT7" ca="1">IFERROR(_xlfn.IFS(          TabCalc[[#This Row],[E]]&gt;0, "Free Trade",      TabCalc[[#This Row],[A]]&lt;MIN(TabCalc[[#This Row],[L_Sp]],TabCalc[[#This Row],[M]]), "Buy",            TabCalc[[#This Row],[M]]&lt;TabCalc[[#This Row],[L_Sp]],       "Refill",       TabCalc[[#This Row],[M]]&gt;TabCalc[[#This Row],[L_Sp]],"S_more"),"")</f>
        <v>S_more</v>
      </c>
      <c r="AU7" s="299" t="str">
        <f ca="1">IF(           AND(TabCalc[[#This Row],[E]]&lt;=0,          TabCalc[[#This Row],[A]]&gt;MIN(TabCalc[[#This Row],[M]],TabCalc[[#This Row],[L_Sp]]),             TabCalc[[#This Row],[L_Sp]]&lt;=TabCalc[[#This Row],[M]]),                       "S_more","")</f>
        <v>S_more</v>
      </c>
      <c r="AV7" s="82" t="str" cm="1">
        <f t="array" aca="1" ref="AV7" ca="1">IFERROR(_xlfn.IFS(TabCalc[[#This Row],[E]]&gt;0,"Free trade",                 TabCalc[[#This Row],[A]]&lt;MAX(ABS(TabCalc[[#This Row],[L_Bp]]),TabCalc[[#This Row],[A]]),"Sell",             TabCalc[[#This Row],[M]]&gt;ABS(TabCalc[[#This Row],[L_Bp]]),"Resell",             TabCalc[[#This Row],[M]]&lt;ABS(TabCalc[[#This Row],[L_Bp]]),"B_more"),"")</f>
        <v>B_more</v>
      </c>
      <c r="AW7" s="82">
        <f ca="1">TabCalc[[#This Row],[NAfter]]-TabCalc[[#This Row],[Nbegin]]</f>
        <v>81950</v>
      </c>
      <c r="AX7" s="307">
        <f ca="1">IFERROR((TabCalc[[#This Row],[M]]-TabCalc[[#This Row],[Y]])*(TabCalc[[#This Row],[M]]-TabCalc[[#This Row],[Y]])*(TabCalc[[#This Row],[M]]-TabCalc[[#This Row],[Y]])/(TabCalc[[#This Row],[Y]]*TabCalc[[#This Row],[M]]),"")</f>
        <v>-0.27941553888326737</v>
      </c>
      <c r="AY7" s="82">
        <f t="shared" ca="1" si="1"/>
        <v>0</v>
      </c>
      <c r="AZ7" s="90">
        <f ca="1">[1]!RTData[[#This Row],[V/VA]]</f>
        <v>1.7439469320066334</v>
      </c>
      <c r="BA7" s="90" t="str" cm="1">
        <f t="array" aca="1" ref="BA7" ca="1">IFERROR(_xlfn.IFS(TabCalc[[#This Row],[Cur]]="USD",Timer!F$27,TabCalc[[#This Row],[Cur]]="EUR",Timer!F$18,TabCalc[[#This Row],[Cur]]="GBP",Timer!F$12,TabCalc[[#This Row],[Cur]]="CAD",Timer!F$27,TabCalc[[#This Row],[Cur]]="JPY",Timer!F$31,TabCalc[[#This Row],[Cur]]="CHF",Timer!F$18),"Timing")</f>
        <v>None-Working Day</v>
      </c>
      <c r="BB7" s="90">
        <f ca="1">IF(ISNUMBER(TabCalc[[#This Row],[TimeEX]]),TabCalc[[#This Row],[V/VA]]/TabCalc[[#This Row],[TimeEX]],TabCalc[[#This Row],[V/VA]])</f>
        <v>1.7439469320066334</v>
      </c>
      <c r="BC7" s="87" cm="1">
        <f t="array" aca="1" ref="BC7" ca="1">INDEX(TabReg[], 1, _xlfn.XMATCH(TabCalc[[#This Row],[Ticker]]&amp;1, TabReg[#Headers], 0))</f>
        <v>2448050</v>
      </c>
      <c r="BD7" s="161">
        <f ca="1">TabCalc[[#This Row],[Nbegin]]*TabCalc[[#This Row],[M]]*TabCalc[[#This Row],[Scale]]+TabCalc[[#This Row],[ValueBegin]]</f>
        <v>-836614.3387637171</v>
      </c>
      <c r="BE7" s="336" t="str" cm="1">
        <f t="array" aca="1" ref="BE7" ca="1">_xlfn.IFS(TabCalc[[#This Row],[Cost+Gain]]&gt;0,"Free",             TabCalc[[#This Row],[GL]]&gt;0,"Gainer",                TRUE,"Looser")</f>
        <v>Looser</v>
      </c>
      <c r="BF7" s="161">
        <f ca="1">TabCalc[[#This Row],[Tot_Paid]]-TabCalc[[#This Row],[ValueBegin]]</f>
        <v>-101393.69720728556</v>
      </c>
      <c r="BG7" s="337">
        <f ca="1">IF(TabCalc[[#This Row],[EfCost]]&gt;TabCalc[[#This Row],[ValueBegin]],       0,        TabCalc[[#This Row],[EfCost]]-TabCalc[[#This Row],[ValueBegin]]*(1+Commission))</f>
        <v>-86284.773039214313</v>
      </c>
      <c r="BH7" s="338">
        <f ca="1">TabCalc[[#This Row],[M_V]]+TabCalc[[#This Row],[ValueBegin]]</f>
        <v>-768923.63876371691</v>
      </c>
      <c r="BI7" s="161" cm="1">
        <f t="array" aca="1" ref="BI7" ca="1">SUMPRODUCT(_xlfn._xlws.FILTER(INDIRECT("TabReg["&amp;TabCalc[[#This Row],[Ticker]]&amp;"1]") * INDIRECT("TabReg["&amp;TabCalc[[#This Row],[Ticker]]&amp;"2]"), INDIRECT("TabReg["&amp;TabCalc[[#This Row],[Ticker]]&amp;"2]")&lt;0))*(1+Commission)*TabCalc[[#This Row],[Scale]]</f>
        <v>-2960097.3359710025</v>
      </c>
      <c r="BJ7" s="161" cm="1">
        <f t="array" aca="1" ref="BJ7" ca="1">SUMPRODUCT(IF(INDIRECT("TabReg["&amp;TabCalc[[#This Row],[Ticker]]&amp;"2]") ="", 0, INDIRECT("TabReg["&amp;TabCalc[[#This Row],[Ticker]]&amp;"1]") * INDIRECT("TabReg["&amp;TabCalc[[#This Row],[Ticker]]&amp;"2]") ))*TabCalc[[#This Row],[Scale]]</f>
        <v>-2952421.0412637168</v>
      </c>
      <c r="BK7" s="161" cm="1">
        <f t="array" aca="1" ref="BK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7" s="161">
        <f ca="1">TabCalc[[#This Row],[M_V]]+TabCalc[[#This Row],[EfCost]]</f>
        <v>-862641.04126371676</v>
      </c>
      <c r="BM7" s="161">
        <f ca="1">IF(        OR( TabCalc[[#This Row],[GL]]&gt;ABS(TabCalc[[#This Row],[EfCost]]),TabCalc[[#This Row],[NAfter]]=0),             TabCalc[[#This Row],[GL]],     0)</f>
        <v>0</v>
      </c>
      <c r="BN7" s="161" cm="1">
        <f t="array" aca="1" ref="BN7" ca="1">SUMPRODUCT(_xlfn._xlws.FILTER(IF(INDIRECT("TabReg["&amp;TabCalc[[#This Row],[Ticker]]&amp;"2]") ="", 0, INDIRECT("TabReg["&amp;TabCalc[[#This Row],[Ticker]]&amp;"1]")  ),  INDIRECT("TabReg["&amp;TabCalc[[#This Row],[Ticker]]&amp;"2]") &lt; 0))</f>
        <v>2530000</v>
      </c>
      <c r="BO7" s="161">
        <f ca="1">TabCalc[[#This Row],[SB]]-TabCalc[[#This Row],[Nbegin]]</f>
        <v>81950</v>
      </c>
      <c r="BP7" s="161" cm="1">
        <f t="array" aca="1" ref="BP7" ca="1">IFERROR(SUMPRODUCT(_xlfn._xlws.FILTER(IF(INDIRECT("TabReg["&amp;TabCalc[[#This Row],[Ticker]]&amp;"2]") ="", 0, INDIRECT("TabReg["&amp;TabCalc[[#This Row],[Ticker]]&amp;"1]")  ),  INDIRECT("TabReg["&amp;TabCalc[[#This Row],[Ticker]]&amp;"2]") &gt; 0)),0)</f>
        <v>0</v>
      </c>
      <c r="BQ7"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 s="176" t="str">
        <f ca="1">IF(TabCalc[[#This Row],[EfCost]]+TabCalc[[#This Row],[M_V]]&lt;TabCalc[[#This Row],[NoT_GL]],"Pile","")</f>
        <v>Pile</v>
      </c>
      <c r="BS7" s="167">
        <f ca="1">[1]!RTData[[#This Row],[Last trade time]]</f>
        <v>45954.666666666664</v>
      </c>
      <c r="BT7" s="177">
        <f ca="1">(TabCalc[[#This Row],[ValueBegin]]+(TabCalc[[#This Row],[M]]-TabCalc[[#This Row],[A]])*TabCalc[[#This Row],[NAfter]])*TabCalc[[#This Row],[Scale]]</f>
        <v>-3721344.6800274337</v>
      </c>
      <c r="BU7" s="189" cm="1">
        <f t="array" aca="1" ref="BU7" ca="1">_xlfn.XLOOKUP(TabCalc[[#This Row],[Ticker]],TabReg[[#Headers],[AAPL]:[UnknownX28]],Reg!B$72:KF$72)+3</f>
        <v>10</v>
      </c>
      <c r="BV7" s="190" cm="1">
        <f t="array" aca="1" ref="BV7" ca="1">_xlfn.XLOOKUP(TabCalc[[#This Row],[Ticker]],TabReg[[#Headers],[AAPL]:[UnknownX28]],Reg!B$73:KF$73)+2</f>
        <v>15</v>
      </c>
      <c r="BW7" s="191">
        <f ca="1">IFERROR(MAX(TabCalc[[#This Row],[Max_SD]],TabCalc[[#This Row],[Max_PD]]),0)</f>
        <v>45734</v>
      </c>
      <c r="BX7" s="191" t="str" cm="1">
        <f t="array" aca="1" ref="BX7" ca="1">_xlfn.IFS(TabCalc[[#This Row],[L_TP]]&lt;0,"Purchase",TabCalc[[#This Row],[L_TP]]&gt;0,"Sale")</f>
        <v>Purchase</v>
      </c>
      <c r="BY7" s="190" cm="1">
        <f t="array" aca="1" ref="BY7" ca="1">INDEX(Reg!$A$1:$KF$73,TabCalc[[#This Row],[L_I1]],TabCalc[[#This Row],[L_I2]])</f>
        <v>15000</v>
      </c>
      <c r="BZ7" s="192" cm="1">
        <f t="array" aca="1" ref="BZ7" ca="1">INDEX(Reg!$A$1:$KF$73,TabCalc[[#This Row],[L_I1]],TabCalc[[#This Row],[L_I2]]+1)</f>
        <v>-0.93</v>
      </c>
      <c r="CA7" s="161">
        <f ca="1">TabCalc[[#This Row],[NAfter]]*(TabCalc[[#This Row],[M]]-IF(TabCalc[[#This Row],[E]]&gt;0,0,TabCalc[[#This Row],[A]]))</f>
        <v>-862641.04126371699</v>
      </c>
      <c r="CB7" s="167" cm="1">
        <f t="array" aca="1" ref="CB7" ca="1">IFERROR(MIN(_xlfn._xlws.FILTER(INDIRECT("TabReg["&amp;TabCalc[[#This Row],[Ticker]]&amp;"]"), INDIRECT("TabReg["&amp;TabCalc[[#This Row],[Ticker]]&amp;"2]")&gt;0)),0)</f>
        <v>0</v>
      </c>
      <c r="CC7" s="178" cm="1">
        <f t="array" aca="1" ref="CC7" ca="1">IFERROR(MIN(_xlfn._xlws.FILTER(INDIRECT("TabReg["&amp;TabCalc[[#This Row],[Ticker]]&amp;"1]"), INDIRECT("TabReg["&amp;TabCalc[[#This Row],[Ticker]]&amp;"2]")&gt;0)),0)</f>
        <v>0</v>
      </c>
      <c r="CD7" s="173" cm="1">
        <f t="array" aca="1" ref="CD7" ca="1">IFERROR(MIN(_xlfn._xlws.FILTER(INDIRECT("TabReg["&amp;TabCalc[[#This Row],[Ticker]]&amp;"2]"), INDIRECT("TabReg["&amp;TabCalc[[#This Row],[Ticker]]&amp;"2]")&gt;0)),0)</f>
        <v>0</v>
      </c>
      <c r="CE7" s="167" cm="1">
        <f t="array" aca="1" ref="CE7" ca="1">IFERROR(MAX(_xlfn._xlws.FILTER(INDIRECT("TabReg["&amp;TabCalc[[#This Row],[Ticker]]&amp;"]"), INDIRECT("TabReg["&amp;TabCalc[[#This Row],[Ticker]]&amp;"2]")&gt;0)),0)</f>
        <v>0</v>
      </c>
      <c r="CF7" s="178" cm="1">
        <f t="array" aca="1" ref="CF7" ca="1">IFERROR(MAX(_xlfn._xlws.FILTER(INDIRECT("TabReg["&amp;TabCalc[[#This Row],[Ticker]]&amp;"1]"), INDIRECT("TabReg["&amp;TabCalc[[#This Row],[Ticker]]&amp;"2]")&gt;0)),0)</f>
        <v>0</v>
      </c>
      <c r="CG7" s="173" cm="1">
        <f t="array" aca="1" ref="CG7" ca="1">IFERROR(MAX(_xlfn._xlws.FILTER(INDIRECT("TabReg["&amp;TabCalc[[#This Row],[Ticker]]&amp;"2]"), INDIRECT("TabReg["&amp;TabCalc[[#This Row],[Ticker]]&amp;"2]")&gt;0)),0)</f>
        <v>0</v>
      </c>
      <c r="CH7" s="167" cm="1">
        <f t="array" aca="1" ref="CH7" ca="1">MIN(_xlfn._xlws.FILTER(INDIRECT("TabReg["&amp;TabCalc[[#This Row],[Ticker]]&amp;"]"), INDIRECT("TabReg["&amp;TabCalc[[#This Row],[Ticker]]&amp;"2]")&lt;0))</f>
        <v>40544</v>
      </c>
      <c r="CI7" s="177" cm="1">
        <f t="array" aca="1" ref="CI7" ca="1">MIN(_xlfn._xlws.FILTER(INDIRECT("TabReg["&amp;TabCalc[[#This Row],[Ticker]]&amp;"1]"), INDIRECT("TabReg["&amp;TabCalc[[#This Row],[Ticker]]&amp;"2]")&lt;0))</f>
        <v>2275</v>
      </c>
      <c r="CJ7" s="173" cm="1">
        <f t="array" aca="1" ref="CJ7" ca="1">MIN(_xlfn._xlws.FILTER(INDIRECT("TabReg["&amp;TabCalc[[#This Row],[Ticker]]&amp;"2]"), INDIRECT("TabReg["&amp;TabCalc[[#This Row],[Ticker]]&amp;"2]")&lt;0))</f>
        <v>-3.3727</v>
      </c>
      <c r="CK7" s="167" cm="1">
        <f t="array" aca="1" ref="CK7" ca="1">MAX(_xlfn._xlws.FILTER(INDIRECT("TabReg["&amp;TabCalc[[#This Row],[Ticker]]&amp;"]"), INDIRECT("TabReg["&amp;TabCalc[[#This Row],[Ticker]]&amp;"2]")&lt;0))</f>
        <v>45734</v>
      </c>
      <c r="CL7" s="177" cm="1">
        <f t="array" aca="1" ref="CL7" ca="1">MAX(_xlfn._xlws.FILTER(INDIRECT("TabReg["&amp;TabCalc[[#This Row],[Ticker]]&amp;"1]"), INDIRECT("TabReg["&amp;TabCalc[[#This Row],[Ticker]]&amp;"2]")&lt;0))</f>
        <v>2448050</v>
      </c>
      <c r="CM7" s="173" cm="1">
        <f t="array" aca="1" ref="CM7" ca="1">MAX(_xlfn._xlws.FILTER(INDIRECT("TabReg["&amp;TabCalc[[#This Row],[Ticker]]&amp;"2]"), INDIRECT("TabReg["&amp;TabCalc[[#This Row],[Ticker]]&amp;"2]")&lt;0))</f>
        <v>-0.93</v>
      </c>
      <c r="CN7" s="167" cm="1">
        <f t="array" aca="1" ref="CN7" ca="1">IFERROR(_xlfn.XLOOKUP(TabCalc[[#This Row],[BS2P]],INDIRECT("TabReg["&amp;TabCalc[[#This Row],[Ticker]]&amp;"2]"),INDIRECT("TabReg["&amp;TabCalc[[#This Row],[Ticker]]&amp;"]")),0)</f>
        <v>45622</v>
      </c>
      <c r="CO7" s="178" cm="1">
        <f t="array" aca="1" ref="CO7" ca="1">IFERROR(_xlfn.XLOOKUP(TabCalc[[#This Row],[BS2P]],INDIRECT("TabReg["&amp;TabCalc[[#This Row],[Ticker]]&amp;"2]"),INDIRECT("TabReg["&amp;TabCalc[[#This Row],[Ticker]]&amp;"1]")),0)</f>
        <v>19675</v>
      </c>
      <c r="CP7" s="173">
        <f ca="1">_xlfn.MAXIFS(INDIRECT("TabReg["&amp;TabCalc[[#This Row],[Ticker]]&amp;"2]"), INDIRECT("TabReg["&amp;TabCalc[[#This Row],[Ticker]]&amp;"2]"), "&lt;" &amp; MAX(INDIRECT("TabReg["&amp;TabCalc[[#This Row],[Ticker]]&amp;"2]")))</f>
        <v>-1</v>
      </c>
      <c r="CQ7" s="167" cm="1">
        <f t="array" aca="1" ref="CQ7" ca="1">IFERROR(_xlfn.XLOOKUP(TabCalc[[#This Row],[WB2P]],INDIRECT("TabReg["&amp;TabCalc[[#This Row],[Ticker]]&amp;"2]"),INDIRECT("TabReg["&amp;TabCalc[[#This Row],[Ticker]]&amp;"]")),0)</f>
        <v>45716</v>
      </c>
      <c r="CR7" s="178" cm="1">
        <f t="array" aca="1" ref="CR7" ca="1">IFERROR(_xlfn.XLOOKUP(TabCalc[[#This Row],[WB2P]],INDIRECT("TabReg["&amp;TabCalc[[#This Row],[Ticker]]&amp;"2]"),INDIRECT("TabReg["&amp;TabCalc[[#This Row],[Ticker]]&amp;"1]")),0)</f>
        <v>15000</v>
      </c>
      <c r="CS7" s="173">
        <f ca="1">_xlfn.MINIFS(INDIRECT("TabReg["&amp;TabCalc[[#This Row],[Ticker]]&amp;"2]"), INDIRECT("TabReg["&amp;TabCalc[[#This Row],[Ticker]]&amp;"2]"), "&gt;" &amp; MIN(INDIRECT("TabReg["&amp;TabCalc[[#This Row],[Ticker]]&amp;"2]")))</f>
        <v>-1.2</v>
      </c>
      <c r="CT7" s="405">
        <f ca="1">IF(TabCalc[[#This Row],[M]]&lt;TabCalc[[#This Row],[L_Sp]],DesiredBuyGain/(TabCalc[[#This Row],[L_Sp]]-TabCalc[[#This Row],[M]]),0)</f>
        <v>0</v>
      </c>
      <c r="CU7" s="406">
        <f ca="1">IF(TabCalc[[#This Row],[ntoBuy]]*TabCalc[[#This Row],[M]]&lt;=0,0,TabCalc[[#This Row],[ntoBuy]]*TabCalc[[#This Row],[M]])</f>
        <v>0</v>
      </c>
      <c r="CV7" s="406">
        <f ca="1">IF(TabCalc[[#This Row],[M]]&gt;ABS(TabCalc[[#This Row],[L_Bp]]),MIN(TabCalc[[#This Row],[NAfter]],DesiredSaleGain/(TabCalc[[#This Row],[M]]+TabCalc[[#This Row],[L_Bp]])),0)/TabCalc[[#This Row],[Scale]]</f>
        <v>0</v>
      </c>
      <c r="CW7" s="407">
        <f ca="1">TabCalc[[#This Row],[ntoSell]]*TabCalc[[#This Row],[M]]</f>
        <v>0</v>
      </c>
      <c r="CX7" s="400">
        <f ca="1">_xlfn.LET(_xlpm.nToSell,IF(TabCalc[[#This Row],[M]]-TabCalc[[#This Row],[A]]&lt;=0,"",INT(DesiredSaleGain/(TabCalc[[#This Row],[M]]-IF(TabCalc[[#This Row],[E]]&gt;0,0,TabCalc[[#This Row],[A]])))),IF(_xlpm.nToSell&lt;=TabCalc[[#This Row],[NAfter]],_xlpm.nToSell,0))</f>
        <v>0</v>
      </c>
      <c r="CY7" s="338">
        <f ca="1">IFERROR(TabCalc[[#This Row],[NMA]]*TabCalc[[#This Row],[M]],"")</f>
        <v>0</v>
      </c>
      <c r="CZ7" s="337" cm="1">
        <f t="array" aca="1" ref="CZ7" ca="1">_xlfn.IFS(TabCalc[[#This Row],[M]]&gt;= TabCalc[[#This Row],[L_Sp]],(TabCalc[[#This Row],[M]]-TabCalc[[#This Row],[A]])*TabCalc[[#This Row],[NAfter]]*TabCalc[[#This Row],[Scale]],           TabCalc[[#This Row],[M]]&lt; TabCalc[[#This Row],[L_Sp]],(TabCalc[[#This Row],[M]]-TabCalc[[#This Row],[A]])*TabCalc[[#This Row],[NAfter]]*TabCalc[[#This Row],[Scale]],               TRUE,"")</f>
        <v>-862641.04126371699</v>
      </c>
      <c r="DA7" s="90">
        <f ca="1">IFERROR((TabCalc[[#This Row],[M]]+TabCalc[[#This Row],[L_Bp]])/ABS(TabCalc[[#This Row],[L_Bp]])/(TODAY()-TabCalc[[#This Row],[L_Bdate]])*360,"")</f>
        <v>-0.18134263295553635</v>
      </c>
      <c r="DB7" s="312">
        <f ca="1">MEDIAN(DataShift!F708:Z708)</f>
        <v>0</v>
      </c>
      <c r="DC7" s="312" t="e" cm="1">
        <f t="array" aca="1" ref="DC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 s="88" t="s">
        <v>4</v>
      </c>
      <c r="DN7" s="81">
        <v>2448050</v>
      </c>
      <c r="DO7" s="317">
        <v>-1.1677472432195899</v>
      </c>
    </row>
    <row r="8" spans="1:119">
      <c r="A8" s="120" t="str">
        <f ca="1">_xlfn.XLOOKUP(TabCalc[[#This Row],[Ticker]],[1]!RTData[Ticker symbol],[1]!RTData[Currency])</f>
        <v>EUR</v>
      </c>
      <c r="B8" s="121">
        <f ca="1">IF(TabCalc[[#This Row],[Cur]]="GBP",0.01,1)</f>
        <v>1</v>
      </c>
      <c r="C8" s="82">
        <f ca="1">_xlfn.XLOOKUP(TabCalc[[#This Row],[Ticker]],DM$3:DM$96,DN$3:DN$96)</f>
        <v>500</v>
      </c>
      <c r="D8" s="1254">
        <f ca="1">_xlfn.XLOOKUP(TabCalc[[#This Row],[Ticker]],DM$3:DM$96,DO$3:DO$96)</f>
        <v>-896.1</v>
      </c>
      <c r="E8" s="121">
        <f t="shared" ca="1" si="0"/>
        <v>-448050</v>
      </c>
      <c r="F8" s="82">
        <f ca="1">TabCalc[[#This Row],[NAfter]]*TabCalc[[#This Row],[M]]*TabCalc[[#This Row],[Scale]]</f>
        <v>3309280</v>
      </c>
      <c r="G8" s="82">
        <f ca="1">IFERROR(TabCalc[[#This Row],[SB]]-TabCalc[[#This Row],[SST]],TabCalc[[#This Row],[SB]])</f>
        <v>3700</v>
      </c>
      <c r="H8" s="535" t="str">
        <f ca="1">[1]!RTData[[#This Row],[Ticker symbol]]</f>
        <v>ASML</v>
      </c>
      <c r="I8" s="385">
        <f ca="1">[1]!RTData[[#This Row],[M-Price]]</f>
        <v>894.4</v>
      </c>
      <c r="J8" s="384">
        <v>658.69578947368416</v>
      </c>
      <c r="K8" s="383">
        <f>[1]!RTData[[#This Row],[1YT]]</f>
        <v>873.90326000000005</v>
      </c>
      <c r="L8" s="384">
        <f ca="1">IF(OR(TabCalc[[#This Row],[NAfter]]=0,TabCalc[[#This Row],[EfCost]]&gt;0),0,TabCalc[[#This Row],[EfCost]]/TabCalc[[#This Row],[NAfter]]/TabCalc[[#This Row],[Scale]])</f>
        <v>-677.40653783783785</v>
      </c>
      <c r="M8" s="744">
        <f ca="1">[1]!RTData[[#This Row],[Change%]]</f>
        <v>7.548E-3</v>
      </c>
      <c r="N8" s="1172">
        <v>0.36363636363636365</v>
      </c>
      <c r="O8" s="966">
        <f>TabCalc[[#This Row],[Up20]]-1+TabCalc[[#This Row],[Up20]]</f>
        <v>-0.27272727272727271</v>
      </c>
      <c r="P8" s="966">
        <f>TabCalc[[#This Row],[Up20]]-TabCalc[[#This Row],[Up150]]</f>
        <v>-0.19374068554396418</v>
      </c>
      <c r="Q8" s="966">
        <v>0.55737704918032782</v>
      </c>
      <c r="R8" s="966">
        <f>TabCalc[[#This Row],[Up150]]-1+TabCalc[[#This Row],[Up150]]</f>
        <v>0.11475409836065564</v>
      </c>
      <c r="S8" s="966">
        <f ca="1">IFERROR(SUMPRODUCT(DataShift!F1502:Z1502,DataShift!AB709:AV709)/SQRT(SUMPRODUCT(DataShift!F1502:Z1502,DataShift!F1502:Z1502)*SUMPRODUCT(DataShift!AB709:AV709,DataShift!AB709:AV709)),0)</f>
        <v>-0.38484885229245547</v>
      </c>
      <c r="T8" s="966">
        <f ca="1">IFERROR(SUMPRODUCT(DataShift!F1502:Z1502,DataShift!F709:Z709)/SQRT(SUMPRODUCT(DataShift!F1502:Z1502,DataShift!F1502:Z1502)*SUMPRODUCT(DataShift!F709:Z709,DataShift!F709:Z709)),0)</f>
        <v>-9.7254848775162328E-2</v>
      </c>
      <c r="U8" s="1107">
        <v>3800</v>
      </c>
      <c r="V8" s="1107">
        <v>0</v>
      </c>
      <c r="W8" s="1107">
        <v>0</v>
      </c>
      <c r="X8" s="966" t="str">
        <f ca="1">IF(TabCalc[[#This Row],[EfCost]]+TabCalc[[#This Row],[M_V]]&lt;TabCalc[[#This Row],[NoT_GL]],"Pile","")</f>
        <v/>
      </c>
      <c r="Y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 s="213">
        <f ca="1">MIN(TabCalc[[#This Row],[L_Bn]],TabCalc[[#This Row],[NAfter]])*(TabCalc[[#This Row],[M]]+TabCalc[[#This Row],[L_Bp]])*TabCalc[[#This Row],[Scale]]</f>
        <v>16100</v>
      </c>
      <c r="AA8" s="210" cm="1">
        <f t="array" aca="1" ref="AA8" ca="1">_xlfn.XLOOKUP(TabCalc[[#This Row],[L_Bp]],INDIRECT("TabReg["&amp;TabCalc[[#This Row],[Ticker]]&amp;"2]"),INDIRECT("TabReg["&amp;TabCalc[[#This Row],[Ticker]]&amp;"]"))</f>
        <v>45940</v>
      </c>
      <c r="AB8" s="181" cm="1">
        <f t="array" aca="1" ref="AB8" ca="1">_xlfn.XLOOKUP(TabCalc[[#This Row],[L_Bp]],INDIRECT("TabReg["&amp;TabCalc[[#This Row],[Ticker]]&amp;"2]"),INDIRECT("TabReg["&amp;TabCalc[[#This Row],[Ticker]]&amp;"1]"))</f>
        <v>200</v>
      </c>
      <c r="AC8" s="192" cm="1">
        <f t="array" aca="1" ref="AC8" ca="1">IFERROR(INDEX(INDIRECT("TabReg["&amp;TabCalc[[#This Row],[Ticker]]&amp;"2]"),    _xlfn.XMATCH(    MAX(    _xlfn._xlws.FILTER(INDIRECT("TabReg["&amp;TabCalc[[#This Row],[Ticker]]&amp;"]"), INDIRECT("TabReg["&amp;TabCalc[[#This Row],[Ticker]]&amp;"2]")&lt;0)     ), INDIRECT("TabReg["&amp;TabCalc[[#This Row],[Ticker]]&amp;"]"),      0)), "")</f>
        <v>-813.9</v>
      </c>
      <c r="AD8" s="213">
        <f ca="1">IFERROR(MIN(TabCalc[[#This Row],[L_B1n]],TabCalc[[#This Row],[NAfter]])*(TabCalc[[#This Row],[M]]+TabCalc[[#This Row],[L_B1p]])*TabCalc[[#This Row],[Scale]],"")</f>
        <v>17900</v>
      </c>
      <c r="AE8" s="210" cm="1">
        <f t="array" aca="1" ref="AE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45925</v>
      </c>
      <c r="AF8" s="181" cm="1">
        <f t="array" aca="1" ref="AF8" ca="1">IFERROR(_xlfn.XLOOKUP(TabCalc[[#This Row],[L_B1D]],INDIRECT("TabReg["&amp;TabCalc[[#This Row],[Ticker]]&amp;"]"),INDIRECT("TabReg["&amp;TabCalc[[#This Row],[Ticker]]&amp;"1]")),0)</f>
        <v>200</v>
      </c>
      <c r="AG8" s="192" cm="1">
        <f t="array" aca="1" ref="AG8" ca="1">IFERROR(_xlfn.XLOOKUP(TabCalc[[#This Row],[L_B1D]],INDIRECT("TabReg["&amp;TabCalc[[#This Row],[Ticker]]&amp;"]"),INDIRECT("TabReg["&amp;TabCalc[[#This Row],[Ticker]]&amp;"2]")),0)</f>
        <v>-804.9</v>
      </c>
      <c r="AH8" s="302">
        <f ca="1">IFERROR(TabCalc[[#This Row],[L_Sn]]*(TabCalc[[#This Row],[L_Sp]]-TabCalc[[#This Row],[M]])*TabCalc[[#This Row],[Scale]],"")</f>
        <v>35.000000000002274</v>
      </c>
      <c r="AI8" s="210" cm="1">
        <f t="array" aca="1" ref="AI8" ca="1">IFERROR(_xlfn.XLOOKUP(TabCalc[[#This Row],[L_Sp]],INDIRECT("TabReg["&amp;TabCalc[[#This Row],[Ticker]]&amp;"2]"),INDIRECT("TabReg["&amp;TabCalc[[#This Row],[Ticker]]&amp;"]")),0)</f>
        <v>45954</v>
      </c>
      <c r="AJ8" s="181" cm="1">
        <f t="array" aca="1" ref="AJ8" ca="1">IFERROR(_xlfn.XLOOKUP(TabCalc[[#This Row],[L_Sp]],INDIRECT("TabReg["&amp;TabCalc[[#This Row],[Ticker]]&amp;"2]"),INDIRECT("TabReg["&amp;TabCalc[[#This Row],[Ticker]]&amp;"1]")),0)</f>
        <v>100</v>
      </c>
      <c r="AK8" s="192" cm="1">
        <f t="array" aca="1" ref="AK8" ca="1">IFERROR(INDEX(INDIRECT("TabReg["&amp;TabCalc[[#This Row],[Ticker]]&amp;"2]"), _xlfn.XMATCH(MAX(_xlfn._xlws.FILTER(INDIRECT("TabReg["&amp;TabCalc[[#This Row],[Ticker]]&amp;"]"), INDIRECT("TabReg["&amp;TabCalc[[#This Row],[Ticker]]&amp;"2]")&gt;0)), INDIRECT("TabReg["&amp;TabCalc[[#This Row],[Ticker]]&amp;"]"), 0)), 0)</f>
        <v>894.75</v>
      </c>
      <c r="AL8" s="214">
        <f ca="1">IFERROR(TabCalc[[#This Row],[L_S1n]]*(TabCalc[[#This Row],[L_S1p]]-TabCalc[[#This Row],[M]])*TabCalc[[#This Row],[Scale]],0)</f>
        <v>-3179.8999999999978</v>
      </c>
      <c r="AM8" s="210" cm="1">
        <f t="array" aca="1" ref="AM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45947</v>
      </c>
      <c r="AN8" s="181" cm="1">
        <f t="array" aca="1" ref="AN8" ca="1">IFERROR(_xlfn.XLOOKUP(TabCalc[[#This Row],[L_S1D]],INDIRECT("TabReg["&amp;TabCalc[[#This Row],[Ticker]]&amp;"]"),INDIRECT("TabReg["&amp;TabCalc[[#This Row],[Ticker]]&amp;"1]")),0)</f>
        <v>100</v>
      </c>
      <c r="AO8" s="384" cm="1">
        <f t="array" aca="1" ref="AO8" ca="1">IFERROR(_xlfn.XLOOKUP(TabCalc[[#This Row],[L_S1D]],INDIRECT("TabReg["&amp;TabCalc[[#This Row],[Ticker]]&amp;"]"),INDIRECT("TabReg["&amp;TabCalc[[#This Row],[Ticker]]&amp;"2]")),0)</f>
        <v>862.601</v>
      </c>
      <c r="AP8" s="336">
        <f ca="1">_xlfn.LET(_xlpm.MVOpen,[1]!RTData[[#This Row],[Open]]*TabCalc[[#This Row],[NAfter]],_xlpm.MVNow,TabCalc[[#This Row],[M]]*TabCalc[[#This Row],[NAfter]],_xlpm.MVNow-_xlpm.MVOpen)*TabCalc[[#This Row],[Scale]]</f>
        <v>-20720</v>
      </c>
      <c r="AQ8" s="336">
        <f ca="1">_xlfn.LET(_xlpm.MVToday,DataShift!AV510,         _xlpm.MVY,DataShift!AU510,        _xlpm.MVYY, DataShift!AT510,                                IF(_xlpm.MVToday=_xlpm.MVY,_xlpm.MVY-_xlpm.MVYY,_xlpm.MVToday-_xlpm.MVY))</f>
        <v>-63980</v>
      </c>
      <c r="AR8" s="336">
        <f ca="1">_xlfn.LET(_xlpm.MVToday,DataShift!AV510,         _xlpm.MVY,DataShift!AU510,        _xlpm.MVYY, DataShift!AT510,         _xlpm.MVYYY, DataShift!AS510,                      IF(_xlpm.MVToday=_xlpm.MVY,      _xlpm.MVYY-_xlpm.MVYYY,          _xlpm.MVY-_xlpm.MVYY))</f>
        <v>66880</v>
      </c>
      <c r="AS8" s="1078">
        <f ca="1">TabCalc[[#This Row],[Y]]/TabCalc[[#This Row],[M]]</f>
        <v>0.97708325134168161</v>
      </c>
      <c r="AT8" s="299" t="str" cm="1">
        <f t="array" aca="1" ref="AT8" ca="1">IFERROR(_xlfn.IFS(          TabCalc[[#This Row],[E]]&gt;0, "Free Trade",      TabCalc[[#This Row],[A]]&lt;MIN(TabCalc[[#This Row],[L_Sp]],TabCalc[[#This Row],[M]]), "Buy",            TabCalc[[#This Row],[M]]&lt;TabCalc[[#This Row],[L_Sp]],       "Refill",       TabCalc[[#This Row],[M]]&gt;TabCalc[[#This Row],[L_Sp]],"S_more"),"")</f>
        <v>Buy</v>
      </c>
      <c r="AU8" s="299" t="str">
        <f ca="1">IF(           AND(TabCalc[[#This Row],[E]]&lt;=0,          TabCalc[[#This Row],[A]]&gt;MIN(TabCalc[[#This Row],[M]],TabCalc[[#This Row],[L_Sp]]),             TabCalc[[#This Row],[L_Sp]]&lt;=TabCalc[[#This Row],[M]]),                       "S_more","")</f>
        <v/>
      </c>
      <c r="AV8" s="82" t="str" cm="1">
        <f t="array" aca="1" ref="AV8" ca="1">IFERROR(_xlfn.IFS(TabCalc[[#This Row],[E]]&gt;0,"Free trade",                 TabCalc[[#This Row],[A]]&lt;MAX(ABS(TabCalc[[#This Row],[L_Bp]]),TabCalc[[#This Row],[A]]),"Sell",             TabCalc[[#This Row],[M]]&gt;ABS(TabCalc[[#This Row],[L_Bp]]),"Resell",             TabCalc[[#This Row],[M]]&lt;ABS(TabCalc[[#This Row],[L_Bp]]),"B_more"),"")</f>
        <v>Sell</v>
      </c>
      <c r="AW8" s="82">
        <f ca="1">TabCalc[[#This Row],[NAfter]]-TabCalc[[#This Row],[Nbegin]]</f>
        <v>3200</v>
      </c>
      <c r="AX8" s="307">
        <f ca="1">IFERROR((TabCalc[[#This Row],[M]]-TabCalc[[#This Row],[Y]])*(TabCalc[[#This Row],[M]]-TabCalc[[#This Row],[Y]])*(TabCalc[[#This Row],[M]]-TabCalc[[#This Row],[Y]])/(TabCalc[[#This Row],[Y]]*TabCalc[[#This Row],[M]]),"")</f>
        <v>1.1016895410806212E-2</v>
      </c>
      <c r="AY8" s="82">
        <f t="shared" ca="1" si="1"/>
        <v>0</v>
      </c>
      <c r="AZ8" s="90">
        <f ca="1">[1]!RTData[[#This Row],[V/VA]]</f>
        <v>0.67346169889261154</v>
      </c>
      <c r="BA8" s="90" t="str" cm="1">
        <f t="array" aca="1" ref="BA8" ca="1">IFERROR(_xlfn.IFS(TabCalc[[#This Row],[Cur]]="USD",Timer!F$27,TabCalc[[#This Row],[Cur]]="EUR",Timer!F$18,TabCalc[[#This Row],[Cur]]="GBP",Timer!F$12,TabCalc[[#This Row],[Cur]]="CAD",Timer!F$27,TabCalc[[#This Row],[Cur]]="JPY",Timer!F$31,TabCalc[[#This Row],[Cur]]="CHF",Timer!F$18),"Timing")</f>
        <v>None-Working Day</v>
      </c>
      <c r="BB8" s="90">
        <f ca="1">IF(ISNUMBER(TabCalc[[#This Row],[TimeEX]]),TabCalc[[#This Row],[V/VA]]/TabCalc[[#This Row],[TimeEX]],TabCalc[[#This Row],[V/VA]])</f>
        <v>0.67346169889261154</v>
      </c>
      <c r="BC8" s="87" cm="1">
        <f t="array" aca="1" ref="BC8" ca="1">INDEX(TabReg[], 1, _xlfn.XMATCH(TabCalc[[#This Row],[Ticker]]&amp;1, TabReg[#Headers], 0))</f>
        <v>500</v>
      </c>
      <c r="BD8" s="161">
        <f ca="1">TabCalc[[#This Row],[Nbegin]]*TabCalc[[#This Row],[M]]*TabCalc[[#This Row],[Scale]]+TabCalc[[#This Row],[ValueBegin]]</f>
        <v>-850</v>
      </c>
      <c r="BE8" s="336" t="str" cm="1">
        <f t="array" aca="1" ref="BE8" ca="1">_xlfn.IFS(TabCalc[[#This Row],[Cost+Gain]]&gt;0,"Free",             TabCalc[[#This Row],[GL]]&gt;0,"Gainer",                TRUE,"Looser")</f>
        <v>Gainer</v>
      </c>
      <c r="BF8" s="161">
        <f ca="1">TabCalc[[#This Row],[Tot_Paid]]-TabCalc[[#This Row],[ValueBegin]]</f>
        <v>-6526169.4470999995</v>
      </c>
      <c r="BG8" s="337">
        <f ca="1">IF(TabCalc[[#This Row],[EfCost]]&gt;TabCalc[[#This Row],[ValueBegin]],       0,        TabCalc[[#This Row],[EfCost]]-TabCalc[[#This Row],[ValueBegin]]*(1+Commission))</f>
        <v>-2057189.26</v>
      </c>
      <c r="BH8" s="338">
        <f ca="1">TabCalc[[#This Row],[M_V]]+TabCalc[[#This Row],[ValueBegin]]</f>
        <v>2861230</v>
      </c>
      <c r="BI8" s="161" cm="1">
        <f t="array" aca="1" ref="BI8" ca="1">SUMPRODUCT(_xlfn._xlws.FILTER(INDIRECT("TabReg["&amp;TabCalc[[#This Row],[Ticker]]&amp;"1]") * INDIRECT("TabReg["&amp;TabCalc[[#This Row],[Ticker]]&amp;"2]"), INDIRECT("TabReg["&amp;TabCalc[[#This Row],[Ticker]]&amp;"2]")&lt;0))*(1+Commission)*TabCalc[[#This Row],[Scale]]</f>
        <v>-6974219.4470999995</v>
      </c>
      <c r="BJ8" s="161" cm="1">
        <f t="array" aca="1" ref="BJ8" ca="1">SUMPRODUCT(IF(INDIRECT("TabReg["&amp;TabCalc[[#This Row],[Ticker]]&amp;"2]") ="", 0, INDIRECT("TabReg["&amp;TabCalc[[#This Row],[Ticker]]&amp;"1]") * INDIRECT("TabReg["&amp;TabCalc[[#This Row],[Ticker]]&amp;"2]") ))*TabCalc[[#This Row],[Scale]]</f>
        <v>-2506404.19</v>
      </c>
      <c r="BK8" s="161" cm="1">
        <f t="array" aca="1" ref="BK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4438160.0137939993</v>
      </c>
      <c r="BL8" s="161">
        <f ca="1">TabCalc[[#This Row],[M_V]]+TabCalc[[#This Row],[EfCost]]</f>
        <v>802875.81</v>
      </c>
      <c r="BM8" s="161">
        <f ca="1">IF(        OR( TabCalc[[#This Row],[GL]]&gt;ABS(TabCalc[[#This Row],[EfCost]]),TabCalc[[#This Row],[NAfter]]=0),             TabCalc[[#This Row],[GL]],     0)</f>
        <v>0</v>
      </c>
      <c r="BN8" s="161" cm="1">
        <f t="array" aca="1" ref="BN8" ca="1">SUMPRODUCT(_xlfn._xlws.FILTER(IF(INDIRECT("TabReg["&amp;TabCalc[[#This Row],[Ticker]]&amp;"2]") ="", 0, INDIRECT("TabReg["&amp;TabCalc[[#This Row],[Ticker]]&amp;"1]")  ),  INDIRECT("TabReg["&amp;TabCalc[[#This Row],[Ticker]]&amp;"2]") &lt; 0))</f>
        <v>9500</v>
      </c>
      <c r="BO8" s="161">
        <f ca="1">TabCalc[[#This Row],[SB]]-TabCalc[[#This Row],[Nbegin]]</f>
        <v>9000</v>
      </c>
      <c r="BP8" s="161" cm="1">
        <f t="array" aca="1" ref="BP8" ca="1">IFERROR(SUMPRODUCT(_xlfn._xlws.FILTER(IF(INDIRECT("TabReg["&amp;TabCalc[[#This Row],[Ticker]]&amp;"2]") ="", 0, INDIRECT("TabReg["&amp;TabCalc[[#This Row],[Ticker]]&amp;"1]")  ),  INDIRECT("TabReg["&amp;TabCalc[[#This Row],[Ticker]]&amp;"2]") &gt; 0)),0)</f>
        <v>5800</v>
      </c>
      <c r="BQ8"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1128.86</v>
      </c>
      <c r="BR8" s="176" t="str">
        <f ca="1">IF(TabCalc[[#This Row],[EfCost]]+TabCalc[[#This Row],[M_V]]&lt;TabCalc[[#This Row],[NoT_GL]],"Pile","")</f>
        <v/>
      </c>
      <c r="BS8" s="167">
        <f ca="1">[1]!RTData[[#This Row],[Last trade time]]</f>
        <v>45954.666666666664</v>
      </c>
      <c r="BT8" s="177">
        <f ca="1">(TabCalc[[#This Row],[ValueBegin]]+(TabCalc[[#This Row],[M]]-TabCalc[[#This Row],[A]])*TabCalc[[#This Row],[NAfter]])*TabCalc[[#This Row],[Scale]]</f>
        <v>424055.57894736854</v>
      </c>
      <c r="BU8" s="189" cm="1">
        <f t="array" aca="1" ref="BU8" ca="1">_xlfn.XLOOKUP(TabCalc[[#This Row],[Ticker]],TabReg[[#Headers],[AAPL]:[UnknownX28]],Reg!B$72:KF$72)+3</f>
        <v>55</v>
      </c>
      <c r="BV8" s="190" cm="1">
        <f t="array" aca="1" ref="BV8" ca="1">_xlfn.XLOOKUP(TabCalc[[#This Row],[Ticker]],TabReg[[#Headers],[AAPL]:[UnknownX28]],Reg!B$73:KF$73)+2</f>
        <v>18</v>
      </c>
      <c r="BW8" s="191">
        <f ca="1">IFERROR(MAX(TabCalc[[#This Row],[Max_SD]],TabCalc[[#This Row],[Max_PD]]),0)</f>
        <v>45954</v>
      </c>
      <c r="BX8" s="191" t="str" cm="1">
        <f t="array" aca="1" ref="BX8" ca="1">_xlfn.IFS(TabCalc[[#This Row],[L_TP]]&lt;0,"Purchase",TabCalc[[#This Row],[L_TP]]&gt;0,"Sale")</f>
        <v>Sale</v>
      </c>
      <c r="BY8" s="190" cm="1">
        <f t="array" aca="1" ref="BY8" ca="1">INDEX(Reg!$A$1:$KF$73,TabCalc[[#This Row],[L_I1]],TabCalc[[#This Row],[L_I2]])</f>
        <v>100</v>
      </c>
      <c r="BZ8" s="192" cm="1">
        <f t="array" aca="1" ref="BZ8" ca="1">INDEX(Reg!$A$1:$KF$73,TabCalc[[#This Row],[L_I1]],TabCalc[[#This Row],[L_I2]]+1)</f>
        <v>894.75</v>
      </c>
      <c r="CA8" s="161">
        <f ca="1">TabCalc[[#This Row],[NAfter]]*(TabCalc[[#This Row],[M]]-IF(TabCalc[[#This Row],[E]]&gt;0,0,TabCalc[[#This Row],[A]]))</f>
        <v>872105.57894736854</v>
      </c>
      <c r="CB8" s="167" cm="1">
        <f t="array" aca="1" ref="CB8" ca="1">IFERROR(MIN(_xlfn._xlws.FILTER(INDIRECT("TabReg["&amp;TabCalc[[#This Row],[Ticker]]&amp;"]"), INDIRECT("TabReg["&amp;TabCalc[[#This Row],[Ticker]]&amp;"2]")&gt;0)),0)</f>
        <v>45453</v>
      </c>
      <c r="CC8" s="178" cm="1">
        <f t="array" aca="1" ref="CC8" ca="1">IFERROR(MIN(_xlfn._xlws.FILTER(INDIRECT("TabReg["&amp;TabCalc[[#This Row],[Ticker]]&amp;"1]"), INDIRECT("TabReg["&amp;TabCalc[[#This Row],[Ticker]]&amp;"2]")&gt;0)),0)</f>
        <v>100</v>
      </c>
      <c r="CD8" s="173" cm="1">
        <f t="array" aca="1" ref="CD8" ca="1">IFERROR(MIN(_xlfn._xlws.FILTER(INDIRECT("TabReg["&amp;TabCalc[[#This Row],[Ticker]]&amp;"2]"), INDIRECT("TabReg["&amp;TabCalc[[#This Row],[Ticker]]&amp;"2]")&gt;0)),0)</f>
        <v>290.33199999999999</v>
      </c>
      <c r="CE8" s="167" cm="1">
        <f t="array" aca="1" ref="CE8" ca="1">IFERROR(MAX(_xlfn._xlws.FILTER(INDIRECT("TabReg["&amp;TabCalc[[#This Row],[Ticker]]&amp;"]"), INDIRECT("TabReg["&amp;TabCalc[[#This Row],[Ticker]]&amp;"2]")&gt;0)),0)</f>
        <v>45954</v>
      </c>
      <c r="CF8" s="178" cm="1">
        <f t="array" aca="1" ref="CF8" ca="1">IFERROR(MAX(_xlfn._xlws.FILTER(INDIRECT("TabReg["&amp;TabCalc[[#This Row],[Ticker]]&amp;"1]"), INDIRECT("TabReg["&amp;TabCalc[[#This Row],[Ticker]]&amp;"2]")&gt;0)),0)</f>
        <v>510</v>
      </c>
      <c r="CG8" s="173" cm="1">
        <f t="array" aca="1" ref="CG8" ca="1">IFERROR(MAX(_xlfn._xlws.FILTER(INDIRECT("TabReg["&amp;TabCalc[[#This Row],[Ticker]]&amp;"2]"), INDIRECT("TabReg["&amp;TabCalc[[#This Row],[Ticker]]&amp;"2]")&gt;0)),0)</f>
        <v>982.8</v>
      </c>
      <c r="CH8" s="167" cm="1">
        <f t="array" aca="1" ref="CH8" ca="1">MIN(_xlfn._xlws.FILTER(INDIRECT("TabReg["&amp;TabCalc[[#This Row],[Ticker]]&amp;"]"), INDIRECT("TabReg["&amp;TabCalc[[#This Row],[Ticker]]&amp;"2]")&lt;0))</f>
        <v>40544</v>
      </c>
      <c r="CI8" s="177" cm="1">
        <f t="array" aca="1" ref="CI8" ca="1">MIN(_xlfn._xlws.FILTER(INDIRECT("TabReg["&amp;TabCalc[[#This Row],[Ticker]]&amp;"1]"), INDIRECT("TabReg["&amp;TabCalc[[#This Row],[Ticker]]&amp;"2]")&lt;0))</f>
        <v>100</v>
      </c>
      <c r="CJ8" s="173" cm="1">
        <f t="array" aca="1" ref="CJ8" ca="1">MIN(_xlfn._xlws.FILTER(INDIRECT("TabReg["&amp;TabCalc[[#This Row],[Ticker]]&amp;"2]"), INDIRECT("TabReg["&amp;TabCalc[[#This Row],[Ticker]]&amp;"2]")&lt;0))</f>
        <v>-945</v>
      </c>
      <c r="CK8" s="167" cm="1">
        <f t="array" aca="1" ref="CK8" ca="1">MAX(_xlfn._xlws.FILTER(INDIRECT("TabReg["&amp;TabCalc[[#This Row],[Ticker]]&amp;"]"), INDIRECT("TabReg["&amp;TabCalc[[#This Row],[Ticker]]&amp;"2]")&lt;0))</f>
        <v>45940</v>
      </c>
      <c r="CL8" s="177" cm="1">
        <f t="array" aca="1" ref="CL8" ca="1">MAX(_xlfn._xlws.FILTER(INDIRECT("TabReg["&amp;TabCalc[[#This Row],[Ticker]]&amp;"1]"), INDIRECT("TabReg["&amp;TabCalc[[#This Row],[Ticker]]&amp;"2]")&lt;0))</f>
        <v>1000</v>
      </c>
      <c r="CM8" s="173" cm="1">
        <f t="array" aca="1" ref="CM8" ca="1">MAX(_xlfn._xlws.FILTER(INDIRECT("TabReg["&amp;TabCalc[[#This Row],[Ticker]]&amp;"2]"), INDIRECT("TabReg["&amp;TabCalc[[#This Row],[Ticker]]&amp;"2]")&lt;0))</f>
        <v>-599.29999999999995</v>
      </c>
      <c r="CN8" s="167" cm="1">
        <f t="array" aca="1" ref="CN8" ca="1">IFERROR(_xlfn.XLOOKUP(TabCalc[[#This Row],[BS2P]],INDIRECT("TabReg["&amp;TabCalc[[#This Row],[Ticker]]&amp;"2]"),INDIRECT("TabReg["&amp;TabCalc[[#This Row],[Ticker]]&amp;"]")),0)</f>
        <v>45453</v>
      </c>
      <c r="CO8" s="178" cm="1">
        <f t="array" aca="1" ref="CO8" ca="1">IFERROR(_xlfn.XLOOKUP(TabCalc[[#This Row],[BS2P]],INDIRECT("TabReg["&amp;TabCalc[[#This Row],[Ticker]]&amp;"2]"),INDIRECT("TabReg["&amp;TabCalc[[#This Row],[Ticker]]&amp;"1]")),0)</f>
        <v>490</v>
      </c>
      <c r="CP8" s="173">
        <f ca="1">_xlfn.MAXIFS(INDIRECT("TabReg["&amp;TabCalc[[#This Row],[Ticker]]&amp;"2]"), INDIRECT("TabReg["&amp;TabCalc[[#This Row],[Ticker]]&amp;"2]"), "&lt;" &amp; MAX(INDIRECT("TabReg["&amp;TabCalc[[#This Row],[Ticker]]&amp;"2]")))</f>
        <v>954.5</v>
      </c>
      <c r="CQ8" s="167" cm="1">
        <f t="array" aca="1" ref="CQ8" ca="1">IFERROR(_xlfn.XLOOKUP(TabCalc[[#This Row],[WB2P]],INDIRECT("TabReg["&amp;TabCalc[[#This Row],[Ticker]]&amp;"2]"),INDIRECT("TabReg["&amp;TabCalc[[#This Row],[Ticker]]&amp;"]")),0)</f>
        <v>40544</v>
      </c>
      <c r="CR8" s="178" cm="1">
        <f t="array" aca="1" ref="CR8" ca="1">IFERROR(_xlfn.XLOOKUP(TabCalc[[#This Row],[WB2P]],INDIRECT("TabReg["&amp;TabCalc[[#This Row],[Ticker]]&amp;"2]"),INDIRECT("TabReg["&amp;TabCalc[[#This Row],[Ticker]]&amp;"1]")),0)</f>
        <v>500</v>
      </c>
      <c r="CS8" s="173">
        <f ca="1">_xlfn.MINIFS(INDIRECT("TabReg["&amp;TabCalc[[#This Row],[Ticker]]&amp;"2]"), INDIRECT("TabReg["&amp;TabCalc[[#This Row],[Ticker]]&amp;"2]"), "&gt;" &amp; MIN(INDIRECT("TabReg["&amp;TabCalc[[#This Row],[Ticker]]&amp;"2]")))</f>
        <v>-896.1</v>
      </c>
      <c r="CT8" s="405">
        <f ca="1">IF(TabCalc[[#This Row],[M]]&lt;TabCalc[[#This Row],[L_Sp]],DesiredBuyGain/(TabCalc[[#This Row],[L_Sp]]-TabCalc[[#This Row],[M]]),0)</f>
        <v>14285.714285713359</v>
      </c>
      <c r="CU8" s="406">
        <f ca="1">IF(TabCalc[[#This Row],[ntoBuy]]*TabCalc[[#This Row],[M]]&lt;=0,0,TabCalc[[#This Row],[ntoBuy]]*TabCalc[[#This Row],[M]])</f>
        <v>12777142.857142027</v>
      </c>
      <c r="CV8" s="406">
        <f ca="1">IF(TabCalc[[#This Row],[M]]&gt;ABS(TabCalc[[#This Row],[L_Bp]]),MIN(TabCalc[[#This Row],[NAfter]],DesiredSaleGain/(TabCalc[[#This Row],[M]]+TabCalc[[#This Row],[L_Bp]])),0)/TabCalc[[#This Row],[Scale]]</f>
        <v>62.111801242236027</v>
      </c>
      <c r="CW8" s="407">
        <f ca="1">TabCalc[[#This Row],[ntoSell]]*TabCalc[[#This Row],[M]]</f>
        <v>55552.795031055903</v>
      </c>
      <c r="CX8" s="400">
        <f ca="1">_xlfn.LET(_xlpm.nToSell,IF(TabCalc[[#This Row],[M]]-TabCalc[[#This Row],[A]]&lt;=0,"",INT(DesiredSaleGain/(TabCalc[[#This Row],[M]]-IF(TabCalc[[#This Row],[E]]&gt;0,0,TabCalc[[#This Row],[A]])))),IF(_xlpm.nToSell&lt;=TabCalc[[#This Row],[NAfter]],_xlpm.nToSell,0))</f>
        <v>21</v>
      </c>
      <c r="CY8" s="338">
        <f ca="1">IFERROR(TabCalc[[#This Row],[NMA]]*TabCalc[[#This Row],[M]],"")</f>
        <v>18782.399999999998</v>
      </c>
      <c r="CZ8" s="337" cm="1">
        <f t="array" aca="1" ref="CZ8" ca="1">_xlfn.IFS(TabCalc[[#This Row],[M]]&gt;= TabCalc[[#This Row],[L_Sp]],(TabCalc[[#This Row],[M]]-TabCalc[[#This Row],[A]])*TabCalc[[#This Row],[NAfter]]*TabCalc[[#This Row],[Scale]],           TabCalc[[#This Row],[M]]&lt; TabCalc[[#This Row],[L_Sp]],(TabCalc[[#This Row],[M]]-TabCalc[[#This Row],[A]])*TabCalc[[#This Row],[NAfter]]*TabCalc[[#This Row],[Scale]],               TRUE,"")</f>
        <v>872105.57894736854</v>
      </c>
      <c r="DA8" s="90">
        <f ca="1">IFERROR((TabCalc[[#This Row],[M]]+TabCalc[[#This Row],[L_Bp]])/ABS(TabCalc[[#This Row],[L_Bp]])/(TODAY()-TabCalc[[#This Row],[L_Bdate]])*360,"")</f>
        <v>2.2253962403243643</v>
      </c>
      <c r="DB8" s="312">
        <f ca="1">MEDIAN(DataShift!F709:Z709)</f>
        <v>3.15E-3</v>
      </c>
      <c r="DC8" s="312" t="e" cm="1">
        <f t="array" aca="1" ref="DC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 s="88" t="s">
        <v>5</v>
      </c>
      <c r="DN8" s="81">
        <v>5000</v>
      </c>
      <c r="DO8" s="317">
        <v>-54.11</v>
      </c>
    </row>
    <row r="9" spans="1:119" ht="23" thickBot="1">
      <c r="A9" s="120" t="str">
        <f ca="1">_xlfn.XLOOKUP(TabCalc[[#This Row],[Ticker]],[1]!RTData[Ticker symbol],[1]!RTData[Currency])</f>
        <v>USD</v>
      </c>
      <c r="B9" s="121">
        <f ca="1">IF(TabCalc[[#This Row],[Cur]]="GBP",0.01,1)</f>
        <v>1</v>
      </c>
      <c r="C9" s="82">
        <f ca="1">_xlfn.XLOOKUP(TabCalc[[#This Row],[Ticker]],DM$3:DM$96,DN$3:DN$96)</f>
        <v>5000</v>
      </c>
      <c r="D9" s="120">
        <f ca="1">_xlfn.XLOOKUP(TabCalc[[#This Row],[Ticker]],DM$3:DM$96,DO$3:DO$96)</f>
        <v>-54.11</v>
      </c>
      <c r="E9" s="121">
        <f ca="1">SUMPRODUCT(C9,D9,B9)</f>
        <v>-270550</v>
      </c>
      <c r="F9" s="82">
        <f ca="1">TabCalc[[#This Row],[NAfter]]*TabCalc[[#This Row],[M]]*TabCalc[[#This Row],[Scale]]</f>
        <v>41645</v>
      </c>
      <c r="G9" s="82">
        <f ca="1">IFERROR(TabCalc[[#This Row],[SB]]-TabCalc[[#This Row],[SST]],TabCalc[[#This Row],[SB]])</f>
        <v>500</v>
      </c>
      <c r="H9" s="1191" t="str">
        <f ca="1">[1]!RTData[[#This Row],[Ticker symbol]]</f>
        <v>AZN</v>
      </c>
      <c r="I9" s="1192">
        <f ca="1">[1]!RTData[[#This Row],[M-Price]]</f>
        <v>83.29</v>
      </c>
      <c r="J9" s="1190" t="e">
        <f ca="1">_xlfn.XLOOKUP(TabCalc[[#This Row],[Ticker]]&amp;2,#REF!,#REF!)</f>
        <v>#REF!</v>
      </c>
      <c r="K9" s="383">
        <f>[1]!RTData[[#This Row],[1YT]]</f>
        <v>89.77</v>
      </c>
      <c r="L9" s="1190">
        <f ca="1">IF(OR(TabCalc[[#This Row],[NAfter]]=0,TabCalc[[#This Row],[EfCost]]&gt;0),0,TabCalc[[#This Row],[EfCost]]/TabCalc[[#This Row],[NAfter]]/TabCalc[[#This Row],[Scale]])</f>
        <v>0</v>
      </c>
      <c r="M9" s="1193">
        <f ca="1">[1]!RTData[[#This Row],[Change%]]</f>
        <v>-1.3189999999999999E-3</v>
      </c>
      <c r="N9" s="1194"/>
      <c r="O9" s="1195">
        <f>TabCalc[[#This Row],[Up20]]-1+TabCalc[[#This Row],[Up20]]</f>
        <v>-1</v>
      </c>
      <c r="P9" s="1195">
        <f>TabCalc[[#This Row],[Up20]]-TabCalc[[#This Row],[Up150]]</f>
        <v>0</v>
      </c>
      <c r="Q9" s="1195"/>
      <c r="R9" s="1195">
        <f>TabCalc[[#This Row],[Up150]]-1+TabCalc[[#This Row],[Up150]]</f>
        <v>-1</v>
      </c>
      <c r="S9" s="1195">
        <f ca="1">IFERROR(SUMPRODUCT(DataShift!F1503:Z1503,DataShift!AB710:AV710)/SQRT(SUMPRODUCT(DataShift!F1503:Z1503,DataShift!F1503:Z1503)*SUMPRODUCT(DataShift!AB710:AV710,DataShift!AB710:AV710)),0)</f>
        <v>-0.69377641192476525</v>
      </c>
      <c r="T9" s="1195">
        <f ca="1">IFERROR(SUMPRODUCT(DataShift!F1503:Z1503,DataShift!F711:Z711)/SQRT(SUMPRODUCT(DataShift!F1503:Z1503,DataShift!F1503:Z1503)*SUMPRODUCT(DataShift!F711:Z711,DataShift!F711:Z711)),0)</f>
        <v>-0.31344547212364565</v>
      </c>
      <c r="U9" s="1196"/>
      <c r="V9" s="1196"/>
      <c r="W9" s="1196"/>
      <c r="X9" s="1195" t="str">
        <f ca="1">IF(TabCalc[[#This Row],[EfCost]]+TabCalc[[#This Row],[M_V]]&lt;TabCalc[[#This Row],[NoT_GL]],"Pile","")</f>
        <v/>
      </c>
      <c r="Y9" s="1197"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#REF!</v>
      </c>
      <c r="Z9" s="1198">
        <f ca="1">MIN(TabCalc[[#This Row],[L_Bn]],TabCalc[[#This Row],[NAfter]])*(TabCalc[[#This Row],[M]]+TabCalc[[#This Row],[L_Bp]])*TabCalc[[#This Row],[Scale]]</f>
        <v>6725.0000000000018</v>
      </c>
      <c r="AA9" s="210" cm="1">
        <f t="array" aca="1" ref="AA9" ca="1">_xlfn.XLOOKUP(TabCalc[[#This Row],[L_Bp]],INDIRECT("TabReg["&amp;TabCalc[[#This Row],[Ticker]]&amp;"2]"),INDIRECT("TabReg["&amp;TabCalc[[#This Row],[Ticker]]&amp;"]"))</f>
        <v>45828</v>
      </c>
      <c r="AB9" s="181" cm="1">
        <f t="array" aca="1" ref="AB9" ca="1">_xlfn.XLOOKUP(TabCalc[[#This Row],[L_Bp]],INDIRECT("TabReg["&amp;TabCalc[[#This Row],[Ticker]]&amp;"2]"),INDIRECT("TabReg["&amp;TabCalc[[#This Row],[Ticker]]&amp;"1]"))</f>
        <v>4000</v>
      </c>
      <c r="AC9" s="343" cm="1">
        <f t="array" aca="1" ref="AC9" ca="1">IFERROR(INDEX(INDIRECT("TabReg["&amp;TabCalc[[#This Row],[Ticker]]&amp;"2]"),    _xlfn.XMATCH(    MAX(    _xlfn._xlws.FILTER(INDIRECT("TabReg["&amp;TabCalc[[#This Row],[Ticker]]&amp;"]"), INDIRECT("TabReg["&amp;TabCalc[[#This Row],[Ticker]]&amp;"2]")&lt;0)     ), INDIRECT("TabReg["&amp;TabCalc[[#This Row],[Ticker]]&amp;"]"),      0)), "")</f>
        <v>-69.84</v>
      </c>
      <c r="AD9" s="213">
        <f ca="1">IFERROR(MIN(TabCalc[[#This Row],[L_B1n]],TabCalc[[#This Row],[NAfter]])*(TabCalc[[#This Row],[M]]+TabCalc[[#This Row],[L_B1p]])*TabCalc[[#This Row],[Scale]],"")</f>
        <v>2810.0000000000023</v>
      </c>
      <c r="AE9" s="210" cm="1">
        <f t="array" aca="1" ref="AE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45722</v>
      </c>
      <c r="AF9" s="181" cm="1">
        <f t="array" aca="1" ref="AF9" ca="1">IFERROR(_xlfn.XLOOKUP(TabCalc[[#This Row],[L_B1D]],INDIRECT("TabReg["&amp;TabCalc[[#This Row],[Ticker]]&amp;"]"),INDIRECT("TabReg["&amp;TabCalc[[#This Row],[Ticker]]&amp;"1]")),0)</f>
        <v>800</v>
      </c>
      <c r="AG9" s="343" cm="1">
        <f t="array" aca="1" ref="AG9" ca="1">IFERROR(_xlfn.XLOOKUP(TabCalc[[#This Row],[L_B1D]],INDIRECT("TabReg["&amp;TabCalc[[#This Row],[Ticker]]&amp;"]"),INDIRECT("TabReg["&amp;TabCalc[[#This Row],[Ticker]]&amp;"2]")),0)</f>
        <v>-77.67</v>
      </c>
      <c r="AH9" s="344">
        <f ca="1">IFERROR(TabCalc[[#This Row],[L_Sn]]*(TabCalc[[#This Row],[L_Sp]]-TabCalc[[#This Row],[M]])*TabCalc[[#This Row],[Scale]],"")</f>
        <v>1464.9999999999964</v>
      </c>
      <c r="AI9" s="210" cm="1">
        <f t="array" aca="1" ref="AI9" ca="1">IFERROR(_xlfn.XLOOKUP(TabCalc[[#This Row],[L_Sp]],INDIRECT("TabReg["&amp;TabCalc[[#This Row],[Ticker]]&amp;"2]"),INDIRECT("TabReg["&amp;TabCalc[[#This Row],[Ticker]]&amp;"]")),0)</f>
        <v>45939</v>
      </c>
      <c r="AJ9" s="181" cm="1">
        <f t="array" aca="1" ref="AJ9" ca="1">IFERROR(_xlfn.XLOOKUP(TabCalc[[#This Row],[L_Sp]],INDIRECT("TabReg["&amp;TabCalc[[#This Row],[Ticker]]&amp;"2]"),INDIRECT("TabReg["&amp;TabCalc[[#This Row],[Ticker]]&amp;"1]")),0)</f>
        <v>500</v>
      </c>
      <c r="AK9" s="343" cm="1">
        <f t="array" aca="1" ref="AK9" ca="1">IFERROR(INDEX(INDIRECT("TabReg["&amp;TabCalc[[#This Row],[Ticker]]&amp;"2]"), _xlfn.XMATCH(MAX(_xlfn._xlws.FILTER(INDIRECT("TabReg["&amp;TabCalc[[#This Row],[Ticker]]&amp;"]"), INDIRECT("TabReg["&amp;TabCalc[[#This Row],[Ticker]]&amp;"2]")&gt;0)), INDIRECT("TabReg["&amp;TabCalc[[#This Row],[Ticker]]&amp;"]"), 0)), 0)</f>
        <v>86.22</v>
      </c>
      <c r="AL9" s="344">
        <f ca="1">IFERROR(TabCalc[[#This Row],[L_S1n]]*(TabCalc[[#This Row],[L_S1p]]-TabCalc[[#This Row],[M]])*TabCalc[[#This Row],[Scale]],0)</f>
        <v>-7560.0000000000018</v>
      </c>
      <c r="AM9" s="210" cm="1">
        <f t="array" aca="1" ref="AM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N9" s="181" cm="1">
        <f t="array" aca="1" ref="AN9" ca="1">IFERROR(_xlfn.XLOOKUP(TabCalc[[#This Row],[L_S1D]],INDIRECT("TabReg["&amp;TabCalc[[#This Row],[Ticker]]&amp;"]"),INDIRECT("TabReg["&amp;TabCalc[[#This Row],[Ticker]]&amp;"1]")),0)</f>
        <v>2000</v>
      </c>
      <c r="AO9" s="342" cm="1">
        <f t="array" aca="1" ref="AO9" ca="1">IFERROR(_xlfn.XLOOKUP(TabCalc[[#This Row],[L_S1D]],INDIRECT("TabReg["&amp;TabCalc[[#This Row],[Ticker]]&amp;"]"),INDIRECT("TabReg["&amp;TabCalc[[#This Row],[Ticker]]&amp;"2]")),0)</f>
        <v>79.510000000000005</v>
      </c>
      <c r="AP9" s="336">
        <f ca="1">_xlfn.LET(_xlpm.MVOpen,[1]!RTData[[#This Row],[Open]]*TabCalc[[#This Row],[NAfter]],_xlpm.MVNow,TabCalc[[#This Row],[M]]*TabCalc[[#This Row],[NAfter]],_xlpm.MVNow-_xlpm.MVOpen)*TabCalc[[#This Row],[Scale]]</f>
        <v>-80</v>
      </c>
      <c r="AQ9" s="336">
        <f ca="1">_xlfn.LET(_xlpm.MVToday,DataShift!AV511,         _xlpm.MVY,DataShift!AU512,        _xlpm.MVYY, DataShift!AT512,                                IF(_xlpm.MVToday=_xlpm.MVY,_xlpm.MVY-_xlpm.MVYY,_xlpm.MVToday-_xlpm.MVY))</f>
        <v>-55</v>
      </c>
      <c r="AR9" s="336">
        <f ca="1">_xlfn.LET(_xlpm.MVToday,DataShift!AV511,         _xlpm.MVY,DataShift!AU512,        _xlpm.MVYY, DataShift!AT512,         _xlpm.MVYYY, DataShift!AS512,                      IF(_xlpm.MVToday=_xlpm.MVY,      _xlpm.MVYY-_xlpm.MVYYY,          _xlpm.MVY-_xlpm.MVYY))</f>
        <v>-15</v>
      </c>
      <c r="AS9" s="1078">
        <f ca="1">TabCalc[[#This Row],[Y]]/TabCalc[[#This Row],[M]]</f>
        <v>1.0778004562372432</v>
      </c>
      <c r="AT9" s="299" t="str" cm="1">
        <f t="array" aca="1" ref="AT9" ca="1">IFERROR(_xlfn.IFS(          TabCalc[[#This Row],[E]]&gt;0, "Free Trade",      TabCalc[[#This Row],[A]]&lt;MIN(TabCalc[[#This Row],[L_Sp]],TabCalc[[#This Row],[M]]), "Buy",            TabCalc[[#This Row],[M]]&lt;TabCalc[[#This Row],[L_Sp]],       "Refill",       TabCalc[[#This Row],[M]]&gt;TabCalc[[#This Row],[L_Sp]],"S_more"),"")</f>
        <v/>
      </c>
      <c r="AU9" s="299" t="e">
        <f ca="1">IF(           AND(TabCalc[[#This Row],[E]]&lt;=0,          TabCalc[[#This Row],[A]]&gt;MIN(TabCalc[[#This Row],[M]],TabCalc[[#This Row],[L_Sp]]),             TabCalc[[#This Row],[L_Sp]]&lt;=TabCalc[[#This Row],[M]]),                       "S_more","")</f>
        <v>#REF!</v>
      </c>
      <c r="AV9" s="82" t="str" cm="1">
        <f t="array" aca="1" ref="AV9" ca="1">IFERROR(_xlfn.IFS(TabCalc[[#This Row],[E]]&gt;0,"Free trade",                 TabCalc[[#This Row],[A]]&lt;MAX(ABS(TabCalc[[#This Row],[L_Bp]]),TabCalc[[#This Row],[A]]),"Sell",             TabCalc[[#This Row],[M]]&gt;ABS(TabCalc[[#This Row],[L_Bp]]),"Resell",             TabCalc[[#This Row],[M]]&lt;ABS(TabCalc[[#This Row],[L_Bp]]),"B_more"),"")</f>
        <v/>
      </c>
      <c r="AW9" s="82">
        <f ca="1">TabCalc[[#This Row],[NAfter]]-TabCalc[[#This Row],[Nbegin]]</f>
        <v>-4500</v>
      </c>
      <c r="AX9" s="307">
        <f ca="1">IFERROR((TabCalc[[#This Row],[M]]-TabCalc[[#This Row],[Y]])*(TabCalc[[#This Row],[M]]-TabCalc[[#This Row],[Y]])*(TabCalc[[#This Row],[M]]-TabCalc[[#This Row],[Y]])/(TabCalc[[#This Row],[Y]]*TabCalc[[#This Row],[M]]),"")</f>
        <v>-3.6391581570506051E-2</v>
      </c>
      <c r="AY9" s="82">
        <f ca="1">IF(G9&lt;C9,C9-G9,0)</f>
        <v>4500</v>
      </c>
      <c r="AZ9" s="90">
        <f ca="1">[1]!RTData[[#This Row],[V/VA]]</f>
        <v>0.4078571579102292</v>
      </c>
      <c r="BA9" s="90" t="str" cm="1">
        <f t="array" aca="1" ref="BA9" ca="1">IFERROR(_xlfn.IFS(TabCalc[[#This Row],[Cur]]="USD",Timer!F$27,TabCalc[[#This Row],[Cur]]="EUR",Timer!F$18,TabCalc[[#This Row],[Cur]]="GBP",Timer!F$12,TabCalc[[#This Row],[Cur]]="CAD",Timer!F$27,TabCalc[[#This Row],[Cur]]="JPY",Timer!F$31,TabCalc[[#This Row],[Cur]]="CHF",Timer!F$18),"Timing")</f>
        <v>None-Working Day</v>
      </c>
      <c r="BB9" s="90">
        <f ca="1">IF(ISNUMBER(TabCalc[[#This Row],[TimeEX]]),TabCalc[[#This Row],[V/VA]]/TabCalc[[#This Row],[TimeEX]],TabCalc[[#This Row],[V/VA]])</f>
        <v>0.4078571579102292</v>
      </c>
      <c r="BC9" s="87" cm="1">
        <f t="array" aca="1" ref="BC9" ca="1">INDEX(TabReg[], 1, _xlfn.XMATCH(TabCalc[[#This Row],[Ticker]]&amp;1, TabReg[#Headers], 0))</f>
        <v>5000</v>
      </c>
      <c r="BD9" s="161">
        <f ca="1">TabCalc[[#This Row],[Nbegin]]*TabCalc[[#This Row],[M]]*TabCalc[[#This Row],[Scale]]+TabCalc[[#This Row],[ValueBegin]]</f>
        <v>145900.00000000006</v>
      </c>
      <c r="BE9" s="336" t="str" cm="1">
        <f t="array" aca="1" ref="BE9" ca="1">_xlfn.IFS(TabCalc[[#This Row],[Cost+Gain]]&gt;0,"Free",             TabCalc[[#This Row],[GL]]&gt;0,"Gainer",                TRUE,"Looser")</f>
        <v>Free</v>
      </c>
      <c r="BF9" s="340">
        <f ca="1">TabCalc[[#This Row],[Tot_Paid]]-TabCalc[[#This Row],[ValueBegin]]</f>
        <v>-495369.82735999988</v>
      </c>
      <c r="BG9" s="337">
        <f ca="1">IF(TabCalc[[#This Row],[EfCost]]&gt;TabCalc[[#This Row],[ValueBegin]],       0,        TabCalc[[#This Row],[EfCost]]-TabCalc[[#This Row],[ValueBegin]]*(1+Commission))</f>
        <v>0</v>
      </c>
      <c r="BH9" s="338">
        <f ca="1">TabCalc[[#This Row],[M_V]]+TabCalc[[#This Row],[ValueBegin]]</f>
        <v>-228905</v>
      </c>
      <c r="BI9" s="161" cm="1">
        <f t="array" aca="1" ref="BI9" ca="1">SUMPRODUCT(_xlfn._xlws.FILTER(INDIRECT("TabReg["&amp;TabCalc[[#This Row],[Ticker]]&amp;"1]") * INDIRECT("TabReg["&amp;TabCalc[[#This Row],[Ticker]]&amp;"2]"), INDIRECT("TabReg["&amp;TabCalc[[#This Row],[Ticker]]&amp;"2]")&lt;0))*(1+Commission)*TabCalc[[#This Row],[Scale]]</f>
        <v>-765919.82735999988</v>
      </c>
      <c r="BJ9" s="161" cm="1">
        <f t="array" aca="1" ref="BJ9" ca="1">SUMPRODUCT(IF(INDIRECT("TabReg["&amp;TabCalc[[#This Row],[Ticker]]&amp;"2]") ="", 0, INDIRECT("TabReg["&amp;TabCalc[[#This Row],[Ticker]]&amp;"1]") * INDIRECT("TabReg["&amp;TabCalc[[#This Row],[Ticker]]&amp;"2]") ))*TabCalc[[#This Row],[Scale]]</f>
        <v>108334.39999999997</v>
      </c>
      <c r="BK9" s="161" cm="1">
        <f t="array" aca="1" ref="BK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870000.10320000001</v>
      </c>
      <c r="BL9" s="161">
        <f ca="1">TabCalc[[#This Row],[M_V]]+TabCalc[[#This Row],[EfCost]]</f>
        <v>149979.39999999997</v>
      </c>
      <c r="BM9" s="161">
        <f ca="1">IF(        OR( TabCalc[[#This Row],[GL]]&gt;ABS(TabCalc[[#This Row],[EfCost]]),TabCalc[[#This Row],[NAfter]]=0),             TabCalc[[#This Row],[GL]],     0)</f>
        <v>149979.39999999997</v>
      </c>
      <c r="BN9" s="161" cm="1">
        <f t="array" aca="1" ref="BN9" ca="1">SUMPRODUCT(_xlfn._xlws.FILTER(IF(INDIRECT("TabReg["&amp;TabCalc[[#This Row],[Ticker]]&amp;"2]") ="", 0, INDIRECT("TabReg["&amp;TabCalc[[#This Row],[Ticker]]&amp;"1]")  ),  INDIRECT("TabReg["&amp;TabCalc[[#This Row],[Ticker]]&amp;"2]") &lt; 0))</f>
        <v>11900</v>
      </c>
      <c r="BO9" s="161">
        <f ca="1">TabCalc[[#This Row],[SB]]-TabCalc[[#This Row],[Nbegin]]</f>
        <v>6900</v>
      </c>
      <c r="BP9" s="161" cm="1">
        <f t="array" aca="1" ref="BP9" ca="1">IFERROR(SUMPRODUCT(_xlfn._xlws.FILTER(IF(INDIRECT("TabReg["&amp;TabCalc[[#This Row],[Ticker]]&amp;"2]") ="", 0, INDIRECT("TabReg["&amp;TabCalc[[#This Row],[Ticker]]&amp;"1]")  ),  INDIRECT("TabReg["&amp;TabCalc[[#This Row],[Ticker]]&amp;"2]") &gt; 0)),0)</f>
        <v>11400</v>
      </c>
      <c r="BQ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9" s="176" t="str">
        <f ca="1">IF(TabCalc[[#This Row],[EfCost]]+TabCalc[[#This Row],[M_V]]&lt;TabCalc[[#This Row],[NoT_GL]],"Pile","")</f>
        <v/>
      </c>
      <c r="BS9" s="167">
        <f ca="1">[1]!RTData[[#This Row],[Last trade time]]</f>
        <v>45954.999603610937</v>
      </c>
      <c r="BT9" s="177" t="e">
        <f ca="1">(TabCalc[[#This Row],[ValueBegin]]+(TabCalc[[#This Row],[M]]-TabCalc[[#This Row],[A]])*TabCalc[[#This Row],[NAfter]])*TabCalc[[#This Row],[Scale]]</f>
        <v>#REF!</v>
      </c>
      <c r="BU9" s="189" cm="1">
        <f t="array" aca="1" ref="BU9" ca="1">_xlfn.XLOOKUP(TabCalc[[#This Row],[Ticker]],TabReg[[#Headers],[AAPL]:[UnknownX28]],Reg!B$72:KF$72)+3</f>
        <v>16</v>
      </c>
      <c r="BV9" s="190" cm="1">
        <f t="array" aca="1" ref="BV9" ca="1">_xlfn.XLOOKUP(TabCalc[[#This Row],[Ticker]],TabReg[[#Headers],[AAPL]:[UnknownX28]],Reg!B$73:KF$73)+2</f>
        <v>24</v>
      </c>
      <c r="BW9" s="191">
        <f ca="1">IFERROR(MAX(TabCalc[[#This Row],[Max_SD]],TabCalc[[#This Row],[Max_PD]]),0)</f>
        <v>45939</v>
      </c>
      <c r="BX9" s="195" t="str" cm="1">
        <f t="array" aca="1" ref="BX9" ca="1">_xlfn.IFS(TabCalc[[#This Row],[L_TP]]&lt;0,"Purchase",TabCalc[[#This Row],[L_TP]]&gt;0,"Sale")</f>
        <v>Sale</v>
      </c>
      <c r="BY9" s="190" cm="1">
        <f t="array" aca="1" ref="BY9" ca="1">INDEX(Reg!$A$1:$KF$73,TabCalc[[#This Row],[L_I1]],TabCalc[[#This Row],[L_I2]])</f>
        <v>500</v>
      </c>
      <c r="BZ9" s="192" cm="1">
        <f t="array" aca="1" ref="BZ9" ca="1">INDEX(Reg!$A$1:$KF$73,TabCalc[[#This Row],[L_I1]],TabCalc[[#This Row],[L_I2]]+1)</f>
        <v>86.22</v>
      </c>
      <c r="CA9" s="161" t="e">
        <f ca="1">TabCalc[[#This Row],[NAfter]]*(TabCalc[[#This Row],[M]]-IF(TabCalc[[#This Row],[E]]&gt;0,0,TabCalc[[#This Row],[A]]))</f>
        <v>#REF!</v>
      </c>
      <c r="CB9" s="167" cm="1">
        <f t="array" aca="1" ref="CB9" ca="1">IFERROR(MIN(_xlfn._xlws.FILTER(INDIRECT("TabReg["&amp;TabCalc[[#This Row],[Ticker]]&amp;"]"), INDIRECT("TabReg["&amp;TabCalc[[#This Row],[Ticker]]&amp;"2]")&gt;0)),0)</f>
        <v>45369</v>
      </c>
      <c r="CC9" s="178" cm="1">
        <f t="array" aca="1" ref="CC9" ca="1">IFERROR(MIN(_xlfn._xlws.FILTER(INDIRECT("TabReg["&amp;TabCalc[[#This Row],[Ticker]]&amp;"1]"), INDIRECT("TabReg["&amp;TabCalc[[#This Row],[Ticker]]&amp;"2]")&gt;0)),0)</f>
        <v>500</v>
      </c>
      <c r="CD9" s="173" cm="1">
        <f t="array" aca="1" ref="CD9" ca="1">IFERROR(MIN(_xlfn._xlws.FILTER(INDIRECT("TabReg["&amp;TabCalc[[#This Row],[Ticker]]&amp;"2]"), INDIRECT("TabReg["&amp;TabCalc[[#This Row],[Ticker]]&amp;"2]")&gt;0)),0)</f>
        <v>66.203000000000003</v>
      </c>
      <c r="CE9" s="167" cm="1">
        <f t="array" aca="1" ref="CE9" ca="1">IFERROR(MAX(_xlfn._xlws.FILTER(INDIRECT("TabReg["&amp;TabCalc[[#This Row],[Ticker]]&amp;"]"), INDIRECT("TabReg["&amp;TabCalc[[#This Row],[Ticker]]&amp;"2]")&gt;0)),0)</f>
        <v>45939</v>
      </c>
      <c r="CF9" s="178" cm="1">
        <f t="array" aca="1" ref="CF9" ca="1">IFERROR(MAX(_xlfn._xlws.FILTER(INDIRECT("TabReg["&amp;TabCalc[[#This Row],[Ticker]]&amp;"1]"), INDIRECT("TabReg["&amp;TabCalc[[#This Row],[Ticker]]&amp;"2]")&gt;0)),0)</f>
        <v>3000</v>
      </c>
      <c r="CG9" s="173" cm="1">
        <f t="array" aca="1" ref="CG9" ca="1">IFERROR(MAX(_xlfn._xlws.FILTER(INDIRECT("TabReg["&amp;TabCalc[[#This Row],[Ticker]]&amp;"2]"), INDIRECT("TabReg["&amp;TabCalc[[#This Row],[Ticker]]&amp;"2]")&gt;0)),0)</f>
        <v>86.22</v>
      </c>
      <c r="CH9" s="167" cm="1">
        <f t="array" aca="1" ref="CH9" ca="1">MIN(_xlfn._xlws.FILTER(INDIRECT("TabReg["&amp;TabCalc[[#This Row],[Ticker]]&amp;"]"), INDIRECT("TabReg["&amp;TabCalc[[#This Row],[Ticker]]&amp;"2]")&lt;0))</f>
        <v>40544</v>
      </c>
      <c r="CI9" s="177" cm="1">
        <f t="array" aca="1" ref="CI9" ca="1">MIN(_xlfn._xlws.FILTER(INDIRECT("TabReg["&amp;TabCalc[[#This Row],[Ticker]]&amp;"1]"), INDIRECT("TabReg["&amp;TabCalc[[#This Row],[Ticker]]&amp;"2]")&lt;0))</f>
        <v>800</v>
      </c>
      <c r="CJ9" s="173" cm="1">
        <f t="array" aca="1" ref="CJ9" ca="1">MIN(_xlfn._xlws.FILTER(INDIRECT("TabReg["&amp;TabCalc[[#This Row],[Ticker]]&amp;"2]"), INDIRECT("TabReg["&amp;TabCalc[[#This Row],[Ticker]]&amp;"2]")&lt;0))</f>
        <v>-78.287000000000006</v>
      </c>
      <c r="CK9" s="167" cm="1">
        <f t="array" aca="1" ref="CK9" ca="1">MAX(_xlfn._xlws.FILTER(INDIRECT("TabReg["&amp;TabCalc[[#This Row],[Ticker]]&amp;"]"), INDIRECT("TabReg["&amp;TabCalc[[#This Row],[Ticker]]&amp;"2]")&lt;0))</f>
        <v>45828</v>
      </c>
      <c r="CL9" s="177" cm="1">
        <f t="array" aca="1" ref="CL9" ca="1">MAX(_xlfn._xlws.FILTER(INDIRECT("TabReg["&amp;TabCalc[[#This Row],[Ticker]]&amp;"1]"), INDIRECT("TabReg["&amp;TabCalc[[#This Row],[Ticker]]&amp;"2]")&lt;0))</f>
        <v>5000</v>
      </c>
      <c r="CM9" s="173" cm="1">
        <f t="array" aca="1" ref="CM9" ca="1">MAX(_xlfn._xlws.FILTER(INDIRECT("TabReg["&amp;TabCalc[[#This Row],[Ticker]]&amp;"2]"), INDIRECT("TabReg["&amp;TabCalc[[#This Row],[Ticker]]&amp;"2]")&lt;0))</f>
        <v>-54.11</v>
      </c>
      <c r="CN9" s="167" cm="1">
        <f t="array" aca="1" ref="CN9" ca="1">IFERROR(_xlfn.XLOOKUP(TabCalc[[#This Row],[BS2P]],INDIRECT("TabReg["&amp;TabCalc[[#This Row],[Ticker]]&amp;"2]"),INDIRECT("TabReg["&amp;TabCalc[[#This Row],[Ticker]]&amp;"]")),0)</f>
        <v>45520</v>
      </c>
      <c r="CO9" s="178" cm="1">
        <f t="array" aca="1" ref="CO9" ca="1">IFERROR(_xlfn.XLOOKUP(TabCalc[[#This Row],[BS2P]],INDIRECT("TabReg["&amp;TabCalc[[#This Row],[Ticker]]&amp;"2]"),INDIRECT("TabReg["&amp;TabCalc[[#This Row],[Ticker]]&amp;"1]")),0)</f>
        <v>800</v>
      </c>
      <c r="CP9" s="173">
        <f ca="1">_xlfn.MAXIFS(INDIRECT("TabReg["&amp;TabCalc[[#This Row],[Ticker]]&amp;"2]"), INDIRECT("TabReg["&amp;TabCalc[[#This Row],[Ticker]]&amp;"2]"), "&lt;" &amp; MAX(INDIRECT("TabReg["&amp;TabCalc[[#This Row],[Ticker]]&amp;"2]")))</f>
        <v>84.17</v>
      </c>
      <c r="CQ9" s="167" cm="1">
        <f t="array" aca="1" ref="CQ9" ca="1">IFERROR(_xlfn.XLOOKUP(TabCalc[[#This Row],[WB2P]],INDIRECT("TabReg["&amp;TabCalc[[#This Row],[Ticker]]&amp;"2]"),INDIRECT("TabReg["&amp;TabCalc[[#This Row],[Ticker]]&amp;"]")),0)</f>
        <v>45722</v>
      </c>
      <c r="CR9" s="178" cm="1">
        <f t="array" aca="1" ref="CR9" ca="1">IFERROR(_xlfn.XLOOKUP(TabCalc[[#This Row],[WB2P]],INDIRECT("TabReg["&amp;TabCalc[[#This Row],[Ticker]]&amp;"2]"),INDIRECT("TabReg["&amp;TabCalc[[#This Row],[Ticker]]&amp;"1]")),0)</f>
        <v>800</v>
      </c>
      <c r="CS9" s="345">
        <f ca="1">_xlfn.MINIFS(INDIRECT("TabReg["&amp;TabCalc[[#This Row],[Ticker]]&amp;"2]"), INDIRECT("TabReg["&amp;TabCalc[[#This Row],[Ticker]]&amp;"2]"), "&gt;" &amp; MIN(INDIRECT("TabReg["&amp;TabCalc[[#This Row],[Ticker]]&amp;"2]")))</f>
        <v>-77.67</v>
      </c>
      <c r="CT9" s="400">
        <f ca="1">IF(TabCalc[[#This Row],[M]]&lt;TabCalc[[#This Row],[L_Sp]],DesiredBuyGain/(TabCalc[[#This Row],[L_Sp]]-TabCalc[[#This Row],[M]]),0)</f>
        <v>1706.4846416382295</v>
      </c>
      <c r="CU9" s="406">
        <f ca="1">IF(TabCalc[[#This Row],[ntoBuy]]*TabCalc[[#This Row],[M]]&lt;=0,0,TabCalc[[#This Row],[ntoBuy]]*TabCalc[[#This Row],[M]])</f>
        <v>142133.10580204814</v>
      </c>
      <c r="CV9" s="406">
        <f ca="1">IF(TabCalc[[#This Row],[M]]&gt;ABS(TabCalc[[#This Row],[L_Bp]]),MIN(TabCalc[[#This Row],[NAfter]],DesiredSaleGain/(TabCalc[[#This Row],[M]]+TabCalc[[#This Row],[L_Bp]])),0)/TabCalc[[#This Row],[Scale]]</f>
        <v>371.74721189591071</v>
      </c>
      <c r="CW9" s="407">
        <f ca="1">TabCalc[[#This Row],[ntoSell]]*TabCalc[[#This Row],[M]]</f>
        <v>30962.825278810404</v>
      </c>
      <c r="CX9" s="400" t="e">
        <f ca="1">_xlfn.LET(_xlpm.nToSell,IF(TabCalc[[#This Row],[M]]-TabCalc[[#This Row],[A]]&lt;=0,"",INT(DesiredSaleGain/(TabCalc[[#This Row],[M]]-IF(TabCalc[[#This Row],[E]]&gt;0,0,TabCalc[[#This Row],[A]])))),IF(_xlpm.nToSell&lt;=TabCalc[[#This Row],[NAfter]],_xlpm.nToSell,0))</f>
        <v>#REF!</v>
      </c>
      <c r="CY9" s="1199" t="str">
        <f ca="1">IFERROR(TabCalc[[#This Row],[NMA]]*TabCalc[[#This Row],[M]],"")</f>
        <v/>
      </c>
      <c r="CZ9" s="337" t="e" cm="1">
        <f t="array" aca="1" ref="CZ9" ca="1">_xlfn.IFS(TabCalc[[#This Row],[M]]&gt;= TabCalc[[#This Row],[L_Sp]],(TabCalc[[#This Row],[M]]-TabCalc[[#This Row],[A]])*TabCalc[[#This Row],[NAfter]]*TabCalc[[#This Row],[Scale]],           TabCalc[[#This Row],[M]]&lt; TabCalc[[#This Row],[L_Sp]],(TabCalc[[#This Row],[M]]-TabCalc[[#This Row],[A]])*TabCalc[[#This Row],[NAfter]]*TabCalc[[#This Row],[Scale]],               TRUE,"")</f>
        <v>#REF!</v>
      </c>
      <c r="DA9" s="90">
        <f ca="1">IFERROR((TabCalc[[#This Row],[M]]+TabCalc[[#This Row],[L_Bp]])/ABS(TabCalc[[#This Row],[L_Bp]])/(TODAY()-TabCalc[[#This Row],[L_Bdate]])*360,"")</f>
        <v>0.54163981958762897</v>
      </c>
      <c r="DB9" s="312">
        <f ca="1">MEDIAN(DataShift!F711:Z711)</f>
        <v>-2.366E-4</v>
      </c>
      <c r="DC9" s="312" t="str" cm="1">
        <f t="array" aca="1" ref="DC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9" s="88" t="s">
        <v>6</v>
      </c>
      <c r="DN9" s="81">
        <v>10000</v>
      </c>
      <c r="DO9" s="317">
        <v>-2.69</v>
      </c>
    </row>
    <row r="10" spans="1:119" ht="23" thickBot="1">
      <c r="A10" s="120" t="str">
        <f ca="1">_xlfn.XLOOKUP(TabCalc[[#This Row],[Ticker]],[1]!RTData[Ticker symbol],[1]!RTData[Currency])</f>
        <v>USD</v>
      </c>
      <c r="B10" s="121">
        <f ca="1">IF(TabCalc[[#This Row],[Cur]]="GBP",0.01,1)</f>
        <v>1</v>
      </c>
      <c r="C10" s="82">
        <f ca="1">_xlfn.XLOOKUP(TabCalc[[#This Row],[Ticker]],DM$3:DM$96,DN$3:DN$96)</f>
        <v>10000</v>
      </c>
      <c r="D10" s="120">
        <f ca="1">_xlfn.XLOOKUP(TabCalc[[#This Row],[Ticker]],DM$3:DM$96,DO$3:DO$96)</f>
        <v>-2.69</v>
      </c>
      <c r="E10" s="121">
        <f ca="1">SUMPRODUCT(C10,D10,B10)</f>
        <v>-26900</v>
      </c>
      <c r="F10" s="82">
        <f ca="1">TabCalc[[#This Row],[NAfter]]*TabCalc[[#This Row],[M]]*TabCalc[[#This Row],[Scale]]</f>
        <v>68800</v>
      </c>
      <c r="G10" s="82">
        <f ca="1">IFERROR(TabCalc[[#This Row],[SB]]-TabCalc[[#This Row],[SST]],TabCalc[[#This Row],[SB]])</f>
        <v>20000</v>
      </c>
      <c r="H10" s="1191" t="str">
        <f ca="1">[1]!RTData[[#This Row],[Ticker symbol]]</f>
        <v>BLDP</v>
      </c>
      <c r="I10" s="1192">
        <f ca="1">[1]!RTData[[#This Row],[M-Price]]</f>
        <v>3.44</v>
      </c>
      <c r="J10" s="1190" t="e">
        <f ca="1">_xlfn.XLOOKUP(TabCalc[[#This Row],[Ticker]]&amp;2,#REF!,#REF!)</f>
        <v>#REF!</v>
      </c>
      <c r="K10" s="383">
        <f>[1]!RTData[[#This Row],[1YT]]</f>
        <v>2.4325000000000001</v>
      </c>
      <c r="L10" s="1190">
        <f ca="1">IF(OR(TabCalc[[#This Row],[NAfter]]=0,TabCalc[[#This Row],[EfCost]]&gt;0),0,TabCalc[[#This Row],[EfCost]]/TabCalc[[#This Row],[NAfter]]/TabCalc[[#This Row],[Scale]])</f>
        <v>-1.5841907500000005</v>
      </c>
      <c r="M10" s="1193">
        <f ca="1">[1]!RTData[[#This Row],[Change%]]</f>
        <v>4.8780000000000004E-2</v>
      </c>
      <c r="N10" s="1194"/>
      <c r="O10" s="1195">
        <f>TabCalc[[#This Row],[Up20]]-1+TabCalc[[#This Row],[Up20]]</f>
        <v>-1</v>
      </c>
      <c r="P10" s="1195">
        <f>TabCalc[[#This Row],[Up20]]-TabCalc[[#This Row],[Up150]]</f>
        <v>0</v>
      </c>
      <c r="Q10" s="1195"/>
      <c r="R10" s="1195">
        <f>TabCalc[[#This Row],[Up150]]-1+TabCalc[[#This Row],[Up150]]</f>
        <v>-1</v>
      </c>
      <c r="S10" s="1195">
        <f ca="1">IFERROR(SUMPRODUCT(DataShift!F1504:Z1504,DataShift!AB711:AV711)/SQRT(SUMPRODUCT(DataShift!F1504:Z1504,DataShift!F1504:Z1504)*SUMPRODUCT(DataShift!AB711:AV711,DataShift!AB711:AV711)),0)</f>
        <v>-0.76410268115584346</v>
      </c>
      <c r="T10" s="1195">
        <f ca="1">IFERROR(SUMPRODUCT(DataShift!F1504:Z1504,DataShift!F712:Z712)/SQRT(SUMPRODUCT(DataShift!F1504:Z1504,DataShift!F1504:Z1504)*SUMPRODUCT(DataShift!F712:Z712,DataShift!F712:Z712)),0)</f>
        <v>-0.31264946566810387</v>
      </c>
      <c r="U10" s="1196"/>
      <c r="V10" s="1196"/>
      <c r="W10" s="1196"/>
      <c r="X10" s="1195" t="str">
        <f ca="1">IF(TabCalc[[#This Row],[EfCost]]+TabCalc[[#This Row],[M_V]]&lt;TabCalc[[#This Row],[NoT_GL]],"Pile","")</f>
        <v/>
      </c>
      <c r="Y10" s="1197"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#REF!</v>
      </c>
      <c r="Z10" s="1198">
        <f ca="1">MIN(TabCalc[[#This Row],[L_Bn]],TabCalc[[#This Row],[NAfter]])*(TabCalc[[#This Row],[M]]+TabCalc[[#This Row],[L_Bp]])*TabCalc[[#This Row],[Scale]]</f>
        <v>3539.9999999999991</v>
      </c>
      <c r="AA10" s="210" cm="1">
        <f t="array" aca="1" ref="AA10" ca="1">_xlfn.XLOOKUP(TabCalc[[#This Row],[L_Bp]],INDIRECT("TabReg["&amp;TabCalc[[#This Row],[Ticker]]&amp;"2]"),INDIRECT("TabReg["&amp;TabCalc[[#This Row],[Ticker]]&amp;"]"))</f>
        <v>45664</v>
      </c>
      <c r="AB10" s="181" cm="1">
        <f t="array" aca="1" ref="AB10" ca="1">_xlfn.XLOOKUP(TabCalc[[#This Row],[L_Bp]],INDIRECT("TabReg["&amp;TabCalc[[#This Row],[Ticker]]&amp;"2]"),INDIRECT("TabReg["&amp;TabCalc[[#This Row],[Ticker]]&amp;"1]"))</f>
        <v>6000</v>
      </c>
      <c r="AC10" s="343" cm="1">
        <f t="array" aca="1" ref="AC10" ca="1">IFERROR(INDEX(INDIRECT("TabReg["&amp;TabCalc[[#This Row],[Ticker]]&amp;"2]"),    _xlfn.XMATCH(    MAX(    _xlfn._xlws.FILTER(INDIRECT("TabReg["&amp;TabCalc[[#This Row],[Ticker]]&amp;"]"), INDIRECT("TabReg["&amp;TabCalc[[#This Row],[Ticker]]&amp;"2]")&lt;0)     ), INDIRECT("TabReg["&amp;TabCalc[[#This Row],[Ticker]]&amp;"]"),      0)), "")</f>
        <v>-2.85</v>
      </c>
      <c r="AD10" s="213">
        <f ca="1">IFERROR(MIN(TabCalc[[#This Row],[L_B1n]],TabCalc[[#This Row],[NAfter]])*(TabCalc[[#This Row],[M]]+TabCalc[[#This Row],[L_B1p]])*TabCalc[[#This Row],[Scale]],"")</f>
        <v>16099.999999999998</v>
      </c>
      <c r="AE10" s="210" cm="1">
        <f t="array" aca="1" ref="AE1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45548</v>
      </c>
      <c r="AF10" s="181" cm="1">
        <f t="array" aca="1" ref="AF10" ca="1">IFERROR(_xlfn.XLOOKUP(TabCalc[[#This Row],[L_B1D]],INDIRECT("TabReg["&amp;TabCalc[[#This Row],[Ticker]]&amp;"]"),INDIRECT("TabReg["&amp;TabCalc[[#This Row],[Ticker]]&amp;"1]")),0)</f>
        <v>10000</v>
      </c>
      <c r="AG10" s="343" cm="1">
        <f t="array" aca="1" ref="AG10" ca="1">IFERROR(_xlfn.XLOOKUP(TabCalc[[#This Row],[L_B1D]],INDIRECT("TabReg["&amp;TabCalc[[#This Row],[Ticker]]&amp;"]"),INDIRECT("TabReg["&amp;TabCalc[[#This Row],[Ticker]]&amp;"2]")),0)</f>
        <v>-1.83</v>
      </c>
      <c r="AH10" s="344">
        <f ca="1">IFERROR(TabCalc[[#This Row],[L_Sn]]*(TabCalc[[#This Row],[L_Sp]]-TabCalc[[#This Row],[M]])*TabCalc[[#This Row],[Scale]],"")</f>
        <v>-539.40000000000055</v>
      </c>
      <c r="AI10" s="210" cm="1">
        <f t="array" aca="1" ref="AI10" ca="1">IFERROR(_xlfn.XLOOKUP(TabCalc[[#This Row],[L_Sp]],INDIRECT("TabReg["&amp;TabCalc[[#This Row],[Ticker]]&amp;"2]"),INDIRECT("TabReg["&amp;TabCalc[[#This Row],[Ticker]]&amp;"]")),0)</f>
        <v>45940</v>
      </c>
      <c r="AJ10" s="181" cm="1">
        <f t="array" aca="1" ref="AJ10" ca="1">IFERROR(_xlfn.XLOOKUP(TabCalc[[#This Row],[L_Sp]],INDIRECT("TabReg["&amp;TabCalc[[#This Row],[Ticker]]&amp;"2]"),INDIRECT("TabReg["&amp;TabCalc[[#This Row],[Ticker]]&amp;"1]")),0)</f>
        <v>6000</v>
      </c>
      <c r="AK10" s="343" cm="1">
        <f t="array" aca="1" ref="AK10" ca="1">IFERROR(INDEX(INDIRECT("TabReg["&amp;TabCalc[[#This Row],[Ticker]]&amp;"2]"), _xlfn.XMATCH(MAX(_xlfn._xlws.FILTER(INDIRECT("TabReg["&amp;TabCalc[[#This Row],[Ticker]]&amp;"]"), INDIRECT("TabReg["&amp;TabCalc[[#This Row],[Ticker]]&amp;"2]")&gt;0)), INDIRECT("TabReg["&amp;TabCalc[[#This Row],[Ticker]]&amp;"]"), 0)), 0)</f>
        <v>3.3500999999999999</v>
      </c>
      <c r="AL10" s="344">
        <f ca="1">IFERROR(TabCalc[[#This Row],[L_S1n]]*(TabCalc[[#This Row],[L_S1p]]-TabCalc[[#This Row],[M]])*TabCalc[[#This Row],[Scale]],0)</f>
        <v>-14800</v>
      </c>
      <c r="AM10" s="210" cm="1">
        <f t="array" aca="1" ref="AM1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45527</v>
      </c>
      <c r="AN10" s="181" cm="1">
        <f t="array" aca="1" ref="AN10" ca="1">IFERROR(_xlfn.XLOOKUP(TabCalc[[#This Row],[L_S1D]],INDIRECT("TabReg["&amp;TabCalc[[#This Row],[Ticker]]&amp;"]"),INDIRECT("TabReg["&amp;TabCalc[[#This Row],[Ticker]]&amp;"1]")),0)</f>
        <v>10000</v>
      </c>
      <c r="AO10" s="342" cm="1">
        <f t="array" aca="1" ref="AO10" ca="1">IFERROR(_xlfn.XLOOKUP(TabCalc[[#This Row],[L_S1D]],INDIRECT("TabReg["&amp;TabCalc[[#This Row],[Ticker]]&amp;"]"),INDIRECT("TabReg["&amp;TabCalc[[#This Row],[Ticker]]&amp;"2]")),0)</f>
        <v>1.96</v>
      </c>
      <c r="AP10" s="336">
        <f ca="1">_xlfn.LET(_xlpm.MVOpen,[1]!RTData[[#This Row],[Open]]*TabCalc[[#This Row],[NAfter]],_xlpm.MVNow,TabCalc[[#This Row],[M]]*TabCalc[[#This Row],[NAfter]],_xlpm.MVNow-_xlpm.MVOpen)*TabCalc[[#This Row],[Scale]]</f>
        <v>1200</v>
      </c>
      <c r="AQ10" s="336">
        <f ca="1">_xlfn.LET(_xlpm.MVToday,DataShift!AV512,         _xlpm.MVY,DataShift!AU513,        _xlpm.MVYY, DataShift!AT513,                                IF(_xlpm.MVToday=_xlpm.MVY,_xlpm.MVY-_xlpm.MVYY,_xlpm.MVToday-_xlpm.MVY))</f>
        <v>3200</v>
      </c>
      <c r="AR10" s="336">
        <f ca="1">_xlfn.LET(_xlpm.MVToday,DataShift!AV512,         _xlpm.MVY,DataShift!AU513,        _xlpm.MVYY, DataShift!AT513,         _xlpm.MVYYY, DataShift!AS513,                      IF(_xlpm.MVToday=_xlpm.MVY,      _xlpm.MVYY-_xlpm.MVYYY,          _xlpm.MVY-_xlpm.MVYY))</f>
        <v>0</v>
      </c>
      <c r="AS10" s="1078">
        <f ca="1">TabCalc[[#This Row],[Y]]/TabCalc[[#This Row],[M]]</f>
        <v>0.7071220930232559</v>
      </c>
      <c r="AT10" s="299" t="str" cm="1">
        <f t="array" aca="1" ref="AT10" ca="1">IFERROR(_xlfn.IFS(          TabCalc[[#This Row],[E]]&gt;0, "Free Trade",      TabCalc[[#This Row],[A]]&lt;MIN(TabCalc[[#This Row],[L_Sp]],TabCalc[[#This Row],[M]]), "Buy",            TabCalc[[#This Row],[M]]&lt;TabCalc[[#This Row],[L_Sp]],       "Refill",       TabCalc[[#This Row],[M]]&gt;TabCalc[[#This Row],[L_Sp]],"S_more"),"")</f>
        <v/>
      </c>
      <c r="AU10" s="299" t="e">
        <f ca="1">IF(           AND(TabCalc[[#This Row],[E]]&lt;=0,          TabCalc[[#This Row],[A]]&gt;MIN(TabCalc[[#This Row],[M]],TabCalc[[#This Row],[L_Sp]]),             TabCalc[[#This Row],[L_Sp]]&lt;=TabCalc[[#This Row],[M]]),                       "S_more","")</f>
        <v>#REF!</v>
      </c>
      <c r="AV10" s="82" t="str" cm="1">
        <f t="array" aca="1" ref="AV10" ca="1">IFERROR(_xlfn.IFS(TabCalc[[#This Row],[E]]&gt;0,"Free trade",                 TabCalc[[#This Row],[A]]&lt;MAX(ABS(TabCalc[[#This Row],[L_Bp]]),TabCalc[[#This Row],[A]]),"Sell",             TabCalc[[#This Row],[M]]&gt;ABS(TabCalc[[#This Row],[L_Bp]]),"Resell",             TabCalc[[#This Row],[M]]&lt;ABS(TabCalc[[#This Row],[L_Bp]]),"B_more"),"")</f>
        <v/>
      </c>
      <c r="AW10" s="82">
        <f ca="1">TabCalc[[#This Row],[NAfter]]-TabCalc[[#This Row],[Nbegin]]</f>
        <v>10000</v>
      </c>
      <c r="AX10" s="307">
        <f ca="1">IFERROR((TabCalc[[#This Row],[M]]-TabCalc[[#This Row],[Y]])*(TabCalc[[#This Row],[M]]-TabCalc[[#This Row],[Y]])*(TabCalc[[#This Row],[M]]-TabCalc[[#This Row],[Y]])/(TabCalc[[#This Row],[Y]]*TabCalc[[#This Row],[M]]),"")</f>
        <v>0.12221482012894662</v>
      </c>
      <c r="AY10" s="82">
        <f ca="1">IF(G10&lt;C10,C10-G10,0)</f>
        <v>0</v>
      </c>
      <c r="AZ10" s="90">
        <f ca="1">[1]!RTData[[#This Row],[V/VA]]</f>
        <v>0.56929470019675199</v>
      </c>
      <c r="BA10" s="90" t="str" cm="1">
        <f t="array" aca="1" ref="BA10" ca="1">IFERROR(_xlfn.IFS(TabCalc[[#This Row],[Cur]]="USD",Timer!F$27,TabCalc[[#This Row],[Cur]]="EUR",Timer!F$18,TabCalc[[#This Row],[Cur]]="GBP",Timer!F$12,TabCalc[[#This Row],[Cur]]="CAD",Timer!F$27,TabCalc[[#This Row],[Cur]]="JPY",Timer!F$31,TabCalc[[#This Row],[Cur]]="CHF",Timer!F$18),"Timing")</f>
        <v>None-Working Day</v>
      </c>
      <c r="BB10" s="90">
        <f ca="1">IF(ISNUMBER(TabCalc[[#This Row],[TimeEX]]),TabCalc[[#This Row],[V/VA]]/TabCalc[[#This Row],[TimeEX]],TabCalc[[#This Row],[V/VA]])</f>
        <v>0.56929470019675199</v>
      </c>
      <c r="BC10" s="87" cm="1">
        <f t="array" aca="1" ref="BC10" ca="1">INDEX(TabReg[], 1, _xlfn.XMATCH(TabCalc[[#This Row],[Ticker]]&amp;1, TabReg[#Headers], 0))</f>
        <v>10000</v>
      </c>
      <c r="BD10" s="161">
        <f ca="1">TabCalc[[#This Row],[Nbegin]]*TabCalc[[#This Row],[M]]*TabCalc[[#This Row],[Scale]]+TabCalc[[#This Row],[ValueBegin]]</f>
        <v>7500</v>
      </c>
      <c r="BE10" s="336" t="str" cm="1">
        <f t="array" aca="1" ref="BE10" ca="1">_xlfn.IFS(TabCalc[[#This Row],[Cost+Gain]]&gt;0,"Free",             TabCalc[[#This Row],[GL]]&gt;0,"Gainer",                TRUE,"Looser")</f>
        <v>Free</v>
      </c>
      <c r="BF10" s="340">
        <f ca="1">TabCalc[[#This Row],[Tot_Paid]]-TabCalc[[#This Row],[ValueBegin]]</f>
        <v>-74376.937179999994</v>
      </c>
      <c r="BG10" s="337">
        <f ca="1">IF(TabCalc[[#This Row],[EfCost]]&gt;TabCalc[[#This Row],[ValueBegin]],       0,        TabCalc[[#This Row],[EfCost]]-TabCalc[[#This Row],[ValueBegin]]*(1+Commission))</f>
        <v>-4713.8750000000109</v>
      </c>
      <c r="BH10" s="338">
        <f ca="1">TabCalc[[#This Row],[M_V]]+TabCalc[[#This Row],[ValueBegin]]</f>
        <v>41900</v>
      </c>
      <c r="BI10" s="161" cm="1">
        <f t="array" aca="1" ref="BI10" ca="1">SUMPRODUCT(_xlfn._xlws.FILTER(INDIRECT("TabReg["&amp;TabCalc[[#This Row],[Ticker]]&amp;"1]") * INDIRECT("TabReg["&amp;TabCalc[[#This Row],[Ticker]]&amp;"2]"), INDIRECT("TabReg["&amp;TabCalc[[#This Row],[Ticker]]&amp;"2]")&lt;0))*(1+Commission)*TabCalc[[#This Row],[Scale]]</f>
        <v>-101276.93717999999</v>
      </c>
      <c r="BJ10" s="161" cm="1">
        <f t="array" aca="1" ref="BJ10" ca="1">SUMPRODUCT(IF(INDIRECT("TabReg["&amp;TabCalc[[#This Row],[Ticker]]&amp;"2]") ="", 0, INDIRECT("TabReg["&amp;TabCalc[[#This Row],[Ticker]]&amp;"1]") * INDIRECT("TabReg["&amp;TabCalc[[#This Row],[Ticker]]&amp;"2]") ))*TabCalc[[#This Row],[Scale]]</f>
        <v>-31683.81500000001</v>
      </c>
      <c r="BK10" s="161" cm="1">
        <f t="array" aca="1" ref="BK1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69150.225738999987</v>
      </c>
      <c r="BL10" s="161">
        <f ca="1">TabCalc[[#This Row],[M_V]]+TabCalc[[#This Row],[EfCost]]</f>
        <v>37116.18499999999</v>
      </c>
      <c r="BM10" s="161">
        <f ca="1">IF(        OR( TabCalc[[#This Row],[GL]]&gt;ABS(TabCalc[[#This Row],[EfCost]]),TabCalc[[#This Row],[NAfter]]=0),             TabCalc[[#This Row],[GL]],     0)</f>
        <v>37116.18499999999</v>
      </c>
      <c r="BN10" s="161" cm="1">
        <f t="array" aca="1" ref="BN10" ca="1">SUMPRODUCT(_xlfn._xlws.FILTER(IF(INDIRECT("TabReg["&amp;TabCalc[[#This Row],[Ticker]]&amp;"2]") ="", 0, INDIRECT("TabReg["&amp;TabCalc[[#This Row],[Ticker]]&amp;"1]")  ),  INDIRECT("TabReg["&amp;TabCalc[[#This Row],[Ticker]]&amp;"2]") &lt; 0))</f>
        <v>45990</v>
      </c>
      <c r="BO10" s="161">
        <f ca="1">TabCalc[[#This Row],[SB]]-TabCalc[[#This Row],[Nbegin]]</f>
        <v>35990</v>
      </c>
      <c r="BP10" s="161" cm="1">
        <f t="array" aca="1" ref="BP10" ca="1">IFERROR(SUMPRODUCT(_xlfn._xlws.FILTER(IF(INDIRECT("TabReg["&amp;TabCalc[[#This Row],[Ticker]]&amp;"2]") ="", 0, INDIRECT("TabReg["&amp;TabCalc[[#This Row],[Ticker]]&amp;"1]")  ),  INDIRECT("TabReg["&amp;TabCalc[[#This Row],[Ticker]]&amp;"2]") &gt; 0)),0)</f>
        <v>25990</v>
      </c>
      <c r="BQ10"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0" s="176" t="str">
        <f ca="1">IF(TabCalc[[#This Row],[EfCost]]+TabCalc[[#This Row],[M_V]]&lt;TabCalc[[#This Row],[NoT_GL]],"Pile","")</f>
        <v/>
      </c>
      <c r="BS10" s="167">
        <f ca="1">[1]!RTData[[#This Row],[Last trade time]]</f>
        <v>45954.99258443281</v>
      </c>
      <c r="BT10" s="177" t="e">
        <f ca="1">(TabCalc[[#This Row],[ValueBegin]]+(TabCalc[[#This Row],[M]]-TabCalc[[#This Row],[A]])*TabCalc[[#This Row],[NAfter]])*TabCalc[[#This Row],[Scale]]</f>
        <v>#REF!</v>
      </c>
      <c r="BU10" s="189" cm="1">
        <f t="array" aca="1" ref="BU10" ca="1">_xlfn.XLOOKUP(TabCalc[[#This Row],[Ticker]],TabReg[[#Headers],[AAPL]:[UnknownX28]],Reg!B$72:KF$72)+3</f>
        <v>13</v>
      </c>
      <c r="BV10" s="190" cm="1">
        <f t="array" aca="1" ref="BV10" ca="1">_xlfn.XLOOKUP(TabCalc[[#This Row],[Ticker]],TabReg[[#Headers],[AAPL]:[UnknownX28]],Reg!B$73:KF$73)+2</f>
        <v>27</v>
      </c>
      <c r="BW10" s="191">
        <f ca="1">IFERROR(MAX(TabCalc[[#This Row],[Max_SD]],TabCalc[[#This Row],[Max_PD]]),0)</f>
        <v>45940</v>
      </c>
      <c r="BX10" s="195" t="str" cm="1">
        <f t="array" aca="1" ref="BX10" ca="1">_xlfn.IFS(TabCalc[[#This Row],[L_TP]]&lt;0,"Purchase",TabCalc[[#This Row],[L_TP]]&gt;0,"Sale")</f>
        <v>Sale</v>
      </c>
      <c r="BY10" s="190" cm="1">
        <f t="array" aca="1" ref="BY10" ca="1">INDEX(Reg!$A$1:$KF$73,TabCalc[[#This Row],[L_I1]],TabCalc[[#This Row],[L_I2]])</f>
        <v>6000</v>
      </c>
      <c r="BZ10" s="192" cm="1">
        <f t="array" aca="1" ref="BZ10" ca="1">INDEX(Reg!$A$1:$KF$73,TabCalc[[#This Row],[L_I1]],TabCalc[[#This Row],[L_I2]]+1)</f>
        <v>3.3500999999999999</v>
      </c>
      <c r="CA10" s="161" t="e">
        <f ca="1">TabCalc[[#This Row],[NAfter]]*(TabCalc[[#This Row],[M]]-IF(TabCalc[[#This Row],[E]]&gt;0,0,TabCalc[[#This Row],[A]]))</f>
        <v>#REF!</v>
      </c>
      <c r="CB10" s="167" cm="1">
        <f t="array" aca="1" ref="CB10" ca="1">IFERROR(MIN(_xlfn._xlws.FILTER(INDIRECT("TabReg["&amp;TabCalc[[#This Row],[Ticker]]&amp;"]"), INDIRECT("TabReg["&amp;TabCalc[[#This Row],[Ticker]]&amp;"2]")&gt;0)),0)</f>
        <v>45434</v>
      </c>
      <c r="CC10" s="178" cm="1">
        <f t="array" aca="1" ref="CC10" ca="1">IFERROR(MIN(_xlfn._xlws.FILTER(INDIRECT("TabReg["&amp;TabCalc[[#This Row],[Ticker]]&amp;"1]"), INDIRECT("TabReg["&amp;TabCalc[[#This Row],[Ticker]]&amp;"2]")&gt;0)),0)</f>
        <v>4990</v>
      </c>
      <c r="CD10" s="173" cm="1">
        <f t="array" aca="1" ref="CD10" ca="1">IFERROR(MIN(_xlfn._xlws.FILTER(INDIRECT("TabReg["&amp;TabCalc[[#This Row],[Ticker]]&amp;"2]"), INDIRECT("TabReg["&amp;TabCalc[[#This Row],[Ticker]]&amp;"2]")&gt;0)),0)</f>
        <v>1.96</v>
      </c>
      <c r="CE10" s="167" cm="1">
        <f t="array" aca="1" ref="CE10" ca="1">IFERROR(MAX(_xlfn._xlws.FILTER(INDIRECT("TabReg["&amp;TabCalc[[#This Row],[Ticker]]&amp;"]"), INDIRECT("TabReg["&amp;TabCalc[[#This Row],[Ticker]]&amp;"2]")&gt;0)),0)</f>
        <v>45940</v>
      </c>
      <c r="CF10" s="178" cm="1">
        <f t="array" aca="1" ref="CF10" ca="1">IFERROR(MAX(_xlfn._xlws.FILTER(INDIRECT("TabReg["&amp;TabCalc[[#This Row],[Ticker]]&amp;"1]"), INDIRECT("TabReg["&amp;TabCalc[[#This Row],[Ticker]]&amp;"2]")&gt;0)),0)</f>
        <v>10000</v>
      </c>
      <c r="CG10" s="173" cm="1">
        <f t="array" aca="1" ref="CG10" ca="1">IFERROR(MAX(_xlfn._xlws.FILTER(INDIRECT("TabReg["&amp;TabCalc[[#This Row],[Ticker]]&amp;"2]"), INDIRECT("TabReg["&amp;TabCalc[[#This Row],[Ticker]]&amp;"2]")&gt;0)),0)</f>
        <v>3.3500999999999999</v>
      </c>
      <c r="CH10" s="167" cm="1">
        <f t="array" aca="1" ref="CH10" ca="1">MIN(_xlfn._xlws.FILTER(INDIRECT("TabReg["&amp;TabCalc[[#This Row],[Ticker]]&amp;"]"), INDIRECT("TabReg["&amp;TabCalc[[#This Row],[Ticker]]&amp;"2]")&lt;0))</f>
        <v>40544</v>
      </c>
      <c r="CI10" s="177" cm="1">
        <f t="array" aca="1" ref="CI10" ca="1">MIN(_xlfn._xlws.FILTER(INDIRECT("TabReg["&amp;TabCalc[[#This Row],[Ticker]]&amp;"1]"), INDIRECT("TabReg["&amp;TabCalc[[#This Row],[Ticker]]&amp;"2]")&lt;0))</f>
        <v>1000</v>
      </c>
      <c r="CJ10" s="173" cm="1">
        <f t="array" aca="1" ref="CJ10" ca="1">MIN(_xlfn._xlws.FILTER(INDIRECT("TabReg["&amp;TabCalc[[#This Row],[Ticker]]&amp;"2]"), INDIRECT("TabReg["&amp;TabCalc[[#This Row],[Ticker]]&amp;"2]")&lt;0))</f>
        <v>-2.85</v>
      </c>
      <c r="CK10" s="167" cm="1">
        <f t="array" aca="1" ref="CK10" ca="1">MAX(_xlfn._xlws.FILTER(INDIRECT("TabReg["&amp;TabCalc[[#This Row],[Ticker]]&amp;"]"), INDIRECT("TabReg["&amp;TabCalc[[#This Row],[Ticker]]&amp;"2]")&lt;0))</f>
        <v>45664</v>
      </c>
      <c r="CL10" s="177" cm="1">
        <f t="array" aca="1" ref="CL10" ca="1">MAX(_xlfn._xlws.FILTER(INDIRECT("TabReg["&amp;TabCalc[[#This Row],[Ticker]]&amp;"1]"), INDIRECT("TabReg["&amp;TabCalc[[#This Row],[Ticker]]&amp;"2]")&lt;0))</f>
        <v>17990</v>
      </c>
      <c r="CM10" s="173" cm="1">
        <f t="array" aca="1" ref="CM10" ca="1">MAX(_xlfn._xlws.FILTER(INDIRECT("TabReg["&amp;TabCalc[[#This Row],[Ticker]]&amp;"2]"), INDIRECT("TabReg["&amp;TabCalc[[#This Row],[Ticker]]&amp;"2]")&lt;0))</f>
        <v>-1.83</v>
      </c>
      <c r="CN10" s="167" cm="1">
        <f t="array" aca="1" ref="CN10" ca="1">IFERROR(_xlfn.XLOOKUP(TabCalc[[#This Row],[BS2P]],INDIRECT("TabReg["&amp;TabCalc[[#This Row],[Ticker]]&amp;"2]"),INDIRECT("TabReg["&amp;TabCalc[[#This Row],[Ticker]]&amp;"]")),0)</f>
        <v>45434</v>
      </c>
      <c r="CO10" s="178" cm="1">
        <f t="array" aca="1" ref="CO10" ca="1">IFERROR(_xlfn.XLOOKUP(TabCalc[[#This Row],[BS2P]],INDIRECT("TabReg["&amp;TabCalc[[#This Row],[Ticker]]&amp;"2]"),INDIRECT("TabReg["&amp;TabCalc[[#This Row],[Ticker]]&amp;"1]")),0)</f>
        <v>5000</v>
      </c>
      <c r="CP10" s="173">
        <f ca="1">_xlfn.MAXIFS(INDIRECT("TabReg["&amp;TabCalc[[#This Row],[Ticker]]&amp;"2]"), INDIRECT("TabReg["&amp;TabCalc[[#This Row],[Ticker]]&amp;"2]"), "&lt;" &amp; MAX(INDIRECT("TabReg["&amp;TabCalc[[#This Row],[Ticker]]&amp;"2]")))</f>
        <v>3.17</v>
      </c>
      <c r="CQ10" s="167" cm="1">
        <f t="array" aca="1" ref="CQ10" ca="1">IFERROR(_xlfn.XLOOKUP(TabCalc[[#This Row],[WB2P]],INDIRECT("TabReg["&amp;TabCalc[[#This Row],[Ticker]]&amp;"2]"),INDIRECT("TabReg["&amp;TabCalc[[#This Row],[Ticker]]&amp;"]")),0)</f>
        <v>45461</v>
      </c>
      <c r="CR10" s="178" cm="1">
        <f t="array" aca="1" ref="CR10" ca="1">IFERROR(_xlfn.XLOOKUP(TabCalc[[#This Row],[WB2P]],INDIRECT("TabReg["&amp;TabCalc[[#This Row],[Ticker]]&amp;"2]"),INDIRECT("TabReg["&amp;TabCalc[[#This Row],[Ticker]]&amp;"1]")),0)</f>
        <v>1000</v>
      </c>
      <c r="CS10" s="345">
        <f ca="1">_xlfn.MINIFS(INDIRECT("TabReg["&amp;TabCalc[[#This Row],[Ticker]]&amp;"2]"), INDIRECT("TabReg["&amp;TabCalc[[#This Row],[Ticker]]&amp;"2]"), "&gt;" &amp; MIN(INDIRECT("TabReg["&amp;TabCalc[[#This Row],[Ticker]]&amp;"2]")))</f>
        <v>-2.7450000000000001</v>
      </c>
      <c r="CT10" s="400">
        <f ca="1">IF(TabCalc[[#This Row],[M]]&lt;TabCalc[[#This Row],[L_Sp]],DesiredBuyGain/(TabCalc[[#This Row],[L_Sp]]-TabCalc[[#This Row],[M]]),0)</f>
        <v>0</v>
      </c>
      <c r="CU10" s="406">
        <f ca="1">IF(TabCalc[[#This Row],[ntoBuy]]*TabCalc[[#This Row],[M]]&lt;=0,0,TabCalc[[#This Row],[ntoBuy]]*TabCalc[[#This Row],[M]])</f>
        <v>0</v>
      </c>
      <c r="CV10" s="406">
        <f ca="1">IF(TabCalc[[#This Row],[M]]&gt;ABS(TabCalc[[#This Row],[L_Bp]]),MIN(TabCalc[[#This Row],[NAfter]],DesiredSaleGain/(TabCalc[[#This Row],[M]]+TabCalc[[#This Row],[L_Bp]])),0)/TabCalc[[#This Row],[Scale]]</f>
        <v>8474.5762711864427</v>
      </c>
      <c r="CW10" s="407">
        <f ca="1">TabCalc[[#This Row],[ntoSell]]*TabCalc[[#This Row],[M]]</f>
        <v>29152.542372881362</v>
      </c>
      <c r="CX10" s="400" t="e">
        <f ca="1">_xlfn.LET(_xlpm.nToSell,IF(TabCalc[[#This Row],[M]]-TabCalc[[#This Row],[A]]&lt;=0,"",INT(DesiredSaleGain/(TabCalc[[#This Row],[M]]-IF(TabCalc[[#This Row],[E]]&gt;0,0,TabCalc[[#This Row],[A]])))),IF(_xlpm.nToSell&lt;=TabCalc[[#This Row],[NAfter]],_xlpm.nToSell,0))</f>
        <v>#REF!</v>
      </c>
      <c r="CY10" s="1199" t="str">
        <f ca="1">IFERROR(TabCalc[[#This Row],[NMA]]*TabCalc[[#This Row],[M]],"")</f>
        <v/>
      </c>
      <c r="CZ10" s="337" t="e" cm="1">
        <f t="array" aca="1" ref="CZ10" ca="1">_xlfn.IFS(TabCalc[[#This Row],[M]]&gt;= TabCalc[[#This Row],[L_Sp]],(TabCalc[[#This Row],[M]]-TabCalc[[#This Row],[A]])*TabCalc[[#This Row],[NAfter]]*TabCalc[[#This Row],[Scale]],           TabCalc[[#This Row],[M]]&lt; TabCalc[[#This Row],[L_Sp]],(TabCalc[[#This Row],[M]]-TabCalc[[#This Row],[A]])*TabCalc[[#This Row],[NAfter]]*TabCalc[[#This Row],[Scale]],               TRUE,"")</f>
        <v>#REF!</v>
      </c>
      <c r="DA10" s="90">
        <f ca="1">IFERROR((TabCalc[[#This Row],[M]]+TabCalc[[#This Row],[L_Bp]])/ABS(TabCalc[[#This Row],[L_Bp]])/(TODAY()-TabCalc[[#This Row],[L_Bdate]])*360,"")</f>
        <v>0.25522710886806049</v>
      </c>
      <c r="DB10" s="312">
        <f ca="1">MEDIAN(DataShift!F712:Z712)</f>
        <v>-5.5400000000000007E-3</v>
      </c>
      <c r="DC10" s="312" t="str" cm="1">
        <f t="array" aca="1" ref="DC1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10" s="88" t="s">
        <v>7</v>
      </c>
      <c r="DN10" s="81">
        <v>15000</v>
      </c>
      <c r="DO10" s="317">
        <v>-6.9032</v>
      </c>
    </row>
    <row r="11" spans="1:119">
      <c r="A11" s="120" t="str">
        <f ca="1">_xlfn.XLOOKUP(TabCalc[[#This Row],[Ticker]],[1]!RTData[Ticker symbol],[1]!RTData[Currency])</f>
        <v>USD</v>
      </c>
      <c r="B11" s="121">
        <f ca="1">IF(TabCalc[[#This Row],[Cur]]="GBP",0.01,1)</f>
        <v>1</v>
      </c>
      <c r="C11" s="82">
        <f ca="1">_xlfn.XLOOKUP(TabCalc[[#This Row],[Ticker]],DM$3:DM$96,DN$3:DN$96)</f>
        <v>15000</v>
      </c>
      <c r="D11" s="1254">
        <f ca="1">_xlfn.XLOOKUP(TabCalc[[#This Row],[Ticker]],DM$3:DM$96,DO$3:DO$96)</f>
        <v>-6.9032</v>
      </c>
      <c r="E11" s="121">
        <f t="shared" ca="1" si="0"/>
        <v>-103548</v>
      </c>
      <c r="F11" s="82">
        <f ca="1">TabCalc[[#This Row],[NAfter]]*TabCalc[[#This Row],[M]]*TabCalc[[#This Row],[Scale]]</f>
        <v>37000</v>
      </c>
      <c r="G11" s="82">
        <f ca="1">IFERROR(TabCalc[[#This Row],[SB]]-TabCalc[[#This Row],[SST]],TabCalc[[#This Row],[SB]])</f>
        <v>12500</v>
      </c>
      <c r="H11" s="535" t="str">
        <f ca="1">[1]!RTData[[#This Row],[Ticker symbol]]</f>
        <v>BMRA</v>
      </c>
      <c r="I11" s="385">
        <f ca="1">[1]!RTData[[#This Row],[M-Price]]</f>
        <v>2.96</v>
      </c>
      <c r="J11" s="384">
        <v>2.1440000000000001</v>
      </c>
      <c r="K11" s="383">
        <f>[1]!RTData[[#This Row],[1YT]]</f>
        <v>0</v>
      </c>
      <c r="L11" s="384">
        <f ca="1">IF(OR(TabCalc[[#This Row],[NAfter]]=0,TabCalc[[#This Row],[EfCost]]&gt;0),0,TabCalc[[#This Row],[EfCost]]/TabCalc[[#This Row],[NAfter]]/TabCalc[[#This Row],[Scale]])</f>
        <v>-12.7196</v>
      </c>
      <c r="M11" s="744">
        <f ca="1">[1]!RTData[[#This Row],[Change%]]</f>
        <v>1.7181999999999999E-2</v>
      </c>
      <c r="N11" s="1172">
        <v>0</v>
      </c>
      <c r="O11" s="966">
        <f>TabCalc[[#This Row],[Up20]]-1+TabCalc[[#This Row],[Up20]]</f>
        <v>-1</v>
      </c>
      <c r="P11" s="966">
        <f>TabCalc[[#This Row],[Up20]]-TabCalc[[#This Row],[Up150]]</f>
        <v>0</v>
      </c>
      <c r="Q11" s="966">
        <v>0</v>
      </c>
      <c r="R11" s="966">
        <f>TabCalc[[#This Row],[Up150]]-1+TabCalc[[#This Row],[Up150]]</f>
        <v>-1</v>
      </c>
      <c r="S11" s="966">
        <f ca="1">IFERROR(SUMPRODUCT(DataShift!F1503:Z1503,DataShift!AB710:AV710)/SQRT(SUMPRODUCT(DataShift!F1503:Z1503,DataShift!F1503:Z1503)*SUMPRODUCT(DataShift!AB710:AV710,DataShift!AB710:AV710)),0)</f>
        <v>-0.69377641192476525</v>
      </c>
      <c r="T11" s="966">
        <f ca="1">IFERROR(SUMPRODUCT(DataShift!F1503:Z1503,DataShift!F711:Z711)/SQRT(SUMPRODUCT(DataShift!F1503:Z1503,DataShift!F1503:Z1503)*SUMPRODUCT(DataShift!F711:Z711,DataShift!F711:Z711)),0)</f>
        <v>-0.31344547212364565</v>
      </c>
      <c r="U11" s="1107">
        <v>20000</v>
      </c>
      <c r="V11" s="1107">
        <v>0</v>
      </c>
      <c r="W11" s="1107">
        <v>0</v>
      </c>
      <c r="X11" s="966" t="str">
        <f ca="1">IF(TabCalc[[#This Row],[EfCost]]+TabCalc[[#This Row],[M_V]]&lt;TabCalc[[#This Row],[NoT_GL]],"Pile","")</f>
        <v>Pile</v>
      </c>
      <c r="Y1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-9,055 = $ -26,803</v>
      </c>
      <c r="Z11" s="213">
        <f ca="1">MIN(TabCalc[[#This Row],[L_Bn]],TabCalc[[#This Row],[NAfter]])*(TabCalc[[#This Row],[M]]+TabCalc[[#This Row],[L_Bp]])*TabCalc[[#This Row],[Scale]]</f>
        <v>-121994.99999999999</v>
      </c>
      <c r="AA11" s="210" cm="1">
        <f t="array" aca="1" ref="AA11" ca="1">_xlfn.XLOOKUP(TabCalc[[#This Row],[L_Bp]],INDIRECT("TabReg["&amp;TabCalc[[#This Row],[Ticker]]&amp;"2]"),INDIRECT("TabReg["&amp;TabCalc[[#This Row],[Ticker]]&amp;"]"))</f>
        <v>40544</v>
      </c>
      <c r="AB11" s="181" cm="1">
        <f t="array" aca="1" ref="AB11" ca="1">_xlfn.XLOOKUP(TabCalc[[#This Row],[L_Bp]],INDIRECT("TabReg["&amp;TabCalc[[#This Row],[Ticker]]&amp;"2]"),INDIRECT("TabReg["&amp;TabCalc[[#This Row],[Ticker]]&amp;"1]"))</f>
        <v>12500</v>
      </c>
      <c r="AC11" s="192" cm="1">
        <f t="array" aca="1" ref="AC11" ca="1">IFERROR(INDEX(INDIRECT("TabReg["&amp;TabCalc[[#This Row],[Ticker]]&amp;"2]"),    _xlfn.XMATCH(    MAX(    _xlfn._xlws.FILTER(INDIRECT("TabReg["&amp;TabCalc[[#This Row],[Ticker]]&amp;"]"), INDIRECT("TabReg["&amp;TabCalc[[#This Row],[Ticker]]&amp;"2]")&lt;0)     ), INDIRECT("TabReg["&amp;TabCalc[[#This Row],[Ticker]]&amp;"]"),      0)), "")</f>
        <v>-12.7196</v>
      </c>
      <c r="AD11" s="213">
        <f ca="1">IFERROR(MIN(TabCalc[[#This Row],[L_B1n]],TabCalc[[#This Row],[NAfter]])*(TabCalc[[#This Row],[M]]+TabCalc[[#This Row],[L_B1p]])*TabCalc[[#This Row],[Scale]],"")</f>
        <v>0</v>
      </c>
      <c r="AE11" s="210" t="str" cm="1">
        <f t="array" aca="1" ref="AE1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11" s="181" cm="1">
        <f t="array" aca="1" ref="AF11" ca="1">IFERROR(_xlfn.XLOOKUP(TabCalc[[#This Row],[L_B1D]],INDIRECT("TabReg["&amp;TabCalc[[#This Row],[Ticker]]&amp;"]"),INDIRECT("TabReg["&amp;TabCalc[[#This Row],[Ticker]]&amp;"1]")),0)</f>
        <v>0</v>
      </c>
      <c r="AG11" s="192" cm="1">
        <f t="array" aca="1" ref="AG11" ca="1">IFERROR(_xlfn.XLOOKUP(TabCalc[[#This Row],[L_B1D]],INDIRECT("TabReg["&amp;TabCalc[[#This Row],[Ticker]]&amp;"]"),INDIRECT("TabReg["&amp;TabCalc[[#This Row],[Ticker]]&amp;"2]")),0)</f>
        <v>0</v>
      </c>
      <c r="AH11" s="214">
        <f ca="1">IFERROR(TabCalc[[#This Row],[L_Sn]]*(TabCalc[[#This Row],[L_Sp]]-TabCalc[[#This Row],[M]])*TabCalc[[#This Row],[Scale]],"")</f>
        <v>0</v>
      </c>
      <c r="AI11" s="210" cm="1">
        <f t="array" aca="1" ref="AI11" ca="1">IFERROR(_xlfn.XLOOKUP(TabCalc[[#This Row],[L_Sp]],INDIRECT("TabReg["&amp;TabCalc[[#This Row],[Ticker]]&amp;"2]"),INDIRECT("TabReg["&amp;TabCalc[[#This Row],[Ticker]]&amp;"]")),0)</f>
        <v>0</v>
      </c>
      <c r="AJ11" s="181" cm="1">
        <f t="array" aca="1" ref="AJ11" ca="1">IFERROR(_xlfn.XLOOKUP(TabCalc[[#This Row],[L_Sp]],INDIRECT("TabReg["&amp;TabCalc[[#This Row],[Ticker]]&amp;"2]"),INDIRECT("TabReg["&amp;TabCalc[[#This Row],[Ticker]]&amp;"1]")),0)</f>
        <v>0</v>
      </c>
      <c r="AK11" s="192" cm="1">
        <f t="array" aca="1" ref="AK11" ca="1">IFERROR(INDEX(INDIRECT("TabReg["&amp;TabCalc[[#This Row],[Ticker]]&amp;"2]"), _xlfn.XMATCH(MAX(_xlfn._xlws.FILTER(INDIRECT("TabReg["&amp;TabCalc[[#This Row],[Ticker]]&amp;"]"), INDIRECT("TabReg["&amp;TabCalc[[#This Row],[Ticker]]&amp;"2]")&gt;0)), INDIRECT("TabReg["&amp;TabCalc[[#This Row],[Ticker]]&amp;"]"), 0)), 0)</f>
        <v>0</v>
      </c>
      <c r="AL11" s="214">
        <f ca="1">IFERROR(TabCalc[[#This Row],[L_S1n]]*(TabCalc[[#This Row],[L_S1p]]-TabCalc[[#This Row],[M]])*TabCalc[[#This Row],[Scale]],0)</f>
        <v>0</v>
      </c>
      <c r="AM11" s="210" t="str" cm="1">
        <f t="array" aca="1" ref="AM1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11" s="181" cm="1">
        <f t="array" aca="1" ref="AN11" ca="1">IFERROR(_xlfn.XLOOKUP(TabCalc[[#This Row],[L_S1D]],INDIRECT("TabReg["&amp;TabCalc[[#This Row],[Ticker]]&amp;"]"),INDIRECT("TabReg["&amp;TabCalc[[#This Row],[Ticker]]&amp;"1]")),0)</f>
        <v>0</v>
      </c>
      <c r="AO11" s="384" cm="1">
        <f t="array" aca="1" ref="AO11" ca="1">IFERROR(_xlfn.XLOOKUP(TabCalc[[#This Row],[L_S1D]],INDIRECT("TabReg["&amp;TabCalc[[#This Row],[Ticker]]&amp;"]"),INDIRECT("TabReg["&amp;TabCalc[[#This Row],[Ticker]]&amp;"2]")),0)</f>
        <v>0</v>
      </c>
      <c r="AP11" s="336">
        <f ca="1">_xlfn.LET(_xlpm.MVOpen,[1]!RTData[[#This Row],[Open]]*TabCalc[[#This Row],[NAfter]],_xlpm.MVNow,TabCalc[[#This Row],[M]]*TabCalc[[#This Row],[NAfter]],_xlpm.MVNow-_xlpm.MVOpen)*TabCalc[[#This Row],[Scale]]</f>
        <v>750</v>
      </c>
      <c r="AQ11" s="336">
        <f ca="1">_xlfn.LET(_xlpm.MVToday,DataShift!AV511,         _xlpm.MVY,DataShift!AU512,        _xlpm.MVYY, DataShift!AT512,                                IF(_xlpm.MVToday=_xlpm.MVY,_xlpm.MVY-_xlpm.MVYY,_xlpm.MVToday-_xlpm.MVY))</f>
        <v>-55</v>
      </c>
      <c r="AR11" s="336">
        <f ca="1">_xlfn.LET(_xlpm.MVToday,DataShift!AV511,         _xlpm.MVY,DataShift!AU512,        _xlpm.MVYY, DataShift!AT512,         _xlpm.MVYYY, DataShift!AS512,                      IF(_xlpm.MVToday=_xlpm.MVY,      _xlpm.MVYY-_xlpm.MVYYY,          _xlpm.MVY-_xlpm.MVYY))</f>
        <v>-15</v>
      </c>
      <c r="AS11" s="1078">
        <f ca="1">TabCalc[[#This Row],[Y]]/TabCalc[[#This Row],[M]]</f>
        <v>0</v>
      </c>
      <c r="AT11" s="299" t="str" cm="1">
        <f t="array" aca="1" ref="AT11" ca="1">IFERROR(_xlfn.IFS(          TabCalc[[#This Row],[E]]&gt;0, "Free Trade",      TabCalc[[#This Row],[A]]&lt;MIN(TabCalc[[#This Row],[L_Sp]],TabCalc[[#This Row],[M]]), "Buy",            TabCalc[[#This Row],[M]]&lt;TabCalc[[#This Row],[L_Sp]],       "Refill",       TabCalc[[#This Row],[M]]&gt;TabCalc[[#This Row],[L_Sp]],"S_more"),"")</f>
        <v>S_more</v>
      </c>
      <c r="AU11" s="299" t="str">
        <f ca="1">IF(           AND(TabCalc[[#This Row],[E]]&lt;=0,          TabCalc[[#This Row],[A]]&gt;MIN(TabCalc[[#This Row],[M]],TabCalc[[#This Row],[L_Sp]]),             TabCalc[[#This Row],[L_Sp]]&lt;=TabCalc[[#This Row],[M]]),                       "S_more","")</f>
        <v>S_more</v>
      </c>
      <c r="AV11" s="82" t="str" cm="1">
        <f t="array" aca="1" ref="AV11" ca="1">IFERROR(_xlfn.IFS(TabCalc[[#This Row],[E]]&gt;0,"Free trade",                 TabCalc[[#This Row],[A]]&lt;MAX(ABS(TabCalc[[#This Row],[L_Bp]]),TabCalc[[#This Row],[A]]),"Sell",             TabCalc[[#This Row],[M]]&gt;ABS(TabCalc[[#This Row],[L_Bp]]),"Resell",             TabCalc[[#This Row],[M]]&lt;ABS(TabCalc[[#This Row],[L_Bp]]),"B_more"),"")</f>
        <v>Sell</v>
      </c>
      <c r="AW11" s="82">
        <f ca="1">TabCalc[[#This Row],[NAfter]]-TabCalc[[#This Row],[Nbegin]]</f>
        <v>-2500</v>
      </c>
      <c r="AX11" s="307" t="str">
        <f ca="1">IFERROR((TabCalc[[#This Row],[M]]-TabCalc[[#This Row],[Y]])*(TabCalc[[#This Row],[M]]-TabCalc[[#This Row],[Y]])*(TabCalc[[#This Row],[M]]-TabCalc[[#This Row],[Y]])/(TabCalc[[#This Row],[Y]]*TabCalc[[#This Row],[M]]),"")</f>
        <v/>
      </c>
      <c r="AY11" s="82">
        <f t="shared" ca="1" si="1"/>
        <v>2500</v>
      </c>
      <c r="AZ11" s="90">
        <f ca="1">[1]!RTData[[#This Row],[V/VA]]</f>
        <v>0.12168445010747878</v>
      </c>
      <c r="BA11" s="90" t="str" cm="1">
        <f t="array" aca="1" ref="BA11" ca="1">IFERROR(_xlfn.IFS(TabCalc[[#This Row],[Cur]]="USD",Timer!F$27,TabCalc[[#This Row],[Cur]]="EUR",Timer!F$18,TabCalc[[#This Row],[Cur]]="GBP",Timer!F$12,TabCalc[[#This Row],[Cur]]="CAD",Timer!F$27,TabCalc[[#This Row],[Cur]]="JPY",Timer!F$31,TabCalc[[#This Row],[Cur]]="CHF",Timer!F$18),"Timing")</f>
        <v>None-Working Day</v>
      </c>
      <c r="BB11" s="90">
        <f ca="1">IF(ISNUMBER(TabCalc[[#This Row],[TimeEX]]),TabCalc[[#This Row],[V/VA]]/TabCalc[[#This Row],[TimeEX]],TabCalc[[#This Row],[V/VA]])</f>
        <v>0.12168445010747878</v>
      </c>
      <c r="BC11" s="87" cm="1">
        <f t="array" aca="1" ref="BC11" ca="1">INDEX(TabReg[], 1, _xlfn.XMATCH(TabCalc[[#This Row],[Ticker]]&amp;1, TabReg[#Headers], 0))</f>
        <v>12500</v>
      </c>
      <c r="BD11" s="161">
        <f ca="1">TabCalc[[#This Row],[Nbegin]]*TabCalc[[#This Row],[M]]*TabCalc[[#This Row],[Scale]]+TabCalc[[#This Row],[ValueBegin]]</f>
        <v>-59148</v>
      </c>
      <c r="BE11" s="336" t="str" cm="1">
        <f t="array" aca="1" ref="BE11" ca="1">_xlfn.IFS(TabCalc[[#This Row],[Cost+Gain]]&gt;0,"Free",             TabCalc[[#This Row],[GL]]&gt;0,"Gainer",                TRUE,"Looser")</f>
        <v>Looser</v>
      </c>
      <c r="BF11" s="161">
        <f ca="1">TabCalc[[#This Row],[Tot_Paid]]-TabCalc[[#This Row],[ValueBegin]]</f>
        <v>-55860.386999999988</v>
      </c>
      <c r="BG11" s="337">
        <f ca="1">IF(TabCalc[[#This Row],[EfCost]]&gt;TabCalc[[#This Row],[ValueBegin]],       0,        TabCalc[[#This Row],[EfCost]]-TabCalc[[#This Row],[ValueBegin]]*(1+Commission))</f>
        <v>-55177.775200000004</v>
      </c>
      <c r="BH11" s="338">
        <f ca="1">TabCalc[[#This Row],[M_V]]+TabCalc[[#This Row],[ValueBegin]]</f>
        <v>-66548</v>
      </c>
      <c r="BI11" s="161" cm="1">
        <f t="array" aca="1" ref="BI11" ca="1">SUMPRODUCT(_xlfn._xlws.FILTER(INDIRECT("TabReg["&amp;TabCalc[[#This Row],[Ticker]]&amp;"1]") * INDIRECT("TabReg["&amp;TabCalc[[#This Row],[Ticker]]&amp;"2]"), INDIRECT("TabReg["&amp;TabCalc[[#This Row],[Ticker]]&amp;"2]")&lt;0))*(1+Commission)*TabCalc[[#This Row],[Scale]]</f>
        <v>-159408.38699999999</v>
      </c>
      <c r="BJ11" s="161" cm="1">
        <f t="array" aca="1" ref="BJ11" ca="1">SUMPRODUCT(IF(INDIRECT("TabReg["&amp;TabCalc[[#This Row],[Ticker]]&amp;"2]") ="", 0, INDIRECT("TabReg["&amp;TabCalc[[#This Row],[Ticker]]&amp;"1]") * INDIRECT("TabReg["&amp;TabCalc[[#This Row],[Ticker]]&amp;"2]") ))*TabCalc[[#This Row],[Scale]]</f>
        <v>-158995</v>
      </c>
      <c r="BK11" s="161" cm="1">
        <f t="array" aca="1" ref="BK1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11" s="161">
        <f ca="1">TabCalc[[#This Row],[M_V]]+TabCalc[[#This Row],[EfCost]]</f>
        <v>-121995</v>
      </c>
      <c r="BM11" s="161">
        <f ca="1">IF(        OR( TabCalc[[#This Row],[GL]]&gt;ABS(TabCalc[[#This Row],[EfCost]]),TabCalc[[#This Row],[NAfter]]=0),             TabCalc[[#This Row],[GL]],     0)</f>
        <v>0</v>
      </c>
      <c r="BN11" s="161" cm="1">
        <f t="array" aca="1" ref="BN11" ca="1">SUMPRODUCT(_xlfn._xlws.FILTER(IF(INDIRECT("TabReg["&amp;TabCalc[[#This Row],[Ticker]]&amp;"2]") ="", 0, INDIRECT("TabReg["&amp;TabCalc[[#This Row],[Ticker]]&amp;"1]")  ),  INDIRECT("TabReg["&amp;TabCalc[[#This Row],[Ticker]]&amp;"2]") &lt; 0))</f>
        <v>12500</v>
      </c>
      <c r="BO11" s="161">
        <f ca="1">TabCalc[[#This Row],[SB]]-TabCalc[[#This Row],[Nbegin]]</f>
        <v>-2500</v>
      </c>
      <c r="BP11" s="161" cm="1">
        <f t="array" aca="1" ref="BP11" ca="1">IFERROR(SUMPRODUCT(_xlfn._xlws.FILTER(IF(INDIRECT("TabReg["&amp;TabCalc[[#This Row],[Ticker]]&amp;"2]") ="", 0, INDIRECT("TabReg["&amp;TabCalc[[#This Row],[Ticker]]&amp;"1]")  ),  INDIRECT("TabReg["&amp;TabCalc[[#This Row],[Ticker]]&amp;"2]") &gt; 0)),0)</f>
        <v>0</v>
      </c>
      <c r="BQ1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1" s="176" t="str">
        <f ca="1">IF(TabCalc[[#This Row],[EfCost]]+TabCalc[[#This Row],[M_V]]&lt;TabCalc[[#This Row],[NoT_GL]],"Pile","")</f>
        <v>Pile</v>
      </c>
      <c r="BS11" s="167">
        <f ca="1">[1]!RTData[[#This Row],[Last trade time]]</f>
        <v>45954.969261747654</v>
      </c>
      <c r="BT11" s="177">
        <f ca="1">(TabCalc[[#This Row],[ValueBegin]]+(TabCalc[[#This Row],[M]]-TabCalc[[#This Row],[A]])*TabCalc[[#This Row],[NAfter]])*TabCalc[[#This Row],[Scale]]</f>
        <v>-93348</v>
      </c>
      <c r="BU11" s="189" cm="1">
        <f t="array" aca="1" ref="BU11" ca="1">_xlfn.XLOOKUP(TabCalc[[#This Row],[Ticker]],TabReg[[#Headers],[AAPL]:[UnknownX28]],Reg!B$72:KF$72)+3</f>
        <v>4</v>
      </c>
      <c r="BV11" s="190" cm="1">
        <f t="array" aca="1" ref="BV11" ca="1">_xlfn.XLOOKUP(TabCalc[[#This Row],[Ticker]],TabReg[[#Headers],[AAPL]:[UnknownX28]],Reg!B$73:KF$73)+2</f>
        <v>30</v>
      </c>
      <c r="BW11" s="191">
        <f ca="1">IFERROR(MAX(TabCalc[[#This Row],[Max_SD]],TabCalc[[#This Row],[Max_PD]]),0)</f>
        <v>40544</v>
      </c>
      <c r="BX11" s="191" t="str" cm="1">
        <f t="array" aca="1" ref="BX11" ca="1">_xlfn.IFS(TabCalc[[#This Row],[L_TP]]&lt;0,"Purchase",TabCalc[[#This Row],[L_TP]]&gt;0,"Sale")</f>
        <v>Purchase</v>
      </c>
      <c r="BY11" s="190" cm="1">
        <f t="array" aca="1" ref="BY11" ca="1">INDEX(Reg!$A$1:$KF$73,TabCalc[[#This Row],[L_I1]],TabCalc[[#This Row],[L_I2]])</f>
        <v>12500</v>
      </c>
      <c r="BZ11" s="192" cm="1">
        <f t="array" aca="1" ref="BZ11" ca="1">INDEX(Reg!$A$1:$KF$73,TabCalc[[#This Row],[L_I1]],TabCalc[[#This Row],[L_I2]]+1)</f>
        <v>-12.7196</v>
      </c>
      <c r="CA11" s="161">
        <f ca="1">TabCalc[[#This Row],[NAfter]]*(TabCalc[[#This Row],[M]]-IF(TabCalc[[#This Row],[E]]&gt;0,0,TabCalc[[#This Row],[A]]))</f>
        <v>10199.999999999998</v>
      </c>
      <c r="CB11" s="167" cm="1">
        <f t="array" aca="1" ref="CB11" ca="1">IFERROR(MIN(_xlfn._xlws.FILTER(INDIRECT("TabReg["&amp;TabCalc[[#This Row],[Ticker]]&amp;"]"), INDIRECT("TabReg["&amp;TabCalc[[#This Row],[Ticker]]&amp;"2]")&gt;0)),0)</f>
        <v>0</v>
      </c>
      <c r="CC11" s="178" cm="1">
        <f t="array" aca="1" ref="CC11" ca="1">IFERROR(MIN(_xlfn._xlws.FILTER(INDIRECT("TabReg["&amp;TabCalc[[#This Row],[Ticker]]&amp;"1]"), INDIRECT("TabReg["&amp;TabCalc[[#This Row],[Ticker]]&amp;"2]")&gt;0)),0)</f>
        <v>0</v>
      </c>
      <c r="CD11" s="173" cm="1">
        <f t="array" aca="1" ref="CD11" ca="1">IFERROR(MIN(_xlfn._xlws.FILTER(INDIRECT("TabReg["&amp;TabCalc[[#This Row],[Ticker]]&amp;"2]"), INDIRECT("TabReg["&amp;TabCalc[[#This Row],[Ticker]]&amp;"2]")&gt;0)),0)</f>
        <v>0</v>
      </c>
      <c r="CE11" s="167" cm="1">
        <f t="array" aca="1" ref="CE11" ca="1">IFERROR(MAX(_xlfn._xlws.FILTER(INDIRECT("TabReg["&amp;TabCalc[[#This Row],[Ticker]]&amp;"]"), INDIRECT("TabReg["&amp;TabCalc[[#This Row],[Ticker]]&amp;"2]")&gt;0)),0)</f>
        <v>0</v>
      </c>
      <c r="CF11" s="178" cm="1">
        <f t="array" aca="1" ref="CF11" ca="1">IFERROR(MAX(_xlfn._xlws.FILTER(INDIRECT("TabReg["&amp;TabCalc[[#This Row],[Ticker]]&amp;"1]"), INDIRECT("TabReg["&amp;TabCalc[[#This Row],[Ticker]]&amp;"2]")&gt;0)),0)</f>
        <v>0</v>
      </c>
      <c r="CG11" s="173" cm="1">
        <f t="array" aca="1" ref="CG11" ca="1">IFERROR(MAX(_xlfn._xlws.FILTER(INDIRECT("TabReg["&amp;TabCalc[[#This Row],[Ticker]]&amp;"2]"), INDIRECT("TabReg["&amp;TabCalc[[#This Row],[Ticker]]&amp;"2]")&gt;0)),0)</f>
        <v>0</v>
      </c>
      <c r="CH11" s="167" cm="1">
        <f t="array" aca="1" ref="CH11" ca="1">MIN(_xlfn._xlws.FILTER(INDIRECT("TabReg["&amp;TabCalc[[#This Row],[Ticker]]&amp;"]"), INDIRECT("TabReg["&amp;TabCalc[[#This Row],[Ticker]]&amp;"2]")&lt;0))</f>
        <v>40544</v>
      </c>
      <c r="CI11" s="177" cm="1">
        <f t="array" aca="1" ref="CI11" ca="1">MIN(_xlfn._xlws.FILTER(INDIRECT("TabReg["&amp;TabCalc[[#This Row],[Ticker]]&amp;"1]"), INDIRECT("TabReg["&amp;TabCalc[[#This Row],[Ticker]]&amp;"2]")&lt;0))</f>
        <v>12500</v>
      </c>
      <c r="CJ11" s="173" cm="1">
        <f t="array" aca="1" ref="CJ11" ca="1">MIN(_xlfn._xlws.FILTER(INDIRECT("TabReg["&amp;TabCalc[[#This Row],[Ticker]]&amp;"2]"), INDIRECT("TabReg["&amp;TabCalc[[#This Row],[Ticker]]&amp;"2]")&lt;0))</f>
        <v>-12.7196</v>
      </c>
      <c r="CK11" s="167" cm="1">
        <f t="array" aca="1" ref="CK11" ca="1">MAX(_xlfn._xlws.FILTER(INDIRECT("TabReg["&amp;TabCalc[[#This Row],[Ticker]]&amp;"]"), INDIRECT("TabReg["&amp;TabCalc[[#This Row],[Ticker]]&amp;"2]")&lt;0))</f>
        <v>40544</v>
      </c>
      <c r="CL11" s="177" cm="1">
        <f t="array" aca="1" ref="CL11" ca="1">MAX(_xlfn._xlws.FILTER(INDIRECT("TabReg["&amp;TabCalc[[#This Row],[Ticker]]&amp;"1]"), INDIRECT("TabReg["&amp;TabCalc[[#This Row],[Ticker]]&amp;"2]")&lt;0))</f>
        <v>12500</v>
      </c>
      <c r="CM11" s="173" cm="1">
        <f t="array" aca="1" ref="CM11" ca="1">MAX(_xlfn._xlws.FILTER(INDIRECT("TabReg["&amp;TabCalc[[#This Row],[Ticker]]&amp;"2]"), INDIRECT("TabReg["&amp;TabCalc[[#This Row],[Ticker]]&amp;"2]")&lt;0))</f>
        <v>-12.7196</v>
      </c>
      <c r="CN11" s="167" cm="1">
        <f t="array" aca="1" ref="CN11" ca="1">IFERROR(_xlfn.XLOOKUP(TabCalc[[#This Row],[BS2P]],INDIRECT("TabReg["&amp;TabCalc[[#This Row],[Ticker]]&amp;"2]"),INDIRECT("TabReg["&amp;TabCalc[[#This Row],[Ticker]]&amp;"]")),0)</f>
        <v>0</v>
      </c>
      <c r="CO11" s="178" cm="1">
        <f t="array" aca="1" ref="CO11" ca="1">IFERROR(_xlfn.XLOOKUP(TabCalc[[#This Row],[BS2P]],INDIRECT("TabReg["&amp;TabCalc[[#This Row],[Ticker]]&amp;"2]"),INDIRECT("TabReg["&amp;TabCalc[[#This Row],[Ticker]]&amp;"1]")),0)</f>
        <v>0</v>
      </c>
      <c r="CP11" s="173">
        <f ca="1">_xlfn.MAXIFS(INDIRECT("TabReg["&amp;TabCalc[[#This Row],[Ticker]]&amp;"2]"), INDIRECT("TabReg["&amp;TabCalc[[#This Row],[Ticker]]&amp;"2]"), "&lt;" &amp; MAX(INDIRECT("TabReg["&amp;TabCalc[[#This Row],[Ticker]]&amp;"2]")))</f>
        <v>0</v>
      </c>
      <c r="CQ11" s="167" cm="1">
        <f t="array" aca="1" ref="CQ11" ca="1">IFERROR(_xlfn.XLOOKUP(TabCalc[[#This Row],[WB2P]],INDIRECT("TabReg["&amp;TabCalc[[#This Row],[Ticker]]&amp;"2]"),INDIRECT("TabReg["&amp;TabCalc[[#This Row],[Ticker]]&amp;"]")),0)</f>
        <v>0</v>
      </c>
      <c r="CR11" s="178" cm="1">
        <f t="array" aca="1" ref="CR11" ca="1">IFERROR(_xlfn.XLOOKUP(TabCalc[[#This Row],[WB2P]],INDIRECT("TabReg["&amp;TabCalc[[#This Row],[Ticker]]&amp;"2]"),INDIRECT("TabReg["&amp;TabCalc[[#This Row],[Ticker]]&amp;"1]")),0)</f>
        <v>0</v>
      </c>
      <c r="CS11" s="173">
        <f ca="1">_xlfn.MINIFS(INDIRECT("TabReg["&amp;TabCalc[[#This Row],[Ticker]]&amp;"2]"), INDIRECT("TabReg["&amp;TabCalc[[#This Row],[Ticker]]&amp;"2]"), "&gt;" &amp; MIN(INDIRECT("TabReg["&amp;TabCalc[[#This Row],[Ticker]]&amp;"2]")))</f>
        <v>0</v>
      </c>
      <c r="CT11" s="405">
        <f ca="1">IF(TabCalc[[#This Row],[M]]&lt;TabCalc[[#This Row],[L_Sp]],DesiredBuyGain/(TabCalc[[#This Row],[L_Sp]]-TabCalc[[#This Row],[M]]),0)</f>
        <v>0</v>
      </c>
      <c r="CU11" s="406">
        <f ca="1">IF(TabCalc[[#This Row],[ntoBuy]]*TabCalc[[#This Row],[M]]&lt;=0,0,TabCalc[[#This Row],[ntoBuy]]*TabCalc[[#This Row],[M]])</f>
        <v>0</v>
      </c>
      <c r="CV11" s="406">
        <f ca="1">IF(TabCalc[[#This Row],[M]]&gt;ABS(TabCalc[[#This Row],[L_Bp]]),MIN(TabCalc[[#This Row],[NAfter]],DesiredSaleGain/(TabCalc[[#This Row],[M]]+TabCalc[[#This Row],[L_Bp]])),0)/TabCalc[[#This Row],[Scale]]</f>
        <v>0</v>
      </c>
      <c r="CW11" s="407">
        <f ca="1">TabCalc[[#This Row],[ntoSell]]*TabCalc[[#This Row],[M]]</f>
        <v>0</v>
      </c>
      <c r="CX11" s="400">
        <f ca="1">_xlfn.LET(_xlpm.nToSell,IF(TabCalc[[#This Row],[M]]-TabCalc[[#This Row],[A]]&lt;=0,"",INT(DesiredSaleGain/(TabCalc[[#This Row],[M]]-IF(TabCalc[[#This Row],[E]]&gt;0,0,TabCalc[[#This Row],[A]])))),IF(_xlpm.nToSell&lt;=TabCalc[[#This Row],[NAfter]],_xlpm.nToSell,0))</f>
        <v>6127</v>
      </c>
      <c r="CY11" s="338">
        <f ca="1">IFERROR(TabCalc[[#This Row],[NMA]]*TabCalc[[#This Row],[M]],"")</f>
        <v>18135.919999999998</v>
      </c>
      <c r="CZ11" s="337" cm="1">
        <f t="array" aca="1" ref="CZ11" ca="1">_xlfn.IFS(TabCalc[[#This Row],[M]]&gt;= TabCalc[[#This Row],[L_Sp]],(TabCalc[[#This Row],[M]]-TabCalc[[#This Row],[A]])*TabCalc[[#This Row],[NAfter]]*TabCalc[[#This Row],[Scale]],           TabCalc[[#This Row],[M]]&lt; TabCalc[[#This Row],[L_Sp]],(TabCalc[[#This Row],[M]]-TabCalc[[#This Row],[A]])*TabCalc[[#This Row],[NAfter]]*TabCalc[[#This Row],[Scale]],               TRUE,"")</f>
        <v>10199.999999999998</v>
      </c>
      <c r="DA11" s="90">
        <f ca="1">IFERROR((TabCalc[[#This Row],[M]]+TabCalc[[#This Row],[L_Bp]])/ABS(TabCalc[[#This Row],[L_Bp]])/(TODAY()-TabCalc[[#This Row],[L_Bdate]])*360,"")</f>
        <v>-5.1039131674433129E-2</v>
      </c>
      <c r="DB11" s="312">
        <f ca="1">MEDIAN(DataShift!F711:Z711)</f>
        <v>-2.366E-4</v>
      </c>
      <c r="DC11" s="312" t="str" cm="1">
        <f t="array" aca="1" ref="DC1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11" s="88" t="s">
        <v>8</v>
      </c>
      <c r="DN11" s="81">
        <v>100</v>
      </c>
      <c r="DO11" s="317">
        <v>-49.07</v>
      </c>
    </row>
    <row r="12" spans="1:119">
      <c r="A12" s="120" t="str">
        <f ca="1">_xlfn.XLOOKUP(TabCalc[[#This Row],[Ticker]],[1]!RTData[Ticker symbol],[1]!RTData[Currency])</f>
        <v>USD</v>
      </c>
      <c r="B12" s="121">
        <f ca="1">IF(TabCalc[[#This Row],[Cur]]="GBP",0.01,1)</f>
        <v>1</v>
      </c>
      <c r="C12" s="82">
        <f ca="1">_xlfn.XLOOKUP(TabCalc[[#This Row],[Ticker]],DM$3:DM$96,DN$3:DN$96)</f>
        <v>100</v>
      </c>
      <c r="D12" s="1254">
        <f ca="1">_xlfn.XLOOKUP(TabCalc[[#This Row],[Ticker]],DM$3:DM$96,DO$3:DO$96)</f>
        <v>-49.07</v>
      </c>
      <c r="E12" s="121">
        <f t="shared" ca="1" si="0"/>
        <v>-4907</v>
      </c>
      <c r="F12" s="82">
        <f ca="1">TabCalc[[#This Row],[NAfter]]*TabCalc[[#This Row],[M]]*TabCalc[[#This Row],[Scale]]</f>
        <v>493.9</v>
      </c>
      <c r="G12" s="82">
        <f ca="1">IFERROR(TabCalc[[#This Row],[SB]]-TabCalc[[#This Row],[SST]],TabCalc[[#This Row],[SB]])</f>
        <v>5</v>
      </c>
      <c r="H12" s="535" t="str">
        <f ca="1">[1]!RTData[[#This Row],[Ticker symbol]]</f>
        <v>C</v>
      </c>
      <c r="I12" s="385">
        <f ca="1">[1]!RTData[[#This Row],[M-Price]]</f>
        <v>98.78</v>
      </c>
      <c r="J12" s="384">
        <v>12.7196</v>
      </c>
      <c r="K12" s="383">
        <f>[1]!RTData[[#This Row],[1YT]]</f>
        <v>99.45</v>
      </c>
      <c r="L12" s="384">
        <f ca="1">IF(OR(TabCalc[[#This Row],[NAfter]]=0,TabCalc[[#This Row],[EfCost]]&gt;0),0,TabCalc[[#This Row],[EfCost]]/TabCalc[[#This Row],[NAfter]]/TabCalc[[#This Row],[Scale]])</f>
        <v>0</v>
      </c>
      <c r="M12" s="744">
        <f ca="1">[1]!RTData[[#This Row],[Change%]]</f>
        <v>2.1615000000000002E-2</v>
      </c>
      <c r="N12" s="1172">
        <v>0.5</v>
      </c>
      <c r="O12" s="966">
        <f>TabCalc[[#This Row],[Up20]]-1+TabCalc[[#This Row],[Up20]]</f>
        <v>0</v>
      </c>
      <c r="P12" s="966">
        <f>TabCalc[[#This Row],[Up20]]-TabCalc[[#This Row],[Up150]]</f>
        <v>7.03125E-2</v>
      </c>
      <c r="Q12" s="966">
        <v>0.4296875</v>
      </c>
      <c r="R12" s="966">
        <f>TabCalc[[#This Row],[Up150]]-1+TabCalc[[#This Row],[Up150]]</f>
        <v>-0.140625</v>
      </c>
      <c r="S12" s="966">
        <f ca="1">IFERROR(SUMPRODUCT(DataShift!F1504:Z1504,DataShift!AB711:AV711)/SQRT(SUMPRODUCT(DataShift!F1504:Z1504,DataShift!F1504:Z1504)*SUMPRODUCT(DataShift!AB711:AV711,DataShift!AB711:AV711)),0)</f>
        <v>-0.76410268115584346</v>
      </c>
      <c r="T12" s="966">
        <f ca="1">IFERROR(SUMPRODUCT(DataShift!F1504:Z1504,DataShift!F712:Z712)/SQRT(SUMPRODUCT(DataShift!F1504:Z1504,DataShift!F1504:Z1504)*SUMPRODUCT(DataShift!F712:Z712,DataShift!F712:Z712)),0)</f>
        <v>-0.31264946566810387</v>
      </c>
      <c r="U12" s="1107">
        <v>0</v>
      </c>
      <c r="V12" s="1107">
        <v>12500</v>
      </c>
      <c r="W12" s="1107">
        <v>0</v>
      </c>
      <c r="X12" s="966" t="str">
        <f ca="1">IF(TabCalc[[#This Row],[EfCost]]+TabCalc[[#This Row],[M_V]]&lt;TabCalc[[#This Row],[NoT_GL]],"Pile","")</f>
        <v/>
      </c>
      <c r="Y1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2" s="213">
        <f ca="1">MIN(TabCalc[[#This Row],[L_Bn]],TabCalc[[#This Row],[NAfter]])*(TabCalc[[#This Row],[M]]+TabCalc[[#This Row],[L_Bp]])*TabCalc[[#This Row],[Scale]]</f>
        <v>180.15</v>
      </c>
      <c r="AA12" s="210" cm="1">
        <f t="array" aca="1" ref="AA12" ca="1">_xlfn.XLOOKUP(TabCalc[[#This Row],[L_Bp]],INDIRECT("TabReg["&amp;TabCalc[[#This Row],[Ticker]]&amp;"2]"),INDIRECT("TabReg["&amp;TabCalc[[#This Row],[Ticker]]&amp;"]"))</f>
        <v>45764</v>
      </c>
      <c r="AB12" s="181" cm="1">
        <f t="array" aca="1" ref="AB12" ca="1">_xlfn.XLOOKUP(TabCalc[[#This Row],[L_Bp]],INDIRECT("TabReg["&amp;TabCalc[[#This Row],[Ticker]]&amp;"2]"),INDIRECT("TabReg["&amp;TabCalc[[#This Row],[Ticker]]&amp;"1]"))</f>
        <v>500</v>
      </c>
      <c r="AC12" s="192" cm="1">
        <f t="array" aca="1" ref="AC12" ca="1">IFERROR(INDEX(INDIRECT("TabReg["&amp;TabCalc[[#This Row],[Ticker]]&amp;"2]"),    _xlfn.XMATCH(    MAX(    _xlfn._xlws.FILTER(INDIRECT("TabReg["&amp;TabCalc[[#This Row],[Ticker]]&amp;"]"), INDIRECT("TabReg["&amp;TabCalc[[#This Row],[Ticker]]&amp;"2]")&lt;0)     ), INDIRECT("TabReg["&amp;TabCalc[[#This Row],[Ticker]]&amp;"]"),      0)), "")</f>
        <v>-62.75</v>
      </c>
      <c r="AD12" s="213">
        <f ca="1">IFERROR(MIN(TabCalc[[#This Row],[L_B1n]],TabCalc[[#This Row],[NAfter]])*(TabCalc[[#This Row],[M]]+TabCalc[[#This Row],[L_B1p]])*TabCalc[[#This Row],[Scale]],"")</f>
        <v>127.99999999999997</v>
      </c>
      <c r="AE12" s="210" cm="1">
        <f t="array" aca="1" ref="AE1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12" s="181" cm="1">
        <f t="array" aca="1" ref="AF12" ca="1">IFERROR(_xlfn.XLOOKUP(TabCalc[[#This Row],[L_B1D]],INDIRECT("TabReg["&amp;TabCalc[[#This Row],[Ticker]]&amp;"]"),INDIRECT("TabReg["&amp;TabCalc[[#This Row],[Ticker]]&amp;"1]")),0)</f>
        <v>1000</v>
      </c>
      <c r="AG12" s="192" cm="1">
        <f t="array" aca="1" ref="AG12" ca="1">IFERROR(_xlfn.XLOOKUP(TabCalc[[#This Row],[L_B1D]],INDIRECT("TabReg["&amp;TabCalc[[#This Row],[Ticker]]&amp;"]"),INDIRECT("TabReg["&amp;TabCalc[[#This Row],[Ticker]]&amp;"2]")),0)</f>
        <v>-73.180000000000007</v>
      </c>
      <c r="AH12" s="302">
        <f ca="1">IFERROR(TabCalc[[#This Row],[L_Sn]]*(TabCalc[[#This Row],[L_Sp]]-TabCalc[[#This Row],[M]])*TabCalc[[#This Row],[Scale]],"")</f>
        <v>-133.47500000000011</v>
      </c>
      <c r="AI12" s="210" cm="1">
        <f t="array" aca="1" ref="AI12" ca="1">IFERROR(_xlfn.XLOOKUP(TabCalc[[#This Row],[L_Sp]],INDIRECT("TabReg["&amp;TabCalc[[#This Row],[Ticker]]&amp;"2]"),INDIRECT("TabReg["&amp;TabCalc[[#This Row],[Ticker]]&amp;"]")),0)</f>
        <v>45910</v>
      </c>
      <c r="AJ12" s="181" cm="1">
        <f t="array" aca="1" ref="AJ12" ca="1">IFERROR(_xlfn.XLOOKUP(TabCalc[[#This Row],[L_Sp]],INDIRECT("TabReg["&amp;TabCalc[[#This Row],[Ticker]]&amp;"2]"),INDIRECT("TabReg["&amp;TabCalc[[#This Row],[Ticker]]&amp;"1]")),0)</f>
        <v>95</v>
      </c>
      <c r="AK12" s="192" cm="1">
        <f t="array" aca="1" ref="AK12" ca="1">IFERROR(INDEX(INDIRECT("TabReg["&amp;TabCalc[[#This Row],[Ticker]]&amp;"2]"), _xlfn.XMATCH(MAX(_xlfn._xlws.FILTER(INDIRECT("TabReg["&amp;TabCalc[[#This Row],[Ticker]]&amp;"]"), INDIRECT("TabReg["&amp;TabCalc[[#This Row],[Ticker]]&amp;"2]")&gt;0)), INDIRECT("TabReg["&amp;TabCalc[[#This Row],[Ticker]]&amp;"]"), 0)), 0)</f>
        <v>97.375</v>
      </c>
      <c r="AL12" s="214">
        <f ca="1">IFERROR(TabCalc[[#This Row],[L_S1n]]*(TabCalc[[#This Row],[L_S1p]]-TabCalc[[#This Row],[M]])*TabCalc[[#This Row],[Scale]],0)</f>
        <v>-8055</v>
      </c>
      <c r="AM12" s="210" cm="1">
        <f t="array" aca="1" ref="AM1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12" s="181" cm="1">
        <f t="array" aca="1" ref="AN12" ca="1">IFERROR(_xlfn.XLOOKUP(TabCalc[[#This Row],[L_S1D]],INDIRECT("TabReg["&amp;TabCalc[[#This Row],[Ticker]]&amp;"]"),INDIRECT("TabReg["&amp;TabCalc[[#This Row],[Ticker]]&amp;"1]")),0)</f>
        <v>500</v>
      </c>
      <c r="AO12" s="384" cm="1">
        <f t="array" aca="1" ref="AO12" ca="1">IFERROR(_xlfn.XLOOKUP(TabCalc[[#This Row],[L_S1D]],INDIRECT("TabReg["&amp;TabCalc[[#This Row],[Ticker]]&amp;"]"),INDIRECT("TabReg["&amp;TabCalc[[#This Row],[Ticker]]&amp;"2]")),0)</f>
        <v>82.67</v>
      </c>
      <c r="AP12" s="336">
        <f ca="1">_xlfn.LET(_xlpm.MVOpen,[1]!RTData[[#This Row],[Open]]*TabCalc[[#This Row],[NAfter]],_xlpm.MVNow,TabCalc[[#This Row],[M]]*TabCalc[[#This Row],[NAfter]],_xlpm.MVNow-_xlpm.MVOpen)*TabCalc[[#This Row],[Scale]]</f>
        <v>6.9749999999999659</v>
      </c>
      <c r="AQ12" s="336">
        <f ca="1">_xlfn.LET(_xlpm.MVToday,DataShift!AV512,         _xlpm.MVY,DataShift!AU513,        _xlpm.MVYY, DataShift!AT513,                                IF(_xlpm.MVToday=_xlpm.MVY,_xlpm.MVY-_xlpm.MVYY,_xlpm.MVToday-_xlpm.MVY))</f>
        <v>3200</v>
      </c>
      <c r="AR12" s="336">
        <f ca="1">_xlfn.LET(_xlpm.MVToday,DataShift!AV512,         _xlpm.MVY,DataShift!AU513,        _xlpm.MVYY, DataShift!AT513,         _xlpm.MVYYY, DataShift!AS513,                      IF(_xlpm.MVToday=_xlpm.MVY,      _xlpm.MVYY-_xlpm.MVYYY,          _xlpm.MVY-_xlpm.MVYY))</f>
        <v>0</v>
      </c>
      <c r="AS12" s="1078">
        <f ca="1">TabCalc[[#This Row],[Y]]/TabCalc[[#This Row],[M]]</f>
        <v>1.0067827495444421</v>
      </c>
      <c r="AT12" s="299" t="str" cm="1">
        <f t="array" aca="1" ref="AT12" ca="1">IFERROR(_xlfn.IFS(          TabCalc[[#This Row],[E]]&gt;0, "Free Trade",      TabCalc[[#This Row],[A]]&lt;MIN(TabCalc[[#This Row],[L_Sp]],TabCalc[[#This Row],[M]]), "Buy",            TabCalc[[#This Row],[M]]&lt;TabCalc[[#This Row],[L_Sp]],       "Refill",       TabCalc[[#This Row],[M]]&gt;TabCalc[[#This Row],[L_Sp]],"S_more"),"")</f>
        <v>Buy</v>
      </c>
      <c r="AU12" s="299" t="str">
        <f ca="1">IF(           AND(TabCalc[[#This Row],[E]]&lt;=0,          TabCalc[[#This Row],[A]]&gt;MIN(TabCalc[[#This Row],[M]],TabCalc[[#This Row],[L_Sp]]),             TabCalc[[#This Row],[L_Sp]]&lt;=TabCalc[[#This Row],[M]]),                       "S_more","")</f>
        <v/>
      </c>
      <c r="AV12" s="82" t="str" cm="1">
        <f t="array" aca="1" ref="AV12" ca="1">IFERROR(_xlfn.IFS(TabCalc[[#This Row],[E]]&gt;0,"Free trade",                 TabCalc[[#This Row],[A]]&lt;MAX(ABS(TabCalc[[#This Row],[L_Bp]]),TabCalc[[#This Row],[A]]),"Sell",             TabCalc[[#This Row],[M]]&gt;ABS(TabCalc[[#This Row],[L_Bp]]),"Resell",             TabCalc[[#This Row],[M]]&lt;ABS(TabCalc[[#This Row],[L_Bp]]),"B_more"),"")</f>
        <v>Sell</v>
      </c>
      <c r="AW12" s="82">
        <f ca="1">TabCalc[[#This Row],[NAfter]]-TabCalc[[#This Row],[Nbegin]]</f>
        <v>-95</v>
      </c>
      <c r="AX12" s="307">
        <f ca="1">IFERROR((TabCalc[[#This Row],[M]]-TabCalc[[#This Row],[Y]])*(TabCalc[[#This Row],[M]]-TabCalc[[#This Row],[Y]])*(TabCalc[[#This Row],[M]]-TabCalc[[#This Row],[Y]])/(TabCalc[[#This Row],[Y]]*TabCalc[[#This Row],[M]]),"")</f>
        <v>-3.0616151538462788E-5</v>
      </c>
      <c r="AY12" s="82">
        <f t="shared" ca="1" si="1"/>
        <v>95</v>
      </c>
      <c r="AZ12" s="90">
        <f ca="1">[1]!RTData[[#This Row],[V/VA]]</f>
        <v>0.82499260016945075</v>
      </c>
      <c r="BA12" s="90" t="str" cm="1">
        <f t="array" aca="1" ref="BA12" ca="1">IFERROR(_xlfn.IFS(TabCalc[[#This Row],[Cur]]="USD",Timer!F$27,TabCalc[[#This Row],[Cur]]="EUR",Timer!F$18,TabCalc[[#This Row],[Cur]]="GBP",Timer!F$12,TabCalc[[#This Row],[Cur]]="CAD",Timer!F$27,TabCalc[[#This Row],[Cur]]="JPY",Timer!F$31,TabCalc[[#This Row],[Cur]]="CHF",Timer!F$18),"Timing")</f>
        <v>None-Working Day</v>
      </c>
      <c r="BB12" s="90">
        <f ca="1">IF(ISNUMBER(TabCalc[[#This Row],[TimeEX]]),TabCalc[[#This Row],[V/VA]]/TabCalc[[#This Row],[TimeEX]],TabCalc[[#This Row],[V/VA]])</f>
        <v>0.82499260016945075</v>
      </c>
      <c r="BC12" s="87" cm="1">
        <f t="array" aca="1" ref="BC12" ca="1">INDEX(TabReg[], 1, _xlfn.XMATCH(TabCalc[[#This Row],[Ticker]]&amp;1, TabReg[#Headers], 0))</f>
        <v>100</v>
      </c>
      <c r="BD12" s="161">
        <f ca="1">TabCalc[[#This Row],[Nbegin]]*TabCalc[[#This Row],[M]]*TabCalc[[#This Row],[Scale]]+TabCalc[[#This Row],[ValueBegin]]</f>
        <v>4971</v>
      </c>
      <c r="BE12" s="336" t="str" cm="1">
        <f t="array" aca="1" ref="BE12" ca="1">_xlfn.IFS(TabCalc[[#This Row],[Cost+Gain]]&gt;0,"Free",             TabCalc[[#This Row],[GL]]&gt;0,"Gainer",                TRUE,"Looser")</f>
        <v>Free</v>
      </c>
      <c r="BF12" s="161">
        <f ca="1">TabCalc[[#This Row],[Tot_Paid]]-TabCalc[[#This Row],[ValueBegin]]</f>
        <v>-344428.67737599998</v>
      </c>
      <c r="BG12" s="337">
        <f ca="1">IF(TabCalc[[#This Row],[EfCost]]&gt;TabCalc[[#This Row],[ValueBegin]],       0,        TabCalc[[#This Row],[EfCost]]-TabCalc[[#This Row],[ValueBegin]]*(1+Commission))</f>
        <v>0</v>
      </c>
      <c r="BH12" s="338">
        <f ca="1">TabCalc[[#This Row],[M_V]]+TabCalc[[#This Row],[ValueBegin]]</f>
        <v>-4413.1000000000004</v>
      </c>
      <c r="BI12" s="161" cm="1">
        <f t="array" aca="1" ref="BI12" ca="1">SUMPRODUCT(_xlfn._xlws.FILTER(INDIRECT("TabReg["&amp;TabCalc[[#This Row],[Ticker]]&amp;"1]") * INDIRECT("TabReg["&amp;TabCalc[[#This Row],[Ticker]]&amp;"2]"), INDIRECT("TabReg["&amp;TabCalc[[#This Row],[Ticker]]&amp;"2]")&lt;0))*(1+Commission)*TabCalc[[#This Row],[Scale]]</f>
        <v>-349335.67737599998</v>
      </c>
      <c r="BJ12" s="161" cm="1">
        <f t="array" aca="1" ref="BJ12" ca="1">SUMPRODUCT(IF(INDIRECT("TabReg["&amp;TabCalc[[#This Row],[Ticker]]&amp;"2]") ="", 0, INDIRECT("TabReg["&amp;TabCalc[[#This Row],[Ticker]]&amp;"1]") * INDIRECT("TabReg["&amp;TabCalc[[#This Row],[Ticker]]&amp;"2]") ))*TabCalc[[#This Row],[Scale]]</f>
        <v>39999.365000000005</v>
      </c>
      <c r="BK12" s="161" cm="1">
        <f t="array" aca="1" ref="BK1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387419.20927499997</v>
      </c>
      <c r="BL12" s="161">
        <f ca="1">TabCalc[[#This Row],[M_V]]+TabCalc[[#This Row],[EfCost]]</f>
        <v>40493.265000000007</v>
      </c>
      <c r="BM12" s="161">
        <f ca="1">IF(        OR( TabCalc[[#This Row],[GL]]&gt;ABS(TabCalc[[#This Row],[EfCost]]),TabCalc[[#This Row],[NAfter]]=0),             TabCalc[[#This Row],[GL]],     0)</f>
        <v>40493.265000000007</v>
      </c>
      <c r="BN12" s="161" cm="1">
        <f t="array" aca="1" ref="BN12" ca="1">SUMPRODUCT(_xlfn._xlws.FILTER(IF(INDIRECT("TabReg["&amp;TabCalc[[#This Row],[Ticker]]&amp;"2]") ="", 0, INDIRECT("TabReg["&amp;TabCalc[[#This Row],[Ticker]]&amp;"1]")  ),  INDIRECT("TabReg["&amp;TabCalc[[#This Row],[Ticker]]&amp;"2]") &lt; 0))</f>
        <v>5500</v>
      </c>
      <c r="BO12" s="161">
        <f ca="1">TabCalc[[#This Row],[SB]]-TabCalc[[#This Row],[Nbegin]]</f>
        <v>5400</v>
      </c>
      <c r="BP12" s="161" cm="1">
        <f t="array" aca="1" ref="BP12" ca="1">IFERROR(SUMPRODUCT(_xlfn._xlws.FILTER(IF(INDIRECT("TabReg["&amp;TabCalc[[#This Row],[Ticker]]&amp;"2]") ="", 0, INDIRECT("TabReg["&amp;TabCalc[[#This Row],[Ticker]]&amp;"1]")  ),  INDIRECT("TabReg["&amp;TabCalc[[#This Row],[Ticker]]&amp;"2]") &gt; 0)),0)</f>
        <v>5495</v>
      </c>
      <c r="BQ1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2" s="176" t="str">
        <f ca="1">IF(TabCalc[[#This Row],[EfCost]]+TabCalc[[#This Row],[M_V]]&lt;TabCalc[[#This Row],[NoT_GL]],"Pile","")</f>
        <v/>
      </c>
      <c r="BS12" s="167">
        <f ca="1">[1]!RTData[[#This Row],[Last trade time]]</f>
        <v>45954.999506897657</v>
      </c>
      <c r="BT12" s="177">
        <f ca="1">(TabCalc[[#This Row],[ValueBegin]]+(TabCalc[[#This Row],[M]]-TabCalc[[#This Row],[A]])*TabCalc[[#This Row],[NAfter]])*TabCalc[[#This Row],[Scale]]</f>
        <v>-4476.6980000000003</v>
      </c>
      <c r="BU12" s="189" cm="1">
        <f t="array" aca="1" ref="BU12" ca="1">_xlfn.XLOOKUP(TabCalc[[#This Row],[Ticker]],TabReg[[#Headers],[AAPL]:[UnknownX28]],Reg!B$72:KF$72)+3</f>
        <v>17</v>
      </c>
      <c r="BV12" s="190" cm="1">
        <f t="array" aca="1" ref="BV12" ca="1">_xlfn.XLOOKUP(TabCalc[[#This Row],[Ticker]],TabReg[[#Headers],[AAPL]:[UnknownX28]],Reg!B$73:KF$73)+2</f>
        <v>33</v>
      </c>
      <c r="BW12" s="191">
        <f ca="1">IFERROR(MAX(TabCalc[[#This Row],[Max_SD]],TabCalc[[#This Row],[Max_PD]]),0)</f>
        <v>45910</v>
      </c>
      <c r="BX12" s="191" t="str" cm="1">
        <f t="array" aca="1" ref="BX12" ca="1">_xlfn.IFS(TabCalc[[#This Row],[L_TP]]&lt;0,"Purchase",TabCalc[[#This Row],[L_TP]]&gt;0,"Sale")</f>
        <v>Sale</v>
      </c>
      <c r="BY12" s="190" cm="1">
        <f t="array" aca="1" ref="BY12" ca="1">INDEX(Reg!$A$1:$KF$73,TabCalc[[#This Row],[L_I1]],TabCalc[[#This Row],[L_I2]])</f>
        <v>95</v>
      </c>
      <c r="BZ12" s="192" cm="1">
        <f t="array" aca="1" ref="BZ12" ca="1">INDEX(Reg!$A$1:$KF$73,TabCalc[[#This Row],[L_I1]],TabCalc[[#This Row],[L_I2]]+1)</f>
        <v>97.375</v>
      </c>
      <c r="CA12" s="161">
        <f ca="1">TabCalc[[#This Row],[NAfter]]*(TabCalc[[#This Row],[M]]-IF(TabCalc[[#This Row],[E]]&gt;0,0,TabCalc[[#This Row],[A]]))</f>
        <v>430.30200000000002</v>
      </c>
      <c r="CB12" s="167" cm="1">
        <f t="array" aca="1" ref="CB12" ca="1">IFERROR(MIN(_xlfn._xlws.FILTER(INDIRECT("TabReg["&amp;TabCalc[[#This Row],[Ticker]]&amp;"]"), INDIRECT("TabReg["&amp;TabCalc[[#This Row],[Ticker]]&amp;"2]")&gt;0)),0)</f>
        <v>45376</v>
      </c>
      <c r="CC12" s="178" cm="1">
        <f t="array" aca="1" ref="CC12" ca="1">IFERROR(MIN(_xlfn._xlws.FILTER(INDIRECT("TabReg["&amp;TabCalc[[#This Row],[Ticker]]&amp;"1]"), INDIRECT("TabReg["&amp;TabCalc[[#This Row],[Ticker]]&amp;"2]")&gt;0)),0)</f>
        <v>95</v>
      </c>
      <c r="CD12" s="173" cm="1">
        <f t="array" aca="1" ref="CD12" ca="1">IFERROR(MIN(_xlfn._xlws.FILTER(INDIRECT("TabReg["&amp;TabCalc[[#This Row],[Ticker]]&amp;"2]"), INDIRECT("TabReg["&amp;TabCalc[[#This Row],[Ticker]]&amp;"2]")&gt;0)),0)</f>
        <v>60.83</v>
      </c>
      <c r="CE12" s="167" cm="1">
        <f t="array" aca="1" ref="CE12" ca="1">IFERROR(MAX(_xlfn._xlws.FILTER(INDIRECT("TabReg["&amp;TabCalc[[#This Row],[Ticker]]&amp;"]"), INDIRECT("TabReg["&amp;TabCalc[[#This Row],[Ticker]]&amp;"2]")&gt;0)),0)</f>
        <v>45910</v>
      </c>
      <c r="CF12" s="178" cm="1">
        <f t="array" aca="1" ref="CF12" ca="1">IFERROR(MAX(_xlfn._xlws.FILTER(INDIRECT("TabReg["&amp;TabCalc[[#This Row],[Ticker]]&amp;"1]"), INDIRECT("TabReg["&amp;TabCalc[[#This Row],[Ticker]]&amp;"2]")&gt;0)),0)</f>
        <v>1500</v>
      </c>
      <c r="CG12" s="173" cm="1">
        <f t="array" aca="1" ref="CG12" ca="1">IFERROR(MAX(_xlfn._xlws.FILTER(INDIRECT("TabReg["&amp;TabCalc[[#This Row],[Ticker]]&amp;"2]"), INDIRECT("TabReg["&amp;TabCalc[[#This Row],[Ticker]]&amp;"2]")&gt;0)),0)</f>
        <v>97.375</v>
      </c>
      <c r="CH12" s="167" cm="1">
        <f t="array" aca="1" ref="CH12" ca="1">MIN(_xlfn._xlws.FILTER(INDIRECT("TabReg["&amp;TabCalc[[#This Row],[Ticker]]&amp;"]"), INDIRECT("TabReg["&amp;TabCalc[[#This Row],[Ticker]]&amp;"2]")&lt;0))</f>
        <v>40544</v>
      </c>
      <c r="CI12" s="177" cm="1">
        <f t="array" aca="1" ref="CI12" ca="1">MIN(_xlfn._xlws.FILTER(INDIRECT("TabReg["&amp;TabCalc[[#This Row],[Ticker]]&amp;"1]"), INDIRECT("TabReg["&amp;TabCalc[[#This Row],[Ticker]]&amp;"2]")&lt;0))</f>
        <v>100</v>
      </c>
      <c r="CJ12" s="173" cm="1">
        <f t="array" aca="1" ref="CJ12" ca="1">MIN(_xlfn._xlws.FILTER(INDIRECT("TabReg["&amp;TabCalc[[#This Row],[Ticker]]&amp;"2]"), INDIRECT("TabReg["&amp;TabCalc[[#This Row],[Ticker]]&amp;"2]")&lt;0))</f>
        <v>-73.180000000000007</v>
      </c>
      <c r="CK12" s="167" cm="1">
        <f t="array" aca="1" ref="CK12" ca="1">MAX(_xlfn._xlws.FILTER(INDIRECT("TabReg["&amp;TabCalc[[#This Row],[Ticker]]&amp;"]"), INDIRECT("TabReg["&amp;TabCalc[[#This Row],[Ticker]]&amp;"2]")&lt;0))</f>
        <v>45764</v>
      </c>
      <c r="CL12" s="177" cm="1">
        <f t="array" aca="1" ref="CL12" ca="1">MAX(_xlfn._xlws.FILTER(INDIRECT("TabReg["&amp;TabCalc[[#This Row],[Ticker]]&amp;"1]"), INDIRECT("TabReg["&amp;TabCalc[[#This Row],[Ticker]]&amp;"2]")&lt;0))</f>
        <v>2000</v>
      </c>
      <c r="CM12" s="173" cm="1">
        <f t="array" aca="1" ref="CM12" ca="1">MAX(_xlfn._xlws.FILTER(INDIRECT("TabReg["&amp;TabCalc[[#This Row],[Ticker]]&amp;"2]"), INDIRECT("TabReg["&amp;TabCalc[[#This Row],[Ticker]]&amp;"2]")&lt;0))</f>
        <v>-49.07</v>
      </c>
      <c r="CN12" s="167" cm="1">
        <f t="array" aca="1" ref="CN12" ca="1">IFERROR(_xlfn.XLOOKUP(TabCalc[[#This Row],[BS2P]],INDIRECT("TabReg["&amp;TabCalc[[#This Row],[Ticker]]&amp;"2]"),INDIRECT("TabReg["&amp;TabCalc[[#This Row],[Ticker]]&amp;"]")),0)</f>
        <v>45833</v>
      </c>
      <c r="CO12" s="178" cm="1">
        <f t="array" aca="1" ref="CO12" ca="1">IFERROR(_xlfn.XLOOKUP(TabCalc[[#This Row],[BS2P]],INDIRECT("TabReg["&amp;TabCalc[[#This Row],[Ticker]]&amp;"2]"),INDIRECT("TabReg["&amp;TabCalc[[#This Row],[Ticker]]&amp;"1]")),0)</f>
        <v>500</v>
      </c>
      <c r="CP12" s="173">
        <f ca="1">_xlfn.MAXIFS(INDIRECT("TabReg["&amp;TabCalc[[#This Row],[Ticker]]&amp;"2]"), INDIRECT("TabReg["&amp;TabCalc[[#This Row],[Ticker]]&amp;"2]"), "&lt;" &amp; MAX(INDIRECT("TabReg["&amp;TabCalc[[#This Row],[Ticker]]&amp;"2]")))</f>
        <v>82.67</v>
      </c>
      <c r="CQ12" s="167" cm="1">
        <f t="array" aca="1" ref="CQ12" ca="1">IFERROR(_xlfn.XLOOKUP(TabCalc[[#This Row],[WB2P]],INDIRECT("TabReg["&amp;TabCalc[[#This Row],[Ticker]]&amp;"2]"),INDIRECT("TabReg["&amp;TabCalc[[#This Row],[Ticker]]&amp;"]")),0)</f>
        <v>45575</v>
      </c>
      <c r="CR12" s="178" cm="1">
        <f t="array" aca="1" ref="CR12" ca="1">IFERROR(_xlfn.XLOOKUP(TabCalc[[#This Row],[WB2P]],INDIRECT("TabReg["&amp;TabCalc[[#This Row],[Ticker]]&amp;"2]"),INDIRECT("TabReg["&amp;TabCalc[[#This Row],[Ticker]]&amp;"1]")),0)</f>
        <v>2000</v>
      </c>
      <c r="CS12" s="173">
        <f ca="1">_xlfn.MINIFS(INDIRECT("TabReg["&amp;TabCalc[[#This Row],[Ticker]]&amp;"2]"), INDIRECT("TabReg["&amp;TabCalc[[#This Row],[Ticker]]&amp;"2]"), "&gt;" &amp; MIN(INDIRECT("TabReg["&amp;TabCalc[[#This Row],[Ticker]]&amp;"2]")))</f>
        <v>-63.5</v>
      </c>
      <c r="CT12" s="405">
        <f ca="1">IF(TabCalc[[#This Row],[M]]&lt;TabCalc[[#This Row],[L_Sp]],DesiredBuyGain/(TabCalc[[#This Row],[L_Sp]]-TabCalc[[#This Row],[M]]),0)</f>
        <v>0</v>
      </c>
      <c r="CU12" s="406">
        <f ca="1">IF(TabCalc[[#This Row],[ntoBuy]]*TabCalc[[#This Row],[M]]&lt;=0,0,TabCalc[[#This Row],[ntoBuy]]*TabCalc[[#This Row],[M]])</f>
        <v>0</v>
      </c>
      <c r="CV12" s="406">
        <f ca="1">IF(TabCalc[[#This Row],[M]]&gt;ABS(TabCalc[[#This Row],[L_Bp]]),MIN(TabCalc[[#This Row],[NAfter]],DesiredSaleGain/(TabCalc[[#This Row],[M]]+TabCalc[[#This Row],[L_Bp]])),0)/TabCalc[[#This Row],[Scale]]</f>
        <v>5</v>
      </c>
      <c r="CW12" s="407">
        <f ca="1">TabCalc[[#This Row],[ntoSell]]*TabCalc[[#This Row],[M]]</f>
        <v>493.9</v>
      </c>
      <c r="CX12" s="400">
        <f ca="1">_xlfn.LET(_xlpm.nToSell,IF(TabCalc[[#This Row],[M]]-TabCalc[[#This Row],[A]]&lt;=0,"",INT(DesiredSaleGain/(TabCalc[[#This Row],[M]]-IF(TabCalc[[#This Row],[E]]&gt;0,0,TabCalc[[#This Row],[A]])))),IF(_xlpm.nToSell&lt;=TabCalc[[#This Row],[NAfter]],_xlpm.nToSell,0))</f>
        <v>0</v>
      </c>
      <c r="CY12" s="338">
        <f ca="1">IFERROR(TabCalc[[#This Row],[NMA]]*TabCalc[[#This Row],[M]],"")</f>
        <v>0</v>
      </c>
      <c r="CZ12" s="337" cm="1">
        <f t="array" aca="1" ref="CZ12" ca="1">_xlfn.IFS(TabCalc[[#This Row],[M]]&gt;= TabCalc[[#This Row],[L_Sp]],(TabCalc[[#This Row],[M]]-TabCalc[[#This Row],[A]])*TabCalc[[#This Row],[NAfter]]*TabCalc[[#This Row],[Scale]],           TabCalc[[#This Row],[M]]&lt; TabCalc[[#This Row],[L_Sp]],(TabCalc[[#This Row],[M]]-TabCalc[[#This Row],[A]])*TabCalc[[#This Row],[NAfter]]*TabCalc[[#This Row],[Scale]],               TRUE,"")</f>
        <v>430.30200000000002</v>
      </c>
      <c r="DA12" s="90">
        <f ca="1">IFERROR((TabCalc[[#This Row],[M]]+TabCalc[[#This Row],[L_Bp]])/ABS(TabCalc[[#This Row],[L_Bp]])/(TODAY()-TabCalc[[#This Row],[L_Bdate]])*360,"")</f>
        <v>1.076593625498008</v>
      </c>
      <c r="DB12" s="312">
        <f ca="1">MEDIAN(DataShift!F712:Z712)</f>
        <v>-5.5400000000000007E-3</v>
      </c>
      <c r="DC12" s="312" t="str" cm="1">
        <f t="array" aca="1" ref="DC1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12" s="88" t="s">
        <v>9</v>
      </c>
      <c r="DN12" s="81">
        <v>5000</v>
      </c>
      <c r="DO12" s="317">
        <v>-39.770000000000003</v>
      </c>
    </row>
    <row r="13" spans="1:119" ht="23" customHeight="1">
      <c r="A13" s="120" t="str">
        <f ca="1">_xlfn.XLOOKUP(TabCalc[[#This Row],[Ticker]],[1]!RTData[Ticker symbol],[1]!RTData[Currency])</f>
        <v>USD</v>
      </c>
      <c r="B13" s="121">
        <f ca="1">IF(TabCalc[[#This Row],[Cur]]="GBP",0.01,1)</f>
        <v>1</v>
      </c>
      <c r="C13" s="82">
        <f ca="1">_xlfn.XLOOKUP(TabCalc[[#This Row],[Ticker]],DM$3:DM$96,DN$3:DN$96)</f>
        <v>5000</v>
      </c>
      <c r="D13" s="1254">
        <f ca="1">_xlfn.XLOOKUP(TabCalc[[#This Row],[Ticker]],DM$3:DM$96,DO$3:DO$96)</f>
        <v>-39.770000000000003</v>
      </c>
      <c r="E13" s="121">
        <f t="shared" ca="1" si="0"/>
        <v>-198850.00000000003</v>
      </c>
      <c r="F13" s="82">
        <f ca="1">TabCalc[[#This Row],[NAfter]]*TabCalc[[#This Row],[M]]*TabCalc[[#This Row],[Scale]]</f>
        <v>70630</v>
      </c>
      <c r="G13" s="82">
        <f ca="1">IFERROR(TabCalc[[#This Row],[SB]]-TabCalc[[#This Row],[SST]],TabCalc[[#This Row],[SB]])</f>
        <v>1000</v>
      </c>
      <c r="H13" s="535" t="str">
        <f ca="1">[1]!RTData[[#This Row],[Ticker symbol]]</f>
        <v>CSCO</v>
      </c>
      <c r="I13" s="385">
        <f ca="1">[1]!RTData[[#This Row],[M-Price]]</f>
        <v>70.63</v>
      </c>
      <c r="J13" s="384">
        <v>62.75</v>
      </c>
      <c r="K13" s="383">
        <f>[1]!RTData[[#This Row],[1YT]]</f>
        <v>76.290949999999995</v>
      </c>
      <c r="L13" s="384">
        <f ca="1">IF(OR(TabCalc[[#This Row],[NAfter]]=0,TabCalc[[#This Row],[EfCost]]&gt;0),0,TabCalc[[#This Row],[EfCost]]/TabCalc[[#This Row],[NAfter]]/TabCalc[[#This Row],[Scale]])</f>
        <v>0</v>
      </c>
      <c r="M13" s="744">
        <f ca="1">[1]!RTData[[#This Row],[Change%]]</f>
        <v>5.1229999999999999E-3</v>
      </c>
      <c r="N13" s="1172">
        <v>0.6</v>
      </c>
      <c r="O13" s="966">
        <f>TabCalc[[#This Row],[Up20]]-1+TabCalc[[#This Row],[Up20]]</f>
        <v>0.19999999999999996</v>
      </c>
      <c r="P13" s="966">
        <f>TabCalc[[#This Row],[Up20]]-TabCalc[[#This Row],[Up150]]</f>
        <v>-1.1111111111111183E-2</v>
      </c>
      <c r="Q13" s="966">
        <v>0.61111111111111116</v>
      </c>
      <c r="R13" s="966">
        <f>TabCalc[[#This Row],[Up150]]-1+TabCalc[[#This Row],[Up150]]</f>
        <v>0.22222222222222232</v>
      </c>
      <c r="S13" s="966">
        <f ca="1">IFERROR(SUMPRODUCT(DataShift!F1505:Z1505,DataShift!AB712:AV712)/SQRT(SUMPRODUCT(DataShift!F1505:Z1505,DataShift!F1505:Z1505)*SUMPRODUCT(DataShift!AB712:AV712,DataShift!AB712:AV712)),0)</f>
        <v>-0.80051571586944847</v>
      </c>
      <c r="T13" s="966">
        <f ca="1">IFERROR(SUMPRODUCT(DataShift!F1505:Z1505,DataShift!F713:Z713)/SQRT(SUMPRODUCT(DataShift!F1505:Z1505,DataShift!F1505:Z1505)*SUMPRODUCT(DataShift!F713:Z713,DataShift!F713:Z713)),0)</f>
        <v>6.8703457869946725E-3</v>
      </c>
      <c r="U13" s="1107">
        <v>5</v>
      </c>
      <c r="V13" s="1107">
        <v>0</v>
      </c>
      <c r="W13" s="1107">
        <v>0</v>
      </c>
      <c r="X13" s="966" t="str">
        <f ca="1">IF(TabCalc[[#This Row],[EfCost]]+TabCalc[[#This Row],[M_V]]&lt;TabCalc[[#This Row],[NoT_GL]],"Pile","")</f>
        <v>Pile</v>
      </c>
      <c r="Y1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3" s="536">
        <f ca="1">MIN(TabCalc[[#This Row],[L_Bn]],TabCalc[[#This Row],[NAfter]])*(TabCalc[[#This Row],[M]]+TabCalc[[#This Row],[L_Bp]])*TabCalc[[#This Row],[Scale]]</f>
        <v>3429.9999999999927</v>
      </c>
      <c r="AA13" s="210" cm="1">
        <f t="array" aca="1" ref="AA13" ca="1">_xlfn.XLOOKUP(TabCalc[[#This Row],[L_Bp]],INDIRECT("TabReg["&amp;TabCalc[[#This Row],[Ticker]]&amp;"2]"),INDIRECT("TabReg["&amp;TabCalc[[#This Row],[Ticker]]&amp;"]"))</f>
        <v>45926</v>
      </c>
      <c r="AB13" s="181" cm="1">
        <f t="array" aca="1" ref="AB13" ca="1">_xlfn.XLOOKUP(TabCalc[[#This Row],[L_Bp]],INDIRECT("TabReg["&amp;TabCalc[[#This Row],[Ticker]]&amp;"2]"),INDIRECT("TabReg["&amp;TabCalc[[#This Row],[Ticker]]&amp;"1]"))</f>
        <v>1000</v>
      </c>
      <c r="AC13" s="192" cm="1">
        <f t="array" aca="1" ref="AC13" ca="1">IFERROR(INDEX(INDIRECT("TabReg["&amp;TabCalc[[#This Row],[Ticker]]&amp;"2]"),    _xlfn.XMATCH(    MAX(    _xlfn._xlws.FILTER(INDIRECT("TabReg["&amp;TabCalc[[#This Row],[Ticker]]&amp;"]"), INDIRECT("TabReg["&amp;TabCalc[[#This Row],[Ticker]]&amp;"2]")&lt;0)     ), INDIRECT("TabReg["&amp;TabCalc[[#This Row],[Ticker]]&amp;"]"),      0)), "")</f>
        <v>-67.2</v>
      </c>
      <c r="AD13" s="213">
        <f ca="1">IFERROR(MIN(TabCalc[[#This Row],[L_B1n]],TabCalc[[#This Row],[NAfter]])*(TabCalc[[#This Row],[M]]+TabCalc[[#This Row],[L_B1p]])*TabCalc[[#This Row],[Scale]],"")</f>
        <v>11694.999999999993</v>
      </c>
      <c r="AE13" s="210" cm="1">
        <f t="array" aca="1" ref="AE1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13" s="181" cm="1">
        <f t="array" aca="1" ref="AF13" ca="1">IFERROR(_xlfn.XLOOKUP(TabCalc[[#This Row],[L_B1D]],INDIRECT("TabReg["&amp;TabCalc[[#This Row],[Ticker]]&amp;"]"),INDIRECT("TabReg["&amp;TabCalc[[#This Row],[Ticker]]&amp;"1]")),0)</f>
        <v>1990</v>
      </c>
      <c r="AG13" s="192" cm="1">
        <f t="array" aca="1" ref="AG13" ca="1">IFERROR(_xlfn.XLOOKUP(TabCalc[[#This Row],[L_B1D]],INDIRECT("TabReg["&amp;TabCalc[[#This Row],[Ticker]]&amp;"]"),INDIRECT("TabReg["&amp;TabCalc[[#This Row],[Ticker]]&amp;"2]")),0)</f>
        <v>-58.935000000000002</v>
      </c>
      <c r="AH13" s="302">
        <f ca="1">IFERROR(TabCalc[[#This Row],[L_Sn]]*(TabCalc[[#This Row],[L_Sp]]-TabCalc[[#This Row],[M]])*TabCalc[[#This Row],[Scale]],"")</f>
        <v>-1289.999999999992</v>
      </c>
      <c r="AI13" s="210" cm="1">
        <f t="array" aca="1" ref="AI13" ca="1">IFERROR(_xlfn.XLOOKUP(TabCalc[[#This Row],[L_Sp]],INDIRECT("TabReg["&amp;TabCalc[[#This Row],[Ticker]]&amp;"2]"),INDIRECT("TabReg["&amp;TabCalc[[#This Row],[Ticker]]&amp;"]")),0)</f>
        <v>45945</v>
      </c>
      <c r="AJ13" s="181" cm="1">
        <f t="array" aca="1" ref="AJ13" ca="1">IFERROR(_xlfn.XLOOKUP(TabCalc[[#This Row],[L_Sp]],INDIRECT("TabReg["&amp;TabCalc[[#This Row],[Ticker]]&amp;"2]"),INDIRECT("TabReg["&amp;TabCalc[[#This Row],[Ticker]]&amp;"1]")),0)</f>
        <v>1000</v>
      </c>
      <c r="AK13" s="192" cm="1">
        <f t="array" aca="1" ref="AK13" ca="1">IFERROR(INDEX(INDIRECT("TabReg["&amp;TabCalc[[#This Row],[Ticker]]&amp;"2]"), _xlfn.XMATCH(MAX(_xlfn._xlws.FILTER(INDIRECT("TabReg["&amp;TabCalc[[#This Row],[Ticker]]&amp;"]"), INDIRECT("TabReg["&amp;TabCalc[[#This Row],[Ticker]]&amp;"2]")&gt;0)), INDIRECT("TabReg["&amp;TabCalc[[#This Row],[Ticker]]&amp;"]"), 0)), 0)</f>
        <v>69.34</v>
      </c>
      <c r="AL13" s="214">
        <f ca="1">IFERROR(TabCalc[[#This Row],[L_S1n]]*(TabCalc[[#This Row],[L_S1p]]-TabCalc[[#This Row],[M]])*TabCalc[[#This Row],[Scale]],0)</f>
        <v>-2310.0000000000023</v>
      </c>
      <c r="AM13" s="210" cm="1">
        <f t="array" aca="1" ref="AM1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13" s="181" cm="1">
        <f t="array" aca="1" ref="AN13" ca="1">IFERROR(_xlfn.XLOOKUP(TabCalc[[#This Row],[L_S1D]],INDIRECT("TabReg["&amp;TabCalc[[#This Row],[Ticker]]&amp;"]"),INDIRECT("TabReg["&amp;TabCalc[[#This Row],[Ticker]]&amp;"1]")),0)</f>
        <v>1000</v>
      </c>
      <c r="AO13" s="384" cm="1">
        <f t="array" aca="1" ref="AO13" ca="1">IFERROR(_xlfn.XLOOKUP(TabCalc[[#This Row],[L_S1D]],INDIRECT("TabReg["&amp;TabCalc[[#This Row],[Ticker]]&amp;"]"),INDIRECT("TabReg["&amp;TabCalc[[#This Row],[Ticker]]&amp;"2]")),0)</f>
        <v>68.319999999999993</v>
      </c>
      <c r="AP13" s="336">
        <f ca="1">_xlfn.LET(_xlpm.MVOpen,[1]!RTData[[#This Row],[Open]]*TabCalc[[#This Row],[NAfter]],_xlpm.MVNow,TabCalc[[#This Row],[M]]*TabCalc[[#This Row],[NAfter]],_xlpm.MVNow-_xlpm.MVOpen)*TabCalc[[#This Row],[Scale]]</f>
        <v>-5</v>
      </c>
      <c r="AQ13" s="336">
        <f ca="1">_xlfn.LET(_xlpm.MVToday,DataShift!AV513,         _xlpm.MVY,DataShift!AU514,        _xlpm.MVYY, DataShift!AT514,                                IF(_xlpm.MVToday=_xlpm.MVY,_xlpm.MVY-_xlpm.MVYY,_xlpm.MVToday-_xlpm.MVY))</f>
        <v>625</v>
      </c>
      <c r="AR13" s="336">
        <f ca="1">_xlfn.LET(_xlpm.MVToday,DataShift!AV513,         _xlpm.MVY,DataShift!AU514,        _xlpm.MVYY, DataShift!AT514,         _xlpm.MVYYY, DataShift!AS514,                      IF(_xlpm.MVToday=_xlpm.MVY,      _xlpm.MVYY-_xlpm.MVYYY,          _xlpm.MVY-_xlpm.MVYY))</f>
        <v>-250</v>
      </c>
      <c r="AS13" s="1078">
        <f ca="1">TabCalc[[#This Row],[Y]]/TabCalc[[#This Row],[M]]</f>
        <v>1.0801493699561093</v>
      </c>
      <c r="AT13" s="299" t="str" cm="1">
        <f t="array" aca="1" ref="AT13" ca="1">IFERROR(_xlfn.IFS(          TabCalc[[#This Row],[E]]&gt;0, "Free Trade",      TabCalc[[#This Row],[A]]&lt;MIN(TabCalc[[#This Row],[L_Sp]],TabCalc[[#This Row],[M]]), "Buy",            TabCalc[[#This Row],[M]]&lt;TabCalc[[#This Row],[L_Sp]],       "Refill",       TabCalc[[#This Row],[M]]&gt;TabCalc[[#This Row],[L_Sp]],"S_more"),"")</f>
        <v>Buy</v>
      </c>
      <c r="AU13" s="299" t="str">
        <f ca="1">IF(           AND(TabCalc[[#This Row],[E]]&lt;=0,          TabCalc[[#This Row],[A]]&gt;MIN(TabCalc[[#This Row],[M]],TabCalc[[#This Row],[L_Sp]]),             TabCalc[[#This Row],[L_Sp]]&lt;=TabCalc[[#This Row],[M]]),                       "S_more","")</f>
        <v/>
      </c>
      <c r="AV13" s="82" t="str" cm="1">
        <f t="array" aca="1" ref="AV13" ca="1">IFERROR(_xlfn.IFS(TabCalc[[#This Row],[E]]&gt;0,"Free trade",                 TabCalc[[#This Row],[A]]&lt;MAX(ABS(TabCalc[[#This Row],[L_Bp]]),TabCalc[[#This Row],[A]]),"Sell",             TabCalc[[#This Row],[M]]&gt;ABS(TabCalc[[#This Row],[L_Bp]]),"Resell",             TabCalc[[#This Row],[M]]&lt;ABS(TabCalc[[#This Row],[L_Bp]]),"B_more"),"")</f>
        <v>Sell</v>
      </c>
      <c r="AW13" s="82">
        <f ca="1">TabCalc[[#This Row],[NAfter]]-TabCalc[[#This Row],[Nbegin]]</f>
        <v>-4000</v>
      </c>
      <c r="AX13" s="307">
        <f ca="1">IFERROR((TabCalc[[#This Row],[M]]-TabCalc[[#This Row],[Y]])*(TabCalc[[#This Row],[M]]-TabCalc[[#This Row],[Y]])*(TabCalc[[#This Row],[M]]-TabCalc[[#This Row],[Y]])/(TabCalc[[#This Row],[Y]]*TabCalc[[#This Row],[M]]),"")</f>
        <v>-3.3667101469115925E-2</v>
      </c>
      <c r="AY13" s="82">
        <f t="shared" ca="1" si="1"/>
        <v>4000</v>
      </c>
      <c r="AZ13" s="90">
        <f ca="1">[1]!RTData[[#This Row],[V/VA]]</f>
        <v>0.69410491809962072</v>
      </c>
      <c r="BA13" s="90" t="str" cm="1">
        <f t="array" aca="1" ref="BA13" ca="1">IFERROR(_xlfn.IFS(TabCalc[[#This Row],[Cur]]="USD",Timer!F$27,TabCalc[[#This Row],[Cur]]="EUR",Timer!F$18,TabCalc[[#This Row],[Cur]]="GBP",Timer!F$12,TabCalc[[#This Row],[Cur]]="CAD",Timer!F$27,TabCalc[[#This Row],[Cur]]="JPY",Timer!F$31,TabCalc[[#This Row],[Cur]]="CHF",Timer!F$18),"Timing")</f>
        <v>None-Working Day</v>
      </c>
      <c r="BB13" s="90">
        <f ca="1">IF(ISNUMBER(TabCalc[[#This Row],[TimeEX]]),TabCalc[[#This Row],[V/VA]]/TabCalc[[#This Row],[TimeEX]],TabCalc[[#This Row],[V/VA]])</f>
        <v>0.69410491809962072</v>
      </c>
      <c r="BC13" s="87" cm="1">
        <f t="array" aca="1" ref="BC13" ca="1">INDEX(TabReg[], 1, _xlfn.XMATCH(TabCalc[[#This Row],[Ticker]]&amp;1, TabReg[#Headers], 0))</f>
        <v>5000</v>
      </c>
      <c r="BD13" s="161">
        <f ca="1">TabCalc[[#This Row],[Nbegin]]*TabCalc[[#This Row],[M]]*TabCalc[[#This Row],[Scale]]+TabCalc[[#This Row],[ValueBegin]]</f>
        <v>154299.99999999997</v>
      </c>
      <c r="BE13" s="336" t="str" cm="1">
        <f t="array" aca="1" ref="BE13" ca="1">_xlfn.IFS(TabCalc[[#This Row],[Cost+Gain]]&gt;0,"Free",             TabCalc[[#This Row],[GL]]&gt;0,"Gainer",                TRUE,"Looser")</f>
        <v>Free</v>
      </c>
      <c r="BF13" s="161">
        <f ca="1">TabCalc[[#This Row],[Tot_Paid]]-TabCalc[[#This Row],[ValueBegin]]</f>
        <v>-748474.50640999991</v>
      </c>
      <c r="BG13" s="337">
        <f ca="1">IF(TabCalc[[#This Row],[EfCost]]&gt;TabCalc[[#This Row],[ValueBegin]],       0,        TabCalc[[#This Row],[EfCost]]-TabCalc[[#This Row],[ValueBegin]]*(1+Commission))</f>
        <v>0</v>
      </c>
      <c r="BH13" s="338">
        <f ca="1">TabCalc[[#This Row],[M_V]]+TabCalc[[#This Row],[ValueBegin]]</f>
        <v>-128220.00000000003</v>
      </c>
      <c r="BI13" s="161" cm="1">
        <f t="array" aca="1" ref="BI13" ca="1">SUMPRODUCT(_xlfn._xlws.FILTER(INDIRECT("TabReg["&amp;TabCalc[[#This Row],[Ticker]]&amp;"1]") * INDIRECT("TabReg["&amp;TabCalc[[#This Row],[Ticker]]&amp;"2]"), INDIRECT("TabReg["&amp;TabCalc[[#This Row],[Ticker]]&amp;"2]")&lt;0))*(1+Commission)*TabCalc[[#This Row],[Scale]]</f>
        <v>-947324.50640999991</v>
      </c>
      <c r="BJ13" s="161" cm="1">
        <f t="array" aca="1" ref="BJ13" ca="1">SUMPRODUCT(IF(INDIRECT("TabReg["&amp;TabCalc[[#This Row],[Ticker]]&amp;"2]") ="", 0, INDIRECT("TabReg["&amp;TabCalc[[#This Row],[Ticker]]&amp;"1]") * INDIRECT("TabReg["&amp;TabCalc[[#This Row],[Ticker]]&amp;"2]") ))*TabCalc[[#This Row],[Scale]]</f>
        <v>60638.849999999962</v>
      </c>
      <c r="BK13" s="161" cm="1">
        <f t="array" aca="1" ref="BK1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1002892.3825799999</v>
      </c>
      <c r="BL13" s="161">
        <f ca="1">TabCalc[[#This Row],[M_V]]+TabCalc[[#This Row],[EfCost]]</f>
        <v>131268.84999999998</v>
      </c>
      <c r="BM13" s="161">
        <f ca="1">IF(        OR( TabCalc[[#This Row],[GL]]&gt;ABS(TabCalc[[#This Row],[EfCost]]),TabCalc[[#This Row],[NAfter]]=0),             TabCalc[[#This Row],[GL]],     0)</f>
        <v>131268.84999999998</v>
      </c>
      <c r="BN13" s="161" cm="1">
        <f t="array" aca="1" ref="BN13" ca="1">SUMPRODUCT(_xlfn._xlws.FILTER(IF(INDIRECT("TabReg["&amp;TabCalc[[#This Row],[Ticker]]&amp;"2]") ="", 0, INDIRECT("TabReg["&amp;TabCalc[[#This Row],[Ticker]]&amp;"1]")  ),  INDIRECT("TabReg["&amp;TabCalc[[#This Row],[Ticker]]&amp;"2]") &lt; 0))</f>
        <v>18990</v>
      </c>
      <c r="BO13" s="161">
        <f ca="1">TabCalc[[#This Row],[SB]]-TabCalc[[#This Row],[Nbegin]]</f>
        <v>13990</v>
      </c>
      <c r="BP13" s="161" cm="1">
        <f t="array" aca="1" ref="BP13" ca="1">IFERROR(SUMPRODUCT(_xlfn._xlws.FILTER(IF(INDIRECT("TabReg["&amp;TabCalc[[#This Row],[Ticker]]&amp;"2]") ="", 0, INDIRECT("TabReg["&amp;TabCalc[[#This Row],[Ticker]]&amp;"1]")  ),  INDIRECT("TabReg["&amp;TabCalc[[#This Row],[Ticker]]&amp;"2]") &gt; 0)),0)</f>
        <v>17990</v>
      </c>
      <c r="BQ1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3" s="176" t="str">
        <f ca="1">IF(TabCalc[[#This Row],[EfCost]]+TabCalc[[#This Row],[M_V]]&lt;TabCalc[[#This Row],[NoT_GL]],"Pile","")</f>
        <v>Pile</v>
      </c>
      <c r="BS13" s="167">
        <f ca="1">[1]!RTData[[#This Row],[Last trade time]]</f>
        <v>45954.999660010937</v>
      </c>
      <c r="BT13" s="177">
        <f ca="1">(TabCalc[[#This Row],[ValueBegin]]+(TabCalc[[#This Row],[M]]-TabCalc[[#This Row],[A]])*TabCalc[[#This Row],[NAfter]])*TabCalc[[#This Row],[Scale]]</f>
        <v>-190970.00000000003</v>
      </c>
      <c r="BU13" s="189" cm="1">
        <f t="array" aca="1" ref="BU13" ca="1">_xlfn.XLOOKUP(TabCalc[[#This Row],[Ticker]],TabReg[[#Headers],[AAPL]:[UnknownX28]],Reg!B$72:KF$72)+3</f>
        <v>23</v>
      </c>
      <c r="BV13" s="190" cm="1">
        <f t="array" aca="1" ref="BV13" ca="1">_xlfn.XLOOKUP(TabCalc[[#This Row],[Ticker]],TabReg[[#Headers],[AAPL]:[UnknownX28]],Reg!B$73:KF$73)+2</f>
        <v>36</v>
      </c>
      <c r="BW13" s="191">
        <f ca="1">IFERROR(MAX(TabCalc[[#This Row],[Max_SD]],TabCalc[[#This Row],[Max_PD]]),0)</f>
        <v>45945</v>
      </c>
      <c r="BX13" s="191" t="str" cm="1">
        <f t="array" aca="1" ref="BX13" ca="1">_xlfn.IFS(TabCalc[[#This Row],[L_TP]]&lt;0,"Purchase",TabCalc[[#This Row],[L_TP]]&gt;0,"Sale")</f>
        <v>Sale</v>
      </c>
      <c r="BY13" s="190" cm="1">
        <f t="array" aca="1" ref="BY13" ca="1">INDEX(Reg!$A$1:$KF$73,TabCalc[[#This Row],[L_I1]],TabCalc[[#This Row],[L_I2]])</f>
        <v>1000</v>
      </c>
      <c r="BZ13" s="192" cm="1">
        <f t="array" aca="1" ref="BZ13" ca="1">INDEX(Reg!$A$1:$KF$73,TabCalc[[#This Row],[L_I1]],TabCalc[[#This Row],[L_I2]]+1)</f>
        <v>69.34</v>
      </c>
      <c r="CA13" s="161">
        <f ca="1">TabCalc[[#This Row],[NAfter]]*(TabCalc[[#This Row],[M]]-IF(TabCalc[[#This Row],[E]]&gt;0,0,TabCalc[[#This Row],[A]]))</f>
        <v>7879.9999999999955</v>
      </c>
      <c r="CB13" s="167" cm="1">
        <f t="array" aca="1" ref="CB13" ca="1">IFERROR(MIN(_xlfn._xlws.FILTER(INDIRECT("TabReg["&amp;TabCalc[[#This Row],[Ticker]]&amp;"]"), INDIRECT("TabReg["&amp;TabCalc[[#This Row],[Ticker]]&amp;"2]")&gt;0)),0)</f>
        <v>45502</v>
      </c>
      <c r="CC13" s="178" cm="1">
        <f t="array" aca="1" ref="CC13" ca="1">IFERROR(MIN(_xlfn._xlws.FILTER(INDIRECT("TabReg["&amp;TabCalc[[#This Row],[Ticker]]&amp;"1]"), INDIRECT("TabReg["&amp;TabCalc[[#This Row],[Ticker]]&amp;"2]")&gt;0)),0)</f>
        <v>990</v>
      </c>
      <c r="CD13" s="173" cm="1">
        <f t="array" aca="1" ref="CD13" ca="1">IFERROR(MIN(_xlfn._xlws.FILTER(INDIRECT("TabReg["&amp;TabCalc[[#This Row],[Ticker]]&amp;"2]"), INDIRECT("TabReg["&amp;TabCalc[[#This Row],[Ticker]]&amp;"2]")&gt;0)),0)</f>
        <v>45.47</v>
      </c>
      <c r="CE13" s="167" cm="1">
        <f t="array" aca="1" ref="CE13" ca="1">IFERROR(MAX(_xlfn._xlws.FILTER(INDIRECT("TabReg["&amp;TabCalc[[#This Row],[Ticker]]&amp;"]"), INDIRECT("TabReg["&amp;TabCalc[[#This Row],[Ticker]]&amp;"2]")&gt;0)),0)</f>
        <v>45945</v>
      </c>
      <c r="CF13" s="178" cm="1">
        <f t="array" aca="1" ref="CF13" ca="1">IFERROR(MAX(_xlfn._xlws.FILTER(INDIRECT("TabReg["&amp;TabCalc[[#This Row],[Ticker]]&amp;"1]"), INDIRECT("TabReg["&amp;TabCalc[[#This Row],[Ticker]]&amp;"2]")&gt;0)),0)</f>
        <v>3000</v>
      </c>
      <c r="CG13" s="173" cm="1">
        <f t="array" aca="1" ref="CG13" ca="1">IFERROR(MAX(_xlfn._xlws.FILTER(INDIRECT("TabReg["&amp;TabCalc[[#This Row],[Ticker]]&amp;"2]"), INDIRECT("TabReg["&amp;TabCalc[[#This Row],[Ticker]]&amp;"2]")&gt;0)),0)</f>
        <v>69.34</v>
      </c>
      <c r="CH13" s="167" cm="1">
        <f t="array" aca="1" ref="CH13" ca="1">MIN(_xlfn._xlws.FILTER(INDIRECT("TabReg["&amp;TabCalc[[#This Row],[Ticker]]&amp;"]"), INDIRECT("TabReg["&amp;TabCalc[[#This Row],[Ticker]]&amp;"2]")&lt;0))</f>
        <v>40544</v>
      </c>
      <c r="CI13" s="177" cm="1">
        <f t="array" aca="1" ref="CI13" ca="1">MIN(_xlfn._xlws.FILTER(INDIRECT("TabReg["&amp;TabCalc[[#This Row],[Ticker]]&amp;"1]"), INDIRECT("TabReg["&amp;TabCalc[[#This Row],[Ticker]]&amp;"2]")&lt;0))</f>
        <v>1000</v>
      </c>
      <c r="CJ13" s="173" cm="1">
        <f t="array" aca="1" ref="CJ13" ca="1">MIN(_xlfn._xlws.FILTER(INDIRECT("TabReg["&amp;TabCalc[[#This Row],[Ticker]]&amp;"2]"), INDIRECT("TabReg["&amp;TabCalc[[#This Row],[Ticker]]&amp;"2]")&lt;0))</f>
        <v>-67.2</v>
      </c>
      <c r="CK13" s="167" cm="1">
        <f t="array" aca="1" ref="CK13" ca="1">MAX(_xlfn._xlws.FILTER(INDIRECT("TabReg["&amp;TabCalc[[#This Row],[Ticker]]&amp;"]"), INDIRECT("TabReg["&amp;TabCalc[[#This Row],[Ticker]]&amp;"2]")&lt;0))</f>
        <v>45926</v>
      </c>
      <c r="CL13" s="177" cm="1">
        <f t="array" aca="1" ref="CL13" ca="1">MAX(_xlfn._xlws.FILTER(INDIRECT("TabReg["&amp;TabCalc[[#This Row],[Ticker]]&amp;"1]"), INDIRECT("TabReg["&amp;TabCalc[[#This Row],[Ticker]]&amp;"2]")&lt;0))</f>
        <v>5000</v>
      </c>
      <c r="CM13" s="173" cm="1">
        <f t="array" aca="1" ref="CM13" ca="1">MAX(_xlfn._xlws.FILTER(INDIRECT("TabReg["&amp;TabCalc[[#This Row],[Ticker]]&amp;"2]"), INDIRECT("TabReg["&amp;TabCalc[[#This Row],[Ticker]]&amp;"2]")&lt;0))</f>
        <v>-39.770000000000003</v>
      </c>
      <c r="CN13" s="167" cm="1">
        <f t="array" aca="1" ref="CN13" ca="1">IFERROR(_xlfn.XLOOKUP(TabCalc[[#This Row],[BS2P]],INDIRECT("TabReg["&amp;TabCalc[[#This Row],[Ticker]]&amp;"2]"),INDIRECT("TabReg["&amp;TabCalc[[#This Row],[Ticker]]&amp;"]")),0)</f>
        <v>45833</v>
      </c>
      <c r="CO13" s="178" cm="1">
        <f t="array" aca="1" ref="CO13" ca="1">IFERROR(_xlfn.XLOOKUP(TabCalc[[#This Row],[BS2P]],INDIRECT("TabReg["&amp;TabCalc[[#This Row],[Ticker]]&amp;"2]"),INDIRECT("TabReg["&amp;TabCalc[[#This Row],[Ticker]]&amp;"1]")),0)</f>
        <v>1000</v>
      </c>
      <c r="CP13" s="173">
        <f ca="1">_xlfn.MAXIFS(INDIRECT("TabReg["&amp;TabCalc[[#This Row],[Ticker]]&amp;"2]"), INDIRECT("TabReg["&amp;TabCalc[[#This Row],[Ticker]]&amp;"2]"), "&lt;" &amp; MAX(INDIRECT("TabReg["&amp;TabCalc[[#This Row],[Ticker]]&amp;"2]")))</f>
        <v>68.319999999999993</v>
      </c>
      <c r="CQ13" s="167" cm="1">
        <f t="array" aca="1" ref="CQ13" ca="1">IFERROR(_xlfn.XLOOKUP(TabCalc[[#This Row],[WB2P]],INDIRECT("TabReg["&amp;TabCalc[[#This Row],[Ticker]]&amp;"2]"),INDIRECT("TabReg["&amp;TabCalc[[#This Row],[Ticker]]&amp;"]")),0)</f>
        <v>45684</v>
      </c>
      <c r="CR13" s="178" cm="1">
        <f t="array" aca="1" ref="CR13" ca="1">IFERROR(_xlfn.XLOOKUP(TabCalc[[#This Row],[WB2P]],INDIRECT("TabReg["&amp;TabCalc[[#This Row],[Ticker]]&amp;"2]"),INDIRECT("TabReg["&amp;TabCalc[[#This Row],[Ticker]]&amp;"1]")),0)</f>
        <v>2000</v>
      </c>
      <c r="CS13" s="173">
        <f ca="1">_xlfn.MINIFS(INDIRECT("TabReg["&amp;TabCalc[[#This Row],[Ticker]]&amp;"2]"), INDIRECT("TabReg["&amp;TabCalc[[#This Row],[Ticker]]&amp;"2]"), "&gt;" &amp; MIN(INDIRECT("TabReg["&amp;TabCalc[[#This Row],[Ticker]]&amp;"2]")))</f>
        <v>-59.125</v>
      </c>
      <c r="CT13" s="405">
        <f ca="1">IF(TabCalc[[#This Row],[M]]&lt;TabCalc[[#This Row],[L_Sp]],DesiredBuyGain/(TabCalc[[#This Row],[L_Sp]]-TabCalc[[#This Row],[M]]),0)</f>
        <v>0</v>
      </c>
      <c r="CU13" s="406">
        <f ca="1">IF(TabCalc[[#This Row],[ntoBuy]]*TabCalc[[#This Row],[M]]&lt;=0,0,TabCalc[[#This Row],[ntoBuy]]*TabCalc[[#This Row],[M]])</f>
        <v>0</v>
      </c>
      <c r="CV13" s="406">
        <f ca="1">IF(TabCalc[[#This Row],[M]]&gt;ABS(TabCalc[[#This Row],[L_Bp]]),MIN(TabCalc[[#This Row],[NAfter]],DesiredSaleGain/(TabCalc[[#This Row],[M]]+TabCalc[[#This Row],[L_Bp]])),0)/TabCalc[[#This Row],[Scale]]</f>
        <v>1000</v>
      </c>
      <c r="CW13" s="407">
        <f ca="1">TabCalc[[#This Row],[ntoSell]]*TabCalc[[#This Row],[M]]</f>
        <v>70630</v>
      </c>
      <c r="CX13" s="400">
        <f ca="1">_xlfn.LET(_xlpm.nToSell,IF(TabCalc[[#This Row],[M]]-TabCalc[[#This Row],[A]]&lt;=0,"",INT(DesiredSaleGain/(TabCalc[[#This Row],[M]]-IF(TabCalc[[#This Row],[E]]&gt;0,0,TabCalc[[#This Row],[A]])))),IF(_xlpm.nToSell&lt;=TabCalc[[#This Row],[NAfter]],_xlpm.nToSell,0))</f>
        <v>634</v>
      </c>
      <c r="CY13" s="338">
        <f ca="1">IFERROR(TabCalc[[#This Row],[NMA]]*TabCalc[[#This Row],[M]],"")</f>
        <v>44779.42</v>
      </c>
      <c r="CZ13" s="337" cm="1">
        <f t="array" aca="1" ref="CZ13" ca="1">_xlfn.IFS(TabCalc[[#This Row],[M]]&gt;= TabCalc[[#This Row],[L_Sp]],(TabCalc[[#This Row],[M]]-TabCalc[[#This Row],[A]])*TabCalc[[#This Row],[NAfter]]*TabCalc[[#This Row],[Scale]],           TabCalc[[#This Row],[M]]&lt; TabCalc[[#This Row],[L_Sp]],(TabCalc[[#This Row],[M]]-TabCalc[[#This Row],[A]])*TabCalc[[#This Row],[NAfter]]*TabCalc[[#This Row],[Scale]],               TRUE,"")</f>
        <v>7879.9999999999955</v>
      </c>
      <c r="DA13" s="90">
        <f ca="1">IFERROR((TabCalc[[#This Row],[M]]+TabCalc[[#This Row],[L_Bp]])/ABS(TabCalc[[#This Row],[L_Bp]])/(TODAY()-TabCalc[[#This Row],[L_Bdate]])*360,"")</f>
        <v>0.6124999999999986</v>
      </c>
      <c r="DB13" s="312">
        <f ca="1">MEDIAN(DataShift!F713:Z713)</f>
        <v>0</v>
      </c>
      <c r="DC13" s="312" t="str" cm="1">
        <f t="array" aca="1" ref="DC1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13" s="88" t="s">
        <v>10</v>
      </c>
      <c r="DN13" s="81">
        <v>2000</v>
      </c>
      <c r="DO13" s="317">
        <v>-108.31</v>
      </c>
    </row>
    <row r="14" spans="1:119">
      <c r="A14" s="120" t="str">
        <f ca="1">_xlfn.XLOOKUP(TabCalc[[#This Row],[Ticker]],[1]!RTData[Ticker symbol],[1]!RTData[Currency])</f>
        <v>USD</v>
      </c>
      <c r="B14" s="121">
        <f ca="1">IF(TabCalc[[#This Row],[Cur]]="GBP",0.01,1)</f>
        <v>1</v>
      </c>
      <c r="C14" s="82">
        <f ca="1">_xlfn.XLOOKUP(TabCalc[[#This Row],[Ticker]],DM$3:DM$96,DN$3:DN$96)</f>
        <v>2000</v>
      </c>
      <c r="D14" s="1254">
        <f ca="1">_xlfn.XLOOKUP(TabCalc[[#This Row],[Ticker]],DM$3:DM$96,DO$3:DO$96)</f>
        <v>-108.31</v>
      </c>
      <c r="E14" s="121">
        <f t="shared" ca="1" si="0"/>
        <v>-216620</v>
      </c>
      <c r="F14" s="82">
        <f ca="1">TabCalc[[#This Row],[NAfter]]*TabCalc[[#This Row],[M]]*TabCalc[[#This Row],[Scale]]</f>
        <v>81.93</v>
      </c>
      <c r="G14" s="82">
        <f ca="1">IFERROR(TabCalc[[#This Row],[SB]]-TabCalc[[#This Row],[SST]],TabCalc[[#This Row],[SB]])</f>
        <v>1</v>
      </c>
      <c r="H14" s="535" t="str">
        <f ca="1">[1]!RTData[[#This Row],[Ticker symbol]]</f>
        <v>CVS</v>
      </c>
      <c r="I14" s="385">
        <f ca="1">[1]!RTData[[#This Row],[M-Price]]</f>
        <v>81.93</v>
      </c>
      <c r="J14" s="384">
        <v>67.2</v>
      </c>
      <c r="K14" s="383">
        <f>[1]!RTData[[#This Row],[1YT]]</f>
        <v>83.791669999999996</v>
      </c>
      <c r="L14" s="384">
        <f ca="1">IF(OR(TabCalc[[#This Row],[NAfter]]=0,TabCalc[[#This Row],[EfCost]]&gt;0),0,TabCalc[[#This Row],[EfCost]]/TabCalc[[#This Row],[NAfter]]/TabCalc[[#This Row],[Scale]])</f>
        <v>-44524.565000000002</v>
      </c>
      <c r="M14" s="744">
        <f ca="1">[1]!RTData[[#This Row],[Change%]]</f>
        <v>1.0607999999999999E-2</v>
      </c>
      <c r="N14" s="1172">
        <v>0.4</v>
      </c>
      <c r="O14" s="966">
        <f>TabCalc[[#This Row],[Up20]]-1+TabCalc[[#This Row],[Up20]]</f>
        <v>-0.19999999999999996</v>
      </c>
      <c r="P14" s="966">
        <f>TabCalc[[#This Row],[Up20]]-TabCalc[[#This Row],[Up150]]</f>
        <v>-0.16999999999999993</v>
      </c>
      <c r="Q14" s="966">
        <v>0.56999999999999995</v>
      </c>
      <c r="R14" s="966">
        <f>TabCalc[[#This Row],[Up150]]-1+TabCalc[[#This Row],[Up150]]</f>
        <v>0.1399999999999999</v>
      </c>
      <c r="S14" s="966">
        <f ca="1">IFERROR(SUMPRODUCT(DataShift!F1506:Z1506,DataShift!AB713:AV713)/SQRT(SUMPRODUCT(DataShift!F1506:Z1506,DataShift!F1506:Z1506)*SUMPRODUCT(DataShift!AB713:AV713,DataShift!AB713:AV713)),0)</f>
        <v>-0.4164731099916899</v>
      </c>
      <c r="T14" s="966">
        <f ca="1">IFERROR(SUMPRODUCT(DataShift!F1506:Z1506,DataShift!F714:Z714)/SQRT(SUMPRODUCT(DataShift!F1506:Z1506,DataShift!F1506:Z1506)*SUMPRODUCT(DataShift!F714:Z714,DataShift!F714:Z714)),0)</f>
        <v>0.4186544793487092</v>
      </c>
      <c r="U14" s="1107">
        <v>1000</v>
      </c>
      <c r="V14" s="1107">
        <v>0</v>
      </c>
      <c r="W14" s="1107">
        <v>0</v>
      </c>
      <c r="X14" s="966" t="str">
        <f ca="1">IF(TabCalc[[#This Row],[EfCost]]+TabCalc[[#This Row],[M_V]]&lt;TabCalc[[#This Row],[NoT_GL]],"Pile","")</f>
        <v/>
      </c>
      <c r="Y1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4" s="213">
        <f ca="1">MIN(TabCalc[[#This Row],[L_Bn]],TabCalc[[#This Row],[NAfter]])*(TabCalc[[#This Row],[M]]+TabCalc[[#This Row],[L_Bp]])*TabCalc[[#This Row],[Scale]]</f>
        <v>25.873810000000006</v>
      </c>
      <c r="AA14" s="210" cm="1">
        <f t="array" aca="1" ref="AA14" ca="1">_xlfn.XLOOKUP(TabCalc[[#This Row],[L_Bp]],INDIRECT("TabReg["&amp;TabCalc[[#This Row],[Ticker]]&amp;"2]"),INDIRECT("TabReg["&amp;TabCalc[[#This Row],[Ticker]]&amp;"]"))</f>
        <v>45684</v>
      </c>
      <c r="AB14" s="181" cm="1">
        <f t="array" aca="1" ref="AB14" ca="1">_xlfn.XLOOKUP(TabCalc[[#This Row],[L_Bp]],INDIRECT("TabReg["&amp;TabCalc[[#This Row],[Ticker]]&amp;"2]"),INDIRECT("TabReg["&amp;TabCalc[[#This Row],[Ticker]]&amp;"1]"))</f>
        <v>2000</v>
      </c>
      <c r="AC14" s="192" cm="1">
        <f t="array" aca="1" ref="AC14" ca="1">IFERROR(INDEX(INDIRECT("TabReg["&amp;TabCalc[[#This Row],[Ticker]]&amp;"2]"),    _xlfn.XMATCH(    MAX(    _xlfn._xlws.FILTER(INDIRECT("TabReg["&amp;TabCalc[[#This Row],[Ticker]]&amp;"]"), INDIRECT("TabReg["&amp;TabCalc[[#This Row],[Ticker]]&amp;"2]")&lt;0)     ), INDIRECT("TabReg["&amp;TabCalc[[#This Row],[Ticker]]&amp;"]"),      0)), "")</f>
        <v>-56.056190000000001</v>
      </c>
      <c r="AD14" s="213">
        <f ca="1">IFERROR(MIN(TabCalc[[#This Row],[L_B1n]],TabCalc[[#This Row],[NAfter]])*(TabCalc[[#This Row],[M]]+TabCalc[[#This Row],[L_B1p]])*TabCalc[[#This Row],[Scale]],"")</f>
        <v>35.690000000000005</v>
      </c>
      <c r="AE14" s="210" cm="1">
        <f t="array" aca="1" ref="AE1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14" s="181" cm="1">
        <f t="array" aca="1" ref="AF14" ca="1">IFERROR(_xlfn.XLOOKUP(TabCalc[[#This Row],[L_B1D]],INDIRECT("TabReg["&amp;TabCalc[[#This Row],[Ticker]]&amp;"]"),INDIRECT("TabReg["&amp;TabCalc[[#This Row],[Ticker]]&amp;"1]")),0)</f>
        <v>2300</v>
      </c>
      <c r="AG14" s="192" cm="1">
        <f t="array" aca="1" ref="AG14" ca="1">IFERROR(_xlfn.XLOOKUP(TabCalc[[#This Row],[L_B1D]],INDIRECT("TabReg["&amp;TabCalc[[#This Row],[Ticker]]&amp;"]"),INDIRECT("TabReg["&amp;TabCalc[[#This Row],[Ticker]]&amp;"2]")),0)</f>
        <v>-46.24</v>
      </c>
      <c r="AH14" s="302">
        <f ca="1">IFERROR(TabCalc[[#This Row],[L_Sn]]*(TabCalc[[#This Row],[L_Sp]]-TabCalc[[#This Row],[M]])*TabCalc[[#This Row],[Scale]],"")</f>
        <v>-1804.005000000001</v>
      </c>
      <c r="AI14" s="210" cm="1">
        <f t="array" aca="1" ref="AI14" ca="1">IFERROR(_xlfn.XLOOKUP(TabCalc[[#This Row],[L_Sp]],INDIRECT("TabReg["&amp;TabCalc[[#This Row],[Ticker]]&amp;"2]"),INDIRECT("TabReg["&amp;TabCalc[[#This Row],[Ticker]]&amp;"]")),0)</f>
        <v>45925</v>
      </c>
      <c r="AJ14" s="181" cm="1">
        <f t="array" aca="1" ref="AJ14" ca="1">IFERROR(_xlfn.XLOOKUP(TabCalc[[#This Row],[L_Sp]],INDIRECT("TabReg["&amp;TabCalc[[#This Row],[Ticker]]&amp;"2]"),INDIRECT("TabReg["&amp;TabCalc[[#This Row],[Ticker]]&amp;"1]")),0)</f>
        <v>249</v>
      </c>
      <c r="AK14" s="192" cm="1">
        <f t="array" aca="1" ref="AK14" ca="1">IFERROR(INDEX(INDIRECT("TabReg["&amp;TabCalc[[#This Row],[Ticker]]&amp;"2]"), _xlfn.XMATCH(MAX(_xlfn._xlws.FILTER(INDIRECT("TabReg["&amp;TabCalc[[#This Row],[Ticker]]&amp;"]"), INDIRECT("TabReg["&amp;TabCalc[[#This Row],[Ticker]]&amp;"2]")&gt;0)), INDIRECT("TabReg["&amp;TabCalc[[#This Row],[Ticker]]&amp;"]"), 0)), 0)</f>
        <v>74.685000000000002</v>
      </c>
      <c r="AL14" s="214">
        <f ca="1">IFERROR(TabCalc[[#This Row],[L_S1n]]*(TabCalc[[#This Row],[L_S1p]]-TabCalc[[#This Row],[M]])*TabCalc[[#This Row],[Scale]],0)</f>
        <v>-14396.250000000005</v>
      </c>
      <c r="AM14" s="210" cm="1">
        <f t="array" aca="1" ref="AM1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14" s="181" cm="1">
        <f t="array" aca="1" ref="AN14" ca="1">IFERROR(_xlfn.XLOOKUP(TabCalc[[#This Row],[L_S1D]],INDIRECT("TabReg["&amp;TabCalc[[#This Row],[Ticker]]&amp;"]"),INDIRECT("TabReg["&amp;TabCalc[[#This Row],[Ticker]]&amp;"1]")),0)</f>
        <v>750</v>
      </c>
      <c r="AO14" s="384" cm="1">
        <f t="array" aca="1" ref="AO14" ca="1">IFERROR(_xlfn.XLOOKUP(TabCalc[[#This Row],[L_S1D]],INDIRECT("TabReg["&amp;TabCalc[[#This Row],[Ticker]]&amp;"]"),INDIRECT("TabReg["&amp;TabCalc[[#This Row],[Ticker]]&amp;"2]")),0)</f>
        <v>62.734999999999999</v>
      </c>
      <c r="AP14" s="336">
        <f ca="1">_xlfn.LET(_xlpm.MVOpen,[1]!RTData[[#This Row],[Open]]*TabCalc[[#This Row],[NAfter]],_xlpm.MVNow,TabCalc[[#This Row],[M]]*TabCalc[[#This Row],[NAfter]],_xlpm.MVNow-_xlpm.MVOpen)*TabCalc[[#This Row],[Scale]]</f>
        <v>0.4100000000000108</v>
      </c>
      <c r="AQ14" s="336">
        <f ca="1">_xlfn.LET(_xlpm.MVToday,DataShift!AV514,         _xlpm.MVY,DataShift!AU515,        _xlpm.MVYY, DataShift!AT515,                                IF(_xlpm.MVToday=_xlpm.MVY,_xlpm.MVY-_xlpm.MVYY,_xlpm.MVToday-_xlpm.MVY))</f>
        <v>-7.5000000000045475E-2</v>
      </c>
      <c r="AR14" s="336">
        <f ca="1">_xlfn.LET(_xlpm.MVToday,DataShift!AV514,         _xlpm.MVY,DataShift!AU515,        _xlpm.MVYY, DataShift!AT515,         _xlpm.MVYYY, DataShift!AS515,                      IF(_xlpm.MVToday=_xlpm.MVY,      _xlpm.MVYY-_xlpm.MVYYY,          _xlpm.MVY-_xlpm.MVYY))</f>
        <v>10.675000000000068</v>
      </c>
      <c r="AS14" s="1078">
        <f ca="1">TabCalc[[#This Row],[Y]]/TabCalc[[#This Row],[M]]</f>
        <v>1.0227226901013058</v>
      </c>
      <c r="AT14" s="299" t="str" cm="1">
        <f t="array" aca="1" ref="AT14" ca="1">IFERROR(_xlfn.IFS(          TabCalc[[#This Row],[E]]&gt;0, "Free Trade",      TabCalc[[#This Row],[A]]&lt;MIN(TabCalc[[#This Row],[L_Sp]],TabCalc[[#This Row],[M]]), "Buy",            TabCalc[[#This Row],[M]]&lt;TabCalc[[#This Row],[L_Sp]],       "Refill",       TabCalc[[#This Row],[M]]&gt;TabCalc[[#This Row],[L_Sp]],"S_more"),"")</f>
        <v>Buy</v>
      </c>
      <c r="AU14" s="299" t="str">
        <f ca="1">IF(           AND(TabCalc[[#This Row],[E]]&lt;=0,          TabCalc[[#This Row],[A]]&gt;MIN(TabCalc[[#This Row],[M]],TabCalc[[#This Row],[L_Sp]]),             TabCalc[[#This Row],[L_Sp]]&lt;=TabCalc[[#This Row],[M]]),                       "S_more","")</f>
        <v/>
      </c>
      <c r="AV14" s="82" t="str" cm="1">
        <f t="array" aca="1" ref="AV14" ca="1">IFERROR(_xlfn.IFS(TabCalc[[#This Row],[E]]&gt;0,"Free trade",                 TabCalc[[#This Row],[A]]&lt;MAX(ABS(TabCalc[[#This Row],[L_Bp]]),TabCalc[[#This Row],[A]]),"Sell",             TabCalc[[#This Row],[M]]&gt;ABS(TabCalc[[#This Row],[L_Bp]]),"Resell",             TabCalc[[#This Row],[M]]&lt;ABS(TabCalc[[#This Row],[L_Bp]]),"B_more"),"")</f>
        <v>Resell</v>
      </c>
      <c r="AW14" s="82">
        <f ca="1">TabCalc[[#This Row],[NAfter]]-TabCalc[[#This Row],[Nbegin]]</f>
        <v>-1999</v>
      </c>
      <c r="AX14" s="307">
        <f ca="1">IFERROR((TabCalc[[#This Row],[M]]-TabCalc[[#This Row],[Y]])*(TabCalc[[#This Row],[M]]-TabCalc[[#This Row],[Y]])*(TabCalc[[#This Row],[M]]-TabCalc[[#This Row],[Y]])/(TabCalc[[#This Row],[Y]]*TabCalc[[#This Row],[M]]),"")</f>
        <v>-9.398624527446782E-4</v>
      </c>
      <c r="AY14" s="82">
        <f t="shared" ca="1" si="1"/>
        <v>1999</v>
      </c>
      <c r="AZ14" s="90">
        <f ca="1">[1]!RTData[[#This Row],[V/VA]]</f>
        <v>0.76801882949153322</v>
      </c>
      <c r="BA14" s="90" t="str" cm="1">
        <f t="array" aca="1" ref="BA14" ca="1">IFERROR(_xlfn.IFS(TabCalc[[#This Row],[Cur]]="USD",Timer!F$27,TabCalc[[#This Row],[Cur]]="EUR",Timer!F$18,TabCalc[[#This Row],[Cur]]="GBP",Timer!F$12,TabCalc[[#This Row],[Cur]]="CAD",Timer!F$27,TabCalc[[#This Row],[Cur]]="JPY",Timer!F$31,TabCalc[[#This Row],[Cur]]="CHF",Timer!F$18),"Timing")</f>
        <v>None-Working Day</v>
      </c>
      <c r="BB14" s="90">
        <f ca="1">IF(ISNUMBER(TabCalc[[#This Row],[TimeEX]]),TabCalc[[#This Row],[V/VA]]/TabCalc[[#This Row],[TimeEX]],TabCalc[[#This Row],[V/VA]])</f>
        <v>0.76801882949153322</v>
      </c>
      <c r="BC14" s="87" cm="1">
        <f t="array" aca="1" ref="BC14" ca="1">INDEX(TabReg[], 1, _xlfn.XMATCH(TabCalc[[#This Row],[Ticker]]&amp;1, TabReg[#Headers], 0))</f>
        <v>2000</v>
      </c>
      <c r="BD14" s="161">
        <f ca="1">TabCalc[[#This Row],[Nbegin]]*TabCalc[[#This Row],[M]]*TabCalc[[#This Row],[Scale]]+TabCalc[[#This Row],[ValueBegin]]</f>
        <v>-52760</v>
      </c>
      <c r="BE14" s="336" t="str" cm="1">
        <f t="array" aca="1" ref="BE14" ca="1">_xlfn.IFS(TabCalc[[#This Row],[Cost+Gain]]&gt;0,"Free",             TabCalc[[#This Row],[GL]]&gt;0,"Gainer",                TRUE,"Looser")</f>
        <v>Looser</v>
      </c>
      <c r="BF14" s="161">
        <f ca="1">TabCalc[[#This Row],[Tot_Paid]]-TabCalc[[#This Row],[ValueBegin]]</f>
        <v>-876035.91818799987</v>
      </c>
      <c r="BG14" s="337">
        <f ca="1">IF(TabCalc[[#This Row],[EfCost]]&gt;TabCalc[[#This Row],[ValueBegin]],       0,        TabCalc[[#This Row],[EfCost]]-TabCalc[[#This Row],[ValueBegin]]*(1+Commission))</f>
        <v>0</v>
      </c>
      <c r="BH14" s="338">
        <f ca="1">TabCalc[[#This Row],[M_V]]+TabCalc[[#This Row],[ValueBegin]]</f>
        <v>-216538.07</v>
      </c>
      <c r="BI14" s="161" cm="1">
        <f t="array" aca="1" ref="BI14" ca="1">SUMPRODUCT(_xlfn._xlws.FILTER(INDIRECT("TabReg["&amp;TabCalc[[#This Row],[Ticker]]&amp;"1]") * INDIRECT("TabReg["&amp;TabCalc[[#This Row],[Ticker]]&amp;"2]"), INDIRECT("TabReg["&amp;TabCalc[[#This Row],[Ticker]]&amp;"2]")&lt;0))*(1+Commission)*TabCalc[[#This Row],[Scale]]</f>
        <v>-1092655.9181879999</v>
      </c>
      <c r="BJ14" s="161" cm="1">
        <f t="array" aca="1" ref="BJ14" ca="1">SUMPRODUCT(IF(INDIRECT("TabReg["&amp;TabCalc[[#This Row],[Ticker]]&amp;"2]") ="", 0, INDIRECT("TabReg["&amp;TabCalc[[#This Row],[Ticker]]&amp;"1]") * INDIRECT("TabReg["&amp;TabCalc[[#This Row],[Ticker]]&amp;"2]") ))*TabCalc[[#This Row],[Scale]]</f>
        <v>-44524.565000000002</v>
      </c>
      <c r="BK14" s="161" cm="1">
        <f t="array" aca="1" ref="BK1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1042580.0406809999</v>
      </c>
      <c r="BL14" s="161">
        <f ca="1">TabCalc[[#This Row],[M_V]]+TabCalc[[#This Row],[EfCost]]</f>
        <v>-44442.635000000002</v>
      </c>
      <c r="BM14" s="161">
        <f ca="1">IF(        OR( TabCalc[[#This Row],[GL]]&gt;ABS(TabCalc[[#This Row],[EfCost]]),TabCalc[[#This Row],[NAfter]]=0),             TabCalc[[#This Row],[GL]],     0)</f>
        <v>0</v>
      </c>
      <c r="BN14" s="161" cm="1">
        <f t="array" aca="1" ref="BN14" ca="1">SUMPRODUCT(_xlfn._xlws.FILTER(IF(INDIRECT("TabReg["&amp;TabCalc[[#This Row],[Ticker]]&amp;"2]") ="", 0, INDIRECT("TabReg["&amp;TabCalc[[#This Row],[Ticker]]&amp;"1]")  ),  INDIRECT("TabReg["&amp;TabCalc[[#This Row],[Ticker]]&amp;"2]") &lt; 0))</f>
        <v>17000</v>
      </c>
      <c r="BO14" s="161">
        <f ca="1">TabCalc[[#This Row],[SB]]-TabCalc[[#This Row],[Nbegin]]</f>
        <v>15000</v>
      </c>
      <c r="BP14" s="161" cm="1">
        <f t="array" aca="1" ref="BP14" ca="1">IFERROR(SUMPRODUCT(_xlfn._xlws.FILTER(IF(INDIRECT("TabReg["&amp;TabCalc[[#This Row],[Ticker]]&amp;"2]") ="", 0, INDIRECT("TabReg["&amp;TabCalc[[#This Row],[Ticker]]&amp;"1]")  ),  INDIRECT("TabReg["&amp;TabCalc[[#This Row],[Ticker]]&amp;"2]") &gt; 0)),0)</f>
        <v>16999</v>
      </c>
      <c r="BQ14"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4" s="176" t="str">
        <f ca="1">IF(TabCalc[[#This Row],[EfCost]]+TabCalc[[#This Row],[M_V]]&lt;TabCalc[[#This Row],[NoT_GL]],"Pile","")</f>
        <v/>
      </c>
      <c r="BS14" s="167">
        <f ca="1">[1]!RTData[[#This Row],[Last trade time]]</f>
        <v>45954.999884988283</v>
      </c>
      <c r="BT14" s="177">
        <f ca="1">(TabCalc[[#This Row],[ValueBegin]]+(TabCalc[[#This Row],[M]]-TabCalc[[#This Row],[A]])*TabCalc[[#This Row],[NAfter]])*TabCalc[[#This Row],[Scale]]</f>
        <v>-216605.27</v>
      </c>
      <c r="BU14" s="189" cm="1">
        <f t="array" aca="1" ref="BU14" ca="1">_xlfn.XLOOKUP(TabCalc[[#This Row],[Ticker]],TabReg[[#Headers],[AAPL]:[UnknownX28]],Reg!B$72:KF$72)+3</f>
        <v>23</v>
      </c>
      <c r="BV14" s="190" cm="1">
        <f t="array" aca="1" ref="BV14" ca="1">_xlfn.XLOOKUP(TabCalc[[#This Row],[Ticker]],TabReg[[#Headers],[AAPL]:[UnknownX28]],Reg!B$73:KF$73)+2</f>
        <v>39</v>
      </c>
      <c r="BW14" s="191">
        <f ca="1">IFERROR(MAX(TabCalc[[#This Row],[Max_SD]],TabCalc[[#This Row],[Max_PD]]),0)</f>
        <v>45925</v>
      </c>
      <c r="BX14" s="191" t="str" cm="1">
        <f t="array" aca="1" ref="BX14" ca="1">_xlfn.IFS(TabCalc[[#This Row],[L_TP]]&lt;0,"Purchase",TabCalc[[#This Row],[L_TP]]&gt;0,"Sale")</f>
        <v>Sale</v>
      </c>
      <c r="BY14" s="190" cm="1">
        <f t="array" aca="1" ref="BY14" ca="1">INDEX(Reg!$A$1:$KF$73,TabCalc[[#This Row],[L_I1]],TabCalc[[#This Row],[L_I2]])</f>
        <v>249</v>
      </c>
      <c r="BZ14" s="192" cm="1">
        <f t="array" aca="1" ref="BZ14" ca="1">INDEX(Reg!$A$1:$KF$73,TabCalc[[#This Row],[L_I1]],TabCalc[[#This Row],[L_I2]]+1)</f>
        <v>74.685000000000002</v>
      </c>
      <c r="CA14" s="161">
        <f ca="1">TabCalc[[#This Row],[NAfter]]*(TabCalc[[#This Row],[M]]-IF(TabCalc[[#This Row],[E]]&gt;0,0,TabCalc[[#This Row],[A]]))</f>
        <v>14.730000000000004</v>
      </c>
      <c r="CB14" s="167" cm="1">
        <f t="array" aca="1" ref="CB14" ca="1">IFERROR(MIN(_xlfn._xlws.FILTER(INDIRECT("TabReg["&amp;TabCalc[[#This Row],[Ticker]]&amp;"]"), INDIRECT("TabReg["&amp;TabCalc[[#This Row],[Ticker]]&amp;"2]")&gt;0)),0)</f>
        <v>45390</v>
      </c>
      <c r="CC14" s="178" cm="1">
        <f t="array" aca="1" ref="CC14" ca="1">IFERROR(MIN(_xlfn._xlws.FILTER(INDIRECT("TabReg["&amp;TabCalc[[#This Row],[Ticker]]&amp;"1]"), INDIRECT("TabReg["&amp;TabCalc[[#This Row],[Ticker]]&amp;"2]")&gt;0)),0)</f>
        <v>249</v>
      </c>
      <c r="CD14" s="173" cm="1">
        <f t="array" aca="1" ref="CD14" ca="1">IFERROR(MIN(_xlfn._xlws.FILTER(INDIRECT("TabReg["&amp;TabCalc[[#This Row],[Ticker]]&amp;"2]"), INDIRECT("TabReg["&amp;TabCalc[[#This Row],[Ticker]]&amp;"2]")&gt;0)),0)</f>
        <v>51.23</v>
      </c>
      <c r="CE14" s="167" cm="1">
        <f t="array" aca="1" ref="CE14" ca="1">IFERROR(MAX(_xlfn._xlws.FILTER(INDIRECT("TabReg["&amp;TabCalc[[#This Row],[Ticker]]&amp;"]"), INDIRECT("TabReg["&amp;TabCalc[[#This Row],[Ticker]]&amp;"2]")&gt;0)),0)</f>
        <v>45925</v>
      </c>
      <c r="CF14" s="178" cm="1">
        <f t="array" aca="1" ref="CF14" ca="1">IFERROR(MAX(_xlfn._xlws.FILTER(INDIRECT("TabReg["&amp;TabCalc[[#This Row],[Ticker]]&amp;"1]"), INDIRECT("TabReg["&amp;TabCalc[[#This Row],[Ticker]]&amp;"2]")&gt;0)),0)</f>
        <v>2000</v>
      </c>
      <c r="CG14" s="173" cm="1">
        <f t="array" aca="1" ref="CG14" ca="1">IFERROR(MAX(_xlfn._xlws.FILTER(INDIRECT("TabReg["&amp;TabCalc[[#This Row],[Ticker]]&amp;"2]"), INDIRECT("TabReg["&amp;TabCalc[[#This Row],[Ticker]]&amp;"2]")&gt;0)),0)</f>
        <v>74.685000000000002</v>
      </c>
      <c r="CH14" s="167" cm="1">
        <f t="array" aca="1" ref="CH14" ca="1">MIN(_xlfn._xlws.FILTER(INDIRECT("TabReg["&amp;TabCalc[[#This Row],[Ticker]]&amp;"]"), INDIRECT("TabReg["&amp;TabCalc[[#This Row],[Ticker]]&amp;"2]")&lt;0))</f>
        <v>40544</v>
      </c>
      <c r="CI14" s="177" cm="1">
        <f t="array" aca="1" ref="CI14" ca="1">MIN(_xlfn._xlws.FILTER(INDIRECT("TabReg["&amp;TabCalc[[#This Row],[Ticker]]&amp;"1]"), INDIRECT("TabReg["&amp;TabCalc[[#This Row],[Ticker]]&amp;"2]")&lt;0))</f>
        <v>700</v>
      </c>
      <c r="CJ14" s="173" cm="1">
        <f t="array" aca="1" ref="CJ14" ca="1">MIN(_xlfn._xlws.FILTER(INDIRECT("TabReg["&amp;TabCalc[[#This Row],[Ticker]]&amp;"2]"), INDIRECT("TabReg["&amp;TabCalc[[#This Row],[Ticker]]&amp;"2]")&lt;0))</f>
        <v>-108.31</v>
      </c>
      <c r="CK14" s="167" cm="1">
        <f t="array" aca="1" ref="CK14" ca="1">MAX(_xlfn._xlws.FILTER(INDIRECT("TabReg["&amp;TabCalc[[#This Row],[Ticker]]&amp;"]"), INDIRECT("TabReg["&amp;TabCalc[[#This Row],[Ticker]]&amp;"2]")&lt;0))</f>
        <v>45684</v>
      </c>
      <c r="CL14" s="177" cm="1">
        <f t="array" aca="1" ref="CL14" ca="1">MAX(_xlfn._xlws.FILTER(INDIRECT("TabReg["&amp;TabCalc[[#This Row],[Ticker]]&amp;"1]"), INDIRECT("TabReg["&amp;TabCalc[[#This Row],[Ticker]]&amp;"2]")&lt;0))</f>
        <v>2300</v>
      </c>
      <c r="CM14" s="173" cm="1">
        <f t="array" aca="1" ref="CM14" ca="1">MAX(_xlfn._xlws.FILTER(INDIRECT("TabReg["&amp;TabCalc[[#This Row],[Ticker]]&amp;"2]"), INDIRECT("TabReg["&amp;TabCalc[[#This Row],[Ticker]]&amp;"2]")&lt;0))</f>
        <v>-44.94</v>
      </c>
      <c r="CN14" s="167" cm="1">
        <f t="array" aca="1" ref="CN14" ca="1">IFERROR(_xlfn.XLOOKUP(TabCalc[[#This Row],[BS2P]],INDIRECT("TabReg["&amp;TabCalc[[#This Row],[Ticker]]&amp;"2]"),INDIRECT("TabReg["&amp;TabCalc[[#This Row],[Ticker]]&amp;"]")),0)</f>
        <v>45390</v>
      </c>
      <c r="CO14" s="178" cm="1">
        <f t="array" aca="1" ref="CO14" ca="1">IFERROR(_xlfn.XLOOKUP(TabCalc[[#This Row],[BS2P]],INDIRECT("TabReg["&amp;TabCalc[[#This Row],[Ticker]]&amp;"2]"),INDIRECT("TabReg["&amp;TabCalc[[#This Row],[Ticker]]&amp;"1]")),0)</f>
        <v>1000</v>
      </c>
      <c r="CP14" s="173">
        <f ca="1">_xlfn.MAXIFS(INDIRECT("TabReg["&amp;TabCalc[[#This Row],[Ticker]]&amp;"2]"), INDIRECT("TabReg["&amp;TabCalc[[#This Row],[Ticker]]&amp;"2]"), "&lt;" &amp; MAX(INDIRECT("TabReg["&amp;TabCalc[[#This Row],[Ticker]]&amp;"2]")))</f>
        <v>74.319999999999993</v>
      </c>
      <c r="CQ14" s="167" cm="1">
        <f t="array" aca="1" ref="CQ14" ca="1">IFERROR(_xlfn.XLOOKUP(TabCalc[[#This Row],[WB2P]],INDIRECT("TabReg["&amp;TabCalc[[#This Row],[Ticker]]&amp;"2]"),INDIRECT("TabReg["&amp;TabCalc[[#This Row],[Ticker]]&amp;"]")),0)</f>
        <v>45369</v>
      </c>
      <c r="CR14" s="178" cm="1">
        <f t="array" aca="1" ref="CR14" ca="1">IFERROR(_xlfn.XLOOKUP(TabCalc[[#This Row],[WB2P]],INDIRECT("TabReg["&amp;TabCalc[[#This Row],[Ticker]]&amp;"2]"),INDIRECT("TabReg["&amp;TabCalc[[#This Row],[Ticker]]&amp;"1]")),0)</f>
        <v>2000</v>
      </c>
      <c r="CS14" s="173">
        <f ca="1">_xlfn.MINIFS(INDIRECT("TabReg["&amp;TabCalc[[#This Row],[Ticker]]&amp;"2]"), INDIRECT("TabReg["&amp;TabCalc[[#This Row],[Ticker]]&amp;"2]"), "&gt;" &amp; MIN(INDIRECT("TabReg["&amp;TabCalc[[#This Row],[Ticker]]&amp;"2]")))</f>
        <v>-77.38</v>
      </c>
      <c r="CT14" s="405">
        <f ca="1">IF(TabCalc[[#This Row],[M]]&lt;TabCalc[[#This Row],[L_Sp]],DesiredBuyGain/(TabCalc[[#This Row],[L_Sp]]-TabCalc[[#This Row],[M]]),0)</f>
        <v>0</v>
      </c>
      <c r="CU14" s="406">
        <f ca="1">IF(TabCalc[[#This Row],[ntoBuy]]*TabCalc[[#This Row],[M]]&lt;=0,0,TabCalc[[#This Row],[ntoBuy]]*TabCalc[[#This Row],[M]])</f>
        <v>0</v>
      </c>
      <c r="CV14" s="406">
        <f ca="1">IF(TabCalc[[#This Row],[M]]&gt;ABS(TabCalc[[#This Row],[L_Bp]]),MIN(TabCalc[[#This Row],[NAfter]],DesiredSaleGain/(TabCalc[[#This Row],[M]]+TabCalc[[#This Row],[L_Bp]])),0)/TabCalc[[#This Row],[Scale]]</f>
        <v>1</v>
      </c>
      <c r="CW14" s="407">
        <f ca="1">TabCalc[[#This Row],[ntoSell]]*TabCalc[[#This Row],[M]]</f>
        <v>81.93</v>
      </c>
      <c r="CX14" s="400">
        <f ca="1">_xlfn.LET(_xlpm.nToSell,IF(TabCalc[[#This Row],[M]]-TabCalc[[#This Row],[A]]&lt;=0,"",INT(DesiredSaleGain/(TabCalc[[#This Row],[M]]-IF(TabCalc[[#This Row],[E]]&gt;0,0,TabCalc[[#This Row],[A]])))),IF(_xlpm.nToSell&lt;=TabCalc[[#This Row],[NAfter]],_xlpm.nToSell,0))</f>
        <v>0</v>
      </c>
      <c r="CY14" s="338">
        <f ca="1">IFERROR(TabCalc[[#This Row],[NMA]]*TabCalc[[#This Row],[M]],"")</f>
        <v>0</v>
      </c>
      <c r="CZ14" s="337" cm="1">
        <f t="array" aca="1" ref="CZ14" ca="1">_xlfn.IFS(TabCalc[[#This Row],[M]]&gt;= TabCalc[[#This Row],[L_Sp]],(TabCalc[[#This Row],[M]]-TabCalc[[#This Row],[A]])*TabCalc[[#This Row],[NAfter]]*TabCalc[[#This Row],[Scale]],           TabCalc[[#This Row],[M]]&lt; TabCalc[[#This Row],[L_Sp]],(TabCalc[[#This Row],[M]]-TabCalc[[#This Row],[A]])*TabCalc[[#This Row],[NAfter]]*TabCalc[[#This Row],[Scale]],               TRUE,"")</f>
        <v>14.730000000000004</v>
      </c>
      <c r="DA14" s="90">
        <f ca="1">IFERROR((TabCalc[[#This Row],[M]]+TabCalc[[#This Row],[L_Bp]])/ABS(TabCalc[[#This Row],[L_Bp]])/(TODAY()-TabCalc[[#This Row],[L_Bdate]])*360,"")</f>
        <v>0.61090039350536973</v>
      </c>
      <c r="DB14" s="312">
        <f ca="1">MEDIAN(DataShift!F714:Z714)</f>
        <v>-5.94E-3</v>
      </c>
      <c r="DC14" s="312" t="str" cm="1">
        <f t="array" aca="1" ref="DC1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14" s="88" t="s">
        <v>11</v>
      </c>
      <c r="DN14" s="82">
        <v>40000</v>
      </c>
      <c r="DO14" s="317">
        <v>-10.359875000000001</v>
      </c>
    </row>
    <row r="15" spans="1:119">
      <c r="A15" s="120" t="str">
        <f ca="1">_xlfn.XLOOKUP(TabCalc[[#This Row],[Ticker]],[1]!RTData[Ticker symbol],[1]!RTData[Currency])</f>
        <v>USD</v>
      </c>
      <c r="B15" s="121">
        <f ca="1">IF(TabCalc[[#This Row],[Cur]]="GBP",0.01,1)</f>
        <v>1</v>
      </c>
      <c r="C15" s="82">
        <f ca="1">_xlfn.XLOOKUP(TabCalc[[#This Row],[Ticker]],DM$3:DM$96,DN$3:DN$96)</f>
        <v>40000</v>
      </c>
      <c r="D15" s="1254">
        <f ca="1">_xlfn.XLOOKUP(TabCalc[[#This Row],[Ticker]],DM$3:DM$96,DO$3:DO$96)</f>
        <v>-10.359875000000001</v>
      </c>
      <c r="E15" s="121">
        <f t="shared" ca="1" si="0"/>
        <v>-414395</v>
      </c>
      <c r="F15" s="82">
        <f ca="1">TabCalc[[#This Row],[NAfter]]*TabCalc[[#This Row],[M]]*TabCalc[[#This Row],[Scale]]</f>
        <v>266050</v>
      </c>
      <c r="G15" s="82">
        <f ca="1">IFERROR(TabCalc[[#This Row],[SB]]-TabCalc[[#This Row],[SST]],TabCalc[[#This Row],[SB]])</f>
        <v>85000</v>
      </c>
      <c r="H15" s="535" t="str">
        <f ca="1">[1]!RTData[[#This Row],[Ticker symbol]]</f>
        <v>DDD</v>
      </c>
      <c r="I15" s="385">
        <f ca="1">[1]!RTData[[#This Row],[M-Price]]</f>
        <v>3.13</v>
      </c>
      <c r="J15" s="384">
        <v>56.056190000000001</v>
      </c>
      <c r="K15" s="383">
        <f>[1]!RTData[[#This Row],[1YT]]</f>
        <v>3.25</v>
      </c>
      <c r="L15" s="384">
        <f ca="1">IF(OR(TabCalc[[#This Row],[NAfter]]=0,TabCalc[[#This Row],[EfCost]]&gt;0),0,TabCalc[[#This Row],[EfCost]]/TabCalc[[#This Row],[NAfter]]/TabCalc[[#This Row],[Scale]])</f>
        <v>-6.0307588235294114</v>
      </c>
      <c r="M15" s="744">
        <f ca="1">[1]!RTData[[#This Row],[Change%]]</f>
        <v>1.6233999999999998E-2</v>
      </c>
      <c r="N15" s="1172">
        <v>0</v>
      </c>
      <c r="O15" s="966">
        <f>TabCalc[[#This Row],[Up20]]-1+TabCalc[[#This Row],[Up20]]</f>
        <v>-1</v>
      </c>
      <c r="P15" s="966">
        <f>TabCalc[[#This Row],[Up20]]-TabCalc[[#This Row],[Up150]]</f>
        <v>0</v>
      </c>
      <c r="Q15" s="966">
        <v>0</v>
      </c>
      <c r="R15" s="966">
        <f>TabCalc[[#This Row],[Up150]]-1+TabCalc[[#This Row],[Up150]]</f>
        <v>-1</v>
      </c>
      <c r="S15" s="966">
        <f ca="1">IFERROR(SUMPRODUCT(DataShift!F1507:Z1507,DataShift!AB714:AV714)/SQRT(SUMPRODUCT(DataShift!F1507:Z1507,DataShift!F1507:Z1507)*SUMPRODUCT(DataShift!AB714:AV714,DataShift!AB714:AV714)),0)</f>
        <v>8.301242221654434E-2</v>
      </c>
      <c r="T15" s="966">
        <f ca="1">IFERROR(SUMPRODUCT(DataShift!F1507:Z1507,DataShift!F715:Z715)/SQRT(SUMPRODUCT(DataShift!F1507:Z1507,DataShift!F1507:Z1507)*SUMPRODUCT(DataShift!F715:Z715,DataShift!F715:Z715)),0)</f>
        <v>-4.8474794911430683E-2</v>
      </c>
      <c r="U15" s="1107">
        <v>1</v>
      </c>
      <c r="V15" s="1107">
        <v>0</v>
      </c>
      <c r="W15" s="1107">
        <v>0</v>
      </c>
      <c r="X15" s="966" t="str">
        <f ca="1">IF(TabCalc[[#This Row],[EfCost]]+TabCalc[[#This Row],[M_V]]&lt;TabCalc[[#This Row],[NoT_GL]],"Pile","")</f>
        <v/>
      </c>
      <c r="Y1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37,404,384 = $ 117,075,721</v>
      </c>
      <c r="Z15" s="213">
        <f ca="1">MIN(TabCalc[[#This Row],[L_Bn]],TabCalc[[#This Row],[NAfter]])*(TabCalc[[#This Row],[M]]+TabCalc[[#This Row],[L_Bp]])*TabCalc[[#This Row],[Scale]]</f>
        <v>24400</v>
      </c>
      <c r="AA15" s="210" cm="1">
        <f t="array" aca="1" ref="AA15" ca="1">_xlfn.XLOOKUP(TabCalc[[#This Row],[L_Bp]],INDIRECT("TabReg["&amp;TabCalc[[#This Row],[Ticker]]&amp;"2]"),INDIRECT("TabReg["&amp;TabCalc[[#This Row],[Ticker]]&amp;"]"))</f>
        <v>45790</v>
      </c>
      <c r="AB15" s="181" cm="1">
        <f t="array" aca="1" ref="AB15" ca="1">_xlfn.XLOOKUP(TabCalc[[#This Row],[L_Bp]],INDIRECT("TabReg["&amp;TabCalc[[#This Row],[Ticker]]&amp;"2]"),INDIRECT("TabReg["&amp;TabCalc[[#This Row],[Ticker]]&amp;"1]"))</f>
        <v>20000</v>
      </c>
      <c r="AC15" s="192" cm="1">
        <f t="array" aca="1" ref="AC15" ca="1">IFERROR(INDEX(INDIRECT("TabReg["&amp;TabCalc[[#This Row],[Ticker]]&amp;"2]"),    _xlfn.XMATCH(    MAX(    _xlfn._xlws.FILTER(INDIRECT("TabReg["&amp;TabCalc[[#This Row],[Ticker]]&amp;"]"), INDIRECT("TabReg["&amp;TabCalc[[#This Row],[Ticker]]&amp;"2]")&lt;0)     ), INDIRECT("TabReg["&amp;TabCalc[[#This Row],[Ticker]]&amp;"]"),      0)), "")</f>
        <v>-1.91</v>
      </c>
      <c r="AD15" s="213">
        <f ca="1">IFERROR(MIN(TabCalc[[#This Row],[L_B1n]],TabCalc[[#This Row],[NAfter]])*(TabCalc[[#This Row],[M]]+TabCalc[[#This Row],[L_B1p]])*TabCalc[[#This Row],[Scale]],"")</f>
        <v>-7950.0000000000036</v>
      </c>
      <c r="AE15" s="210" cm="1">
        <f t="array" aca="1" ref="AE1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45714</v>
      </c>
      <c r="AF15" s="181" cm="1">
        <f t="array" aca="1" ref="AF15" ca="1">IFERROR(_xlfn.XLOOKUP(TabCalc[[#This Row],[L_B1D]],INDIRECT("TabReg["&amp;TabCalc[[#This Row],[Ticker]]&amp;"]"),INDIRECT("TabReg["&amp;TabCalc[[#This Row],[Ticker]]&amp;"1]")),0)</f>
        <v>15000</v>
      </c>
      <c r="AG15" s="192" cm="1">
        <f t="array" aca="1" ref="AG15" ca="1">IFERROR(_xlfn.XLOOKUP(TabCalc[[#This Row],[L_B1D]],INDIRECT("TabReg["&amp;TabCalc[[#This Row],[Ticker]]&amp;"]"),INDIRECT("TabReg["&amp;TabCalc[[#This Row],[Ticker]]&amp;"2]")),0)</f>
        <v>-3.66</v>
      </c>
      <c r="AH15" s="214">
        <f ca="1">IFERROR(TabCalc[[#This Row],[L_Sn]]*(TabCalc[[#This Row],[L_Sp]]-TabCalc[[#This Row],[M]])*TabCalc[[#This Row],[Scale]],"")</f>
        <v>200.00000000000017</v>
      </c>
      <c r="AI15" s="210" cm="1">
        <f t="array" aca="1" ref="AI15" ca="1">IFERROR(_xlfn.XLOOKUP(TabCalc[[#This Row],[L_Sp]],INDIRECT("TabReg["&amp;TabCalc[[#This Row],[Ticker]]&amp;"2]"),INDIRECT("TabReg["&amp;TabCalc[[#This Row],[Ticker]]&amp;"]")),0)</f>
        <v>45937</v>
      </c>
      <c r="AJ15" s="181" cm="1">
        <f t="array" aca="1" ref="AJ15" ca="1">IFERROR(_xlfn.XLOOKUP(TabCalc[[#This Row],[L_Sp]],INDIRECT("TabReg["&amp;TabCalc[[#This Row],[Ticker]]&amp;"2]"),INDIRECT("TabReg["&amp;TabCalc[[#This Row],[Ticker]]&amp;"1]")),0)</f>
        <v>10000</v>
      </c>
      <c r="AK15" s="192" cm="1">
        <f t="array" aca="1" ref="AK15" ca="1">IFERROR(INDEX(INDIRECT("TabReg["&amp;TabCalc[[#This Row],[Ticker]]&amp;"2]"), _xlfn.XMATCH(MAX(_xlfn._xlws.FILTER(INDIRECT("TabReg["&amp;TabCalc[[#This Row],[Ticker]]&amp;"]"), INDIRECT("TabReg["&amp;TabCalc[[#This Row],[Ticker]]&amp;"2]")&gt;0)), INDIRECT("TabReg["&amp;TabCalc[[#This Row],[Ticker]]&amp;"]"), 0)), 0)</f>
        <v>3.15</v>
      </c>
      <c r="AL15" s="214">
        <f ca="1">IFERROR(TabCalc[[#This Row],[L_S1n]]*(TabCalc[[#This Row],[L_S1p]]-TabCalc[[#This Row],[M]])*TabCalc[[#This Row],[Scale]],0)</f>
        <v>-249.99999999999912</v>
      </c>
      <c r="AM15" s="210" cm="1">
        <f t="array" aca="1" ref="AM1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N15" s="181" cm="1">
        <f t="array" aca="1" ref="AN15" ca="1">IFERROR(_xlfn.XLOOKUP(TabCalc[[#This Row],[L_S1D]],INDIRECT("TabReg["&amp;TabCalc[[#This Row],[Ticker]]&amp;"]"),INDIRECT("TabReg["&amp;TabCalc[[#This Row],[Ticker]]&amp;"1]")),0)</f>
        <v>5000</v>
      </c>
      <c r="AO15" s="384" cm="1">
        <f t="array" aca="1" ref="AO15" ca="1">IFERROR(_xlfn.XLOOKUP(TabCalc[[#This Row],[L_S1D]],INDIRECT("TabReg["&amp;TabCalc[[#This Row],[Ticker]]&amp;"]"),INDIRECT("TabReg["&amp;TabCalc[[#This Row],[Ticker]]&amp;"2]")),0)</f>
        <v>3.08</v>
      </c>
      <c r="AP15" s="336">
        <f ca="1">_xlfn.LET(_xlpm.MVOpen,[1]!RTData[[#This Row],[Open]]*TabCalc[[#This Row],[NAfter]],_xlpm.MVNow,TabCalc[[#This Row],[M]]*TabCalc[[#This Row],[NAfter]],_xlpm.MVNow-_xlpm.MVOpen)*TabCalc[[#This Row],[Scale]]</f>
        <v>-4250</v>
      </c>
      <c r="AQ15" s="336">
        <f ca="1">_xlfn.LET(_xlpm.MVToday,DataShift!AV515,         _xlpm.MVY,DataShift!AU516,        _xlpm.MVYY, DataShift!AT516,                                IF(_xlpm.MVToday=_xlpm.MVY,_xlpm.MVY-_xlpm.MVYY,_xlpm.MVToday-_xlpm.MVY))</f>
        <v>360</v>
      </c>
      <c r="AR15" s="336">
        <f ca="1">_xlfn.LET(_xlpm.MVToday,DataShift!AV515,         _xlpm.MVY,DataShift!AU516,        _xlpm.MVYY, DataShift!AT516,         _xlpm.MVYYY, DataShift!AS516,                      IF(_xlpm.MVToday=_xlpm.MVY,      _xlpm.MVYY-_xlpm.MVYYY,          _xlpm.MVY-_xlpm.MVYY))</f>
        <v>-390</v>
      </c>
      <c r="AS15" s="1078">
        <f ca="1">TabCalc[[#This Row],[Y]]/TabCalc[[#This Row],[M]]</f>
        <v>1.0383386581469649</v>
      </c>
      <c r="AT15" s="299" t="str" cm="1">
        <f t="array" aca="1" ref="AT15" ca="1">IFERROR(_xlfn.IFS(          TabCalc[[#This Row],[E]]&gt;0, "Free Trade",      TabCalc[[#This Row],[A]]&lt;MIN(TabCalc[[#This Row],[L_Sp]],TabCalc[[#This Row],[M]]), "Buy",            TabCalc[[#This Row],[M]]&lt;TabCalc[[#This Row],[L_Sp]],       "Refill",       TabCalc[[#This Row],[M]]&gt;TabCalc[[#This Row],[L_Sp]],"S_more"),"")</f>
        <v>Refill</v>
      </c>
      <c r="AU15" s="299" t="str">
        <f ca="1">IF(           AND(TabCalc[[#This Row],[E]]&lt;=0,          TabCalc[[#This Row],[A]]&gt;MIN(TabCalc[[#This Row],[M]],TabCalc[[#This Row],[L_Sp]]),             TabCalc[[#This Row],[L_Sp]]&lt;=TabCalc[[#This Row],[M]]),                       "S_more","")</f>
        <v/>
      </c>
      <c r="AV15" s="82" t="str" cm="1">
        <f t="array" aca="1" ref="AV15" ca="1">IFERROR(_xlfn.IFS(TabCalc[[#This Row],[E]]&gt;0,"Free trade",                 TabCalc[[#This Row],[A]]&lt;MAX(ABS(TabCalc[[#This Row],[L_Bp]]),TabCalc[[#This Row],[A]]),"Sell",             TabCalc[[#This Row],[M]]&gt;ABS(TabCalc[[#This Row],[L_Bp]]),"Resell",             TabCalc[[#This Row],[M]]&lt;ABS(TabCalc[[#This Row],[L_Bp]]),"B_more"),"")</f>
        <v>Resell</v>
      </c>
      <c r="AW15" s="82">
        <f ca="1">TabCalc[[#This Row],[NAfter]]-TabCalc[[#This Row],[Nbegin]]</f>
        <v>45000</v>
      </c>
      <c r="AX15" s="307">
        <f ca="1">IFERROR((TabCalc[[#This Row],[M]]-TabCalc[[#This Row],[Y]])*(TabCalc[[#This Row],[M]]-TabCalc[[#This Row],[Y]])*(TabCalc[[#This Row],[M]]-TabCalc[[#This Row],[Y]])/(TabCalc[[#This Row],[Y]]*TabCalc[[#This Row],[M]]),"")</f>
        <v>-1.6986974686655245E-4</v>
      </c>
      <c r="AY15" s="82">
        <f t="shared" ca="1" si="1"/>
        <v>0</v>
      </c>
      <c r="AZ15" s="90">
        <f ca="1">[1]!RTData[[#This Row],[V/VA]]</f>
        <v>0.66744662603510774</v>
      </c>
      <c r="BA15" s="90" t="str" cm="1">
        <f t="array" aca="1" ref="BA15" ca="1">IFERROR(_xlfn.IFS(TabCalc[[#This Row],[Cur]]="USD",Timer!F$27,TabCalc[[#This Row],[Cur]]="EUR",Timer!F$18,TabCalc[[#This Row],[Cur]]="GBP",Timer!F$12,TabCalc[[#This Row],[Cur]]="CAD",Timer!F$27,TabCalc[[#This Row],[Cur]]="JPY",Timer!F$31,TabCalc[[#This Row],[Cur]]="CHF",Timer!F$18),"Timing")</f>
        <v>None-Working Day</v>
      </c>
      <c r="BB15" s="90">
        <f ca="1">IF(ISNUMBER(TabCalc[[#This Row],[TimeEX]]),TabCalc[[#This Row],[V/VA]]/TabCalc[[#This Row],[TimeEX]],TabCalc[[#This Row],[V/VA]])</f>
        <v>0.66744662603510774</v>
      </c>
      <c r="BC15" s="87" cm="1">
        <f t="array" aca="1" ref="BC15" ca="1">INDEX(TabReg[], 1, _xlfn.XMATCH(TabCalc[[#This Row],[Ticker]]&amp;1, TabReg[#Headers], 0))</f>
        <v>40000</v>
      </c>
      <c r="BD15" s="161">
        <f ca="1">TabCalc[[#This Row],[Nbegin]]*TabCalc[[#This Row],[M]]*TabCalc[[#This Row],[Scale]]+TabCalc[[#This Row],[ValueBegin]]</f>
        <v>-289195</v>
      </c>
      <c r="BE15" s="336" t="str" cm="1">
        <f t="array" aca="1" ref="BE15" ca="1">_xlfn.IFS(TabCalc[[#This Row],[Cost+Gain]]&gt;0,"Free",             TabCalc[[#This Row],[GL]]&gt;0,"Gainer",                TRUE,"Looser")</f>
        <v>Looser</v>
      </c>
      <c r="BF15" s="161">
        <f ca="1">TabCalc[[#This Row],[Tot_Paid]]-TabCalc[[#This Row],[ValueBegin]]</f>
        <v>-363135.83769999992</v>
      </c>
      <c r="BG15" s="337">
        <f ca="1">IF(TabCalc[[#This Row],[EfCost]]&gt;TabCalc[[#This Row],[ValueBegin]],       0,        TabCalc[[#This Row],[EfCost]]-TabCalc[[#This Row],[ValueBegin]]*(1+Commission))</f>
        <v>-97142.073000000033</v>
      </c>
      <c r="BH15" s="338">
        <f ca="1">TabCalc[[#This Row],[M_V]]+TabCalc[[#This Row],[ValueBegin]]</f>
        <v>-148345</v>
      </c>
      <c r="BI15" s="161" cm="1">
        <f t="array" aca="1" ref="BI15" ca="1">SUMPRODUCT(_xlfn._xlws.FILTER(INDIRECT("TabReg["&amp;TabCalc[[#This Row],[Ticker]]&amp;"1]") * INDIRECT("TabReg["&amp;TabCalc[[#This Row],[Ticker]]&amp;"2]"), INDIRECT("TabReg["&amp;TabCalc[[#This Row],[Ticker]]&amp;"2]")&lt;0))*(1+Commission)*TabCalc[[#This Row],[Scale]]</f>
        <v>-777530.83769999992</v>
      </c>
      <c r="BJ15" s="161" cm="1">
        <f t="array" aca="1" ref="BJ15" ca="1">SUMPRODUCT(IF(INDIRECT("TabReg["&amp;TabCalc[[#This Row],[Ticker]]&amp;"2]") ="", 0, INDIRECT("TabReg["&amp;TabCalc[[#This Row],[Ticker]]&amp;"1]") * INDIRECT("TabReg["&amp;TabCalc[[#This Row],[Ticker]]&amp;"2]") ))*TabCalc[[#This Row],[Scale]]</f>
        <v>-512614.5</v>
      </c>
      <c r="BK15" s="161" cm="1">
        <f t="array" aca="1" ref="BK1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262216.45999999996</v>
      </c>
      <c r="BL15" s="161">
        <f ca="1">TabCalc[[#This Row],[M_V]]+TabCalc[[#This Row],[EfCost]]</f>
        <v>-246564.5</v>
      </c>
      <c r="BM15" s="161">
        <f ca="1">IF(        OR( TabCalc[[#This Row],[GL]]&gt;ABS(TabCalc[[#This Row],[EfCost]]),TabCalc[[#This Row],[NAfter]]=0),             TabCalc[[#This Row],[GL]],     0)</f>
        <v>0</v>
      </c>
      <c r="BN15" s="161" cm="1">
        <f t="array" aca="1" ref="BN15" ca="1">SUMPRODUCT(_xlfn._xlws.FILTER(IF(INDIRECT("TabReg["&amp;TabCalc[[#This Row],[Ticker]]&amp;"2]") ="", 0, INDIRECT("TabReg["&amp;TabCalc[[#This Row],[Ticker]]&amp;"1]")  ),  INDIRECT("TabReg["&amp;TabCalc[[#This Row],[Ticker]]&amp;"2]") &lt; 0))</f>
        <v>150000</v>
      </c>
      <c r="BO15" s="161">
        <f ca="1">TabCalc[[#This Row],[SB]]-TabCalc[[#This Row],[Nbegin]]</f>
        <v>110000</v>
      </c>
      <c r="BP15" s="161" cm="1">
        <f t="array" aca="1" ref="BP15" ca="1">IFERROR(SUMPRODUCT(_xlfn._xlws.FILTER(IF(INDIRECT("TabReg["&amp;TabCalc[[#This Row],[Ticker]]&amp;"2]") ="", 0, INDIRECT("TabReg["&amp;TabCalc[[#This Row],[Ticker]]&amp;"1]")  ),  INDIRECT("TabReg["&amp;TabCalc[[#This Row],[Ticker]]&amp;"2]") &gt; 0)),0)</f>
        <v>65000</v>
      </c>
      <c r="BQ15"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10.02</v>
      </c>
      <c r="BR15" s="176" t="str">
        <f ca="1">IF(TabCalc[[#This Row],[EfCost]]+TabCalc[[#This Row],[M_V]]&lt;TabCalc[[#This Row],[NoT_GL]],"Pile","")</f>
        <v/>
      </c>
      <c r="BS15" s="167">
        <f ca="1">[1]!RTData[[#This Row],[Last trade time]]</f>
        <v>45954.994127685153</v>
      </c>
      <c r="BT15" s="177">
        <f ca="1">(TabCalc[[#This Row],[ValueBegin]]+(TabCalc[[#This Row],[M]]-TabCalc[[#This Row],[A]])*TabCalc[[#This Row],[NAfter]])*TabCalc[[#This Row],[Scale]]</f>
        <v>-4913121.1499999994</v>
      </c>
      <c r="BU15" s="189" cm="1">
        <f t="array" aca="1" ref="BU15" ca="1">_xlfn.XLOOKUP(TabCalc[[#This Row],[Ticker]],TabReg[[#Headers],[AAPL]:[UnknownX28]],Reg!B$72:KF$72)+3</f>
        <v>19</v>
      </c>
      <c r="BV15" s="190" cm="1">
        <f t="array" aca="1" ref="BV15" ca="1">_xlfn.XLOOKUP(TabCalc[[#This Row],[Ticker]],TabReg[[#Headers],[AAPL]:[UnknownX28]],Reg!B$73:KF$73)+2</f>
        <v>42</v>
      </c>
      <c r="BW15" s="191">
        <f ca="1">IFERROR(MAX(TabCalc[[#This Row],[Max_SD]],TabCalc[[#This Row],[Max_PD]]),0)</f>
        <v>45937</v>
      </c>
      <c r="BX15" s="191" t="str" cm="1">
        <f t="array" aca="1" ref="BX15" ca="1">_xlfn.IFS(TabCalc[[#This Row],[L_TP]]&lt;0,"Purchase",TabCalc[[#This Row],[L_TP]]&gt;0,"Sale")</f>
        <v>Sale</v>
      </c>
      <c r="BY15" s="190" cm="1">
        <f t="array" aca="1" ref="BY15" ca="1">INDEX(Reg!$A$1:$KF$73,TabCalc[[#This Row],[L_I1]],TabCalc[[#This Row],[L_I2]])</f>
        <v>10000</v>
      </c>
      <c r="BZ15" s="192" cm="1">
        <f t="array" aca="1" ref="BZ15" ca="1">INDEX(Reg!$A$1:$KF$73,TabCalc[[#This Row],[L_I1]],TabCalc[[#This Row],[L_I2]]+1)</f>
        <v>3.15</v>
      </c>
      <c r="CA15" s="161">
        <f ca="1">TabCalc[[#This Row],[NAfter]]*(TabCalc[[#This Row],[M]]-IF(TabCalc[[#This Row],[E]]&gt;0,0,TabCalc[[#This Row],[A]]))</f>
        <v>-4498726.1499999994</v>
      </c>
      <c r="CB15" s="167" cm="1">
        <f t="array" aca="1" ref="CB15" ca="1">IFERROR(MIN(_xlfn._xlws.FILTER(INDIRECT("TabReg["&amp;TabCalc[[#This Row],[Ticker]]&amp;"]"), INDIRECT("TabReg["&amp;TabCalc[[#This Row],[Ticker]]&amp;"2]")&gt;0)),0)</f>
        <v>45278</v>
      </c>
      <c r="CC15" s="178" cm="1">
        <f t="array" aca="1" ref="CC15" ca="1">IFERROR(MIN(_xlfn._xlws.FILTER(INDIRECT("TabReg["&amp;TabCalc[[#This Row],[Ticker]]&amp;"1]"), INDIRECT("TabReg["&amp;TabCalc[[#This Row],[Ticker]]&amp;"2]")&gt;0)),0)</f>
        <v>5000</v>
      </c>
      <c r="CD15" s="173" cm="1">
        <f t="array" aca="1" ref="CD15" ca="1">IFERROR(MIN(_xlfn._xlws.FILTER(INDIRECT("TabReg["&amp;TabCalc[[#This Row],[Ticker]]&amp;"2]"), INDIRECT("TabReg["&amp;TabCalc[[#This Row],[Ticker]]&amp;"2]")&gt;0)),0)</f>
        <v>3.08</v>
      </c>
      <c r="CE15" s="167" cm="1">
        <f t="array" aca="1" ref="CE15" ca="1">IFERROR(MAX(_xlfn._xlws.FILTER(INDIRECT("TabReg["&amp;TabCalc[[#This Row],[Ticker]]&amp;"]"), INDIRECT("TabReg["&amp;TabCalc[[#This Row],[Ticker]]&amp;"2]")&gt;0)),0)</f>
        <v>45937</v>
      </c>
      <c r="CF15" s="178" cm="1">
        <f t="array" aca="1" ref="CF15" ca="1">IFERROR(MAX(_xlfn._xlws.FILTER(INDIRECT("TabReg["&amp;TabCalc[[#This Row],[Ticker]]&amp;"1]"), INDIRECT("TabReg["&amp;TabCalc[[#This Row],[Ticker]]&amp;"2]")&gt;0)),0)</f>
        <v>20000</v>
      </c>
      <c r="CG15" s="173" cm="1">
        <f t="array" aca="1" ref="CG15" ca="1">IFERROR(MAX(_xlfn._xlws.FILTER(INDIRECT("TabReg["&amp;TabCalc[[#This Row],[Ticker]]&amp;"2]"), INDIRECT("TabReg["&amp;TabCalc[[#This Row],[Ticker]]&amp;"2]")&gt;0)),0)</f>
        <v>6.22</v>
      </c>
      <c r="CH15" s="167" cm="1">
        <f t="array" aca="1" ref="CH15" ca="1">MIN(_xlfn._xlws.FILTER(INDIRECT("TabReg["&amp;TabCalc[[#This Row],[Ticker]]&amp;"]"), INDIRECT("TabReg["&amp;TabCalc[[#This Row],[Ticker]]&amp;"2]")&lt;0))</f>
        <v>40544</v>
      </c>
      <c r="CI15" s="177" cm="1">
        <f t="array" aca="1" ref="CI15" ca="1">MIN(_xlfn._xlws.FILTER(INDIRECT("TabReg["&amp;TabCalc[[#This Row],[Ticker]]&amp;"1]"), INDIRECT("TabReg["&amp;TabCalc[[#This Row],[Ticker]]&amp;"2]")&lt;0))</f>
        <v>5000</v>
      </c>
      <c r="CJ15" s="173" cm="1">
        <f t="array" aca="1" ref="CJ15" ca="1">MIN(_xlfn._xlws.FILTER(INDIRECT("TabReg["&amp;TabCalc[[#This Row],[Ticker]]&amp;"2]"), INDIRECT("TabReg["&amp;TabCalc[[#This Row],[Ticker]]&amp;"2]")&lt;0))</f>
        <v>-10.359875000000001</v>
      </c>
      <c r="CK15" s="167" cm="1">
        <f t="array" aca="1" ref="CK15" ca="1">MAX(_xlfn._xlws.FILTER(INDIRECT("TabReg["&amp;TabCalc[[#This Row],[Ticker]]&amp;"]"), INDIRECT("TabReg["&amp;TabCalc[[#This Row],[Ticker]]&amp;"2]")&lt;0))</f>
        <v>45790</v>
      </c>
      <c r="CL15" s="177" cm="1">
        <f t="array" aca="1" ref="CL15" ca="1">MAX(_xlfn._xlws.FILTER(INDIRECT("TabReg["&amp;TabCalc[[#This Row],[Ticker]]&amp;"1]"), INDIRECT("TabReg["&amp;TabCalc[[#This Row],[Ticker]]&amp;"2]")&lt;0))</f>
        <v>40000</v>
      </c>
      <c r="CM15" s="173" cm="1">
        <f t="array" aca="1" ref="CM15" ca="1">MAX(_xlfn._xlws.FILTER(INDIRECT("TabReg["&amp;TabCalc[[#This Row],[Ticker]]&amp;"2]"), INDIRECT("TabReg["&amp;TabCalc[[#This Row],[Ticker]]&amp;"2]")&lt;0))</f>
        <v>-1.91</v>
      </c>
      <c r="CN15" s="167" cm="1">
        <f t="array" aca="1" ref="CN15" ca="1">IFERROR(_xlfn.XLOOKUP(TabCalc[[#This Row],[BS2P]],INDIRECT("TabReg["&amp;TabCalc[[#This Row],[Ticker]]&amp;"2]"),INDIRECT("TabReg["&amp;TabCalc[[#This Row],[Ticker]]&amp;"]")),0)</f>
        <v>45694</v>
      </c>
      <c r="CO15" s="178" cm="1">
        <f t="array" aca="1" ref="CO15" ca="1">IFERROR(_xlfn.XLOOKUP(TabCalc[[#This Row],[BS2P]],INDIRECT("TabReg["&amp;TabCalc[[#This Row],[Ticker]]&amp;"2]"),INDIRECT("TabReg["&amp;TabCalc[[#This Row],[Ticker]]&amp;"1]")),0)</f>
        <v>15000</v>
      </c>
      <c r="CP15" s="173">
        <f ca="1">_xlfn.MAXIFS(INDIRECT("TabReg["&amp;TabCalc[[#This Row],[Ticker]]&amp;"2]"), INDIRECT("TabReg["&amp;TabCalc[[#This Row],[Ticker]]&amp;"2]"), "&lt;" &amp; MAX(INDIRECT("TabReg["&amp;TabCalc[[#This Row],[Ticker]]&amp;"2]")))</f>
        <v>4.6399999999999997</v>
      </c>
      <c r="CQ15" s="167" cm="1">
        <f t="array" aca="1" ref="CQ15" ca="1">IFERROR(_xlfn.XLOOKUP(TabCalc[[#This Row],[WB2P]],INDIRECT("TabReg["&amp;TabCalc[[#This Row],[Ticker]]&amp;"2]"),INDIRECT("TabReg["&amp;TabCalc[[#This Row],[Ticker]]&amp;"]")),0)</f>
        <v>45337</v>
      </c>
      <c r="CR15" s="178" cm="1">
        <f t="array" aca="1" ref="CR15" ca="1">IFERROR(_xlfn.XLOOKUP(TabCalc[[#This Row],[WB2P]],INDIRECT("TabReg["&amp;TabCalc[[#This Row],[Ticker]]&amp;"2]"),INDIRECT("TabReg["&amp;TabCalc[[#This Row],[Ticker]]&amp;"1]")),0)</f>
        <v>5000</v>
      </c>
      <c r="CS15" s="173">
        <f ca="1">_xlfn.MINIFS(INDIRECT("TabReg["&amp;TabCalc[[#This Row],[Ticker]]&amp;"2]"), INDIRECT("TabReg["&amp;TabCalc[[#This Row],[Ticker]]&amp;"2]"), "&gt;" &amp; MIN(INDIRECT("TabReg["&amp;TabCalc[[#This Row],[Ticker]]&amp;"2]")))</f>
        <v>-5.5998999999999999</v>
      </c>
      <c r="CT15" s="405">
        <f ca="1">IF(TabCalc[[#This Row],[M]]&lt;TabCalc[[#This Row],[L_Sp]],DesiredBuyGain/(TabCalc[[#This Row],[L_Sp]]-TabCalc[[#This Row],[M]]),0)</f>
        <v>249999.99999999977</v>
      </c>
      <c r="CU15" s="406">
        <f ca="1">IF(TabCalc[[#This Row],[ntoBuy]]*TabCalc[[#This Row],[M]]&lt;=0,0,TabCalc[[#This Row],[ntoBuy]]*TabCalc[[#This Row],[M]])</f>
        <v>782499.9999999993</v>
      </c>
      <c r="CV15" s="406">
        <f ca="1">IF(TabCalc[[#This Row],[M]]&gt;ABS(TabCalc[[#This Row],[L_Bp]]),MIN(TabCalc[[#This Row],[NAfter]],DesiredSaleGain/(TabCalc[[#This Row],[M]]+TabCalc[[#This Row],[L_Bp]])),0)/TabCalc[[#This Row],[Scale]]</f>
        <v>4098.3606557377052</v>
      </c>
      <c r="CW15" s="407">
        <f ca="1">TabCalc[[#This Row],[ntoSell]]*TabCalc[[#This Row],[M]]</f>
        <v>12827.868852459016</v>
      </c>
      <c r="CX15" s="400">
        <f ca="1">_xlfn.LET(_xlpm.nToSell,IF(TabCalc[[#This Row],[M]]-TabCalc[[#This Row],[A]]&lt;=0,"",INT(DesiredSaleGain/(TabCalc[[#This Row],[M]]-IF(TabCalc[[#This Row],[E]]&gt;0,0,TabCalc[[#This Row],[A]])))),IF(_xlpm.nToSell&lt;=TabCalc[[#This Row],[NAfter]],_xlpm.nToSell,0))</f>
        <v>0</v>
      </c>
      <c r="CY15" s="338">
        <f ca="1">IFERROR(TabCalc[[#This Row],[NMA]]*TabCalc[[#This Row],[M]],"")</f>
        <v>0</v>
      </c>
      <c r="CZ15" s="337" cm="1">
        <f t="array" aca="1" ref="CZ15" ca="1">_xlfn.IFS(TabCalc[[#This Row],[M]]&gt;= TabCalc[[#This Row],[L_Sp]],(TabCalc[[#This Row],[M]]-TabCalc[[#This Row],[A]])*TabCalc[[#This Row],[NAfter]]*TabCalc[[#This Row],[Scale]],           TabCalc[[#This Row],[M]]&lt; TabCalc[[#This Row],[L_Sp]],(TabCalc[[#This Row],[M]]-TabCalc[[#This Row],[A]])*TabCalc[[#This Row],[NAfter]]*TabCalc[[#This Row],[Scale]],               TRUE,"")</f>
        <v>-4498726.1499999994</v>
      </c>
      <c r="DA15" s="90">
        <f ca="1">IFERROR((TabCalc[[#This Row],[M]]+TabCalc[[#This Row],[L_Bp]])/ABS(TabCalc[[#This Row],[L_Bp]])/(TODAY()-TabCalc[[#This Row],[L_Bdate]])*360,"")</f>
        <v>1.3852267709581783</v>
      </c>
      <c r="DB15" s="312">
        <f ca="1">MEDIAN(DataShift!F715:Z715)</f>
        <v>1.088E-3</v>
      </c>
      <c r="DC15" s="312" t="str" cm="1">
        <f t="array" aca="1" ref="DC1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15" s="88" t="s">
        <v>12</v>
      </c>
      <c r="DN15" s="81">
        <v>350</v>
      </c>
      <c r="DO15" s="317">
        <v>-170.71425714285715</v>
      </c>
    </row>
    <row r="16" spans="1:119">
      <c r="A16" s="120" t="str">
        <f ca="1">_xlfn.XLOOKUP(TabCalc[[#This Row],[Ticker]],[1]!RTData[Ticker symbol],[1]!RTData[Currency])</f>
        <v>USD</v>
      </c>
      <c r="B16" s="121">
        <f ca="1">IF(TabCalc[[#This Row],[Cur]]="GBP",0.01,1)</f>
        <v>1</v>
      </c>
      <c r="C16" s="82">
        <f ca="1">_xlfn.XLOOKUP(TabCalc[[#This Row],[Ticker]],DM$3:DM$96,DN$3:DN$96)</f>
        <v>350</v>
      </c>
      <c r="D16" s="1254">
        <f ca="1">_xlfn.XLOOKUP(TabCalc[[#This Row],[Ticker]],DM$3:DM$96,DO$3:DO$96)</f>
        <v>-170.71425714285715</v>
      </c>
      <c r="E16" s="121">
        <f t="shared" ca="1" si="0"/>
        <v>-59749.990000000005</v>
      </c>
      <c r="F16" s="82">
        <f ca="1">TabCalc[[#This Row],[NAfter]]*TabCalc[[#This Row],[M]]*TabCalc[[#This Row],[Scale]]</f>
        <v>111680</v>
      </c>
      <c r="G16" s="82">
        <f ca="1">IFERROR(TabCalc[[#This Row],[SB]]-TabCalc[[#This Row],[SST]],TabCalc[[#This Row],[SB]])</f>
        <v>1000</v>
      </c>
      <c r="H16" s="535" t="str">
        <f ca="1">[1]!RTData[[#This Row],[Ticker symbol]]</f>
        <v>DIS</v>
      </c>
      <c r="I16" s="385">
        <f ca="1">[1]!RTData[[#This Row],[M-Price]]</f>
        <v>111.68</v>
      </c>
      <c r="J16" s="384">
        <v>2.9870588235294115</v>
      </c>
      <c r="K16" s="383">
        <f>[1]!RTData[[#This Row],[1YT]]</f>
        <v>133.96896000000001</v>
      </c>
      <c r="L16" s="384">
        <f ca="1">IF(OR(TabCalc[[#This Row],[NAfter]]=0,TabCalc[[#This Row],[EfCost]]&gt;0),0,TabCalc[[#This Row],[EfCost]]/TabCalc[[#This Row],[NAfter]]/TabCalc[[#This Row],[Scale]])</f>
        <v>-91.697512000000046</v>
      </c>
      <c r="M16" s="744">
        <f ca="1">[1]!RTData[[#This Row],[Change%]]</f>
        <v>-1.1944E-2</v>
      </c>
      <c r="N16" s="1172">
        <v>0.35714285714285715</v>
      </c>
      <c r="O16" s="966">
        <f>TabCalc[[#This Row],[Up20]]-1+TabCalc[[#This Row],[Up20]]</f>
        <v>-0.28571428571428564</v>
      </c>
      <c r="P16" s="966">
        <f>TabCalc[[#This Row],[Up20]]-TabCalc[[#This Row],[Up150]]</f>
        <v>-0.11693121693121694</v>
      </c>
      <c r="Q16" s="966">
        <v>0.47407407407407409</v>
      </c>
      <c r="R16" s="966">
        <f>TabCalc[[#This Row],[Up150]]-1+TabCalc[[#This Row],[Up150]]</f>
        <v>-5.1851851851851816E-2</v>
      </c>
      <c r="S16" s="966">
        <f ca="1">IFERROR(SUMPRODUCT(DataShift!F1508:Z1508,DataShift!AB715:AV715)/SQRT(SUMPRODUCT(DataShift!F1508:Z1508,DataShift!F1508:Z1508)*SUMPRODUCT(DataShift!AB715:AV715,DataShift!AB715:AV715)),0)</f>
        <v>-0.81438585810101616</v>
      </c>
      <c r="T16" s="966">
        <f ca="1">IFERROR(SUMPRODUCT(DataShift!F1508:Z1508,DataShift!F716:Z716)/SQRT(SUMPRODUCT(DataShift!F1508:Z1508,DataShift!F1508:Z1508)*SUMPRODUCT(DataShift!F716:Z716,DataShift!F716:Z716)),0)</f>
        <v>-0.42140946602061763</v>
      </c>
      <c r="U16" s="1107">
        <v>40000</v>
      </c>
      <c r="V16" s="1107">
        <v>45000</v>
      </c>
      <c r="W16" s="1107">
        <v>0</v>
      </c>
      <c r="X16" s="966" t="str">
        <f ca="1">IF(TabCalc[[#This Row],[EfCost]]+TabCalc[[#This Row],[M_V]]&lt;TabCalc[[#This Row],[NoT_GL]],"Pile","")</f>
        <v/>
      </c>
      <c r="Y1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6" s="213">
        <f ca="1">MIN(TabCalc[[#This Row],[L_Bn]],TabCalc[[#This Row],[NAfter]])*(TabCalc[[#This Row],[M]]+TabCalc[[#This Row],[L_Bp]])*TabCalc[[#This Row],[Scale]]</f>
        <v>-3373.9999999999895</v>
      </c>
      <c r="AA16" s="210" cm="1">
        <f t="array" aca="1" ref="AA16" ca="1">_xlfn.XLOOKUP(TabCalc[[#This Row],[L_Bp]],INDIRECT("TabReg["&amp;TabCalc[[#This Row],[Ticker]]&amp;"2]"),INDIRECT("TabReg["&amp;TabCalc[[#This Row],[Ticker]]&amp;"]"))</f>
        <v>45910</v>
      </c>
      <c r="AB16" s="181" cm="1">
        <f t="array" aca="1" ref="AB16" ca="1">_xlfn.XLOOKUP(TabCalc[[#This Row],[L_Bp]],INDIRECT("TabReg["&amp;TabCalc[[#This Row],[Ticker]]&amp;"2]"),INDIRECT("TabReg["&amp;TabCalc[[#This Row],[Ticker]]&amp;"1]"))</f>
        <v>800</v>
      </c>
      <c r="AC16" s="192" cm="1">
        <f t="array" aca="1" ref="AC16" ca="1">IFERROR(INDEX(INDIRECT("TabReg["&amp;TabCalc[[#This Row],[Ticker]]&amp;"2]"),    _xlfn.XMATCH(    MAX(    _xlfn._xlws.FILTER(INDIRECT("TabReg["&amp;TabCalc[[#This Row],[Ticker]]&amp;"]"), INDIRECT("TabReg["&amp;TabCalc[[#This Row],[Ticker]]&amp;"2]")&lt;0)     ), INDIRECT("TabReg["&amp;TabCalc[[#This Row],[Ticker]]&amp;"]"),      0)), "")</f>
        <v>-115.89749999999999</v>
      </c>
      <c r="AD16" s="213">
        <f ca="1">IFERROR(MIN(TabCalc[[#This Row],[L_B1n]],TabCalc[[#This Row],[NAfter]])*(TabCalc[[#This Row],[M]]+TabCalc[[#This Row],[L_B1p]])*TabCalc[[#This Row],[Scale]],"")</f>
        <v>1920.0000000000045</v>
      </c>
      <c r="AE16" s="210" cm="1">
        <f t="array" aca="1" ref="AE1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45706</v>
      </c>
      <c r="AF16" s="181" cm="1">
        <f t="array" aca="1" ref="AF16" ca="1">IFERROR(_xlfn.XLOOKUP(TabCalc[[#This Row],[L_B1D]],INDIRECT("TabReg["&amp;TabCalc[[#This Row],[Ticker]]&amp;"]"),INDIRECT("TabReg["&amp;TabCalc[[#This Row],[Ticker]]&amp;"1]")),0)</f>
        <v>800</v>
      </c>
      <c r="AG16" s="192" cm="1">
        <f t="array" aca="1" ref="AG16" ca="1">IFERROR(_xlfn.XLOOKUP(TabCalc[[#This Row],[L_B1D]],INDIRECT("TabReg["&amp;TabCalc[[#This Row],[Ticker]]&amp;"]"),INDIRECT("TabReg["&amp;TabCalc[[#This Row],[Ticker]]&amp;"2]")),0)</f>
        <v>-109.28</v>
      </c>
      <c r="AH16" s="302">
        <f ca="1">IFERROR(TabCalc[[#This Row],[L_Sn]]*(TabCalc[[#This Row],[L_Sp]]-TabCalc[[#This Row],[M]])*TabCalc[[#This Row],[Scale]],"")</f>
        <v>6159.9999999999909</v>
      </c>
      <c r="AI16" s="210" cm="1">
        <f t="array" aca="1" ref="AI16" ca="1">IFERROR(_xlfn.XLOOKUP(TabCalc[[#This Row],[L_Sp]],INDIRECT("TabReg["&amp;TabCalc[[#This Row],[Ticker]]&amp;"2]"),INDIRECT("TabReg["&amp;TabCalc[[#This Row],[Ticker]]&amp;"]")),0)</f>
        <v>45833</v>
      </c>
      <c r="AJ16" s="181" cm="1">
        <f t="array" aca="1" ref="AJ16" ca="1">IFERROR(_xlfn.XLOOKUP(TabCalc[[#This Row],[L_Sp]],INDIRECT("TabReg["&amp;TabCalc[[#This Row],[Ticker]]&amp;"2]"),INDIRECT("TabReg["&amp;TabCalc[[#This Row],[Ticker]]&amp;"1]")),0)</f>
        <v>800</v>
      </c>
      <c r="AK16" s="192" cm="1">
        <f t="array" aca="1" ref="AK16" ca="1">IFERROR(INDEX(INDIRECT("TabReg["&amp;TabCalc[[#This Row],[Ticker]]&amp;"2]"), _xlfn.XMATCH(MAX(_xlfn._xlws.FILTER(INDIRECT("TabReg["&amp;TabCalc[[#This Row],[Ticker]]&amp;"]"), INDIRECT("TabReg["&amp;TabCalc[[#This Row],[Ticker]]&amp;"2]")&gt;0)), INDIRECT("TabReg["&amp;TabCalc[[#This Row],[Ticker]]&amp;"]"), 0)), 0)</f>
        <v>119.38</v>
      </c>
      <c r="AL16" s="214">
        <f ca="1">IFERROR(TabCalc[[#This Row],[L_S1n]]*(TabCalc[[#This Row],[L_S1p]]-TabCalc[[#This Row],[M]])*TabCalc[[#This Row],[Scale]],0)</f>
        <v>2287.9999999999995</v>
      </c>
      <c r="AM16" s="210" cm="1">
        <f t="array" aca="1" ref="AM1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45828</v>
      </c>
      <c r="AN16" s="181" cm="1">
        <f t="array" aca="1" ref="AN16" ca="1">IFERROR(_xlfn.XLOOKUP(TabCalc[[#This Row],[L_S1D]],INDIRECT("TabReg["&amp;TabCalc[[#This Row],[Ticker]]&amp;"]"),INDIRECT("TabReg["&amp;TabCalc[[#This Row],[Ticker]]&amp;"1]")),0)</f>
        <v>400</v>
      </c>
      <c r="AO16" s="384" cm="1">
        <f t="array" aca="1" ref="AO16" ca="1">IFERROR(_xlfn.XLOOKUP(TabCalc[[#This Row],[L_S1D]],INDIRECT("TabReg["&amp;TabCalc[[#This Row],[Ticker]]&amp;"]"),INDIRECT("TabReg["&amp;TabCalc[[#This Row],[Ticker]]&amp;"2]")),0)</f>
        <v>117.4</v>
      </c>
      <c r="AP16" s="336">
        <f ca="1">_xlfn.LET(_xlpm.MVOpen,[1]!RTData[[#This Row],[Open]]*TabCalc[[#This Row],[NAfter]],_xlpm.MVNow,TabCalc[[#This Row],[M]]*TabCalc[[#This Row],[NAfter]],_xlpm.MVNow-_xlpm.MVOpen)*TabCalc[[#This Row],[Scale]]</f>
        <v>-1550</v>
      </c>
      <c r="AQ16" s="336">
        <f ca="1">_xlfn.LET(_xlpm.MVToday,DataShift!AV516,         _xlpm.MVY,DataShift!AU517,        _xlpm.MVYY, DataShift!AT517,                                IF(_xlpm.MVToday=_xlpm.MVY,_xlpm.MVY-_xlpm.MVYY,_xlpm.MVToday-_xlpm.MVY))</f>
        <v>3.0000000000001137E-2</v>
      </c>
      <c r="AR16" s="336">
        <f ca="1">_xlfn.LET(_xlpm.MVToday,DataShift!AV516,         _xlpm.MVY,DataShift!AU517,        _xlpm.MVYY, DataShift!AT517,         _xlpm.MVYYY, DataShift!AS517,                      IF(_xlpm.MVToday=_xlpm.MVY,      _xlpm.MVYY-_xlpm.MVYYY,          _xlpm.MVY-_xlpm.MVYY))</f>
        <v>0.83000000000001251</v>
      </c>
      <c r="AS16" s="1078">
        <f ca="1">TabCalc[[#This Row],[Y]]/TabCalc[[#This Row],[M]]</f>
        <v>1.1995787965616047</v>
      </c>
      <c r="AT16" s="299" t="str" cm="1">
        <f t="array" aca="1" ref="AT16" ca="1">IFERROR(_xlfn.IFS(          TabCalc[[#This Row],[E]]&gt;0, "Free Trade",      TabCalc[[#This Row],[A]]&lt;MIN(TabCalc[[#This Row],[L_Sp]],TabCalc[[#This Row],[M]]), "Buy",            TabCalc[[#This Row],[M]]&lt;TabCalc[[#This Row],[L_Sp]],       "Refill",       TabCalc[[#This Row],[M]]&gt;TabCalc[[#This Row],[L_Sp]],"S_more"),"")</f>
        <v>Buy</v>
      </c>
      <c r="AU16" s="299" t="str">
        <f ca="1">IF(           AND(TabCalc[[#This Row],[E]]&lt;=0,          TabCalc[[#This Row],[A]]&gt;MIN(TabCalc[[#This Row],[M]],TabCalc[[#This Row],[L_Sp]]),             TabCalc[[#This Row],[L_Sp]]&lt;=TabCalc[[#This Row],[M]]),                       "S_more","")</f>
        <v/>
      </c>
      <c r="AV16" s="82" t="str" cm="1">
        <f t="array" aca="1" ref="AV16" ca="1">IFERROR(_xlfn.IFS(TabCalc[[#This Row],[E]]&gt;0,"Free trade",                 TabCalc[[#This Row],[A]]&lt;MAX(ABS(TabCalc[[#This Row],[L_Bp]]),TabCalc[[#This Row],[A]]),"Sell",             TabCalc[[#This Row],[M]]&gt;ABS(TabCalc[[#This Row],[L_Bp]]),"Resell",             TabCalc[[#This Row],[M]]&lt;ABS(TabCalc[[#This Row],[L_Bp]]),"B_more"),"")</f>
        <v>Sell</v>
      </c>
      <c r="AW16" s="82">
        <f ca="1">TabCalc[[#This Row],[NAfter]]-TabCalc[[#This Row],[Nbegin]]</f>
        <v>650</v>
      </c>
      <c r="AX16" s="307">
        <f ca="1">IFERROR((TabCalc[[#This Row],[M]]-TabCalc[[#This Row],[Y]])*(TabCalc[[#This Row],[M]]-TabCalc[[#This Row],[Y]])*(TabCalc[[#This Row],[M]]-TabCalc[[#This Row],[Y]])/(TabCalc[[#This Row],[Y]]*TabCalc[[#This Row],[M]]),"")</f>
        <v>-0.74009900995676348</v>
      </c>
      <c r="AY16" s="82">
        <f t="shared" ca="1" si="1"/>
        <v>0</v>
      </c>
      <c r="AZ16" s="90">
        <f ca="1">[1]!RTData[[#This Row],[V/VA]]</f>
        <v>0.69922147030240689</v>
      </c>
      <c r="BA16" s="90" t="str" cm="1">
        <f t="array" aca="1" ref="BA16" ca="1">IFERROR(_xlfn.IFS(TabCalc[[#This Row],[Cur]]="USD",Timer!F$27,TabCalc[[#This Row],[Cur]]="EUR",Timer!F$18,TabCalc[[#This Row],[Cur]]="GBP",Timer!F$12,TabCalc[[#This Row],[Cur]]="CAD",Timer!F$27,TabCalc[[#This Row],[Cur]]="JPY",Timer!F$31,TabCalc[[#This Row],[Cur]]="CHF",Timer!F$18),"Timing")</f>
        <v>None-Working Day</v>
      </c>
      <c r="BB16" s="90">
        <f ca="1">IF(ISNUMBER(TabCalc[[#This Row],[TimeEX]]),TabCalc[[#This Row],[V/VA]]/TabCalc[[#This Row],[TimeEX]],TabCalc[[#This Row],[V/VA]])</f>
        <v>0.69922147030240689</v>
      </c>
      <c r="BC16" s="87" cm="1">
        <f t="array" aca="1" ref="BC16" ca="1">INDEX(TabReg[], 1, _xlfn.XMATCH(TabCalc[[#This Row],[Ticker]]&amp;1, TabReg[#Headers], 0))</f>
        <v>350</v>
      </c>
      <c r="BD16" s="161">
        <f ca="1">TabCalc[[#This Row],[Nbegin]]*TabCalc[[#This Row],[M]]*TabCalc[[#This Row],[Scale]]+TabCalc[[#This Row],[ValueBegin]]</f>
        <v>-20661.990000000005</v>
      </c>
      <c r="BE16" s="336" t="str" cm="1">
        <f t="array" aca="1" ref="BE16" ca="1">_xlfn.IFS(TabCalc[[#This Row],[Cost+Gain]]&gt;0,"Free",             TabCalc[[#This Row],[GL]]&gt;0,"Gainer",                TRUE,"Looser")</f>
        <v>Gainer</v>
      </c>
      <c r="BF16" s="161">
        <f ca="1">TabCalc[[#This Row],[Tot_Paid]]-TabCalc[[#This Row],[ValueBegin]]</f>
        <v>-501236.31195200002</v>
      </c>
      <c r="BG16" s="337">
        <f ca="1">IF(TabCalc[[#This Row],[EfCost]]&gt;TabCalc[[#This Row],[ValueBegin]],       0,        TabCalc[[#This Row],[EfCost]]-TabCalc[[#This Row],[ValueBegin]]*(1+Commission))</f>
        <v>-31792.172026000044</v>
      </c>
      <c r="BH16" s="338">
        <f ca="1">TabCalc[[#This Row],[M_V]]+TabCalc[[#This Row],[ValueBegin]]</f>
        <v>51930.009999999995</v>
      </c>
      <c r="BI16" s="161" cm="1">
        <f t="array" aca="1" ref="BI16" ca="1">SUMPRODUCT(_xlfn._xlws.FILTER(INDIRECT("TabReg["&amp;TabCalc[[#This Row],[Ticker]]&amp;"1]") * INDIRECT("TabReg["&amp;TabCalc[[#This Row],[Ticker]]&amp;"2]"), INDIRECT("TabReg["&amp;TabCalc[[#This Row],[Ticker]]&amp;"2]")&lt;0))*(1+Commission)*TabCalc[[#This Row],[Scale]]</f>
        <v>-560986.30195200001</v>
      </c>
      <c r="BJ16" s="161" cm="1">
        <f t="array" aca="1" ref="BJ16" ca="1">SUMPRODUCT(IF(INDIRECT("TabReg["&amp;TabCalc[[#This Row],[Ticker]]&amp;"2]") ="", 0, INDIRECT("TabReg["&amp;TabCalc[[#This Row],[Ticker]]&amp;"1]") * INDIRECT("TabReg["&amp;TabCalc[[#This Row],[Ticker]]&amp;"2]") ))*TabCalc[[#This Row],[Scale]]</f>
        <v>-91697.512000000046</v>
      </c>
      <c r="BK16" s="161" cm="1">
        <f t="array" aca="1" ref="BK1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466617.63957920001</v>
      </c>
      <c r="BL16" s="161">
        <f ca="1">TabCalc[[#This Row],[M_V]]+TabCalc[[#This Row],[EfCost]]</f>
        <v>19982.487999999954</v>
      </c>
      <c r="BM16" s="161">
        <f ca="1">IF(        OR( TabCalc[[#This Row],[GL]]&gt;ABS(TabCalc[[#This Row],[EfCost]]),TabCalc[[#This Row],[NAfter]]=0),             TabCalc[[#This Row],[GL]],     0)</f>
        <v>0</v>
      </c>
      <c r="BN16" s="161" cm="1">
        <f t="array" aca="1" ref="BN16" ca="1">SUMPRODUCT(_xlfn._xlws.FILTER(IF(INDIRECT("TabReg["&amp;TabCalc[[#This Row],[Ticker]]&amp;"2]") ="", 0, INDIRECT("TabReg["&amp;TabCalc[[#This Row],[Ticker]]&amp;"1]")  ),  INDIRECT("TabReg["&amp;TabCalc[[#This Row],[Ticker]]&amp;"2]") &lt; 0))</f>
        <v>5040</v>
      </c>
      <c r="BO16" s="161">
        <f ca="1">TabCalc[[#This Row],[SB]]-TabCalc[[#This Row],[Nbegin]]</f>
        <v>4690</v>
      </c>
      <c r="BP16" s="161" cm="1">
        <f t="array" aca="1" ref="BP16" ca="1">IFERROR(SUMPRODUCT(_xlfn._xlws.FILTER(IF(INDIRECT("TabReg["&amp;TabCalc[[#This Row],[Ticker]]&amp;"2]") ="", 0, INDIRECT("TabReg["&amp;TabCalc[[#This Row],[Ticker]]&amp;"1]")  ),  INDIRECT("TabReg["&amp;TabCalc[[#This Row],[Ticker]]&amp;"2]") &gt; 0)),0)</f>
        <v>4040</v>
      </c>
      <c r="BQ1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149.39</v>
      </c>
      <c r="BR16" s="176" t="str">
        <f ca="1">IF(TabCalc[[#This Row],[EfCost]]+TabCalc[[#This Row],[M_V]]&lt;TabCalc[[#This Row],[NoT_GL]],"Pile","")</f>
        <v/>
      </c>
      <c r="BS16" s="167">
        <f ca="1">[1]!RTData[[#This Row],[Last trade time]]</f>
        <v>45954.999477950783</v>
      </c>
      <c r="BT16" s="177">
        <f ca="1">(TabCalc[[#This Row],[ValueBegin]]+(TabCalc[[#This Row],[M]]-TabCalc[[#This Row],[A]])*TabCalc[[#This Row],[NAfter]])*TabCalc[[#This Row],[Scale]]</f>
        <v>48942.951176470597</v>
      </c>
      <c r="BU16" s="189" cm="1">
        <f t="array" aca="1" ref="BU16" ca="1">_xlfn.XLOOKUP(TabCalc[[#This Row],[Ticker]],TabReg[[#Headers],[AAPL]:[UnknownX28]],Reg!B$72:KF$72)+3</f>
        <v>19</v>
      </c>
      <c r="BV16" s="190" cm="1">
        <f t="array" aca="1" ref="BV16" ca="1">_xlfn.XLOOKUP(TabCalc[[#This Row],[Ticker]],TabReg[[#Headers],[AAPL]:[UnknownX28]],Reg!B$73:KF$73)+2</f>
        <v>45</v>
      </c>
      <c r="BW16" s="191">
        <f ca="1">IFERROR(MAX(TabCalc[[#This Row],[Max_SD]],TabCalc[[#This Row],[Max_PD]]),0)</f>
        <v>45910</v>
      </c>
      <c r="BX16" s="191" t="str" cm="1">
        <f t="array" aca="1" ref="BX16" ca="1">_xlfn.IFS(TabCalc[[#This Row],[L_TP]]&lt;0,"Purchase",TabCalc[[#This Row],[L_TP]]&gt;0,"Sale")</f>
        <v>Purchase</v>
      </c>
      <c r="BY16" s="190" cm="1">
        <f t="array" aca="1" ref="BY16" ca="1">INDEX(Reg!$A$1:$KF$73,TabCalc[[#This Row],[L_I1]],TabCalc[[#This Row],[L_I2]])</f>
        <v>800</v>
      </c>
      <c r="BZ16" s="192" cm="1">
        <f t="array" aca="1" ref="BZ16" ca="1">INDEX(Reg!$A$1:$KF$73,TabCalc[[#This Row],[L_I1]],TabCalc[[#This Row],[L_I2]]+1)</f>
        <v>-115.89749999999999</v>
      </c>
      <c r="CA16" s="161">
        <f ca="1">TabCalc[[#This Row],[NAfter]]*(TabCalc[[#This Row],[M]]-IF(TabCalc[[#This Row],[E]]&gt;0,0,TabCalc[[#This Row],[A]]))</f>
        <v>108692.9411764706</v>
      </c>
      <c r="CB16" s="167" cm="1">
        <f t="array" aca="1" ref="CB16" ca="1">IFERROR(MIN(_xlfn._xlws.FILTER(INDIRECT("TabReg["&amp;TabCalc[[#This Row],[Ticker]]&amp;"]"), INDIRECT("TabReg["&amp;TabCalc[[#This Row],[Ticker]]&amp;"2]")&gt;0)),0)</f>
        <v>45369</v>
      </c>
      <c r="CC16" s="178" cm="1">
        <f t="array" aca="1" ref="CC16" ca="1">IFERROR(MIN(_xlfn._xlws.FILTER(INDIRECT("TabReg["&amp;TabCalc[[#This Row],[Ticker]]&amp;"1]"), INDIRECT("TabReg["&amp;TabCalc[[#This Row],[Ticker]]&amp;"2]")&gt;0)),0)</f>
        <v>100</v>
      </c>
      <c r="CD16" s="173" cm="1">
        <f t="array" aca="1" ref="CD16" ca="1">IFERROR(MIN(_xlfn._xlws.FILTER(INDIRECT("TabReg["&amp;TabCalc[[#This Row],[Ticker]]&amp;"2]"), INDIRECT("TabReg["&amp;TabCalc[[#This Row],[Ticker]]&amp;"2]")&gt;0)),0)</f>
        <v>111.54</v>
      </c>
      <c r="CE16" s="167" cm="1">
        <f t="array" aca="1" ref="CE16" ca="1">IFERROR(MAX(_xlfn._xlws.FILTER(INDIRECT("TabReg["&amp;TabCalc[[#This Row],[Ticker]]&amp;"]"), INDIRECT("TabReg["&amp;TabCalc[[#This Row],[Ticker]]&amp;"2]")&gt;0)),0)</f>
        <v>45833</v>
      </c>
      <c r="CF16" s="178" cm="1">
        <f t="array" aca="1" ref="CF16" ca="1">IFERROR(MAX(_xlfn._xlws.FILTER(INDIRECT("TabReg["&amp;TabCalc[[#This Row],[Ticker]]&amp;"1]"), INDIRECT("TabReg["&amp;TabCalc[[#This Row],[Ticker]]&amp;"2]")&gt;0)),0)</f>
        <v>900</v>
      </c>
      <c r="CG16" s="173" cm="1">
        <f t="array" aca="1" ref="CG16" ca="1">IFERROR(MAX(_xlfn._xlws.FILTER(INDIRECT("TabReg["&amp;TabCalc[[#This Row],[Ticker]]&amp;"2]"), INDIRECT("TabReg["&amp;TabCalc[[#This Row],[Ticker]]&amp;"2]")&gt;0)),0)</f>
        <v>122.535</v>
      </c>
      <c r="CH16" s="167" cm="1">
        <f t="array" aca="1" ref="CH16" ca="1">MIN(_xlfn._xlws.FILTER(INDIRECT("TabReg["&amp;TabCalc[[#This Row],[Ticker]]&amp;"]"), INDIRECT("TabReg["&amp;TabCalc[[#This Row],[Ticker]]&amp;"2]")&lt;0))</f>
        <v>40544</v>
      </c>
      <c r="CI16" s="177" cm="1">
        <f t="array" aca="1" ref="CI16" ca="1">MIN(_xlfn._xlws.FILTER(INDIRECT("TabReg["&amp;TabCalc[[#This Row],[Ticker]]&amp;"1]"), INDIRECT("TabReg["&amp;TabCalc[[#This Row],[Ticker]]&amp;"2]")&lt;0))</f>
        <v>10</v>
      </c>
      <c r="CJ16" s="173" cm="1">
        <f t="array" aca="1" ref="CJ16" ca="1">MIN(_xlfn._xlws.FILTER(INDIRECT("TabReg["&amp;TabCalc[[#This Row],[Ticker]]&amp;"2]"), INDIRECT("TabReg["&amp;TabCalc[[#This Row],[Ticker]]&amp;"2]")&lt;0))</f>
        <v>-170.71425714285715</v>
      </c>
      <c r="CK16" s="167" cm="1">
        <f t="array" aca="1" ref="CK16" ca="1">MAX(_xlfn._xlws.FILTER(INDIRECT("TabReg["&amp;TabCalc[[#This Row],[Ticker]]&amp;"]"), INDIRECT("TabReg["&amp;TabCalc[[#This Row],[Ticker]]&amp;"2]")&lt;0))</f>
        <v>45910</v>
      </c>
      <c r="CL16" s="177" cm="1">
        <f t="array" aca="1" ref="CL16" ca="1">MAX(_xlfn._xlws.FILTER(INDIRECT("TabReg["&amp;TabCalc[[#This Row],[Ticker]]&amp;"1]"), INDIRECT("TabReg["&amp;TabCalc[[#This Row],[Ticker]]&amp;"2]")&lt;0))</f>
        <v>990</v>
      </c>
      <c r="CM16" s="173" cm="1">
        <f t="array" aca="1" ref="CM16" ca="1">MAX(_xlfn._xlws.FILTER(INDIRECT("TabReg["&amp;TabCalc[[#This Row],[Ticker]]&amp;"2]"), INDIRECT("TabReg["&amp;TabCalc[[#This Row],[Ticker]]&amp;"2]")&lt;0))</f>
        <v>-97.93</v>
      </c>
      <c r="CN16" s="167" cm="1">
        <f t="array" aca="1" ref="CN16" ca="1">IFERROR(_xlfn.XLOOKUP(TabCalc[[#This Row],[BS2P]],INDIRECT("TabReg["&amp;TabCalc[[#This Row],[Ticker]]&amp;"2]"),INDIRECT("TabReg["&amp;TabCalc[[#This Row],[Ticker]]&amp;"]")),0)</f>
        <v>45833</v>
      </c>
      <c r="CO16" s="301" cm="1">
        <f t="array" aca="1" ref="CO16" ca="1">IFERROR(_xlfn.XLOOKUP(TabCalc[[#This Row],[BS2P]],INDIRECT("TabReg["&amp;TabCalc[[#This Row],[Ticker]]&amp;"2]"),INDIRECT("TabReg["&amp;TabCalc[[#This Row],[Ticker]]&amp;"1]")),0)</f>
        <v>800</v>
      </c>
      <c r="CP16" s="173">
        <f ca="1">_xlfn.MAXIFS(INDIRECT("TabReg["&amp;TabCalc[[#This Row],[Ticker]]&amp;"2]"), INDIRECT("TabReg["&amp;TabCalc[[#This Row],[Ticker]]&amp;"2]"), "&lt;" &amp; MAX(INDIRECT("TabReg["&amp;TabCalc[[#This Row],[Ticker]]&amp;"2]")))</f>
        <v>119.38</v>
      </c>
      <c r="CQ16" s="167" cm="1">
        <f t="array" aca="1" ref="CQ16" ca="1">IFERROR(_xlfn.XLOOKUP(TabCalc[[#This Row],[WB2P]],INDIRECT("TabReg["&amp;TabCalc[[#This Row],[Ticker]]&amp;"2]"),INDIRECT("TabReg["&amp;TabCalc[[#This Row],[Ticker]]&amp;"]")),0)</f>
        <v>45910</v>
      </c>
      <c r="CR16" s="301" cm="1">
        <f t="array" aca="1" ref="CR16" ca="1">IFERROR(_xlfn.XLOOKUP(TabCalc[[#This Row],[WB2P]],INDIRECT("TabReg["&amp;TabCalc[[#This Row],[Ticker]]&amp;"2]"),INDIRECT("TabReg["&amp;TabCalc[[#This Row],[Ticker]]&amp;"1]")),0)</f>
        <v>800</v>
      </c>
      <c r="CS16" s="173">
        <f ca="1">_xlfn.MINIFS(INDIRECT("TabReg["&amp;TabCalc[[#This Row],[Ticker]]&amp;"2]"), INDIRECT("TabReg["&amp;TabCalc[[#This Row],[Ticker]]&amp;"2]"), "&gt;" &amp; MIN(INDIRECT("TabReg["&amp;TabCalc[[#This Row],[Ticker]]&amp;"2]")))</f>
        <v>-115.89749999999999</v>
      </c>
      <c r="CT16" s="405">
        <f ca="1">IF(TabCalc[[#This Row],[M]]&lt;TabCalc[[#This Row],[L_Sp]],DesiredBuyGain/(TabCalc[[#This Row],[L_Sp]]-TabCalc[[#This Row],[M]]),0)</f>
        <v>649.35064935065031</v>
      </c>
      <c r="CU16" s="406">
        <f ca="1">IF(TabCalc[[#This Row],[ntoBuy]]*TabCalc[[#This Row],[M]]&lt;=0,0,TabCalc[[#This Row],[ntoBuy]]*TabCalc[[#This Row],[M]])</f>
        <v>72519.480519480625</v>
      </c>
      <c r="CV16" s="406">
        <f ca="1">IF(TabCalc[[#This Row],[M]]&gt;ABS(TabCalc[[#This Row],[L_Bp]]),MIN(TabCalc[[#This Row],[NAfter]],DesiredSaleGain/(TabCalc[[#This Row],[M]]+TabCalc[[#This Row],[L_Bp]])),0)/TabCalc[[#This Row],[Scale]]</f>
        <v>0</v>
      </c>
      <c r="CW16" s="407">
        <f ca="1">TabCalc[[#This Row],[ntoSell]]*TabCalc[[#This Row],[M]]</f>
        <v>0</v>
      </c>
      <c r="CX16" s="400">
        <f ca="1">_xlfn.LET(_xlpm.nToSell,IF(TabCalc[[#This Row],[M]]-TabCalc[[#This Row],[A]]&lt;=0,"",INT(DesiredSaleGain/(TabCalc[[#This Row],[M]]-IF(TabCalc[[#This Row],[E]]&gt;0,0,TabCalc[[#This Row],[A]])))),IF(_xlpm.nToSell&lt;=TabCalc[[#This Row],[NAfter]],_xlpm.nToSell,0))</f>
        <v>46</v>
      </c>
      <c r="CY16" s="338">
        <f ca="1">IFERROR(TabCalc[[#This Row],[NMA]]*TabCalc[[#This Row],[M]],"")</f>
        <v>5137.2800000000007</v>
      </c>
      <c r="CZ16" s="337" cm="1">
        <f t="array" aca="1" ref="CZ16" ca="1">_xlfn.IFS(TabCalc[[#This Row],[M]]&gt;= TabCalc[[#This Row],[L_Sp]],(TabCalc[[#This Row],[M]]-TabCalc[[#This Row],[A]])*TabCalc[[#This Row],[NAfter]]*TabCalc[[#This Row],[Scale]],           TabCalc[[#This Row],[M]]&lt; TabCalc[[#This Row],[L_Sp]],(TabCalc[[#This Row],[M]]-TabCalc[[#This Row],[A]])*TabCalc[[#This Row],[NAfter]]*TabCalc[[#This Row],[Scale]],               TRUE,"")</f>
        <v>108692.9411764706</v>
      </c>
      <c r="DA16" s="90">
        <f ca="1">IFERROR((TabCalc[[#This Row],[M]]+TabCalc[[#This Row],[L_Bp]])/ABS(TabCalc[[#This Row],[L_Bp]])/(TODAY()-TabCalc[[#This Row],[L_Bdate]])*360,"")</f>
        <v>-0.28479062740033506</v>
      </c>
      <c r="DB16" s="312">
        <f ca="1">MEDIAN(DataShift!F716:Z716)</f>
        <v>3.6440000000000001E-3</v>
      </c>
      <c r="DC16" s="312" t="str" cm="1">
        <f t="array" aca="1" ref="DC1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16" s="88" t="s">
        <v>13</v>
      </c>
      <c r="DN16" s="81">
        <v>250</v>
      </c>
      <c r="DO16" s="317">
        <v>-1</v>
      </c>
    </row>
    <row r="17" spans="1:119">
      <c r="A17" s="120" t="str">
        <f ca="1">_xlfn.XLOOKUP(TabCalc[[#This Row],[Ticker]],[1]!RTData[Ticker symbol],[1]!RTData[Currency])</f>
        <v>EUR</v>
      </c>
      <c r="B17" s="121">
        <f ca="1">IF(TabCalc[[#This Row],[Cur]]="GBP",0.01,1)</f>
        <v>1</v>
      </c>
      <c r="C17" s="82">
        <f ca="1">_xlfn.XLOOKUP(TabCalc[[#This Row],[Ticker]],DM$3:DM$96,DN$3:DN$96)</f>
        <v>250</v>
      </c>
      <c r="D17" s="1254">
        <f ca="1">_xlfn.XLOOKUP(TabCalc[[#This Row],[Ticker]],DM$3:DM$96,DO$3:DO$96)</f>
        <v>-1</v>
      </c>
      <c r="E17" s="121">
        <f t="shared" ca="1" si="0"/>
        <v>-250</v>
      </c>
      <c r="F17" s="82">
        <f ca="1">TabCalc[[#This Row],[NAfter]]*TabCalc[[#This Row],[M]]*TabCalc[[#This Row],[Scale]]</f>
        <v>102760</v>
      </c>
      <c r="G17" s="82">
        <f ca="1">IFERROR(TabCalc[[#This Row],[SB]]-TabCalc[[#This Row],[SST]],TabCalc[[#This Row],[SB]])</f>
        <v>4000</v>
      </c>
      <c r="H17" s="535" t="str">
        <f ca="1">[1]!RTData[[#This Row],[Ticker symbol]]</f>
        <v>DSY</v>
      </c>
      <c r="I17" s="385">
        <f ca="1">[1]!RTData[[#This Row],[M-Price]]</f>
        <v>25.69</v>
      </c>
      <c r="J17" s="384">
        <v>114.574</v>
      </c>
      <c r="K17" s="383">
        <f>[1]!RTData[[#This Row],[1YT]]</f>
        <v>35.56</v>
      </c>
      <c r="L17" s="384">
        <f ca="1">IF(OR(TabCalc[[#This Row],[NAfter]]=0,TabCalc[[#This Row],[EfCost]]&gt;0),0,TabCalc[[#This Row],[EfCost]]/TabCalc[[#This Row],[NAfter]]/TabCalc[[#This Row],[Scale]])</f>
        <v>-26.461898000000016</v>
      </c>
      <c r="M17" s="744">
        <f ca="1">[1]!RTData[[#This Row],[Change%]]</f>
        <v>-1.984E-2</v>
      </c>
      <c r="N17" s="1172">
        <v>0</v>
      </c>
      <c r="O17" s="966">
        <f>TabCalc[[#This Row],[Up20]]-1+TabCalc[[#This Row],[Up20]]</f>
        <v>-1</v>
      </c>
      <c r="P17" s="966">
        <f>TabCalc[[#This Row],[Up20]]-TabCalc[[#This Row],[Up150]]</f>
        <v>0</v>
      </c>
      <c r="Q17" s="966">
        <v>0</v>
      </c>
      <c r="R17" s="966">
        <f>TabCalc[[#This Row],[Up150]]-1+TabCalc[[#This Row],[Up150]]</f>
        <v>-1</v>
      </c>
      <c r="S17" s="966">
        <f ca="1">IFERROR(SUMPRODUCT(DataShift!F1509:Z1509,DataShift!AB716:AV716)/SQRT(SUMPRODUCT(DataShift!F1509:Z1509,DataShift!F1509:Z1509)*SUMPRODUCT(DataShift!AB716:AV716,DataShift!AB716:AV716)),0)</f>
        <v>-0.75836437076980978</v>
      </c>
      <c r="T17" s="966">
        <f ca="1">IFERROR(SUMPRODUCT(DataShift!F1509:Z1509,DataShift!F717:Z717)/SQRT(SUMPRODUCT(DataShift!F1509:Z1509,DataShift!F1509:Z1509)*SUMPRODUCT(DataShift!F717:Z717,DataShift!F717:Z717)),0)</f>
        <v>-2.2120187442101858E-2</v>
      </c>
      <c r="U17" s="1107">
        <v>200</v>
      </c>
      <c r="V17" s="1107">
        <v>800</v>
      </c>
      <c r="W17" s="1107">
        <v>0</v>
      </c>
      <c r="X17" s="966" t="str">
        <f ca="1">IF(TabCalc[[#This Row],[EfCost]]+TabCalc[[#This Row],[M_V]]&lt;TabCalc[[#This Row],[NoT_GL]],"Pile","")</f>
        <v>Pile</v>
      </c>
      <c r="Y1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32,021 = $ 822,619</v>
      </c>
      <c r="Z17" s="213">
        <f ca="1">MIN(TabCalc[[#This Row],[L_Bn]],TabCalc[[#This Row],[NAfter]])*(TabCalc[[#This Row],[M]]+TabCalc[[#This Row],[L_Bp]])*TabCalc[[#This Row],[Scale]]</f>
        <v>-1899.9999999999986</v>
      </c>
      <c r="AA17" s="210" cm="1">
        <f t="array" aca="1" ref="AA17" ca="1">_xlfn.XLOOKUP(TabCalc[[#This Row],[L_Bp]],INDIRECT("TabReg["&amp;TabCalc[[#This Row],[Ticker]]&amp;"2]"),INDIRECT("TabReg["&amp;TabCalc[[#This Row],[Ticker]]&amp;"]"))</f>
        <v>45883</v>
      </c>
      <c r="AB17" s="181" cm="1">
        <f t="array" aca="1" ref="AB17" ca="1">_xlfn.XLOOKUP(TabCalc[[#This Row],[L_Bp]],INDIRECT("TabReg["&amp;TabCalc[[#This Row],[Ticker]]&amp;"2]"),INDIRECT("TabReg["&amp;TabCalc[[#This Row],[Ticker]]&amp;"1]"))</f>
        <v>2000</v>
      </c>
      <c r="AC17" s="192" cm="1">
        <f t="array" aca="1" ref="AC17" ca="1">IFERROR(INDEX(INDIRECT("TabReg["&amp;TabCalc[[#This Row],[Ticker]]&amp;"2]"),    _xlfn.XMATCH(    MAX(    _xlfn._xlws.FILTER(INDIRECT("TabReg["&amp;TabCalc[[#This Row],[Ticker]]&amp;"]"), INDIRECT("TabReg["&amp;TabCalc[[#This Row],[Ticker]]&amp;"2]")&lt;0)     ), INDIRECT("TabReg["&amp;TabCalc[[#This Row],[Ticker]]&amp;"]"),      0)), "")</f>
        <v>-26.64</v>
      </c>
      <c r="AD17" s="213">
        <f ca="1">IFERROR(MIN(TabCalc[[#This Row],[L_B1n]],TabCalc[[#This Row],[NAfter]])*(TabCalc[[#This Row],[M]]+TabCalc[[#This Row],[L_B1p]])*TabCalc[[#This Row],[Scale]],"")</f>
        <v>-2629.9999999999991</v>
      </c>
      <c r="AE17" s="210" cm="1">
        <f t="array" aca="1" ref="AE1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45827</v>
      </c>
      <c r="AF17" s="181" cm="1">
        <f t="array" aca="1" ref="AF17" ca="1">IFERROR(_xlfn.XLOOKUP(TabCalc[[#This Row],[L_B1D]],INDIRECT("TabReg["&amp;TabCalc[[#This Row],[Ticker]]&amp;"]"),INDIRECT("TabReg["&amp;TabCalc[[#This Row],[Ticker]]&amp;"1]")),0)</f>
        <v>500</v>
      </c>
      <c r="AG17" s="192" cm="1">
        <f t="array" aca="1" ref="AG17" ca="1">IFERROR(_xlfn.XLOOKUP(TabCalc[[#This Row],[L_B1D]],INDIRECT("TabReg["&amp;TabCalc[[#This Row],[Ticker]]&amp;"]"),INDIRECT("TabReg["&amp;TabCalc[[#This Row],[Ticker]]&amp;"2]")),0)</f>
        <v>-30.95</v>
      </c>
      <c r="AH17" s="302">
        <f ca="1">IFERROR(TabCalc[[#This Row],[L_Sn]]*(TabCalc[[#This Row],[L_Sp]]-TabCalc[[#This Row],[M]])*TabCalc[[#This Row],[Scale]],"")</f>
        <v>6899.9999999999982</v>
      </c>
      <c r="AI17" s="210" cm="1">
        <f t="array" aca="1" ref="AI17" ca="1">IFERROR(_xlfn.XLOOKUP(TabCalc[[#This Row],[L_Sp]],INDIRECT("TabReg["&amp;TabCalc[[#This Row],[Ticker]]&amp;"2]"),INDIRECT("TabReg["&amp;TabCalc[[#This Row],[Ticker]]&amp;"]")),0)</f>
        <v>45938</v>
      </c>
      <c r="AJ17" s="181" cm="1">
        <f t="array" aca="1" ref="AJ17" ca="1">IFERROR(_xlfn.XLOOKUP(TabCalc[[#This Row],[L_Sp]],INDIRECT("TabReg["&amp;TabCalc[[#This Row],[Ticker]]&amp;"2]"),INDIRECT("TabReg["&amp;TabCalc[[#This Row],[Ticker]]&amp;"1]")),0)</f>
        <v>2000</v>
      </c>
      <c r="AK17" s="497" cm="1">
        <f t="array" aca="1" ref="AK17" ca="1">IFERROR(INDEX(INDIRECT("TabReg["&amp;TabCalc[[#This Row],[Ticker]]&amp;"2]"), _xlfn.XMATCH(MAX(_xlfn._xlws.FILTER(INDIRECT("TabReg["&amp;TabCalc[[#This Row],[Ticker]]&amp;"]"), INDIRECT("TabReg["&amp;TabCalc[[#This Row],[Ticker]]&amp;"2]")&gt;0)), INDIRECT("TabReg["&amp;TabCalc[[#This Row],[Ticker]]&amp;"]"), 0)), 0)</f>
        <v>29.14</v>
      </c>
      <c r="AL17" s="214">
        <f ca="1">IFERROR(TabCalc[[#This Row],[L_S1n]]*(TabCalc[[#This Row],[L_S1p]]-TabCalc[[#This Row],[M]])*TabCalc[[#This Row],[Scale]],0)</f>
        <v>6499.9999999999982</v>
      </c>
      <c r="AM17" s="210" cm="1">
        <f t="array" aca="1" ref="AM1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N17" s="181" cm="1">
        <f t="array" aca="1" ref="AN17" ca="1">IFERROR(_xlfn.XLOOKUP(TabCalc[[#This Row],[L_S1D]],INDIRECT("TabReg["&amp;TabCalc[[#This Row],[Ticker]]&amp;"]"),INDIRECT("TabReg["&amp;TabCalc[[#This Row],[Ticker]]&amp;"1]")),0)</f>
        <v>500</v>
      </c>
      <c r="AO17" s="384" cm="1">
        <f t="array" aca="1" ref="AO17" ca="1">IFERROR(_xlfn.XLOOKUP(TabCalc[[#This Row],[L_S1D]],INDIRECT("TabReg["&amp;TabCalc[[#This Row],[Ticker]]&amp;"]"),INDIRECT("TabReg["&amp;TabCalc[[#This Row],[Ticker]]&amp;"2]")),0)</f>
        <v>38.69</v>
      </c>
      <c r="AP17" s="336">
        <f ca="1">_xlfn.LET(_xlpm.MVOpen,[1]!RTData[[#This Row],[Open]]*TabCalc[[#This Row],[NAfter]],_xlpm.MVNow,TabCalc[[#This Row],[M]]*TabCalc[[#This Row],[NAfter]],_xlpm.MVNow-_xlpm.MVOpen)*TabCalc[[#This Row],[Scale]]</f>
        <v>-2440</v>
      </c>
      <c r="AQ17" s="336">
        <f ca="1">_xlfn.LET(_xlpm.MVToday,DataShift!AV517,         _xlpm.MVY,DataShift!AU518,        _xlpm.MVYY, DataShift!AT518,                                IF(_xlpm.MVToday=_xlpm.MVY,_xlpm.MVY-_xlpm.MVYY,_xlpm.MVToday-_xlpm.MVY))</f>
        <v>425</v>
      </c>
      <c r="AR17" s="336">
        <f ca="1">_xlfn.LET(_xlpm.MVToday,DataShift!AV517,         _xlpm.MVY,DataShift!AU518,        _xlpm.MVYY, DataShift!AT518,         _xlpm.MVYYY, DataShift!AS518,                      IF(_xlpm.MVToday=_xlpm.MVY,      _xlpm.MVYY-_xlpm.MVYYY,          _xlpm.MVY-_xlpm.MVYY))</f>
        <v>4249.9999999999709</v>
      </c>
      <c r="AS17" s="1078">
        <f ca="1">TabCalc[[#This Row],[Y]]/TabCalc[[#This Row],[M]]</f>
        <v>1.3841961852861036</v>
      </c>
      <c r="AT17" s="299" t="str" cm="1">
        <f t="array" aca="1" ref="AT17" ca="1">IFERROR(_xlfn.IFS(          TabCalc[[#This Row],[E]]&gt;0, "Free Trade",      TabCalc[[#This Row],[A]]&lt;MIN(TabCalc[[#This Row],[L_Sp]],TabCalc[[#This Row],[M]]), "Buy",            TabCalc[[#This Row],[M]]&lt;TabCalc[[#This Row],[L_Sp]],       "Refill",       TabCalc[[#This Row],[M]]&gt;TabCalc[[#This Row],[L_Sp]],"S_more"),"")</f>
        <v>Refill</v>
      </c>
      <c r="AU17" s="299" t="str">
        <f ca="1">IF(           AND(TabCalc[[#This Row],[E]]&lt;=0,          TabCalc[[#This Row],[A]]&gt;MIN(TabCalc[[#This Row],[M]],TabCalc[[#This Row],[L_Sp]]),             TabCalc[[#This Row],[L_Sp]]&lt;=TabCalc[[#This Row],[M]]),                       "S_more","")</f>
        <v/>
      </c>
      <c r="AV17" s="82" t="str" cm="1">
        <f t="array" aca="1" ref="AV17" ca="1">IFERROR(_xlfn.IFS(TabCalc[[#This Row],[E]]&gt;0,"Free trade",                 TabCalc[[#This Row],[A]]&lt;MAX(ABS(TabCalc[[#This Row],[L_Bp]]),TabCalc[[#This Row],[A]]),"Sell",             TabCalc[[#This Row],[M]]&gt;ABS(TabCalc[[#This Row],[L_Bp]]),"Resell",             TabCalc[[#This Row],[M]]&lt;ABS(TabCalc[[#This Row],[L_Bp]]),"B_more"),"")</f>
        <v>B_more</v>
      </c>
      <c r="AW17" s="82">
        <f ca="1">TabCalc[[#This Row],[NAfter]]-TabCalc[[#This Row],[Nbegin]]</f>
        <v>3750</v>
      </c>
      <c r="AX17" s="307">
        <f ca="1">IFERROR((TabCalc[[#This Row],[M]]-TabCalc[[#This Row],[Y]])*(TabCalc[[#This Row],[M]]-TabCalc[[#This Row],[Y]])*(TabCalc[[#This Row],[M]]-TabCalc[[#This Row],[Y]])/(TabCalc[[#This Row],[Y]]*TabCalc[[#This Row],[M]]),"")</f>
        <v>-1.0525084747580942</v>
      </c>
      <c r="AY17" s="82">
        <f t="shared" ca="1" si="1"/>
        <v>0</v>
      </c>
      <c r="AZ17" s="90">
        <f ca="1">[1]!RTData[[#This Row],[V/VA]]</f>
        <v>2.1661298761699901</v>
      </c>
      <c r="BA17" s="90" t="str" cm="1">
        <f t="array" aca="1" ref="BA17" ca="1">IFERROR(_xlfn.IFS(TabCalc[[#This Row],[Cur]]="USD",Timer!F$27,TabCalc[[#This Row],[Cur]]="EUR",Timer!F$18,TabCalc[[#This Row],[Cur]]="GBP",Timer!F$12,TabCalc[[#This Row],[Cur]]="CAD",Timer!F$27,TabCalc[[#This Row],[Cur]]="JPY",Timer!F$31,TabCalc[[#This Row],[Cur]]="CHF",Timer!F$18),"Timing")</f>
        <v>None-Working Day</v>
      </c>
      <c r="BB17" s="90">
        <f ca="1">IF(ISNUMBER(TabCalc[[#This Row],[TimeEX]]),TabCalc[[#This Row],[V/VA]]/TabCalc[[#This Row],[TimeEX]],TabCalc[[#This Row],[V/VA]])</f>
        <v>2.1661298761699901</v>
      </c>
      <c r="BC17" s="87" cm="1">
        <f t="array" aca="1" ref="BC17" ca="1">INDEX(TabReg[], 1, _xlfn.XMATCH(TabCalc[[#This Row],[Ticker]]&amp;1, TabReg[#Headers], 0))</f>
        <v>250</v>
      </c>
      <c r="BD17" s="161">
        <f ca="1">TabCalc[[#This Row],[Nbegin]]*TabCalc[[#This Row],[M]]*TabCalc[[#This Row],[Scale]]+TabCalc[[#This Row],[ValueBegin]]</f>
        <v>6172.5</v>
      </c>
      <c r="BE17" s="336" t="str" cm="1">
        <f t="array" aca="1" ref="BE17" ca="1">_xlfn.IFS(TabCalc[[#This Row],[Cost+Gain]]&gt;0,"Free",             TabCalc[[#This Row],[GL]]&gt;0,"Gainer",                TRUE,"Looser")</f>
        <v>Looser</v>
      </c>
      <c r="BF17" s="161">
        <f ca="1">TabCalc[[#This Row],[Tot_Paid]]-TabCalc[[#This Row],[ValueBegin]]</f>
        <v>-774210.96873919992</v>
      </c>
      <c r="BG17" s="337">
        <f ca="1">IF(TabCalc[[#This Row],[EfCost]]&gt;TabCalc[[#This Row],[ValueBegin]],       0,        TabCalc[[#This Row],[EfCost]]-TabCalc[[#This Row],[ValueBegin]]*(1+Commission))</f>
        <v>-105596.94200000007</v>
      </c>
      <c r="BH17" s="338">
        <f ca="1">TabCalc[[#This Row],[M_V]]+TabCalc[[#This Row],[ValueBegin]]</f>
        <v>102510</v>
      </c>
      <c r="BI17" s="161" cm="1">
        <f t="array" aca="1" ref="BI17" ca="1">SUMPRODUCT(_xlfn._xlws.FILTER(INDIRECT("TabReg["&amp;TabCalc[[#This Row],[Ticker]]&amp;"1]") * INDIRECT("TabReg["&amp;TabCalc[[#This Row],[Ticker]]&amp;"2]"), INDIRECT("TabReg["&amp;TabCalc[[#This Row],[Ticker]]&amp;"2]")&lt;0))*(1+Commission)*TabCalc[[#This Row],[Scale]]</f>
        <v>-774460.96873919992</v>
      </c>
      <c r="BJ17" s="161" cm="1">
        <f t="array" aca="1" ref="BJ17" ca="1">SUMPRODUCT(IF(INDIRECT("TabReg["&amp;TabCalc[[#This Row],[Ticker]]&amp;"2]") ="", 0, INDIRECT("TabReg["&amp;TabCalc[[#This Row],[Ticker]]&amp;"1]") * INDIRECT("TabReg["&amp;TabCalc[[#This Row],[Ticker]]&amp;"2]") ))*TabCalc[[#This Row],[Scale]]</f>
        <v>-105847.59200000006</v>
      </c>
      <c r="BK17" s="161" cm="1">
        <f t="array" aca="1" ref="BK1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664871.82699999993</v>
      </c>
      <c r="BL17" s="161">
        <f ca="1">TabCalc[[#This Row],[M_V]]+TabCalc[[#This Row],[EfCost]]</f>
        <v>-3087.5920000000624</v>
      </c>
      <c r="BM17" s="161">
        <f ca="1">IF(        OR( TabCalc[[#This Row],[GL]]&gt;ABS(TabCalc[[#This Row],[EfCost]]),TabCalc[[#This Row],[NAfter]]=0),             TabCalc[[#This Row],[GL]],     0)</f>
        <v>0</v>
      </c>
      <c r="BN17" s="161" cm="1">
        <f t="array" aca="1" ref="BN17" ca="1">SUMPRODUCT(_xlfn._xlws.FILTER(IF(INDIRECT("TabReg["&amp;TabCalc[[#This Row],[Ticker]]&amp;"2]") ="", 0, INDIRECT("TabReg["&amp;TabCalc[[#This Row],[Ticker]]&amp;"1]")  ),  INDIRECT("TabReg["&amp;TabCalc[[#This Row],[Ticker]]&amp;"2]") &lt; 0))</f>
        <v>22300</v>
      </c>
      <c r="BO17" s="161">
        <f ca="1">TabCalc[[#This Row],[SB]]-TabCalc[[#This Row],[Nbegin]]</f>
        <v>22050</v>
      </c>
      <c r="BP17" s="161" cm="1">
        <f t="array" aca="1" ref="BP17" ca="1">IFERROR(SUMPRODUCT(_xlfn._xlws.FILTER(IF(INDIRECT("TabReg["&amp;TabCalc[[#This Row],[Ticker]]&amp;"2]") ="", 0, INDIRECT("TabReg["&amp;TabCalc[[#This Row],[Ticker]]&amp;"1]")  ),  INDIRECT("TabReg["&amp;TabCalc[[#This Row],[Ticker]]&amp;"2]") &gt; 0)),0)</f>
        <v>18300</v>
      </c>
      <c r="BQ1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42.21</v>
      </c>
      <c r="BR17" s="176" t="str">
        <f ca="1">IF(TabCalc[[#This Row],[EfCost]]+TabCalc[[#This Row],[M_V]]&lt;TabCalc[[#This Row],[NoT_GL]],"Pile","")</f>
        <v>Pile</v>
      </c>
      <c r="BS17" s="167">
        <f ca="1">[1]!RTData[[#This Row],[Last trade time]]</f>
        <v>45954.666666666664</v>
      </c>
      <c r="BT17" s="177">
        <f ca="1">(TabCalc[[#This Row],[ValueBegin]]+(TabCalc[[#This Row],[M]]-TabCalc[[#This Row],[A]])*TabCalc[[#This Row],[NAfter]])*TabCalc[[#This Row],[Scale]]</f>
        <v>-355786</v>
      </c>
      <c r="BU17" s="189" cm="1">
        <f t="array" aca="1" ref="BU17" ca="1">_xlfn.XLOOKUP(TabCalc[[#This Row],[Ticker]],TabReg[[#Headers],[AAPL]:[UnknownX28]],Reg!B$72:KF$72)+3</f>
        <v>29</v>
      </c>
      <c r="BV17" s="190" cm="1">
        <f t="array" aca="1" ref="BV17" ca="1">_xlfn.XLOOKUP(TabCalc[[#This Row],[Ticker]],TabReg[[#Headers],[AAPL]:[UnknownX28]],Reg!B$73:KF$73)+2</f>
        <v>48</v>
      </c>
      <c r="BW17" s="191">
        <f ca="1">IFERROR(MAX(TabCalc[[#This Row],[Max_SD]],TabCalc[[#This Row],[Max_PD]]),0)</f>
        <v>45938</v>
      </c>
      <c r="BX17" s="191" t="str" cm="1">
        <f t="array" aca="1" ref="BX17" ca="1">_xlfn.IFS(TabCalc[[#This Row],[L_TP]]&lt;0,"Purchase",TabCalc[[#This Row],[L_TP]]&gt;0,"Sale")</f>
        <v>Sale</v>
      </c>
      <c r="BY17" s="190" cm="1">
        <f t="array" aca="1" ref="BY17" ca="1">INDEX(Reg!$A$1:$KF$73,TabCalc[[#This Row],[L_I1]],TabCalc[[#This Row],[L_I2]])</f>
        <v>2000</v>
      </c>
      <c r="BZ17" s="192" cm="1">
        <f t="array" aca="1" ref="BZ17" ca="1">INDEX(Reg!$A$1:$KF$73,TabCalc[[#This Row],[L_I1]],TabCalc[[#This Row],[L_I2]]+1)</f>
        <v>29.14</v>
      </c>
      <c r="CA17" s="161">
        <f ca="1">TabCalc[[#This Row],[NAfter]]*(TabCalc[[#This Row],[M]]-IF(TabCalc[[#This Row],[E]]&gt;0,0,TabCalc[[#This Row],[A]]))</f>
        <v>-355536</v>
      </c>
      <c r="CB17" s="167" cm="1">
        <f t="array" aca="1" ref="CB17" ca="1">IFERROR(MIN(_xlfn._xlws.FILTER(INDIRECT("TabReg["&amp;TabCalc[[#This Row],[Ticker]]&amp;"]"), INDIRECT("TabReg["&amp;TabCalc[[#This Row],[Ticker]]&amp;"2]")&gt;0)),0)</f>
        <v>40544</v>
      </c>
      <c r="CC17" s="178" cm="1">
        <f t="array" aca="1" ref="CC17" ca="1">IFERROR(MIN(_xlfn._xlws.FILTER(INDIRECT("TabReg["&amp;TabCalc[[#This Row],[Ticker]]&amp;"1]"), INDIRECT("TabReg["&amp;TabCalc[[#This Row],[Ticker]]&amp;"2]")&gt;0)),0)</f>
        <v>500</v>
      </c>
      <c r="CD17" s="173" cm="1">
        <f t="array" aca="1" ref="CD17" ca="1">IFERROR(MIN(_xlfn._xlws.FILTER(INDIRECT("TabReg["&amp;TabCalc[[#This Row],[Ticker]]&amp;"2]"), INDIRECT("TabReg["&amp;TabCalc[[#This Row],[Ticker]]&amp;"2]")&gt;0)),0)</f>
        <v>29.14</v>
      </c>
      <c r="CE17" s="167" cm="1">
        <f t="array" aca="1" ref="CE17" ca="1">IFERROR(MAX(_xlfn._xlws.FILTER(INDIRECT("TabReg["&amp;TabCalc[[#This Row],[Ticker]]&amp;"]"), INDIRECT("TabReg["&amp;TabCalc[[#This Row],[Ticker]]&amp;"2]")&gt;0)),0)</f>
        <v>45938</v>
      </c>
      <c r="CF17" s="178" cm="1">
        <f t="array" aca="1" ref="CF17" ca="1">IFERROR(MAX(_xlfn._xlws.FILTER(INDIRECT("TabReg["&amp;TabCalc[[#This Row],[Ticker]]&amp;"1]"), INDIRECT("TabReg["&amp;TabCalc[[#This Row],[Ticker]]&amp;"2]")&gt;0)),0)</f>
        <v>5000</v>
      </c>
      <c r="CG17" s="173" cm="1">
        <f t="array" aca="1" ref="CG17" ca="1">IFERROR(MAX(_xlfn._xlws.FILTER(INDIRECT("TabReg["&amp;TabCalc[[#This Row],[Ticker]]&amp;"2]"), INDIRECT("TabReg["&amp;TabCalc[[#This Row],[Ticker]]&amp;"2]")&gt;0)),0)</f>
        <v>42.2</v>
      </c>
      <c r="CH17" s="167" cm="1">
        <f t="array" aca="1" ref="CH17" ca="1">MIN(_xlfn._xlws.FILTER(INDIRECT("TabReg["&amp;TabCalc[[#This Row],[Ticker]]&amp;"]"), INDIRECT("TabReg["&amp;TabCalc[[#This Row],[Ticker]]&amp;"2]")&lt;0))</f>
        <v>40544</v>
      </c>
      <c r="CI17" s="177" cm="1">
        <f t="array" aca="1" ref="CI17" ca="1">MIN(_xlfn._xlws.FILTER(INDIRECT("TabReg["&amp;TabCalc[[#This Row],[Ticker]]&amp;"1]"), INDIRECT("TabReg["&amp;TabCalc[[#This Row],[Ticker]]&amp;"2]")&lt;0))</f>
        <v>250</v>
      </c>
      <c r="CJ17" s="173" cm="1">
        <f t="array" aca="1" ref="CJ17" ca="1">MIN(_xlfn._xlws.FILTER(INDIRECT("TabReg["&amp;TabCalc[[#This Row],[Ticker]]&amp;"2]"), INDIRECT("TabReg["&amp;TabCalc[[#This Row],[Ticker]]&amp;"2]")&lt;0))</f>
        <v>-46.17</v>
      </c>
      <c r="CK17" s="167" cm="1">
        <f t="array" aca="1" ref="CK17" ca="1">MAX(_xlfn._xlws.FILTER(INDIRECT("TabReg["&amp;TabCalc[[#This Row],[Ticker]]&amp;"]"), INDIRECT("TabReg["&amp;TabCalc[[#This Row],[Ticker]]&amp;"2]")&lt;0))</f>
        <v>45883</v>
      </c>
      <c r="CL17" s="177" cm="1">
        <f t="array" aca="1" ref="CL17" ca="1">MAX(_xlfn._xlws.FILTER(INDIRECT("TabReg["&amp;TabCalc[[#This Row],[Ticker]]&amp;"1]"), INDIRECT("TabReg["&amp;TabCalc[[#This Row],[Ticker]]&amp;"2]")&lt;0))</f>
        <v>5250</v>
      </c>
      <c r="CM17" s="173" cm="1">
        <f t="array" aca="1" ref="CM17" ca="1">MAX(_xlfn._xlws.FILTER(INDIRECT("TabReg["&amp;TabCalc[[#This Row],[Ticker]]&amp;"2]"), INDIRECT("TabReg["&amp;TabCalc[[#This Row],[Ticker]]&amp;"2]")&lt;0))</f>
        <v>-1</v>
      </c>
      <c r="CN17" s="167" cm="1">
        <f t="array" aca="1" ref="CN17" ca="1">IFERROR(_xlfn.XLOOKUP(TabCalc[[#This Row],[BS2P]],INDIRECT("TabReg["&amp;TabCalc[[#This Row],[Ticker]]&amp;"2]"),INDIRECT("TabReg["&amp;TabCalc[[#This Row],[Ticker]]&amp;"]")),0)</f>
        <v>45692</v>
      </c>
      <c r="CO17" s="178" cm="1">
        <f t="array" aca="1" ref="CO17" ca="1">IFERROR(_xlfn.XLOOKUP(TabCalc[[#This Row],[BS2P]],INDIRECT("TabReg["&amp;TabCalc[[#This Row],[Ticker]]&amp;"2]"),INDIRECT("TabReg["&amp;TabCalc[[#This Row],[Ticker]]&amp;"1]")),0)</f>
        <v>2000</v>
      </c>
      <c r="CP17" s="173">
        <f ca="1">_xlfn.MAXIFS(INDIRECT("TabReg["&amp;TabCalc[[#This Row],[Ticker]]&amp;"2]"), INDIRECT("TabReg["&amp;TabCalc[[#This Row],[Ticker]]&amp;"2]"), "&lt;" &amp; MAX(INDIRECT("TabReg["&amp;TabCalc[[#This Row],[Ticker]]&amp;"2]")))</f>
        <v>40.119999999999997</v>
      </c>
      <c r="CQ17" s="167" cm="1">
        <f t="array" aca="1" ref="CQ17" ca="1">IFERROR(_xlfn.XLOOKUP(TabCalc[[#This Row],[WB2P]],INDIRECT("TabReg["&amp;TabCalc[[#This Row],[Ticker]]&amp;"2]"),INDIRECT("TabReg["&amp;TabCalc[[#This Row],[Ticker]]&amp;"]")),0)</f>
        <v>45379</v>
      </c>
      <c r="CR17" s="178" cm="1">
        <f t="array" aca="1" ref="CR17" ca="1">IFERROR(_xlfn.XLOOKUP(TabCalc[[#This Row],[WB2P]],INDIRECT("TabReg["&amp;TabCalc[[#This Row],[Ticker]]&amp;"2]"),INDIRECT("TabReg["&amp;TabCalc[[#This Row],[Ticker]]&amp;"1]")),0)</f>
        <v>800</v>
      </c>
      <c r="CS17" s="173">
        <f ca="1">_xlfn.MINIFS(INDIRECT("TabReg["&amp;TabCalc[[#This Row],[Ticker]]&amp;"2]"), INDIRECT("TabReg["&amp;TabCalc[[#This Row],[Ticker]]&amp;"2]"), "&gt;" &amp; MIN(INDIRECT("TabReg["&amp;TabCalc[[#This Row],[Ticker]]&amp;"2]")))</f>
        <v>-41.229300000000002</v>
      </c>
      <c r="CT17" s="405">
        <f ca="1">IF(TabCalc[[#This Row],[M]]&lt;TabCalc[[#This Row],[L_Sp]],DesiredBuyGain/(TabCalc[[#This Row],[L_Sp]]-TabCalc[[#This Row],[M]]),0)</f>
        <v>1449.275362318841</v>
      </c>
      <c r="CU17" s="406">
        <f ca="1">IF(TabCalc[[#This Row],[ntoBuy]]*TabCalc[[#This Row],[M]]&lt;=0,0,TabCalc[[#This Row],[ntoBuy]]*TabCalc[[#This Row],[M]])</f>
        <v>37231.884057971023</v>
      </c>
      <c r="CV17" s="406">
        <f ca="1">IF(TabCalc[[#This Row],[M]]&gt;ABS(TabCalc[[#This Row],[L_Bp]]),MIN(TabCalc[[#This Row],[NAfter]],DesiredSaleGain/(TabCalc[[#This Row],[M]]+TabCalc[[#This Row],[L_Bp]])),0)/TabCalc[[#This Row],[Scale]]</f>
        <v>0</v>
      </c>
      <c r="CW17" s="407">
        <f ca="1">TabCalc[[#This Row],[ntoSell]]*TabCalc[[#This Row],[M]]</f>
        <v>0</v>
      </c>
      <c r="CX17" s="400">
        <f ca="1">_xlfn.LET(_xlpm.nToSell,IF(TabCalc[[#This Row],[M]]-TabCalc[[#This Row],[A]]&lt;=0,"",INT(DesiredSaleGain/(TabCalc[[#This Row],[M]]-IF(TabCalc[[#This Row],[E]]&gt;0,0,TabCalc[[#This Row],[A]])))),IF(_xlpm.nToSell&lt;=TabCalc[[#This Row],[NAfter]],_xlpm.nToSell,0))</f>
        <v>0</v>
      </c>
      <c r="CY17" s="338">
        <f ca="1">IFERROR(TabCalc[[#This Row],[NMA]]*TabCalc[[#This Row],[M]],"")</f>
        <v>0</v>
      </c>
      <c r="CZ17" s="337" cm="1">
        <f t="array" aca="1" ref="CZ17" ca="1">_xlfn.IFS(TabCalc[[#This Row],[M]]&gt;= TabCalc[[#This Row],[L_Sp]],(TabCalc[[#This Row],[M]]-TabCalc[[#This Row],[A]])*TabCalc[[#This Row],[NAfter]]*TabCalc[[#This Row],[Scale]],           TabCalc[[#This Row],[M]]&lt; TabCalc[[#This Row],[L_Sp]],(TabCalc[[#This Row],[M]]-TabCalc[[#This Row],[A]])*TabCalc[[#This Row],[NAfter]]*TabCalc[[#This Row],[Scale]],               TRUE,"")</f>
        <v>-355536</v>
      </c>
      <c r="DA17" s="90">
        <f ca="1">IFERROR((TabCalc[[#This Row],[M]]+TabCalc[[#This Row],[L_Bp]])/ABS(TabCalc[[#This Row],[L_Bp]])/(TODAY()-TabCalc[[#This Row],[L_Bdate]])*360,"")</f>
        <v>-0.17586079229914833</v>
      </c>
      <c r="DB17" s="312">
        <f ca="1">MEDIAN(DataShift!F717:Z717)</f>
        <v>-1.1041E-2</v>
      </c>
      <c r="DC17" s="312" t="str" cm="1">
        <f t="array" aca="1" ref="DC1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17" s="88" t="s">
        <v>14</v>
      </c>
      <c r="DN17" s="81">
        <v>1000</v>
      </c>
      <c r="DO17" s="317">
        <v>-80.2</v>
      </c>
    </row>
    <row r="18" spans="1:119">
      <c r="A18" s="120" t="str">
        <f ca="1">_xlfn.XLOOKUP(TabCalc[[#This Row],[Ticker]],[1]!RTData[Ticker symbol],[1]!RTData[Currency])</f>
        <v>USD</v>
      </c>
      <c r="B18" s="121">
        <f ca="1">IF(TabCalc[[#This Row],[Cur]]="GBP",0.01,1)</f>
        <v>1</v>
      </c>
      <c r="C18" s="82">
        <f ca="1">_xlfn.XLOOKUP(TabCalc[[#This Row],[Ticker]],DM$3:DM$96,DN$3:DN$96)</f>
        <v>1000</v>
      </c>
      <c r="D18" s="1254">
        <f ca="1">_xlfn.XLOOKUP(TabCalc[[#This Row],[Ticker]],DM$3:DM$96,DO$3:DO$96)</f>
        <v>-80.2</v>
      </c>
      <c r="E18" s="121">
        <f t="shared" ca="1" si="0"/>
        <v>-80200</v>
      </c>
      <c r="F18" s="82">
        <f ca="1">TabCalc[[#This Row],[NAfter]]*TabCalc[[#This Row],[M]]*TabCalc[[#This Row],[Scale]]</f>
        <v>180866</v>
      </c>
      <c r="G18" s="82">
        <f ca="1">IFERROR(TabCalc[[#This Row],[SB]]-TabCalc[[#This Row],[SST]],TabCalc[[#This Row],[SB]])</f>
        <v>1400</v>
      </c>
      <c r="H18" s="535" t="str">
        <f ca="1">[1]!RTData[[#This Row],[Ticker symbol]]</f>
        <v>DVA</v>
      </c>
      <c r="I18" s="385">
        <f ca="1">[1]!RTData[[#This Row],[M-Price]]</f>
        <v>129.19</v>
      </c>
      <c r="J18" s="384">
        <v>30.072500000000002</v>
      </c>
      <c r="K18" s="383">
        <f>[1]!RTData[[#This Row],[1YT]]</f>
        <v>151.5</v>
      </c>
      <c r="L18" s="384">
        <f ca="1">IF(OR(TabCalc[[#This Row],[NAfter]]=0,TabCalc[[#This Row],[EfCost]]&gt;0),0,TabCalc[[#This Row],[EfCost]]/TabCalc[[#This Row],[NAfter]]/TabCalc[[#This Row],[Scale]])</f>
        <v>-102.65343571428575</v>
      </c>
      <c r="M18" s="744">
        <f ca="1">[1]!RTData[[#This Row],[Change%]]</f>
        <v>9.1390000000000013E-3</v>
      </c>
      <c r="N18" s="1172">
        <v>0.33333333333333331</v>
      </c>
      <c r="O18" s="966">
        <f>TabCalc[[#This Row],[Up20]]-1+TabCalc[[#This Row],[Up20]]</f>
        <v>-0.33333333333333343</v>
      </c>
      <c r="P18" s="966">
        <f>TabCalc[[#This Row],[Up20]]-TabCalc[[#This Row],[Up150]]</f>
        <v>-0.16207951070336396</v>
      </c>
      <c r="Q18" s="966">
        <v>0.49541284403669728</v>
      </c>
      <c r="R18" s="966">
        <f>TabCalc[[#This Row],[Up150]]-1+TabCalc[[#This Row],[Up150]]</f>
        <v>-9.1743119266054496E-3</v>
      </c>
      <c r="S18" s="966">
        <f ca="1">IFERROR(SUMPRODUCT(DataShift!F1510:Z1510,DataShift!AB717:AV717)/SQRT(SUMPRODUCT(DataShift!F1510:Z1510,DataShift!F1510:Z1510)*SUMPRODUCT(DataShift!AB717:AV717,DataShift!AB717:AV717)),0)</f>
        <v>-0.65341340161826766</v>
      </c>
      <c r="T18" s="966">
        <f ca="1">IFERROR(SUMPRODUCT(DataShift!F1510:Z1510,DataShift!F718:Z718)/SQRT(SUMPRODUCT(DataShift!F1510:Z1510,DataShift!F1510:Z1510)*SUMPRODUCT(DataShift!F718:Z718,DataShift!F718:Z718)),0)</f>
        <v>0.2790169135611561</v>
      </c>
      <c r="U18" s="1107">
        <v>0</v>
      </c>
      <c r="V18" s="1107">
        <v>4000</v>
      </c>
      <c r="W18" s="1107">
        <v>0</v>
      </c>
      <c r="X18" s="966" t="str">
        <f ca="1">IF(TabCalc[[#This Row],[EfCost]]+TabCalc[[#This Row],[M_V]]&lt;TabCalc[[#This Row],[NoT_GL]],"Pile","")</f>
        <v>Pile</v>
      </c>
      <c r="Y1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8" s="213">
        <f ca="1">MIN(TabCalc[[#This Row],[L_Bn]],TabCalc[[#This Row],[NAfter]])*(TabCalc[[#This Row],[M]]+TabCalc[[#This Row],[L_Bp]])*TabCalc[[#This Row],[Scale]]</f>
        <v>839.99999999999773</v>
      </c>
      <c r="AA18" s="210" cm="1">
        <f t="array" aca="1" ref="AA18" ca="1">_xlfn.XLOOKUP(TabCalc[[#This Row],[L_Bp]],INDIRECT("TabReg["&amp;TabCalc[[#This Row],[Ticker]]&amp;"2]"),INDIRECT("TabReg["&amp;TabCalc[[#This Row],[Ticker]]&amp;"]"))</f>
        <v>45939</v>
      </c>
      <c r="AB18" s="181" cm="1">
        <f t="array" aca="1" ref="AB18" ca="1">_xlfn.XLOOKUP(TabCalc[[#This Row],[L_Bp]],INDIRECT("TabReg["&amp;TabCalc[[#This Row],[Ticker]]&amp;"2]"),INDIRECT("TabReg["&amp;TabCalc[[#This Row],[Ticker]]&amp;"1]"))</f>
        <v>400</v>
      </c>
      <c r="AC18" s="192" cm="1">
        <f t="array" aca="1" ref="AC18" ca="1">IFERROR(INDEX(INDIRECT("TabReg["&amp;TabCalc[[#This Row],[Ticker]]&amp;"2]"),    _xlfn.XMATCH(    MAX(    _xlfn._xlws.FILTER(INDIRECT("TabReg["&amp;TabCalc[[#This Row],[Ticker]]&amp;"]"), INDIRECT("TabReg["&amp;TabCalc[[#This Row],[Ticker]]&amp;"2]")&lt;0)     ), INDIRECT("TabReg["&amp;TabCalc[[#This Row],[Ticker]]&amp;"]"),      0)), "")</f>
        <v>-127.09</v>
      </c>
      <c r="AD18" s="213">
        <f ca="1">IFERROR(MIN(TabCalc[[#This Row],[L_B1n]],TabCalc[[#This Row],[NAfter]])*(TabCalc[[#This Row],[M]]+TabCalc[[#This Row],[L_B1p]])*TabCalc[[#This Row],[Scale]],"")</f>
        <v>-10791.000000000005</v>
      </c>
      <c r="AE18" s="210" cm="1">
        <f t="array" aca="1" ref="AE1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45859</v>
      </c>
      <c r="AF18" s="181" cm="1">
        <f t="array" aca="1" ref="AF18" ca="1">IFERROR(_xlfn.XLOOKUP(TabCalc[[#This Row],[L_B1D]],INDIRECT("TabReg["&amp;TabCalc[[#This Row],[Ticker]]&amp;"]"),INDIRECT("TabReg["&amp;TabCalc[[#This Row],[Ticker]]&amp;"1]")),0)</f>
        <v>990</v>
      </c>
      <c r="AG18" s="192" cm="1">
        <f t="array" aca="1" ref="AG18" ca="1">IFERROR(_xlfn.XLOOKUP(TabCalc[[#This Row],[L_B1D]],INDIRECT("TabReg["&amp;TabCalc[[#This Row],[Ticker]]&amp;"]"),INDIRECT("TabReg["&amp;TabCalc[[#This Row],[Ticker]]&amp;"2]")),0)</f>
        <v>-140.09</v>
      </c>
      <c r="AH18" s="302">
        <f ca="1">IFERROR(TabCalc[[#This Row],[L_Sn]]*(TabCalc[[#This Row],[L_Sp]]-TabCalc[[#This Row],[M]])*TabCalc[[#This Row],[Scale]],"")</f>
        <v>9012</v>
      </c>
      <c r="AI18" s="210" cm="1">
        <f t="array" aca="1" ref="AI18" ca="1">IFERROR(_xlfn.XLOOKUP(TabCalc[[#This Row],[L_Sp]],INDIRECT("TabReg["&amp;TabCalc[[#This Row],[Ticker]]&amp;"2]"),INDIRECT("TabReg["&amp;TabCalc[[#This Row],[Ticker]]&amp;"]")),0)</f>
        <v>45664</v>
      </c>
      <c r="AJ18" s="181" cm="1">
        <f t="array" aca="1" ref="AJ18" ca="1">IFERROR(_xlfn.XLOOKUP(TabCalc[[#This Row],[L_Sp]],INDIRECT("TabReg["&amp;TabCalc[[#This Row],[Ticker]]&amp;"2]"),INDIRECT("TabReg["&amp;TabCalc[[#This Row],[Ticker]]&amp;"1]")),0)</f>
        <v>400</v>
      </c>
      <c r="AK18" s="192" cm="1">
        <f t="array" aca="1" ref="AK18" ca="1">IFERROR(INDEX(INDIRECT("TabReg["&amp;TabCalc[[#This Row],[Ticker]]&amp;"2]"), _xlfn.XMATCH(MAX(_xlfn._xlws.FILTER(INDIRECT("TabReg["&amp;TabCalc[[#This Row],[Ticker]]&amp;"]"), INDIRECT("TabReg["&amp;TabCalc[[#This Row],[Ticker]]&amp;"2]")&gt;0)), INDIRECT("TabReg["&amp;TabCalc[[#This Row],[Ticker]]&amp;"]"), 0)), 0)</f>
        <v>151.72</v>
      </c>
      <c r="AL18" s="214">
        <f ca="1">IFERROR(TabCalc[[#This Row],[L_S1n]]*(TabCalc[[#This Row],[L_S1p]]-TabCalc[[#This Row],[M]])*TabCalc[[#This Row],[Scale]],0)</f>
        <v>21235.499999999989</v>
      </c>
      <c r="AM18" s="210" cm="1">
        <f t="array" aca="1" ref="AM1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45539</v>
      </c>
      <c r="AN18" s="181" cm="1">
        <f t="array" aca="1" ref="AN18" ca="1">IFERROR(_xlfn.XLOOKUP(TabCalc[[#This Row],[L_S1D]],INDIRECT("TabReg["&amp;TabCalc[[#This Row],[Ticker]]&amp;"]"),INDIRECT("TabReg["&amp;TabCalc[[#This Row],[Ticker]]&amp;"1]")),0)</f>
        <v>990</v>
      </c>
      <c r="AO18" s="384" cm="1">
        <f t="array" aca="1" ref="AO18" ca="1">IFERROR(_xlfn.XLOOKUP(TabCalc[[#This Row],[L_S1D]],INDIRECT("TabReg["&amp;TabCalc[[#This Row],[Ticker]]&amp;"]"),INDIRECT("TabReg["&amp;TabCalc[[#This Row],[Ticker]]&amp;"2]")),0)</f>
        <v>150.63999999999999</v>
      </c>
      <c r="AP18" s="336">
        <f ca="1">_xlfn.LET(_xlpm.MVOpen,[1]!RTData[[#This Row],[Open]]*TabCalc[[#This Row],[NAfter]],_xlpm.MVNow,TabCalc[[#This Row],[M]]*TabCalc[[#This Row],[NAfter]],_xlpm.MVNow-_xlpm.MVOpen)*TabCalc[[#This Row],[Scale]]</f>
        <v>-140</v>
      </c>
      <c r="AQ18" s="336">
        <f ca="1">_xlfn.LET(_xlpm.MVToday,DataShift!AV518,         _xlpm.MVY,DataShift!AU519,        _xlpm.MVYY, DataShift!AT519,                                IF(_xlpm.MVToday=_xlpm.MVY,_xlpm.MVY-_xlpm.MVYY,_xlpm.MVToday-_xlpm.MVY))</f>
        <v>10</v>
      </c>
      <c r="AR18" s="336">
        <f ca="1">_xlfn.LET(_xlpm.MVToday,DataShift!AV518,         _xlpm.MVY,DataShift!AU519,        _xlpm.MVYY, DataShift!AT519,         _xlpm.MVYYY, DataShift!AS519,                      IF(_xlpm.MVToday=_xlpm.MVY,      _xlpm.MVYY-_xlpm.MVYYY,          _xlpm.MVY-_xlpm.MVYY))</f>
        <v>-1350</v>
      </c>
      <c r="AS18" s="1078">
        <f ca="1">TabCalc[[#This Row],[Y]]/TabCalc[[#This Row],[M]]</f>
        <v>1.1726913847821039</v>
      </c>
      <c r="AT18" s="299" t="str" cm="1">
        <f t="array" aca="1" ref="AT18" ca="1">IFERROR(_xlfn.IFS(          TabCalc[[#This Row],[E]]&gt;0, "Free Trade",      TabCalc[[#This Row],[A]]&lt;MIN(TabCalc[[#This Row],[L_Sp]],TabCalc[[#This Row],[M]]), "Buy",            TabCalc[[#This Row],[M]]&lt;TabCalc[[#This Row],[L_Sp]],       "Refill",       TabCalc[[#This Row],[M]]&gt;TabCalc[[#This Row],[L_Sp]],"S_more"),"")</f>
        <v>Buy</v>
      </c>
      <c r="AU18" s="299" t="str">
        <f ca="1">IF(           AND(TabCalc[[#This Row],[E]]&lt;=0,          TabCalc[[#This Row],[A]]&gt;MIN(TabCalc[[#This Row],[M]],TabCalc[[#This Row],[L_Sp]]),             TabCalc[[#This Row],[L_Sp]]&lt;=TabCalc[[#This Row],[M]]),                       "S_more","")</f>
        <v/>
      </c>
      <c r="AV18" s="82" t="str" cm="1">
        <f t="array" aca="1" ref="AV18" ca="1">IFERROR(_xlfn.IFS(TabCalc[[#This Row],[E]]&gt;0,"Free trade",                 TabCalc[[#This Row],[A]]&lt;MAX(ABS(TabCalc[[#This Row],[L_Bp]]),TabCalc[[#This Row],[A]]),"Sell",             TabCalc[[#This Row],[M]]&gt;ABS(TabCalc[[#This Row],[L_Bp]]),"Resell",             TabCalc[[#This Row],[M]]&lt;ABS(TabCalc[[#This Row],[L_Bp]]),"B_more"),"")</f>
        <v>Sell</v>
      </c>
      <c r="AW18" s="82">
        <f ca="1">TabCalc[[#This Row],[NAfter]]-TabCalc[[#This Row],[Nbegin]]</f>
        <v>400</v>
      </c>
      <c r="AX18" s="307">
        <f ca="1">IFERROR((TabCalc[[#This Row],[M]]-TabCalc[[#This Row],[Y]])*(TabCalc[[#This Row],[M]]-TabCalc[[#This Row],[Y]])*(TabCalc[[#This Row],[M]]-TabCalc[[#This Row],[Y]])/(TabCalc[[#This Row],[Y]]*TabCalc[[#This Row],[M]]),"")</f>
        <v>-0.5673579958088697</v>
      </c>
      <c r="AY18" s="82">
        <f t="shared" ca="1" si="1"/>
        <v>0</v>
      </c>
      <c r="AZ18" s="90">
        <f ca="1">[1]!RTData[[#This Row],[V/VA]]</f>
        <v>0.98065088856976168</v>
      </c>
      <c r="BA18" s="90" t="str" cm="1">
        <f t="array" aca="1" ref="BA18" ca="1">IFERROR(_xlfn.IFS(TabCalc[[#This Row],[Cur]]="USD",Timer!F$27,TabCalc[[#This Row],[Cur]]="EUR",Timer!F$18,TabCalc[[#This Row],[Cur]]="GBP",Timer!F$12,TabCalc[[#This Row],[Cur]]="CAD",Timer!F$27,TabCalc[[#This Row],[Cur]]="JPY",Timer!F$31,TabCalc[[#This Row],[Cur]]="CHF",Timer!F$18),"Timing")</f>
        <v>None-Working Day</v>
      </c>
      <c r="BB18" s="90">
        <f ca="1">IF(ISNUMBER(TabCalc[[#This Row],[TimeEX]]),TabCalc[[#This Row],[V/VA]]/TabCalc[[#This Row],[TimeEX]],TabCalc[[#This Row],[V/VA]])</f>
        <v>0.98065088856976168</v>
      </c>
      <c r="BC18" s="87" cm="1">
        <f t="array" aca="1" ref="BC18" ca="1">INDEX(TabReg[], 1, _xlfn.XMATCH(TabCalc[[#This Row],[Ticker]]&amp;1, TabReg[#Headers], 0))</f>
        <v>1000</v>
      </c>
      <c r="BD18" s="161">
        <f ca="1">TabCalc[[#This Row],[Nbegin]]*TabCalc[[#This Row],[M]]*TabCalc[[#This Row],[Scale]]+TabCalc[[#This Row],[ValueBegin]]</f>
        <v>48990</v>
      </c>
      <c r="BE18" s="336" t="str" cm="1">
        <f t="array" aca="1" ref="BE18" ca="1">_xlfn.IFS(TabCalc[[#This Row],[Cost+Gain]]&gt;0,"Free",             TabCalc[[#This Row],[GL]]&gt;0,"Gainer",                TRUE,"Looser")</f>
        <v>Gainer</v>
      </c>
      <c r="BF18" s="161">
        <f ca="1">TabCalc[[#This Row],[Tot_Paid]]-TabCalc[[#This Row],[ValueBegin]]</f>
        <v>-428461.64063000004</v>
      </c>
      <c r="BG18" s="337">
        <f ca="1">IF(TabCalc[[#This Row],[EfCost]]&gt;TabCalc[[#This Row],[ValueBegin]],       0,        TabCalc[[#This Row],[EfCost]]-TabCalc[[#This Row],[ValueBegin]]*(1+Commission))</f>
        <v>-63306.290000000066</v>
      </c>
      <c r="BH18" s="338">
        <f ca="1">TabCalc[[#This Row],[M_V]]+TabCalc[[#This Row],[ValueBegin]]</f>
        <v>100666</v>
      </c>
      <c r="BI18" s="161" cm="1">
        <f t="array" aca="1" ref="BI18" ca="1">SUMPRODUCT(_xlfn._xlws.FILTER(INDIRECT("TabReg["&amp;TabCalc[[#This Row],[Ticker]]&amp;"1]") * INDIRECT("TabReg["&amp;TabCalc[[#This Row],[Ticker]]&amp;"2]"), INDIRECT("TabReg["&amp;TabCalc[[#This Row],[Ticker]]&amp;"2]")&lt;0))*(1+Commission)*TabCalc[[#This Row],[Scale]]</f>
        <v>-508661.64063000004</v>
      </c>
      <c r="BJ18" s="161" cm="1">
        <f t="array" aca="1" ref="BJ18" ca="1">SUMPRODUCT(IF(INDIRECT("TabReg["&amp;TabCalc[[#This Row],[Ticker]]&amp;"2]") ="", 0, INDIRECT("TabReg["&amp;TabCalc[[#This Row],[Ticker]]&amp;"1]") * INDIRECT("TabReg["&amp;TabCalc[[#This Row],[Ticker]]&amp;"2]") ))*TabCalc[[#This Row],[Scale]]</f>
        <v>-143714.81000000006</v>
      </c>
      <c r="BK18" s="161" cm="1">
        <f t="array" aca="1" ref="BK1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362682.30787599995</v>
      </c>
      <c r="BL18" s="161">
        <f ca="1">TabCalc[[#This Row],[M_V]]+TabCalc[[#This Row],[EfCost]]</f>
        <v>37151.189999999944</v>
      </c>
      <c r="BM18" s="161">
        <f ca="1">IF(        OR( TabCalc[[#This Row],[GL]]&gt;ABS(TabCalc[[#This Row],[EfCost]]),TabCalc[[#This Row],[NAfter]]=0),             TabCalc[[#This Row],[GL]],     0)</f>
        <v>0</v>
      </c>
      <c r="BN18" s="161" cm="1">
        <f t="array" aca="1" ref="BN18" ca="1">SUMPRODUCT(_xlfn._xlws.FILTER(IF(INDIRECT("TabReg["&amp;TabCalc[[#This Row],[Ticker]]&amp;"2]") ="", 0, INDIRECT("TabReg["&amp;TabCalc[[#This Row],[Ticker]]&amp;"1]")  ),  INDIRECT("TabReg["&amp;TabCalc[[#This Row],[Ticker]]&amp;"2]") &lt; 0))</f>
        <v>4040</v>
      </c>
      <c r="BO18" s="161">
        <f ca="1">TabCalc[[#This Row],[SB]]-TabCalc[[#This Row],[Nbegin]]</f>
        <v>3040</v>
      </c>
      <c r="BP18" s="161" cm="1">
        <f t="array" aca="1" ref="BP18" ca="1">IFERROR(SUMPRODUCT(_xlfn._xlws.FILTER(IF(INDIRECT("TabReg["&amp;TabCalc[[#This Row],[Ticker]]&amp;"2]") ="", 0, INDIRECT("TabReg["&amp;TabCalc[[#This Row],[Ticker]]&amp;"1]")  ),  INDIRECT("TabReg["&amp;TabCalc[[#This Row],[Ticker]]&amp;"2]") &gt; 0)),0)</f>
        <v>2640</v>
      </c>
      <c r="BQ18"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161.68</v>
      </c>
      <c r="BR18" s="176" t="str">
        <f ca="1">IF(TabCalc[[#This Row],[EfCost]]+TabCalc[[#This Row],[M_V]]&lt;TabCalc[[#This Row],[NoT_GL]],"Pile","")</f>
        <v>Pile</v>
      </c>
      <c r="BS18" s="167">
        <f ca="1">[1]!RTData[[#This Row],[Last trade time]]</f>
        <v>45954.965299791409</v>
      </c>
      <c r="BT18" s="177">
        <f ca="1">(TabCalc[[#This Row],[ValueBegin]]+(TabCalc[[#This Row],[M]]-TabCalc[[#This Row],[A]])*TabCalc[[#This Row],[NAfter]])*TabCalc[[#This Row],[Scale]]</f>
        <v>58564.5</v>
      </c>
      <c r="BU18" s="189" cm="1">
        <f t="array" aca="1" ref="BU18" ca="1">_xlfn.XLOOKUP(TabCalc[[#This Row],[Ticker]],TabReg[[#Headers],[AAPL]:[UnknownX28]],Reg!B$72:KF$72)+3</f>
        <v>14</v>
      </c>
      <c r="BV18" s="190" cm="1">
        <f t="array" aca="1" ref="BV18" ca="1">_xlfn.XLOOKUP(TabCalc[[#This Row],[Ticker]],TabReg[[#Headers],[AAPL]:[UnknownX28]],Reg!B$73:KF$73)+2</f>
        <v>51</v>
      </c>
      <c r="BW18" s="191">
        <f ca="1">IFERROR(MAX(TabCalc[[#This Row],[Max_SD]],TabCalc[[#This Row],[Max_PD]]),0)</f>
        <v>45939</v>
      </c>
      <c r="BX18" s="191" t="str" cm="1">
        <f t="array" aca="1" ref="BX18" ca="1">_xlfn.IFS(TabCalc[[#This Row],[L_TP]]&lt;0,"Purchase",TabCalc[[#This Row],[L_TP]]&gt;0,"Sale")</f>
        <v>Purchase</v>
      </c>
      <c r="BY18" s="190" cm="1">
        <f t="array" aca="1" ref="BY18" ca="1">INDEX(Reg!$A$1:$KF$73,TabCalc[[#This Row],[L_I1]],TabCalc[[#This Row],[L_I2]])</f>
        <v>400</v>
      </c>
      <c r="BZ18" s="192" cm="1">
        <f t="array" aca="1" ref="BZ18" ca="1">INDEX(Reg!$A$1:$KF$73,TabCalc[[#This Row],[L_I1]],TabCalc[[#This Row],[L_I2]]+1)</f>
        <v>-127.09</v>
      </c>
      <c r="CA18" s="161">
        <f ca="1">TabCalc[[#This Row],[NAfter]]*(TabCalc[[#This Row],[M]]-IF(TabCalc[[#This Row],[E]]&gt;0,0,TabCalc[[#This Row],[A]]))</f>
        <v>138764.5</v>
      </c>
      <c r="CB18" s="167" cm="1">
        <f t="array" aca="1" ref="CB18" ca="1">IFERROR(MIN(_xlfn._xlws.FILTER(INDIRECT("TabReg["&amp;TabCalc[[#This Row],[Ticker]]&amp;"]"), INDIRECT("TabReg["&amp;TabCalc[[#This Row],[Ticker]]&amp;"2]")&gt;0)),0)</f>
        <v>40544</v>
      </c>
      <c r="CC18" s="178" cm="1">
        <f t="array" aca="1" ref="CC18" ca="1">IFERROR(MIN(_xlfn._xlws.FILTER(INDIRECT("TabReg["&amp;TabCalc[[#This Row],[Ticker]]&amp;"1]"), INDIRECT("TabReg["&amp;TabCalc[[#This Row],[Ticker]]&amp;"2]")&gt;0)),0)</f>
        <v>400</v>
      </c>
      <c r="CD18" s="173" cm="1">
        <f t="array" aca="1" ref="CD18" ca="1">IFERROR(MIN(_xlfn._xlws.FILTER(INDIRECT("TabReg["&amp;TabCalc[[#This Row],[Ticker]]&amp;"2]"), INDIRECT("TabReg["&amp;TabCalc[[#This Row],[Ticker]]&amp;"2]")&gt;0)),0)</f>
        <v>109.58</v>
      </c>
      <c r="CE18" s="167" cm="1">
        <f t="array" aca="1" ref="CE18" ca="1">IFERROR(MAX(_xlfn._xlws.FILTER(INDIRECT("TabReg["&amp;TabCalc[[#This Row],[Ticker]]&amp;"]"), INDIRECT("TabReg["&amp;TabCalc[[#This Row],[Ticker]]&amp;"2]")&gt;0)),0)</f>
        <v>45664</v>
      </c>
      <c r="CF18" s="178" cm="1">
        <f t="array" aca="1" ref="CF18" ca="1">IFERROR(MAX(_xlfn._xlws.FILTER(INDIRECT("TabReg["&amp;TabCalc[[#This Row],[Ticker]]&amp;"1]"), INDIRECT("TabReg["&amp;TabCalc[[#This Row],[Ticker]]&amp;"2]")&gt;0)),0)</f>
        <v>990</v>
      </c>
      <c r="CG18" s="173" cm="1">
        <f t="array" aca="1" ref="CG18" ca="1">IFERROR(MAX(_xlfn._xlws.FILTER(INDIRECT("TabReg["&amp;TabCalc[[#This Row],[Ticker]]&amp;"2]"), INDIRECT("TabReg["&amp;TabCalc[[#This Row],[Ticker]]&amp;"2]")&gt;0)),0)</f>
        <v>151.72</v>
      </c>
      <c r="CH18" s="167" cm="1">
        <f t="array" aca="1" ref="CH18" ca="1">MIN(_xlfn._xlws.FILTER(INDIRECT("TabReg["&amp;TabCalc[[#This Row],[Ticker]]&amp;"]"), INDIRECT("TabReg["&amp;TabCalc[[#This Row],[Ticker]]&amp;"2]")&lt;0))</f>
        <v>40544</v>
      </c>
      <c r="CI18" s="177" cm="1">
        <f t="array" aca="1" ref="CI18" ca="1">MIN(_xlfn._xlws.FILTER(INDIRECT("TabReg["&amp;TabCalc[[#This Row],[Ticker]]&amp;"1]"), INDIRECT("TabReg["&amp;TabCalc[[#This Row],[Ticker]]&amp;"2]")&lt;0))</f>
        <v>300</v>
      </c>
      <c r="CJ18" s="173" cm="1">
        <f t="array" aca="1" ref="CJ18" ca="1">MIN(_xlfn._xlws.FILTER(INDIRECT("TabReg["&amp;TabCalc[[#This Row],[Ticker]]&amp;"2]"), INDIRECT("TabReg["&amp;TabCalc[[#This Row],[Ticker]]&amp;"2]")&lt;0))</f>
        <v>-148.52000000000001</v>
      </c>
      <c r="CK18" s="167" cm="1">
        <f t="array" aca="1" ref="CK18" ca="1">MAX(_xlfn._xlws.FILTER(INDIRECT("TabReg["&amp;TabCalc[[#This Row],[Ticker]]&amp;"]"), INDIRECT("TabReg["&amp;TabCalc[[#This Row],[Ticker]]&amp;"2]")&lt;0))</f>
        <v>45939</v>
      </c>
      <c r="CL18" s="177" cm="1">
        <f t="array" aca="1" ref="CL18" ca="1">MAX(_xlfn._xlws.FILTER(INDIRECT("TabReg["&amp;TabCalc[[#This Row],[Ticker]]&amp;"1]"), INDIRECT("TabReg["&amp;TabCalc[[#This Row],[Ticker]]&amp;"2]")&lt;0))</f>
        <v>1000</v>
      </c>
      <c r="CM18" s="173" cm="1">
        <f t="array" aca="1" ref="CM18" ca="1">MAX(_xlfn._xlws.FILTER(INDIRECT("TabReg["&amp;TabCalc[[#This Row],[Ticker]]&amp;"2]"), INDIRECT("TabReg["&amp;TabCalc[[#This Row],[Ticker]]&amp;"2]")&lt;0))</f>
        <v>-80.2</v>
      </c>
      <c r="CN18" s="167" cm="1">
        <f t="array" aca="1" ref="CN18" ca="1">IFERROR(_xlfn.XLOOKUP(TabCalc[[#This Row],[BS2P]],INDIRECT("TabReg["&amp;TabCalc[[#This Row],[Ticker]]&amp;"2]"),INDIRECT("TabReg["&amp;TabCalc[[#This Row],[Ticker]]&amp;"]")),0)</f>
        <v>45539</v>
      </c>
      <c r="CO18" s="178" cm="1">
        <f t="array" aca="1" ref="CO18" ca="1">IFERROR(_xlfn.XLOOKUP(TabCalc[[#This Row],[BS2P]],INDIRECT("TabReg["&amp;TabCalc[[#This Row],[Ticker]]&amp;"2]"),INDIRECT("TabReg["&amp;TabCalc[[#This Row],[Ticker]]&amp;"1]")),0)</f>
        <v>990</v>
      </c>
      <c r="CP18" s="173">
        <f ca="1">_xlfn.MAXIFS(INDIRECT("TabReg["&amp;TabCalc[[#This Row],[Ticker]]&amp;"2]"), INDIRECT("TabReg["&amp;TabCalc[[#This Row],[Ticker]]&amp;"2]"), "&lt;" &amp; MAX(INDIRECT("TabReg["&amp;TabCalc[[#This Row],[Ticker]]&amp;"2]")))</f>
        <v>150.63999999999999</v>
      </c>
      <c r="CQ18" s="167" cm="1">
        <f t="array" aca="1" ref="CQ18" ca="1">IFERROR(_xlfn.XLOOKUP(TabCalc[[#This Row],[WB2P]],INDIRECT("TabReg["&amp;TabCalc[[#This Row],[Ticker]]&amp;"2]"),INDIRECT("TabReg["&amp;TabCalc[[#This Row],[Ticker]]&amp;"]")),0)</f>
        <v>45357</v>
      </c>
      <c r="CR18" s="178" cm="1">
        <f t="array" aca="1" ref="CR18" ca="1">IFERROR(_xlfn.XLOOKUP(TabCalc[[#This Row],[WB2P]],INDIRECT("TabReg["&amp;TabCalc[[#This Row],[Ticker]]&amp;"2]"),INDIRECT("TabReg["&amp;TabCalc[[#This Row],[Ticker]]&amp;"1]")),0)</f>
        <v>300</v>
      </c>
      <c r="CS18" s="173">
        <f ca="1">_xlfn.MINIFS(INDIRECT("TabReg["&amp;TabCalc[[#This Row],[Ticker]]&amp;"2]"), INDIRECT("TabReg["&amp;TabCalc[[#This Row],[Ticker]]&amp;"2]"), "&gt;" &amp; MIN(INDIRECT("TabReg["&amp;TabCalc[[#This Row],[Ticker]]&amp;"2]")))</f>
        <v>-146.51</v>
      </c>
      <c r="CT18" s="405">
        <f ca="1">IF(TabCalc[[#This Row],[M]]&lt;TabCalc[[#This Row],[L_Sp]],DesiredBuyGain/(TabCalc[[#This Row],[L_Sp]]-TabCalc[[#This Row],[M]]),0)</f>
        <v>221.92632046160674</v>
      </c>
      <c r="CU18" s="406">
        <f ca="1">IF(TabCalc[[#This Row],[ntoBuy]]*TabCalc[[#This Row],[M]]&lt;=0,0,TabCalc[[#This Row],[ntoBuy]]*TabCalc[[#This Row],[M]])</f>
        <v>28670.661340434974</v>
      </c>
      <c r="CV18" s="406">
        <f ca="1">IF(TabCalc[[#This Row],[M]]&gt;ABS(TabCalc[[#This Row],[L_Bp]]),MIN(TabCalc[[#This Row],[NAfter]],DesiredSaleGain/(TabCalc[[#This Row],[M]]+TabCalc[[#This Row],[L_Bp]])),0)/TabCalc[[#This Row],[Scale]]</f>
        <v>1400</v>
      </c>
      <c r="CW18" s="407">
        <f ca="1">TabCalc[[#This Row],[ntoSell]]*TabCalc[[#This Row],[M]]</f>
        <v>180866</v>
      </c>
      <c r="CX18" s="400">
        <f ca="1">_xlfn.LET(_xlpm.nToSell,IF(TabCalc[[#This Row],[M]]-TabCalc[[#This Row],[A]]&lt;=0,"",INT(DesiredSaleGain/(TabCalc[[#This Row],[M]]-IF(TabCalc[[#This Row],[E]]&gt;0,0,TabCalc[[#This Row],[A]])))),IF(_xlpm.nToSell&lt;=TabCalc[[#This Row],[NAfter]],_xlpm.nToSell,0))</f>
        <v>50</v>
      </c>
      <c r="CY18" s="338">
        <f ca="1">IFERROR(TabCalc[[#This Row],[NMA]]*TabCalc[[#This Row],[M]],"")</f>
        <v>6459.5</v>
      </c>
      <c r="CZ18" s="337" cm="1">
        <f t="array" aca="1" ref="CZ18" ca="1">_xlfn.IFS(TabCalc[[#This Row],[M]]&gt;= TabCalc[[#This Row],[L_Sp]],(TabCalc[[#This Row],[M]]-TabCalc[[#This Row],[A]])*TabCalc[[#This Row],[NAfter]]*TabCalc[[#This Row],[Scale]],           TabCalc[[#This Row],[M]]&lt; TabCalc[[#This Row],[L_Sp]],(TabCalc[[#This Row],[M]]-TabCalc[[#This Row],[A]])*TabCalc[[#This Row],[NAfter]]*TabCalc[[#This Row],[Scale]],               TRUE,"")</f>
        <v>138764.5</v>
      </c>
      <c r="DA18" s="90">
        <f ca="1">IFERROR((TabCalc[[#This Row],[M]]+TabCalc[[#This Row],[L_Bp]])/ABS(TabCalc[[#This Row],[L_Bp]])/(TODAY()-TabCalc[[#This Row],[L_Bdate]])*360,"")</f>
        <v>0.3499141414375167</v>
      </c>
      <c r="DB18" s="312">
        <f ca="1">MEDIAN(DataShift!F718:Z718)</f>
        <v>-2.614E-3</v>
      </c>
      <c r="DC18" s="312" t="str" cm="1">
        <f t="array" aca="1" ref="DC1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18" s="88" t="s">
        <v>15</v>
      </c>
      <c r="DN18" s="81">
        <v>1889</v>
      </c>
      <c r="DO18" s="317">
        <v>-46.62</v>
      </c>
    </row>
    <row r="19" spans="1:119">
      <c r="A19" s="120" t="str">
        <f ca="1">_xlfn.XLOOKUP(TabCalc[[#This Row],[Ticker]],[1]!RTData[Ticker symbol],[1]!RTData[Currency])</f>
        <v>USD</v>
      </c>
      <c r="B19" s="121">
        <f ca="1">IF(TabCalc[[#This Row],[Cur]]="GBP",0.01,1)</f>
        <v>1</v>
      </c>
      <c r="C19" s="82">
        <f ca="1">_xlfn.XLOOKUP(TabCalc[[#This Row],[Ticker]],DM$3:DM$96,DN$3:DN$96)</f>
        <v>1889</v>
      </c>
      <c r="D19" s="1254">
        <f ca="1">_xlfn.XLOOKUP(TabCalc[[#This Row],[Ticker]],DM$3:DM$96,DO$3:DO$96)</f>
        <v>-46.62</v>
      </c>
      <c r="E19" s="121">
        <f t="shared" ca="1" si="0"/>
        <v>-88065.18</v>
      </c>
      <c r="F19" s="82">
        <f ca="1">TabCalc[[#This Row],[NAfter]]*TabCalc[[#This Row],[M]]*TabCalc[[#This Row],[Scale]]</f>
        <v>81240</v>
      </c>
      <c r="G19" s="82">
        <f ca="1">IFERROR(TabCalc[[#This Row],[SB]]-TabCalc[[#This Row],[SST]],TabCalc[[#This Row],[SB]])</f>
        <v>6000</v>
      </c>
      <c r="H19" s="535" t="str">
        <f ca="1">[1]!RTData[[#This Row],[Ticker symbol]]</f>
        <v>DXC</v>
      </c>
      <c r="I19" s="385">
        <f ca="1">[1]!RTData[[#This Row],[M-Price]]</f>
        <v>13.54</v>
      </c>
      <c r="J19" s="384">
        <v>136.43592857142858</v>
      </c>
      <c r="K19" s="383">
        <f>[1]!RTData[[#This Row],[1YT]]</f>
        <v>15.125</v>
      </c>
      <c r="L19" s="384">
        <f ca="1">IF(OR(TabCalc[[#This Row],[NAfter]]=0,TabCalc[[#This Row],[EfCost]]&gt;0),0,TabCalc[[#This Row],[EfCost]]/TabCalc[[#This Row],[NAfter]]/TabCalc[[#This Row],[Scale]])</f>
        <v>-21.264107833333327</v>
      </c>
      <c r="M19" s="744">
        <f ca="1">[1]!RTData[[#This Row],[Change%]]</f>
        <v>1.2715000000000001E-2</v>
      </c>
      <c r="N19" s="1172">
        <v>0.5</v>
      </c>
      <c r="O19" s="966">
        <f>TabCalc[[#This Row],[Up20]]-1+TabCalc[[#This Row],[Up20]]</f>
        <v>0</v>
      </c>
      <c r="P19" s="966">
        <f>TabCalc[[#This Row],[Up20]]-TabCalc[[#This Row],[Up150]]</f>
        <v>-9.0909090909090384E-3</v>
      </c>
      <c r="Q19" s="966">
        <v>0.50909090909090904</v>
      </c>
      <c r="R19" s="966">
        <f>TabCalc[[#This Row],[Up150]]-1+TabCalc[[#This Row],[Up150]]</f>
        <v>1.8181818181818077E-2</v>
      </c>
      <c r="S19" s="966">
        <f ca="1">IFERROR(SUMPRODUCT(DataShift!F1511:Z1511,DataShift!AB718:AV718)/SQRT(SUMPRODUCT(DataShift!F1511:Z1511,DataShift!F1511:Z1511)*SUMPRODUCT(DataShift!AB718:AV718,DataShift!AB718:AV718)),0)</f>
        <v>-0.21073605580214533</v>
      </c>
      <c r="T19" s="966">
        <f ca="1">IFERROR(SUMPRODUCT(DataShift!F1511:Z1511,DataShift!F719:Z719)/SQRT(SUMPRODUCT(DataShift!F1511:Z1511,DataShift!F1511:Z1511)*SUMPRODUCT(DataShift!F719:Z719,DataShift!F719:Z719)),0)</f>
        <v>-0.1569015390088265</v>
      </c>
      <c r="U19" s="1107">
        <v>400</v>
      </c>
      <c r="V19" s="1107">
        <v>1000</v>
      </c>
      <c r="W19" s="1107">
        <v>0</v>
      </c>
      <c r="X19" s="966" t="str">
        <f ca="1">IF(TabCalc[[#This Row],[EfCost]]+TabCalc[[#This Row],[M_V]]&lt;TabCalc[[#This Row],[NoT_GL]],"Pile","")</f>
        <v/>
      </c>
      <c r="Y1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459,221 = $ 6,217,852</v>
      </c>
      <c r="Z19" s="213">
        <f ca="1">MIN(TabCalc[[#This Row],[L_Bn]],TabCalc[[#This Row],[NAfter]])*(TabCalc[[#This Row],[M]]+TabCalc[[#This Row],[L_Bp]])*TabCalc[[#This Row],[Scale]]</f>
        <v>-3760.000000000005</v>
      </c>
      <c r="AA19" s="210" cm="1">
        <f t="array" aca="1" ref="AA19" ca="1">_xlfn.XLOOKUP(TabCalc[[#This Row],[L_Bp]],INDIRECT("TabReg["&amp;TabCalc[[#This Row],[Ticker]]&amp;"2]"),INDIRECT("TabReg["&amp;TabCalc[[#This Row],[Ticker]]&amp;"]"))</f>
        <v>45859</v>
      </c>
      <c r="AB19" s="181" cm="1">
        <f t="array" aca="1" ref="AB19" ca="1">_xlfn.XLOOKUP(TabCalc[[#This Row],[L_Bp]],INDIRECT("TabReg["&amp;TabCalc[[#This Row],[Ticker]]&amp;"2]"),INDIRECT("TabReg["&amp;TabCalc[[#This Row],[Ticker]]&amp;"1]"))</f>
        <v>4000</v>
      </c>
      <c r="AC19" s="192" cm="1">
        <f t="array" aca="1" ref="AC19" ca="1">IFERROR(INDEX(INDIRECT("TabReg["&amp;TabCalc[[#This Row],[Ticker]]&amp;"2]"),    _xlfn.XMATCH(    MAX(    _xlfn._xlws.FILTER(INDIRECT("TabReg["&amp;TabCalc[[#This Row],[Ticker]]&amp;"]"), INDIRECT("TabReg["&amp;TabCalc[[#This Row],[Ticker]]&amp;"2]")&lt;0)     ), INDIRECT("TabReg["&amp;TabCalc[[#This Row],[Ticker]]&amp;"]"),      0)), "")</f>
        <v>-14.48</v>
      </c>
      <c r="AD19" s="213">
        <f ca="1">IFERROR(MIN(TabCalc[[#This Row],[L_B1n]],TabCalc[[#This Row],[NAfter]])*(TabCalc[[#This Row],[M]]+TabCalc[[#This Row],[L_B1p]])*TabCalc[[#This Row],[Scale]],"")</f>
        <v>-20110</v>
      </c>
      <c r="AE19" s="210" cm="1">
        <f t="array" aca="1" ref="AE1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45463</v>
      </c>
      <c r="AF19" s="181" cm="1">
        <f t="array" aca="1" ref="AF19" ca="1">IFERROR(_xlfn.XLOOKUP(TabCalc[[#This Row],[L_B1D]],INDIRECT("TabReg["&amp;TabCalc[[#This Row],[Ticker]]&amp;"]"),INDIRECT("TabReg["&amp;TabCalc[[#This Row],[Ticker]]&amp;"1]")),0)</f>
        <v>4000</v>
      </c>
      <c r="AG19" s="192" cm="1">
        <f t="array" aca="1" ref="AG19" ca="1">IFERROR(_xlfn.XLOOKUP(TabCalc[[#This Row],[L_B1D]],INDIRECT("TabReg["&amp;TabCalc[[#This Row],[Ticker]]&amp;"]"),INDIRECT("TabReg["&amp;TabCalc[[#This Row],[Ticker]]&amp;"2]")),0)</f>
        <v>-18.567499999999999</v>
      </c>
      <c r="AH19" s="302">
        <f ca="1">IFERROR(TabCalc[[#This Row],[L_Sn]]*(TabCalc[[#This Row],[L_Sp]]-TabCalc[[#This Row],[M]])*TabCalc[[#This Row],[Scale]],"")</f>
        <v>27120.000000000004</v>
      </c>
      <c r="AI19" s="210" cm="1">
        <f t="array" aca="1" ref="AI19" ca="1">IFERROR(_xlfn.XLOOKUP(TabCalc[[#This Row],[L_Sp]],INDIRECT("TabReg["&amp;TabCalc[[#This Row],[Ticker]]&amp;"2]"),INDIRECT("TabReg["&amp;TabCalc[[#This Row],[Ticker]]&amp;"]")),0)</f>
        <v>45539</v>
      </c>
      <c r="AJ19" s="181" cm="1">
        <f t="array" aca="1" ref="AJ19" ca="1">IFERROR(_xlfn.XLOOKUP(TabCalc[[#This Row],[L_Sp]],INDIRECT("TabReg["&amp;TabCalc[[#This Row],[Ticker]]&amp;"2]"),INDIRECT("TabReg["&amp;TabCalc[[#This Row],[Ticker]]&amp;"1]")),0)</f>
        <v>4000</v>
      </c>
      <c r="AK19" s="192" cm="1">
        <f t="array" aca="1" ref="AK19" ca="1">IFERROR(INDEX(INDIRECT("TabReg["&amp;TabCalc[[#This Row],[Ticker]]&amp;"2]"), _xlfn.XMATCH(MAX(_xlfn._xlws.FILTER(INDIRECT("TabReg["&amp;TabCalc[[#This Row],[Ticker]]&amp;"]"), INDIRECT("TabReg["&amp;TabCalc[[#This Row],[Ticker]]&amp;"2]")&gt;0)), INDIRECT("TabReg["&amp;TabCalc[[#This Row],[Ticker]]&amp;"]"), 0)), 0)</f>
        <v>20.32</v>
      </c>
      <c r="AL19" s="214">
        <f ca="1">IFERROR(TabCalc[[#This Row],[L_S1n]]*(TabCalc[[#This Row],[L_S1p]]-TabCalc[[#This Row],[M]])*TabCalc[[#This Row],[Scale]],0)</f>
        <v>23164.400000000001</v>
      </c>
      <c r="AM19" s="210" cm="1">
        <f t="array" aca="1" ref="AM1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45489</v>
      </c>
      <c r="AN19" s="181" cm="1">
        <f t="array" aca="1" ref="AN19" ca="1">IFERROR(_xlfn.XLOOKUP(TabCalc[[#This Row],[L_S1D]],INDIRECT("TabReg["&amp;TabCalc[[#This Row],[Ticker]]&amp;"]"),INDIRECT("TabReg["&amp;TabCalc[[#This Row],[Ticker]]&amp;"1]")),0)</f>
        <v>4000</v>
      </c>
      <c r="AO19" s="384" cm="1">
        <f t="array" aca="1" ref="AO19" ca="1">IFERROR(_xlfn.XLOOKUP(TabCalc[[#This Row],[L_S1D]],INDIRECT("TabReg["&amp;TabCalc[[#This Row],[Ticker]]&amp;"]"),INDIRECT("TabReg["&amp;TabCalc[[#This Row],[Ticker]]&amp;"2]")),0)</f>
        <v>19.331099999999999</v>
      </c>
      <c r="AP19" s="336">
        <f ca="1">_xlfn.LET(_xlpm.MVOpen,[1]!RTData[[#This Row],[Open]]*TabCalc[[#This Row],[NAfter]],_xlpm.MVNow,TabCalc[[#This Row],[M]]*TabCalc[[#This Row],[NAfter]],_xlpm.MVNow-_xlpm.MVOpen)*TabCalc[[#This Row],[Scale]]</f>
        <v>180</v>
      </c>
      <c r="AQ19" s="336">
        <f ca="1">_xlfn.LET(_xlpm.MVToday,DataShift!AV519,         _xlpm.MVY,DataShift!AU520,        _xlpm.MVYY, DataShift!AT520,                                IF(_xlpm.MVToday=_xlpm.MVY,_xlpm.MVY-_xlpm.MVYY,_xlpm.MVToday-_xlpm.MVY))</f>
        <v>-2080</v>
      </c>
      <c r="AR19" s="336">
        <f ca="1">_xlfn.LET(_xlpm.MVToday,DataShift!AV519,         _xlpm.MVY,DataShift!AU520,        _xlpm.MVYY, DataShift!AT520,         _xlpm.MVYYY, DataShift!AS520,                      IF(_xlpm.MVToday=_xlpm.MVY,      _xlpm.MVYY-_xlpm.MVYYY,          _xlpm.MVY-_xlpm.MVYY))</f>
        <v>-15640</v>
      </c>
      <c r="AS19" s="1078">
        <f ca="1">TabCalc[[#This Row],[Y]]/TabCalc[[#This Row],[M]]</f>
        <v>1.1170605612998523</v>
      </c>
      <c r="AT19" s="299" t="str" cm="1">
        <f t="array" aca="1" ref="AT19" ca="1">IFERROR(_xlfn.IFS(          TabCalc[[#This Row],[E]]&gt;0, "Free Trade",      TabCalc[[#This Row],[A]]&lt;MIN(TabCalc[[#This Row],[L_Sp]],TabCalc[[#This Row],[M]]), "Buy",            TabCalc[[#This Row],[M]]&lt;TabCalc[[#This Row],[L_Sp]],       "Refill",       TabCalc[[#This Row],[M]]&gt;TabCalc[[#This Row],[L_Sp]],"S_more"),"")</f>
        <v>Refill</v>
      </c>
      <c r="AU19" s="299" t="str">
        <f ca="1">IF(           AND(TabCalc[[#This Row],[E]]&lt;=0,          TabCalc[[#This Row],[A]]&gt;MIN(TabCalc[[#This Row],[M]],TabCalc[[#This Row],[L_Sp]]),             TabCalc[[#This Row],[L_Sp]]&lt;=TabCalc[[#This Row],[M]]),                       "S_more","")</f>
        <v/>
      </c>
      <c r="AV19" s="82" t="str" cm="1">
        <f t="array" aca="1" ref="AV19" ca="1">IFERROR(_xlfn.IFS(TabCalc[[#This Row],[E]]&gt;0,"Free trade",                 TabCalc[[#This Row],[A]]&lt;MAX(ABS(TabCalc[[#This Row],[L_Bp]]),TabCalc[[#This Row],[A]]),"Sell",             TabCalc[[#This Row],[M]]&gt;ABS(TabCalc[[#This Row],[L_Bp]]),"Resell",             TabCalc[[#This Row],[M]]&lt;ABS(TabCalc[[#This Row],[L_Bp]]),"B_more"),"")</f>
        <v>B_more</v>
      </c>
      <c r="AW19" s="82">
        <f ca="1">TabCalc[[#This Row],[NAfter]]-TabCalc[[#This Row],[Nbegin]]</f>
        <v>4111</v>
      </c>
      <c r="AX19" s="307">
        <f ca="1">IFERROR((TabCalc[[#This Row],[M]]-TabCalc[[#This Row],[Y]])*(TabCalc[[#This Row],[M]]-TabCalc[[#This Row],[Y]])*(TabCalc[[#This Row],[M]]-TabCalc[[#This Row],[Y]])/(TabCalc[[#This Row],[Y]]*TabCalc[[#This Row],[M]]),"")</f>
        <v>-1.9443468999108884E-2</v>
      </c>
      <c r="AY19" s="82">
        <f t="shared" ca="1" si="1"/>
        <v>0</v>
      </c>
      <c r="AZ19" s="90">
        <f ca="1">[1]!RTData[[#This Row],[V/VA]]</f>
        <v>0.75184594229407342</v>
      </c>
      <c r="BA19" s="90" t="str" cm="1">
        <f t="array" aca="1" ref="BA19" ca="1">IFERROR(_xlfn.IFS(TabCalc[[#This Row],[Cur]]="USD",Timer!F$27,TabCalc[[#This Row],[Cur]]="EUR",Timer!F$18,TabCalc[[#This Row],[Cur]]="GBP",Timer!F$12,TabCalc[[#This Row],[Cur]]="CAD",Timer!F$27,TabCalc[[#This Row],[Cur]]="JPY",Timer!F$31,TabCalc[[#This Row],[Cur]]="CHF",Timer!F$18),"Timing")</f>
        <v>None-Working Day</v>
      </c>
      <c r="BB19" s="90">
        <f ca="1">IF(ISNUMBER(TabCalc[[#This Row],[TimeEX]]),TabCalc[[#This Row],[V/VA]]/TabCalc[[#This Row],[TimeEX]],TabCalc[[#This Row],[V/VA]])</f>
        <v>0.75184594229407342</v>
      </c>
      <c r="BC19" s="87" cm="1">
        <f t="array" aca="1" ref="BC19" ca="1">INDEX(TabReg[], 1, _xlfn.XMATCH(TabCalc[[#This Row],[Ticker]]&amp;1, TabReg[#Headers], 0))</f>
        <v>1889</v>
      </c>
      <c r="BD19" s="161">
        <f ca="1">TabCalc[[#This Row],[Nbegin]]*TabCalc[[#This Row],[M]]*TabCalc[[#This Row],[Scale]]+TabCalc[[#This Row],[ValueBegin]]</f>
        <v>-62488.119999999995</v>
      </c>
      <c r="BE19" s="336" t="str" cm="1">
        <f t="array" aca="1" ref="BE19" ca="1">_xlfn.IFS(TabCalc[[#This Row],[Cost+Gain]]&gt;0,"Free",             TabCalc[[#This Row],[GL]]&gt;0,"Gainer",                TRUE,"Looser")</f>
        <v>Looser</v>
      </c>
      <c r="BF19" s="161">
        <f ca="1">TabCalc[[#This Row],[Tot_Paid]]-TabCalc[[#This Row],[ValueBegin]]</f>
        <v>-274236.60884219996</v>
      </c>
      <c r="BG19" s="337">
        <f ca="1">IF(TabCalc[[#This Row],[EfCost]]&gt;TabCalc[[#This Row],[ValueBegin]],       0,        TabCalc[[#This Row],[EfCost]]-TabCalc[[#This Row],[ValueBegin]]*(1+Commission))</f>
        <v>-39290.497531999979</v>
      </c>
      <c r="BH19" s="338">
        <f ca="1">TabCalc[[#This Row],[M_V]]+TabCalc[[#This Row],[ValueBegin]]</f>
        <v>-6825.179999999993</v>
      </c>
      <c r="BI19" s="161" cm="1">
        <f t="array" aca="1" ref="BI19" ca="1">SUMPRODUCT(_xlfn._xlws.FILTER(INDIRECT("TabReg["&amp;TabCalc[[#This Row],[Ticker]]&amp;"1]") * INDIRECT("TabReg["&amp;TabCalc[[#This Row],[Ticker]]&amp;"2]"), INDIRECT("TabReg["&amp;TabCalc[[#This Row],[Ticker]]&amp;"2]")&lt;0))*(1+Commission)*TabCalc[[#This Row],[Scale]]</f>
        <v>-362301.78884219995</v>
      </c>
      <c r="BJ19" s="161" cm="1">
        <f t="array" aca="1" ref="BJ19" ca="1">SUMPRODUCT(IF(INDIRECT("TabReg["&amp;TabCalc[[#This Row],[Ticker]]&amp;"2]") ="", 0, INDIRECT("TabReg["&amp;TabCalc[[#This Row],[Ticker]]&amp;"1]") * INDIRECT("TabReg["&amp;TabCalc[[#This Row],[Ticker]]&amp;"2]") ))*TabCalc[[#This Row],[Scale]]</f>
        <v>-127584.64699999997</v>
      </c>
      <c r="BK19" s="161" cm="1">
        <f t="array" aca="1" ref="BK1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233169.77823999996</v>
      </c>
      <c r="BL19" s="161">
        <f ca="1">TabCalc[[#This Row],[M_V]]+TabCalc[[#This Row],[EfCost]]</f>
        <v>-46344.646999999968</v>
      </c>
      <c r="BM19" s="161">
        <f ca="1">IF(        OR( TabCalc[[#This Row],[GL]]&gt;ABS(TabCalc[[#This Row],[EfCost]]),TabCalc[[#This Row],[NAfter]]=0),             TabCalc[[#This Row],[GL]],     0)</f>
        <v>0</v>
      </c>
      <c r="BN19" s="161" cm="1">
        <f t="array" aca="1" ref="BN19" ca="1">SUMPRODUCT(_xlfn._xlws.FILTER(IF(INDIRECT("TabReg["&amp;TabCalc[[#This Row],[Ticker]]&amp;"2]") ="", 0, INDIRECT("TabReg["&amp;TabCalc[[#This Row],[Ticker]]&amp;"1]")  ),  INDIRECT("TabReg["&amp;TabCalc[[#This Row],[Ticker]]&amp;"2]") &lt; 0))</f>
        <v>18000</v>
      </c>
      <c r="BO19" s="161">
        <f ca="1">TabCalc[[#This Row],[SB]]-TabCalc[[#This Row],[Nbegin]]</f>
        <v>16111</v>
      </c>
      <c r="BP19" s="161" cm="1">
        <f t="array" aca="1" ref="BP19" ca="1">IFERROR(SUMPRODUCT(_xlfn._xlws.FILTER(IF(INDIRECT("TabReg["&amp;TabCalc[[#This Row],[Ticker]]&amp;"2]") ="", 0, INDIRECT("TabReg["&amp;TabCalc[[#This Row],[Ticker]]&amp;"1]")  ),  INDIRECT("TabReg["&amp;TabCalc[[#This Row],[Ticker]]&amp;"2]") &gt; 0)),0)</f>
        <v>12000</v>
      </c>
      <c r="BQ1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30.37</v>
      </c>
      <c r="BR19" s="176" t="str">
        <f ca="1">IF(TabCalc[[#This Row],[EfCost]]+TabCalc[[#This Row],[M_V]]&lt;TabCalc[[#This Row],[NoT_GL]],"Pile","")</f>
        <v/>
      </c>
      <c r="BS19" s="167">
        <f ca="1">[1]!RTData[[#This Row],[Last trade time]]</f>
        <v>45954.999246943749</v>
      </c>
      <c r="BT19" s="177">
        <f ca="1">(TabCalc[[#This Row],[ValueBegin]]+(TabCalc[[#This Row],[M]]-TabCalc[[#This Row],[A]])*TabCalc[[#This Row],[NAfter]])*TabCalc[[#This Row],[Scale]]</f>
        <v>-825440.75142857153</v>
      </c>
      <c r="BU19" s="189" cm="1">
        <f t="array" aca="1" ref="BU19" ca="1">_xlfn.XLOOKUP(TabCalc[[#This Row],[Ticker]],TabReg[[#Headers],[AAPL]:[UnknownX28]],Reg!B$72:KF$72)+3</f>
        <v>10</v>
      </c>
      <c r="BV19" s="190" cm="1">
        <f t="array" aca="1" ref="BV19" ca="1">_xlfn.XLOOKUP(TabCalc[[#This Row],[Ticker]],TabReg[[#Headers],[AAPL]:[UnknownX28]],Reg!B$73:KF$73)+2</f>
        <v>54</v>
      </c>
      <c r="BW19" s="191">
        <f ca="1">IFERROR(MAX(TabCalc[[#This Row],[Max_SD]],TabCalc[[#This Row],[Max_PD]]),0)</f>
        <v>45859</v>
      </c>
      <c r="BX19" s="191" t="str" cm="1">
        <f t="array" aca="1" ref="BX19" ca="1">_xlfn.IFS(TabCalc[[#This Row],[L_TP]]&lt;0,"Purchase",TabCalc[[#This Row],[L_TP]]&gt;0,"Sale")</f>
        <v>Purchase</v>
      </c>
      <c r="BY19" s="190" cm="1">
        <f t="array" aca="1" ref="BY19" ca="1">INDEX(Reg!$A$1:$KF$73,TabCalc[[#This Row],[L_I1]],TabCalc[[#This Row],[L_I2]])</f>
        <v>4000</v>
      </c>
      <c r="BZ19" s="192" cm="1">
        <f t="array" aca="1" ref="BZ19" ca="1">INDEX(Reg!$A$1:$KF$73,TabCalc[[#This Row],[L_I1]],TabCalc[[#This Row],[L_I2]]+1)</f>
        <v>-14.48</v>
      </c>
      <c r="CA19" s="161">
        <f ca="1">TabCalc[[#This Row],[NAfter]]*(TabCalc[[#This Row],[M]]-IF(TabCalc[[#This Row],[E]]&gt;0,0,TabCalc[[#This Row],[A]]))</f>
        <v>-737375.57142857148</v>
      </c>
      <c r="CB19" s="167" cm="1">
        <f t="array" aca="1" ref="CB19" ca="1">IFERROR(MIN(_xlfn._xlws.FILTER(INDIRECT("TabReg["&amp;TabCalc[[#This Row],[Ticker]]&amp;"]"), INDIRECT("TabReg["&amp;TabCalc[[#This Row],[Ticker]]&amp;"2]")&gt;0)),0)</f>
        <v>45456</v>
      </c>
      <c r="CC19" s="178" cm="1">
        <f t="array" aca="1" ref="CC19" ca="1">IFERROR(MIN(_xlfn._xlws.FILTER(INDIRECT("TabReg["&amp;TabCalc[[#This Row],[Ticker]]&amp;"1]"), INDIRECT("TabReg["&amp;TabCalc[[#This Row],[Ticker]]&amp;"2]")&gt;0)),0)</f>
        <v>4000</v>
      </c>
      <c r="CD19" s="173" cm="1">
        <f t="array" aca="1" ref="CD19" ca="1">IFERROR(MIN(_xlfn._xlws.FILTER(INDIRECT("TabReg["&amp;TabCalc[[#This Row],[Ticker]]&amp;"2]"), INDIRECT("TabReg["&amp;TabCalc[[#This Row],[Ticker]]&amp;"2]")&gt;0)),0)</f>
        <v>18.793299999999999</v>
      </c>
      <c r="CE19" s="167" cm="1">
        <f t="array" aca="1" ref="CE19" ca="1">IFERROR(MAX(_xlfn._xlws.FILTER(INDIRECT("TabReg["&amp;TabCalc[[#This Row],[Ticker]]&amp;"]"), INDIRECT("TabReg["&amp;TabCalc[[#This Row],[Ticker]]&amp;"2]")&gt;0)),0)</f>
        <v>45539</v>
      </c>
      <c r="CF19" s="178" cm="1">
        <f t="array" aca="1" ref="CF19" ca="1">IFERROR(MAX(_xlfn._xlws.FILTER(INDIRECT("TabReg["&amp;TabCalc[[#This Row],[Ticker]]&amp;"1]"), INDIRECT("TabReg["&amp;TabCalc[[#This Row],[Ticker]]&amp;"2]")&gt;0)),0)</f>
        <v>4000</v>
      </c>
      <c r="CG19" s="173" cm="1">
        <f t="array" aca="1" ref="CG19" ca="1">IFERROR(MAX(_xlfn._xlws.FILTER(INDIRECT("TabReg["&amp;TabCalc[[#This Row],[Ticker]]&amp;"2]"), INDIRECT("TabReg["&amp;TabCalc[[#This Row],[Ticker]]&amp;"2]")&gt;0)),0)</f>
        <v>20.32</v>
      </c>
      <c r="CH19" s="167" cm="1">
        <f t="array" aca="1" ref="CH19" ca="1">MIN(_xlfn._xlws.FILTER(INDIRECT("TabReg["&amp;TabCalc[[#This Row],[Ticker]]&amp;"]"), INDIRECT("TabReg["&amp;TabCalc[[#This Row],[Ticker]]&amp;"2]")&lt;0))</f>
        <v>40544</v>
      </c>
      <c r="CI19" s="177" cm="1">
        <f t="array" aca="1" ref="CI19" ca="1">MIN(_xlfn._xlws.FILTER(INDIRECT("TabReg["&amp;TabCalc[[#This Row],[Ticker]]&amp;"1]"), INDIRECT("TabReg["&amp;TabCalc[[#This Row],[Ticker]]&amp;"2]")&lt;0))</f>
        <v>1889</v>
      </c>
      <c r="CJ19" s="173" cm="1">
        <f t="array" aca="1" ref="CJ19" ca="1">MIN(_xlfn._xlws.FILTER(INDIRECT("TabReg["&amp;TabCalc[[#This Row],[Ticker]]&amp;"2]"), INDIRECT("TabReg["&amp;TabCalc[[#This Row],[Ticker]]&amp;"2]")&lt;0))</f>
        <v>-46.62</v>
      </c>
      <c r="CK19" s="167" cm="1">
        <f t="array" aca="1" ref="CK19" ca="1">MAX(_xlfn._xlws.FILTER(INDIRECT("TabReg["&amp;TabCalc[[#This Row],[Ticker]]&amp;"]"), INDIRECT("TabReg["&amp;TabCalc[[#This Row],[Ticker]]&amp;"2]")&lt;0))</f>
        <v>45859</v>
      </c>
      <c r="CL19" s="177" cm="1">
        <f t="array" aca="1" ref="CL19" ca="1">MAX(_xlfn._xlws.FILTER(INDIRECT("TabReg["&amp;TabCalc[[#This Row],[Ticker]]&amp;"1]"), INDIRECT("TabReg["&amp;TabCalc[[#This Row],[Ticker]]&amp;"2]")&lt;0))</f>
        <v>8111</v>
      </c>
      <c r="CM19" s="173" cm="1">
        <f t="array" aca="1" ref="CM19" ca="1">MAX(_xlfn._xlws.FILTER(INDIRECT("TabReg["&amp;TabCalc[[#This Row],[Ticker]]&amp;"2]"), INDIRECT("TabReg["&amp;TabCalc[[#This Row],[Ticker]]&amp;"2]")&lt;0))</f>
        <v>-14.48</v>
      </c>
      <c r="CN19" s="167" cm="1">
        <f t="array" aca="1" ref="CN19" ca="1">IFERROR(_xlfn.XLOOKUP(TabCalc[[#This Row],[BS2P]],INDIRECT("TabReg["&amp;TabCalc[[#This Row],[Ticker]]&amp;"2]"),INDIRECT("TabReg["&amp;TabCalc[[#This Row],[Ticker]]&amp;"]")),0)</f>
        <v>45489</v>
      </c>
      <c r="CO19" s="178" cm="1">
        <f t="array" aca="1" ref="CO19" ca="1">IFERROR(_xlfn.XLOOKUP(TabCalc[[#This Row],[BS2P]],INDIRECT("TabReg["&amp;TabCalc[[#This Row],[Ticker]]&amp;"2]"),INDIRECT("TabReg["&amp;TabCalc[[#This Row],[Ticker]]&amp;"1]")),0)</f>
        <v>4000</v>
      </c>
      <c r="CP19" s="173">
        <f ca="1">_xlfn.MAXIFS(INDIRECT("TabReg["&amp;TabCalc[[#This Row],[Ticker]]&amp;"2]"), INDIRECT("TabReg["&amp;TabCalc[[#This Row],[Ticker]]&amp;"2]"), "&lt;" &amp; MAX(INDIRECT("TabReg["&amp;TabCalc[[#This Row],[Ticker]]&amp;"2]")))</f>
        <v>19.331099999999999</v>
      </c>
      <c r="CQ19" s="167" cm="1">
        <f t="array" aca="1" ref="CQ19" ca="1">IFERROR(_xlfn.XLOOKUP(TabCalc[[#This Row],[WB2P]],INDIRECT("TabReg["&amp;TabCalc[[#This Row],[Ticker]]&amp;"2]"),INDIRECT("TabReg["&amp;TabCalc[[#This Row],[Ticker]]&amp;"]")),0)</f>
        <v>45463</v>
      </c>
      <c r="CR19" s="178" cm="1">
        <f t="array" aca="1" ref="CR19" ca="1">IFERROR(_xlfn.XLOOKUP(TabCalc[[#This Row],[WB2P]],INDIRECT("TabReg["&amp;TabCalc[[#This Row],[Ticker]]&amp;"2]"),INDIRECT("TabReg["&amp;TabCalc[[#This Row],[Ticker]]&amp;"1]")),0)</f>
        <v>4000</v>
      </c>
      <c r="CS19" s="173">
        <f ca="1">_xlfn.MINIFS(INDIRECT("TabReg["&amp;TabCalc[[#This Row],[Ticker]]&amp;"2]"), INDIRECT("TabReg["&amp;TabCalc[[#This Row],[Ticker]]&amp;"2]"), "&gt;" &amp; MIN(INDIRECT("TabReg["&amp;TabCalc[[#This Row],[Ticker]]&amp;"2]")))</f>
        <v>-18.567499999999999</v>
      </c>
      <c r="CT19" s="405">
        <f ca="1">IF(TabCalc[[#This Row],[M]]&lt;TabCalc[[#This Row],[L_Sp]],DesiredBuyGain/(TabCalc[[#This Row],[L_Sp]]-TabCalc[[#This Row],[M]]),0)</f>
        <v>737.46312684365773</v>
      </c>
      <c r="CU19" s="406">
        <f ca="1">IF(TabCalc[[#This Row],[ntoBuy]]*TabCalc[[#This Row],[M]]&lt;=0,0,TabCalc[[#This Row],[ntoBuy]]*TabCalc[[#This Row],[M]])</f>
        <v>9985.2507374631259</v>
      </c>
      <c r="CV19" s="406">
        <f ca="1">IF(TabCalc[[#This Row],[M]]&gt;ABS(TabCalc[[#This Row],[L_Bp]]),MIN(TabCalc[[#This Row],[NAfter]],DesiredSaleGain/(TabCalc[[#This Row],[M]]+TabCalc[[#This Row],[L_Bp]])),0)/TabCalc[[#This Row],[Scale]]</f>
        <v>0</v>
      </c>
      <c r="CW19" s="407">
        <f ca="1">TabCalc[[#This Row],[ntoSell]]*TabCalc[[#This Row],[M]]</f>
        <v>0</v>
      </c>
      <c r="CX19" s="400">
        <f ca="1">_xlfn.LET(_xlpm.nToSell,IF(TabCalc[[#This Row],[M]]-TabCalc[[#This Row],[A]]&lt;=0,"",INT(DesiredSaleGain/(TabCalc[[#This Row],[M]]-IF(TabCalc[[#This Row],[E]]&gt;0,0,TabCalc[[#This Row],[A]])))),IF(_xlpm.nToSell&lt;=TabCalc[[#This Row],[NAfter]],_xlpm.nToSell,0))</f>
        <v>0</v>
      </c>
      <c r="CY19" s="338">
        <f ca="1">IFERROR(TabCalc[[#This Row],[NMA]]*TabCalc[[#This Row],[M]],"")</f>
        <v>0</v>
      </c>
      <c r="CZ19" s="337" cm="1">
        <f t="array" aca="1" ref="CZ19" ca="1">_xlfn.IFS(TabCalc[[#This Row],[M]]&gt;= TabCalc[[#This Row],[L_Sp]],(TabCalc[[#This Row],[M]]-TabCalc[[#This Row],[A]])*TabCalc[[#This Row],[NAfter]]*TabCalc[[#This Row],[Scale]],           TabCalc[[#This Row],[M]]&lt; TabCalc[[#This Row],[L_Sp]],(TabCalc[[#This Row],[M]]-TabCalc[[#This Row],[A]])*TabCalc[[#This Row],[NAfter]]*TabCalc[[#This Row],[Scale]],               TRUE,"")</f>
        <v>-737375.57142857148</v>
      </c>
      <c r="DA19" s="90">
        <f ca="1">IFERROR((TabCalc[[#This Row],[M]]+TabCalc[[#This Row],[L_Bp]])/ABS(TabCalc[[#This Row],[L_Bp]])/(TODAY()-TabCalc[[#This Row],[L_Bdate]])*360,"")</f>
        <v>-0.2409295437717153</v>
      </c>
      <c r="DB19" s="312">
        <f ca="1">MEDIAN(DataShift!F719:Z719)</f>
        <v>5.561E-3</v>
      </c>
      <c r="DC19" s="312" t="str" cm="1">
        <f t="array" aca="1" ref="DC1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19" s="88" t="s">
        <v>16</v>
      </c>
      <c r="DN19" s="81">
        <v>340000</v>
      </c>
      <c r="DO19" s="317">
        <v>-8.98</v>
      </c>
    </row>
    <row r="20" spans="1:119">
      <c r="A20" s="120" t="str">
        <f ca="1">_xlfn.XLOOKUP(TabCalc[[#This Row],[Ticker]],[1]!RTData[Ticker symbol],[1]!RTData[Currency])</f>
        <v>EUR</v>
      </c>
      <c r="B20" s="121">
        <f ca="1">IF(TabCalc[[#This Row],[Cur]]="GBP",0.01,1)</f>
        <v>1</v>
      </c>
      <c r="C20" s="82">
        <f ca="1">_xlfn.XLOOKUP(TabCalc[[#This Row],[Ticker]],DM$3:DM$96,DN$3:DN$96)</f>
        <v>340000</v>
      </c>
      <c r="D20" s="1254">
        <f ca="1">_xlfn.XLOOKUP(TabCalc[[#This Row],[Ticker]],DM$3:DM$96,DO$3:DO$96)</f>
        <v>-8.98</v>
      </c>
      <c r="E20" s="121">
        <f t="shared" ca="1" si="0"/>
        <v>-3053200</v>
      </c>
      <c r="F20" s="82">
        <f ca="1">TabCalc[[#This Row],[NAfter]]*TabCalc[[#This Row],[M]]*TabCalc[[#This Row],[Scale]]</f>
        <v>8846.75</v>
      </c>
      <c r="G20" s="82">
        <f ca="1">IFERROR(TabCalc[[#This Row],[SB]]-TabCalc[[#This Row],[SST]],TabCalc[[#This Row],[SB]])</f>
        <v>550</v>
      </c>
      <c r="H20" s="535" t="str">
        <f ca="1">[1]!RTData[[#This Row],[Ticker symbol]]</f>
        <v>EOAN</v>
      </c>
      <c r="I20" s="385">
        <f ca="1">[1]!RTData[[#This Row],[M-Price]]</f>
        <v>16.085000000000001</v>
      </c>
      <c r="J20" s="384">
        <v>15.842499999999999</v>
      </c>
      <c r="K20" s="383">
        <f>[1]!RTData[[#This Row],[1YT]]</f>
        <v>16.89</v>
      </c>
      <c r="L20" s="384">
        <f ca="1">IF(OR(TabCalc[[#This Row],[NAfter]]=0,TabCalc[[#This Row],[EfCost]]&gt;0),0,TabCalc[[#This Row],[EfCost]]/TabCalc[[#This Row],[NAfter]]/TabCalc[[#This Row],[Scale]])</f>
        <v>0</v>
      </c>
      <c r="M20" s="744">
        <f ca="1">[1]!RTData[[#This Row],[Change%]]</f>
        <v>3.1180000000000001E-3</v>
      </c>
      <c r="N20" s="1172">
        <v>0.25</v>
      </c>
      <c r="O20" s="966">
        <f>TabCalc[[#This Row],[Up20]]-1+TabCalc[[#This Row],[Up20]]</f>
        <v>-0.5</v>
      </c>
      <c r="P20" s="966">
        <f>TabCalc[[#This Row],[Up20]]-TabCalc[[#This Row],[Up150]]</f>
        <v>-0.23091603053435117</v>
      </c>
      <c r="Q20" s="966">
        <v>0.48091603053435117</v>
      </c>
      <c r="R20" s="966">
        <f>TabCalc[[#This Row],[Up150]]-1+TabCalc[[#This Row],[Up150]]</f>
        <v>-3.8167938931297662E-2</v>
      </c>
      <c r="S20" s="966">
        <f ca="1">IFERROR(SUMPRODUCT(DataShift!F1512:Z1512,DataShift!AB719:AV719)/SQRT(SUMPRODUCT(DataShift!F1512:Z1512,DataShift!F1512:Z1512)*SUMPRODUCT(DataShift!AB719:AV719,DataShift!AB719:AV719)),0)</f>
        <v>-2.7975914824974683E-2</v>
      </c>
      <c r="T20" s="966">
        <f ca="1">IFERROR(SUMPRODUCT(DataShift!F1512:Z1512,DataShift!F720:Z720)/SQRT(SUMPRODUCT(DataShift!F1512:Z1512,DataShift!F1512:Z1512)*SUMPRODUCT(DataShift!F720:Z720,DataShift!F720:Z720)),0)</f>
        <v>-0.47027344391914633</v>
      </c>
      <c r="U20" s="1107">
        <v>0</v>
      </c>
      <c r="V20" s="1107">
        <v>6000</v>
      </c>
      <c r="W20" s="1107">
        <v>0</v>
      </c>
      <c r="X20" s="966" t="str">
        <f ca="1">IF(TabCalc[[#This Row],[EfCost]]+TabCalc[[#This Row],[M_V]]&lt;TabCalc[[#This Row],[NoT_GL]],"Pile","")</f>
        <v>Pile</v>
      </c>
      <c r="Y2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0" s="213">
        <f ca="1">MIN(TabCalc[[#This Row],[L_Bn]],TabCalc[[#This Row],[NAfter]])*(TabCalc[[#This Row],[M]]+TabCalc[[#This Row],[L_Bp]])*TabCalc[[#This Row],[Scale]]</f>
        <v>717.7500000000008</v>
      </c>
      <c r="AA20" s="210" cm="1">
        <f t="array" aca="1" ref="AA20" ca="1">_xlfn.XLOOKUP(TabCalc[[#This Row],[L_Bp]],INDIRECT("TabReg["&amp;TabCalc[[#This Row],[Ticker]]&amp;"2]"),INDIRECT("TabReg["&amp;TabCalc[[#This Row],[Ticker]]&amp;"]"))</f>
        <v>45902</v>
      </c>
      <c r="AB20" s="181" cm="1">
        <f t="array" aca="1" ref="AB20" ca="1">_xlfn.XLOOKUP(TabCalc[[#This Row],[L_Bp]],INDIRECT("TabReg["&amp;TabCalc[[#This Row],[Ticker]]&amp;"2]"),INDIRECT("TabReg["&amp;TabCalc[[#This Row],[Ticker]]&amp;"1]"))</f>
        <v>5000</v>
      </c>
      <c r="AC20" s="192" cm="1">
        <f t="array" aca="1" ref="AC20" ca="1">IFERROR(INDEX(INDIRECT("TabReg["&amp;TabCalc[[#This Row],[Ticker]]&amp;"2]"),    _xlfn.XMATCH(    MAX(    _xlfn._xlws.FILTER(INDIRECT("TabReg["&amp;TabCalc[[#This Row],[Ticker]]&amp;"]"), INDIRECT("TabReg["&amp;TabCalc[[#This Row],[Ticker]]&amp;"2]")&lt;0)     ), INDIRECT("TabReg["&amp;TabCalc[[#This Row],[Ticker]]&amp;"]"),      0)), "")</f>
        <v>-14.78</v>
      </c>
      <c r="AD20" s="213">
        <f ca="1">IFERROR(MIN(TabCalc[[#This Row],[L_B1n]],TabCalc[[#This Row],[NAfter]])*(TabCalc[[#This Row],[M]]+TabCalc[[#This Row],[L_B1p]])*TabCalc[[#This Row],[Scale]],"")</f>
        <v>761.75000000000091</v>
      </c>
      <c r="AE20" s="210" cm="1">
        <f t="array" aca="1" ref="AE2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45790</v>
      </c>
      <c r="AF20" s="181" cm="1">
        <f t="array" aca="1" ref="AF20" ca="1">IFERROR(_xlfn.XLOOKUP(TabCalc[[#This Row],[L_B1D]],INDIRECT("TabReg["&amp;TabCalc[[#This Row],[Ticker]]&amp;"]"),INDIRECT("TabReg["&amp;TabCalc[[#This Row],[Ticker]]&amp;"1]")),0)</f>
        <v>1250</v>
      </c>
      <c r="AG20" s="192" cm="1">
        <f t="array" aca="1" ref="AG20" ca="1">IFERROR(_xlfn.XLOOKUP(TabCalc[[#This Row],[L_B1D]],INDIRECT("TabReg["&amp;TabCalc[[#This Row],[Ticker]]&amp;"]"),INDIRECT("TabReg["&amp;TabCalc[[#This Row],[Ticker]]&amp;"2]")),0)</f>
        <v>-14.7</v>
      </c>
      <c r="AH20" s="214">
        <f ca="1">IFERROR(TabCalc[[#This Row],[L_Sn]]*(TabCalc[[#This Row],[L_Sp]]-TabCalc[[#This Row],[M]])*TabCalc[[#This Row],[Scale]],"")</f>
        <v>112.00000000000045</v>
      </c>
      <c r="AI20" s="210" cm="1">
        <f t="array" aca="1" ref="AI20" ca="1">IFERROR(_xlfn.XLOOKUP(TabCalc[[#This Row],[L_Sp]],INDIRECT("TabReg["&amp;TabCalc[[#This Row],[Ticker]]&amp;"2]"),INDIRECT("TabReg["&amp;TabCalc[[#This Row],[Ticker]]&amp;"]")),0)</f>
        <v>45936</v>
      </c>
      <c r="AJ20" s="181" cm="1">
        <f t="array" aca="1" ref="AJ20" ca="1">IFERROR(_xlfn.XLOOKUP(TabCalc[[#This Row],[L_Sp]],INDIRECT("TabReg["&amp;TabCalc[[#This Row],[Ticker]]&amp;"2]"),INDIRECT("TabReg["&amp;TabCalc[[#This Row],[Ticker]]&amp;"1]")),0)</f>
        <v>3200</v>
      </c>
      <c r="AK20" s="192" cm="1">
        <f t="array" aca="1" ref="AK20" ca="1">IFERROR(INDEX(INDIRECT("TabReg["&amp;TabCalc[[#This Row],[Ticker]]&amp;"2]"), _xlfn.XMATCH(MAX(_xlfn._xlws.FILTER(INDIRECT("TabReg["&amp;TabCalc[[#This Row],[Ticker]]&amp;"]"), INDIRECT("TabReg["&amp;TabCalc[[#This Row],[Ticker]]&amp;"2]")&gt;0)), INDIRECT("TabReg["&amp;TabCalc[[#This Row],[Ticker]]&amp;"]"), 0)), 0)</f>
        <v>16.12</v>
      </c>
      <c r="AL20" s="214">
        <f ca="1">IFERROR(TabCalc[[#This Row],[L_S1n]]*(TabCalc[[#This Row],[L_S1p]]-TabCalc[[#This Row],[M]])*TabCalc[[#This Row],[Scale]],0)</f>
        <v>-712.50000000000034</v>
      </c>
      <c r="AM20" s="210" cm="1">
        <f t="array" aca="1" ref="AM2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45915</v>
      </c>
      <c r="AN20" s="181" cm="1">
        <f t="array" aca="1" ref="AN20" ca="1">IFERROR(_xlfn.XLOOKUP(TabCalc[[#This Row],[L_S1D]],INDIRECT("TabReg["&amp;TabCalc[[#This Row],[Ticker]]&amp;"]"),INDIRECT("TabReg["&amp;TabCalc[[#This Row],[Ticker]]&amp;"1]")),0)</f>
        <v>2500</v>
      </c>
      <c r="AO20" s="384" cm="1">
        <f t="array" aca="1" ref="AO20" ca="1">IFERROR(_xlfn.XLOOKUP(TabCalc[[#This Row],[L_S1D]],INDIRECT("TabReg["&amp;TabCalc[[#This Row],[Ticker]]&amp;"]"),INDIRECT("TabReg["&amp;TabCalc[[#This Row],[Ticker]]&amp;"2]")),0)</f>
        <v>15.8</v>
      </c>
      <c r="AP20" s="336">
        <f ca="1">_xlfn.LET(_xlpm.MVOpen,[1]!RTData[[#This Row],[Open]]*TabCalc[[#This Row],[NAfter]],_xlpm.MVNow,TabCalc[[#This Row],[M]]*TabCalc[[#This Row],[NAfter]],_xlpm.MVNow-_xlpm.MVOpen)*TabCalc[[#This Row],[Scale]]</f>
        <v>63.25</v>
      </c>
      <c r="AQ20" s="336">
        <f ca="1">_xlfn.LET(_xlpm.MVToday,DataShift!AV520,         _xlpm.MVY,DataShift!AU521,        _xlpm.MVYY, DataShift!AT521,                                IF(_xlpm.MVToday=_xlpm.MVY,_xlpm.MVY-_xlpm.MVYY,_xlpm.MVToday-_xlpm.MVY))</f>
        <v>1638</v>
      </c>
      <c r="AR20" s="336">
        <f ca="1">_xlfn.LET(_xlpm.MVToday,DataShift!AV520,         _xlpm.MVY,DataShift!AU521,        _xlpm.MVYY, DataShift!AT521,         _xlpm.MVYYY, DataShift!AS521,                      IF(_xlpm.MVToday=_xlpm.MVY,      _xlpm.MVYY-_xlpm.MVYYY,          _xlpm.MVY-_xlpm.MVYY))</f>
        <v>-1484.0000000000291</v>
      </c>
      <c r="AS20" s="1078">
        <f ca="1">TabCalc[[#This Row],[Y]]/TabCalc[[#This Row],[M]]</f>
        <v>1.0500466272925086</v>
      </c>
      <c r="AT20" s="299" t="str" cm="1">
        <f t="array" aca="1" ref="AT20" ca="1">IFERROR(_xlfn.IFS(          TabCalc[[#This Row],[E]]&gt;0, "Free Trade",      TabCalc[[#This Row],[A]]&lt;MIN(TabCalc[[#This Row],[L_Sp]],TabCalc[[#This Row],[M]]), "Buy",            TabCalc[[#This Row],[M]]&lt;TabCalc[[#This Row],[L_Sp]],       "Refill",       TabCalc[[#This Row],[M]]&gt;TabCalc[[#This Row],[L_Sp]],"S_more"),"")</f>
        <v>Buy</v>
      </c>
      <c r="AU20" s="299" t="str">
        <f ca="1">IF(           AND(TabCalc[[#This Row],[E]]&lt;=0,          TabCalc[[#This Row],[A]]&gt;MIN(TabCalc[[#This Row],[M]],TabCalc[[#This Row],[L_Sp]]),             TabCalc[[#This Row],[L_Sp]]&lt;=TabCalc[[#This Row],[M]]),                       "S_more","")</f>
        <v/>
      </c>
      <c r="AV20" s="82" t="str" cm="1">
        <f t="array" aca="1" ref="AV20" ca="1">IFERROR(_xlfn.IFS(TabCalc[[#This Row],[E]]&gt;0,"Free trade",                 TabCalc[[#This Row],[A]]&lt;MAX(ABS(TabCalc[[#This Row],[L_Bp]]),TabCalc[[#This Row],[A]]),"Sell",             TabCalc[[#This Row],[M]]&gt;ABS(TabCalc[[#This Row],[L_Bp]]),"Resell",             TabCalc[[#This Row],[M]]&lt;ABS(TabCalc[[#This Row],[L_Bp]]),"B_more"),"")</f>
        <v>Resell</v>
      </c>
      <c r="AW20" s="82">
        <f ca="1">TabCalc[[#This Row],[NAfter]]-TabCalc[[#This Row],[Nbegin]]</f>
        <v>-339450</v>
      </c>
      <c r="AX20" s="307">
        <f ca="1">IFERROR((TabCalc[[#This Row],[M]]-TabCalc[[#This Row],[Y]])*(TabCalc[[#This Row],[M]]-TabCalc[[#This Row],[Y]])*(TabCalc[[#This Row],[M]]-TabCalc[[#This Row],[Y]])/(TabCalc[[#This Row],[Y]]*TabCalc[[#This Row],[M]]),"")</f>
        <v>-1.9201578242290004E-3</v>
      </c>
      <c r="AY20" s="82">
        <f t="shared" ca="1" si="1"/>
        <v>339450</v>
      </c>
      <c r="AZ20" s="90">
        <f ca="1">[1]!RTData[[#This Row],[V/VA]]</f>
        <v>1.1313503925264488</v>
      </c>
      <c r="BA20" s="90" t="str" cm="1">
        <f t="array" aca="1" ref="BA20" ca="1">IFERROR(_xlfn.IFS(TabCalc[[#This Row],[Cur]]="USD",Timer!F$27,TabCalc[[#This Row],[Cur]]="EUR",Timer!F$18,TabCalc[[#This Row],[Cur]]="GBP",Timer!F$12,TabCalc[[#This Row],[Cur]]="CAD",Timer!F$27,TabCalc[[#This Row],[Cur]]="JPY",Timer!F$31,TabCalc[[#This Row],[Cur]]="CHF",Timer!F$18),"Timing")</f>
        <v>None-Working Day</v>
      </c>
      <c r="BB20" s="90">
        <f ca="1">IF(ISNUMBER(TabCalc[[#This Row],[TimeEX]]),TabCalc[[#This Row],[V/VA]]/TabCalc[[#This Row],[TimeEX]],TabCalc[[#This Row],[V/VA]])</f>
        <v>1.1313503925264488</v>
      </c>
      <c r="BC20" s="87" cm="1">
        <f t="array" aca="1" ref="BC20" ca="1">INDEX(TabReg[], 1, _xlfn.XMATCH(TabCalc[[#This Row],[Ticker]]&amp;1, TabReg[#Headers], 0))</f>
        <v>340000</v>
      </c>
      <c r="BD20" s="161">
        <f ca="1">TabCalc[[#This Row],[Nbegin]]*TabCalc[[#This Row],[M]]*TabCalc[[#This Row],[Scale]]+TabCalc[[#This Row],[ValueBegin]]</f>
        <v>2415700</v>
      </c>
      <c r="BE20" s="336" t="str" cm="1">
        <f t="array" aca="1" ref="BE20" ca="1">_xlfn.IFS(TabCalc[[#This Row],[Cost+Gain]]&gt;0,"Free",             TabCalc[[#This Row],[GL]]&gt;0,"Gainer",                TRUE,"Looser")</f>
        <v>Free</v>
      </c>
      <c r="BF20" s="161">
        <f ca="1">TabCalc[[#This Row],[Tot_Paid]]-TabCalc[[#This Row],[ValueBegin]]</f>
        <v>-673293.75799999991</v>
      </c>
      <c r="BG20" s="337">
        <f ca="1">IF(TabCalc[[#This Row],[EfCost]]&gt;TabCalc[[#This Row],[ValueBegin]],       0,        TabCalc[[#This Row],[EfCost]]-TabCalc[[#This Row],[ValueBegin]]*(1+Commission))</f>
        <v>0</v>
      </c>
      <c r="BH20" s="338">
        <f ca="1">TabCalc[[#This Row],[M_V]]+TabCalc[[#This Row],[ValueBegin]]</f>
        <v>-3044353.25</v>
      </c>
      <c r="BI20" s="161" cm="1">
        <f t="array" aca="1" ref="BI20" ca="1">SUMPRODUCT(_xlfn._xlws.FILTER(INDIRECT("TabReg["&amp;TabCalc[[#This Row],[Ticker]]&amp;"1]") * INDIRECT("TabReg["&amp;TabCalc[[#This Row],[Ticker]]&amp;"2]"), INDIRECT("TabReg["&amp;TabCalc[[#This Row],[Ticker]]&amp;"2]")&lt;0))*(1+Commission)*TabCalc[[#This Row],[Scale]]</f>
        <v>-3726493.7579999999</v>
      </c>
      <c r="BJ20" s="161" cm="1">
        <f t="array" aca="1" ref="BJ20" ca="1">SUMPRODUCT(IF(INDIRECT("TabReg["&amp;TabCalc[[#This Row],[Ticker]]&amp;"2]") ="", 0, INDIRECT("TabReg["&amp;TabCalc[[#This Row],[Ticker]]&amp;"1]") * INDIRECT("TabReg["&amp;TabCalc[[#This Row],[Ticker]]&amp;"2]") ))*TabCalc[[#This Row],[Scale]]</f>
        <v>1157786.5</v>
      </c>
      <c r="BK20" s="161" cm="1">
        <f t="array" aca="1" ref="BK2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4861942.4970999993</v>
      </c>
      <c r="BL20" s="161">
        <f ca="1">TabCalc[[#This Row],[M_V]]+TabCalc[[#This Row],[EfCost]]</f>
        <v>1166633.25</v>
      </c>
      <c r="BM20" s="161">
        <f ca="1">IF(        OR( TabCalc[[#This Row],[GL]]&gt;ABS(TabCalc[[#This Row],[EfCost]]),TabCalc[[#This Row],[NAfter]]=0),             TabCalc[[#This Row],[GL]],     0)</f>
        <v>1166633.25</v>
      </c>
      <c r="BN20" s="161" cm="1">
        <f t="array" aca="1" ref="BN20" ca="1">SUMPRODUCT(_xlfn._xlws.FILTER(IF(INDIRECT("TabReg["&amp;TabCalc[[#This Row],[Ticker]]&amp;"2]") ="", 0, INDIRECT("TabReg["&amp;TabCalc[[#This Row],[Ticker]]&amp;"1]")  ),  INDIRECT("TabReg["&amp;TabCalc[[#This Row],[Ticker]]&amp;"2]") &lt; 0))</f>
        <v>395250</v>
      </c>
      <c r="BO20" s="161">
        <f ca="1">TabCalc[[#This Row],[SB]]-TabCalc[[#This Row],[Nbegin]]</f>
        <v>55250</v>
      </c>
      <c r="BP20" s="161" cm="1">
        <f t="array" aca="1" ref="BP20" ca="1">IFERROR(SUMPRODUCT(_xlfn._xlws.FILTER(IF(INDIRECT("TabReg["&amp;TabCalc[[#This Row],[Ticker]]&amp;"2]") ="", 0, INDIRECT("TabReg["&amp;TabCalc[[#This Row],[Ticker]]&amp;"1]")  ),  INDIRECT("TabReg["&amp;TabCalc[[#This Row],[Ticker]]&amp;"2]") &gt; 0)),0)</f>
        <v>394700</v>
      </c>
      <c r="BQ2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20" s="176" t="str">
        <f ca="1">IF(TabCalc[[#This Row],[EfCost]]+TabCalc[[#This Row],[M_V]]&lt;TabCalc[[#This Row],[NoT_GL]],"Pile","")</f>
        <v>Pile</v>
      </c>
      <c r="BS20" s="167">
        <f ca="1">[1]!RTData[[#This Row],[Last trade time]]</f>
        <v>45954.770833333336</v>
      </c>
      <c r="BT20" s="177">
        <f ca="1">(TabCalc[[#This Row],[ValueBegin]]+(TabCalc[[#This Row],[M]]-TabCalc[[#This Row],[A]])*TabCalc[[#This Row],[NAfter]])*TabCalc[[#This Row],[Scale]]</f>
        <v>-3053066.625</v>
      </c>
      <c r="BU20" s="189" cm="1">
        <f t="array" aca="1" ref="BU20" ca="1">_xlfn.XLOOKUP(TabCalc[[#This Row],[Ticker]],TabReg[[#Headers],[AAPL]:[UnknownX28]],Reg!B$72:KF$72)+3</f>
        <v>35</v>
      </c>
      <c r="BV20" s="190" cm="1">
        <f t="array" aca="1" ref="BV20" ca="1">_xlfn.XLOOKUP(TabCalc[[#This Row],[Ticker]],TabReg[[#Headers],[AAPL]:[UnknownX28]],Reg!B$73:KF$73)+2</f>
        <v>57</v>
      </c>
      <c r="BW20" s="191">
        <f ca="1">IFERROR(MAX(TabCalc[[#This Row],[Max_SD]],TabCalc[[#This Row],[Max_PD]]),0)</f>
        <v>45936</v>
      </c>
      <c r="BX20" s="191" t="str" cm="1">
        <f t="array" aca="1" ref="BX20" ca="1">_xlfn.IFS(TabCalc[[#This Row],[L_TP]]&lt;0,"Purchase",TabCalc[[#This Row],[L_TP]]&gt;0,"Sale")</f>
        <v>Sale</v>
      </c>
      <c r="BY20" s="190" cm="1">
        <f t="array" aca="1" ref="BY20" ca="1">INDEX(Reg!$A$1:$KF$73,TabCalc[[#This Row],[L_I1]],TabCalc[[#This Row],[L_I2]])</f>
        <v>3200</v>
      </c>
      <c r="BZ20" s="192" cm="1">
        <f t="array" aca="1" ref="BZ20" ca="1">INDEX(Reg!$A$1:$KF$73,TabCalc[[#This Row],[L_I1]],TabCalc[[#This Row],[L_I2]]+1)</f>
        <v>16.12</v>
      </c>
      <c r="CA20" s="161">
        <f ca="1">TabCalc[[#This Row],[NAfter]]*(TabCalc[[#This Row],[M]]-IF(TabCalc[[#This Row],[E]]&gt;0,0,TabCalc[[#This Row],[A]]))</f>
        <v>133.37500000000082</v>
      </c>
      <c r="CB20" s="167" cm="1">
        <f t="array" aca="1" ref="CB20" ca="1">IFERROR(MIN(_xlfn._xlws.FILTER(INDIRECT("TabReg["&amp;TabCalc[[#This Row],[Ticker]]&amp;"]"), INDIRECT("TabReg["&amp;TabCalc[[#This Row],[Ticker]]&amp;"2]")&gt;0)),0)</f>
        <v>45258</v>
      </c>
      <c r="CC20" s="178" cm="1">
        <f t="array" aca="1" ref="CC20" ca="1">IFERROR(MIN(_xlfn._xlws.FILTER(INDIRECT("TabReg["&amp;TabCalc[[#This Row],[Ticker]]&amp;"1]"), INDIRECT("TabReg["&amp;TabCalc[[#This Row],[Ticker]]&amp;"2]")&gt;0)),0)</f>
        <v>1250</v>
      </c>
      <c r="CD20" s="173" cm="1">
        <f t="array" aca="1" ref="CD20" ca="1">IFERROR(MIN(_xlfn._xlws.FILTER(INDIRECT("TabReg["&amp;TabCalc[[#This Row],[Ticker]]&amp;"2]"), INDIRECT("TabReg["&amp;TabCalc[[#This Row],[Ticker]]&amp;"2]")&gt;0)),0)</f>
        <v>11.94</v>
      </c>
      <c r="CE20" s="167" cm="1">
        <f t="array" aca="1" ref="CE20" ca="1">IFERROR(MAX(_xlfn._xlws.FILTER(INDIRECT("TabReg["&amp;TabCalc[[#This Row],[Ticker]]&amp;"]"), INDIRECT("TabReg["&amp;TabCalc[[#This Row],[Ticker]]&amp;"2]")&gt;0)),0)</f>
        <v>45936</v>
      </c>
      <c r="CF20" s="178" cm="1">
        <f t="array" aca="1" ref="CF20" ca="1">IFERROR(MAX(_xlfn._xlws.FILTER(INDIRECT("TabReg["&amp;TabCalc[[#This Row],[Ticker]]&amp;"1]"), INDIRECT("TabReg["&amp;TabCalc[[#This Row],[Ticker]]&amp;"2]")&gt;0)),0)</f>
        <v>260000</v>
      </c>
      <c r="CG20" s="173" cm="1">
        <f t="array" aca="1" ref="CG20" ca="1">IFERROR(MAX(_xlfn._xlws.FILTER(INDIRECT("TabReg["&amp;TabCalc[[#This Row],[Ticker]]&amp;"2]"), INDIRECT("TabReg["&amp;TabCalc[[#This Row],[Ticker]]&amp;"2]")&gt;0)),0)</f>
        <v>16.510000000000002</v>
      </c>
      <c r="CH20" s="167" cm="1">
        <f t="array" aca="1" ref="CH20" ca="1">MIN(_xlfn._xlws.FILTER(INDIRECT("TabReg["&amp;TabCalc[[#This Row],[Ticker]]&amp;"]"), INDIRECT("TabReg["&amp;TabCalc[[#This Row],[Ticker]]&amp;"2]")&lt;0))</f>
        <v>40544</v>
      </c>
      <c r="CI20" s="177" cm="1">
        <f t="array" aca="1" ref="CI20" ca="1">MIN(_xlfn._xlws.FILTER(INDIRECT("TabReg["&amp;TabCalc[[#This Row],[Ticker]]&amp;"1]"), INDIRECT("TabReg["&amp;TabCalc[[#This Row],[Ticker]]&amp;"2]")&lt;0))</f>
        <v>1250</v>
      </c>
      <c r="CJ20" s="173" cm="1">
        <f t="array" aca="1" ref="CJ20" ca="1">MIN(_xlfn._xlws.FILTER(INDIRECT("TabReg["&amp;TabCalc[[#This Row],[Ticker]]&amp;"2]"), INDIRECT("TabReg["&amp;TabCalc[[#This Row],[Ticker]]&amp;"2]")&lt;0))</f>
        <v>-14.78</v>
      </c>
      <c r="CK20" s="167" cm="1">
        <f t="array" aca="1" ref="CK20" ca="1">MAX(_xlfn._xlws.FILTER(INDIRECT("TabReg["&amp;TabCalc[[#This Row],[Ticker]]&amp;"]"), INDIRECT("TabReg["&amp;TabCalc[[#This Row],[Ticker]]&amp;"2]")&lt;0))</f>
        <v>45902</v>
      </c>
      <c r="CL20" s="177" cm="1">
        <f t="array" aca="1" ref="CL20" ca="1">MAX(_xlfn._xlws.FILTER(INDIRECT("TabReg["&amp;TabCalc[[#This Row],[Ticker]]&amp;"1]"), INDIRECT("TabReg["&amp;TabCalc[[#This Row],[Ticker]]&amp;"2]")&lt;0))</f>
        <v>340000</v>
      </c>
      <c r="CM20" s="173" cm="1">
        <f t="array" aca="1" ref="CM20" ca="1">MAX(_xlfn._xlws.FILTER(INDIRECT("TabReg["&amp;TabCalc[[#This Row],[Ticker]]&amp;"2]"), INDIRECT("TabReg["&amp;TabCalc[[#This Row],[Ticker]]&amp;"2]")&lt;0))</f>
        <v>-8.98</v>
      </c>
      <c r="CN20" s="167" cm="1">
        <f t="array" aca="1" ref="CN20" ca="1">IFERROR(_xlfn.XLOOKUP(TabCalc[[#This Row],[BS2P]],INDIRECT("TabReg["&amp;TabCalc[[#This Row],[Ticker]]&amp;"2]"),INDIRECT("TabReg["&amp;TabCalc[[#This Row],[Ticker]]&amp;"]")),0)</f>
        <v>45936</v>
      </c>
      <c r="CO20" s="178" cm="1">
        <f t="array" aca="1" ref="CO20" ca="1">IFERROR(_xlfn.XLOOKUP(TabCalc[[#This Row],[BS2P]],INDIRECT("TabReg["&amp;TabCalc[[#This Row],[Ticker]]&amp;"2]"),INDIRECT("TabReg["&amp;TabCalc[[#This Row],[Ticker]]&amp;"1]")),0)</f>
        <v>3200</v>
      </c>
      <c r="CP20" s="173">
        <f ca="1">_xlfn.MAXIFS(INDIRECT("TabReg["&amp;TabCalc[[#This Row],[Ticker]]&amp;"2]"), INDIRECT("TabReg["&amp;TabCalc[[#This Row],[Ticker]]&amp;"2]"), "&lt;" &amp; MAX(INDIRECT("TabReg["&amp;TabCalc[[#This Row],[Ticker]]&amp;"2]")))</f>
        <v>16.12</v>
      </c>
      <c r="CQ20" s="167" cm="1">
        <f t="array" aca="1" ref="CQ20" ca="1">IFERROR(_xlfn.XLOOKUP(TabCalc[[#This Row],[WB2P]],INDIRECT("TabReg["&amp;TabCalc[[#This Row],[Ticker]]&amp;"2]"),INDIRECT("TabReg["&amp;TabCalc[[#This Row],[Ticker]]&amp;"]")),0)</f>
        <v>45790</v>
      </c>
      <c r="CR20" s="178" cm="1">
        <f t="array" aca="1" ref="CR20" ca="1">IFERROR(_xlfn.XLOOKUP(TabCalc[[#This Row],[WB2P]],INDIRECT("TabReg["&amp;TabCalc[[#This Row],[Ticker]]&amp;"2]"),INDIRECT("TabReg["&amp;TabCalc[[#This Row],[Ticker]]&amp;"1]")),0)</f>
        <v>1250</v>
      </c>
      <c r="CS20" s="173">
        <f ca="1">_xlfn.MINIFS(INDIRECT("TabReg["&amp;TabCalc[[#This Row],[Ticker]]&amp;"2]"), INDIRECT("TabReg["&amp;TabCalc[[#This Row],[Ticker]]&amp;"2]"), "&gt;" &amp; MIN(INDIRECT("TabReg["&amp;TabCalc[[#This Row],[Ticker]]&amp;"2]")))</f>
        <v>-14.7</v>
      </c>
      <c r="CT20" s="405">
        <f ca="1">IF(TabCalc[[#This Row],[M]]&lt;TabCalc[[#This Row],[L_Sp]],DesiredBuyGain/(TabCalc[[#This Row],[L_Sp]]-TabCalc[[#This Row],[M]]),0)</f>
        <v>142857.14285714229</v>
      </c>
      <c r="CU20" s="406">
        <f ca="1">IF(TabCalc[[#This Row],[ntoBuy]]*TabCalc[[#This Row],[M]]&lt;=0,0,TabCalc[[#This Row],[ntoBuy]]*TabCalc[[#This Row],[M]])</f>
        <v>2297857.1428571339</v>
      </c>
      <c r="CV20" s="406">
        <f ca="1">IF(TabCalc[[#This Row],[M]]&gt;ABS(TabCalc[[#This Row],[L_Bp]]),MIN(TabCalc[[#This Row],[NAfter]],DesiredSaleGain/(TabCalc[[#This Row],[M]]+TabCalc[[#This Row],[L_Bp]])),0)/TabCalc[[#This Row],[Scale]]</f>
        <v>550</v>
      </c>
      <c r="CW20" s="407">
        <f ca="1">TabCalc[[#This Row],[ntoSell]]*TabCalc[[#This Row],[M]]</f>
        <v>8846.75</v>
      </c>
      <c r="CX20" s="400">
        <f ca="1">_xlfn.LET(_xlpm.nToSell,IF(TabCalc[[#This Row],[M]]-TabCalc[[#This Row],[A]]&lt;=0,"",INT(DesiredSaleGain/(TabCalc[[#This Row],[M]]-IF(TabCalc[[#This Row],[E]]&gt;0,0,TabCalc[[#This Row],[A]])))),IF(_xlpm.nToSell&lt;=TabCalc[[#This Row],[NAfter]],_xlpm.nToSell,0))</f>
        <v>0</v>
      </c>
      <c r="CY20" s="338">
        <f ca="1">IFERROR(TabCalc[[#This Row],[NMA]]*TabCalc[[#This Row],[M]],"")</f>
        <v>0</v>
      </c>
      <c r="CZ20" s="337" cm="1">
        <f t="array" aca="1" ref="CZ20" ca="1">_xlfn.IFS(TabCalc[[#This Row],[M]]&gt;= TabCalc[[#This Row],[L_Sp]],(TabCalc[[#This Row],[M]]-TabCalc[[#This Row],[A]])*TabCalc[[#This Row],[NAfter]]*TabCalc[[#This Row],[Scale]],           TabCalc[[#This Row],[M]]&lt; TabCalc[[#This Row],[L_Sp]],(TabCalc[[#This Row],[M]]-TabCalc[[#This Row],[A]])*TabCalc[[#This Row],[NAfter]]*TabCalc[[#This Row],[Scale]],               TRUE,"")</f>
        <v>133.37500000000082</v>
      </c>
      <c r="DA20" s="90">
        <f ca="1">IFERROR((TabCalc[[#This Row],[M]]+TabCalc[[#This Row],[L_Bp]])/ABS(TabCalc[[#This Row],[L_Bp]])/(TODAY()-TabCalc[[#This Row],[L_Bdate]])*360,"")</f>
        <v>0.58863328822733496</v>
      </c>
      <c r="DB20" s="312">
        <f ca="1">MEDIAN(DataShift!F720:Z720)</f>
        <v>1.224E-3</v>
      </c>
      <c r="DC20" s="312" t="str" cm="1">
        <f t="array" aca="1" ref="DC2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20" s="88" t="s">
        <v>17</v>
      </c>
      <c r="DN20" s="82">
        <v>17687</v>
      </c>
      <c r="DO20" s="317">
        <v>-5.5781000000000001</v>
      </c>
    </row>
    <row r="21" spans="1:119">
      <c r="A21" s="120" t="str">
        <f ca="1">_xlfn.XLOOKUP(TabCalc[[#This Row],[Ticker]],[1]!RTData[Ticker symbol],[1]!RTData[Currency])</f>
        <v>USD</v>
      </c>
      <c r="B21" s="121">
        <f ca="1">IF(TabCalc[[#This Row],[Cur]]="GBP",0.01,1)</f>
        <v>1</v>
      </c>
      <c r="C21" s="82">
        <f ca="1">_xlfn.XLOOKUP(TabCalc[[#This Row],[Ticker]],DM$3:DM$96,DN$3:DN$96)</f>
        <v>17687</v>
      </c>
      <c r="D21" s="1254">
        <f ca="1">_xlfn.XLOOKUP(TabCalc[[#This Row],[Ticker]],DM$3:DM$96,DO$3:DO$96)</f>
        <v>-5.5781000000000001</v>
      </c>
      <c r="E21" s="121">
        <f t="shared" ca="1" si="0"/>
        <v>-98659.854699999996</v>
      </c>
      <c r="F21" s="82">
        <f ca="1">TabCalc[[#This Row],[NAfter]]*TabCalc[[#This Row],[M]]*TabCalc[[#This Row],[Scale]]</f>
        <v>6036</v>
      </c>
      <c r="G21" s="82">
        <f ca="1">IFERROR(TabCalc[[#This Row],[SB]]-TabCalc[[#This Row],[SST]],TabCalc[[#This Row],[SB]])</f>
        <v>30000</v>
      </c>
      <c r="H21" s="535" t="str">
        <f ca="1">[1]!RTData[[#This Row],[Ticker symbol]]</f>
        <v>EPIX</v>
      </c>
      <c r="I21" s="385">
        <f ca="1">[1]!RTData[[#This Row],[M-Price]]</f>
        <v>0.20119999999999999</v>
      </c>
      <c r="J21" s="384">
        <v>14.78</v>
      </c>
      <c r="K21" s="383">
        <f>[1]!RTData[[#This Row],[1YT]]</f>
        <v>0</v>
      </c>
      <c r="L21" s="384">
        <f ca="1">IF(OR(TabCalc[[#This Row],[NAfter]]=0,TabCalc[[#This Row],[EfCost]]&gt;0),0,TabCalc[[#This Row],[EfCost]]/TabCalc[[#This Row],[NAfter]]/TabCalc[[#This Row],[Scale]])</f>
        <v>-0.21227451999999974</v>
      </c>
      <c r="M21" s="744">
        <f ca="1">[1]!RTData[[#This Row],[Change%]]</f>
        <v>0</v>
      </c>
      <c r="N21" s="1172">
        <v>0</v>
      </c>
      <c r="O21" s="966">
        <f>TabCalc[[#This Row],[Up20]]-1+TabCalc[[#This Row],[Up20]]</f>
        <v>-1</v>
      </c>
      <c r="P21" s="966">
        <f>TabCalc[[#This Row],[Up20]]-TabCalc[[#This Row],[Up150]]</f>
        <v>0</v>
      </c>
      <c r="Q21" s="966">
        <v>0</v>
      </c>
      <c r="R21" s="966">
        <f>TabCalc[[#This Row],[Up150]]-1+TabCalc[[#This Row],[Up150]]</f>
        <v>-1</v>
      </c>
      <c r="S21" s="966">
        <f ca="1">IFERROR(SUMPRODUCT(DataShift!F1513:Z1513,DataShift!AB720:AV720)/SQRT(SUMPRODUCT(DataShift!F1513:Z1513,DataShift!F1513:Z1513)*SUMPRODUCT(DataShift!AB720:AV720,DataShift!AB720:AV720)),0)</f>
        <v>-0.62365602991964919</v>
      </c>
      <c r="T21" s="966">
        <f ca="1">IFERROR(SUMPRODUCT(DataShift!F1513:Z1513,DataShift!F721:Z721)/SQRT(SUMPRODUCT(DataShift!F1513:Z1513,DataShift!F1513:Z1513)*SUMPRODUCT(DataShift!F721:Z721,DataShift!F721:Z721)),0)</f>
        <v>1.3198263886753782E-2</v>
      </c>
      <c r="U21" s="1107">
        <v>550</v>
      </c>
      <c r="V21" s="1107">
        <v>0</v>
      </c>
      <c r="W21" s="1107">
        <v>0</v>
      </c>
      <c r="X21" s="966" t="str">
        <f ca="1">IF(TabCalc[[#This Row],[EfCost]]+TabCalc[[#This Row],[M_V]]&lt;TabCalc[[#This Row],[NoT_GL]],"Pile","")</f>
        <v/>
      </c>
      <c r="Y2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-2,203,778 = $ -443,401</v>
      </c>
      <c r="Z21" s="213">
        <f ca="1">MIN(TabCalc[[#This Row],[L_Bn]],TabCalc[[#This Row],[NAfter]])*(TabCalc[[#This Row],[M]]+TabCalc[[#This Row],[L_Bp]])*TabCalc[[#This Row],[Scale]]</f>
        <v>-18225.599999999999</v>
      </c>
      <c r="AA21" s="210" cm="1">
        <f t="array" aca="1" ref="AA21" ca="1">_xlfn.XLOOKUP(TabCalc[[#This Row],[L_Bp]],INDIRECT("TabReg["&amp;TabCalc[[#This Row],[Ticker]]&amp;"2]"),INDIRECT("TabReg["&amp;TabCalc[[#This Row],[Ticker]]&amp;"]"))</f>
        <v>45686</v>
      </c>
      <c r="AB21" s="181" cm="1">
        <f t="array" aca="1" ref="AB21" ca="1">_xlfn.XLOOKUP(TabCalc[[#This Row],[L_Bp]],INDIRECT("TabReg["&amp;TabCalc[[#This Row],[Ticker]]&amp;"2]"),INDIRECT("TabReg["&amp;TabCalc[[#This Row],[Ticker]]&amp;"1]"))</f>
        <v>12000</v>
      </c>
      <c r="AC21" s="192" cm="1">
        <f t="array" aca="1" ref="AC21" ca="1">IFERROR(INDEX(INDIRECT("TabReg["&amp;TabCalc[[#This Row],[Ticker]]&amp;"2]"),    _xlfn.XMATCH(    MAX(    _xlfn._xlws.FILTER(INDIRECT("TabReg["&amp;TabCalc[[#This Row],[Ticker]]&amp;"]"), INDIRECT("TabReg["&amp;TabCalc[[#This Row],[Ticker]]&amp;"2]")&lt;0)     ), INDIRECT("TabReg["&amp;TabCalc[[#This Row],[Ticker]]&amp;"]"),      0)), "")</f>
        <v>-1.72</v>
      </c>
      <c r="AD21" s="213">
        <f ca="1">IFERROR(MIN(TabCalc[[#This Row],[L_B1n]],TabCalc[[#This Row],[NAfter]])*(TabCalc[[#This Row],[M]]+TabCalc[[#This Row],[L_B1p]])*TabCalc[[#This Row],[Scale]],"")</f>
        <v>-24282</v>
      </c>
      <c r="AE21" s="210" cm="1">
        <f t="array" aca="1" ref="AE2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45623</v>
      </c>
      <c r="AF21" s="181" cm="1">
        <f t="array" aca="1" ref="AF21" ca="1">IFERROR(_xlfn.XLOOKUP(TabCalc[[#This Row],[L_B1D]],INDIRECT("TabReg["&amp;TabCalc[[#This Row],[Ticker]]&amp;"]"),INDIRECT("TabReg["&amp;TabCalc[[#This Row],[Ticker]]&amp;"1]")),0)</f>
        <v>15000</v>
      </c>
      <c r="AG21" s="192" cm="1">
        <f t="array" aca="1" ref="AG21" ca="1">IFERROR(_xlfn.XLOOKUP(TabCalc[[#This Row],[L_B1D]],INDIRECT("TabReg["&amp;TabCalc[[#This Row],[Ticker]]&amp;"]"),INDIRECT("TabReg["&amp;TabCalc[[#This Row],[Ticker]]&amp;"2]")),0)</f>
        <v>-1.82</v>
      </c>
      <c r="AH21" s="302">
        <f ca="1">IFERROR(TabCalc[[#This Row],[L_Sn]]*(TabCalc[[#This Row],[L_Sp]]-TabCalc[[#This Row],[M]])*TabCalc[[#This Row],[Scale]],"")</f>
        <v>55687.999999999993</v>
      </c>
      <c r="AI21" s="210" cm="1">
        <f t="array" aca="1" ref="AI21" ca="1">IFERROR(_xlfn.XLOOKUP(TabCalc[[#This Row],[L_Sp]],INDIRECT("TabReg["&amp;TabCalc[[#This Row],[Ticker]]&amp;"2]"),INDIRECT("TabReg["&amp;TabCalc[[#This Row],[Ticker]]&amp;"]")),0)</f>
        <v>45553</v>
      </c>
      <c r="AJ21" s="181" cm="1">
        <f t="array" aca="1" ref="AJ21" ca="1">IFERROR(_xlfn.XLOOKUP(TabCalc[[#This Row],[L_Sp]],INDIRECT("TabReg["&amp;TabCalc[[#This Row],[Ticker]]&amp;"2]"),INDIRECT("TabReg["&amp;TabCalc[[#This Row],[Ticker]]&amp;"1]")),0)</f>
        <v>10000</v>
      </c>
      <c r="AK21" s="192" cm="1">
        <f t="array" aca="1" ref="AK21" ca="1">IFERROR(INDEX(INDIRECT("TabReg["&amp;TabCalc[[#This Row],[Ticker]]&amp;"2]"), _xlfn.XMATCH(MAX(_xlfn._xlws.FILTER(INDIRECT("TabReg["&amp;TabCalc[[#This Row],[Ticker]]&amp;"]"), INDIRECT("TabReg["&amp;TabCalc[[#This Row],[Ticker]]&amp;"2]")&gt;0)), INDIRECT("TabReg["&amp;TabCalc[[#This Row],[Ticker]]&amp;"]"), 0)), 0)</f>
        <v>5.77</v>
      </c>
      <c r="AL21" s="214">
        <f ca="1">IFERROR(TabCalc[[#This Row],[L_S1n]]*(TabCalc[[#This Row],[L_S1p]]-TabCalc[[#This Row],[M]])*TabCalc[[#This Row],[Scale]],0)</f>
        <v>16046.4</v>
      </c>
      <c r="AM21" s="210" cm="1">
        <f t="array" aca="1" ref="AM2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21" s="181" cm="1">
        <f t="array" aca="1" ref="AN21" ca="1">IFERROR(_xlfn.XLOOKUP(TabCalc[[#This Row],[L_S1D]],INDIRECT("TabReg["&amp;TabCalc[[#This Row],[Ticker]]&amp;"]"),INDIRECT("TabReg["&amp;TabCalc[[#This Row],[Ticker]]&amp;"1]")),0)</f>
        <v>3000</v>
      </c>
      <c r="AO21" s="384" cm="1">
        <f t="array" aca="1" ref="AO21" ca="1">IFERROR(_xlfn.XLOOKUP(TabCalc[[#This Row],[L_S1D]],INDIRECT("TabReg["&amp;TabCalc[[#This Row],[Ticker]]&amp;"]"),INDIRECT("TabReg["&amp;TabCalc[[#This Row],[Ticker]]&amp;"2]")),0)</f>
        <v>5.55</v>
      </c>
      <c r="AP21" s="336">
        <f ca="1">_xlfn.LET(_xlpm.MVOpen,[1]!RTData[[#This Row],[Open]]*TabCalc[[#This Row],[NAfter]],_xlpm.MVNow,TabCalc[[#This Row],[M]]*TabCalc[[#This Row],[NAfter]],_xlpm.MVNow-_xlpm.MVOpen)*TabCalc[[#This Row],[Scale]]</f>
        <v>36</v>
      </c>
      <c r="AQ21" s="336">
        <f ca="1">_xlfn.LET(_xlpm.MVToday,DataShift!AV521,         _xlpm.MVY,DataShift!AU522,        _xlpm.MVYY, DataShift!AT522,                                IF(_xlpm.MVToday=_xlpm.MVY,_xlpm.MVY-_xlpm.MVYY,_xlpm.MVToday-_xlpm.MVY))</f>
        <v>1020</v>
      </c>
      <c r="AR21" s="336">
        <f ca="1">_xlfn.LET(_xlpm.MVToday,DataShift!AV521,         _xlpm.MVY,DataShift!AU522,        _xlpm.MVYY, DataShift!AT522,         _xlpm.MVYYY, DataShift!AS522,                      IF(_xlpm.MVToday=_xlpm.MVY,      _xlpm.MVYY-_xlpm.MVYYY,          _xlpm.MVY-_xlpm.MVYY))</f>
        <v>600</v>
      </c>
      <c r="AS21" s="1078">
        <f ca="1">TabCalc[[#This Row],[Y]]/TabCalc[[#This Row],[M]]</f>
        <v>0</v>
      </c>
      <c r="AT21" s="299" t="str" cm="1">
        <f t="array" aca="1" ref="AT21" ca="1">IFERROR(_xlfn.IFS(          TabCalc[[#This Row],[E]]&gt;0, "Free Trade",      TabCalc[[#This Row],[A]]&lt;MIN(TabCalc[[#This Row],[L_Sp]],TabCalc[[#This Row],[M]]), "Buy",            TabCalc[[#This Row],[M]]&lt;TabCalc[[#This Row],[L_Sp]],       "Refill",       TabCalc[[#This Row],[M]]&gt;TabCalc[[#This Row],[L_Sp]],"S_more"),"")</f>
        <v>Refill</v>
      </c>
      <c r="AU21" s="299" t="str">
        <f ca="1">IF(           AND(TabCalc[[#This Row],[E]]&lt;=0,          TabCalc[[#This Row],[A]]&gt;MIN(TabCalc[[#This Row],[M]],TabCalc[[#This Row],[L_Sp]]),             TabCalc[[#This Row],[L_Sp]]&lt;=TabCalc[[#This Row],[M]]),                       "S_more","")</f>
        <v/>
      </c>
      <c r="AV21" s="82" t="str" cm="1">
        <f t="array" aca="1" ref="AV21" ca="1">IFERROR(_xlfn.IFS(TabCalc[[#This Row],[E]]&gt;0,"Free trade",                 TabCalc[[#This Row],[A]]&lt;MAX(ABS(TabCalc[[#This Row],[L_Bp]]),TabCalc[[#This Row],[A]]),"Sell",             TabCalc[[#This Row],[M]]&gt;ABS(TabCalc[[#This Row],[L_Bp]]),"Resell",             TabCalc[[#This Row],[M]]&lt;ABS(TabCalc[[#This Row],[L_Bp]]),"B_more"),"")</f>
        <v>B_more</v>
      </c>
      <c r="AW21" s="82">
        <f ca="1">TabCalc[[#This Row],[NAfter]]-TabCalc[[#This Row],[Nbegin]]</f>
        <v>12313</v>
      </c>
      <c r="AX21" s="307" t="str">
        <f ca="1">IFERROR((TabCalc[[#This Row],[M]]-TabCalc[[#This Row],[Y]])*(TabCalc[[#This Row],[M]]-TabCalc[[#This Row],[Y]])*(TabCalc[[#This Row],[M]]-TabCalc[[#This Row],[Y]])/(TabCalc[[#This Row],[Y]]*TabCalc[[#This Row],[M]]),"")</f>
        <v/>
      </c>
      <c r="AY21" s="82">
        <f t="shared" ca="1" si="1"/>
        <v>0</v>
      </c>
      <c r="AZ21" s="90">
        <f ca="1">[1]!RTData[[#This Row],[V/VA]]</f>
        <v>1.8522760022071003</v>
      </c>
      <c r="BA21" s="90" t="str" cm="1">
        <f t="array" aca="1" ref="BA21" ca="1">IFERROR(_xlfn.IFS(TabCalc[[#This Row],[Cur]]="USD",Timer!F$27,TabCalc[[#This Row],[Cur]]="EUR",Timer!F$18,TabCalc[[#This Row],[Cur]]="GBP",Timer!F$12,TabCalc[[#This Row],[Cur]]="CAD",Timer!F$27,TabCalc[[#This Row],[Cur]]="JPY",Timer!F$31,TabCalc[[#This Row],[Cur]]="CHF",Timer!F$18),"Timing")</f>
        <v>None-Working Day</v>
      </c>
      <c r="BB21" s="90">
        <f ca="1">IF(ISNUMBER(TabCalc[[#This Row],[TimeEX]]),TabCalc[[#This Row],[V/VA]]/TabCalc[[#This Row],[TimeEX]],TabCalc[[#This Row],[V/VA]])</f>
        <v>1.8522760022071003</v>
      </c>
      <c r="BC21" s="87" cm="1">
        <f t="array" aca="1" ref="BC21" ca="1">INDEX(TabReg[], 1, _xlfn.XMATCH(TabCalc[[#This Row],[Ticker]]&amp;1, TabReg[#Headers], 0))</f>
        <v>17687</v>
      </c>
      <c r="BD21" s="161">
        <f ca="1">TabCalc[[#This Row],[Nbegin]]*TabCalc[[#This Row],[M]]*TabCalc[[#This Row],[Scale]]+TabCalc[[#This Row],[ValueBegin]]</f>
        <v>-95101.230299999996</v>
      </c>
      <c r="BE21" s="336" t="str" cm="1">
        <f t="array" aca="1" ref="BE21" ca="1">_xlfn.IFS(TabCalc[[#This Row],[Cost+Gain]]&gt;0,"Free",             TabCalc[[#This Row],[GL]]&gt;0,"Gainer",                TRUE,"Looser")</f>
        <v>Looser</v>
      </c>
      <c r="BF21" s="161">
        <f ca="1">TabCalc[[#This Row],[Tot_Paid]]-TabCalc[[#This Row],[ValueBegin]]</f>
        <v>-207350.53043563999</v>
      </c>
      <c r="BG21" s="337">
        <f ca="1">IF(TabCalc[[#This Row],[EfCost]]&gt;TabCalc[[#This Row],[ValueBegin]],       0,        TabCalc[[#This Row],[EfCost]]-TabCalc[[#This Row],[ValueBegin]]*(1+Commission))</f>
        <v>0</v>
      </c>
      <c r="BH21" s="338">
        <f ca="1">TabCalc[[#This Row],[M_V]]+TabCalc[[#This Row],[ValueBegin]]</f>
        <v>-92623.854699999996</v>
      </c>
      <c r="BI21" s="161" cm="1">
        <f t="array" aca="1" ref="BI21" ca="1">SUMPRODUCT(_xlfn._xlws.FILTER(INDIRECT("TabReg["&amp;TabCalc[[#This Row],[Ticker]]&amp;"1]") * INDIRECT("TabReg["&amp;TabCalc[[#This Row],[Ticker]]&amp;"2]"), INDIRECT("TabReg["&amp;TabCalc[[#This Row],[Ticker]]&amp;"2]")&lt;0))*(1+Commission)*TabCalc[[#This Row],[Scale]]</f>
        <v>-306010.38513563998</v>
      </c>
      <c r="BJ21" s="161" cm="1">
        <f t="array" aca="1" ref="BJ21" ca="1">SUMPRODUCT(IF(INDIRECT("TabReg["&amp;TabCalc[[#This Row],[Ticker]]&amp;"2]") ="", 0, INDIRECT("TabReg["&amp;TabCalc[[#This Row],[Ticker]]&amp;"1]") * INDIRECT("TabReg["&amp;TabCalc[[#This Row],[Ticker]]&amp;"2]") ))*TabCalc[[#This Row],[Scale]]</f>
        <v>-6368.2355999999927</v>
      </c>
      <c r="BK21" s="161" cm="1">
        <f t="array" aca="1" ref="BK2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298071.57947692007</v>
      </c>
      <c r="BL21" s="161">
        <f ca="1">TabCalc[[#This Row],[M_V]]+TabCalc[[#This Row],[EfCost]]</f>
        <v>-332.2355999999927</v>
      </c>
      <c r="BM21" s="161">
        <f ca="1">IF(        OR( TabCalc[[#This Row],[GL]]&gt;ABS(TabCalc[[#This Row],[EfCost]]),TabCalc[[#This Row],[NAfter]]=0),             TabCalc[[#This Row],[GL]],     0)</f>
        <v>0</v>
      </c>
      <c r="BN21" s="161" cm="1">
        <f t="array" aca="1" ref="BN21" ca="1">SUMPRODUCT(_xlfn._xlws.FILTER(IF(INDIRECT("TabReg["&amp;TabCalc[[#This Row],[Ticker]]&amp;"2]") ="", 0, INDIRECT("TabReg["&amp;TabCalc[[#This Row],[Ticker]]&amp;"1]")  ),  INDIRECT("TabReg["&amp;TabCalc[[#This Row],[Ticker]]&amp;"2]") &lt; 0))</f>
        <v>71000</v>
      </c>
      <c r="BO21" s="161">
        <f ca="1">TabCalc[[#This Row],[SB]]-TabCalc[[#This Row],[Nbegin]]</f>
        <v>53313</v>
      </c>
      <c r="BP21" s="161" cm="1">
        <f t="array" aca="1" ref="BP21" ca="1">IFERROR(SUMPRODUCT(_xlfn._xlws.FILTER(IF(INDIRECT("TabReg["&amp;TabCalc[[#This Row],[Ticker]]&amp;"2]") ="", 0, INDIRECT("TabReg["&amp;TabCalc[[#This Row],[Ticker]]&amp;"1]")  ),  INDIRECT("TabReg["&amp;TabCalc[[#This Row],[Ticker]]&amp;"2]") &gt; 0)),0)</f>
        <v>41000</v>
      </c>
      <c r="BQ21"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0.03</v>
      </c>
      <c r="BR21" s="176" t="str">
        <f ca="1">IF(TabCalc[[#This Row],[EfCost]]+TabCalc[[#This Row],[M_V]]&lt;TabCalc[[#This Row],[NoT_GL]],"Pile","")</f>
        <v/>
      </c>
      <c r="BS21" s="167">
        <f ca="1">[1]!RTData[[#This Row],[Last trade time]]</f>
        <v>45938.992447279685</v>
      </c>
      <c r="BT21" s="177">
        <f ca="1">(TabCalc[[#This Row],[ValueBegin]]+(TabCalc[[#This Row],[M]]-TabCalc[[#This Row],[A]])*TabCalc[[#This Row],[NAfter]])*TabCalc[[#This Row],[Scale]]</f>
        <v>-536023.85470000003</v>
      </c>
      <c r="BU21" s="189" cm="1">
        <f t="array" aca="1" ref="BU21" ca="1">_xlfn.XLOOKUP(TabCalc[[#This Row],[Ticker]],TabReg[[#Headers],[AAPL]:[UnknownX28]],Reg!B$72:KF$72)+3</f>
        <v>18</v>
      </c>
      <c r="BV21" s="190" cm="1">
        <f t="array" aca="1" ref="BV21" ca="1">_xlfn.XLOOKUP(TabCalc[[#This Row],[Ticker]],TabReg[[#Headers],[AAPL]:[UnknownX28]],Reg!B$73:KF$73)+2</f>
        <v>60</v>
      </c>
      <c r="BW21" s="191">
        <f ca="1">IFERROR(MAX(TabCalc[[#This Row],[Max_SD]],TabCalc[[#This Row],[Max_PD]]),0)</f>
        <v>45686</v>
      </c>
      <c r="BX21" s="191" t="str" cm="1">
        <f t="array" aca="1" ref="BX21" ca="1">_xlfn.IFS(TabCalc[[#This Row],[L_TP]]&lt;0,"Purchase",TabCalc[[#This Row],[L_TP]]&gt;0,"Sale")</f>
        <v>Purchase</v>
      </c>
      <c r="BY21" s="190" cm="1">
        <f t="array" aca="1" ref="BY21" ca="1">INDEX(Reg!$A$1:$KF$73,TabCalc[[#This Row],[L_I1]],TabCalc[[#This Row],[L_I2]])</f>
        <v>12000</v>
      </c>
      <c r="BZ21" s="192" cm="1">
        <f t="array" aca="1" ref="BZ21" ca="1">INDEX(Reg!$A$1:$KF$73,TabCalc[[#This Row],[L_I1]],TabCalc[[#This Row],[L_I2]]+1)</f>
        <v>-1.72</v>
      </c>
      <c r="CA21" s="161">
        <f ca="1">TabCalc[[#This Row],[NAfter]]*(TabCalc[[#This Row],[M]]-IF(TabCalc[[#This Row],[E]]&gt;0,0,TabCalc[[#This Row],[A]]))</f>
        <v>-437364</v>
      </c>
      <c r="CB21" s="167" cm="1">
        <f t="array" aca="1" ref="CB21" ca="1">IFERROR(MIN(_xlfn._xlws.FILTER(INDIRECT("TabReg["&amp;TabCalc[[#This Row],[Ticker]]&amp;"]"), INDIRECT("TabReg["&amp;TabCalc[[#This Row],[Ticker]]&amp;"2]")&gt;0)),0)</f>
        <v>45292</v>
      </c>
      <c r="CC21" s="178" cm="1">
        <f t="array" aca="1" ref="CC21" ca="1">IFERROR(MIN(_xlfn._xlws.FILTER(INDIRECT("TabReg["&amp;TabCalc[[#This Row],[Ticker]]&amp;"1]"), INDIRECT("TabReg["&amp;TabCalc[[#This Row],[Ticker]]&amp;"2]")&gt;0)),0)</f>
        <v>2000</v>
      </c>
      <c r="CD21" s="173" cm="1">
        <f t="array" aca="1" ref="CD21" ca="1">IFERROR(MIN(_xlfn._xlws.FILTER(INDIRECT("TabReg["&amp;TabCalc[[#This Row],[Ticker]]&amp;"2]"), INDIRECT("TabReg["&amp;TabCalc[[#This Row],[Ticker]]&amp;"2]")&gt;0)),0)</f>
        <v>5.55</v>
      </c>
      <c r="CE21" s="167" cm="1">
        <f t="array" aca="1" ref="CE21" ca="1">IFERROR(MAX(_xlfn._xlws.FILTER(INDIRECT("TabReg["&amp;TabCalc[[#This Row],[Ticker]]&amp;"]"), INDIRECT("TabReg["&amp;TabCalc[[#This Row],[Ticker]]&amp;"2]")&gt;0)),0)</f>
        <v>45553</v>
      </c>
      <c r="CF21" s="178" cm="1">
        <f t="array" aca="1" ref="CF21" ca="1">IFERROR(MAX(_xlfn._xlws.FILTER(INDIRECT("TabReg["&amp;TabCalc[[#This Row],[Ticker]]&amp;"1]"), INDIRECT("TabReg["&amp;TabCalc[[#This Row],[Ticker]]&amp;"2]")&gt;0)),0)</f>
        <v>13000</v>
      </c>
      <c r="CG21" s="173" cm="1">
        <f t="array" aca="1" ref="CG21" ca="1">IFERROR(MAX(_xlfn._xlws.FILTER(INDIRECT("TabReg["&amp;TabCalc[[#This Row],[Ticker]]&amp;"2]"), INDIRECT("TabReg["&amp;TabCalc[[#This Row],[Ticker]]&amp;"2]")&gt;0)),0)</f>
        <v>9.7461000000000002</v>
      </c>
      <c r="CH21" s="167" cm="1">
        <f t="array" aca="1" ref="CH21" ca="1">MIN(_xlfn._xlws.FILTER(INDIRECT("TabReg["&amp;TabCalc[[#This Row],[Ticker]]&amp;"]"), INDIRECT("TabReg["&amp;TabCalc[[#This Row],[Ticker]]&amp;"2]")&lt;0))</f>
        <v>40544</v>
      </c>
      <c r="CI21" s="177" cm="1">
        <f t="array" aca="1" ref="CI21" ca="1">MIN(_xlfn._xlws.FILTER(INDIRECT("TabReg["&amp;TabCalc[[#This Row],[Ticker]]&amp;"1]"), INDIRECT("TabReg["&amp;TabCalc[[#This Row],[Ticker]]&amp;"2]")&lt;0))</f>
        <v>2313</v>
      </c>
      <c r="CJ21" s="173" cm="1">
        <f t="array" aca="1" ref="CJ21" ca="1">MIN(_xlfn._xlws.FILTER(INDIRECT("TabReg["&amp;TabCalc[[#This Row],[Ticker]]&amp;"2]"), INDIRECT("TabReg["&amp;TabCalc[[#This Row],[Ticker]]&amp;"2]")&lt;0))</f>
        <v>-7.8023999999999996</v>
      </c>
      <c r="CK21" s="167" cm="1">
        <f t="array" aca="1" ref="CK21" ca="1">MAX(_xlfn._xlws.FILTER(INDIRECT("TabReg["&amp;TabCalc[[#This Row],[Ticker]]&amp;"]"), INDIRECT("TabReg["&amp;TabCalc[[#This Row],[Ticker]]&amp;"2]")&lt;0))</f>
        <v>45686</v>
      </c>
      <c r="CL21" s="177" cm="1">
        <f t="array" aca="1" ref="CL21" ca="1">MAX(_xlfn._xlws.FILTER(INDIRECT("TabReg["&amp;TabCalc[[#This Row],[Ticker]]&amp;"1]"), INDIRECT("TabReg["&amp;TabCalc[[#This Row],[Ticker]]&amp;"2]")&lt;0))</f>
        <v>17687</v>
      </c>
      <c r="CM21" s="173" cm="1">
        <f t="array" aca="1" ref="CM21" ca="1">MAX(_xlfn._xlws.FILTER(INDIRECT("TabReg["&amp;TabCalc[[#This Row],[Ticker]]&amp;"2]"), INDIRECT("TabReg["&amp;TabCalc[[#This Row],[Ticker]]&amp;"2]")&lt;0))</f>
        <v>-1.72</v>
      </c>
      <c r="CN21" s="167" cm="1">
        <f t="array" aca="1" ref="CN21" ca="1">IFERROR(_xlfn.XLOOKUP(TabCalc[[#This Row],[BS2P]],INDIRECT("TabReg["&amp;TabCalc[[#This Row],[Ticker]]&amp;"2]"),INDIRECT("TabReg["&amp;TabCalc[[#This Row],[Ticker]]&amp;"]")),0)</f>
        <v>45292</v>
      </c>
      <c r="CO21" s="178" cm="1">
        <f t="array" aca="1" ref="CO21" ca="1">IFERROR(_xlfn.XLOOKUP(TabCalc[[#This Row],[BS2P]],INDIRECT("TabReg["&amp;TabCalc[[#This Row],[Ticker]]&amp;"2]"),INDIRECT("TabReg["&amp;TabCalc[[#This Row],[Ticker]]&amp;"1]")),0)</f>
        <v>13000</v>
      </c>
      <c r="CP21" s="173">
        <f ca="1">_xlfn.MAXIFS(INDIRECT("TabReg["&amp;TabCalc[[#This Row],[Ticker]]&amp;"2]"), INDIRECT("TabReg["&amp;TabCalc[[#This Row],[Ticker]]&amp;"2]"), "&lt;" &amp; MAX(INDIRECT("TabReg["&amp;TabCalc[[#This Row],[Ticker]]&amp;"2]")))</f>
        <v>8.6133000000000006</v>
      </c>
      <c r="CQ21" s="167" cm="1">
        <f t="array" aca="1" ref="CQ21" ca="1">IFERROR(_xlfn.XLOOKUP(TabCalc[[#This Row],[WB2P]],INDIRECT("TabReg["&amp;TabCalc[[#This Row],[Ticker]]&amp;"2]"),INDIRECT("TabReg["&amp;TabCalc[[#This Row],[Ticker]]&amp;"]")),0)</f>
        <v>45280</v>
      </c>
      <c r="CR21" s="178" cm="1">
        <f t="array" aca="1" ref="CR21" ca="1">IFERROR(_xlfn.XLOOKUP(TabCalc[[#This Row],[WB2P]],INDIRECT("TabReg["&amp;TabCalc[[#This Row],[Ticker]]&amp;"2]"),INDIRECT("TabReg["&amp;TabCalc[[#This Row],[Ticker]]&amp;"1]")),0)</f>
        <v>2313</v>
      </c>
      <c r="CS21" s="173">
        <f ca="1">_xlfn.MINIFS(INDIRECT("TabReg["&amp;TabCalc[[#This Row],[Ticker]]&amp;"2]"), INDIRECT("TabReg["&amp;TabCalc[[#This Row],[Ticker]]&amp;"2]"), "&gt;" &amp; MIN(INDIRECT("TabReg["&amp;TabCalc[[#This Row],[Ticker]]&amp;"2]")))</f>
        <v>-6.3459000000000003</v>
      </c>
      <c r="CT21" s="405">
        <f ca="1">IF(TabCalc[[#This Row],[M]]&lt;TabCalc[[#This Row],[L_Sp]],DesiredBuyGain/(TabCalc[[#This Row],[L_Sp]]-TabCalc[[#This Row],[M]]),0)</f>
        <v>897.85950294497923</v>
      </c>
      <c r="CU21" s="406">
        <f ca="1">IF(TabCalc[[#This Row],[ntoBuy]]*TabCalc[[#This Row],[M]]&lt;=0,0,TabCalc[[#This Row],[ntoBuy]]*TabCalc[[#This Row],[M]])</f>
        <v>180.64933199252982</v>
      </c>
      <c r="CV21" s="406">
        <f ca="1">IF(TabCalc[[#This Row],[M]]&gt;ABS(TabCalc[[#This Row],[L_Bp]]),MIN(TabCalc[[#This Row],[NAfter]],DesiredSaleGain/(TabCalc[[#This Row],[M]]+TabCalc[[#This Row],[L_Bp]])),0)/TabCalc[[#This Row],[Scale]]</f>
        <v>0</v>
      </c>
      <c r="CW21" s="407">
        <f ca="1">TabCalc[[#This Row],[ntoSell]]*TabCalc[[#This Row],[M]]</f>
        <v>0</v>
      </c>
      <c r="CX21" s="400">
        <f ca="1">_xlfn.LET(_xlpm.nToSell,IF(TabCalc[[#This Row],[M]]-TabCalc[[#This Row],[A]]&lt;=0,"",INT(DesiredSaleGain/(TabCalc[[#This Row],[M]]-IF(TabCalc[[#This Row],[E]]&gt;0,0,TabCalc[[#This Row],[A]])))),IF(_xlpm.nToSell&lt;=TabCalc[[#This Row],[NAfter]],_xlpm.nToSell,0))</f>
        <v>0</v>
      </c>
      <c r="CY21" s="338">
        <f ca="1">IFERROR(TabCalc[[#This Row],[NMA]]*TabCalc[[#This Row],[M]],"")</f>
        <v>0</v>
      </c>
      <c r="CZ21" s="337" cm="1">
        <f t="array" aca="1" ref="CZ21" ca="1">_xlfn.IFS(TabCalc[[#This Row],[M]]&gt;= TabCalc[[#This Row],[L_Sp]],(TabCalc[[#This Row],[M]]-TabCalc[[#This Row],[A]])*TabCalc[[#This Row],[NAfter]]*TabCalc[[#This Row],[Scale]],           TabCalc[[#This Row],[M]]&lt; TabCalc[[#This Row],[L_Sp]],(TabCalc[[#This Row],[M]]-TabCalc[[#This Row],[A]])*TabCalc[[#This Row],[NAfter]]*TabCalc[[#This Row],[Scale]],               TRUE,"")</f>
        <v>-437364</v>
      </c>
      <c r="DA21" s="90">
        <f ca="1">IFERROR((TabCalc[[#This Row],[M]]+TabCalc[[#This Row],[L_Bp]])/ABS(TabCalc[[#This Row],[L_Bp]])/(TODAY()-TabCalc[[#This Row],[L_Bdate]])*360,"")</f>
        <v>-1.1773643410852714</v>
      </c>
      <c r="DB21" s="312">
        <f ca="1">MEDIAN(DataShift!F721:Z721)</f>
        <v>4.5179999999999994E-3</v>
      </c>
      <c r="DC21" s="312" t="str" cm="1">
        <f t="array" aca="1" ref="DC2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21" t="s">
        <v>18</v>
      </c>
      <c r="DN21" s="82">
        <v>50000</v>
      </c>
      <c r="DO21" s="317">
        <v>-9.02</v>
      </c>
    </row>
    <row r="22" spans="1:119">
      <c r="A22" s="120" t="str">
        <f ca="1">_xlfn.XLOOKUP(TabCalc[[#This Row],[Ticker]],[1]!RTData[Ticker symbol],[1]!RTData[Currency])</f>
        <v>USD</v>
      </c>
      <c r="B22" s="121">
        <f ca="1">IF(TabCalc[[#This Row],[Cur]]="GBP",0.01,1)</f>
        <v>1</v>
      </c>
      <c r="C22" s="82">
        <f ca="1">_xlfn.XLOOKUP(TabCalc[[#This Row],[Ticker]],DM$3:DM$96,DN$3:DN$96)</f>
        <v>1000</v>
      </c>
      <c r="D22" s="1254">
        <f ca="1">_xlfn.XLOOKUP(TabCalc[[#This Row],[Ticker]],DM$3:DM$96,DO$3:DO$96)</f>
        <v>-37.4</v>
      </c>
      <c r="E22" s="121">
        <f t="shared" ca="1" si="0"/>
        <v>-37400</v>
      </c>
      <c r="F22" s="82">
        <f ca="1">TabCalc[[#This Row],[NAfter]]*TabCalc[[#This Row],[M]]*TabCalc[[#This Row],[Scale]]</f>
        <v>696.59999999999991</v>
      </c>
      <c r="G22" s="82">
        <f ca="1">IFERROR(TabCalc[[#This Row],[SB]]-TabCalc[[#This Row],[SST]],TabCalc[[#This Row],[SB]])</f>
        <v>10</v>
      </c>
      <c r="H22" s="535" t="str">
        <f ca="1">[1]!RTData[[#This Row],[Ticker symbol]]</f>
        <v>GM</v>
      </c>
      <c r="I22" s="385">
        <f ca="1">[1]!RTData[[#This Row],[M-Price]]</f>
        <v>69.66</v>
      </c>
      <c r="J22" s="384">
        <v>2.1268799999999999</v>
      </c>
      <c r="K22" s="383">
        <f>[1]!RTData[[#This Row],[1YT]]</f>
        <v>63.8</v>
      </c>
      <c r="L22" s="384">
        <f ca="1">IF(OR(TabCalc[[#This Row],[NAfter]]=0,TabCalc[[#This Row],[EfCost]]&gt;0),0,TabCalc[[#This Row],[EfCost]]/TabCalc[[#This Row],[NAfter]]/TabCalc[[#This Row],[Scale]])</f>
        <v>0</v>
      </c>
      <c r="M22" s="744">
        <f ca="1">[1]!RTData[[#This Row],[Change%]]</f>
        <v>4.2034000000000002E-2</v>
      </c>
      <c r="N22" s="1172">
        <v>0</v>
      </c>
      <c r="O22" s="966">
        <f>TabCalc[[#This Row],[Up20]]-1+TabCalc[[#This Row],[Up20]]</f>
        <v>-1</v>
      </c>
      <c r="P22" s="966">
        <f>TabCalc[[#This Row],[Up20]]-TabCalc[[#This Row],[Up150]]</f>
        <v>-0.50413223140495866</v>
      </c>
      <c r="Q22" s="966">
        <v>0.50413223140495866</v>
      </c>
      <c r="R22" s="966">
        <f>TabCalc[[#This Row],[Up150]]-1+TabCalc[[#This Row],[Up150]]</f>
        <v>8.2644628099173278E-3</v>
      </c>
      <c r="S22" s="966">
        <f ca="1">IFERROR(SUMPRODUCT(DataShift!F1514:Z1514,DataShift!AB721:AV721)/SQRT(SUMPRODUCT(DataShift!F1514:Z1514,DataShift!F1514:Z1514)*SUMPRODUCT(DataShift!AB721:AV721,DataShift!AB721:AV721)),0)</f>
        <v>-0.62911960548887635</v>
      </c>
      <c r="T22" s="966">
        <f ca="1">IFERROR(SUMPRODUCT(DataShift!F1514:Z1514,DataShift!F722:Z722)/SQRT(SUMPRODUCT(DataShift!F1514:Z1514,DataShift!F1514:Z1514)*SUMPRODUCT(DataShift!F722:Z722,DataShift!F722:Z722)),0)</f>
        <v>0.2556082362020442</v>
      </c>
      <c r="U22" s="1107">
        <v>0</v>
      </c>
      <c r="V22" s="1107">
        <v>30000</v>
      </c>
      <c r="W22" s="1107">
        <v>0</v>
      </c>
      <c r="X22" s="966" t="str">
        <f ca="1">IF(TabCalc[[#This Row],[EfCost]]+TabCalc[[#This Row],[M_V]]&lt;TabCalc[[#This Row],[NoT_GL]],"Pile","")</f>
        <v>Pile</v>
      </c>
      <c r="Y2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2" s="213">
        <f ca="1">MIN(TabCalc[[#This Row],[L_Bn]],TabCalc[[#This Row],[NAfter]])*(TabCalc[[#This Row],[M]]+TabCalc[[#This Row],[L_Bp]])*TabCalc[[#This Row],[Scale]]</f>
        <v>229.83999999999995</v>
      </c>
      <c r="AA22" s="210" cm="1">
        <f t="array" aca="1" ref="AA22" ca="1">_xlfn.XLOOKUP(TabCalc[[#This Row],[L_Bp]],INDIRECT("TabReg["&amp;TabCalc[[#This Row],[Ticker]]&amp;"2]"),INDIRECT("TabReg["&amp;TabCalc[[#This Row],[Ticker]]&amp;"]"))</f>
        <v>45511</v>
      </c>
      <c r="AB22" s="181" cm="1">
        <f t="array" aca="1" ref="AB22" ca="1">_xlfn.XLOOKUP(TabCalc[[#This Row],[L_Bp]],INDIRECT("TabReg["&amp;TabCalc[[#This Row],[Ticker]]&amp;"2]"),INDIRECT("TabReg["&amp;TabCalc[[#This Row],[Ticker]]&amp;"1]"))</f>
        <v>990</v>
      </c>
      <c r="AC22" s="192" cm="1">
        <f t="array" aca="1" ref="AC22" ca="1">IFERROR(INDEX(INDIRECT("TabReg["&amp;TabCalc[[#This Row],[Ticker]]&amp;"2]"),    _xlfn.XMATCH(    MAX(    _xlfn._xlws.FILTER(INDIRECT("TabReg["&amp;TabCalc[[#This Row],[Ticker]]&amp;"]"), INDIRECT("TabReg["&amp;TabCalc[[#This Row],[Ticker]]&amp;"2]")&lt;0)     ), INDIRECT("TabReg["&amp;TabCalc[[#This Row],[Ticker]]&amp;"]"),      0)), "")</f>
        <v>-46.676000000000002</v>
      </c>
      <c r="AD22" s="213">
        <f ca="1">IFERROR(MIN(TabCalc[[#This Row],[L_B1n]],TabCalc[[#This Row],[NAfter]])*(TabCalc[[#This Row],[M]]+TabCalc[[#This Row],[L_B1p]])*TabCalc[[#This Row],[Scale]],"")</f>
        <v>261.10000000000002</v>
      </c>
      <c r="AE22" s="210" cm="1">
        <f t="array" aca="1" ref="AE2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45387</v>
      </c>
      <c r="AF22" s="181" cm="1">
        <f t="array" aca="1" ref="AF22" ca="1">IFERROR(_xlfn.XLOOKUP(TabCalc[[#This Row],[L_B1D]],INDIRECT("TabReg["&amp;TabCalc[[#This Row],[Ticker]]&amp;"]"),INDIRECT("TabReg["&amp;TabCalc[[#This Row],[Ticker]]&amp;"1]")),0)</f>
        <v>4000</v>
      </c>
      <c r="AG22" s="192" cm="1">
        <f t="array" aca="1" ref="AG22" ca="1">IFERROR(_xlfn.XLOOKUP(TabCalc[[#This Row],[L_B1D]],INDIRECT("TabReg["&amp;TabCalc[[#This Row],[Ticker]]&amp;"]"),INDIRECT("TabReg["&amp;TabCalc[[#This Row],[Ticker]]&amp;"2]")),0)</f>
        <v>-43.55</v>
      </c>
      <c r="AH22" s="214">
        <f ca="1">IFERROR(TabCalc[[#This Row],[L_Sn]]*(TabCalc[[#This Row],[L_Sp]]-TabCalc[[#This Row],[M]])*TabCalc[[#This Row],[Scale]],"")</f>
        <v>-21806.729999999992</v>
      </c>
      <c r="AI22" s="210" cm="1">
        <f t="array" aca="1" ref="AI22" ca="1">IFERROR(_xlfn.XLOOKUP(TabCalc[[#This Row],[L_Sp]],INDIRECT("TabReg["&amp;TabCalc[[#This Row],[Ticker]]&amp;"2]"),INDIRECT("TabReg["&amp;TabCalc[[#This Row],[Ticker]]&amp;"]")),0)</f>
        <v>45603</v>
      </c>
      <c r="AJ22" s="181" cm="1">
        <f t="array" aca="1" ref="AJ22" ca="1">IFERROR(_xlfn.XLOOKUP(TabCalc[[#This Row],[L_Sp]],INDIRECT("TabReg["&amp;TabCalc[[#This Row],[Ticker]]&amp;"2]"),INDIRECT("TabReg["&amp;TabCalc[[#This Row],[Ticker]]&amp;"1]")),0)</f>
        <v>990</v>
      </c>
      <c r="AK22" s="192" cm="1">
        <f t="array" aca="1" ref="AK22" ca="1">IFERROR(INDEX(INDIRECT("TabReg["&amp;TabCalc[[#This Row],[Ticker]]&amp;"2]"), _xlfn.XMATCH(MAX(_xlfn._xlws.FILTER(INDIRECT("TabReg["&amp;TabCalc[[#This Row],[Ticker]]&amp;"]"), INDIRECT("TabReg["&amp;TabCalc[[#This Row],[Ticker]]&amp;"2]")&gt;0)), INDIRECT("TabReg["&amp;TabCalc[[#This Row],[Ticker]]&amp;"]"), 0)), 0)</f>
        <v>47.633000000000003</v>
      </c>
      <c r="AL22" s="214">
        <f ca="1">IFERROR(TabCalc[[#This Row],[L_S1n]]*(TabCalc[[#This Row],[L_S1p]]-TabCalc[[#This Row],[M]])*TabCalc[[#This Row],[Scale]],0)</f>
        <v>-22482.899999999994</v>
      </c>
      <c r="AM22" s="210" cm="1">
        <f t="array" aca="1" ref="AM2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45419</v>
      </c>
      <c r="AN22" s="181" cm="1">
        <f t="array" aca="1" ref="AN22" ca="1">IFERROR(_xlfn.XLOOKUP(TabCalc[[#This Row],[L_S1D]],INDIRECT("TabReg["&amp;TabCalc[[#This Row],[Ticker]]&amp;"]"),INDIRECT("TabReg["&amp;TabCalc[[#This Row],[Ticker]]&amp;"1]")),0)</f>
        <v>990</v>
      </c>
      <c r="AO22" s="384" cm="1">
        <f t="array" aca="1" ref="AO22" ca="1">IFERROR(_xlfn.XLOOKUP(TabCalc[[#This Row],[L_S1D]],INDIRECT("TabReg["&amp;TabCalc[[#This Row],[Ticker]]&amp;"]"),INDIRECT("TabReg["&amp;TabCalc[[#This Row],[Ticker]]&amp;"2]")),0)</f>
        <v>46.95</v>
      </c>
      <c r="AP22" s="336">
        <f ca="1">_xlfn.LET(_xlpm.MVOpen,[1]!RTData[[#This Row],[Open]]*TabCalc[[#This Row],[NAfter]],_xlpm.MVNow,TabCalc[[#This Row],[M]]*TabCalc[[#This Row],[NAfter]],_xlpm.MVNow-_xlpm.MVOpen)*TabCalc[[#This Row],[Scale]]</f>
        <v>22</v>
      </c>
      <c r="AQ22" s="336">
        <f ca="1">_xlfn.LET(_xlpm.MVToday,DataShift!AV522,         _xlpm.MVY,DataShift!AU523,        _xlpm.MVYY, DataShift!AT523,                                IF(_xlpm.MVToday=_xlpm.MVY,_xlpm.MVY-_xlpm.MVYY,_xlpm.MVToday-_xlpm.MVY))</f>
        <v>13.75</v>
      </c>
      <c r="AR22" s="336">
        <f ca="1">_xlfn.LET(_xlpm.MVToday,DataShift!AV522,         _xlpm.MVY,DataShift!AU523,        _xlpm.MVYY, DataShift!AT523,         _xlpm.MVYYY, DataShift!AS523,                      IF(_xlpm.MVToday=_xlpm.MVY,      _xlpm.MVYY-_xlpm.MVYYY,          _xlpm.MVY-_xlpm.MVYY))</f>
        <v>44</v>
      </c>
      <c r="AS22" s="1078">
        <f ca="1">TabCalc[[#This Row],[Y]]/TabCalc[[#This Row],[M]]</f>
        <v>0.91587711742750499</v>
      </c>
      <c r="AT22" s="299" t="str" cm="1">
        <f t="array" aca="1" ref="AT22" ca="1">IFERROR(_xlfn.IFS(          TabCalc[[#This Row],[E]]&gt;0, "Free Trade",      TabCalc[[#This Row],[A]]&lt;MIN(TabCalc[[#This Row],[L_Sp]],TabCalc[[#This Row],[M]]), "Buy",            TabCalc[[#This Row],[M]]&lt;TabCalc[[#This Row],[L_Sp]],       "Refill",       TabCalc[[#This Row],[M]]&gt;TabCalc[[#This Row],[L_Sp]],"S_more"),"")</f>
        <v>Buy</v>
      </c>
      <c r="AU22" s="299" t="str">
        <f ca="1">IF(           AND(TabCalc[[#This Row],[E]]&lt;=0,          TabCalc[[#This Row],[A]]&gt;MIN(TabCalc[[#This Row],[M]],TabCalc[[#This Row],[L_Sp]]),             TabCalc[[#This Row],[L_Sp]]&lt;=TabCalc[[#This Row],[M]]),                       "S_more","")</f>
        <v/>
      </c>
      <c r="AV22" s="82" t="str" cm="1">
        <f t="array" aca="1" ref="AV22" ca="1">IFERROR(_xlfn.IFS(TabCalc[[#This Row],[E]]&gt;0,"Free trade",                 TabCalc[[#This Row],[A]]&lt;MAX(ABS(TabCalc[[#This Row],[L_Bp]]),TabCalc[[#This Row],[A]]),"Sell",             TabCalc[[#This Row],[M]]&gt;ABS(TabCalc[[#This Row],[L_Bp]]),"Resell",             TabCalc[[#This Row],[M]]&lt;ABS(TabCalc[[#This Row],[L_Bp]]),"B_more"),"")</f>
        <v>Sell</v>
      </c>
      <c r="AW22" s="82">
        <f ca="1">TabCalc[[#This Row],[NAfter]]-TabCalc[[#This Row],[Nbegin]]</f>
        <v>-990</v>
      </c>
      <c r="AX22" s="307">
        <f ca="1">IFERROR((TabCalc[[#This Row],[M]]-TabCalc[[#This Row],[Y]])*(TabCalc[[#This Row],[M]]-TabCalc[[#This Row],[Y]])*(TabCalc[[#This Row],[M]]-TabCalc[[#This Row],[Y]])/(TabCalc[[#This Row],[Y]]*TabCalc[[#This Row],[M]]),"")</f>
        <v>4.5278152639286008E-2</v>
      </c>
      <c r="AY22" s="82">
        <f t="shared" ca="1" si="1"/>
        <v>990</v>
      </c>
      <c r="AZ22" s="90">
        <f ca="1">[1]!RTData[[#This Row],[V/VA]]</f>
        <v>1.2198274247603278</v>
      </c>
      <c r="BA22" s="90" t="str" cm="1">
        <f t="array" aca="1" ref="BA22" ca="1">IFERROR(_xlfn.IFS(TabCalc[[#This Row],[Cur]]="USD",Timer!F$27,TabCalc[[#This Row],[Cur]]="EUR",Timer!F$18,TabCalc[[#This Row],[Cur]]="GBP",Timer!F$12,TabCalc[[#This Row],[Cur]]="CAD",Timer!F$27,TabCalc[[#This Row],[Cur]]="JPY",Timer!F$31,TabCalc[[#This Row],[Cur]]="CHF",Timer!F$18),"Timing")</f>
        <v>None-Working Day</v>
      </c>
      <c r="BB22" s="90">
        <f ca="1">IF(ISNUMBER(TabCalc[[#This Row],[TimeEX]]),TabCalc[[#This Row],[V/VA]]/TabCalc[[#This Row],[TimeEX]],TabCalc[[#This Row],[V/VA]])</f>
        <v>1.2198274247603278</v>
      </c>
      <c r="BC22" s="87" cm="1">
        <f t="array" aca="1" ref="BC22" ca="1">INDEX(TabReg[], 1, _xlfn.XMATCH(TabCalc[[#This Row],[Ticker]]&amp;1, TabReg[#Headers], 0))</f>
        <v>1000</v>
      </c>
      <c r="BD22" s="161">
        <f ca="1">TabCalc[[#This Row],[Nbegin]]*TabCalc[[#This Row],[M]]*TabCalc[[#This Row],[Scale]]+TabCalc[[#This Row],[ValueBegin]]</f>
        <v>32260</v>
      </c>
      <c r="BE22" s="336" t="str" cm="1">
        <f t="array" aca="1" ref="BE22" ca="1">_xlfn.IFS(TabCalc[[#This Row],[Cost+Gain]]&gt;0,"Free",             TabCalc[[#This Row],[GL]]&gt;0,"Gainer",                TRUE,"Looser")</f>
        <v>Free</v>
      </c>
      <c r="BF22" s="161">
        <f ca="1">TabCalc[[#This Row],[Tot_Paid]]-TabCalc[[#This Row],[ValueBegin]]</f>
        <v>-221079.54402399997</v>
      </c>
      <c r="BG22" s="337">
        <f ca="1">IF(TabCalc[[#This Row],[EfCost]]&gt;TabCalc[[#This Row],[ValueBegin]],       0,        TabCalc[[#This Row],[EfCost]]-TabCalc[[#This Row],[ValueBegin]]*(1+Commission))</f>
        <v>0</v>
      </c>
      <c r="BH22" s="338">
        <f ca="1">TabCalc[[#This Row],[M_V]]+TabCalc[[#This Row],[ValueBegin]]</f>
        <v>-36703.4</v>
      </c>
      <c r="BI22" s="161" cm="1">
        <f t="array" aca="1" ref="BI22" ca="1">SUMPRODUCT(_xlfn._xlws.FILTER(INDIRECT("TabReg["&amp;TabCalc[[#This Row],[Ticker]]&amp;"1]") * INDIRECT("TabReg["&amp;TabCalc[[#This Row],[Ticker]]&amp;"2]"), INDIRECT("TabReg["&amp;TabCalc[[#This Row],[Ticker]]&amp;"2]")&lt;0))*(1+Commission)*TabCalc[[#This Row],[Scale]]</f>
        <v>-258479.54402399997</v>
      </c>
      <c r="BJ22" s="161" cm="1">
        <f t="array" aca="1" ref="BJ22" ca="1">SUMPRODUCT(IF(INDIRECT("TabReg["&amp;TabCalc[[#This Row],[Ticker]]&amp;"2]") ="", 0, INDIRECT("TabReg["&amp;TabCalc[[#This Row],[Ticker]]&amp;"1]") * INDIRECT("TabReg["&amp;TabCalc[[#This Row],[Ticker]]&amp;"2]") ))*TabCalc[[#This Row],[Scale]]</f>
        <v>13707.93</v>
      </c>
      <c r="BK22" s="161" cm="1">
        <f t="array" aca="1" ref="BK2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270811.22535799997</v>
      </c>
      <c r="BL22" s="161">
        <f ca="1">TabCalc[[#This Row],[M_V]]+TabCalc[[#This Row],[EfCost]]</f>
        <v>14404.53</v>
      </c>
      <c r="BM22" s="161">
        <f ca="1">IF(        OR( TabCalc[[#This Row],[GL]]&gt;ABS(TabCalc[[#This Row],[EfCost]]),TabCalc[[#This Row],[NAfter]]=0),             TabCalc[[#This Row],[GL]],     0)</f>
        <v>14404.53</v>
      </c>
      <c r="BN22" s="161" cm="1">
        <f t="array" aca="1" ref="BN22" ca="1">SUMPRODUCT(_xlfn._xlws.FILTER(IF(INDIRECT("TabReg["&amp;TabCalc[[#This Row],[Ticker]]&amp;"2]") ="", 0, INDIRECT("TabReg["&amp;TabCalc[[#This Row],[Ticker]]&amp;"1]")  ),  INDIRECT("TabReg["&amp;TabCalc[[#This Row],[Ticker]]&amp;"2]") &lt; 0))</f>
        <v>5990</v>
      </c>
      <c r="BO22" s="161">
        <f ca="1">TabCalc[[#This Row],[SB]]-TabCalc[[#This Row],[Nbegin]]</f>
        <v>4990</v>
      </c>
      <c r="BP22" s="161" cm="1">
        <f t="array" aca="1" ref="BP22" ca="1">IFERROR(SUMPRODUCT(_xlfn._xlws.FILTER(IF(INDIRECT("TabReg["&amp;TabCalc[[#This Row],[Ticker]]&amp;"2]") ="", 0, INDIRECT("TabReg["&amp;TabCalc[[#This Row],[Ticker]]&amp;"1]")  ),  INDIRECT("TabReg["&amp;TabCalc[[#This Row],[Ticker]]&amp;"2]") &gt; 0)),0)</f>
        <v>5980</v>
      </c>
      <c r="BQ2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2" s="176" t="str">
        <f ca="1">IF(TabCalc[[#This Row],[EfCost]]+TabCalc[[#This Row],[M_V]]&lt;TabCalc[[#This Row],[NoT_GL]],"Pile","")</f>
        <v>Pile</v>
      </c>
      <c r="BS22" s="167">
        <f ca="1">[1]!RTData[[#This Row],[Last trade time]]</f>
        <v>45954.999809594534</v>
      </c>
      <c r="BT22" s="177">
        <f ca="1">(TabCalc[[#This Row],[ValueBegin]]+(TabCalc[[#This Row],[M]]-TabCalc[[#This Row],[A]])*TabCalc[[#This Row],[NAfter]])*TabCalc[[#This Row],[Scale]]</f>
        <v>-36724.668799999999</v>
      </c>
      <c r="BU22" s="189" cm="1">
        <f t="array" aca="1" ref="BU22" ca="1">_xlfn.XLOOKUP(TabCalc[[#This Row],[Ticker]],TabReg[[#Headers],[AAPL]:[UnknownX28]],Reg!B$72:KF$72)+3</f>
        <v>9</v>
      </c>
      <c r="BV22" s="190" cm="1">
        <f t="array" aca="1" ref="BV22" ca="1">_xlfn.XLOOKUP(TabCalc[[#This Row],[Ticker]],TabReg[[#Headers],[AAPL]:[UnknownX28]],Reg!B$73:KF$73)+2</f>
        <v>63</v>
      </c>
      <c r="BW22" s="191">
        <f ca="1">IFERROR(MAX(TabCalc[[#This Row],[Max_SD]],TabCalc[[#This Row],[Max_PD]]),0)</f>
        <v>45603</v>
      </c>
      <c r="BX22" s="191" t="str" cm="1">
        <f t="array" aca="1" ref="BX22" ca="1">_xlfn.IFS(TabCalc[[#This Row],[L_TP]]&lt;0,"Purchase",TabCalc[[#This Row],[L_TP]]&gt;0,"Sale")</f>
        <v>Sale</v>
      </c>
      <c r="BY22" s="190" cm="1">
        <f t="array" aca="1" ref="BY22" ca="1">INDEX(Reg!$A$1:$KF$73,TabCalc[[#This Row],[L_I1]],TabCalc[[#This Row],[L_I2]])</f>
        <v>990</v>
      </c>
      <c r="BZ22" s="192" cm="1">
        <f t="array" aca="1" ref="BZ22" ca="1">INDEX(Reg!$A$1:$KF$73,TabCalc[[#This Row],[L_I1]],TabCalc[[#This Row],[L_I2]]+1)</f>
        <v>47.633000000000003</v>
      </c>
      <c r="CA22" s="161">
        <f ca="1">TabCalc[[#This Row],[NAfter]]*(TabCalc[[#This Row],[M]]-IF(TabCalc[[#This Row],[E]]&gt;0,0,TabCalc[[#This Row],[A]]))</f>
        <v>675.33119999999997</v>
      </c>
      <c r="CB22" s="167" cm="1">
        <f t="array" aca="1" ref="CB22" ca="1">IFERROR(MIN(_xlfn._xlws.FILTER(INDIRECT("TabReg["&amp;TabCalc[[#This Row],[Ticker]]&amp;"]"), INDIRECT("TabReg["&amp;TabCalc[[#This Row],[Ticker]]&amp;"2]")&gt;0)),0)</f>
        <v>45390</v>
      </c>
      <c r="CC22" s="178" cm="1">
        <f t="array" aca="1" ref="CC22" ca="1">IFERROR(MIN(_xlfn._xlws.FILTER(INDIRECT("TabReg["&amp;TabCalc[[#This Row],[Ticker]]&amp;"1]"), INDIRECT("TabReg["&amp;TabCalc[[#This Row],[Ticker]]&amp;"2]")&gt;0)),0)</f>
        <v>990</v>
      </c>
      <c r="CD22" s="173" cm="1">
        <f t="array" aca="1" ref="CD22" ca="1">IFERROR(MIN(_xlfn._xlws.FILTER(INDIRECT("TabReg["&amp;TabCalc[[#This Row],[Ticker]]&amp;"2]"), INDIRECT("TabReg["&amp;TabCalc[[#This Row],[Ticker]]&amp;"2]")&gt;0)),0)</f>
        <v>44.47</v>
      </c>
      <c r="CE22" s="167" cm="1">
        <f t="array" aca="1" ref="CE22" ca="1">IFERROR(MAX(_xlfn._xlws.FILTER(INDIRECT("TabReg["&amp;TabCalc[[#This Row],[Ticker]]&amp;"]"), INDIRECT("TabReg["&amp;TabCalc[[#This Row],[Ticker]]&amp;"2]")&gt;0)),0)</f>
        <v>45603</v>
      </c>
      <c r="CF22" s="178" cm="1">
        <f t="array" aca="1" ref="CF22" ca="1">IFERROR(MAX(_xlfn._xlws.FILTER(INDIRECT("TabReg["&amp;TabCalc[[#This Row],[Ticker]]&amp;"1]"), INDIRECT("TabReg["&amp;TabCalc[[#This Row],[Ticker]]&amp;"2]")&gt;0)),0)</f>
        <v>4000</v>
      </c>
      <c r="CG22" s="173" cm="1">
        <f t="array" aca="1" ref="CG22" ca="1">IFERROR(MAX(_xlfn._xlws.FILTER(INDIRECT("TabReg["&amp;TabCalc[[#This Row],[Ticker]]&amp;"2]"), INDIRECT("TabReg["&amp;TabCalc[[#This Row],[Ticker]]&amp;"2]")&gt;0)),0)</f>
        <v>47.633000000000003</v>
      </c>
      <c r="CH22" s="167" cm="1">
        <f t="array" aca="1" ref="CH22" ca="1">MIN(_xlfn._xlws.FILTER(INDIRECT("TabReg["&amp;TabCalc[[#This Row],[Ticker]]&amp;"]"), INDIRECT("TabReg["&amp;TabCalc[[#This Row],[Ticker]]&amp;"2]")&lt;0))</f>
        <v>40544</v>
      </c>
      <c r="CI22" s="177" cm="1">
        <f t="array" aca="1" ref="CI22" ca="1">MIN(_xlfn._xlws.FILTER(INDIRECT("TabReg["&amp;TabCalc[[#This Row],[Ticker]]&amp;"1]"), INDIRECT("TabReg["&amp;TabCalc[[#This Row],[Ticker]]&amp;"2]")&lt;0))</f>
        <v>990</v>
      </c>
      <c r="CJ22" s="173" cm="1">
        <f t="array" aca="1" ref="CJ22" ca="1">MIN(_xlfn._xlws.FILTER(INDIRECT("TabReg["&amp;TabCalc[[#This Row],[Ticker]]&amp;"2]"), INDIRECT("TabReg["&amp;TabCalc[[#This Row],[Ticker]]&amp;"2]")&lt;0))</f>
        <v>-46.676000000000002</v>
      </c>
      <c r="CK22" s="167" cm="1">
        <f t="array" aca="1" ref="CK22" ca="1">MAX(_xlfn._xlws.FILTER(INDIRECT("TabReg["&amp;TabCalc[[#This Row],[Ticker]]&amp;"]"), INDIRECT("TabReg["&amp;TabCalc[[#This Row],[Ticker]]&amp;"2]")&lt;0))</f>
        <v>45511</v>
      </c>
      <c r="CL22" s="177" cm="1">
        <f t="array" aca="1" ref="CL22" ca="1">MAX(_xlfn._xlws.FILTER(INDIRECT("TabReg["&amp;TabCalc[[#This Row],[Ticker]]&amp;"1]"), INDIRECT("TabReg["&amp;TabCalc[[#This Row],[Ticker]]&amp;"2]")&lt;0))</f>
        <v>4000</v>
      </c>
      <c r="CM22" s="173" cm="1">
        <f t="array" aca="1" ref="CM22" ca="1">MAX(_xlfn._xlws.FILTER(INDIRECT("TabReg["&amp;TabCalc[[#This Row],[Ticker]]&amp;"2]"), INDIRECT("TabReg["&amp;TabCalc[[#This Row],[Ticker]]&amp;"2]")&lt;0))</f>
        <v>-37.4</v>
      </c>
      <c r="CN22" s="167" cm="1">
        <f t="array" aca="1" ref="CN22" ca="1">IFERROR(_xlfn.XLOOKUP(TabCalc[[#This Row],[BS2P]],INDIRECT("TabReg["&amp;TabCalc[[#This Row],[Ticker]]&amp;"2]"),INDIRECT("TabReg["&amp;TabCalc[[#This Row],[Ticker]]&amp;"]")),0)</f>
        <v>45419</v>
      </c>
      <c r="CO22" s="178" cm="1">
        <f t="array" aca="1" ref="CO22" ca="1">IFERROR(_xlfn.XLOOKUP(TabCalc[[#This Row],[BS2P]],INDIRECT("TabReg["&amp;TabCalc[[#This Row],[Ticker]]&amp;"2]"),INDIRECT("TabReg["&amp;TabCalc[[#This Row],[Ticker]]&amp;"1]")),0)</f>
        <v>990</v>
      </c>
      <c r="CP22" s="173">
        <f ca="1">_xlfn.MAXIFS(INDIRECT("TabReg["&amp;TabCalc[[#This Row],[Ticker]]&amp;"2]"), INDIRECT("TabReg["&amp;TabCalc[[#This Row],[Ticker]]&amp;"2]"), "&lt;" &amp; MAX(INDIRECT("TabReg["&amp;TabCalc[[#This Row],[Ticker]]&amp;"2]")))</f>
        <v>46.95</v>
      </c>
      <c r="CQ22" s="167" cm="1">
        <f t="array" aca="1" ref="CQ22" ca="1">IFERROR(_xlfn.XLOOKUP(TabCalc[[#This Row],[WB2P]],INDIRECT("TabReg["&amp;TabCalc[[#This Row],[Ticker]]&amp;"2]"),INDIRECT("TabReg["&amp;TabCalc[[#This Row],[Ticker]]&amp;"]")),0)</f>
        <v>45387</v>
      </c>
      <c r="CR22" s="178" cm="1">
        <f t="array" aca="1" ref="CR22" ca="1">IFERROR(_xlfn.XLOOKUP(TabCalc[[#This Row],[WB2P]],INDIRECT("TabReg["&amp;TabCalc[[#This Row],[Ticker]]&amp;"2]"),INDIRECT("TabReg["&amp;TabCalc[[#This Row],[Ticker]]&amp;"1]")),0)</f>
        <v>4000</v>
      </c>
      <c r="CS22" s="173">
        <f ca="1">_xlfn.MINIFS(INDIRECT("TabReg["&amp;TabCalc[[#This Row],[Ticker]]&amp;"2]"), INDIRECT("TabReg["&amp;TabCalc[[#This Row],[Ticker]]&amp;"2]"), "&gt;" &amp; MIN(INDIRECT("TabReg["&amp;TabCalc[[#This Row],[Ticker]]&amp;"2]")))</f>
        <v>-43.55</v>
      </c>
      <c r="CT22" s="405">
        <f ca="1">IF(TabCalc[[#This Row],[M]]&lt;TabCalc[[#This Row],[L_Sp]],DesiredBuyGain/(TabCalc[[#This Row],[L_Sp]]-TabCalc[[#This Row],[M]]),0)</f>
        <v>0</v>
      </c>
      <c r="CU22" s="406">
        <f ca="1">IF(TabCalc[[#This Row],[ntoBuy]]*TabCalc[[#This Row],[M]]&lt;=0,0,TabCalc[[#This Row],[ntoBuy]]*TabCalc[[#This Row],[M]])</f>
        <v>0</v>
      </c>
      <c r="CV22" s="406">
        <f ca="1">IF(TabCalc[[#This Row],[M]]&gt;ABS(TabCalc[[#This Row],[L_Bp]]),MIN(TabCalc[[#This Row],[NAfter]],DesiredSaleGain/(TabCalc[[#This Row],[M]]+TabCalc[[#This Row],[L_Bp]])),0)/TabCalc[[#This Row],[Scale]]</f>
        <v>10</v>
      </c>
      <c r="CW22" s="407">
        <f ca="1">TabCalc[[#This Row],[ntoSell]]*TabCalc[[#This Row],[M]]</f>
        <v>696.59999999999991</v>
      </c>
      <c r="CX22" s="400">
        <f ca="1">_xlfn.LET(_xlpm.nToSell,IF(TabCalc[[#This Row],[M]]-TabCalc[[#This Row],[A]]&lt;=0,"",INT(DesiredSaleGain/(TabCalc[[#This Row],[M]]-IF(TabCalc[[#This Row],[E]]&gt;0,0,TabCalc[[#This Row],[A]])))),IF(_xlpm.nToSell&lt;=TabCalc[[#This Row],[NAfter]],_xlpm.nToSell,0))</f>
        <v>0</v>
      </c>
      <c r="CY22" s="338">
        <f ca="1">IFERROR(TabCalc[[#This Row],[NMA]]*TabCalc[[#This Row],[M]],"")</f>
        <v>0</v>
      </c>
      <c r="CZ22" s="337" cm="1">
        <f t="array" aca="1" ref="CZ22" ca="1">_xlfn.IFS(TabCalc[[#This Row],[M]]&gt;= TabCalc[[#This Row],[L_Sp]],(TabCalc[[#This Row],[M]]-TabCalc[[#This Row],[A]])*TabCalc[[#This Row],[NAfter]]*TabCalc[[#This Row],[Scale]],           TabCalc[[#This Row],[M]]&lt; TabCalc[[#This Row],[L_Sp]],(TabCalc[[#This Row],[M]]-TabCalc[[#This Row],[A]])*TabCalc[[#This Row],[NAfter]]*TabCalc[[#This Row],[Scale]],               TRUE,"")</f>
        <v>675.33119999999997</v>
      </c>
      <c r="DA22" s="90">
        <f ca="1">IFERROR((TabCalc[[#This Row],[M]]+TabCalc[[#This Row],[L_Bp]])/ABS(TabCalc[[#This Row],[L_Bp]])/(TODAY()-TabCalc[[#This Row],[L_Bdate]])*360,"")</f>
        <v>0.39835885150417738</v>
      </c>
      <c r="DB22" s="312">
        <f ca="1">MEDIAN(DataShift!F722:Z722)</f>
        <v>3.0909999999999998E-4</v>
      </c>
      <c r="DC22" s="312" t="str" cm="1">
        <f t="array" aca="1" ref="DC2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22" s="88" t="s">
        <v>19</v>
      </c>
      <c r="DN22" s="81">
        <v>1000</v>
      </c>
      <c r="DO22" s="317">
        <v>-37.4</v>
      </c>
    </row>
    <row r="23" spans="1:119">
      <c r="A23" s="120" t="str">
        <f ca="1">_xlfn.XLOOKUP(TabCalc[[#This Row],[Ticker]],[1]!RTData[Ticker symbol],[1]!RTData[Currency])</f>
        <v>USD</v>
      </c>
      <c r="B23" s="121">
        <f ca="1">IF(TabCalc[[#This Row],[Cur]]="GBP",0.01,1)</f>
        <v>1</v>
      </c>
      <c r="C23" s="82">
        <f ca="1">_xlfn.XLOOKUP(TabCalc[[#This Row],[Ticker]],DM$3:DM$96,DN$3:DN$96)</f>
        <v>12000</v>
      </c>
      <c r="D23" s="1254">
        <f ca="1">_xlfn.XLOOKUP(TabCalc[[#This Row],[Ticker]],DM$3:DM$96,DO$3:DO$96)</f>
        <v>-11.16</v>
      </c>
      <c r="E23" s="121">
        <f t="shared" ca="1" si="0"/>
        <v>-133920</v>
      </c>
      <c r="F23" s="82">
        <f ca="1">TabCalc[[#This Row],[NAfter]]*TabCalc[[#This Row],[M]]*TabCalc[[#This Row],[Scale]]</f>
        <v>258500</v>
      </c>
      <c r="G23" s="82">
        <f ca="1">IFERROR(TabCalc[[#This Row],[SB]]-TabCalc[[#This Row],[SST]],TabCalc[[#This Row],[SB]])</f>
        <v>11000</v>
      </c>
      <c r="H23" s="535" t="str">
        <f ca="1">[1]!RTData[[#This Row],[Ticker symbol]]</f>
        <v>HPE</v>
      </c>
      <c r="I23" s="385">
        <f ca="1">[1]!RTData[[#This Row],[M-Price]]</f>
        <v>23.5</v>
      </c>
      <c r="J23" s="384">
        <v>46.676000000000002</v>
      </c>
      <c r="K23" s="383">
        <f>[1]!RTData[[#This Row],[1YT]]</f>
        <v>22.83</v>
      </c>
      <c r="L23" s="384">
        <f ca="1">IF(OR(TabCalc[[#This Row],[NAfter]]=0,TabCalc[[#This Row],[EfCost]]&gt;0),0,TabCalc[[#This Row],[EfCost]]/TabCalc[[#This Row],[NAfter]]/TabCalc[[#This Row],[Scale]])</f>
        <v>-7.2460000000000004</v>
      </c>
      <c r="M23" s="744">
        <f ca="1">[1]!RTData[[#This Row],[Change%]]</f>
        <v>1.3368E-2</v>
      </c>
      <c r="N23" s="1172">
        <v>0.44444444444444442</v>
      </c>
      <c r="O23" s="966">
        <f>TabCalc[[#This Row],[Up20]]-1+TabCalc[[#This Row],[Up20]]</f>
        <v>-0.11111111111111116</v>
      </c>
      <c r="P23" s="966">
        <f>TabCalc[[#This Row],[Up20]]-TabCalc[[#This Row],[Up150]]</f>
        <v>-0.11866235167206041</v>
      </c>
      <c r="Q23" s="966">
        <v>0.56310679611650483</v>
      </c>
      <c r="R23" s="966">
        <f>TabCalc[[#This Row],[Up150]]-1+TabCalc[[#This Row],[Up150]]</f>
        <v>0.12621359223300965</v>
      </c>
      <c r="S23" s="966">
        <f ca="1">IFERROR(SUMPRODUCT(DataShift!F1515:Z1515,DataShift!AB722:AV722)/SQRT(SUMPRODUCT(DataShift!F1515:Z1515,DataShift!F1515:Z1515)*SUMPRODUCT(DataShift!AB722:AV722,DataShift!AB722:AV722)),0)</f>
        <v>-0.32827150776326747</v>
      </c>
      <c r="T23" s="966">
        <f ca="1">IFERROR(SUMPRODUCT(DataShift!F1515:Z1515,DataShift!F723:Z723)/SQRT(SUMPRODUCT(DataShift!F1515:Z1515,DataShift!F1515:Z1515)*SUMPRODUCT(DataShift!F723:Z723,DataShift!F723:Z723)),0)</f>
        <v>1.0186415313720618E-2</v>
      </c>
      <c r="U23" s="1107">
        <v>10</v>
      </c>
      <c r="V23" s="1107">
        <v>0</v>
      </c>
      <c r="W23" s="1107">
        <v>0</v>
      </c>
      <c r="X23" s="966" t="str">
        <f ca="1">IF(TabCalc[[#This Row],[EfCost]]+TabCalc[[#This Row],[M_V]]&lt;TabCalc[[#This Row],[NoT_GL]],"Pile","")</f>
        <v/>
      </c>
      <c r="Y2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-391,502 = $ -9,200,297</v>
      </c>
      <c r="Z23" s="213">
        <f ca="1">MIN(TabCalc[[#This Row],[L_Bn]],TabCalc[[#This Row],[NAfter]])*(TabCalc[[#This Row],[M]]+TabCalc[[#This Row],[L_Bp]])*TabCalc[[#This Row],[Scale]]</f>
        <v>1566.0000000000018</v>
      </c>
      <c r="AA23" s="210" cm="1">
        <f t="array" aca="1" ref="AA23" ca="1">_xlfn.XLOOKUP(TabCalc[[#This Row],[L_Bp]],INDIRECT("TabReg["&amp;TabCalc[[#This Row],[Ticker]]&amp;"2]"),INDIRECT("TabReg["&amp;TabCalc[[#This Row],[Ticker]]&amp;"]"))</f>
        <v>45950</v>
      </c>
      <c r="AB23" s="181" cm="1">
        <f t="array" aca="1" ref="AB23" ca="1">_xlfn.XLOOKUP(TabCalc[[#This Row],[L_Bp]],INDIRECT("TabReg["&amp;TabCalc[[#This Row],[Ticker]]&amp;"2]"),INDIRECT("TabReg["&amp;TabCalc[[#This Row],[Ticker]]&amp;"1]"))</f>
        <v>1800</v>
      </c>
      <c r="AC23" s="192" cm="1">
        <f t="array" aca="1" ref="AC23" ca="1">IFERROR(INDEX(INDIRECT("TabReg["&amp;TabCalc[[#This Row],[Ticker]]&amp;"2]"),    _xlfn.XMATCH(    MAX(    _xlfn._xlws.FILTER(INDIRECT("TabReg["&amp;TabCalc[[#This Row],[Ticker]]&amp;"]"), INDIRECT("TabReg["&amp;TabCalc[[#This Row],[Ticker]]&amp;"2]")&lt;0)     ), INDIRECT("TabReg["&amp;TabCalc[[#This Row],[Ticker]]&amp;"]"),      0)), "")</f>
        <v>-22.63</v>
      </c>
      <c r="AD23" s="213">
        <f ca="1">IFERROR(MIN(TabCalc[[#This Row],[L_B1n]],TabCalc[[#This Row],[NAfter]])*(TabCalc[[#This Row],[M]]+TabCalc[[#This Row],[L_B1p]])*TabCalc[[#This Row],[Scale]],"")</f>
        <v>-1704.000000000002</v>
      </c>
      <c r="AE23" s="210" cm="1">
        <f t="array" aca="1" ref="AE2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45943</v>
      </c>
      <c r="AF23" s="181" cm="1">
        <f t="array" aca="1" ref="AF23" ca="1">IFERROR(_xlfn.XLOOKUP(TabCalc[[#This Row],[L_B1D]],INDIRECT("TabReg["&amp;TabCalc[[#This Row],[Ticker]]&amp;"]"),INDIRECT("TabReg["&amp;TabCalc[[#This Row],[Ticker]]&amp;"1]")),0)</f>
        <v>1200</v>
      </c>
      <c r="AG23" s="192" cm="1">
        <f t="array" aca="1" ref="AG23" ca="1">IFERROR(_xlfn.XLOOKUP(TabCalc[[#This Row],[L_B1D]],INDIRECT("TabReg["&amp;TabCalc[[#This Row],[Ticker]]&amp;"]"),INDIRECT("TabReg["&amp;TabCalc[[#This Row],[Ticker]]&amp;"2]")),0)</f>
        <v>-24.92</v>
      </c>
      <c r="AH23" s="302">
        <f ca="1">IFERROR(TabCalc[[#This Row],[L_Sn]]*(TabCalc[[#This Row],[L_Sp]]-TabCalc[[#This Row],[M]])*TabCalc[[#This Row],[Scale]],"")</f>
        <v>3084.0000000000005</v>
      </c>
      <c r="AI23" s="210" cm="1">
        <f t="array" aca="1" ref="AI23" ca="1">IFERROR(_xlfn.XLOOKUP(TabCalc[[#This Row],[L_Sp]],INDIRECT("TabReg["&amp;TabCalc[[#This Row],[Ticker]]&amp;"2]"),INDIRECT("TabReg["&amp;TabCalc[[#This Row],[Ticker]]&amp;"]")),0)</f>
        <v>45938</v>
      </c>
      <c r="AJ23" s="181" cm="1">
        <f t="array" aca="1" ref="AJ23" ca="1">IFERROR(_xlfn.XLOOKUP(TabCalc[[#This Row],[L_Sp]],INDIRECT("TabReg["&amp;TabCalc[[#This Row],[Ticker]]&amp;"2]"),INDIRECT("TabReg["&amp;TabCalc[[#This Row],[Ticker]]&amp;"1]")),0)</f>
        <v>1200</v>
      </c>
      <c r="AK23" s="192" cm="1">
        <f t="array" aca="1" ref="AK23" ca="1">IFERROR(INDEX(INDIRECT("TabReg["&amp;TabCalc[[#This Row],[Ticker]]&amp;"2]"), _xlfn.XMATCH(MAX(_xlfn._xlws.FILTER(INDIRECT("TabReg["&amp;TabCalc[[#This Row],[Ticker]]&amp;"]"), INDIRECT("TabReg["&amp;TabCalc[[#This Row],[Ticker]]&amp;"2]")&gt;0)), INDIRECT("TabReg["&amp;TabCalc[[#This Row],[Ticker]]&amp;"]"), 0)), 0)</f>
        <v>26.07</v>
      </c>
      <c r="AL23" s="214">
        <f ca="1">IFERROR(TabCalc[[#This Row],[L_S1n]]*(TabCalc[[#This Row],[L_S1p]]-TabCalc[[#This Row],[M]])*TabCalc[[#This Row],[Scale]],0)</f>
        <v>1056.0000000000002</v>
      </c>
      <c r="AM23" s="210" cm="1">
        <f t="array" aca="1" ref="AM2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45931</v>
      </c>
      <c r="AN23" s="181" cm="1">
        <f t="array" aca="1" ref="AN23" ca="1">IFERROR(_xlfn.XLOOKUP(TabCalc[[#This Row],[L_S1D]],INDIRECT("TabReg["&amp;TabCalc[[#This Row],[Ticker]]&amp;"]"),INDIRECT("TabReg["&amp;TabCalc[[#This Row],[Ticker]]&amp;"1]")),0)</f>
        <v>800</v>
      </c>
      <c r="AO23" s="384" cm="1">
        <f t="array" aca="1" ref="AO23" ca="1">IFERROR(_xlfn.XLOOKUP(TabCalc[[#This Row],[L_S1D]],INDIRECT("TabReg["&amp;TabCalc[[#This Row],[Ticker]]&amp;"]"),INDIRECT("TabReg["&amp;TabCalc[[#This Row],[Ticker]]&amp;"2]")),0)</f>
        <v>24.82</v>
      </c>
      <c r="AP23" s="336">
        <f ca="1">_xlfn.LET(_xlpm.MVOpen,[1]!RTData[[#This Row],[Open]]*TabCalc[[#This Row],[NAfter]],_xlpm.MVNow,TabCalc[[#This Row],[M]]*TabCalc[[#This Row],[NAfter]],_xlpm.MVNow-_xlpm.MVOpen)*TabCalc[[#This Row],[Scale]]</f>
        <v>-1760</v>
      </c>
      <c r="AQ23" s="336">
        <f ca="1">_xlfn.LET(_xlpm.MVToday,DataShift!AV523,         _xlpm.MVY,DataShift!AU524,        _xlpm.MVYY, DataShift!AT524,                                IF(_xlpm.MVToday=_xlpm.MVY,_xlpm.MVY-_xlpm.MVYY,_xlpm.MVToday-_xlpm.MVY))</f>
        <v>0</v>
      </c>
      <c r="AR23" s="336">
        <f ca="1">_xlfn.LET(_xlpm.MVToday,DataShift!AV523,         _xlpm.MVY,DataShift!AU524,        _xlpm.MVYY, DataShift!AT524,         _xlpm.MVYYY, DataShift!AS524,                      IF(_xlpm.MVToday=_xlpm.MVY,      _xlpm.MVYY-_xlpm.MVYYY,          _xlpm.MVY-_xlpm.MVYY))</f>
        <v>0</v>
      </c>
      <c r="AS23" s="1078">
        <f ca="1">TabCalc[[#This Row],[Y]]/TabCalc[[#This Row],[M]]</f>
        <v>0.97148936170212763</v>
      </c>
      <c r="AT23" s="299" t="str" cm="1">
        <f t="array" aca="1" ref="AT23" ca="1">IFERROR(_xlfn.IFS(          TabCalc[[#This Row],[E]]&gt;0, "Free Trade",      TabCalc[[#This Row],[A]]&lt;MIN(TabCalc[[#This Row],[L_Sp]],TabCalc[[#This Row],[M]]), "Buy",            TabCalc[[#This Row],[M]]&lt;TabCalc[[#This Row],[L_Sp]],       "Refill",       TabCalc[[#This Row],[M]]&gt;TabCalc[[#This Row],[L_Sp]],"S_more"),"")</f>
        <v>Refill</v>
      </c>
      <c r="AU23" s="299" t="str">
        <f ca="1">IF(           AND(TabCalc[[#This Row],[E]]&lt;=0,          TabCalc[[#This Row],[A]]&gt;MIN(TabCalc[[#This Row],[M]],TabCalc[[#This Row],[L_Sp]]),             TabCalc[[#This Row],[L_Sp]]&lt;=TabCalc[[#This Row],[M]]),                       "S_more","")</f>
        <v/>
      </c>
      <c r="AV23" s="82" t="str" cm="1">
        <f t="array" aca="1" ref="AV23" ca="1">IFERROR(_xlfn.IFS(TabCalc[[#This Row],[E]]&gt;0,"Free trade",                 TabCalc[[#This Row],[A]]&lt;MAX(ABS(TabCalc[[#This Row],[L_Bp]]),TabCalc[[#This Row],[A]]),"Sell",             TabCalc[[#This Row],[M]]&gt;ABS(TabCalc[[#This Row],[L_Bp]]),"Resell",             TabCalc[[#This Row],[M]]&lt;ABS(TabCalc[[#This Row],[L_Bp]]),"B_more"),"")</f>
        <v>Resell</v>
      </c>
      <c r="AW23" s="82">
        <f ca="1">TabCalc[[#This Row],[NAfter]]-TabCalc[[#This Row],[Nbegin]]</f>
        <v>-1000</v>
      </c>
      <c r="AX23" s="307">
        <f ca="1">IFERROR((TabCalc[[#This Row],[M]]-TabCalc[[#This Row],[Y]])*(TabCalc[[#This Row],[M]]-TabCalc[[#This Row],[Y]])*(TabCalc[[#This Row],[M]]-TabCalc[[#This Row],[Y]])/(TabCalc[[#This Row],[Y]]*TabCalc[[#This Row],[M]]),"")</f>
        <v>5.6059682575186121E-4</v>
      </c>
      <c r="AY23" s="82">
        <f t="shared" ca="1" si="1"/>
        <v>1000</v>
      </c>
      <c r="AZ23" s="90">
        <f ca="1">[1]!RTData[[#This Row],[V/VA]]</f>
        <v>0.56340141882800843</v>
      </c>
      <c r="BA23" s="90" t="str" cm="1">
        <f t="array" aca="1" ref="BA23" ca="1">IFERROR(_xlfn.IFS(TabCalc[[#This Row],[Cur]]="USD",Timer!F$27,TabCalc[[#This Row],[Cur]]="EUR",Timer!F$18,TabCalc[[#This Row],[Cur]]="GBP",Timer!F$12,TabCalc[[#This Row],[Cur]]="CAD",Timer!F$27,TabCalc[[#This Row],[Cur]]="JPY",Timer!F$31,TabCalc[[#This Row],[Cur]]="CHF",Timer!F$18),"Timing")</f>
        <v>None-Working Day</v>
      </c>
      <c r="BB23" s="90">
        <f ca="1">IF(ISNUMBER(TabCalc[[#This Row],[TimeEX]]),TabCalc[[#This Row],[V/VA]]/TabCalc[[#This Row],[TimeEX]],TabCalc[[#This Row],[V/VA]])</f>
        <v>0.56340141882800843</v>
      </c>
      <c r="BC23" s="87" cm="1">
        <f t="array" aca="1" ref="BC23" ca="1">INDEX(TabReg[], 1, _xlfn.XMATCH(TabCalc[[#This Row],[Ticker]]&amp;1, TabReg[#Headers], 0))</f>
        <v>12000</v>
      </c>
      <c r="BD23" s="161">
        <f ca="1">TabCalc[[#This Row],[Nbegin]]*TabCalc[[#This Row],[M]]*TabCalc[[#This Row],[Scale]]+TabCalc[[#This Row],[ValueBegin]]</f>
        <v>148080</v>
      </c>
      <c r="BE23" s="336" t="str" cm="1">
        <f t="array" aca="1" ref="BE23" ca="1">_xlfn.IFS(TabCalc[[#This Row],[Cost+Gain]]&gt;0,"Free",             TabCalc[[#This Row],[GL]]&gt;0,"Gainer",                TRUE,"Looser")</f>
        <v>Free</v>
      </c>
      <c r="BF23" s="161">
        <f ca="1">TabCalc[[#This Row],[Tot_Paid]]-TabCalc[[#This Row],[ValueBegin]]</f>
        <v>-673138.54264319991</v>
      </c>
      <c r="BG23" s="337">
        <f ca="1">IF(TabCalc[[#This Row],[EfCost]]&gt;TabCalc[[#This Row],[ValueBegin]],       0,        TabCalc[[#This Row],[EfCost]]-TabCalc[[#This Row],[ValueBegin]]*(1+Commission))</f>
        <v>0</v>
      </c>
      <c r="BH23" s="338">
        <f ca="1">TabCalc[[#This Row],[M_V]]+TabCalc[[#This Row],[ValueBegin]]</f>
        <v>124580</v>
      </c>
      <c r="BI23" s="161" cm="1">
        <f t="array" aca="1" ref="BI23" ca="1">SUMPRODUCT(_xlfn._xlws.FILTER(INDIRECT("TabReg["&amp;TabCalc[[#This Row],[Ticker]]&amp;"1]") * INDIRECT("TabReg["&amp;TabCalc[[#This Row],[Ticker]]&amp;"2]"), INDIRECT("TabReg["&amp;TabCalc[[#This Row],[Ticker]]&amp;"2]")&lt;0))*(1+Commission)*TabCalc[[#This Row],[Scale]]</f>
        <v>-807058.54264319991</v>
      </c>
      <c r="BJ23" s="161" cm="1">
        <f t="array" aca="1" ref="BJ23" ca="1">SUMPRODUCT(IF(INDIRECT("TabReg["&amp;TabCalc[[#This Row],[Ticker]]&amp;"2]") ="", 0, INDIRECT("TabReg["&amp;TabCalc[[#This Row],[Ticker]]&amp;"1]") * INDIRECT("TabReg["&amp;TabCalc[[#This Row],[Ticker]]&amp;"2]") ))*TabCalc[[#This Row],[Scale]]</f>
        <v>-79706</v>
      </c>
      <c r="BK23" s="161" cm="1">
        <f t="array" aca="1" ref="BK2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723373.95695679996</v>
      </c>
      <c r="BL23" s="161">
        <f ca="1">TabCalc[[#This Row],[M_V]]+TabCalc[[#This Row],[EfCost]]</f>
        <v>178794</v>
      </c>
      <c r="BM23" s="161">
        <f ca="1">IF(        OR( TabCalc[[#This Row],[GL]]&gt;ABS(TabCalc[[#This Row],[EfCost]]),TabCalc[[#This Row],[NAfter]]=0),             TabCalc[[#This Row],[GL]],     0)</f>
        <v>178794</v>
      </c>
      <c r="BN23" s="161" cm="1">
        <f t="array" aca="1" ref="BN23" ca="1">SUMPRODUCT(_xlfn._xlws.FILTER(IF(INDIRECT("TabReg["&amp;TabCalc[[#This Row],[Ticker]]&amp;"2]") ="", 0, INDIRECT("TabReg["&amp;TabCalc[[#This Row],[Ticker]]&amp;"1]")  ),  INDIRECT("TabReg["&amp;TabCalc[[#This Row],[Ticker]]&amp;"2]") &lt; 0))</f>
        <v>46000</v>
      </c>
      <c r="BO23" s="161">
        <f ca="1">TabCalc[[#This Row],[SB]]-TabCalc[[#This Row],[Nbegin]]</f>
        <v>34000</v>
      </c>
      <c r="BP23" s="161" cm="1">
        <f t="array" aca="1" ref="BP23" ca="1">IFERROR(SUMPRODUCT(_xlfn._xlws.FILTER(IF(INDIRECT("TabReg["&amp;TabCalc[[#This Row],[Ticker]]&amp;"2]") ="", 0, INDIRECT("TabReg["&amp;TabCalc[[#This Row],[Ticker]]&amp;"1]")  ),  INDIRECT("TabReg["&amp;TabCalc[[#This Row],[Ticker]]&amp;"2]") &gt; 0)),0)</f>
        <v>35000</v>
      </c>
      <c r="BQ23"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11.65</v>
      </c>
      <c r="BR23" s="176" t="str">
        <f ca="1">IF(TabCalc[[#This Row],[EfCost]]+TabCalc[[#This Row],[M_V]]&lt;TabCalc[[#This Row],[NoT_GL]],"Pile","")</f>
        <v/>
      </c>
      <c r="BS23" s="167">
        <f ca="1">[1]!RTData[[#This Row],[Last trade time]]</f>
        <v>45954.998743008597</v>
      </c>
      <c r="BT23" s="177">
        <f ca="1">(TabCalc[[#This Row],[ValueBegin]]+(TabCalc[[#This Row],[M]]-TabCalc[[#This Row],[A]])*TabCalc[[#This Row],[NAfter]])*TabCalc[[#This Row],[Scale]]</f>
        <v>-388856</v>
      </c>
      <c r="BU23" s="189" cm="1">
        <f t="array" aca="1" ref="BU23" ca="1">_xlfn.XLOOKUP(TabCalc[[#This Row],[Ticker]],TabReg[[#Headers],[AAPL]:[UnknownX28]],Reg!B$72:KF$72)+3</f>
        <v>28</v>
      </c>
      <c r="BV23" s="190" cm="1">
        <f t="array" aca="1" ref="BV23" ca="1">_xlfn.XLOOKUP(TabCalc[[#This Row],[Ticker]],TabReg[[#Headers],[AAPL]:[UnknownX28]],Reg!B$73:KF$73)+2</f>
        <v>66</v>
      </c>
      <c r="BW23" s="191">
        <f ca="1">IFERROR(MAX(TabCalc[[#This Row],[Max_SD]],TabCalc[[#This Row],[Max_PD]]),0)</f>
        <v>45950</v>
      </c>
      <c r="BX23" s="191" t="str" cm="1">
        <f t="array" aca="1" ref="BX23" ca="1">_xlfn.IFS(TabCalc[[#This Row],[L_TP]]&lt;0,"Purchase",TabCalc[[#This Row],[L_TP]]&gt;0,"Sale")</f>
        <v>Purchase</v>
      </c>
      <c r="BY23" s="190" cm="1">
        <f t="array" aca="1" ref="BY23" ca="1">INDEX(Reg!$A$1:$KF$73,TabCalc[[#This Row],[L_I1]],TabCalc[[#This Row],[L_I2]])</f>
        <v>1800</v>
      </c>
      <c r="BZ23" s="192" cm="1">
        <f t="array" aca="1" ref="BZ23" ca="1">INDEX(Reg!$A$1:$KF$73,TabCalc[[#This Row],[L_I1]],TabCalc[[#This Row],[L_I2]]+1)</f>
        <v>-22.63</v>
      </c>
      <c r="CA23" s="161">
        <f ca="1">TabCalc[[#This Row],[NAfter]]*(TabCalc[[#This Row],[M]]-IF(TabCalc[[#This Row],[E]]&gt;0,0,TabCalc[[#This Row],[A]]))</f>
        <v>-254936.00000000003</v>
      </c>
      <c r="CB23" s="167" cm="1">
        <f t="array" aca="1" ref="CB23" ca="1">IFERROR(MIN(_xlfn._xlws.FILTER(INDIRECT("TabReg["&amp;TabCalc[[#This Row],[Ticker]]&amp;"]"), INDIRECT("TabReg["&amp;TabCalc[[#This Row],[Ticker]]&amp;"2]")&gt;0)),0)</f>
        <v>40544</v>
      </c>
      <c r="CC23" s="178" cm="1">
        <f t="array" aca="1" ref="CC23" ca="1">IFERROR(MIN(_xlfn._xlws.FILTER(INDIRECT("TabReg["&amp;TabCalc[[#This Row],[Ticker]]&amp;"1]"), INDIRECT("TabReg["&amp;TabCalc[[#This Row],[Ticker]]&amp;"2]")&gt;0)),0)</f>
        <v>500</v>
      </c>
      <c r="CD23" s="173" cm="1">
        <f t="array" aca="1" ref="CD23" ca="1">IFERROR(MIN(_xlfn._xlws.FILTER(INDIRECT("TabReg["&amp;TabCalc[[#This Row],[Ticker]]&amp;"2]"), INDIRECT("TabReg["&amp;TabCalc[[#This Row],[Ticker]]&amp;"2]")&gt;0)),0)</f>
        <v>15.121700000000001</v>
      </c>
      <c r="CE23" s="167" cm="1">
        <f t="array" aca="1" ref="CE23" ca="1">IFERROR(MAX(_xlfn._xlws.FILTER(INDIRECT("TabReg["&amp;TabCalc[[#This Row],[Ticker]]&amp;"]"), INDIRECT("TabReg["&amp;TabCalc[[#This Row],[Ticker]]&amp;"2]")&gt;0)),0)</f>
        <v>45938</v>
      </c>
      <c r="CF23" s="178" cm="1">
        <f t="array" aca="1" ref="CF23" ca="1">IFERROR(MAX(_xlfn._xlws.FILTER(INDIRECT("TabReg["&amp;TabCalc[[#This Row],[Ticker]]&amp;"1]"), INDIRECT("TabReg["&amp;TabCalc[[#This Row],[Ticker]]&amp;"2]")&gt;0)),0)</f>
        <v>5000</v>
      </c>
      <c r="CG23" s="173" cm="1">
        <f t="array" aca="1" ref="CG23" ca="1">IFERROR(MAX(_xlfn._xlws.FILTER(INDIRECT("TabReg["&amp;TabCalc[[#This Row],[Ticker]]&amp;"2]"), INDIRECT("TabReg["&amp;TabCalc[[#This Row],[Ticker]]&amp;"2]")&gt;0)),0)</f>
        <v>26.07</v>
      </c>
      <c r="CH23" s="167" cm="1">
        <f t="array" aca="1" ref="CH23" ca="1">MIN(_xlfn._xlws.FILTER(INDIRECT("TabReg["&amp;TabCalc[[#This Row],[Ticker]]&amp;"]"), INDIRECT("TabReg["&amp;TabCalc[[#This Row],[Ticker]]&amp;"2]")&lt;0))</f>
        <v>40544</v>
      </c>
      <c r="CI23" s="177" cm="1">
        <f t="array" aca="1" ref="CI23" ca="1">MIN(_xlfn._xlws.FILTER(INDIRECT("TabReg["&amp;TabCalc[[#This Row],[Ticker]]&amp;"1]"), INDIRECT("TabReg["&amp;TabCalc[[#This Row],[Ticker]]&amp;"2]")&lt;0))</f>
        <v>1200</v>
      </c>
      <c r="CJ23" s="173" cm="1">
        <f t="array" aca="1" ref="CJ23" ca="1">MIN(_xlfn._xlws.FILTER(INDIRECT("TabReg["&amp;TabCalc[[#This Row],[Ticker]]&amp;"2]"), INDIRECT("TabReg["&amp;TabCalc[[#This Row],[Ticker]]&amp;"2]")&lt;0))</f>
        <v>-24.92</v>
      </c>
      <c r="CK23" s="167" cm="1">
        <f t="array" aca="1" ref="CK23" ca="1">MAX(_xlfn._xlws.FILTER(INDIRECT("TabReg["&amp;TabCalc[[#This Row],[Ticker]]&amp;"]"), INDIRECT("TabReg["&amp;TabCalc[[#This Row],[Ticker]]&amp;"2]")&lt;0))</f>
        <v>45950</v>
      </c>
      <c r="CL23" s="177" cm="1">
        <f t="array" aca="1" ref="CL23" ca="1">MAX(_xlfn._xlws.FILTER(INDIRECT("TabReg["&amp;TabCalc[[#This Row],[Ticker]]&amp;"1]"), INDIRECT("TabReg["&amp;TabCalc[[#This Row],[Ticker]]&amp;"2]")&lt;0))</f>
        <v>12000</v>
      </c>
      <c r="CM23" s="173" cm="1">
        <f t="array" aca="1" ref="CM23" ca="1">MAX(_xlfn._xlws.FILTER(INDIRECT("TabReg["&amp;TabCalc[[#This Row],[Ticker]]&amp;"2]"), INDIRECT("TabReg["&amp;TabCalc[[#This Row],[Ticker]]&amp;"2]")&lt;0))</f>
        <v>-11.16</v>
      </c>
      <c r="CN23" s="167" cm="1">
        <f t="array" aca="1" ref="CN23" ca="1">IFERROR(_xlfn.XLOOKUP(TabCalc[[#This Row],[BS2P]],INDIRECT("TabReg["&amp;TabCalc[[#This Row],[Ticker]]&amp;"2]"),INDIRECT("TabReg["&amp;TabCalc[[#This Row],[Ticker]]&amp;"]")),0)</f>
        <v>45931</v>
      </c>
      <c r="CO23" s="178" cm="1">
        <f t="array" aca="1" ref="CO23" ca="1">IFERROR(_xlfn.XLOOKUP(TabCalc[[#This Row],[BS2P]],INDIRECT("TabReg["&amp;TabCalc[[#This Row],[Ticker]]&amp;"2]"),INDIRECT("TabReg["&amp;TabCalc[[#This Row],[Ticker]]&amp;"1]")),0)</f>
        <v>800</v>
      </c>
      <c r="CP23" s="173">
        <f ca="1">_xlfn.MAXIFS(INDIRECT("TabReg["&amp;TabCalc[[#This Row],[Ticker]]&amp;"2]"), INDIRECT("TabReg["&amp;TabCalc[[#This Row],[Ticker]]&amp;"2]"), "&lt;" &amp; MAX(INDIRECT("TabReg["&amp;TabCalc[[#This Row],[Ticker]]&amp;"2]")))</f>
        <v>24.82</v>
      </c>
      <c r="CQ23" s="167" cm="1">
        <f t="array" aca="1" ref="CQ23" ca="1">IFERROR(_xlfn.XLOOKUP(TabCalc[[#This Row],[WB2P]],INDIRECT("TabReg["&amp;TabCalc[[#This Row],[Ticker]]&amp;"2]"),INDIRECT("TabReg["&amp;TabCalc[[#This Row],[Ticker]]&amp;"]")),0)</f>
        <v>45950</v>
      </c>
      <c r="CR23" s="178" cm="1">
        <f t="array" aca="1" ref="CR23" ca="1">IFERROR(_xlfn.XLOOKUP(TabCalc[[#This Row],[WB2P]],INDIRECT("TabReg["&amp;TabCalc[[#This Row],[Ticker]]&amp;"2]"),INDIRECT("TabReg["&amp;TabCalc[[#This Row],[Ticker]]&amp;"1]")),0)</f>
        <v>1800</v>
      </c>
      <c r="CS23" s="173">
        <f ca="1">_xlfn.MINIFS(INDIRECT("TabReg["&amp;TabCalc[[#This Row],[Ticker]]&amp;"2]"), INDIRECT("TabReg["&amp;TabCalc[[#This Row],[Ticker]]&amp;"2]"), "&gt;" &amp; MIN(INDIRECT("TabReg["&amp;TabCalc[[#This Row],[Ticker]]&amp;"2]")))</f>
        <v>-22.63</v>
      </c>
      <c r="CT23" s="405">
        <f ca="1">IF(TabCalc[[#This Row],[M]]&lt;TabCalc[[#This Row],[L_Sp]],DesiredBuyGain/(TabCalc[[#This Row],[L_Sp]]-TabCalc[[#This Row],[M]]),0)</f>
        <v>1945.5252918287936</v>
      </c>
      <c r="CU23" s="406">
        <f ca="1">IF(TabCalc[[#This Row],[ntoBuy]]*TabCalc[[#This Row],[M]]&lt;=0,0,TabCalc[[#This Row],[ntoBuy]]*TabCalc[[#This Row],[M]])</f>
        <v>45719.844357976646</v>
      </c>
      <c r="CV23" s="406">
        <f ca="1">IF(TabCalc[[#This Row],[M]]&gt;ABS(TabCalc[[#This Row],[L_Bp]]),MIN(TabCalc[[#This Row],[NAfter]],DesiredSaleGain/(TabCalc[[#This Row],[M]]+TabCalc[[#This Row],[L_Bp]])),0)/TabCalc[[#This Row],[Scale]]</f>
        <v>5747.1264367816029</v>
      </c>
      <c r="CW23" s="407">
        <f ca="1">TabCalc[[#This Row],[ntoSell]]*TabCalc[[#This Row],[M]]</f>
        <v>135057.47126436766</v>
      </c>
      <c r="CX23" s="400">
        <f ca="1">_xlfn.LET(_xlpm.nToSell,IF(TabCalc[[#This Row],[M]]-TabCalc[[#This Row],[A]]&lt;=0,"",INT(DesiredSaleGain/(TabCalc[[#This Row],[M]]-IF(TabCalc[[#This Row],[E]]&gt;0,0,TabCalc[[#This Row],[A]])))),IF(_xlpm.nToSell&lt;=TabCalc[[#This Row],[NAfter]],_xlpm.nToSell,0))</f>
        <v>0</v>
      </c>
      <c r="CY23" s="338">
        <f ca="1">IFERROR(TabCalc[[#This Row],[NMA]]*TabCalc[[#This Row],[M]],"")</f>
        <v>0</v>
      </c>
      <c r="CZ23" s="337" cm="1">
        <f t="array" aca="1" ref="CZ23" ca="1">_xlfn.IFS(TabCalc[[#This Row],[M]]&gt;= TabCalc[[#This Row],[L_Sp]],(TabCalc[[#This Row],[M]]-TabCalc[[#This Row],[A]])*TabCalc[[#This Row],[NAfter]]*TabCalc[[#This Row],[Scale]],           TabCalc[[#This Row],[M]]&lt; TabCalc[[#This Row],[L_Sp]],(TabCalc[[#This Row],[M]]-TabCalc[[#This Row],[A]])*TabCalc[[#This Row],[NAfter]]*TabCalc[[#This Row],[Scale]],               TRUE,"")</f>
        <v>-254936.00000000003</v>
      </c>
      <c r="DA23" s="90">
        <f ca="1">IFERROR((TabCalc[[#This Row],[M]]+TabCalc[[#This Row],[L_Bp]])/ABS(TabCalc[[#This Row],[L_Bp]])/(TODAY()-TabCalc[[#This Row],[L_Bdate]])*360,"")</f>
        <v>2.3066725585505994</v>
      </c>
      <c r="DB23" s="312">
        <f ca="1">MEDIAN(DataShift!F723:Z723)</f>
        <v>0</v>
      </c>
      <c r="DC23" s="312" t="str" cm="1">
        <f t="array" aca="1" ref="DC2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23" s="88" t="s">
        <v>20</v>
      </c>
      <c r="DN23" s="81">
        <v>12000</v>
      </c>
      <c r="DO23" s="317">
        <v>-11.16</v>
      </c>
    </row>
    <row r="24" spans="1:119">
      <c r="A24" s="120" t="str">
        <f ca="1">_xlfn.XLOOKUP(TabCalc[[#This Row],[Ticker]],[1]!RTData[Ticker symbol],[1]!RTData[Currency])</f>
        <v>USD</v>
      </c>
      <c r="B24" s="121">
        <f ca="1">IF(TabCalc[[#This Row],[Cur]]="GBP",0.01,1)</f>
        <v>1</v>
      </c>
      <c r="C24" s="82">
        <f ca="1">_xlfn.XLOOKUP(TabCalc[[#This Row],[Ticker]],DM$3:DM$96,DN$3:DN$96)</f>
        <v>1000</v>
      </c>
      <c r="D24" s="1254">
        <f ca="1">_xlfn.XLOOKUP(TabCalc[[#This Row],[Ticker]],DM$3:DM$96,DO$3:DO$96)</f>
        <v>-15.7</v>
      </c>
      <c r="E24" s="121">
        <f t="shared" ca="1" si="0"/>
        <v>-15700</v>
      </c>
      <c r="F24" s="82">
        <f ca="1">TabCalc[[#This Row],[NAfter]]*TabCalc[[#This Row],[M]]*TabCalc[[#This Row],[Scale]]</f>
        <v>138300</v>
      </c>
      <c r="G24" s="82">
        <f ca="1">IFERROR(TabCalc[[#This Row],[SB]]-TabCalc[[#This Row],[SST]],TabCalc[[#This Row],[SB]])</f>
        <v>5000</v>
      </c>
      <c r="H24" s="535" t="str">
        <f ca="1">[1]!RTData[[#This Row],[Ticker symbol]]</f>
        <v>HPQ</v>
      </c>
      <c r="I24" s="385">
        <f ca="1">[1]!RTData[[#This Row],[M-Price]]</f>
        <v>27.66</v>
      </c>
      <c r="J24" s="384">
        <v>20.520893818181818</v>
      </c>
      <c r="K24" s="383">
        <f>[1]!RTData[[#This Row],[1YT]]</f>
        <v>28.16375</v>
      </c>
      <c r="L24" s="384">
        <f ca="1">IF(OR(TabCalc[[#This Row],[NAfter]]=0,TabCalc[[#This Row],[EfCost]]&gt;0),0,TabCalc[[#This Row],[EfCost]]/TabCalc[[#This Row],[NAfter]]/TabCalc[[#This Row],[Scale]])</f>
        <v>-16.79115839999999</v>
      </c>
      <c r="M24" s="744">
        <f ca="1">[1]!RTData[[#This Row],[Change%]]</f>
        <v>-6.1089999999999998E-3</v>
      </c>
      <c r="N24" s="1172">
        <v>0.42857142857142855</v>
      </c>
      <c r="O24" s="966">
        <f>TabCalc[[#This Row],[Up20]]-1+TabCalc[[#This Row],[Up20]]</f>
        <v>-0.14285714285714285</v>
      </c>
      <c r="P24" s="966">
        <f>TabCalc[[#This Row],[Up20]]-TabCalc[[#This Row],[Up150]]</f>
        <v>-0.12514757969303431</v>
      </c>
      <c r="Q24" s="966">
        <v>0.55371900826446285</v>
      </c>
      <c r="R24" s="966">
        <f>TabCalc[[#This Row],[Up150]]-1+TabCalc[[#This Row],[Up150]]</f>
        <v>0.10743801652892571</v>
      </c>
      <c r="S24" s="966">
        <f ca="1">IFERROR(SUMPRODUCT(DataShift!F1516:Z1516,DataShift!AB723:AV723)/SQRT(SUMPRODUCT(DataShift!F1516:Z1516,DataShift!F1516:Z1516)*SUMPRODUCT(DataShift!AB723:AV723,DataShift!AB723:AV723)),0)</f>
        <v>-0.68921973960691929</v>
      </c>
      <c r="T24" s="966">
        <f ca="1">IFERROR(SUMPRODUCT(DataShift!F1516:Z1516,DataShift!F724:Z724)/SQRT(SUMPRODUCT(DataShift!F1516:Z1516,DataShift!F1516:Z1516)*SUMPRODUCT(DataShift!F724:Z724,DataShift!F724:Z724)),0)</f>
        <v>-0.26534725457158087</v>
      </c>
      <c r="U24" s="1107">
        <v>9800</v>
      </c>
      <c r="V24" s="1107">
        <v>1200</v>
      </c>
      <c r="W24" s="1107">
        <v>0</v>
      </c>
      <c r="X24" s="966" t="str">
        <f ca="1">IF(TabCalc[[#This Row],[EfCost]]+TabCalc[[#This Row],[M_V]]&lt;TabCalc[[#This Row],[NoT_GL]],"Pile","")</f>
        <v/>
      </c>
      <c r="Y2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4" s="213">
        <f ca="1">MIN(TabCalc[[#This Row],[L_Bn]],TabCalc[[#This Row],[NAfter]])*(TabCalc[[#This Row],[M]]+TabCalc[[#This Row],[L_Bp]])*TabCalc[[#This Row],[Scale]]</f>
        <v>129.99999999999901</v>
      </c>
      <c r="AA24" s="210" cm="1">
        <f t="array" aca="1" ref="AA24" ca="1">_xlfn.XLOOKUP(TabCalc[[#This Row],[L_Bp]],INDIRECT("TabReg["&amp;TabCalc[[#This Row],[Ticker]]&amp;"2]"),INDIRECT("TabReg["&amp;TabCalc[[#This Row],[Ticker]]&amp;"]"))</f>
        <v>45946</v>
      </c>
      <c r="AB24" s="181" cm="1">
        <f t="array" aca="1" ref="AB24" ca="1">_xlfn.XLOOKUP(TabCalc[[#This Row],[L_Bp]],INDIRECT("TabReg["&amp;TabCalc[[#This Row],[Ticker]]&amp;"2]"),INDIRECT("TabReg["&amp;TabCalc[[#This Row],[Ticker]]&amp;"1]"))</f>
        <v>1000</v>
      </c>
      <c r="AC24" s="192" cm="1">
        <f t="array" aca="1" ref="AC24" ca="1">IFERROR(INDEX(INDIRECT("TabReg["&amp;TabCalc[[#This Row],[Ticker]]&amp;"2]"),    _xlfn.XMATCH(    MAX(    _xlfn._xlws.FILTER(INDIRECT("TabReg["&amp;TabCalc[[#This Row],[Ticker]]&amp;"]"), INDIRECT("TabReg["&amp;TabCalc[[#This Row],[Ticker]]&amp;"2]")&lt;0)     ), INDIRECT("TabReg["&amp;TabCalc[[#This Row],[Ticker]]&amp;"]"),      0)), "")</f>
        <v>-27.53</v>
      </c>
      <c r="AD24" s="213">
        <f ca="1">IFERROR(MIN(TabCalc[[#This Row],[L_B1n]],TabCalc[[#This Row],[NAfter]])*(TabCalc[[#This Row],[M]]+TabCalc[[#This Row],[L_B1p]])*TabCalc[[#This Row],[Scale]],"")</f>
        <v>7680.0000000000073</v>
      </c>
      <c r="AE24" s="210" cm="1">
        <f t="array" aca="1" ref="AE2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F24" s="181" cm="1">
        <f t="array" aca="1" ref="AF24" ca="1">IFERROR(_xlfn.XLOOKUP(TabCalc[[#This Row],[L_B1D]],INDIRECT("TabReg["&amp;TabCalc[[#This Row],[Ticker]]&amp;"]"),INDIRECT("TabReg["&amp;TabCalc[[#This Row],[Ticker]]&amp;"1]")),0)</f>
        <v>4000</v>
      </c>
      <c r="AG24" s="192" cm="1">
        <f t="array" aca="1" ref="AG24" ca="1">IFERROR(_xlfn.XLOOKUP(TabCalc[[#This Row],[L_B1D]],INDIRECT("TabReg["&amp;TabCalc[[#This Row],[Ticker]]&amp;"]"),INDIRECT("TabReg["&amp;TabCalc[[#This Row],[Ticker]]&amp;"2]")),0)</f>
        <v>-25.74</v>
      </c>
      <c r="AH24" s="214">
        <f ca="1">IFERROR(TabCalc[[#This Row],[L_Sn]]*(TabCalc[[#This Row],[L_Sp]]-TabCalc[[#This Row],[M]])*TabCalc[[#This Row],[Scale]],"")</f>
        <v>1280.0000000000011</v>
      </c>
      <c r="AI24" s="210" cm="1">
        <f t="array" aca="1" ref="AI24" ca="1">IFERROR(_xlfn.XLOOKUP(TabCalc[[#This Row],[L_Sp]],INDIRECT("TabReg["&amp;TabCalc[[#This Row],[Ticker]]&amp;"2]"),INDIRECT("TabReg["&amp;TabCalc[[#This Row],[Ticker]]&amp;"]")),0)</f>
        <v>45945</v>
      </c>
      <c r="AJ24" s="181" cm="1">
        <f t="array" aca="1" ref="AJ24" ca="1">IFERROR(_xlfn.XLOOKUP(TabCalc[[#This Row],[L_Sp]],INDIRECT("TabReg["&amp;TabCalc[[#This Row],[Ticker]]&amp;"2]"),INDIRECT("TabReg["&amp;TabCalc[[#This Row],[Ticker]]&amp;"1]")),0)</f>
        <v>1000</v>
      </c>
      <c r="AK24" s="192" cm="1">
        <f t="array" aca="1" ref="AK24" ca="1">IFERROR(INDEX(INDIRECT("TabReg["&amp;TabCalc[[#This Row],[Ticker]]&amp;"2]"), _xlfn.XMATCH(MAX(_xlfn._xlws.FILTER(INDIRECT("TabReg["&amp;TabCalc[[#This Row],[Ticker]]&amp;"]"), INDIRECT("TabReg["&amp;TabCalc[[#This Row],[Ticker]]&amp;"2]")&gt;0)), INDIRECT("TabReg["&amp;TabCalc[[#This Row],[Ticker]]&amp;"]"), 0)), 0)</f>
        <v>28.94</v>
      </c>
      <c r="AL24" s="214">
        <f ca="1">IFERROR(TabCalc[[#This Row],[L_S1n]]*(TabCalc[[#This Row],[L_S1p]]-TabCalc[[#This Row],[M]])*TabCalc[[#This Row],[Scale]],0)</f>
        <v>-2320.0000000000073</v>
      </c>
      <c r="AM24" s="210" cm="1">
        <f t="array" aca="1" ref="AM2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N24" s="181" cm="1">
        <f t="array" aca="1" ref="AN24" ca="1">IFERROR(_xlfn.XLOOKUP(TabCalc[[#This Row],[L_S1D]],INDIRECT("TabReg["&amp;TabCalc[[#This Row],[Ticker]]&amp;"]"),INDIRECT("TabReg["&amp;TabCalc[[#This Row],[Ticker]]&amp;"1]")),0)</f>
        <v>4000</v>
      </c>
      <c r="AO24" s="384" cm="1">
        <f t="array" aca="1" ref="AO24" ca="1">IFERROR(_xlfn.XLOOKUP(TabCalc[[#This Row],[L_S1D]],INDIRECT("TabReg["&amp;TabCalc[[#This Row],[Ticker]]&amp;"]"),INDIRECT("TabReg["&amp;TabCalc[[#This Row],[Ticker]]&amp;"2]")),0)</f>
        <v>27.08</v>
      </c>
      <c r="AP24" s="336">
        <f ca="1">_xlfn.LET(_xlpm.MVOpen,[1]!RTData[[#This Row],[Open]]*TabCalc[[#This Row],[NAfter]],_xlpm.MVNow,TabCalc[[#This Row],[M]]*TabCalc[[#This Row],[NAfter]],_xlpm.MVNow-_xlpm.MVOpen)*TabCalc[[#This Row],[Scale]]</f>
        <v>-3000</v>
      </c>
      <c r="AQ24" s="336">
        <f ca="1">_xlfn.LET(_xlpm.MVToday,DataShift!AV524,         _xlpm.MVY,DataShift!AU525,        _xlpm.MVYY, DataShift!AT525,                                IF(_xlpm.MVToday=_xlpm.MVY,_xlpm.MVY-_xlpm.MVYY,_xlpm.MVToday-_xlpm.MVY))</f>
        <v>-0.10000000000013642</v>
      </c>
      <c r="AR24" s="336">
        <f ca="1">_xlfn.LET(_xlpm.MVToday,DataShift!AV524,         _xlpm.MVY,DataShift!AU525,        _xlpm.MVYY, DataShift!AT525,         _xlpm.MVYYY, DataShift!AS525,                      IF(_xlpm.MVToday=_xlpm.MVY,      _xlpm.MVYY-_xlpm.MVYYY,          _xlpm.MVY-_xlpm.MVYY))</f>
        <v>28.350000000000136</v>
      </c>
      <c r="AS24" s="1078">
        <f ca="1">TabCalc[[#This Row],[Y]]/TabCalc[[#This Row],[M]]</f>
        <v>1.0182122198120029</v>
      </c>
      <c r="AT24" s="299" t="str" cm="1">
        <f t="array" aca="1" ref="AT24" ca="1">IFERROR(_xlfn.IFS(          TabCalc[[#This Row],[E]]&gt;0, "Free Trade",      TabCalc[[#This Row],[A]]&lt;MIN(TabCalc[[#This Row],[L_Sp]],TabCalc[[#This Row],[M]]), "Buy",            TabCalc[[#This Row],[M]]&lt;TabCalc[[#This Row],[L_Sp]],       "Refill",       TabCalc[[#This Row],[M]]&gt;TabCalc[[#This Row],[L_Sp]],"S_more"),"")</f>
        <v>Buy</v>
      </c>
      <c r="AU24" s="299" t="str">
        <f ca="1">IF(           AND(TabCalc[[#This Row],[E]]&lt;=0,          TabCalc[[#This Row],[A]]&gt;MIN(TabCalc[[#This Row],[M]],TabCalc[[#This Row],[L_Sp]]),             TabCalc[[#This Row],[L_Sp]]&lt;=TabCalc[[#This Row],[M]]),                       "S_more","")</f>
        <v/>
      </c>
      <c r="AV24" s="82" t="str" cm="1">
        <f t="array" aca="1" ref="AV24" ca="1">IFERROR(_xlfn.IFS(TabCalc[[#This Row],[E]]&gt;0,"Free trade",                 TabCalc[[#This Row],[A]]&lt;MAX(ABS(TabCalc[[#This Row],[L_Bp]]),TabCalc[[#This Row],[A]]),"Sell",             TabCalc[[#This Row],[M]]&gt;ABS(TabCalc[[#This Row],[L_Bp]]),"Resell",             TabCalc[[#This Row],[M]]&lt;ABS(TabCalc[[#This Row],[L_Bp]]),"B_more"),"")</f>
        <v>Sell</v>
      </c>
      <c r="AW24" s="82">
        <f ca="1">TabCalc[[#This Row],[NAfter]]-TabCalc[[#This Row],[Nbegin]]</f>
        <v>4000</v>
      </c>
      <c r="AX24" s="307">
        <f ca="1">IFERROR((TabCalc[[#This Row],[M]]-TabCalc[[#This Row],[Y]])*(TabCalc[[#This Row],[M]]-TabCalc[[#This Row],[Y]])*(TabCalc[[#This Row],[M]]-TabCalc[[#This Row],[Y]])/(TabCalc[[#This Row],[Y]]*TabCalc[[#This Row],[M]]),"")</f>
        <v>-1.6409771023520819E-4</v>
      </c>
      <c r="AY24" s="82">
        <f t="shared" ca="1" si="1"/>
        <v>0</v>
      </c>
      <c r="AZ24" s="90">
        <f ca="1">[1]!RTData[[#This Row],[V/VA]]</f>
        <v>0.71094852552131327</v>
      </c>
      <c r="BA24" s="90" t="str" cm="1">
        <f t="array" aca="1" ref="BA24" ca="1">IFERROR(_xlfn.IFS(TabCalc[[#This Row],[Cur]]="USD",Timer!F$27,TabCalc[[#This Row],[Cur]]="EUR",Timer!F$18,TabCalc[[#This Row],[Cur]]="GBP",Timer!F$12,TabCalc[[#This Row],[Cur]]="CAD",Timer!F$27,TabCalc[[#This Row],[Cur]]="JPY",Timer!F$31,TabCalc[[#This Row],[Cur]]="CHF",Timer!F$18),"Timing")</f>
        <v>None-Working Day</v>
      </c>
      <c r="BB24" s="90">
        <f ca="1">IF(ISNUMBER(TabCalc[[#This Row],[TimeEX]]),TabCalc[[#This Row],[V/VA]]/TabCalc[[#This Row],[TimeEX]],TabCalc[[#This Row],[V/VA]])</f>
        <v>0.71094852552131327</v>
      </c>
      <c r="BC24" s="87" cm="1">
        <f t="array" aca="1" ref="BC24" ca="1">INDEX(TabReg[], 1, _xlfn.XMATCH(TabCalc[[#This Row],[Ticker]]&amp;1, TabReg[#Headers], 0))</f>
        <v>1000</v>
      </c>
      <c r="BD24" s="161">
        <f ca="1">TabCalc[[#This Row],[Nbegin]]*TabCalc[[#This Row],[M]]*TabCalc[[#This Row],[Scale]]+TabCalc[[#This Row],[ValueBegin]]</f>
        <v>11960</v>
      </c>
      <c r="BE24" s="336" t="str" cm="1">
        <f t="array" aca="1" ref="BE24" ca="1">_xlfn.IFS(TabCalc[[#This Row],[Cost+Gain]]&gt;0,"Free",             TabCalc[[#This Row],[GL]]&gt;0,"Gainer",                TRUE,"Looser")</f>
        <v>Gainer</v>
      </c>
      <c r="BF24" s="161">
        <f ca="1">TabCalc[[#This Row],[Tot_Paid]]-TabCalc[[#This Row],[ValueBegin]]</f>
        <v>-696213.96825919999</v>
      </c>
      <c r="BG24" s="337">
        <f ca="1">IF(TabCalc[[#This Row],[EfCost]]&gt;TabCalc[[#This Row],[ValueBegin]],       0,        TabCalc[[#This Row],[EfCost]]-TabCalc[[#This Row],[ValueBegin]]*(1+Commission))</f>
        <v>-68214.971999999951</v>
      </c>
      <c r="BH24" s="338">
        <f ca="1">TabCalc[[#This Row],[M_V]]+TabCalc[[#This Row],[ValueBegin]]</f>
        <v>122600</v>
      </c>
      <c r="BI24" s="161" cm="1">
        <f t="array" aca="1" ref="BI24" ca="1">SUMPRODUCT(_xlfn._xlws.FILTER(INDIRECT("TabReg["&amp;TabCalc[[#This Row],[Ticker]]&amp;"1]") * INDIRECT("TabReg["&amp;TabCalc[[#This Row],[Ticker]]&amp;"2]"), INDIRECT("TabReg["&amp;TabCalc[[#This Row],[Ticker]]&amp;"2]")&lt;0))*(1+Commission)*TabCalc[[#This Row],[Scale]]</f>
        <v>-711913.96825919999</v>
      </c>
      <c r="BJ24" s="161" cm="1">
        <f t="array" aca="1" ref="BJ24" ca="1">SUMPRODUCT(IF(INDIRECT("TabReg["&amp;TabCalc[[#This Row],[Ticker]]&amp;"2]") ="", 0, INDIRECT("TabReg["&amp;TabCalc[[#This Row],[Ticker]]&amp;"1]") * INDIRECT("TabReg["&amp;TabCalc[[#This Row],[Ticker]]&amp;"2]") ))*TabCalc[[#This Row],[Scale]]</f>
        <v>-83955.791999999958</v>
      </c>
      <c r="BK24" s="161" cm="1">
        <f t="array" aca="1" ref="BK2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624484.10879999993</v>
      </c>
      <c r="BL24" s="161">
        <f ca="1">TabCalc[[#This Row],[M_V]]+TabCalc[[#This Row],[EfCost]]</f>
        <v>54344.208000000042</v>
      </c>
      <c r="BM24" s="161">
        <f ca="1">IF(        OR( TabCalc[[#This Row],[GL]]&gt;ABS(TabCalc[[#This Row],[EfCost]]),TabCalc[[#This Row],[NAfter]]=0),             TabCalc[[#This Row],[GL]],     0)</f>
        <v>0</v>
      </c>
      <c r="BN24" s="161" cm="1">
        <f t="array" aca="1" ref="BN24" ca="1">SUMPRODUCT(_xlfn._xlws.FILTER(IF(INDIRECT("TabReg["&amp;TabCalc[[#This Row],[Ticker]]&amp;"2]") ="", 0, INDIRECT("TabReg["&amp;TabCalc[[#This Row],[Ticker]]&amp;"1]")  ),  INDIRECT("TabReg["&amp;TabCalc[[#This Row],[Ticker]]&amp;"2]") &lt; 0))</f>
        <v>25400</v>
      </c>
      <c r="BO24" s="161">
        <f ca="1">TabCalc[[#This Row],[SB]]-TabCalc[[#This Row],[Nbegin]]</f>
        <v>24400</v>
      </c>
      <c r="BP24" s="161" cm="1">
        <f t="array" aca="1" ref="BP24" ca="1">IFERROR(SUMPRODUCT(_xlfn._xlws.FILTER(IF(INDIRECT("TabReg["&amp;TabCalc[[#This Row],[Ticker]]&amp;"2]") ="", 0, INDIRECT("TabReg["&amp;TabCalc[[#This Row],[Ticker]]&amp;"1]")  ),  INDIRECT("TabReg["&amp;TabCalc[[#This Row],[Ticker]]&amp;"2]") &gt; 0)),0)</f>
        <v>20400</v>
      </c>
      <c r="BQ2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27.56</v>
      </c>
      <c r="BR24" s="176" t="str">
        <f ca="1">IF(TabCalc[[#This Row],[EfCost]]+TabCalc[[#This Row],[M_V]]&lt;TabCalc[[#This Row],[NoT_GL]],"Pile","")</f>
        <v/>
      </c>
      <c r="BS24" s="167">
        <f ca="1">[1]!RTData[[#This Row],[Last trade time]]</f>
        <v>45954.999660010937</v>
      </c>
      <c r="BT24" s="177">
        <f ca="1">(TabCalc[[#This Row],[ValueBegin]]+(TabCalc[[#This Row],[M]]-TabCalc[[#This Row],[A]])*TabCalc[[#This Row],[NAfter]])*TabCalc[[#This Row],[Scale]]</f>
        <v>19995.530909090907</v>
      </c>
      <c r="BU24" s="189" cm="1">
        <f t="array" aca="1" ref="BU24" ca="1">_xlfn.XLOOKUP(TabCalc[[#This Row],[Ticker]],TabReg[[#Headers],[AAPL]:[UnknownX28]],Reg!B$72:KF$72)+3</f>
        <v>24</v>
      </c>
      <c r="BV24" s="190" cm="1">
        <f t="array" aca="1" ref="BV24" ca="1">_xlfn.XLOOKUP(TabCalc[[#This Row],[Ticker]],TabReg[[#Headers],[AAPL]:[UnknownX28]],Reg!B$73:KF$73)+2</f>
        <v>69</v>
      </c>
      <c r="BW24" s="191">
        <f ca="1">IFERROR(MAX(TabCalc[[#This Row],[Max_SD]],TabCalc[[#This Row],[Max_PD]]),0)</f>
        <v>45946</v>
      </c>
      <c r="BX24" s="191" t="str" cm="1">
        <f t="array" aca="1" ref="BX24" ca="1">_xlfn.IFS(TabCalc[[#This Row],[L_TP]]&lt;0,"Purchase",TabCalc[[#This Row],[L_TP]]&gt;0,"Sale")</f>
        <v>Purchase</v>
      </c>
      <c r="BY24" s="190" cm="1">
        <f t="array" aca="1" ref="BY24" ca="1">INDEX(Reg!$A$1:$KF$73,TabCalc[[#This Row],[L_I1]],TabCalc[[#This Row],[L_I2]])</f>
        <v>1000</v>
      </c>
      <c r="BZ24" s="192" cm="1">
        <f t="array" aca="1" ref="BZ24" ca="1">INDEX(Reg!$A$1:$KF$73,TabCalc[[#This Row],[L_I1]],TabCalc[[#This Row],[L_I2]]+1)</f>
        <v>-27.53</v>
      </c>
      <c r="CA24" s="161">
        <f ca="1">TabCalc[[#This Row],[NAfter]]*(TabCalc[[#This Row],[M]]-IF(TabCalc[[#This Row],[E]]&gt;0,0,TabCalc[[#This Row],[A]]))</f>
        <v>35695.530909090907</v>
      </c>
      <c r="CB24" s="167" cm="1">
        <f t="array" aca="1" ref="CB24" ca="1">IFERROR(MIN(_xlfn._xlws.FILTER(INDIRECT("TabReg["&amp;TabCalc[[#This Row],[Ticker]]&amp;"]"), INDIRECT("TabReg["&amp;TabCalc[[#This Row],[Ticker]]&amp;"2]")&gt;0)),0)</f>
        <v>45369</v>
      </c>
      <c r="CC24" s="178" cm="1">
        <f t="array" aca="1" ref="CC24" ca="1">IFERROR(MIN(_xlfn._xlws.FILTER(INDIRECT("TabReg["&amp;TabCalc[[#This Row],[Ticker]]&amp;"1]"), INDIRECT("TabReg["&amp;TabCalc[[#This Row],[Ticker]]&amp;"2]")&gt;0)),0)</f>
        <v>900</v>
      </c>
      <c r="CD24" s="173" cm="1">
        <f t="array" aca="1" ref="CD24" ca="1">IFERROR(MIN(_xlfn._xlws.FILTER(INDIRECT("TabReg["&amp;TabCalc[[#This Row],[Ticker]]&amp;"2]"), INDIRECT("TabReg["&amp;TabCalc[[#This Row],[Ticker]]&amp;"2]")&gt;0)),0)</f>
        <v>25.4</v>
      </c>
      <c r="CE24" s="167" cm="1">
        <f t="array" aca="1" ref="CE24" ca="1">IFERROR(MAX(_xlfn._xlws.FILTER(INDIRECT("TabReg["&amp;TabCalc[[#This Row],[Ticker]]&amp;"]"), INDIRECT("TabReg["&amp;TabCalc[[#This Row],[Ticker]]&amp;"2]")&gt;0)),0)</f>
        <v>45945</v>
      </c>
      <c r="CF24" s="178" cm="1">
        <f t="array" aca="1" ref="CF24" ca="1">IFERROR(MAX(_xlfn._xlws.FILTER(INDIRECT("TabReg["&amp;TabCalc[[#This Row],[Ticker]]&amp;"1]"), INDIRECT("TabReg["&amp;TabCalc[[#This Row],[Ticker]]&amp;"2]")&gt;0)),0)</f>
        <v>5000</v>
      </c>
      <c r="CG24" s="173" cm="1">
        <f t="array" aca="1" ref="CG24" ca="1">IFERROR(MAX(_xlfn._xlws.FILTER(INDIRECT("TabReg["&amp;TabCalc[[#This Row],[Ticker]]&amp;"2]"), INDIRECT("TabReg["&amp;TabCalc[[#This Row],[Ticker]]&amp;"2]")&gt;0)),0)</f>
        <v>37.14</v>
      </c>
      <c r="CH24" s="167" cm="1">
        <f t="array" aca="1" ref="CH24" ca="1">MIN(_xlfn._xlws.FILTER(INDIRECT("TabReg["&amp;TabCalc[[#This Row],[Ticker]]&amp;"]"), INDIRECT("TabReg["&amp;TabCalc[[#This Row],[Ticker]]&amp;"2]")&lt;0))</f>
        <v>40544</v>
      </c>
      <c r="CI24" s="177" cm="1">
        <f t="array" aca="1" ref="CI24" ca="1">MIN(_xlfn._xlws.FILTER(INDIRECT("TabReg["&amp;TabCalc[[#This Row],[Ticker]]&amp;"1]"), INDIRECT("TabReg["&amp;TabCalc[[#This Row],[Ticker]]&amp;"2]")&lt;0))</f>
        <v>500</v>
      </c>
      <c r="CJ24" s="173" cm="1">
        <f t="array" aca="1" ref="CJ24" ca="1">MIN(_xlfn._xlws.FILTER(INDIRECT("TabReg["&amp;TabCalc[[#This Row],[Ticker]]&amp;"2]"), INDIRECT("TabReg["&amp;TabCalc[[#This Row],[Ticker]]&amp;"2]")&lt;0))</f>
        <v>-35.158999999999999</v>
      </c>
      <c r="CK24" s="167" cm="1">
        <f t="array" aca="1" ref="CK24" ca="1">MAX(_xlfn._xlws.FILTER(INDIRECT("TabReg["&amp;TabCalc[[#This Row],[Ticker]]&amp;"]"), INDIRECT("TabReg["&amp;TabCalc[[#This Row],[Ticker]]&amp;"2]")&lt;0))</f>
        <v>45946</v>
      </c>
      <c r="CL24" s="177" cm="1">
        <f t="array" aca="1" ref="CL24" ca="1">MAX(_xlfn._xlws.FILTER(INDIRECT("TabReg["&amp;TabCalc[[#This Row],[Ticker]]&amp;"1]"), INDIRECT("TabReg["&amp;TabCalc[[#This Row],[Ticker]]&amp;"2]")&lt;0))</f>
        <v>5000</v>
      </c>
      <c r="CM24" s="173" cm="1">
        <f t="array" aca="1" ref="CM24" ca="1">MAX(_xlfn._xlws.FILTER(INDIRECT("TabReg["&amp;TabCalc[[#This Row],[Ticker]]&amp;"2]"), INDIRECT("TabReg["&amp;TabCalc[[#This Row],[Ticker]]&amp;"2]")&lt;0))</f>
        <v>-15.7</v>
      </c>
      <c r="CN24" s="167" cm="1">
        <f t="array" aca="1" ref="CN24" ca="1">IFERROR(_xlfn.XLOOKUP(TabCalc[[#This Row],[BS2P]],INDIRECT("TabReg["&amp;TabCalc[[#This Row],[Ticker]]&amp;"2]"),INDIRECT("TabReg["&amp;TabCalc[[#This Row],[Ticker]]&amp;"]")),0)</f>
        <v>45468</v>
      </c>
      <c r="CO24" s="178" cm="1">
        <f t="array" aca="1" ref="CO24" ca="1">IFERROR(_xlfn.XLOOKUP(TabCalc[[#This Row],[BS2P]],INDIRECT("TabReg["&amp;TabCalc[[#This Row],[Ticker]]&amp;"2]"),INDIRECT("TabReg["&amp;TabCalc[[#This Row],[Ticker]]&amp;"1]")),0)</f>
        <v>2000</v>
      </c>
      <c r="CP24" s="173">
        <f ca="1">_xlfn.MAXIFS(INDIRECT("TabReg["&amp;TabCalc[[#This Row],[Ticker]]&amp;"2]"), INDIRECT("TabReg["&amp;TabCalc[[#This Row],[Ticker]]&amp;"2]"), "&lt;" &amp; MAX(INDIRECT("TabReg["&amp;TabCalc[[#This Row],[Ticker]]&amp;"2]")))</f>
        <v>36.25</v>
      </c>
      <c r="CQ24" s="167" cm="1">
        <f t="array" aca="1" ref="CQ24" ca="1">IFERROR(_xlfn.XLOOKUP(TabCalc[[#This Row],[WB2P]],INDIRECT("TabReg["&amp;TabCalc[[#This Row],[Ticker]]&amp;"2]"),INDIRECT("TabReg["&amp;TabCalc[[#This Row],[Ticker]]&amp;"]")),0)</f>
        <v>45446</v>
      </c>
      <c r="CR24" s="178" cm="1">
        <f t="array" aca="1" ref="CR24" ca="1">IFERROR(_xlfn.XLOOKUP(TabCalc[[#This Row],[WB2P]],INDIRECT("TabReg["&amp;TabCalc[[#This Row],[Ticker]]&amp;"2]"),INDIRECT("TabReg["&amp;TabCalc[[#This Row],[Ticker]]&amp;"1]")),0)</f>
        <v>500</v>
      </c>
      <c r="CS24" s="173">
        <f ca="1">_xlfn.MINIFS(INDIRECT("TabReg["&amp;TabCalc[[#This Row],[Ticker]]&amp;"2]"), INDIRECT("TabReg["&amp;TabCalc[[#This Row],[Ticker]]&amp;"2]"), "&gt;" &amp; MIN(INDIRECT("TabReg["&amp;TabCalc[[#This Row],[Ticker]]&amp;"2]")))</f>
        <v>-35.116999999999997</v>
      </c>
      <c r="CT24" s="405">
        <f ca="1">IF(TabCalc[[#This Row],[M]]&lt;TabCalc[[#This Row],[L_Sp]],DesiredBuyGain/(TabCalc[[#This Row],[L_Sp]]-TabCalc[[#This Row],[M]]),0)</f>
        <v>3906.2499999999964</v>
      </c>
      <c r="CU24" s="406">
        <f ca="1">IF(TabCalc[[#This Row],[ntoBuy]]*TabCalc[[#This Row],[M]]&lt;=0,0,TabCalc[[#This Row],[ntoBuy]]*TabCalc[[#This Row],[M]])</f>
        <v>108046.8749999999</v>
      </c>
      <c r="CV24" s="406">
        <f ca="1">IF(TabCalc[[#This Row],[M]]&gt;ABS(TabCalc[[#This Row],[L_Bp]]),MIN(TabCalc[[#This Row],[NAfter]],DesiredSaleGain/(TabCalc[[#This Row],[M]]+TabCalc[[#This Row],[L_Bp]])),0)/TabCalc[[#This Row],[Scale]]</f>
        <v>5000</v>
      </c>
      <c r="CW24" s="407">
        <f ca="1">TabCalc[[#This Row],[ntoSell]]*TabCalc[[#This Row],[M]]</f>
        <v>138300</v>
      </c>
      <c r="CX24" s="400">
        <f ca="1">_xlfn.LET(_xlpm.nToSell,IF(TabCalc[[#This Row],[M]]-TabCalc[[#This Row],[A]]&lt;=0,"",INT(DesiredSaleGain/(TabCalc[[#This Row],[M]]-IF(TabCalc[[#This Row],[E]]&gt;0,0,TabCalc[[#This Row],[A]])))),IF(_xlpm.nToSell&lt;=TabCalc[[#This Row],[NAfter]],_xlpm.nToSell,0))</f>
        <v>700</v>
      </c>
      <c r="CY24" s="338">
        <f ca="1">IFERROR(TabCalc[[#This Row],[NMA]]*TabCalc[[#This Row],[M]],"")</f>
        <v>19362</v>
      </c>
      <c r="CZ24" s="337" cm="1">
        <f t="array" aca="1" ref="CZ24" ca="1">_xlfn.IFS(TabCalc[[#This Row],[M]]&gt;= TabCalc[[#This Row],[L_Sp]],(TabCalc[[#This Row],[M]]-TabCalc[[#This Row],[A]])*TabCalc[[#This Row],[NAfter]]*TabCalc[[#This Row],[Scale]],           TabCalc[[#This Row],[M]]&lt; TabCalc[[#This Row],[L_Sp]],(TabCalc[[#This Row],[M]]-TabCalc[[#This Row],[A]])*TabCalc[[#This Row],[NAfter]]*TabCalc[[#This Row],[Scale]],               TRUE,"")</f>
        <v>35695.530909090907</v>
      </c>
      <c r="DA24" s="90">
        <f ca="1">IFERROR((TabCalc[[#This Row],[M]]+TabCalc[[#This Row],[L_Bp]])/ABS(TabCalc[[#This Row],[L_Bp]])/(TODAY()-TabCalc[[#This Row],[L_Bdate]])*360,"")</f>
        <v>0.16999636759898162</v>
      </c>
      <c r="DB24" s="312">
        <f ca="1">MEDIAN(DataShift!F724:Z724)</f>
        <v>4.6969999999999998E-3</v>
      </c>
      <c r="DC24" s="312" t="str" cm="1">
        <f t="array" aca="1" ref="DC2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24" s="88" t="s">
        <v>21</v>
      </c>
      <c r="DN24" s="81">
        <v>1000</v>
      </c>
      <c r="DO24" s="317">
        <v>-15.7</v>
      </c>
    </row>
    <row r="25" spans="1:119">
      <c r="A25" s="120" t="str">
        <f ca="1">_xlfn.XLOOKUP(TabCalc[[#This Row],[Ticker]],[1]!RTData[Ticker symbol],[1]!RTData[Currency])</f>
        <v>GBp</v>
      </c>
      <c r="B25" s="121">
        <f ca="1">IF(TabCalc[[#This Row],[Cur]]="GBP",0.01,1)</f>
        <v>0.01</v>
      </c>
      <c r="C25" s="82">
        <f ca="1">_xlfn.XLOOKUP(TabCalc[[#This Row],[Ticker]],DM$3:DM$96,DN$3:DN$96)</f>
        <v>500000</v>
      </c>
      <c r="D25" s="1254">
        <f ca="1">_xlfn.XLOOKUP(TabCalc[[#This Row],[Ticker]],DM$3:DM$96,DO$3:DO$96)</f>
        <v>-157</v>
      </c>
      <c r="E25" s="121">
        <f t="shared" ca="1" si="0"/>
        <v>-785000</v>
      </c>
      <c r="F25" s="82">
        <f ca="1">TabCalc[[#This Row],[NAfter]]*TabCalc[[#This Row],[M]]*TabCalc[[#This Row],[Scale]]</f>
        <v>820000</v>
      </c>
      <c r="G25" s="82">
        <f ca="1">IFERROR(TabCalc[[#This Row],[SB]]-TabCalc[[#This Row],[SST]],TabCalc[[#This Row],[SB]])</f>
        <v>200000</v>
      </c>
      <c r="H25" s="535" t="str">
        <f ca="1">[1]!RTData[[#This Row],[Ticker symbol]]</f>
        <v>IAG</v>
      </c>
      <c r="I25" s="385">
        <f ca="1">[1]!RTData[[#This Row],[M-Price]]</f>
        <v>410</v>
      </c>
      <c r="J25" s="384">
        <v>26.097999999999999</v>
      </c>
      <c r="K25" s="383">
        <f>[1]!RTData[[#This Row],[1YT]]</f>
        <v>438.45612</v>
      </c>
      <c r="L25" s="384">
        <f ca="1">IF(OR(TabCalc[[#This Row],[NAfter]]=0,TabCalc[[#This Row],[EfCost]]&gt;0),0,TabCalc[[#This Row],[EfCost]]/TabCalc[[#This Row],[NAfter]]/TabCalc[[#This Row],[Scale]])</f>
        <v>0</v>
      </c>
      <c r="M25" s="744">
        <f ca="1">[1]!RTData[[#This Row],[Change%]]</f>
        <v>1.6108999999999998E-2</v>
      </c>
      <c r="N25" s="1172">
        <v>0</v>
      </c>
      <c r="O25" s="966">
        <f>TabCalc[[#This Row],[Up20]]-1+TabCalc[[#This Row],[Up20]]</f>
        <v>-1</v>
      </c>
      <c r="P25" s="966">
        <f>TabCalc[[#This Row],[Up20]]-TabCalc[[#This Row],[Up150]]</f>
        <v>-0.51351351351351349</v>
      </c>
      <c r="Q25" s="966">
        <v>0.51351351351351349</v>
      </c>
      <c r="R25" s="966">
        <f>TabCalc[[#This Row],[Up150]]-1+TabCalc[[#This Row],[Up150]]</f>
        <v>2.7027027027026973E-2</v>
      </c>
      <c r="S25" s="966">
        <f ca="1">IFERROR(SUMPRODUCT(DataShift!F1517:Z1517,DataShift!AB724:AV724)/SQRT(SUMPRODUCT(DataShift!F1517:Z1517,DataShift!F1517:Z1517)*SUMPRODUCT(DataShift!AB724:AV724,DataShift!AB724:AV724)),0)</f>
        <v>-0.73761597287881608</v>
      </c>
      <c r="T25" s="966">
        <f ca="1">IFERROR(SUMPRODUCT(DataShift!F1517:Z1517,DataShift!F725:Z725)/SQRT(SUMPRODUCT(DataShift!F1517:Z1517,DataShift!F1517:Z1517)*SUMPRODUCT(DataShift!F725:Z725,DataShift!F725:Z725)),0)</f>
        <v>0.18894135976148077</v>
      </c>
      <c r="U25" s="1107">
        <v>4000</v>
      </c>
      <c r="V25" s="1107">
        <v>1000</v>
      </c>
      <c r="W25" s="1107">
        <v>0</v>
      </c>
      <c r="X25" s="966" t="str">
        <f ca="1">IF(TabCalc[[#This Row],[EfCost]]+TabCalc[[#This Row],[M_V]]&lt;TabCalc[[#This Row],[NoT_GL]],"Pile","")</f>
        <v>Pile</v>
      </c>
      <c r="Y2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5" s="213">
        <f ca="1">MIN(TabCalc[[#This Row],[L_Bn]],TabCalc[[#This Row],[NAfter]])*(TabCalc[[#This Row],[M]]+TabCalc[[#This Row],[L_Bp]])*TabCalc[[#This Row],[Scale]]</f>
        <v>32197.600000000002</v>
      </c>
      <c r="AA25" s="210" cm="1">
        <f t="array" aca="1" ref="AA25" ca="1">_xlfn.XLOOKUP(TabCalc[[#This Row],[L_Bp]],INDIRECT("TabReg["&amp;TabCalc[[#This Row],[Ticker]]&amp;"2]"),INDIRECT("TabReg["&amp;TabCalc[[#This Row],[Ticker]]&amp;"]"))</f>
        <v>45748</v>
      </c>
      <c r="AB25" s="181" cm="1">
        <f t="array" aca="1" ref="AB25" ca="1">_xlfn.XLOOKUP(TabCalc[[#This Row],[L_Bp]],INDIRECT("TabReg["&amp;TabCalc[[#This Row],[Ticker]]&amp;"2]"),INDIRECT("TabReg["&amp;TabCalc[[#This Row],[Ticker]]&amp;"1]"))</f>
        <v>20000</v>
      </c>
      <c r="AC25" s="192" cm="1">
        <f t="array" aca="1" ref="AC25" ca="1">IFERROR(INDEX(INDIRECT("TabReg["&amp;TabCalc[[#This Row],[Ticker]]&amp;"2]"),    _xlfn.XMATCH(    MAX(    _xlfn._xlws.FILTER(INDIRECT("TabReg["&amp;TabCalc[[#This Row],[Ticker]]&amp;"]"), INDIRECT("TabReg["&amp;TabCalc[[#This Row],[Ticker]]&amp;"2]")&lt;0)     ), INDIRECT("TabReg["&amp;TabCalc[[#This Row],[Ticker]]&amp;"]"),      0)), "")</f>
        <v>-249.012</v>
      </c>
      <c r="AD25" s="213">
        <f ca="1">IFERROR(MIN(TabCalc[[#This Row],[L_B1n]],TabCalc[[#This Row],[NAfter]])*(TabCalc[[#This Row],[M]]+TabCalc[[#This Row],[L_B1p]])*TabCalc[[#This Row],[Scale]],"")</f>
        <v>25104.420000000006</v>
      </c>
      <c r="AE25" s="210" cm="1">
        <f t="array" aca="1" ref="AE2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45744</v>
      </c>
      <c r="AF25" s="181" cm="1">
        <f t="array" aca="1" ref="AF25" ca="1">IFERROR(_xlfn.XLOOKUP(TabCalc[[#This Row],[L_B1D]],INDIRECT("TabReg["&amp;TabCalc[[#This Row],[Ticker]]&amp;"]"),INDIRECT("TabReg["&amp;TabCalc[[#This Row],[Ticker]]&amp;"1]")),0)</f>
        <v>20000</v>
      </c>
      <c r="AG25" s="192" cm="1">
        <f t="array" aca="1" ref="AG25" ca="1">IFERROR(_xlfn.XLOOKUP(TabCalc[[#This Row],[L_B1D]],INDIRECT("TabReg["&amp;TabCalc[[#This Row],[Ticker]]&amp;"]"),INDIRECT("TabReg["&amp;TabCalc[[#This Row],[Ticker]]&amp;"2]")),0)</f>
        <v>-284.47789999999998</v>
      </c>
      <c r="AH25" s="302">
        <f ca="1">IFERROR(TabCalc[[#This Row],[L_Sn]]*(TabCalc[[#This Row],[L_Sp]]-TabCalc[[#This Row],[M]])*TabCalc[[#This Row],[Scale]],"")</f>
        <v>-760.00000000000239</v>
      </c>
      <c r="AI25" s="210" cm="1">
        <f t="array" aca="1" ref="AI25" ca="1">IFERROR(_xlfn.XLOOKUP(TabCalc[[#This Row],[L_Sp]],INDIRECT("TabReg["&amp;TabCalc[[#This Row],[Ticker]]&amp;"2]"),INDIRECT("TabReg["&amp;TabCalc[[#This Row],[Ticker]]&amp;"]")),0)</f>
        <v>45954</v>
      </c>
      <c r="AJ25" s="181" cm="1">
        <f t="array" aca="1" ref="AJ25" ca="1">IFERROR(_xlfn.XLOOKUP(TabCalc[[#This Row],[L_Sp]],INDIRECT("TabReg["&amp;TabCalc[[#This Row],[Ticker]]&amp;"2]"),INDIRECT("TabReg["&amp;TabCalc[[#This Row],[Ticker]]&amp;"1]")),0)</f>
        <v>20000</v>
      </c>
      <c r="AK25" s="192" cm="1">
        <f t="array" aca="1" ref="AK25" ca="1">IFERROR(INDEX(INDIRECT("TabReg["&amp;TabCalc[[#This Row],[Ticker]]&amp;"2]"), _xlfn.XMATCH(MAX(_xlfn._xlws.FILTER(INDIRECT("TabReg["&amp;TabCalc[[#This Row],[Ticker]]&amp;"]"), INDIRECT("TabReg["&amp;TabCalc[[#This Row],[Ticker]]&amp;"2]")&gt;0)), INDIRECT("TabReg["&amp;TabCalc[[#This Row],[Ticker]]&amp;"]"), 0)), 0)</f>
        <v>406.2</v>
      </c>
      <c r="AL25" s="214">
        <f ca="1">IFERROR(TabCalc[[#This Row],[L_S1n]]*(TabCalc[[#This Row],[L_S1p]]-TabCalc[[#This Row],[M]])*TabCalc[[#This Row],[Scale]],0)</f>
        <v>-499.00000000000091</v>
      </c>
      <c r="AM25" s="210" cm="1">
        <f t="array" aca="1" ref="AM2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45953</v>
      </c>
      <c r="AN25" s="181" cm="1">
        <f t="array" aca="1" ref="AN25" ca="1">IFERROR(_xlfn.XLOOKUP(TabCalc[[#This Row],[L_S1D]],INDIRECT("TabReg["&amp;TabCalc[[#This Row],[Ticker]]&amp;"]"),INDIRECT("TabReg["&amp;TabCalc[[#This Row],[Ticker]]&amp;"1]")),0)</f>
        <v>10000</v>
      </c>
      <c r="AO25" s="384" cm="1">
        <f t="array" aca="1" ref="AO25" ca="1">IFERROR(_xlfn.XLOOKUP(TabCalc[[#This Row],[L_S1D]],INDIRECT("TabReg["&amp;TabCalc[[#This Row],[Ticker]]&amp;"]"),INDIRECT("TabReg["&amp;TabCalc[[#This Row],[Ticker]]&amp;"2]")),0)</f>
        <v>405.01</v>
      </c>
      <c r="AP25" s="336">
        <f ca="1">_xlfn.LET(_xlpm.MVOpen,[1]!RTData[[#This Row],[Open]]*TabCalc[[#This Row],[NAfter]],_xlpm.MVNow,TabCalc[[#This Row],[M]]*TabCalc[[#This Row],[NAfter]],_xlpm.MVNow-_xlpm.MVOpen)*TabCalc[[#This Row],[Scale]]</f>
        <v>4800</v>
      </c>
      <c r="AQ25" s="336">
        <f ca="1">_xlfn.LET(_xlpm.MVToday,DataShift!AV525,         _xlpm.MVY,DataShift!AU526,        _xlpm.MVYY, DataShift!AT526,                                IF(_xlpm.MVToday=_xlpm.MVY,_xlpm.MVY-_xlpm.MVYY,_xlpm.MVToday-_xlpm.MVY))</f>
        <v>3300</v>
      </c>
      <c r="AR25" s="336">
        <f ca="1">_xlfn.LET(_xlpm.MVToday,DataShift!AV525,         _xlpm.MVY,DataShift!AU526,        _xlpm.MVYY, DataShift!AT526,         _xlpm.MVYYY, DataShift!AS526,                      IF(_xlpm.MVToday=_xlpm.MVY,      _xlpm.MVYY-_xlpm.MVYYY,          _xlpm.MVY-_xlpm.MVYY))</f>
        <v>1210</v>
      </c>
      <c r="AS25" s="1078">
        <f ca="1">TabCalc[[#This Row],[Y]]/TabCalc[[#This Row],[M]]</f>
        <v>1.0694051707317074</v>
      </c>
      <c r="AT25" s="299" t="str" cm="1">
        <f t="array" aca="1" ref="AT25" ca="1">IFERROR(_xlfn.IFS(          TabCalc[[#This Row],[E]]&gt;0, "Free Trade",      TabCalc[[#This Row],[A]]&lt;MIN(TabCalc[[#This Row],[L_Sp]],TabCalc[[#This Row],[M]]), "Buy",            TabCalc[[#This Row],[M]]&lt;TabCalc[[#This Row],[L_Sp]],       "Refill",       TabCalc[[#This Row],[M]]&gt;TabCalc[[#This Row],[L_Sp]],"S_more"),"")</f>
        <v>Buy</v>
      </c>
      <c r="AU25" s="299" t="str">
        <f ca="1">IF(           AND(TabCalc[[#This Row],[E]]&lt;=0,          TabCalc[[#This Row],[A]]&gt;MIN(TabCalc[[#This Row],[M]],TabCalc[[#This Row],[L_Sp]]),             TabCalc[[#This Row],[L_Sp]]&lt;=TabCalc[[#This Row],[M]]),                       "S_more","")</f>
        <v/>
      </c>
      <c r="AV25" s="82" t="str" cm="1">
        <f t="array" aca="1" ref="AV25" ca="1">IFERROR(_xlfn.IFS(TabCalc[[#This Row],[E]]&gt;0,"Free trade",                 TabCalc[[#This Row],[A]]&lt;MAX(ABS(TabCalc[[#This Row],[L_Bp]]),TabCalc[[#This Row],[A]]),"Sell",             TabCalc[[#This Row],[M]]&gt;ABS(TabCalc[[#This Row],[L_Bp]]),"Resell",             TabCalc[[#This Row],[M]]&lt;ABS(TabCalc[[#This Row],[L_Bp]]),"B_more"),"")</f>
        <v>Sell</v>
      </c>
      <c r="AW25" s="82">
        <f ca="1">TabCalc[[#This Row],[NAfter]]-TabCalc[[#This Row],[Nbegin]]</f>
        <v>-300000</v>
      </c>
      <c r="AX25" s="307">
        <f ca="1">IFERROR((TabCalc[[#This Row],[M]]-TabCalc[[#This Row],[Y]])*(TabCalc[[#This Row],[M]]-TabCalc[[#This Row],[Y]])*(TabCalc[[#This Row],[M]]-TabCalc[[#This Row],[Y]])/(TabCalc[[#This Row],[Y]]*TabCalc[[#This Row],[M]]),"")</f>
        <v>-0.12817905273278729</v>
      </c>
      <c r="AY25" s="82">
        <f t="shared" ca="1" si="1"/>
        <v>300000</v>
      </c>
      <c r="AZ25" s="90">
        <f ca="1">[1]!RTData[[#This Row],[V/VA]]</f>
        <v>1.2126103721618735</v>
      </c>
      <c r="BA25" s="90" t="str" cm="1">
        <f t="array" aca="1" ref="BA25" ca="1">IFERROR(_xlfn.IFS(TabCalc[[#This Row],[Cur]]="USD",Timer!F$27,TabCalc[[#This Row],[Cur]]="EUR",Timer!F$18,TabCalc[[#This Row],[Cur]]="GBP",Timer!F$12,TabCalc[[#This Row],[Cur]]="CAD",Timer!F$27,TabCalc[[#This Row],[Cur]]="JPY",Timer!F$31,TabCalc[[#This Row],[Cur]]="CHF",Timer!F$18),"Timing")</f>
        <v>None-Working Day</v>
      </c>
      <c r="BB25" s="90">
        <f ca="1">IF(ISNUMBER(TabCalc[[#This Row],[TimeEX]]),TabCalc[[#This Row],[V/VA]]/TabCalc[[#This Row],[TimeEX]],TabCalc[[#This Row],[V/VA]])</f>
        <v>1.2126103721618735</v>
      </c>
      <c r="BC25" s="87" cm="1">
        <f t="array" aca="1" ref="BC25" ca="1">INDEX(TabReg[], 1, _xlfn.XMATCH(TabCalc[[#This Row],[Ticker]]&amp;1, TabReg[#Headers], 0))</f>
        <v>500000</v>
      </c>
      <c r="BD25" s="161">
        <f ca="1">TabCalc[[#This Row],[Nbegin]]*TabCalc[[#This Row],[M]]*TabCalc[[#This Row],[Scale]]+TabCalc[[#This Row],[ValueBegin]]</f>
        <v>1265000</v>
      </c>
      <c r="BE25" s="336" t="str" cm="1">
        <f t="array" aca="1" ref="BE25" ca="1">_xlfn.IFS(TabCalc[[#This Row],[Cost+Gain]]&gt;0,"Free",             TabCalc[[#This Row],[GL]]&gt;0,"Gainer",                TRUE,"Looser")</f>
        <v>Free</v>
      </c>
      <c r="BF25" s="161">
        <f ca="1">TabCalc[[#This Row],[Tot_Paid]]-TabCalc[[#This Row],[ValueBegin]]</f>
        <v>-810795.28814799991</v>
      </c>
      <c r="BG25" s="337">
        <f ca="1">IF(TabCalc[[#This Row],[EfCost]]&gt;TabCalc[[#This Row],[ValueBegin]],       0,        TabCalc[[#This Row],[EfCost]]-TabCalc[[#This Row],[ValueBegin]]*(1+Commission))</f>
        <v>0</v>
      </c>
      <c r="BH25" s="338">
        <f ca="1">TabCalc[[#This Row],[M_V]]+TabCalc[[#This Row],[ValueBegin]]</f>
        <v>35000</v>
      </c>
      <c r="BI25" s="161" cm="1">
        <f t="array" aca="1" ref="BI25" ca="1">SUMPRODUCT(_xlfn._xlws.FILTER(INDIRECT("TabReg["&amp;TabCalc[[#This Row],[Ticker]]&amp;"1]") * INDIRECT("TabReg["&amp;TabCalc[[#This Row],[Ticker]]&amp;"2]"), INDIRECT("TabReg["&amp;TabCalc[[#This Row],[Ticker]]&amp;"2]")&lt;0))*(1+Commission)*TabCalc[[#This Row],[Scale]]</f>
        <v>-1595795.2881479999</v>
      </c>
      <c r="BJ25" s="161" cm="1">
        <f t="array" aca="1" ref="BJ25" ca="1">SUMPRODUCT(IF(INDIRECT("TabReg["&amp;TabCalc[[#This Row],[Ticker]]&amp;"2]") ="", 0, INDIRECT("TabReg["&amp;TabCalc[[#This Row],[Ticker]]&amp;"1]") * INDIRECT("TabReg["&amp;TabCalc[[#This Row],[Ticker]]&amp;"2]") ))*TabCalc[[#This Row],[Scale]]</f>
        <v>358023.16710000002</v>
      </c>
      <c r="BK25" s="161" cm="1">
        <f t="array" aca="1" ref="BK2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1944610.9787175399</v>
      </c>
      <c r="BL25" s="161">
        <f ca="1">TabCalc[[#This Row],[M_V]]+TabCalc[[#This Row],[EfCost]]</f>
        <v>1178023.1671</v>
      </c>
      <c r="BM25" s="161">
        <f ca="1">IF(        OR( TabCalc[[#This Row],[GL]]&gt;ABS(TabCalc[[#This Row],[EfCost]]),TabCalc[[#This Row],[NAfter]]=0),             TabCalc[[#This Row],[GL]],     0)</f>
        <v>1178023.1671</v>
      </c>
      <c r="BN25" s="161" cm="1">
        <f t="array" aca="1" ref="BN25" ca="1">SUMPRODUCT(_xlfn._xlws.FILTER(IF(INDIRECT("TabReg["&amp;TabCalc[[#This Row],[Ticker]]&amp;"2]") ="", 0, INDIRECT("TabReg["&amp;TabCalc[[#This Row],[Ticker]]&amp;"1]")  ),  INDIRECT("TabReg["&amp;TabCalc[[#This Row],[Ticker]]&amp;"2]") &lt; 0))</f>
        <v>920000</v>
      </c>
      <c r="BO25" s="161">
        <f ca="1">TabCalc[[#This Row],[SB]]-TabCalc[[#This Row],[Nbegin]]</f>
        <v>420000</v>
      </c>
      <c r="BP25" s="161" cm="1">
        <f t="array" aca="1" ref="BP25" ca="1">IFERROR(SUMPRODUCT(_xlfn._xlws.FILTER(IF(INDIRECT("TabReg["&amp;TabCalc[[#This Row],[Ticker]]&amp;"2]") ="", 0, INDIRECT("TabReg["&amp;TabCalc[[#This Row],[Ticker]]&amp;"1]")  ),  INDIRECT("TabReg["&amp;TabCalc[[#This Row],[Ticker]]&amp;"2]") &gt; 0)),0)</f>
        <v>720000</v>
      </c>
      <c r="BQ2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5" s="176" t="str">
        <f ca="1">IF(TabCalc[[#This Row],[EfCost]]+TabCalc[[#This Row],[M_V]]&lt;TabCalc[[#This Row],[NoT_GL]],"Pile","")</f>
        <v>Pile</v>
      </c>
      <c r="BS25" s="167">
        <f ca="1">[1]!RTData[[#This Row],[Last trade time]]</f>
        <v>45954.639900659378</v>
      </c>
      <c r="BT25" s="177">
        <f ca="1">(TabCalc[[#This Row],[ValueBegin]]+(TabCalc[[#This Row],[M]]-TabCalc[[#This Row],[A]])*TabCalc[[#This Row],[NAfter]])*TabCalc[[#This Row],[Scale]]</f>
        <v>759954</v>
      </c>
      <c r="BU25" s="189" cm="1">
        <f t="array" aca="1" ref="BU25" ca="1">_xlfn.XLOOKUP(TabCalc[[#This Row],[Ticker]],TabReg[[#Headers],[AAPL]:[UnknownX28]],Reg!B$72:KF$72)+3</f>
        <v>47</v>
      </c>
      <c r="BV25" s="190" cm="1">
        <f t="array" aca="1" ref="BV25" ca="1">_xlfn.XLOOKUP(TabCalc[[#This Row],[Ticker]],TabReg[[#Headers],[AAPL]:[UnknownX28]],Reg!B$73:KF$73)+2</f>
        <v>72</v>
      </c>
      <c r="BW25" s="191">
        <f ca="1">IFERROR(MAX(TabCalc[[#This Row],[Max_SD]],TabCalc[[#This Row],[Max_PD]]),0)</f>
        <v>45954</v>
      </c>
      <c r="BX25" s="191" t="str" cm="1">
        <f t="array" aca="1" ref="BX25" ca="1">_xlfn.IFS(TabCalc[[#This Row],[L_TP]]&lt;0,"Purchase",TabCalc[[#This Row],[L_TP]]&gt;0,"Sale")</f>
        <v>Sale</v>
      </c>
      <c r="BY25" s="190" cm="1">
        <f t="array" aca="1" ref="BY25" ca="1">INDEX(Reg!$A$1:$KF$73,TabCalc[[#This Row],[L_I1]],TabCalc[[#This Row],[L_I2]])</f>
        <v>20000</v>
      </c>
      <c r="BZ25" s="192" cm="1">
        <f t="array" aca="1" ref="BZ25" ca="1">INDEX(Reg!$A$1:$KF$73,TabCalc[[#This Row],[L_I1]],TabCalc[[#This Row],[L_I2]]+1)</f>
        <v>406.2</v>
      </c>
      <c r="CA25" s="161">
        <f ca="1">TabCalc[[#This Row],[NAfter]]*(TabCalc[[#This Row],[M]]-IF(TabCalc[[#This Row],[E]]&gt;0,0,TabCalc[[#This Row],[A]]))</f>
        <v>76780400</v>
      </c>
      <c r="CB25" s="167" cm="1">
        <f t="array" aca="1" ref="CB25" ca="1">IFERROR(MIN(_xlfn._xlws.FILTER(INDIRECT("TabReg["&amp;TabCalc[[#This Row],[Ticker]]&amp;"]"), INDIRECT("TabReg["&amp;TabCalc[[#This Row],[Ticker]]&amp;"2]")&gt;0)),0)</f>
        <v>45344</v>
      </c>
      <c r="CC25" s="178" cm="1">
        <f t="array" aca="1" ref="CC25" ca="1">IFERROR(MIN(_xlfn._xlws.FILTER(INDIRECT("TabReg["&amp;TabCalc[[#This Row],[Ticker]]&amp;"1]"), INDIRECT("TabReg["&amp;TabCalc[[#This Row],[Ticker]]&amp;"2]")&gt;0)),0)</f>
        <v>250</v>
      </c>
      <c r="CD25" s="173" cm="1">
        <f t="array" aca="1" ref="CD25" ca="1">IFERROR(MIN(_xlfn._xlws.FILTER(INDIRECT("TabReg["&amp;TabCalc[[#This Row],[Ticker]]&amp;"2]"), INDIRECT("TabReg["&amp;TabCalc[[#This Row],[Ticker]]&amp;"2]")&gt;0)),0)</f>
        <v>152</v>
      </c>
      <c r="CE25" s="167" cm="1">
        <f t="array" aca="1" ref="CE25" ca="1">IFERROR(MAX(_xlfn._xlws.FILTER(INDIRECT("TabReg["&amp;TabCalc[[#This Row],[Ticker]]&amp;"]"), INDIRECT("TabReg["&amp;TabCalc[[#This Row],[Ticker]]&amp;"2]")&gt;0)),0)</f>
        <v>45954</v>
      </c>
      <c r="CF25" s="178" cm="1">
        <f t="array" aca="1" ref="CF25" ca="1">IFERROR(MAX(_xlfn._xlws.FILTER(INDIRECT("TabReg["&amp;TabCalc[[#This Row],[Ticker]]&amp;"1]"), INDIRECT("TabReg["&amp;TabCalc[[#This Row],[Ticker]]&amp;"2]")&gt;0)),0)</f>
        <v>100000</v>
      </c>
      <c r="CG25" s="173" cm="1">
        <f t="array" aca="1" ref="CG25" ca="1">IFERROR(MAX(_xlfn._xlws.FILTER(INDIRECT("TabReg["&amp;TabCalc[[#This Row],[Ticker]]&amp;"2]"), INDIRECT("TabReg["&amp;TabCalc[[#This Row],[Ticker]]&amp;"2]")&gt;0)),0)</f>
        <v>414.7</v>
      </c>
      <c r="CH25" s="167" cm="1">
        <f t="array" aca="1" ref="CH25" ca="1">MIN(_xlfn._xlws.FILTER(INDIRECT("TabReg["&amp;TabCalc[[#This Row],[Ticker]]&amp;"]"), INDIRECT("TabReg["&amp;TabCalc[[#This Row],[Ticker]]&amp;"2]")&lt;0))</f>
        <v>40544</v>
      </c>
      <c r="CI25" s="177" cm="1">
        <f t="array" aca="1" ref="CI25" ca="1">MIN(_xlfn._xlws.FILTER(INDIRECT("TabReg["&amp;TabCalc[[#This Row],[Ticker]]&amp;"1]"), INDIRECT("TabReg["&amp;TabCalc[[#This Row],[Ticker]]&amp;"2]")&lt;0))</f>
        <v>1000</v>
      </c>
      <c r="CJ25" s="173" cm="1">
        <f t="array" aca="1" ref="CJ25" ca="1">MIN(_xlfn._xlws.FILTER(INDIRECT("TabReg["&amp;TabCalc[[#This Row],[Ticker]]&amp;"2]"), INDIRECT("TabReg["&amp;TabCalc[[#This Row],[Ticker]]&amp;"2]")&lt;0))</f>
        <v>-347</v>
      </c>
      <c r="CK25" s="167" cm="1">
        <f t="array" aca="1" ref="CK25" ca="1">MAX(_xlfn._xlws.FILTER(INDIRECT("TabReg["&amp;TabCalc[[#This Row],[Ticker]]&amp;"]"), INDIRECT("TabReg["&amp;TabCalc[[#This Row],[Ticker]]&amp;"2]")&lt;0))</f>
        <v>45748</v>
      </c>
      <c r="CL25" s="177" cm="1">
        <f t="array" aca="1" ref="CL25" ca="1">MAX(_xlfn._xlws.FILTER(INDIRECT("TabReg["&amp;TabCalc[[#This Row],[Ticker]]&amp;"1]"), INDIRECT("TabReg["&amp;TabCalc[[#This Row],[Ticker]]&amp;"2]")&lt;0))</f>
        <v>500000</v>
      </c>
      <c r="CM25" s="173" cm="1">
        <f t="array" aca="1" ref="CM25" ca="1">MAX(_xlfn._xlws.FILTER(INDIRECT("TabReg["&amp;TabCalc[[#This Row],[Ticker]]&amp;"2]"), INDIRECT("TabReg["&amp;TabCalc[[#This Row],[Ticker]]&amp;"2]")&lt;0))</f>
        <v>-142.5</v>
      </c>
      <c r="CN25" s="167" cm="1">
        <f t="array" aca="1" ref="CN25" ca="1">IFERROR(_xlfn.XLOOKUP(TabCalc[[#This Row],[BS2P]],INDIRECT("TabReg["&amp;TabCalc[[#This Row],[Ticker]]&amp;"2]"),INDIRECT("TabReg["&amp;TabCalc[[#This Row],[Ticker]]&amp;"]")),0)</f>
        <v>45954</v>
      </c>
      <c r="CO25" s="178" cm="1">
        <f t="array" aca="1" ref="CO25" ca="1">IFERROR(_xlfn.XLOOKUP(TabCalc[[#This Row],[BS2P]],INDIRECT("TabReg["&amp;TabCalc[[#This Row],[Ticker]]&amp;"2]"),INDIRECT("TabReg["&amp;TabCalc[[#This Row],[Ticker]]&amp;"1]")),0)</f>
        <v>20000</v>
      </c>
      <c r="CP25" s="173">
        <f ca="1">_xlfn.MAXIFS(INDIRECT("TabReg["&amp;TabCalc[[#This Row],[Ticker]]&amp;"2]"), INDIRECT("TabReg["&amp;TabCalc[[#This Row],[Ticker]]&amp;"2]"), "&lt;" &amp; MAX(INDIRECT("TabReg["&amp;TabCalc[[#This Row],[Ticker]]&amp;"2]")))</f>
        <v>406.2</v>
      </c>
      <c r="CQ25" s="167" cm="1">
        <f t="array" aca="1" ref="CQ25" ca="1">IFERROR(_xlfn.XLOOKUP(TabCalc[[#This Row],[WB2P]],INDIRECT("TabReg["&amp;TabCalc[[#This Row],[Ticker]]&amp;"2]"),INDIRECT("TabReg["&amp;TabCalc[[#This Row],[Ticker]]&amp;"]")),0)</f>
        <v>45705</v>
      </c>
      <c r="CR25" s="178" cm="1">
        <f t="array" aca="1" ref="CR25" ca="1">IFERROR(_xlfn.XLOOKUP(TabCalc[[#This Row],[WB2P]],INDIRECT("TabReg["&amp;TabCalc[[#This Row],[Ticker]]&amp;"2]"),INDIRECT("TabReg["&amp;TabCalc[[#This Row],[Ticker]]&amp;"1]")),0)</f>
        <v>10000</v>
      </c>
      <c r="CS25" s="173">
        <f ca="1">_xlfn.MINIFS(INDIRECT("TabReg["&amp;TabCalc[[#This Row],[Ticker]]&amp;"2]"), INDIRECT("TabReg["&amp;TabCalc[[#This Row],[Ticker]]&amp;"2]"), "&gt;" &amp; MIN(INDIRECT("TabReg["&amp;TabCalc[[#This Row],[Ticker]]&amp;"2]")))</f>
        <v>-337</v>
      </c>
      <c r="CT25" s="405">
        <f ca="1">IF(TabCalc[[#This Row],[M]]&lt;TabCalc[[#This Row],[L_Sp]],DesiredBuyGain/(TabCalc[[#This Row],[L_Sp]]-TabCalc[[#This Row],[M]]),0)</f>
        <v>0</v>
      </c>
      <c r="CU25" s="406">
        <f ca="1">IF(TabCalc[[#This Row],[ntoBuy]]*TabCalc[[#This Row],[M]]&lt;=0,0,TabCalc[[#This Row],[ntoBuy]]*TabCalc[[#This Row],[M]])</f>
        <v>0</v>
      </c>
      <c r="CV25" s="406">
        <f ca="1">IF(TabCalc[[#This Row],[M]]&gt;ABS(TabCalc[[#This Row],[L_Bp]]),MIN(TabCalc[[#This Row],[NAfter]],DesiredSaleGain/(TabCalc[[#This Row],[M]]+TabCalc[[#This Row],[L_Bp]])),0)/TabCalc[[#This Row],[Scale]]</f>
        <v>3105.821551916913</v>
      </c>
      <c r="CW25" s="407">
        <f ca="1">TabCalc[[#This Row],[ntoSell]]*TabCalc[[#This Row],[M]]</f>
        <v>1273386.8362859343</v>
      </c>
      <c r="CX25" s="400">
        <f ca="1">_xlfn.LET(_xlpm.nToSell,IF(TabCalc[[#This Row],[M]]-TabCalc[[#This Row],[A]]&lt;=0,"",INT(DesiredSaleGain/(TabCalc[[#This Row],[M]]-IF(TabCalc[[#This Row],[E]]&gt;0,0,TabCalc[[#This Row],[A]])))),IF(_xlpm.nToSell&lt;=TabCalc[[#This Row],[NAfter]],_xlpm.nToSell,0))</f>
        <v>13</v>
      </c>
      <c r="CY25" s="338">
        <f ca="1">IFERROR(TabCalc[[#This Row],[NMA]]*TabCalc[[#This Row],[M]],"")</f>
        <v>5330</v>
      </c>
      <c r="CZ25" s="337" cm="1">
        <f t="array" aca="1" ref="CZ25" ca="1">_xlfn.IFS(TabCalc[[#This Row],[M]]&gt;= TabCalc[[#This Row],[L_Sp]],(TabCalc[[#This Row],[M]]-TabCalc[[#This Row],[A]])*TabCalc[[#This Row],[NAfter]]*TabCalc[[#This Row],[Scale]],           TabCalc[[#This Row],[M]]&lt; TabCalc[[#This Row],[L_Sp]],(TabCalc[[#This Row],[M]]-TabCalc[[#This Row],[A]])*TabCalc[[#This Row],[NAfter]]*TabCalc[[#This Row],[Scale]],               TRUE,"")</f>
        <v>767804</v>
      </c>
      <c r="DA25" s="90">
        <f ca="1">IFERROR((TabCalc[[#This Row],[M]]+TabCalc[[#This Row],[L_Bp]])/ABS(TabCalc[[#This Row],[L_Bp]])/(TODAY()-TabCalc[[#This Row],[L_Bdate]])*360,"")</f>
        <v>1.1189544155425319</v>
      </c>
      <c r="DB25" s="312">
        <f ca="1">MEDIAN(DataShift!F725:Z725)</f>
        <v>6.5180000000000004E-3</v>
      </c>
      <c r="DC25" s="312" t="str" cm="1">
        <f t="array" aca="1" ref="DC2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25" s="88" t="s">
        <v>22</v>
      </c>
      <c r="DN25" s="81">
        <v>500000</v>
      </c>
      <c r="DO25" s="317">
        <v>-157</v>
      </c>
    </row>
    <row r="26" spans="1:119">
      <c r="A26" s="120" t="str">
        <f ca="1">_xlfn.XLOOKUP(TabCalc[[#This Row],[Ticker]],[1]!RTData[Ticker symbol],[1]!RTData[Currency])</f>
        <v>USD</v>
      </c>
      <c r="B26" s="121">
        <f ca="1">IF(TabCalc[[#This Row],[Cur]]="GBP",0.01,1)</f>
        <v>1</v>
      </c>
      <c r="C26" s="82">
        <f ca="1">_xlfn.XLOOKUP(TabCalc[[#This Row],[Ticker]],DM$3:DM$96,DN$3:DN$96)</f>
        <v>5000</v>
      </c>
      <c r="D26" s="1254">
        <f ca="1">_xlfn.XLOOKUP(TabCalc[[#This Row],[Ticker]],DM$3:DM$96,DO$3:DO$96)</f>
        <v>-35.54</v>
      </c>
      <c r="E26" s="121">
        <f t="shared" ca="1" si="0"/>
        <v>-177700</v>
      </c>
      <c r="F26" s="82">
        <f ca="1">TabCalc[[#This Row],[NAfter]]*TabCalc[[#This Row],[M]]*TabCalc[[#This Row],[Scale]]</f>
        <v>335550</v>
      </c>
      <c r="G26" s="82">
        <f ca="1">IFERROR(TabCalc[[#This Row],[SB]]-TabCalc[[#This Row],[SST]],TabCalc[[#This Row],[SB]])</f>
        <v>5000</v>
      </c>
      <c r="H26" s="535" t="str">
        <f ca="1">[1]!RTData[[#This Row],[Ticker symbol]]</f>
        <v>KR</v>
      </c>
      <c r="I26" s="385">
        <f ca="1">[1]!RTData[[#This Row],[M-Price]]</f>
        <v>67.11</v>
      </c>
      <c r="J26" s="384">
        <v>218.24453636363637</v>
      </c>
      <c r="K26" s="383">
        <f>[1]!RTData[[#This Row],[1YT]]</f>
        <v>76.272729999999996</v>
      </c>
      <c r="L26" s="384">
        <f ca="1">IF(OR(TabCalc[[#This Row],[NAfter]]=0,TabCalc[[#This Row],[EfCost]]&gt;0),0,TabCalc[[#This Row],[EfCost]]/TabCalc[[#This Row],[NAfter]]/TabCalc[[#This Row],[Scale]])</f>
        <v>-45.246402000000003</v>
      </c>
      <c r="M26" s="744">
        <f ca="1">[1]!RTData[[#This Row],[Change%]]</f>
        <v>-2.2574999999999998E-2</v>
      </c>
      <c r="N26" s="1172">
        <v>0</v>
      </c>
      <c r="O26" s="966">
        <f>TabCalc[[#This Row],[Up20]]-1+TabCalc[[#This Row],[Up20]]</f>
        <v>-1</v>
      </c>
      <c r="P26" s="966">
        <f>TabCalc[[#This Row],[Up20]]-TabCalc[[#This Row],[Up150]]</f>
        <v>-0.63703703703703707</v>
      </c>
      <c r="Q26" s="966">
        <v>0.63703703703703707</v>
      </c>
      <c r="R26" s="966">
        <f>TabCalc[[#This Row],[Up150]]-1+TabCalc[[#This Row],[Up150]]</f>
        <v>0.27407407407407414</v>
      </c>
      <c r="S26" s="966">
        <f ca="1">IFERROR(SUMPRODUCT(DataShift!F1518:Z1518,DataShift!AB725:AV725)/SQRT(SUMPRODUCT(DataShift!F1518:Z1518,DataShift!F1518:Z1518)*SUMPRODUCT(DataShift!AB725:AV725,DataShift!AB725:AV725)),0)</f>
        <v>-0.53071098945809625</v>
      </c>
      <c r="T26" s="966">
        <f ca="1">IFERROR(SUMPRODUCT(DataShift!F1518:Z1518,DataShift!F726:Z726)/SQRT(SUMPRODUCT(DataShift!F1518:Z1518,DataShift!F1518:Z1518)*SUMPRODUCT(DataShift!F726:Z726,DataShift!F726:Z726)),0)</f>
        <v>4.3886943342163524E-2</v>
      </c>
      <c r="U26" s="1107">
        <v>220000</v>
      </c>
      <c r="V26" s="1107">
        <v>0</v>
      </c>
      <c r="W26" s="1107">
        <v>0</v>
      </c>
      <c r="X26" s="966" t="str">
        <f ca="1">IF(TabCalc[[#This Row],[EfCost]]+TabCalc[[#This Row],[M_V]]&lt;TabCalc[[#This Row],[NoT_GL]],"Pile","")</f>
        <v>Pile</v>
      </c>
      <c r="Y2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77,472 = $ 5,199,145</v>
      </c>
      <c r="Z26" s="213">
        <f ca="1">MIN(TabCalc[[#This Row],[L_Bn]],TabCalc[[#This Row],[NAfter]])*(TabCalc[[#This Row],[M]]+TabCalc[[#This Row],[L_Bp]])*TabCalc[[#This Row],[Scale]]</f>
        <v>114.99999999999488</v>
      </c>
      <c r="AA26" s="210" cm="1">
        <f t="array" aca="1" ref="AA26" ca="1">_xlfn.XLOOKUP(TabCalc[[#This Row],[L_Bp]],INDIRECT("TabReg["&amp;TabCalc[[#This Row],[Ticker]]&amp;"2]"),INDIRECT("TabReg["&amp;TabCalc[[#This Row],[Ticker]]&amp;"]"))</f>
        <v>45954</v>
      </c>
      <c r="AB26" s="181" cm="1">
        <f t="array" aca="1" ref="AB26" ca="1">_xlfn.XLOOKUP(TabCalc[[#This Row],[L_Bp]],INDIRECT("TabReg["&amp;TabCalc[[#This Row],[Ticker]]&amp;"2]"),INDIRECT("TabReg["&amp;TabCalc[[#This Row],[Ticker]]&amp;"1]"))</f>
        <v>1000</v>
      </c>
      <c r="AC26" s="192" cm="1">
        <f t="array" aca="1" ref="AC26" ca="1">IFERROR(INDEX(INDIRECT("TabReg["&amp;TabCalc[[#This Row],[Ticker]]&amp;"2]"),    _xlfn.XMATCH(    MAX(    _xlfn._xlws.FILTER(INDIRECT("TabReg["&amp;TabCalc[[#This Row],[Ticker]]&amp;"]"), INDIRECT("TabReg["&amp;TabCalc[[#This Row],[Ticker]]&amp;"2]")&lt;0)     ), INDIRECT("TabReg["&amp;TabCalc[[#This Row],[Ticker]]&amp;"]"),      0)), "")</f>
        <v>-66.995000000000005</v>
      </c>
      <c r="AD26" s="213">
        <f ca="1">IFERROR(MIN(TabCalc[[#This Row],[L_B1n]],TabCalc[[#This Row],[NAfter]])*(TabCalc[[#This Row],[M]]+TabCalc[[#This Row],[L_B1p]])*TabCalc[[#This Row],[Scale]],"")</f>
        <v>-2505.8000000000061</v>
      </c>
      <c r="AE26" s="210" cm="1">
        <f t="array" aca="1" ref="AE2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45950</v>
      </c>
      <c r="AF26" s="181" cm="1">
        <f t="array" aca="1" ref="AF26" ca="1">IFERROR(_xlfn.XLOOKUP(TabCalc[[#This Row],[L_B1D]],INDIRECT("TabReg["&amp;TabCalc[[#This Row],[Ticker]]&amp;"]"),INDIRECT("TabReg["&amp;TabCalc[[#This Row],[Ticker]]&amp;"1]")),0)</f>
        <v>1340</v>
      </c>
      <c r="AG26" s="192" cm="1">
        <f t="array" aca="1" ref="AG26" ca="1">IFERROR(_xlfn.XLOOKUP(TabCalc[[#This Row],[L_B1D]],INDIRECT("TabReg["&amp;TabCalc[[#This Row],[Ticker]]&amp;"]"),INDIRECT("TabReg["&amp;TabCalc[[#This Row],[Ticker]]&amp;"2]")),0)</f>
        <v>-68.98</v>
      </c>
      <c r="AH26" s="302">
        <f ca="1">IFERROR(TabCalc[[#This Row],[L_Sn]]*(TabCalc[[#This Row],[L_Sp]]-TabCalc[[#This Row],[M]])*TabCalc[[#This Row],[Scale]],"")</f>
        <v>4709.9999999999936</v>
      </c>
      <c r="AI26" s="210" cm="1">
        <f t="array" aca="1" ref="AI26" ca="1">IFERROR(_xlfn.XLOOKUP(TabCalc[[#This Row],[L_Sp]],INDIRECT("TabReg["&amp;TabCalc[[#This Row],[Ticker]]&amp;"2]"),INDIRECT("TabReg["&amp;TabCalc[[#This Row],[Ticker]]&amp;"]")),0)</f>
        <v>45828</v>
      </c>
      <c r="AJ26" s="181" cm="1">
        <f t="array" aca="1" ref="AJ26" ca="1">IFERROR(_xlfn.XLOOKUP(TabCalc[[#This Row],[L_Sp]],INDIRECT("TabReg["&amp;TabCalc[[#This Row],[Ticker]]&amp;"2]"),INDIRECT("TabReg["&amp;TabCalc[[#This Row],[Ticker]]&amp;"1]")),0)</f>
        <v>1000</v>
      </c>
      <c r="AK26" s="192" cm="1">
        <f t="array" aca="1" ref="AK26" ca="1">IFERROR(INDEX(INDIRECT("TabReg["&amp;TabCalc[[#This Row],[Ticker]]&amp;"2]"), _xlfn.XMATCH(MAX(_xlfn._xlws.FILTER(INDIRECT("TabReg["&amp;TabCalc[[#This Row],[Ticker]]&amp;"]"), INDIRECT("TabReg["&amp;TabCalc[[#This Row],[Ticker]]&amp;"2]")&gt;0)), INDIRECT("TabReg["&amp;TabCalc[[#This Row],[Ticker]]&amp;"]"), 0)), 0)</f>
        <v>71.819999999999993</v>
      </c>
      <c r="AL26" s="214">
        <f ca="1">IFERROR(TabCalc[[#This Row],[L_S1n]]*(TabCalc[[#This Row],[L_S1p]]-TabCalc[[#This Row],[M]])*TabCalc[[#This Row],[Scale]],0)</f>
        <v>2010.000000000005</v>
      </c>
      <c r="AM26" s="210" cm="1">
        <f t="array" aca="1" ref="AM2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45764</v>
      </c>
      <c r="AN26" s="181" cm="1">
        <f t="array" aca="1" ref="AN26" ca="1">IFERROR(_xlfn.XLOOKUP(TabCalc[[#This Row],[L_S1D]],INDIRECT("TabReg["&amp;TabCalc[[#This Row],[Ticker]]&amp;"]"),INDIRECT("TabReg["&amp;TabCalc[[#This Row],[Ticker]]&amp;"1]")),0)</f>
        <v>1000</v>
      </c>
      <c r="AO26" s="384" cm="1">
        <f t="array" aca="1" ref="AO26" ca="1">IFERROR(_xlfn.XLOOKUP(TabCalc[[#This Row],[L_S1D]],INDIRECT("TabReg["&amp;TabCalc[[#This Row],[Ticker]]&amp;"]"),INDIRECT("TabReg["&amp;TabCalc[[#This Row],[Ticker]]&amp;"2]")),0)</f>
        <v>69.12</v>
      </c>
      <c r="AP26" s="336">
        <f ca="1">_xlfn.LET(_xlpm.MVOpen,[1]!RTData[[#This Row],[Open]]*TabCalc[[#This Row],[NAfter]],_xlpm.MVNow,TabCalc[[#This Row],[M]]*TabCalc[[#This Row],[NAfter]],_xlpm.MVNow-_xlpm.MVOpen)*TabCalc[[#This Row],[Scale]]</f>
        <v>-8800</v>
      </c>
      <c r="AQ26" s="336">
        <f ca="1">_xlfn.LET(_xlpm.MVToday,DataShift!AV526,         _xlpm.MVY,DataShift!AU527,        _xlpm.MVYY, DataShift!AT527,                                IF(_xlpm.MVToday=_xlpm.MVY,_xlpm.MVY-_xlpm.MVYY,_xlpm.MVToday-_xlpm.MVY))</f>
        <v>-825</v>
      </c>
      <c r="AR26" s="336">
        <f ca="1">_xlfn.LET(_xlpm.MVToday,DataShift!AV526,         _xlpm.MVY,DataShift!AU527,        _xlpm.MVYY, DataShift!AT527,         _xlpm.MVYYY, DataShift!AS527,                      IF(_xlpm.MVToday=_xlpm.MVY,      _xlpm.MVYY-_xlpm.MVYYY,          _xlpm.MVY-_xlpm.MVYY))</f>
        <v>825</v>
      </c>
      <c r="AS26" s="1078">
        <f ca="1">TabCalc[[#This Row],[Y]]/TabCalc[[#This Row],[M]]</f>
        <v>1.1365330055133362</v>
      </c>
      <c r="AT26" s="299" t="str" cm="1">
        <f t="array" aca="1" ref="AT26" ca="1">IFERROR(_xlfn.IFS(          TabCalc[[#This Row],[E]]&gt;0, "Free Trade",      TabCalc[[#This Row],[A]]&lt;MIN(TabCalc[[#This Row],[L_Sp]],TabCalc[[#This Row],[M]]), "Buy",            TabCalc[[#This Row],[M]]&lt;TabCalc[[#This Row],[L_Sp]],       "Refill",       TabCalc[[#This Row],[M]]&gt;TabCalc[[#This Row],[L_Sp]],"S_more"),"")</f>
        <v>Refill</v>
      </c>
      <c r="AU26" s="299" t="str">
        <f ca="1">IF(           AND(TabCalc[[#This Row],[E]]&lt;=0,          TabCalc[[#This Row],[A]]&gt;MIN(TabCalc[[#This Row],[M]],TabCalc[[#This Row],[L_Sp]]),             TabCalc[[#This Row],[L_Sp]]&lt;=TabCalc[[#This Row],[M]]),                       "S_more","")</f>
        <v/>
      </c>
      <c r="AV26" s="82" t="str" cm="1">
        <f t="array" aca="1" ref="AV26" ca="1">IFERROR(_xlfn.IFS(TabCalc[[#This Row],[E]]&gt;0,"Free trade",                 TabCalc[[#This Row],[A]]&lt;MAX(ABS(TabCalc[[#This Row],[L_Bp]]),TabCalc[[#This Row],[A]]),"Sell",             TabCalc[[#This Row],[M]]&gt;ABS(TabCalc[[#This Row],[L_Bp]]),"Resell",             TabCalc[[#This Row],[M]]&lt;ABS(TabCalc[[#This Row],[L_Bp]]),"B_more"),"")</f>
        <v>Resell</v>
      </c>
      <c r="AW26" s="82">
        <f ca="1">TabCalc[[#This Row],[NAfter]]-TabCalc[[#This Row],[Nbegin]]</f>
        <v>0</v>
      </c>
      <c r="AX26" s="307">
        <f ca="1">IFERROR((TabCalc[[#This Row],[M]]-TabCalc[[#This Row],[Y]])*(TabCalc[[#This Row],[M]]-TabCalc[[#This Row],[Y]])*(TabCalc[[#This Row],[M]]-TabCalc[[#This Row],[Y]])/(TabCalc[[#This Row],[Y]]*TabCalc[[#This Row],[M]]),"")</f>
        <v>-0.15028586589323806</v>
      </c>
      <c r="AY26" s="82">
        <f t="shared" ca="1" si="1"/>
        <v>0</v>
      </c>
      <c r="AZ26" s="90">
        <f ca="1">[1]!RTData[[#This Row],[V/VA]]</f>
        <v>0.90546778801189931</v>
      </c>
      <c r="BA26" s="90" t="str" cm="1">
        <f t="array" aca="1" ref="BA26" ca="1">IFERROR(_xlfn.IFS(TabCalc[[#This Row],[Cur]]="USD",Timer!F$27,TabCalc[[#This Row],[Cur]]="EUR",Timer!F$18,TabCalc[[#This Row],[Cur]]="GBP",Timer!F$12,TabCalc[[#This Row],[Cur]]="CAD",Timer!F$27,TabCalc[[#This Row],[Cur]]="JPY",Timer!F$31,TabCalc[[#This Row],[Cur]]="CHF",Timer!F$18),"Timing")</f>
        <v>None-Working Day</v>
      </c>
      <c r="BB26" s="90">
        <f ca="1">IF(ISNUMBER(TabCalc[[#This Row],[TimeEX]]),TabCalc[[#This Row],[V/VA]]/TabCalc[[#This Row],[TimeEX]],TabCalc[[#This Row],[V/VA]])</f>
        <v>0.90546778801189931</v>
      </c>
      <c r="BC26" s="87" cm="1">
        <f t="array" aca="1" ref="BC26" ca="1">INDEX(TabReg[], 1, _xlfn.XMATCH(TabCalc[[#This Row],[Ticker]]&amp;1, TabReg[#Headers], 0))</f>
        <v>5000</v>
      </c>
      <c r="BD26" s="161">
        <f ca="1">TabCalc[[#This Row],[Nbegin]]*TabCalc[[#This Row],[M]]*TabCalc[[#This Row],[Scale]]+TabCalc[[#This Row],[ValueBegin]]</f>
        <v>157850</v>
      </c>
      <c r="BE26" s="336" t="str" cm="1">
        <f t="array" aca="1" ref="BE26" ca="1">_xlfn.IFS(TabCalc[[#This Row],[Cost+Gain]]&gt;0,"Free",             TabCalc[[#This Row],[GL]]&gt;0,"Gainer",                TRUE,"Looser")</f>
        <v>Gainer</v>
      </c>
      <c r="BF26" s="161">
        <f ca="1">TabCalc[[#This Row],[Tot_Paid]]-TabCalc[[#This Row],[ValueBegin]]</f>
        <v>-772690.31684599991</v>
      </c>
      <c r="BG26" s="337">
        <f ca="1">IF(TabCalc[[#This Row],[EfCost]]&gt;TabCalc[[#This Row],[ValueBegin]],       0,        TabCalc[[#This Row],[EfCost]]-TabCalc[[#This Row],[ValueBegin]]*(1+Commission))</f>
        <v>-48069.99000000002</v>
      </c>
      <c r="BH26" s="338">
        <f ca="1">TabCalc[[#This Row],[M_V]]+TabCalc[[#This Row],[ValueBegin]]</f>
        <v>157850</v>
      </c>
      <c r="BI26" s="161" cm="1">
        <f t="array" aca="1" ref="BI26" ca="1">SUMPRODUCT(_xlfn._xlws.FILTER(INDIRECT("TabReg["&amp;TabCalc[[#This Row],[Ticker]]&amp;"1]") * INDIRECT("TabReg["&amp;TabCalc[[#This Row],[Ticker]]&amp;"2]"), INDIRECT("TabReg["&amp;TabCalc[[#This Row],[Ticker]]&amp;"2]")&lt;0))*(1+Commission)*TabCalc[[#This Row],[Scale]]</f>
        <v>-950390.31684599991</v>
      </c>
      <c r="BJ26" s="161" cm="1">
        <f t="array" aca="1" ref="BJ26" ca="1">SUMPRODUCT(IF(INDIRECT("TabReg["&amp;TabCalc[[#This Row],[Ticker]]&amp;"2]") ="", 0, INDIRECT("TabReg["&amp;TabCalc[[#This Row],[Ticker]]&amp;"1]") * INDIRECT("TabReg["&amp;TabCalc[[#This Row],[Ticker]]&amp;"2]") ))*TabCalc[[#This Row],[Scale]]</f>
        <v>-226232.01</v>
      </c>
      <c r="BK26" s="161" cm="1">
        <f t="array" aca="1" ref="BK2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719817.29637999996</v>
      </c>
      <c r="BL26" s="161">
        <f ca="1">TabCalc[[#This Row],[M_V]]+TabCalc[[#This Row],[EfCost]]</f>
        <v>109317.98999999999</v>
      </c>
      <c r="BM26" s="161">
        <f ca="1">IF(        OR( TabCalc[[#This Row],[GL]]&gt;ABS(TabCalc[[#This Row],[EfCost]]),TabCalc[[#This Row],[NAfter]]=0),             TabCalc[[#This Row],[GL]],     0)</f>
        <v>0</v>
      </c>
      <c r="BN26" s="161" cm="1">
        <f t="array" aca="1" ref="BN26" ca="1">SUMPRODUCT(_xlfn._xlws.FILTER(IF(INDIRECT("TabReg["&amp;TabCalc[[#This Row],[Ticker]]&amp;"2]") ="", 0, INDIRECT("TabReg["&amp;TabCalc[[#This Row],[Ticker]]&amp;"1]")  ),  INDIRECT("TabReg["&amp;TabCalc[[#This Row],[Ticker]]&amp;"2]") &lt; 0))</f>
        <v>17900</v>
      </c>
      <c r="BO26" s="161">
        <f ca="1">TabCalc[[#This Row],[SB]]-TabCalc[[#This Row],[Nbegin]]</f>
        <v>12900</v>
      </c>
      <c r="BP26" s="161" cm="1">
        <f t="array" aca="1" ref="BP26" ca="1">IFERROR(SUMPRODUCT(_xlfn._xlws.FILTER(IF(INDIRECT("TabReg["&amp;TabCalc[[#This Row],[Ticker]]&amp;"2]") ="", 0, INDIRECT("TabReg["&amp;TabCalc[[#This Row],[Ticker]]&amp;"1]")  ),  INDIRECT("TabReg["&amp;TabCalc[[#This Row],[Ticker]]&amp;"2]") &gt; 0)),0)</f>
        <v>12900</v>
      </c>
      <c r="BQ2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73.68</v>
      </c>
      <c r="BR26" s="176" t="str">
        <f ca="1">IF(TabCalc[[#This Row],[EfCost]]+TabCalc[[#This Row],[M_V]]&lt;TabCalc[[#This Row],[NoT_GL]],"Pile","")</f>
        <v>Pile</v>
      </c>
      <c r="BS26" s="167">
        <f ca="1">[1]!RTData[[#This Row],[Last trade time]]</f>
        <v>45954.999927777346</v>
      </c>
      <c r="BT26" s="177">
        <f ca="1">(TabCalc[[#This Row],[ValueBegin]]+(TabCalc[[#This Row],[M]]-TabCalc[[#This Row],[A]])*TabCalc[[#This Row],[NAfter]])*TabCalc[[#This Row],[Scale]]</f>
        <v>-933372.68181818177</v>
      </c>
      <c r="BU26" s="189" cm="1">
        <f t="array" aca="1" ref="BU26" ca="1">_xlfn.XLOOKUP(TabCalc[[#This Row],[Ticker]],TabReg[[#Headers],[AAPL]:[UnknownX28]],Reg!B$72:KF$72)+3</f>
        <v>24</v>
      </c>
      <c r="BV26" s="190" cm="1">
        <f t="array" aca="1" ref="BV26" ca="1">_xlfn.XLOOKUP(TabCalc[[#This Row],[Ticker]],TabReg[[#Headers],[AAPL]:[UnknownX28]],Reg!B$73:KF$73)+2</f>
        <v>75</v>
      </c>
      <c r="BW26" s="191">
        <f ca="1">IFERROR(MAX(TabCalc[[#This Row],[Max_SD]],TabCalc[[#This Row],[Max_PD]]),0)</f>
        <v>45954</v>
      </c>
      <c r="BX26" s="191" t="str" cm="1">
        <f t="array" aca="1" ref="BX26" ca="1">_xlfn.IFS(TabCalc[[#This Row],[L_TP]]&lt;0,"Purchase",TabCalc[[#This Row],[L_TP]]&gt;0,"Sale")</f>
        <v>Purchase</v>
      </c>
      <c r="BY26" s="190" cm="1">
        <f t="array" aca="1" ref="BY26" ca="1">INDEX(Reg!$A$1:$KF$73,TabCalc[[#This Row],[L_I1]],TabCalc[[#This Row],[L_I2]])</f>
        <v>1000</v>
      </c>
      <c r="BZ26" s="192" cm="1">
        <f t="array" aca="1" ref="BZ26" ca="1">INDEX(Reg!$A$1:$KF$73,TabCalc[[#This Row],[L_I1]],TabCalc[[#This Row],[L_I2]]+1)</f>
        <v>-66.995000000000005</v>
      </c>
      <c r="CA26" s="161">
        <f ca="1">TabCalc[[#This Row],[NAfter]]*(TabCalc[[#This Row],[M]]-IF(TabCalc[[#This Row],[E]]&gt;0,0,TabCalc[[#This Row],[A]]))</f>
        <v>-755672.68181818177</v>
      </c>
      <c r="CB26" s="167" cm="1">
        <f t="array" aca="1" ref="CB26" ca="1">IFERROR(MIN(_xlfn._xlws.FILTER(INDIRECT("TabReg["&amp;TabCalc[[#This Row],[Ticker]]&amp;"]"), INDIRECT("TabReg["&amp;TabCalc[[#This Row],[Ticker]]&amp;"2]")&gt;0)),0)</f>
        <v>45299</v>
      </c>
      <c r="CC26" s="178" cm="1">
        <f t="array" aca="1" ref="CC26" ca="1">IFERROR(MIN(_xlfn._xlws.FILTER(INDIRECT("TabReg["&amp;TabCalc[[#This Row],[Ticker]]&amp;"1]"), INDIRECT("TabReg["&amp;TabCalc[[#This Row],[Ticker]]&amp;"2]")&gt;0)),0)</f>
        <v>900</v>
      </c>
      <c r="CD26" s="173" cm="1">
        <f t="array" aca="1" ref="CD26" ca="1">IFERROR(MIN(_xlfn._xlws.FILTER(INDIRECT("TabReg["&amp;TabCalc[[#This Row],[Ticker]]&amp;"2]"), INDIRECT("TabReg["&amp;TabCalc[[#This Row],[Ticker]]&amp;"2]")&gt;0)),0)</f>
        <v>45.85</v>
      </c>
      <c r="CE26" s="167" cm="1">
        <f t="array" aca="1" ref="CE26" ca="1">IFERROR(MAX(_xlfn._xlws.FILTER(INDIRECT("TabReg["&amp;TabCalc[[#This Row],[Ticker]]&amp;"]"), INDIRECT("TabReg["&amp;TabCalc[[#This Row],[Ticker]]&amp;"2]")&gt;0)),0)</f>
        <v>45828</v>
      </c>
      <c r="CF26" s="178" cm="1">
        <f t="array" aca="1" ref="CF26" ca="1">IFERROR(MAX(_xlfn._xlws.FILTER(INDIRECT("TabReg["&amp;TabCalc[[#This Row],[Ticker]]&amp;"1]"), INDIRECT("TabReg["&amp;TabCalc[[#This Row],[Ticker]]&amp;"2]")&gt;0)),0)</f>
        <v>4000</v>
      </c>
      <c r="CG26" s="173" cm="1">
        <f t="array" aca="1" ref="CG26" ca="1">IFERROR(MAX(_xlfn._xlws.FILTER(INDIRECT("TabReg["&amp;TabCalc[[#This Row],[Ticker]]&amp;"2]"), INDIRECT("TabReg["&amp;TabCalc[[#This Row],[Ticker]]&amp;"2]")&gt;0)),0)</f>
        <v>71.819999999999993</v>
      </c>
      <c r="CH26" s="167" cm="1">
        <f t="array" aca="1" ref="CH26" ca="1">MIN(_xlfn._xlws.FILTER(INDIRECT("TabReg["&amp;TabCalc[[#This Row],[Ticker]]&amp;"]"), INDIRECT("TabReg["&amp;TabCalc[[#This Row],[Ticker]]&amp;"2]")&lt;0))</f>
        <v>40544</v>
      </c>
      <c r="CI26" s="177" cm="1">
        <f t="array" aca="1" ref="CI26" ca="1">MIN(_xlfn._xlws.FILTER(INDIRECT("TabReg["&amp;TabCalc[[#This Row],[Ticker]]&amp;"1]"), INDIRECT("TabReg["&amp;TabCalc[[#This Row],[Ticker]]&amp;"2]")&lt;0))</f>
        <v>660</v>
      </c>
      <c r="CJ26" s="173" cm="1">
        <f t="array" aca="1" ref="CJ26" ca="1">MIN(_xlfn._xlws.FILTER(INDIRECT("TabReg["&amp;TabCalc[[#This Row],[Ticker]]&amp;"2]"), INDIRECT("TabReg["&amp;TabCalc[[#This Row],[Ticker]]&amp;"2]")&lt;0))</f>
        <v>-68.98</v>
      </c>
      <c r="CK26" s="167" cm="1">
        <f t="array" aca="1" ref="CK26" ca="1">MAX(_xlfn._xlws.FILTER(INDIRECT("TabReg["&amp;TabCalc[[#This Row],[Ticker]]&amp;"]"), INDIRECT("TabReg["&amp;TabCalc[[#This Row],[Ticker]]&amp;"2]")&lt;0))</f>
        <v>45954</v>
      </c>
      <c r="CL26" s="177" cm="1">
        <f t="array" aca="1" ref="CL26" ca="1">MAX(_xlfn._xlws.FILTER(INDIRECT("TabReg["&amp;TabCalc[[#This Row],[Ticker]]&amp;"1]"), INDIRECT("TabReg["&amp;TabCalc[[#This Row],[Ticker]]&amp;"2]")&lt;0))</f>
        <v>5000</v>
      </c>
      <c r="CM26" s="173" cm="1">
        <f t="array" aca="1" ref="CM26" ca="1">MAX(_xlfn._xlws.FILTER(INDIRECT("TabReg["&amp;TabCalc[[#This Row],[Ticker]]&amp;"2]"), INDIRECT("TabReg["&amp;TabCalc[[#This Row],[Ticker]]&amp;"2]")&lt;0))</f>
        <v>-35.54</v>
      </c>
      <c r="CN26" s="167" cm="1">
        <f t="array" aca="1" ref="CN26" ca="1">IFERROR(_xlfn.XLOOKUP(TabCalc[[#This Row],[BS2P]],INDIRECT("TabReg["&amp;TabCalc[[#This Row],[Ticker]]&amp;"2]"),INDIRECT("TabReg["&amp;TabCalc[[#This Row],[Ticker]]&amp;"]")),0)</f>
        <v>45764</v>
      </c>
      <c r="CO26" s="178" cm="1">
        <f t="array" aca="1" ref="CO26" ca="1">IFERROR(_xlfn.XLOOKUP(TabCalc[[#This Row],[BS2P]],INDIRECT("TabReg["&amp;TabCalc[[#This Row],[Ticker]]&amp;"2]"),INDIRECT("TabReg["&amp;TabCalc[[#This Row],[Ticker]]&amp;"1]")),0)</f>
        <v>1000</v>
      </c>
      <c r="CP26" s="173">
        <f ca="1">_xlfn.MAXIFS(INDIRECT("TabReg["&amp;TabCalc[[#This Row],[Ticker]]&amp;"2]"), INDIRECT("TabReg["&amp;TabCalc[[#This Row],[Ticker]]&amp;"2]"), "&lt;" &amp; MAX(INDIRECT("TabReg["&amp;TabCalc[[#This Row],[Ticker]]&amp;"2]")))</f>
        <v>69.12</v>
      </c>
      <c r="CQ26" s="167" cm="1">
        <f t="array" aca="1" ref="CQ26" ca="1">IFERROR(_xlfn.XLOOKUP(TabCalc[[#This Row],[WB2P]],INDIRECT("TabReg["&amp;TabCalc[[#This Row],[Ticker]]&amp;"2]"),INDIRECT("TabReg["&amp;TabCalc[[#This Row],[Ticker]]&amp;"]")),0)</f>
        <v>45807</v>
      </c>
      <c r="CR26" s="178" cm="1">
        <f t="array" aca="1" ref="CR26" ca="1">IFERROR(_xlfn.XLOOKUP(TabCalc[[#This Row],[WB2P]],INDIRECT("TabReg["&amp;TabCalc[[#This Row],[Ticker]]&amp;"2]"),INDIRECT("TabReg["&amp;TabCalc[[#This Row],[Ticker]]&amp;"1]")),0)</f>
        <v>2000</v>
      </c>
      <c r="CS26" s="173">
        <f ca="1">_xlfn.MINIFS(INDIRECT("TabReg["&amp;TabCalc[[#This Row],[Ticker]]&amp;"2]"), INDIRECT("TabReg["&amp;TabCalc[[#This Row],[Ticker]]&amp;"2]"), "&gt;" &amp; MIN(INDIRECT("TabReg["&amp;TabCalc[[#This Row],[Ticker]]&amp;"2]")))</f>
        <v>-68.399500000000003</v>
      </c>
      <c r="CT26" s="405">
        <f ca="1">IF(TabCalc[[#This Row],[M]]&lt;TabCalc[[#This Row],[L_Sp]],DesiredBuyGain/(TabCalc[[#This Row],[L_Sp]]-TabCalc[[#This Row],[M]]),0)</f>
        <v>1061.5711252653941</v>
      </c>
      <c r="CU26" s="406">
        <f ca="1">IF(TabCalc[[#This Row],[ntoBuy]]*TabCalc[[#This Row],[M]]&lt;=0,0,TabCalc[[#This Row],[ntoBuy]]*TabCalc[[#This Row],[M]])</f>
        <v>71242.038216560599</v>
      </c>
      <c r="CV26" s="406">
        <f ca="1">IF(TabCalc[[#This Row],[M]]&gt;ABS(TabCalc[[#This Row],[L_Bp]]),MIN(TabCalc[[#This Row],[NAfter]],DesiredSaleGain/(TabCalc[[#This Row],[M]]+TabCalc[[#This Row],[L_Bp]])),0)/TabCalc[[#This Row],[Scale]]</f>
        <v>5000</v>
      </c>
      <c r="CW26" s="407">
        <f ca="1">TabCalc[[#This Row],[ntoSell]]*TabCalc[[#This Row],[M]]</f>
        <v>335550</v>
      </c>
      <c r="CX26" s="400">
        <f ca="1">_xlfn.LET(_xlpm.nToSell,IF(TabCalc[[#This Row],[M]]-TabCalc[[#This Row],[A]]&lt;=0,"",INT(DesiredSaleGain/(TabCalc[[#This Row],[M]]-IF(TabCalc[[#This Row],[E]]&gt;0,0,TabCalc[[#This Row],[A]])))),IF(_xlpm.nToSell&lt;=TabCalc[[#This Row],[NAfter]],_xlpm.nToSell,0))</f>
        <v>0</v>
      </c>
      <c r="CY26" s="338">
        <f ca="1">IFERROR(TabCalc[[#This Row],[NMA]]*TabCalc[[#This Row],[M]],"")</f>
        <v>0</v>
      </c>
      <c r="CZ26" s="337" cm="1">
        <f t="array" aca="1" ref="CZ26" ca="1">_xlfn.IFS(TabCalc[[#This Row],[M]]&gt;= TabCalc[[#This Row],[L_Sp]],(TabCalc[[#This Row],[M]]-TabCalc[[#This Row],[A]])*TabCalc[[#This Row],[NAfter]]*TabCalc[[#This Row],[Scale]],           TabCalc[[#This Row],[M]]&lt; TabCalc[[#This Row],[L_Sp]],(TabCalc[[#This Row],[M]]-TabCalc[[#This Row],[A]])*TabCalc[[#This Row],[NAfter]]*TabCalc[[#This Row],[Scale]],               TRUE,"")</f>
        <v>-755672.68181818177</v>
      </c>
      <c r="DA26" s="90">
        <f ca="1">IFERROR((TabCalc[[#This Row],[M]]+TabCalc[[#This Row],[L_Bp]])/ABS(TabCalc[[#This Row],[L_Bp]])/(TODAY()-TabCalc[[#This Row],[L_Bdate]])*360,"")</f>
        <v>0.30897828196132665</v>
      </c>
      <c r="DB26" s="312">
        <f ca="1">MEDIAN(DataShift!F726:Z726)</f>
        <v>4.9049999999999996E-3</v>
      </c>
      <c r="DC26" s="312" t="str" cm="1">
        <f t="array" aca="1" ref="DC2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26" s="88" t="s">
        <v>23</v>
      </c>
      <c r="DN26" s="81">
        <v>5000</v>
      </c>
      <c r="DO26" s="317">
        <v>-35.54</v>
      </c>
    </row>
    <row r="27" spans="1:119">
      <c r="A27" s="120" t="str">
        <f ca="1">_xlfn.XLOOKUP(TabCalc[[#This Row],[Ticker]],[1]!RTData[Ticker symbol],[1]!RTData[Currency])</f>
        <v>USD</v>
      </c>
      <c r="B27" s="120">
        <f ca="1">IF(TabCalc[[#This Row],[Cur]]="GBP",0.01,1)</f>
        <v>1</v>
      </c>
      <c r="C27" s="82">
        <f ca="1">_xlfn.XLOOKUP(TabCalc[[#This Row],[Ticker]],DM$3:DM$96,DN$3:DN$96)</f>
        <v>2276</v>
      </c>
      <c r="D27" s="1254">
        <f ca="1">_xlfn.XLOOKUP(TabCalc[[#This Row],[Ticker]],DM$3:DM$96,DO$3:DO$96)</f>
        <v>-17.760724956063267</v>
      </c>
      <c r="E27" s="121">
        <f t="shared" ca="1" si="0"/>
        <v>-40423.409999999996</v>
      </c>
      <c r="F27" s="82">
        <f ca="1">TabCalc[[#This Row],[NAfter]]*TabCalc[[#This Row],[M]]*TabCalc[[#This Row],[Scale]]</f>
        <v>0</v>
      </c>
      <c r="G27" s="82">
        <f ca="1">IFERROR(TabCalc[[#This Row],[SB]]-TabCalc[[#This Row],[SST]],TabCalc[[#This Row],[SB]])</f>
        <v>0</v>
      </c>
      <c r="H27" s="535" t="str">
        <f ca="1">[1]!RTData[[#This Row],[Ticker symbol]]</f>
        <v>LNSR</v>
      </c>
      <c r="I27" s="385">
        <f ca="1">[1]!RTData[[#This Row],[M-Price]]</f>
        <v>11.97</v>
      </c>
      <c r="J27" s="384">
        <v>68.392750000000007</v>
      </c>
      <c r="K27" s="383">
        <f>[1]!RTData[[#This Row],[1YT]]</f>
        <v>15</v>
      </c>
      <c r="L27" s="384">
        <f ca="1">IF(OR(TabCalc[[#This Row],[NAfter]]=0,TabCalc[[#This Row],[EfCost]]&gt;0),0,TabCalc[[#This Row],[EfCost]]/TabCalc[[#This Row],[NAfter]]/TabCalc[[#This Row],[Scale]])</f>
        <v>0</v>
      </c>
      <c r="M27" s="744">
        <f ca="1">[1]!RTData[[#This Row],[Change%]]</f>
        <v>-8.3470000000000007E-4</v>
      </c>
      <c r="N27" s="1172">
        <v>0.42857142857142855</v>
      </c>
      <c r="O27" s="966">
        <f>TabCalc[[#This Row],[Up20]]-1+TabCalc[[#This Row],[Up20]]</f>
        <v>-0.14285714285714285</v>
      </c>
      <c r="P27" s="966">
        <f>TabCalc[[#This Row],[Up20]]-TabCalc[[#This Row],[Up150]]</f>
        <v>-3.4391534391534417E-2</v>
      </c>
      <c r="Q27" s="966">
        <v>0.46296296296296297</v>
      </c>
      <c r="R27" s="966">
        <f>TabCalc[[#This Row],[Up150]]-1+TabCalc[[#This Row],[Up150]]</f>
        <v>-7.4074074074074014E-2</v>
      </c>
      <c r="S27" s="966">
        <f ca="1">IFERROR(SUMPRODUCT(DataShift!F1519:Z1519,DataShift!AB726:AV726)/SQRT(SUMPRODUCT(DataShift!F1519:Z1519,DataShift!F1519:Z1519)*SUMPRODUCT(DataShift!AB726:AV726,DataShift!AB726:AV726)),0)</f>
        <v>-0.78473057637766452</v>
      </c>
      <c r="T27" s="966">
        <f ca="1">IFERROR(SUMPRODUCT(DataShift!F1519:Z1519,DataShift!F727:Z727)/SQRT(SUMPRODUCT(DataShift!F1519:Z1519,DataShift!F1519:Z1519)*SUMPRODUCT(DataShift!F727:Z727,DataShift!F727:Z727)),0)</f>
        <v>-0.15165274226077013</v>
      </c>
      <c r="U27" s="1107">
        <v>0</v>
      </c>
      <c r="V27" s="1107">
        <v>4000</v>
      </c>
      <c r="W27" s="1107">
        <v>0</v>
      </c>
      <c r="X27" s="966" t="str">
        <f ca="1">IF(TabCalc[[#This Row],[EfCost]]+TabCalc[[#This Row],[M_V]]&lt;TabCalc[[#This Row],[NoT_GL]],"Pile","")</f>
        <v>Pile</v>
      </c>
      <c r="Y2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27" s="213">
        <f ca="1">MIN(TabCalc[[#This Row],[L_Bn]],TabCalc[[#This Row],[NAfter]])*(TabCalc[[#This Row],[M]]+TabCalc[[#This Row],[L_Bp]])*TabCalc[[#This Row],[Scale]]</f>
        <v>0</v>
      </c>
      <c r="AA27" s="210" cm="1">
        <f t="array" aca="1" ref="AA27" ca="1">_xlfn.XLOOKUP(TabCalc[[#This Row],[L_Bp]],INDIRECT("TabReg["&amp;TabCalc[[#This Row],[Ticker]]&amp;"2]"),INDIRECT("TabReg["&amp;TabCalc[[#This Row],[Ticker]]&amp;"]"))</f>
        <v>45643</v>
      </c>
      <c r="AB27" s="181" cm="1">
        <f t="array" aca="1" ref="AB27" ca="1">_xlfn.XLOOKUP(TabCalc[[#This Row],[L_Bp]],INDIRECT("TabReg["&amp;TabCalc[[#This Row],[Ticker]]&amp;"2]"),INDIRECT("TabReg["&amp;TabCalc[[#This Row],[Ticker]]&amp;"1]"))</f>
        <v>3000</v>
      </c>
      <c r="AC27" s="192" cm="1">
        <f t="array" aca="1" ref="AC27" ca="1">IFERROR(INDEX(INDIRECT("TabReg["&amp;TabCalc[[#This Row],[Ticker]]&amp;"2]"),    _xlfn.XMATCH(    MAX(    _xlfn._xlws.FILTER(INDIRECT("TabReg["&amp;TabCalc[[#This Row],[Ticker]]&amp;"]"), INDIRECT("TabReg["&amp;TabCalc[[#This Row],[Ticker]]&amp;"2]")&lt;0)     ), INDIRECT("TabReg["&amp;TabCalc[[#This Row],[Ticker]]&amp;"]"),      0)), "")</f>
        <v>-7.42</v>
      </c>
      <c r="AD27" s="213">
        <f ca="1">IFERROR(MIN(TabCalc[[#This Row],[L_B1n]],TabCalc[[#This Row],[NAfter]])*(TabCalc[[#This Row],[M]]+TabCalc[[#This Row],[L_B1p]])*TabCalc[[#This Row],[Scale]],"")</f>
        <v>0</v>
      </c>
      <c r="AE27" s="210" cm="1">
        <f t="array" aca="1" ref="AE2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45370</v>
      </c>
      <c r="AF27" s="181" cm="1">
        <f t="array" aca="1" ref="AF27" ca="1">IFERROR(_xlfn.XLOOKUP(TabCalc[[#This Row],[L_B1D]],INDIRECT("TabReg["&amp;TabCalc[[#This Row],[Ticker]]&amp;"]"),INDIRECT("TabReg["&amp;TabCalc[[#This Row],[Ticker]]&amp;"1]")),0)</f>
        <v>5000</v>
      </c>
      <c r="AG27" s="192" cm="1">
        <f t="array" aca="1" ref="AG27" ca="1">IFERROR(_xlfn.XLOOKUP(TabCalc[[#This Row],[L_B1D]],INDIRECT("TabReg["&amp;TabCalc[[#This Row],[Ticker]]&amp;"]"),INDIRECT("TabReg["&amp;TabCalc[[#This Row],[Ticker]]&amp;"2]")),0)</f>
        <v>-3.92</v>
      </c>
      <c r="AH27" s="302">
        <f ca="1">IFERROR(TabCalc[[#This Row],[L_Sn]]*(TabCalc[[#This Row],[L_Sp]]-TabCalc[[#This Row],[M]])*TabCalc[[#This Row],[Scale]],"")</f>
        <v>-10530</v>
      </c>
      <c r="AI27" s="210" cm="1">
        <f t="array" aca="1" ref="AI27" ca="1">IFERROR(_xlfn.XLOOKUP(TabCalc[[#This Row],[L_Sp]],INDIRECT("TabReg["&amp;TabCalc[[#This Row],[Ticker]]&amp;"2]"),INDIRECT("TabReg["&amp;TabCalc[[#This Row],[Ticker]]&amp;"]")),0)</f>
        <v>45667</v>
      </c>
      <c r="AJ27" s="181" cm="1">
        <f t="array" aca="1" ref="AJ27" ca="1">IFERROR(_xlfn.XLOOKUP(TabCalc[[#This Row],[L_Sp]],INDIRECT("TabReg["&amp;TabCalc[[#This Row],[Ticker]]&amp;"2]"),INDIRECT("TabReg["&amp;TabCalc[[#This Row],[Ticker]]&amp;"1]")),0)</f>
        <v>3000</v>
      </c>
      <c r="AK27" s="192" cm="1">
        <f t="array" aca="1" ref="AK27" ca="1">IFERROR(INDEX(INDIRECT("TabReg["&amp;TabCalc[[#This Row],[Ticker]]&amp;"2]"), _xlfn.XMATCH(MAX(_xlfn._xlws.FILTER(INDIRECT("TabReg["&amp;TabCalc[[#This Row],[Ticker]]&amp;"]"), INDIRECT("TabReg["&amp;TabCalc[[#This Row],[Ticker]]&amp;"2]")&gt;0)), INDIRECT("TabReg["&amp;TabCalc[[#This Row],[Ticker]]&amp;"]"), 0)), 0)</f>
        <v>8.4600000000000009</v>
      </c>
      <c r="AL27" s="214">
        <f ca="1">IFERROR(TabCalc[[#This Row],[L_S1n]]*(TabCalc[[#This Row],[L_S1p]]-TabCalc[[#This Row],[M]])*TabCalc[[#This Row],[Scale]],0)</f>
        <v>-15947.932000000001</v>
      </c>
      <c r="AM27" s="210" cm="1">
        <f t="array" aca="1" ref="AM2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45498</v>
      </c>
      <c r="AN27" s="181" cm="1">
        <f t="array" aca="1" ref="AN27" ca="1">IFERROR(_xlfn.XLOOKUP(TabCalc[[#This Row],[L_S1D]],INDIRECT("TabReg["&amp;TabCalc[[#This Row],[Ticker]]&amp;"]"),INDIRECT("TabReg["&amp;TabCalc[[#This Row],[Ticker]]&amp;"1]")),0)</f>
        <v>2276</v>
      </c>
      <c r="AO27" s="384" cm="1">
        <f t="array" aca="1" ref="AO27" ca="1">IFERROR(_xlfn.XLOOKUP(TabCalc[[#This Row],[L_S1D]],INDIRECT("TabReg["&amp;TabCalc[[#This Row],[Ticker]]&amp;"]"),INDIRECT("TabReg["&amp;TabCalc[[#This Row],[Ticker]]&amp;"2]")),0)</f>
        <v>4.9630000000000001</v>
      </c>
      <c r="AP27" s="336">
        <f ca="1">_xlfn.LET(_xlpm.MVOpen,[1]!RTData[[#This Row],[Open]]*TabCalc[[#This Row],[NAfter]],_xlpm.MVNow,TabCalc[[#This Row],[M]]*TabCalc[[#This Row],[NAfter]],_xlpm.MVNow-_xlpm.MVOpen)*TabCalc[[#This Row],[Scale]]</f>
        <v>0</v>
      </c>
      <c r="AQ27" s="336">
        <f ca="1">_xlfn.LET(_xlpm.MVToday,DataShift!AV527,         _xlpm.MVY,DataShift!AU528,        _xlpm.MVYY, DataShift!AT528,                                IF(_xlpm.MVToday=_xlpm.MVY,_xlpm.MVY-_xlpm.MVYY,_xlpm.MVToday-_xlpm.MVY))</f>
        <v>-67700</v>
      </c>
      <c r="AR27" s="336">
        <f ca="1">_xlfn.LET(_xlpm.MVToday,DataShift!AV527,         _xlpm.MVY,DataShift!AU528,        _xlpm.MVYY, DataShift!AT528,         _xlpm.MVYYY, DataShift!AS528,                      IF(_xlpm.MVToday=_xlpm.MVY,      _xlpm.MVYY-_xlpm.MVYYY,          _xlpm.MVY-_xlpm.MVYY))</f>
        <v>-38280</v>
      </c>
      <c r="AS27" s="1078">
        <f ca="1">TabCalc[[#This Row],[Y]]/TabCalc[[#This Row],[M]]</f>
        <v>1.2531328320802004</v>
      </c>
      <c r="AT27" s="299" t="str" cm="1">
        <f t="array" aca="1" ref="AT27" ca="1">IFERROR(_xlfn.IFS(          TabCalc[[#This Row],[E]]&gt;0, "Free Trade",      TabCalc[[#This Row],[A]]&lt;MIN(TabCalc[[#This Row],[L_Sp]],TabCalc[[#This Row],[M]]), "Buy",            TabCalc[[#This Row],[M]]&lt;TabCalc[[#This Row],[L_Sp]],       "Refill",       TabCalc[[#This Row],[M]]&gt;TabCalc[[#This Row],[L_Sp]],"S_more"),"")</f>
        <v>S_more</v>
      </c>
      <c r="AU27" s="299" t="str">
        <f ca="1">IF(           AND(TabCalc[[#This Row],[E]]&lt;=0,          TabCalc[[#This Row],[A]]&gt;MIN(TabCalc[[#This Row],[M]],TabCalc[[#This Row],[L_Sp]]),             TabCalc[[#This Row],[L_Sp]]&lt;=TabCalc[[#This Row],[M]]),                       "S_more","")</f>
        <v>S_more</v>
      </c>
      <c r="AV27" s="82" t="str" cm="1">
        <f t="array" aca="1" ref="AV27" ca="1">IFERROR(_xlfn.IFS(TabCalc[[#This Row],[E]]&gt;0,"Free trade",                 TabCalc[[#This Row],[A]]&lt;MAX(ABS(TabCalc[[#This Row],[L_Bp]]),TabCalc[[#This Row],[A]]),"Sell",             TabCalc[[#This Row],[M]]&gt;ABS(TabCalc[[#This Row],[L_Bp]]),"Resell",             TabCalc[[#This Row],[M]]&lt;ABS(TabCalc[[#This Row],[L_Bp]]),"B_more"),"")</f>
        <v>Resell</v>
      </c>
      <c r="AW27" s="82">
        <f ca="1">TabCalc[[#This Row],[NAfter]]-TabCalc[[#This Row],[Nbegin]]</f>
        <v>-2276</v>
      </c>
      <c r="AX27" s="307">
        <f ca="1">IFERROR((TabCalc[[#This Row],[M]]-TabCalc[[#This Row],[Y]])*(TabCalc[[#This Row],[M]]-TabCalc[[#This Row],[Y]])*(TabCalc[[#This Row],[M]]-TabCalc[[#This Row],[Y]])/(TabCalc[[#This Row],[Y]]*TabCalc[[#This Row],[M]]),"")</f>
        <v>-0.1549324812030074</v>
      </c>
      <c r="AY27" s="82">
        <f t="shared" ca="1" si="1"/>
        <v>2276</v>
      </c>
      <c r="AZ27" s="90">
        <f ca="1">[1]!RTData[[#This Row],[V/VA]]</f>
        <v>0.99786689419795227</v>
      </c>
      <c r="BA27" s="90" t="str" cm="1">
        <f t="array" aca="1" ref="BA27" ca="1">IFERROR(_xlfn.IFS(TabCalc[[#This Row],[Cur]]="USD",Timer!F$27,TabCalc[[#This Row],[Cur]]="EUR",Timer!F$18,TabCalc[[#This Row],[Cur]]="GBP",Timer!F$12,TabCalc[[#This Row],[Cur]]="CAD",Timer!F$27,TabCalc[[#This Row],[Cur]]="JPY",Timer!F$31,TabCalc[[#This Row],[Cur]]="CHF",Timer!F$18),"Timing")</f>
        <v>None-Working Day</v>
      </c>
      <c r="BB27" s="90">
        <f ca="1">IF(ISNUMBER(TabCalc[[#This Row],[TimeEX]]),TabCalc[[#This Row],[V/VA]]/TabCalc[[#This Row],[TimeEX]],TabCalc[[#This Row],[V/VA]])</f>
        <v>0.99786689419795227</v>
      </c>
      <c r="BC27" s="87" cm="1">
        <f t="array" aca="1" ref="BC27" ca="1">INDEX(TabReg[], 1, _xlfn.XMATCH(TabCalc[[#This Row],[Ticker]]&amp;1, TabReg[#Headers], 0))</f>
        <v>2276</v>
      </c>
      <c r="BD27" s="161">
        <f ca="1">TabCalc[[#This Row],[Nbegin]]*TabCalc[[#This Row],[M]]*TabCalc[[#This Row],[Scale]]+TabCalc[[#This Row],[ValueBegin]]</f>
        <v>-13179.689999999995</v>
      </c>
      <c r="BE27" s="336" t="str" cm="1">
        <f t="array" aca="1" ref="BE27" ca="1">_xlfn.IFS(TabCalc[[#This Row],[Cost+Gain]]&gt;0,"Free",             TabCalc[[#This Row],[GL]]&gt;0,"Gainer",                TRUE,"Looser")</f>
        <v>Looser</v>
      </c>
      <c r="BF27" s="161">
        <f ca="1">TabCalc[[#This Row],[Tot_Paid]]-TabCalc[[#This Row],[ValueBegin]]</f>
        <v>-71916.532802639995</v>
      </c>
      <c r="BG27" s="337">
        <f ca="1">IF(TabCalc[[#This Row],[EfCost]]&gt;TabCalc[[#This Row],[ValueBegin]],       0,        TabCalc[[#This Row],[EfCost]]-TabCalc[[#This Row],[ValueBegin]]*(1+Commission))</f>
        <v>0</v>
      </c>
      <c r="BH27" s="338">
        <f ca="1">TabCalc[[#This Row],[M_V]]+TabCalc[[#This Row],[ValueBegin]]</f>
        <v>-40423.409999999996</v>
      </c>
      <c r="BI27" s="161" cm="1">
        <f t="array" aca="1" ref="BI27" ca="1">SUMPRODUCT(_xlfn._xlws.FILTER(INDIRECT("TabReg["&amp;TabCalc[[#This Row],[Ticker]]&amp;"1]") * INDIRECT("TabReg["&amp;TabCalc[[#This Row],[Ticker]]&amp;"2]"), INDIRECT("TabReg["&amp;TabCalc[[#This Row],[Ticker]]&amp;"2]")&lt;0))*(1+Commission)*TabCalc[[#This Row],[Scale]]</f>
        <v>-112339.94280264</v>
      </c>
      <c r="BJ27" s="161" cm="1">
        <f t="array" aca="1" ref="BJ27" ca="1">SUMPRODUCT(IF(INDIRECT("TabReg["&amp;TabCalc[[#This Row],[Ticker]]&amp;"2]") ="", 0, INDIRECT("TabReg["&amp;TabCalc[[#This Row],[Ticker]]&amp;"1]") * INDIRECT("TabReg["&amp;TabCalc[[#This Row],[Ticker]]&amp;"2]") ))*TabCalc[[#This Row],[Scale]]</f>
        <v>-16028.984799999995</v>
      </c>
      <c r="BK27" s="161" cm="1">
        <f t="array" aca="1" ref="BK2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95769.980557839983</v>
      </c>
      <c r="BL27" s="161">
        <f ca="1">TabCalc[[#This Row],[M_V]]+TabCalc[[#This Row],[EfCost]]</f>
        <v>-16028.984799999995</v>
      </c>
      <c r="BM27" s="161">
        <f ca="1">IF(        OR( TabCalc[[#This Row],[GL]]&gt;ABS(TabCalc[[#This Row],[EfCost]]),TabCalc[[#This Row],[NAfter]]=0),             TabCalc[[#This Row],[GL]],     0)</f>
        <v>-16028.984799999995</v>
      </c>
      <c r="BN27" s="161" cm="1">
        <f t="array" aca="1" ref="BN27" ca="1">SUMPRODUCT(_xlfn._xlws.FILTER(IF(INDIRECT("TabReg["&amp;TabCalc[[#This Row],[Ticker]]&amp;"2]") ="", 0, INDIRECT("TabReg["&amp;TabCalc[[#This Row],[Ticker]]&amp;"1]")  ),  INDIRECT("TabReg["&amp;TabCalc[[#This Row],[Ticker]]&amp;"2]") &lt; 0))</f>
        <v>18000</v>
      </c>
      <c r="BO27" s="161">
        <f ca="1">TabCalc[[#This Row],[SB]]-TabCalc[[#This Row],[Nbegin]]</f>
        <v>15724</v>
      </c>
      <c r="BP27" s="161" cm="1">
        <f t="array" aca="1" ref="BP27" ca="1">IFERROR(SUMPRODUCT(_xlfn._xlws.FILTER(IF(INDIRECT("TabReg["&amp;TabCalc[[#This Row],[Ticker]]&amp;"2]") ="", 0, INDIRECT("TabReg["&amp;TabCalc[[#This Row],[Ticker]]&amp;"1]")  ),  INDIRECT("TabReg["&amp;TabCalc[[#This Row],[Ticker]]&amp;"2]") &gt; 0)),0)</f>
        <v>18000</v>
      </c>
      <c r="BQ27"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7" s="176" t="str">
        <f ca="1">IF(TabCalc[[#This Row],[EfCost]]+TabCalc[[#This Row],[M_V]]&lt;TabCalc[[#This Row],[NoT_GL]],"Pile","")</f>
        <v>Pile</v>
      </c>
      <c r="BS27" s="167">
        <f ca="1">[1]!RTData[[#This Row],[Last trade time]]</f>
        <v>45954.840321863281</v>
      </c>
      <c r="BT27" s="177">
        <f ca="1">(TabCalc[[#This Row],[ValueBegin]]+(TabCalc[[#This Row],[M]]-TabCalc[[#This Row],[A]])*TabCalc[[#This Row],[NAfter]])*TabCalc[[#This Row],[Scale]]</f>
        <v>-40423.409999999996</v>
      </c>
      <c r="BU27" s="189" cm="1">
        <f t="array" aca="1" ref="BU27" ca="1">_xlfn.XLOOKUP(TabCalc[[#This Row],[Ticker]],TabReg[[#Headers],[AAPL]:[UnknownX28]],Reg!B$72:KF$72)+3</f>
        <v>12</v>
      </c>
      <c r="BV27" s="190" cm="1">
        <f t="array" aca="1" ref="BV27" ca="1">_xlfn.XLOOKUP(TabCalc[[#This Row],[Ticker]],TabReg[[#Headers],[AAPL]:[UnknownX28]],Reg!B$73:KF$73)+2</f>
        <v>78</v>
      </c>
      <c r="BW27" s="191">
        <f ca="1">IFERROR(MAX(TabCalc[[#This Row],[Max_SD]],TabCalc[[#This Row],[Max_PD]]),0)</f>
        <v>45667</v>
      </c>
      <c r="BX27" s="191" t="str" cm="1">
        <f t="array" aca="1" ref="BX27" ca="1">_xlfn.IFS(TabCalc[[#This Row],[L_TP]]&lt;0,"Purchase",TabCalc[[#This Row],[L_TP]]&gt;0,"Sale")</f>
        <v>Sale</v>
      </c>
      <c r="BY27" s="190" cm="1">
        <f t="array" aca="1" ref="BY27" ca="1">INDEX(Reg!$A$1:$KF$73,TabCalc[[#This Row],[L_I1]],TabCalc[[#This Row],[L_I2]])</f>
        <v>3000</v>
      </c>
      <c r="BZ27" s="192" cm="1">
        <f t="array" aca="1" ref="BZ27" ca="1">INDEX(Reg!$A$1:$KF$73,TabCalc[[#This Row],[L_I1]],TabCalc[[#This Row],[L_I2]]+1)</f>
        <v>8.4600000000000009</v>
      </c>
      <c r="CA27" s="161">
        <f ca="1">TabCalc[[#This Row],[NAfter]]*(TabCalc[[#This Row],[M]]-IF(TabCalc[[#This Row],[E]]&gt;0,0,TabCalc[[#This Row],[A]]))</f>
        <v>0</v>
      </c>
      <c r="CB27" s="167" cm="1">
        <f t="array" aca="1" ref="CB27" ca="1">IFERROR(MIN(_xlfn._xlws.FILTER(INDIRECT("TabReg["&amp;TabCalc[[#This Row],[Ticker]]&amp;"]"), INDIRECT("TabReg["&amp;TabCalc[[#This Row],[Ticker]]&amp;"2]")&gt;0)),0)</f>
        <v>45453</v>
      </c>
      <c r="CC27" s="178" cm="1">
        <f t="array" aca="1" ref="CC27" ca="1">IFERROR(MIN(_xlfn._xlws.FILTER(INDIRECT("TabReg["&amp;TabCalc[[#This Row],[Ticker]]&amp;"1]"), INDIRECT("TabReg["&amp;TabCalc[[#This Row],[Ticker]]&amp;"2]")&gt;0)),0)</f>
        <v>2276</v>
      </c>
      <c r="CD27" s="173" cm="1">
        <f t="array" aca="1" ref="CD27" ca="1">IFERROR(MIN(_xlfn._xlws.FILTER(INDIRECT("TabReg["&amp;TabCalc[[#This Row],[Ticker]]&amp;"2]"), INDIRECT("TabReg["&amp;TabCalc[[#This Row],[Ticker]]&amp;"2]")&gt;0)),0)</f>
        <v>4.5212000000000003</v>
      </c>
      <c r="CE27" s="167" cm="1">
        <f t="array" aca="1" ref="CE27" ca="1">IFERROR(MAX(_xlfn._xlws.FILTER(INDIRECT("TabReg["&amp;TabCalc[[#This Row],[Ticker]]&amp;"]"), INDIRECT("TabReg["&amp;TabCalc[[#This Row],[Ticker]]&amp;"2]")&gt;0)),0)</f>
        <v>45667</v>
      </c>
      <c r="CF27" s="178" cm="1">
        <f t="array" aca="1" ref="CF27" ca="1">IFERROR(MAX(_xlfn._xlws.FILTER(INDIRECT("TabReg["&amp;TabCalc[[#This Row],[Ticker]]&amp;"1]"), INDIRECT("TabReg["&amp;TabCalc[[#This Row],[Ticker]]&amp;"2]")&gt;0)),0)</f>
        <v>5000</v>
      </c>
      <c r="CG27" s="173" cm="1">
        <f t="array" aca="1" ref="CG27" ca="1">IFERROR(MAX(_xlfn._xlws.FILTER(INDIRECT("TabReg["&amp;TabCalc[[#This Row],[Ticker]]&amp;"2]"), INDIRECT("TabReg["&amp;TabCalc[[#This Row],[Ticker]]&amp;"2]")&gt;0)),0)</f>
        <v>8.4600000000000009</v>
      </c>
      <c r="CH27" s="167" cm="1">
        <f t="array" aca="1" ref="CH27" ca="1">MIN(_xlfn._xlws.FILTER(INDIRECT("TabReg["&amp;TabCalc[[#This Row],[Ticker]]&amp;"]"), INDIRECT("TabReg["&amp;TabCalc[[#This Row],[Ticker]]&amp;"2]")&lt;0))</f>
        <v>40544</v>
      </c>
      <c r="CI27" s="177" cm="1">
        <f t="array" aca="1" ref="CI27" ca="1">MIN(_xlfn._xlws.FILTER(INDIRECT("TabReg["&amp;TabCalc[[#This Row],[Ticker]]&amp;"1]"), INDIRECT("TabReg["&amp;TabCalc[[#This Row],[Ticker]]&amp;"2]")&lt;0))</f>
        <v>2276</v>
      </c>
      <c r="CJ27" s="173" cm="1">
        <f t="array" aca="1" ref="CJ27" ca="1">MIN(_xlfn._xlws.FILTER(INDIRECT("TabReg["&amp;TabCalc[[#This Row],[Ticker]]&amp;"2]"), INDIRECT("TabReg["&amp;TabCalc[[#This Row],[Ticker]]&amp;"2]")&lt;0))</f>
        <v>-17.760724956063267</v>
      </c>
      <c r="CK27" s="167" cm="1">
        <f t="array" aca="1" ref="CK27" ca="1">MAX(_xlfn._xlws.FILTER(INDIRECT("TabReg["&amp;TabCalc[[#This Row],[Ticker]]&amp;"]"), INDIRECT("TabReg["&amp;TabCalc[[#This Row],[Ticker]]&amp;"2]")&lt;0))</f>
        <v>45643</v>
      </c>
      <c r="CL27" s="177" cm="1">
        <f t="array" aca="1" ref="CL27" ca="1">MAX(_xlfn._xlws.FILTER(INDIRECT("TabReg["&amp;TabCalc[[#This Row],[Ticker]]&amp;"1]"), INDIRECT("TabReg["&amp;TabCalc[[#This Row],[Ticker]]&amp;"2]")&lt;0))</f>
        <v>7724</v>
      </c>
      <c r="CM27" s="173" cm="1">
        <f t="array" aca="1" ref="CM27" ca="1">MAX(_xlfn._xlws.FILTER(INDIRECT("TabReg["&amp;TabCalc[[#This Row],[Ticker]]&amp;"2]"), INDIRECT("TabReg["&amp;TabCalc[[#This Row],[Ticker]]&amp;"2]")&lt;0))</f>
        <v>-3.8536000000000001</v>
      </c>
      <c r="CN27" s="167" cm="1">
        <f t="array" aca="1" ref="CN27" ca="1">IFERROR(_xlfn.XLOOKUP(TabCalc[[#This Row],[BS2P]],INDIRECT("TabReg["&amp;TabCalc[[#This Row],[Ticker]]&amp;"2]"),INDIRECT("TabReg["&amp;TabCalc[[#This Row],[Ticker]]&amp;"]")),0)</f>
        <v>45490</v>
      </c>
      <c r="CO27" s="178" cm="1">
        <f t="array" aca="1" ref="CO27" ca="1">IFERROR(_xlfn.XLOOKUP(TabCalc[[#This Row],[BS2P]],INDIRECT("TabReg["&amp;TabCalc[[#This Row],[Ticker]]&amp;"2]"),INDIRECT("TabReg["&amp;TabCalc[[#This Row],[Ticker]]&amp;"1]")),0)</f>
        <v>2724</v>
      </c>
      <c r="CP27" s="173">
        <f ca="1">_xlfn.MAXIFS(INDIRECT("TabReg["&amp;TabCalc[[#This Row],[Ticker]]&amp;"2]"), INDIRECT("TabReg["&amp;TabCalc[[#This Row],[Ticker]]&amp;"2]"), "&lt;" &amp; MAX(INDIRECT("TabReg["&amp;TabCalc[[#This Row],[Ticker]]&amp;"2]")))</f>
        <v>5.0339</v>
      </c>
      <c r="CQ27" s="167" cm="1">
        <f t="array" aca="1" ref="CQ27" ca="1">IFERROR(_xlfn.XLOOKUP(TabCalc[[#This Row],[WB2P]],INDIRECT("TabReg["&amp;TabCalc[[#This Row],[Ticker]]&amp;"2]"),INDIRECT("TabReg["&amp;TabCalc[[#This Row],[Ticker]]&amp;"]")),0)</f>
        <v>45643</v>
      </c>
      <c r="CR27" s="178" cm="1">
        <f t="array" aca="1" ref="CR27" ca="1">IFERROR(_xlfn.XLOOKUP(TabCalc[[#This Row],[WB2P]],INDIRECT("TabReg["&amp;TabCalc[[#This Row],[Ticker]]&amp;"2]"),INDIRECT("TabReg["&amp;TabCalc[[#This Row],[Ticker]]&amp;"1]")),0)</f>
        <v>3000</v>
      </c>
      <c r="CS27" s="173">
        <f ca="1">_xlfn.MINIFS(INDIRECT("TabReg["&amp;TabCalc[[#This Row],[Ticker]]&amp;"2]"), INDIRECT("TabReg["&amp;TabCalc[[#This Row],[Ticker]]&amp;"2]"), "&gt;" &amp; MIN(INDIRECT("TabReg["&amp;TabCalc[[#This Row],[Ticker]]&amp;"2]")))</f>
        <v>-7.42</v>
      </c>
      <c r="CT27" s="405">
        <f ca="1">IF(TabCalc[[#This Row],[M]]&lt;TabCalc[[#This Row],[L_Sp]],DesiredBuyGain/(TabCalc[[#This Row],[L_Sp]]-TabCalc[[#This Row],[M]]),0)</f>
        <v>0</v>
      </c>
      <c r="CU27" s="406">
        <f ca="1">IF(TabCalc[[#This Row],[ntoBuy]]*TabCalc[[#This Row],[M]]&lt;=0,0,TabCalc[[#This Row],[ntoBuy]]*TabCalc[[#This Row],[M]])</f>
        <v>0</v>
      </c>
      <c r="CV27" s="406">
        <f ca="1">IF(TabCalc[[#This Row],[M]]&gt;ABS(TabCalc[[#This Row],[L_Bp]]),MIN(TabCalc[[#This Row],[NAfter]],DesiredSaleGain/(TabCalc[[#This Row],[M]]+TabCalc[[#This Row],[L_Bp]])),0)/TabCalc[[#This Row],[Scale]]</f>
        <v>0</v>
      </c>
      <c r="CW27" s="407">
        <f ca="1">TabCalc[[#This Row],[ntoSell]]*TabCalc[[#This Row],[M]]</f>
        <v>0</v>
      </c>
      <c r="CX27" s="400">
        <f ca="1">_xlfn.LET(_xlpm.nToSell,IF(TabCalc[[#This Row],[M]]-TabCalc[[#This Row],[A]]&lt;=0,"",INT(DesiredSaleGain/(TabCalc[[#This Row],[M]]-IF(TabCalc[[#This Row],[E]]&gt;0,0,TabCalc[[#This Row],[A]])))),IF(_xlpm.nToSell&lt;=TabCalc[[#This Row],[NAfter]],_xlpm.nToSell,0))</f>
        <v>0</v>
      </c>
      <c r="CY27" s="338">
        <f ca="1">IFERROR(TabCalc[[#This Row],[NMA]]*TabCalc[[#This Row],[M]],"")</f>
        <v>0</v>
      </c>
      <c r="CZ27" s="337" cm="1">
        <f t="array" aca="1" ref="CZ27" ca="1">_xlfn.IFS(TabCalc[[#This Row],[M]]&gt;= TabCalc[[#This Row],[L_Sp]],(TabCalc[[#This Row],[M]]-TabCalc[[#This Row],[A]])*TabCalc[[#This Row],[NAfter]]*TabCalc[[#This Row],[Scale]],           TabCalc[[#This Row],[M]]&lt; TabCalc[[#This Row],[L_Sp]],(TabCalc[[#This Row],[M]]-TabCalc[[#This Row],[A]])*TabCalc[[#This Row],[NAfter]]*TabCalc[[#This Row],[Scale]],               TRUE,"")</f>
        <v>0</v>
      </c>
      <c r="DA27" s="90">
        <f ca="1">IFERROR((TabCalc[[#This Row],[M]]+TabCalc[[#This Row],[L_Bp]])/ABS(TabCalc[[#This Row],[L_Bp]])/(TODAY()-TabCalc[[#This Row],[L_Bdate]])*360,"")</f>
        <v>0.70528663572246686</v>
      </c>
      <c r="DB27" s="312">
        <f ca="1">MEDIAN(DataShift!F727:Z727)</f>
        <v>2.235E-3</v>
      </c>
      <c r="DC27" s="312" t="str" cm="1">
        <f t="array" aca="1" ref="DC2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27" s="88" t="s">
        <v>24</v>
      </c>
      <c r="DN27" s="81">
        <v>2276</v>
      </c>
      <c r="DO27" s="317">
        <v>-17.760724956063267</v>
      </c>
    </row>
    <row r="28" spans="1:119">
      <c r="A28" s="120" t="str">
        <f ca="1">_xlfn.XLOOKUP(TabCalc[[#This Row],[Ticker]],[1]!RTData[Ticker symbol],[1]!RTData[Currency])</f>
        <v>USD</v>
      </c>
      <c r="B28" s="121">
        <f ca="1">IF(TabCalc[[#This Row],[Cur]]="GBP",0.01,1)</f>
        <v>1</v>
      </c>
      <c r="C28" s="82">
        <f ca="1">_xlfn.XLOOKUP(TabCalc[[#This Row],[Ticker]],DM$3:DM$96,DN$3:DN$96)</f>
        <v>2000</v>
      </c>
      <c r="D28" s="1254">
        <f ca="1">_xlfn.XLOOKUP(TabCalc[[#This Row],[Ticker]],DM$3:DM$96,DO$3:DO$96)</f>
        <v>-27.376550000000002</v>
      </c>
      <c r="E28" s="121">
        <f t="shared" ca="1" si="0"/>
        <v>-54753.100000000006</v>
      </c>
      <c r="F28" s="82">
        <f ca="1">TabCalc[[#This Row],[NAfter]]*TabCalc[[#This Row],[M]]*TabCalc[[#This Row],[Scale]]</f>
        <v>80.900000000000006</v>
      </c>
      <c r="G28" s="82">
        <f ca="1">IFERROR(TabCalc[[#This Row],[SB]]-TabCalc[[#This Row],[SST]],TabCalc[[#This Row],[SB]])</f>
        <v>10</v>
      </c>
      <c r="H28" s="535" t="str">
        <f ca="1">[1]!RTData[[#This Row],[Ticker symbol]]</f>
        <v>LUMN</v>
      </c>
      <c r="I28" s="385">
        <f ca="1">[1]!RTData[[#This Row],[M-Price]]</f>
        <v>8.09</v>
      </c>
      <c r="J28" s="384">
        <v>68.096917293233076</v>
      </c>
      <c r="K28" s="383">
        <f>[1]!RTData[[#This Row],[1YT]]</f>
        <v>5.2436400000000001</v>
      </c>
      <c r="L28" s="384">
        <f ca="1">IF(OR(TabCalc[[#This Row],[NAfter]]=0,TabCalc[[#This Row],[EfCost]]&gt;0),0,TabCalc[[#This Row],[EfCost]]/TabCalc[[#This Row],[NAfter]]/TabCalc[[#This Row],[Scale]])</f>
        <v>0</v>
      </c>
      <c r="M28" s="744">
        <f ca="1">[1]!RTData[[#This Row],[Change%]]</f>
        <v>3.8511000000000004E-2</v>
      </c>
      <c r="N28" s="1172">
        <v>0</v>
      </c>
      <c r="O28" s="966">
        <f>TabCalc[[#This Row],[Up20]]-1+TabCalc[[#This Row],[Up20]]</f>
        <v>-1</v>
      </c>
      <c r="P28" s="966">
        <f>TabCalc[[#This Row],[Up20]]-TabCalc[[#This Row],[Up150]]</f>
        <v>0</v>
      </c>
      <c r="Q28" s="966">
        <v>0</v>
      </c>
      <c r="R28" s="966">
        <f>TabCalc[[#This Row],[Up150]]-1+TabCalc[[#This Row],[Up150]]</f>
        <v>-1</v>
      </c>
      <c r="S28" s="966">
        <f ca="1">IFERROR(SUMPRODUCT(DataShift!F1520:Z1520,DataShift!AB727:AV727)/SQRT(SUMPRODUCT(DataShift!F1520:Z1520,DataShift!F1520:Z1520)*SUMPRODUCT(DataShift!AB727:AV727,DataShift!AB727:AV727)),0)</f>
        <v>-0.59593475640271043</v>
      </c>
      <c r="T28" s="966">
        <f ca="1">IFERROR(SUMPRODUCT(DataShift!F1520:Z1520,DataShift!F728:Z728)/SQRT(SUMPRODUCT(DataShift!F1520:Z1520,DataShift!F1520:Z1520)*SUMPRODUCT(DataShift!F728:Z728,DataShift!F728:Z728)),0)</f>
        <v>6.0708117512768979E-2</v>
      </c>
      <c r="U28" s="1107">
        <v>0</v>
      </c>
      <c r="V28" s="1107">
        <v>2660</v>
      </c>
      <c r="W28" s="1107">
        <v>0</v>
      </c>
      <c r="X28" s="966" t="str">
        <f ca="1">IF(TabCalc[[#This Row],[EfCost]]+TabCalc[[#This Row],[M_V]]&lt;TabCalc[[#This Row],[NoT_GL]],"Pile","")</f>
        <v/>
      </c>
      <c r="Y2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-221 = $ -1,788</v>
      </c>
      <c r="Z28" s="213">
        <f ca="1">MIN(TabCalc[[#This Row],[L_Bn]],TabCalc[[#This Row],[NAfter]])*(TabCalc[[#This Row],[M]]+TabCalc[[#This Row],[L_Bp]])*TabCalc[[#This Row],[Scale]]</f>
        <v>30.216999999999999</v>
      </c>
      <c r="AA28" s="210" cm="1">
        <f t="array" aca="1" ref="AA28" ca="1">_xlfn.XLOOKUP(TabCalc[[#This Row],[L_Bp]],INDIRECT("TabReg["&amp;TabCalc[[#This Row],[Ticker]]&amp;"2]"),INDIRECT("TabReg["&amp;TabCalc[[#This Row],[Ticker]]&amp;"]"))</f>
        <v>45684</v>
      </c>
      <c r="AB28" s="181" cm="1">
        <f t="array" aca="1" ref="AB28" ca="1">_xlfn.XLOOKUP(TabCalc[[#This Row],[L_Bp]],INDIRECT("TabReg["&amp;TabCalc[[#This Row],[Ticker]]&amp;"2]"),INDIRECT("TabReg["&amp;TabCalc[[#This Row],[Ticker]]&amp;"1]"))</f>
        <v>2000</v>
      </c>
      <c r="AC28" s="192" cm="1">
        <f t="array" aca="1" ref="AC28" ca="1">IFERROR(INDEX(INDIRECT("TabReg["&amp;TabCalc[[#This Row],[Ticker]]&amp;"2]"),    _xlfn.XMATCH(    MAX(    _xlfn._xlws.FILTER(INDIRECT("TabReg["&amp;TabCalc[[#This Row],[Ticker]]&amp;"]"), INDIRECT("TabReg["&amp;TabCalc[[#This Row],[Ticker]]&amp;"2]")&lt;0)     ), INDIRECT("TabReg["&amp;TabCalc[[#This Row],[Ticker]]&amp;"]"),      0)), "")</f>
        <v>-5.0682999999999998</v>
      </c>
      <c r="AD28" s="213">
        <f ca="1">IFERROR(MIN(TabCalc[[#This Row],[L_B1n]],TabCalc[[#This Row],[NAfter]])*(TabCalc[[#This Row],[M]]+TabCalc[[#This Row],[L_B1p]])*TabCalc[[#This Row],[Scale]],"")</f>
        <v>51.099999999999994</v>
      </c>
      <c r="AE28" s="210" cm="1">
        <f t="array" aca="1" ref="AE2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45506</v>
      </c>
      <c r="AF28" s="181" cm="1">
        <f t="array" aca="1" ref="AF28" ca="1">IFERROR(_xlfn.XLOOKUP(TabCalc[[#This Row],[L_B1D]],INDIRECT("TabReg["&amp;TabCalc[[#This Row],[Ticker]]&amp;"]"),INDIRECT("TabReg["&amp;TabCalc[[#This Row],[Ticker]]&amp;"1]")),0)</f>
        <v>15000</v>
      </c>
      <c r="AG28" s="192" cm="1">
        <f t="array" aca="1" ref="AG28" ca="1">IFERROR(_xlfn.XLOOKUP(TabCalc[[#This Row],[L_B1D]],INDIRECT("TabReg["&amp;TabCalc[[#This Row],[Ticker]]&amp;"]"),INDIRECT("TabReg["&amp;TabCalc[[#This Row],[Ticker]]&amp;"2]")),0)</f>
        <v>-2.98</v>
      </c>
      <c r="AH28" s="302">
        <f ca="1">IFERROR(TabCalc[[#This Row],[L_Sn]]*(TabCalc[[#This Row],[L_Sp]]-TabCalc[[#This Row],[M]])*TabCalc[[#This Row],[Scale]],"")</f>
        <v>-1277.1000000000001</v>
      </c>
      <c r="AI28" s="210" cm="1">
        <f t="array" aca="1" ref="AI28" ca="1">IFERROR(_xlfn.XLOOKUP(TabCalc[[#This Row],[L_Sp]],INDIRECT("TabReg["&amp;TabCalc[[#This Row],[Ticker]]&amp;"2]"),INDIRECT("TabReg["&amp;TabCalc[[#This Row],[Ticker]]&amp;"]")),0)</f>
        <v>45939</v>
      </c>
      <c r="AJ28" s="181" cm="1">
        <f t="array" aca="1" ref="AJ28" ca="1">IFERROR(_xlfn.XLOOKUP(TabCalc[[#This Row],[L_Sp]],INDIRECT("TabReg["&amp;TabCalc[[#This Row],[Ticker]]&amp;"2]"),INDIRECT("TabReg["&amp;TabCalc[[#This Row],[Ticker]]&amp;"1]")),0)</f>
        <v>990</v>
      </c>
      <c r="AK28" s="192" cm="1">
        <f t="array" aca="1" ref="AK28" ca="1">IFERROR(INDEX(INDIRECT("TabReg["&amp;TabCalc[[#This Row],[Ticker]]&amp;"2]"), _xlfn.XMATCH(MAX(_xlfn._xlws.FILTER(INDIRECT("TabReg["&amp;TabCalc[[#This Row],[Ticker]]&amp;"]"), INDIRECT("TabReg["&amp;TabCalc[[#This Row],[Ticker]]&amp;"2]")&gt;0)), INDIRECT("TabReg["&amp;TabCalc[[#This Row],[Ticker]]&amp;"]"), 0)), 0)</f>
        <v>6.8</v>
      </c>
      <c r="AL28" s="214">
        <f ca="1">IFERROR(TabCalc[[#This Row],[L_S1n]]*(TabCalc[[#This Row],[L_S1p]]-TabCalc[[#This Row],[M]])*TabCalc[[#This Row],[Scale]],0)</f>
        <v>-2530.0000000000005</v>
      </c>
      <c r="AM28" s="210" cm="1">
        <f t="array" aca="1" ref="AM2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N28" s="181" cm="1">
        <f t="array" aca="1" ref="AN28" ca="1">IFERROR(_xlfn.XLOOKUP(TabCalc[[#This Row],[L_S1D]],INDIRECT("TabReg["&amp;TabCalc[[#This Row],[Ticker]]&amp;"]"),INDIRECT("TabReg["&amp;TabCalc[[#This Row],[Ticker]]&amp;"1]")),0)</f>
        <v>1000</v>
      </c>
      <c r="AO28" s="384" cm="1">
        <f t="array" aca="1" ref="AO28" ca="1">IFERROR(_xlfn.XLOOKUP(TabCalc[[#This Row],[L_S1D]],INDIRECT("TabReg["&amp;TabCalc[[#This Row],[Ticker]]&amp;"]"),INDIRECT("TabReg["&amp;TabCalc[[#This Row],[Ticker]]&amp;"2]")),0)</f>
        <v>5.56</v>
      </c>
      <c r="AP28" s="336">
        <f ca="1">_xlfn.LET(_xlpm.MVOpen,[1]!RTData[[#This Row],[Open]]*TabCalc[[#This Row],[NAfter]],_xlpm.MVNow,TabCalc[[#This Row],[M]]*TabCalc[[#This Row],[NAfter]],_xlpm.MVNow-_xlpm.MVOpen)*TabCalc[[#This Row],[Scale]]</f>
        <v>0.60000000000000853</v>
      </c>
      <c r="AQ28" s="336">
        <f ca="1">_xlfn.LET(_xlpm.MVToday,DataShift!AV528,         _xlpm.MVY,DataShift!AU529,        _xlpm.MVYY, DataShift!AT529,                                IF(_xlpm.MVToday=_xlpm.MVY,_xlpm.MVY-_xlpm.MVYY,_xlpm.MVToday-_xlpm.MVY))</f>
        <v>50</v>
      </c>
      <c r="AR28" s="336">
        <f ca="1">_xlfn.LET(_xlpm.MVToday,DataShift!AV528,         _xlpm.MVY,DataShift!AU529,        _xlpm.MVYY, DataShift!AT529,         _xlpm.MVYYY, DataShift!AS529,                      IF(_xlpm.MVToday=_xlpm.MVY,      _xlpm.MVYY-_xlpm.MVYYY,          _xlpm.MVY-_xlpm.MVYY))</f>
        <v>60860</v>
      </c>
      <c r="AS28" s="1078">
        <f ca="1">TabCalc[[#This Row],[Y]]/TabCalc[[#This Row],[M]]</f>
        <v>0.64816316440049448</v>
      </c>
      <c r="AT28" s="299" t="str" cm="1">
        <f t="array" aca="1" ref="AT28" ca="1">IFERROR(_xlfn.IFS(          TabCalc[[#This Row],[E]]&gt;0, "Free Trade",      TabCalc[[#This Row],[A]]&lt;MIN(TabCalc[[#This Row],[L_Sp]],TabCalc[[#This Row],[M]]), "Buy",            TabCalc[[#This Row],[M]]&lt;TabCalc[[#This Row],[L_Sp]],       "Refill",       TabCalc[[#This Row],[M]]&gt;TabCalc[[#This Row],[L_Sp]],"S_more"),"")</f>
        <v>S_more</v>
      </c>
      <c r="AU28" s="299" t="str">
        <f ca="1">IF(           AND(TabCalc[[#This Row],[E]]&lt;=0,          TabCalc[[#This Row],[A]]&gt;MIN(TabCalc[[#This Row],[M]],TabCalc[[#This Row],[L_Sp]]),             TabCalc[[#This Row],[L_Sp]]&lt;=TabCalc[[#This Row],[M]]),                       "S_more","")</f>
        <v>S_more</v>
      </c>
      <c r="AV28" s="82" t="str" cm="1">
        <f t="array" aca="1" ref="AV28" ca="1">IFERROR(_xlfn.IFS(TabCalc[[#This Row],[E]]&gt;0,"Free trade",                 TabCalc[[#This Row],[A]]&lt;MAX(ABS(TabCalc[[#This Row],[L_Bp]]),TabCalc[[#This Row],[A]]),"Sell",             TabCalc[[#This Row],[M]]&gt;ABS(TabCalc[[#This Row],[L_Bp]]),"Resell",             TabCalc[[#This Row],[M]]&lt;ABS(TabCalc[[#This Row],[L_Bp]]),"B_more"),"")</f>
        <v>Resell</v>
      </c>
      <c r="AW28" s="82">
        <f ca="1">TabCalc[[#This Row],[NAfter]]-TabCalc[[#This Row],[Nbegin]]</f>
        <v>-1990</v>
      </c>
      <c r="AX28" s="307">
        <f ca="1">IFERROR((TabCalc[[#This Row],[M]]-TabCalc[[#This Row],[Y]])*(TabCalc[[#This Row],[M]]-TabCalc[[#This Row],[Y]])*(TabCalc[[#This Row],[M]]-TabCalc[[#This Row],[Y]])/(TabCalc[[#This Row],[Y]]*TabCalc[[#This Row],[M]]),"")</f>
        <v>0.54361082152651619</v>
      </c>
      <c r="AY28" s="82">
        <f t="shared" ca="1" si="1"/>
        <v>1990</v>
      </c>
      <c r="AZ28" s="90">
        <f ca="1">[1]!RTData[[#This Row],[V/VA]]</f>
        <v>1.5440348459384818</v>
      </c>
      <c r="BA28" s="90" t="str" cm="1">
        <f t="array" aca="1" ref="BA28" ca="1">IFERROR(_xlfn.IFS(TabCalc[[#This Row],[Cur]]="USD",Timer!F$27,TabCalc[[#This Row],[Cur]]="EUR",Timer!F$18,TabCalc[[#This Row],[Cur]]="GBP",Timer!F$12,TabCalc[[#This Row],[Cur]]="CAD",Timer!F$27,TabCalc[[#This Row],[Cur]]="JPY",Timer!F$31,TabCalc[[#This Row],[Cur]]="CHF",Timer!F$18),"Timing")</f>
        <v>None-Working Day</v>
      </c>
      <c r="BB28" s="90">
        <f ca="1">IF(ISNUMBER(TabCalc[[#This Row],[TimeEX]]),TabCalc[[#This Row],[V/VA]]/TabCalc[[#This Row],[TimeEX]],TabCalc[[#This Row],[V/VA]])</f>
        <v>1.5440348459384818</v>
      </c>
      <c r="BC28" s="87" cm="1">
        <f t="array" aca="1" ref="BC28" ca="1">INDEX(TabReg[], 1, _xlfn.XMATCH(TabCalc[[#This Row],[Ticker]]&amp;1, TabReg[#Headers], 0))</f>
        <v>2000</v>
      </c>
      <c r="BD28" s="161">
        <f ca="1">TabCalc[[#This Row],[Nbegin]]*TabCalc[[#This Row],[M]]*TabCalc[[#This Row],[Scale]]+TabCalc[[#This Row],[ValueBegin]]</f>
        <v>-38573.100000000006</v>
      </c>
      <c r="BE28" s="336" t="str" cm="1">
        <f t="array" aca="1" ref="BE28" ca="1">_xlfn.IFS(TabCalc[[#This Row],[Cost+Gain]]&gt;0,"Free",             TabCalc[[#This Row],[GL]]&gt;0,"Gainer",                TRUE,"Looser")</f>
        <v>Free</v>
      </c>
      <c r="BF28" s="161">
        <f ca="1">TabCalc[[#This Row],[Tot_Paid]]-TabCalc[[#This Row],[ValueBegin]]</f>
        <v>-65129.386159999995</v>
      </c>
      <c r="BG28" s="337">
        <f ca="1">IF(TabCalc[[#This Row],[EfCost]]&gt;TabCalc[[#This Row],[ValueBegin]],       0,        TabCalc[[#This Row],[EfCost]]-TabCalc[[#This Row],[ValueBegin]]*(1+Commission))</f>
        <v>0</v>
      </c>
      <c r="BH28" s="338">
        <f ca="1">TabCalc[[#This Row],[M_V]]+TabCalc[[#This Row],[ValueBegin]]</f>
        <v>-54672.200000000004</v>
      </c>
      <c r="BI28" s="161" cm="1">
        <f t="array" aca="1" ref="BI28" ca="1">SUMPRODUCT(_xlfn._xlws.FILTER(INDIRECT("TabReg["&amp;TabCalc[[#This Row],[Ticker]]&amp;"1]") * INDIRECT("TabReg["&amp;TabCalc[[#This Row],[Ticker]]&amp;"2]"), INDIRECT("TabReg["&amp;TabCalc[[#This Row],[Ticker]]&amp;"2]")&lt;0))*(1+Commission)*TabCalc[[#This Row],[Scale]]</f>
        <v>-119882.48616</v>
      </c>
      <c r="BJ28" s="161" cm="1">
        <f t="array" aca="1" ref="BJ28" ca="1">SUMPRODUCT(IF(INDIRECT("TabReg["&amp;TabCalc[[#This Row],[Ticker]]&amp;"2]") ="", 0, INDIRECT("TabReg["&amp;TabCalc[[#This Row],[Ticker]]&amp;"1]") * INDIRECT("TabReg["&amp;TabCalc[[#This Row],[Ticker]]&amp;"2]") ))*TabCalc[[#This Row],[Scale]]</f>
        <v>14690.9</v>
      </c>
      <c r="BK28" s="161" cm="1">
        <f t="array" aca="1" ref="BK2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133913.41749999998</v>
      </c>
      <c r="BL28" s="161">
        <f ca="1">TabCalc[[#This Row],[M_V]]+TabCalc[[#This Row],[EfCost]]</f>
        <v>14771.8</v>
      </c>
      <c r="BM28" s="161">
        <f ca="1">IF(        OR( TabCalc[[#This Row],[GL]]&gt;ABS(TabCalc[[#This Row],[EfCost]]),TabCalc[[#This Row],[NAfter]]=0),             TabCalc[[#This Row],[GL]],     0)</f>
        <v>14771.8</v>
      </c>
      <c r="BN28" s="161" cm="1">
        <f t="array" aca="1" ref="BN28" ca="1">SUMPRODUCT(_xlfn._xlws.FILTER(IF(INDIRECT("TabReg["&amp;TabCalc[[#This Row],[Ticker]]&amp;"2]") ="", 0, INDIRECT("TabReg["&amp;TabCalc[[#This Row],[Ticker]]&amp;"1]")  ),  INDIRECT("TabReg["&amp;TabCalc[[#This Row],[Ticker]]&amp;"2]") &lt; 0))</f>
        <v>27000</v>
      </c>
      <c r="BO28" s="161">
        <f ca="1">TabCalc[[#This Row],[SB]]-TabCalc[[#This Row],[Nbegin]]</f>
        <v>25000</v>
      </c>
      <c r="BP28" s="161" cm="1">
        <f t="array" aca="1" ref="BP28" ca="1">IFERROR(SUMPRODUCT(_xlfn._xlws.FILTER(IF(INDIRECT("TabReg["&amp;TabCalc[[#This Row],[Ticker]]&amp;"2]") ="", 0, INDIRECT("TabReg["&amp;TabCalc[[#This Row],[Ticker]]&amp;"1]")  ),  INDIRECT("TabReg["&amp;TabCalc[[#This Row],[Ticker]]&amp;"2]") &gt; 0)),0)</f>
        <v>26990</v>
      </c>
      <c r="BQ2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8" s="176" t="str">
        <f ca="1">IF(TabCalc[[#This Row],[EfCost]]+TabCalc[[#This Row],[M_V]]&lt;TabCalc[[#This Row],[NoT_GL]],"Pile","")</f>
        <v/>
      </c>
      <c r="BS28" s="167">
        <f ca="1">[1]!RTData[[#This Row],[Last trade time]]</f>
        <v>45954.999517661716</v>
      </c>
      <c r="BT28" s="177">
        <f ca="1">(TabCalc[[#This Row],[ValueBegin]]+(TabCalc[[#This Row],[M]]-TabCalc[[#This Row],[A]])*TabCalc[[#This Row],[NAfter]])*TabCalc[[#This Row],[Scale]]</f>
        <v>-55353.169172932336</v>
      </c>
      <c r="BU28" s="189" cm="1">
        <f t="array" aca="1" ref="BU28" ca="1">_xlfn.XLOOKUP(TabCalc[[#This Row],[Ticker]],TabReg[[#Headers],[AAPL]:[UnknownX28]],Reg!B$72:KF$72)+3</f>
        <v>17</v>
      </c>
      <c r="BV28" s="190" cm="1">
        <f t="array" aca="1" ref="BV28" ca="1">_xlfn.XLOOKUP(TabCalc[[#This Row],[Ticker]],TabReg[[#Headers],[AAPL]:[UnknownX28]],Reg!B$73:KF$73)+2</f>
        <v>81</v>
      </c>
      <c r="BW28" s="191">
        <f ca="1">IFERROR(MAX(TabCalc[[#This Row],[Max_SD]],TabCalc[[#This Row],[Max_PD]]),0)</f>
        <v>45939</v>
      </c>
      <c r="BX28" s="191" t="str" cm="1">
        <f t="array" aca="1" ref="BX28" ca="1">_xlfn.IFS(TabCalc[[#This Row],[L_TP]]&lt;0,"Purchase",TabCalc[[#This Row],[L_TP]]&gt;0,"Sale")</f>
        <v>Sale</v>
      </c>
      <c r="BY28" s="190" cm="1">
        <f t="array" aca="1" ref="BY28" ca="1">INDEX(Reg!$A$1:$KF$73,TabCalc[[#This Row],[L_I1]],TabCalc[[#This Row],[L_I2]])</f>
        <v>990</v>
      </c>
      <c r="BZ28" s="192" cm="1">
        <f t="array" aca="1" ref="BZ28" ca="1">INDEX(Reg!$A$1:$KF$73,TabCalc[[#This Row],[L_I1]],TabCalc[[#This Row],[L_I2]]+1)</f>
        <v>6.8</v>
      </c>
      <c r="CA28" s="161">
        <f ca="1">TabCalc[[#This Row],[NAfter]]*(TabCalc[[#This Row],[M]]-IF(TabCalc[[#This Row],[E]]&gt;0,0,TabCalc[[#This Row],[A]]))</f>
        <v>-600.06917293233073</v>
      </c>
      <c r="CB28" s="167" cm="1">
        <f t="array" aca="1" ref="CB28" ca="1">IFERROR(MIN(_xlfn._xlws.FILTER(INDIRECT("TabReg["&amp;TabCalc[[#This Row],[Ticker]]&amp;"]"), INDIRECT("TabReg["&amp;TabCalc[[#This Row],[Ticker]]&amp;"2]")&gt;0)),0)</f>
        <v>45497</v>
      </c>
      <c r="CC28" s="178" cm="1">
        <f t="array" aca="1" ref="CC28" ca="1">IFERROR(MIN(_xlfn._xlws.FILTER(INDIRECT("TabReg["&amp;TabCalc[[#This Row],[Ticker]]&amp;"1]"), INDIRECT("TabReg["&amp;TabCalc[[#This Row],[Ticker]]&amp;"2]")&gt;0)),0)</f>
        <v>990</v>
      </c>
      <c r="CD28" s="173" cm="1">
        <f t="array" aca="1" ref="CD28" ca="1">IFERROR(MIN(_xlfn._xlws.FILTER(INDIRECT("TabReg["&amp;TabCalc[[#This Row],[Ticker]]&amp;"2]"), INDIRECT("TabReg["&amp;TabCalc[[#This Row],[Ticker]]&amp;"2]")&gt;0)),0)</f>
        <v>1.5601</v>
      </c>
      <c r="CE28" s="167" cm="1">
        <f t="array" aca="1" ref="CE28" ca="1">IFERROR(MAX(_xlfn._xlws.FILTER(INDIRECT("TabReg["&amp;TabCalc[[#This Row],[Ticker]]&amp;"]"), INDIRECT("TabReg["&amp;TabCalc[[#This Row],[Ticker]]&amp;"2]")&gt;0)),0)</f>
        <v>45939</v>
      </c>
      <c r="CF28" s="178" cm="1">
        <f t="array" aca="1" ref="CF28" ca="1">IFERROR(MAX(_xlfn._xlws.FILTER(INDIRECT("TabReg["&amp;TabCalc[[#This Row],[Ticker]]&amp;"1]"), INDIRECT("TabReg["&amp;TabCalc[[#This Row],[Ticker]]&amp;"2]")&gt;0)),0)</f>
        <v>5000</v>
      </c>
      <c r="CG28" s="173" cm="1">
        <f t="array" aca="1" ref="CG28" ca="1">IFERROR(MAX(_xlfn._xlws.FILTER(INDIRECT("TabReg["&amp;TabCalc[[#This Row],[Ticker]]&amp;"2]"), INDIRECT("TabReg["&amp;TabCalc[[#This Row],[Ticker]]&amp;"2]")&gt;0)),0)</f>
        <v>6.8</v>
      </c>
      <c r="CH28" s="167" cm="1">
        <f t="array" aca="1" ref="CH28" ca="1">MIN(_xlfn._xlws.FILTER(INDIRECT("TabReg["&amp;TabCalc[[#This Row],[Ticker]]&amp;"]"), INDIRECT("TabReg["&amp;TabCalc[[#This Row],[Ticker]]&amp;"2]")&lt;0))</f>
        <v>40544</v>
      </c>
      <c r="CI28" s="177" cm="1">
        <f t="array" aca="1" ref="CI28" ca="1">MIN(_xlfn._xlws.FILTER(INDIRECT("TabReg["&amp;TabCalc[[#This Row],[Ticker]]&amp;"1]"), INDIRECT("TabReg["&amp;TabCalc[[#This Row],[Ticker]]&amp;"2]")&lt;0))</f>
        <v>2000</v>
      </c>
      <c r="CJ28" s="173" cm="1">
        <f t="array" aca="1" ref="CJ28" ca="1">MIN(_xlfn._xlws.FILTER(INDIRECT("TabReg["&amp;TabCalc[[#This Row],[Ticker]]&amp;"2]"), INDIRECT("TabReg["&amp;TabCalc[[#This Row],[Ticker]]&amp;"2]")&lt;0))</f>
        <v>-27.376550000000002</v>
      </c>
      <c r="CK28" s="167" cm="1">
        <f t="array" aca="1" ref="CK28" ca="1">MAX(_xlfn._xlws.FILTER(INDIRECT("TabReg["&amp;TabCalc[[#This Row],[Ticker]]&amp;"]"), INDIRECT("TabReg["&amp;TabCalc[[#This Row],[Ticker]]&amp;"2]")&lt;0))</f>
        <v>45684</v>
      </c>
      <c r="CL28" s="177" cm="1">
        <f t="array" aca="1" ref="CL28" ca="1">MAX(_xlfn._xlws.FILTER(INDIRECT("TabReg["&amp;TabCalc[[#This Row],[Ticker]]&amp;"1]"), INDIRECT("TabReg["&amp;TabCalc[[#This Row],[Ticker]]&amp;"2]")&lt;0))</f>
        <v>15000</v>
      </c>
      <c r="CM28" s="173" cm="1">
        <f t="array" aca="1" ref="CM28" ca="1">MAX(_xlfn._xlws.FILTER(INDIRECT("TabReg["&amp;TabCalc[[#This Row],[Ticker]]&amp;"2]"), INDIRECT("TabReg["&amp;TabCalc[[#This Row],[Ticker]]&amp;"2]")&lt;0))</f>
        <v>-1.08</v>
      </c>
      <c r="CN28" s="167" cm="1">
        <f t="array" aca="1" ref="CN28" ca="1">IFERROR(_xlfn.XLOOKUP(TabCalc[[#This Row],[BS2P]],INDIRECT("TabReg["&amp;TabCalc[[#This Row],[Ticker]]&amp;"2]"),INDIRECT("TabReg["&amp;TabCalc[[#This Row],[Ticker]]&amp;"]")),0)</f>
        <v>45631</v>
      </c>
      <c r="CO28" s="178" cm="1">
        <f t="array" aca="1" ref="CO28" ca="1">IFERROR(_xlfn.XLOOKUP(TabCalc[[#This Row],[BS2P]],INDIRECT("TabReg["&amp;TabCalc[[#This Row],[Ticker]]&amp;"2]"),INDIRECT("TabReg["&amp;TabCalc[[#This Row],[Ticker]]&amp;"1]")),0)</f>
        <v>5000</v>
      </c>
      <c r="CP28" s="173">
        <f ca="1">_xlfn.MAXIFS(INDIRECT("TabReg["&amp;TabCalc[[#This Row],[Ticker]]&amp;"2]"), INDIRECT("TabReg["&amp;TabCalc[[#This Row],[Ticker]]&amp;"2]"), "&lt;" &amp; MAX(INDIRECT("TabReg["&amp;TabCalc[[#This Row],[Ticker]]&amp;"2]")))</f>
        <v>6.37</v>
      </c>
      <c r="CQ28" s="167" cm="1">
        <f t="array" aca="1" ref="CQ28" ca="1">IFERROR(_xlfn.XLOOKUP(TabCalc[[#This Row],[WB2P]],INDIRECT("TabReg["&amp;TabCalc[[#This Row],[Ticker]]&amp;"2]"),INDIRECT("TabReg["&amp;TabCalc[[#This Row],[Ticker]]&amp;"]")),0)</f>
        <v>45684</v>
      </c>
      <c r="CR28" s="178" cm="1">
        <f t="array" aca="1" ref="CR28" ca="1">IFERROR(_xlfn.XLOOKUP(TabCalc[[#This Row],[WB2P]],INDIRECT("TabReg["&amp;TabCalc[[#This Row],[Ticker]]&amp;"2]"),INDIRECT("TabReg["&amp;TabCalc[[#This Row],[Ticker]]&amp;"1]")),0)</f>
        <v>2000</v>
      </c>
      <c r="CS28" s="173">
        <f ca="1">_xlfn.MINIFS(INDIRECT("TabReg["&amp;TabCalc[[#This Row],[Ticker]]&amp;"2]"), INDIRECT("TabReg["&amp;TabCalc[[#This Row],[Ticker]]&amp;"2]"), "&gt;" &amp; MIN(INDIRECT("TabReg["&amp;TabCalc[[#This Row],[Ticker]]&amp;"2]")))</f>
        <v>-5.0682999999999998</v>
      </c>
      <c r="CT28" s="405">
        <f ca="1">IF(TabCalc[[#This Row],[M]]&lt;TabCalc[[#This Row],[L_Sp]],DesiredBuyGain/(TabCalc[[#This Row],[L_Sp]]-TabCalc[[#This Row],[M]]),0)</f>
        <v>0</v>
      </c>
      <c r="CU28" s="406">
        <f ca="1">IF(TabCalc[[#This Row],[ntoBuy]]*TabCalc[[#This Row],[M]]&lt;=0,0,TabCalc[[#This Row],[ntoBuy]]*TabCalc[[#This Row],[M]])</f>
        <v>0</v>
      </c>
      <c r="CV28" s="406">
        <f ca="1">IF(TabCalc[[#This Row],[M]]&gt;ABS(TabCalc[[#This Row],[L_Bp]]),MIN(TabCalc[[#This Row],[NAfter]],DesiredSaleGain/(TabCalc[[#This Row],[M]]+TabCalc[[#This Row],[L_Bp]])),0)/TabCalc[[#This Row],[Scale]]</f>
        <v>10</v>
      </c>
      <c r="CW28" s="407">
        <f ca="1">TabCalc[[#This Row],[ntoSell]]*TabCalc[[#This Row],[M]]</f>
        <v>80.900000000000006</v>
      </c>
      <c r="CX28" s="400">
        <f ca="1">_xlfn.LET(_xlpm.nToSell,IF(TabCalc[[#This Row],[M]]-TabCalc[[#This Row],[A]]&lt;=0,"",INT(DesiredSaleGain/(TabCalc[[#This Row],[M]]-IF(TabCalc[[#This Row],[E]]&gt;0,0,TabCalc[[#This Row],[A]])))),IF(_xlpm.nToSell&lt;=TabCalc[[#This Row],[NAfter]],_xlpm.nToSell,0))</f>
        <v>0</v>
      </c>
      <c r="CY28" s="338">
        <f ca="1">IFERROR(TabCalc[[#This Row],[NMA]]*TabCalc[[#This Row],[M]],"")</f>
        <v>0</v>
      </c>
      <c r="CZ28" s="337" cm="1">
        <f t="array" aca="1" ref="CZ28" ca="1">_xlfn.IFS(TabCalc[[#This Row],[M]]&gt;= TabCalc[[#This Row],[L_Sp]],(TabCalc[[#This Row],[M]]-TabCalc[[#This Row],[A]])*TabCalc[[#This Row],[NAfter]]*TabCalc[[#This Row],[Scale]],           TabCalc[[#This Row],[M]]&lt; TabCalc[[#This Row],[L_Sp]],(TabCalc[[#This Row],[M]]-TabCalc[[#This Row],[A]])*TabCalc[[#This Row],[NAfter]]*TabCalc[[#This Row],[Scale]],               TRUE,"")</f>
        <v>-600.06917293233073</v>
      </c>
      <c r="DA28" s="90">
        <f ca="1">IFERROR((TabCalc[[#This Row],[M]]+TabCalc[[#This Row],[L_Bp]])/ABS(TabCalc[[#This Row],[L_Bp]])/(TODAY()-TabCalc[[#This Row],[L_Bdate]])*360,"")</f>
        <v>0.78908289239575635</v>
      </c>
      <c r="DB28" s="312">
        <f ca="1">MEDIAN(DataShift!F728:Z728)</f>
        <v>-3.6159999999999995E-4</v>
      </c>
      <c r="DC28" s="312" t="str" cm="1">
        <f t="array" aca="1" ref="DC2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28" s="88" t="s">
        <v>25</v>
      </c>
      <c r="DN28" s="81">
        <v>2000</v>
      </c>
      <c r="DO28" s="317">
        <v>-27.376550000000002</v>
      </c>
    </row>
    <row r="29" spans="1:119">
      <c r="A29" s="120" t="str">
        <f ca="1">_xlfn.XLOOKUP(TabCalc[[#This Row],[Ticker]],[1]!RTData[Ticker symbol],[1]!RTData[Currency])</f>
        <v>USD</v>
      </c>
      <c r="B29" s="121">
        <f ca="1">IF(TabCalc[[#This Row],[Cur]]="GBP",0.01,1)</f>
        <v>1</v>
      </c>
      <c r="C29" s="82">
        <f ca="1">_xlfn.XLOOKUP(TabCalc[[#This Row],[Ticker]],DM$3:DM$96,DN$3:DN$96)</f>
        <v>200</v>
      </c>
      <c r="D29" s="1254">
        <f ca="1">_xlfn.XLOOKUP(TabCalc[[#This Row],[Ticker]],DM$3:DM$96,DO$3:DO$96)</f>
        <v>-125.15535</v>
      </c>
      <c r="E29" s="121">
        <f t="shared" ca="1" si="0"/>
        <v>-25031.07</v>
      </c>
      <c r="F29" s="82">
        <f ca="1">TabCalc[[#This Row],[NAfter]]*TabCalc[[#This Row],[M]]*TabCalc[[#This Row],[Scale]]</f>
        <v>320880</v>
      </c>
      <c r="G29" s="82">
        <f ca="1">IFERROR(TabCalc[[#This Row],[SB]]-TabCalc[[#This Row],[SST]],TabCalc[[#This Row],[SB]])</f>
        <v>12000</v>
      </c>
      <c r="H29" s="535" t="str">
        <f ca="1">[1]!RTData[[#This Row],[Ticker symbol]]</f>
        <v>MRNA</v>
      </c>
      <c r="I29" s="385">
        <f ca="1">[1]!RTData[[#This Row],[M-Price]]</f>
        <v>26.74</v>
      </c>
      <c r="J29" s="384">
        <v>5.0682999999999998</v>
      </c>
      <c r="K29" s="383">
        <f>[1]!RTData[[#This Row],[1YT]]</f>
        <v>44.3</v>
      </c>
      <c r="L29" s="384">
        <f ca="1">IF(OR(TabCalc[[#This Row],[NAfter]]=0,TabCalc[[#This Row],[EfCost]]&gt;0),0,TabCalc[[#This Row],[EfCost]]/TabCalc[[#This Row],[NAfter]]/TabCalc[[#This Row],[Scale]])</f>
        <v>-67.76683083333333</v>
      </c>
      <c r="M29" s="744">
        <f ca="1">[1]!RTData[[#This Row],[Change%]]</f>
        <v>1.8667E-2</v>
      </c>
      <c r="N29" s="1172">
        <v>0</v>
      </c>
      <c r="O29" s="966">
        <f>TabCalc[[#This Row],[Up20]]-1+TabCalc[[#This Row],[Up20]]</f>
        <v>-1</v>
      </c>
      <c r="P29" s="966">
        <f>TabCalc[[#This Row],[Up20]]-TabCalc[[#This Row],[Up150]]</f>
        <v>-0.44776119402985076</v>
      </c>
      <c r="Q29" s="966">
        <v>0.44776119402985076</v>
      </c>
      <c r="R29" s="966">
        <f>TabCalc[[#This Row],[Up150]]-1+TabCalc[[#This Row],[Up150]]</f>
        <v>-0.10447761194029853</v>
      </c>
      <c r="S29" s="966">
        <f ca="1">IFERROR(SUMPRODUCT(DataShift!F1521:Z1521,DataShift!AB728:AV728)/SQRT(SUMPRODUCT(DataShift!F1521:Z1521,DataShift!F1521:Z1521)*SUMPRODUCT(DataShift!AB728:AV728,DataShift!AB728:AV728)),0)</f>
        <v>-0.93506468191975134</v>
      </c>
      <c r="T29" s="966">
        <f ca="1">IFERROR(SUMPRODUCT(DataShift!F1521:Z1521,DataShift!F729:Z729)/SQRT(SUMPRODUCT(DataShift!F1521:Z1521,DataShift!F1521:Z1521)*SUMPRODUCT(DataShift!F729:Z729,DataShift!F729:Z729)),0)</f>
        <v>-1.7658049685966123E-2</v>
      </c>
      <c r="U29" s="1107">
        <v>10</v>
      </c>
      <c r="V29" s="1107">
        <v>0</v>
      </c>
      <c r="W29" s="1107">
        <v>0</v>
      </c>
      <c r="X29" s="966" t="str">
        <f ca="1">IF(TabCalc[[#This Row],[EfCost]]+TabCalc[[#This Row],[M_V]]&lt;TabCalc[[#This Row],[NoT_GL]],"Pile","")</f>
        <v>Pile</v>
      </c>
      <c r="Y2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9" s="213">
        <f ca="1">MIN(TabCalc[[#This Row],[L_Bn]],TabCalc[[#This Row],[NAfter]])*(TabCalc[[#This Row],[M]]+TabCalc[[#This Row],[L_Bp]])*TabCalc[[#This Row],[Scale]]</f>
        <v>-43830.000000000007</v>
      </c>
      <c r="AA29" s="210" cm="1">
        <f t="array" aca="1" ref="AA29" ca="1">_xlfn.XLOOKUP(TabCalc[[#This Row],[L_Bp]],INDIRECT("TabReg["&amp;TabCalc[[#This Row],[Ticker]]&amp;"2]"),INDIRECT("TabReg["&amp;TabCalc[[#This Row],[Ticker]]&amp;"]"))</f>
        <v>45686</v>
      </c>
      <c r="AB29" s="181" cm="1">
        <f t="array" aca="1" ref="AB29" ca="1">_xlfn.XLOOKUP(TabCalc[[#This Row],[L_Bp]],INDIRECT("TabReg["&amp;TabCalc[[#This Row],[Ticker]]&amp;"2]"),INDIRECT("TabReg["&amp;TabCalc[[#This Row],[Ticker]]&amp;"1]"))</f>
        <v>3000</v>
      </c>
      <c r="AC29" s="192" cm="1">
        <f t="array" aca="1" ref="AC29" ca="1">IFERROR(INDEX(INDIRECT("TabReg["&amp;TabCalc[[#This Row],[Ticker]]&amp;"2]"),    _xlfn.XMATCH(    MAX(    _xlfn._xlws.FILTER(INDIRECT("TabReg["&amp;TabCalc[[#This Row],[Ticker]]&amp;"]"), INDIRECT("TabReg["&amp;TabCalc[[#This Row],[Ticker]]&amp;"2]")&lt;0)     ), INDIRECT("TabReg["&amp;TabCalc[[#This Row],[Ticker]]&amp;"]"),      0)), "")</f>
        <v>-41.35</v>
      </c>
      <c r="AD29" s="213">
        <f ca="1">IFERROR(MIN(TabCalc[[#This Row],[L_B1n]],TabCalc[[#This Row],[NAfter]])*(TabCalc[[#This Row],[M]]+TabCalc[[#This Row],[L_B1p]])*TabCalc[[#This Row],[Scale]],"")</f>
        <v>-20390.000000000004</v>
      </c>
      <c r="AE29" s="210" cm="1">
        <f t="array" aca="1" ref="AE2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45664</v>
      </c>
      <c r="AF29" s="181" cm="1">
        <f t="array" aca="1" ref="AF29" ca="1">IFERROR(_xlfn.XLOOKUP(TabCalc[[#This Row],[L_B1D]],INDIRECT("TabReg["&amp;TabCalc[[#This Row],[Ticker]]&amp;"]"),INDIRECT("TabReg["&amp;TabCalc[[#This Row],[Ticker]]&amp;"1]")),0)</f>
        <v>1000</v>
      </c>
      <c r="AG29" s="192" cm="1">
        <f t="array" aca="1" ref="AG29" ca="1">IFERROR(_xlfn.XLOOKUP(TabCalc[[#This Row],[L_B1D]],INDIRECT("TabReg["&amp;TabCalc[[#This Row],[Ticker]]&amp;"]"),INDIRECT("TabReg["&amp;TabCalc[[#This Row],[Ticker]]&amp;"2]")),0)</f>
        <v>-47.13</v>
      </c>
      <c r="AH29" s="302">
        <f ca="1">IFERROR(TabCalc[[#This Row],[L_Sn]]*(TabCalc[[#This Row],[L_Sp]]-TabCalc[[#This Row],[M]])*TabCalc[[#This Row],[Scale]],"")</f>
        <v>92250</v>
      </c>
      <c r="AI29" s="210" cm="1">
        <f t="array" aca="1" ref="AI29" ca="1">IFERROR(_xlfn.XLOOKUP(TabCalc[[#This Row],[L_Sp]],INDIRECT("TabReg["&amp;TabCalc[[#This Row],[Ticker]]&amp;"2]"),INDIRECT("TabReg["&amp;TabCalc[[#This Row],[Ticker]]&amp;"]")),0)</f>
        <v>45628</v>
      </c>
      <c r="AJ29" s="181" cm="1">
        <f t="array" aca="1" ref="AJ29" ca="1">IFERROR(_xlfn.XLOOKUP(TabCalc[[#This Row],[L_Sp]],INDIRECT("TabReg["&amp;TabCalc[[#This Row],[Ticker]]&amp;"2]"),INDIRECT("TabReg["&amp;TabCalc[[#This Row],[Ticker]]&amp;"1]")),0)</f>
        <v>1500</v>
      </c>
      <c r="AK29" s="192" cm="1">
        <f t="array" aca="1" ref="AK29" ca="1">IFERROR(INDEX(INDIRECT("TabReg["&amp;TabCalc[[#This Row],[Ticker]]&amp;"2]"), _xlfn.XMATCH(MAX(_xlfn._xlws.FILTER(INDIRECT("TabReg["&amp;TabCalc[[#This Row],[Ticker]]&amp;"]"), INDIRECT("TabReg["&amp;TabCalc[[#This Row],[Ticker]]&amp;"2]")&gt;0)), INDIRECT("TabReg["&amp;TabCalc[[#This Row],[Ticker]]&amp;"]"), 0)), 0)</f>
        <v>88.24</v>
      </c>
      <c r="AL29" s="214">
        <f ca="1">IFERROR(TabCalc[[#This Row],[L_S1n]]*(TabCalc[[#This Row],[L_S1p]]-TabCalc[[#This Row],[M]])*TabCalc[[#This Row],[Scale]],0)</f>
        <v>275996</v>
      </c>
      <c r="AM29" s="210" cm="1">
        <f t="array" aca="1" ref="AM2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29" s="181" cm="1">
        <f t="array" aca="1" ref="AN29" ca="1">IFERROR(_xlfn.XLOOKUP(TabCalc[[#This Row],[L_S1D]],INDIRECT("TabReg["&amp;TabCalc[[#This Row],[Ticker]]&amp;"]"),INDIRECT("TabReg["&amp;TabCalc[[#This Row],[Ticker]]&amp;"1]")),0)</f>
        <v>2800</v>
      </c>
      <c r="AO29" s="384" cm="1">
        <f t="array" aca="1" ref="AO29" ca="1">IFERROR(_xlfn.XLOOKUP(TabCalc[[#This Row],[L_S1D]],INDIRECT("TabReg["&amp;TabCalc[[#This Row],[Ticker]]&amp;"]"),INDIRECT("TabReg["&amp;TabCalc[[#This Row],[Ticker]]&amp;"2]")),0)</f>
        <v>125.31</v>
      </c>
      <c r="AP29" s="336">
        <f ca="1">_xlfn.LET(_xlpm.MVOpen,[1]!RTData[[#This Row],[Open]]*TabCalc[[#This Row],[NAfter]],_xlpm.MVNow,TabCalc[[#This Row],[M]]*TabCalc[[#This Row],[NAfter]],_xlpm.MVNow-_xlpm.MVOpen)*TabCalc[[#This Row],[Scale]]</f>
        <v>2640</v>
      </c>
      <c r="AQ29" s="336">
        <f ca="1">_xlfn.LET(_xlpm.MVToday,DataShift!AV529,         _xlpm.MVY,DataShift!AU530,        _xlpm.MVYY, DataShift!AT530,                                IF(_xlpm.MVToday=_xlpm.MVY,_xlpm.MVY-_xlpm.MVYY,_xlpm.MVToday-_xlpm.MVY))</f>
        <v>0</v>
      </c>
      <c r="AR29" s="336">
        <f ca="1">_xlfn.LET(_xlpm.MVToday,DataShift!AV529,         _xlpm.MVY,DataShift!AU530,        _xlpm.MVYY, DataShift!AT530,         _xlpm.MVYYY, DataShift!AS530,                      IF(_xlpm.MVToday=_xlpm.MVY,      _xlpm.MVYY-_xlpm.MVYYY,          _xlpm.MVY-_xlpm.MVYY))</f>
        <v>0</v>
      </c>
      <c r="AS29" s="1078">
        <f ca="1">TabCalc[[#This Row],[Y]]/TabCalc[[#This Row],[M]]</f>
        <v>1.6566940912490651</v>
      </c>
      <c r="AT29" s="299" t="str" cm="1">
        <f t="array" aca="1" ref="AT29" ca="1">IFERROR(_xlfn.IFS(          TabCalc[[#This Row],[E]]&gt;0, "Free Trade",      TabCalc[[#This Row],[A]]&lt;MIN(TabCalc[[#This Row],[L_Sp]],TabCalc[[#This Row],[M]]), "Buy",            TabCalc[[#This Row],[M]]&lt;TabCalc[[#This Row],[L_Sp]],       "Refill",       TabCalc[[#This Row],[M]]&gt;TabCalc[[#This Row],[L_Sp]],"S_more"),"")</f>
        <v>Buy</v>
      </c>
      <c r="AU29" s="299" t="str">
        <f ca="1">IF(           AND(TabCalc[[#This Row],[E]]&lt;=0,          TabCalc[[#This Row],[A]]&gt;MIN(TabCalc[[#This Row],[M]],TabCalc[[#This Row],[L_Sp]]),             TabCalc[[#This Row],[L_Sp]]&lt;=TabCalc[[#This Row],[M]]),                       "S_more","")</f>
        <v/>
      </c>
      <c r="AV29" s="82" t="str" cm="1">
        <f t="array" aca="1" ref="AV29" ca="1">IFERROR(_xlfn.IFS(TabCalc[[#This Row],[E]]&gt;0,"Free trade",                 TabCalc[[#This Row],[A]]&lt;MAX(ABS(TabCalc[[#This Row],[L_Bp]]),TabCalc[[#This Row],[A]]),"Sell",             TabCalc[[#This Row],[M]]&gt;ABS(TabCalc[[#This Row],[L_Bp]]),"Resell",             TabCalc[[#This Row],[M]]&lt;ABS(TabCalc[[#This Row],[L_Bp]]),"B_more"),"")</f>
        <v>Sell</v>
      </c>
      <c r="AW29" s="82">
        <f ca="1">TabCalc[[#This Row],[NAfter]]-TabCalc[[#This Row],[Nbegin]]</f>
        <v>11800</v>
      </c>
      <c r="AX29" s="307">
        <f ca="1">IFERROR((TabCalc[[#This Row],[M]]-TabCalc[[#This Row],[Y]])*(TabCalc[[#This Row],[M]]-TabCalc[[#This Row],[Y]])*(TabCalc[[#This Row],[M]]-TabCalc[[#This Row],[Y]])/(TabCalc[[#This Row],[Y]]*TabCalc[[#This Row],[M]]),"")</f>
        <v>-4.570970364229745</v>
      </c>
      <c r="AY29" s="82">
        <f t="shared" ca="1" si="1"/>
        <v>0</v>
      </c>
      <c r="AZ29" s="90">
        <f ca="1">[1]!RTData[[#This Row],[V/VA]]</f>
        <v>0.66029390577287095</v>
      </c>
      <c r="BA29" s="90" t="str" cm="1">
        <f t="array" aca="1" ref="BA29" ca="1">IFERROR(_xlfn.IFS(TabCalc[[#This Row],[Cur]]="USD",Timer!F$27,TabCalc[[#This Row],[Cur]]="EUR",Timer!F$18,TabCalc[[#This Row],[Cur]]="GBP",Timer!F$12,TabCalc[[#This Row],[Cur]]="CAD",Timer!F$27,TabCalc[[#This Row],[Cur]]="JPY",Timer!F$31,TabCalc[[#This Row],[Cur]]="CHF",Timer!F$18),"Timing")</f>
        <v>None-Working Day</v>
      </c>
      <c r="BB29" s="90">
        <f ca="1">IF(ISNUMBER(TabCalc[[#This Row],[TimeEX]]),TabCalc[[#This Row],[V/VA]]/TabCalc[[#This Row],[TimeEX]],TabCalc[[#This Row],[V/VA]])</f>
        <v>0.66029390577287095</v>
      </c>
      <c r="BC29" s="87" cm="1">
        <f t="array" aca="1" ref="BC29" ca="1">INDEX(TabReg[], 1, _xlfn.XMATCH(TabCalc[[#This Row],[Ticker]]&amp;1, TabReg[#Headers], 0))</f>
        <v>200</v>
      </c>
      <c r="BD29" s="161">
        <f ca="1">TabCalc[[#This Row],[Nbegin]]*TabCalc[[#This Row],[M]]*TabCalc[[#This Row],[Scale]]+TabCalc[[#This Row],[ValueBegin]]</f>
        <v>-19683.07</v>
      </c>
      <c r="BE29" s="336" t="str" cm="1">
        <f t="array" aca="1" ref="BE29" ca="1">_xlfn.IFS(TabCalc[[#This Row],[Cost+Gain]]&gt;0,"Free",             TabCalc[[#This Row],[GL]]&gt;0,"Gainer",                TRUE,"Looser")</f>
        <v>Looser</v>
      </c>
      <c r="BF29" s="161">
        <f ca="1">TabCalc[[#This Row],[Tot_Paid]]-TabCalc[[#This Row],[ValueBegin]]</f>
        <v>-1343272.2629219999</v>
      </c>
      <c r="BG29" s="337">
        <f ca="1">IF(TabCalc[[#This Row],[EfCost]]&gt;TabCalc[[#This Row],[ValueBegin]],       0,        TabCalc[[#This Row],[EfCost]]-TabCalc[[#This Row],[ValueBegin]]*(1+Commission))</f>
        <v>-788105.81921799993</v>
      </c>
      <c r="BH29" s="338">
        <f ca="1">TabCalc[[#This Row],[M_V]]+TabCalc[[#This Row],[ValueBegin]]</f>
        <v>295848.93</v>
      </c>
      <c r="BI29" s="161" cm="1">
        <f t="array" aca="1" ref="BI29" ca="1">SUMPRODUCT(_xlfn._xlws.FILTER(INDIRECT("TabReg["&amp;TabCalc[[#This Row],[Ticker]]&amp;"1]") * INDIRECT("TabReg["&amp;TabCalc[[#This Row],[Ticker]]&amp;"2]"), INDIRECT("TabReg["&amp;TabCalc[[#This Row],[Ticker]]&amp;"2]")&lt;0))*(1+Commission)*TabCalc[[#This Row],[Scale]]</f>
        <v>-1368303.332922</v>
      </c>
      <c r="BJ29" s="161" cm="1">
        <f t="array" aca="1" ref="BJ29" ca="1">SUMPRODUCT(IF(INDIRECT("TabReg["&amp;TabCalc[[#This Row],[Ticker]]&amp;"2]") ="", 0, INDIRECT("TabReg["&amp;TabCalc[[#This Row],[Ticker]]&amp;"1]") * INDIRECT("TabReg["&amp;TabCalc[[#This Row],[Ticker]]&amp;"2]") ))*TabCalc[[#This Row],[Scale]]</f>
        <v>-813201.97</v>
      </c>
      <c r="BK29" s="161" cm="1">
        <f t="array" aca="1" ref="BK2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550118.96219999995</v>
      </c>
      <c r="BL29" s="161">
        <f ca="1">TabCalc[[#This Row],[M_V]]+TabCalc[[#This Row],[EfCost]]</f>
        <v>-492321.97</v>
      </c>
      <c r="BM29" s="161">
        <f ca="1">IF(        OR( TabCalc[[#This Row],[GL]]&gt;ABS(TabCalc[[#This Row],[EfCost]]),TabCalc[[#This Row],[NAfter]]=0),             TabCalc[[#This Row],[GL]],     0)</f>
        <v>0</v>
      </c>
      <c r="BN29" s="161" cm="1">
        <f t="array" aca="1" ref="BN29" ca="1">SUMPRODUCT(_xlfn._xlws.FILTER(IF(INDIRECT("TabReg["&amp;TabCalc[[#This Row],[Ticker]]&amp;"2]") ="", 0, INDIRECT("TabReg["&amp;TabCalc[[#This Row],[Ticker]]&amp;"1]")  ),  INDIRECT("TabReg["&amp;TabCalc[[#This Row],[Ticker]]&amp;"2]") &lt; 0))</f>
        <v>16800</v>
      </c>
      <c r="BO29" s="161">
        <f ca="1">TabCalc[[#This Row],[SB]]-TabCalc[[#This Row],[Nbegin]]</f>
        <v>16600</v>
      </c>
      <c r="BP29" s="161" cm="1">
        <f t="array" aca="1" ref="BP29" ca="1">IFERROR(SUMPRODUCT(_xlfn._xlws.FILTER(IF(INDIRECT("TabReg["&amp;TabCalc[[#This Row],[Ticker]]&amp;"2]") ="", 0, INDIRECT("TabReg["&amp;TabCalc[[#This Row],[Ticker]]&amp;"1]")  ),  INDIRECT("TabReg["&amp;TabCalc[[#This Row],[Ticker]]&amp;"2]") &gt; 0)),0)</f>
        <v>4800</v>
      </c>
      <c r="BQ2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63.93</v>
      </c>
      <c r="BR29" s="176" t="str">
        <f ca="1">IF(TabCalc[[#This Row],[EfCost]]+TabCalc[[#This Row],[M_V]]&lt;TabCalc[[#This Row],[NoT_GL]],"Pile","")</f>
        <v>Pile</v>
      </c>
      <c r="BS29" s="167">
        <f ca="1">[1]!RTData[[#This Row],[Last trade time]]</f>
        <v>45954.999891851563</v>
      </c>
      <c r="BT29" s="177">
        <f ca="1">(TabCalc[[#This Row],[ValueBegin]]+(TabCalc[[#This Row],[M]]-TabCalc[[#This Row],[A]])*TabCalc[[#This Row],[NAfter]])*TabCalc[[#This Row],[Scale]]</f>
        <v>235029.32999999996</v>
      </c>
      <c r="BU29" s="189" cm="1">
        <f t="array" aca="1" ref="BU29" ca="1">_xlfn.XLOOKUP(TabCalc[[#This Row],[Ticker]],TabReg[[#Headers],[AAPL]:[UnknownX28]],Reg!B$72:KF$72)+3</f>
        <v>16</v>
      </c>
      <c r="BV29" s="190" cm="1">
        <f t="array" aca="1" ref="BV29" ca="1">_xlfn.XLOOKUP(TabCalc[[#This Row],[Ticker]],TabReg[[#Headers],[AAPL]:[UnknownX28]],Reg!B$73:KF$73)+2</f>
        <v>84</v>
      </c>
      <c r="BW29" s="191">
        <f ca="1">IFERROR(MAX(TabCalc[[#This Row],[Max_SD]],TabCalc[[#This Row],[Max_PD]]),0)</f>
        <v>45686</v>
      </c>
      <c r="BX29" s="191" t="str" cm="1">
        <f t="array" aca="1" ref="BX29" ca="1">_xlfn.IFS(TabCalc[[#This Row],[L_TP]]&lt;0,"Purchase",TabCalc[[#This Row],[L_TP]]&gt;0,"Sale")</f>
        <v>Purchase</v>
      </c>
      <c r="BY29" s="190" cm="1">
        <f t="array" aca="1" ref="BY29" ca="1">INDEX(Reg!$A$1:$KF$73,TabCalc[[#This Row],[L_I1]],TabCalc[[#This Row],[L_I2]])</f>
        <v>3000</v>
      </c>
      <c r="BZ29" s="192" cm="1">
        <f t="array" aca="1" ref="BZ29" ca="1">INDEX(Reg!$A$1:$KF$73,TabCalc[[#This Row],[L_I1]],TabCalc[[#This Row],[L_I2]]+1)</f>
        <v>-41.35</v>
      </c>
      <c r="CA29" s="161">
        <f ca="1">TabCalc[[#This Row],[NAfter]]*(TabCalc[[#This Row],[M]]-IF(TabCalc[[#This Row],[E]]&gt;0,0,TabCalc[[#This Row],[A]]))</f>
        <v>260060.39999999997</v>
      </c>
      <c r="CB29" s="167" cm="1">
        <f t="array" aca="1" ref="CB29" ca="1">IFERROR(MIN(_xlfn._xlws.FILTER(INDIRECT("TabReg["&amp;TabCalc[[#This Row],[Ticker]]&amp;"]"), INDIRECT("TabReg["&amp;TabCalc[[#This Row],[Ticker]]&amp;"2]")&gt;0)),0)</f>
        <v>45468</v>
      </c>
      <c r="CC29" s="178" cm="1">
        <f t="array" aca="1" ref="CC29" ca="1">IFERROR(MIN(_xlfn._xlws.FILTER(INDIRECT("TabReg["&amp;TabCalc[[#This Row],[Ticker]]&amp;"1]"), INDIRECT("TabReg["&amp;TabCalc[[#This Row],[Ticker]]&amp;"2]")&gt;0)),0)</f>
        <v>500</v>
      </c>
      <c r="CD29" s="173" cm="1">
        <f t="array" aca="1" ref="CD29" ca="1">IFERROR(MIN(_xlfn._xlws.FILTER(INDIRECT("TabReg["&amp;TabCalc[[#This Row],[Ticker]]&amp;"2]"), INDIRECT("TabReg["&amp;TabCalc[[#This Row],[Ticker]]&amp;"2]")&gt;0)),0)</f>
        <v>88.24</v>
      </c>
      <c r="CE29" s="167" cm="1">
        <f t="array" aca="1" ref="CE29" ca="1">IFERROR(MAX(_xlfn._xlws.FILTER(INDIRECT("TabReg["&amp;TabCalc[[#This Row],[Ticker]]&amp;"]"), INDIRECT("TabReg["&amp;TabCalc[[#This Row],[Ticker]]&amp;"2]")&gt;0)),0)</f>
        <v>45628</v>
      </c>
      <c r="CF29" s="178" cm="1">
        <f t="array" aca="1" ref="CF29" ca="1">IFERROR(MAX(_xlfn._xlws.FILTER(INDIRECT("TabReg["&amp;TabCalc[[#This Row],[Ticker]]&amp;"1]"), INDIRECT("TabReg["&amp;TabCalc[[#This Row],[Ticker]]&amp;"2]")&gt;0)),0)</f>
        <v>2800</v>
      </c>
      <c r="CG29" s="173" cm="1">
        <f t="array" aca="1" ref="CG29" ca="1">IFERROR(MAX(_xlfn._xlws.FILTER(INDIRECT("TabReg["&amp;TabCalc[[#This Row],[Ticker]]&amp;"2]"), INDIRECT("TabReg["&amp;TabCalc[[#This Row],[Ticker]]&amp;"2]")&gt;0)),0)</f>
        <v>136.65</v>
      </c>
      <c r="CH29" s="167" cm="1">
        <f t="array" aca="1" ref="CH29" ca="1">MIN(_xlfn._xlws.FILTER(INDIRECT("TabReg["&amp;TabCalc[[#This Row],[Ticker]]&amp;"]"), INDIRECT("TabReg["&amp;TabCalc[[#This Row],[Ticker]]&amp;"2]")&lt;0))</f>
        <v>40544</v>
      </c>
      <c r="CI29" s="177" cm="1">
        <f t="array" aca="1" ref="CI29" ca="1">MIN(_xlfn._xlws.FILTER(INDIRECT("TabReg["&amp;TabCalc[[#This Row],[Ticker]]&amp;"1]"), INDIRECT("TabReg["&amp;TabCalc[[#This Row],[Ticker]]&amp;"2]")&lt;0))</f>
        <v>200</v>
      </c>
      <c r="CJ29" s="173" cm="1">
        <f t="array" aca="1" ref="CJ29" ca="1">MIN(_xlfn._xlws.FILTER(INDIRECT("TabReg["&amp;TabCalc[[#This Row],[Ticker]]&amp;"2]"), INDIRECT("TabReg["&amp;TabCalc[[#This Row],[Ticker]]&amp;"2]")&lt;0))</f>
        <v>-132.76300000000001</v>
      </c>
      <c r="CK29" s="167" cm="1">
        <f t="array" aca="1" ref="CK29" ca="1">MAX(_xlfn._xlws.FILTER(INDIRECT("TabReg["&amp;TabCalc[[#This Row],[Ticker]]&amp;"]"), INDIRECT("TabReg["&amp;TabCalc[[#This Row],[Ticker]]&amp;"2]")&lt;0))</f>
        <v>45686</v>
      </c>
      <c r="CL29" s="177" cm="1">
        <f t="array" aca="1" ref="CL29" ca="1">MAX(_xlfn._xlws.FILTER(INDIRECT("TabReg["&amp;TabCalc[[#This Row],[Ticker]]&amp;"1]"), INDIRECT("TabReg["&amp;TabCalc[[#This Row],[Ticker]]&amp;"2]")&lt;0))</f>
        <v>3000</v>
      </c>
      <c r="CM29" s="173" cm="1">
        <f t="array" aca="1" ref="CM29" ca="1">MAX(_xlfn._xlws.FILTER(INDIRECT("TabReg["&amp;TabCalc[[#This Row],[Ticker]]&amp;"2]"), INDIRECT("TabReg["&amp;TabCalc[[#This Row],[Ticker]]&amp;"2]")&lt;0))</f>
        <v>-39.67</v>
      </c>
      <c r="CN29" s="167" cm="1">
        <f t="array" aca="1" ref="CN29" ca="1">IFERROR(_xlfn.XLOOKUP(TabCalc[[#This Row],[BS2P]],INDIRECT("TabReg["&amp;TabCalc[[#This Row],[Ticker]]&amp;"2]"),INDIRECT("TabReg["&amp;TabCalc[[#This Row],[Ticker]]&amp;"]")),0)</f>
        <v>45491</v>
      </c>
      <c r="CO29" s="178" cm="1">
        <f t="array" aca="1" ref="CO29" ca="1">IFERROR(_xlfn.XLOOKUP(TabCalc[[#This Row],[BS2P]],INDIRECT("TabReg["&amp;TabCalc[[#This Row],[Ticker]]&amp;"2]"),INDIRECT("TabReg["&amp;TabCalc[[#This Row],[Ticker]]&amp;"1]")),0)</f>
        <v>2800</v>
      </c>
      <c r="CP29" s="173">
        <f ca="1">_xlfn.MAXIFS(INDIRECT("TabReg["&amp;TabCalc[[#This Row],[Ticker]]&amp;"2]"), INDIRECT("TabReg["&amp;TabCalc[[#This Row],[Ticker]]&amp;"2]"), "&lt;" &amp; MAX(INDIRECT("TabReg["&amp;TabCalc[[#This Row],[Ticker]]&amp;"2]")))</f>
        <v>125.31</v>
      </c>
      <c r="CQ29" s="167" cm="1">
        <f t="array" aca="1" ref="CQ29" ca="1">IFERROR(_xlfn.XLOOKUP(TabCalc[[#This Row],[WB2P]],INDIRECT("TabReg["&amp;TabCalc[[#This Row],[Ticker]]&amp;"2]"),INDIRECT("TabReg["&amp;TabCalc[[#This Row],[Ticker]]&amp;"]")),0)</f>
        <v>40544</v>
      </c>
      <c r="CR29" s="178" cm="1">
        <f t="array" aca="1" ref="CR29" ca="1">IFERROR(_xlfn.XLOOKUP(TabCalc[[#This Row],[WB2P]],INDIRECT("TabReg["&amp;TabCalc[[#This Row],[Ticker]]&amp;"2]"),INDIRECT("TabReg["&amp;TabCalc[[#This Row],[Ticker]]&amp;"1]")),0)</f>
        <v>200</v>
      </c>
      <c r="CS29" s="173">
        <f ca="1">_xlfn.MINIFS(INDIRECT("TabReg["&amp;TabCalc[[#This Row],[Ticker]]&amp;"2]"), INDIRECT("TabReg["&amp;TabCalc[[#This Row],[Ticker]]&amp;"2]"), "&gt;" &amp; MIN(INDIRECT("TabReg["&amp;TabCalc[[#This Row],[Ticker]]&amp;"2]")))</f>
        <v>-125.15535</v>
      </c>
      <c r="CT29" s="405">
        <f ca="1">IF(TabCalc[[#This Row],[M]]&lt;TabCalc[[#This Row],[L_Sp]],DesiredBuyGain/(TabCalc[[#This Row],[L_Sp]]-TabCalc[[#This Row],[M]]),0)</f>
        <v>81.300813008130078</v>
      </c>
      <c r="CU29" s="406">
        <f ca="1">IF(TabCalc[[#This Row],[ntoBuy]]*TabCalc[[#This Row],[M]]&lt;=0,0,TabCalc[[#This Row],[ntoBuy]]*TabCalc[[#This Row],[M]])</f>
        <v>2173.9837398373979</v>
      </c>
      <c r="CV29" s="406">
        <f ca="1">IF(TabCalc[[#This Row],[M]]&gt;ABS(TabCalc[[#This Row],[L_Bp]]),MIN(TabCalc[[#This Row],[NAfter]],DesiredSaleGain/(TabCalc[[#This Row],[M]]+TabCalc[[#This Row],[L_Bp]])),0)/TabCalc[[#This Row],[Scale]]</f>
        <v>0</v>
      </c>
      <c r="CW29" s="407">
        <f ca="1">TabCalc[[#This Row],[ntoSell]]*TabCalc[[#This Row],[M]]</f>
        <v>0</v>
      </c>
      <c r="CX29" s="400">
        <f ca="1">_xlfn.LET(_xlpm.nToSell,IF(TabCalc[[#This Row],[M]]-TabCalc[[#This Row],[A]]&lt;=0,"",INT(DesiredSaleGain/(TabCalc[[#This Row],[M]]-IF(TabCalc[[#This Row],[E]]&gt;0,0,TabCalc[[#This Row],[A]])))),IF(_xlpm.nToSell&lt;=TabCalc[[#This Row],[NAfter]],_xlpm.nToSell,0))</f>
        <v>230</v>
      </c>
      <c r="CY29" s="338">
        <f ca="1">IFERROR(TabCalc[[#This Row],[NMA]]*TabCalc[[#This Row],[M]],"")</f>
        <v>6150.2</v>
      </c>
      <c r="CZ29" s="337" cm="1">
        <f t="array" aca="1" ref="CZ29" ca="1">_xlfn.IFS(TabCalc[[#This Row],[M]]&gt;= TabCalc[[#This Row],[L_Sp]],(TabCalc[[#This Row],[M]]-TabCalc[[#This Row],[A]])*TabCalc[[#This Row],[NAfter]]*TabCalc[[#This Row],[Scale]],           TabCalc[[#This Row],[M]]&lt; TabCalc[[#This Row],[L_Sp]],(TabCalc[[#This Row],[M]]-TabCalc[[#This Row],[A]])*TabCalc[[#This Row],[NAfter]]*TabCalc[[#This Row],[Scale]],               TRUE,"")</f>
        <v>260060.39999999997</v>
      </c>
      <c r="DA29" s="90">
        <f ca="1">IFERROR((TabCalc[[#This Row],[M]]+TabCalc[[#This Row],[L_Bp]])/ABS(TabCalc[[#This Row],[L_Bp]])/(TODAY()-TabCalc[[#This Row],[L_Bdate]])*360,"")</f>
        <v>-0.47110036275695288</v>
      </c>
      <c r="DB29" s="312">
        <f ca="1">MEDIAN(DataShift!F729:Z729)</f>
        <v>-1.6289999999999998E-3</v>
      </c>
      <c r="DC29" s="312" t="str" cm="1">
        <f t="array" aca="1" ref="DC2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29" s="88" t="s">
        <v>26</v>
      </c>
      <c r="DN29" s="81">
        <v>200</v>
      </c>
      <c r="DO29" s="317">
        <v>-125.15535</v>
      </c>
    </row>
    <row r="30" spans="1:119">
      <c r="A30" s="120" t="str">
        <f ca="1">_xlfn.XLOOKUP(TabCalc[[#This Row],[Ticker]],[1]!RTData[Ticker symbol],[1]!RTData[Currency])</f>
        <v>USD</v>
      </c>
      <c r="B30" s="121">
        <f ca="1">IF(TabCalc[[#This Row],[Cur]]="GBP",0.01,1)</f>
        <v>1</v>
      </c>
      <c r="C30" s="82">
        <f ca="1">_xlfn.XLOOKUP(TabCalc[[#This Row],[Ticker]],DM$3:DM$96,DN$3:DN$96)</f>
        <v>10000</v>
      </c>
      <c r="D30" s="1254">
        <f ca="1">_xlfn.XLOOKUP(TabCalc[[#This Row],[Ticker]],DM$3:DM$96,DO$3:DO$96)</f>
        <v>-105.48</v>
      </c>
      <c r="E30" s="121">
        <f t="shared" ca="1" si="0"/>
        <v>-1054800</v>
      </c>
      <c r="F30" s="82">
        <f ca="1">TabCalc[[#This Row],[NAfter]]*TabCalc[[#This Row],[M]]*TabCalc[[#This Row],[Scale]]</f>
        <v>5131378</v>
      </c>
      <c r="G30" s="82">
        <f ca="1">IFERROR(TabCalc[[#This Row],[SB]]-TabCalc[[#This Row],[SST]],TabCalc[[#This Row],[SB]])</f>
        <v>9800</v>
      </c>
      <c r="H30" s="535" t="str">
        <f ca="1">[1]!RTData[[#This Row],[Ticker symbol]]</f>
        <v>MSFT</v>
      </c>
      <c r="I30" s="385">
        <f ca="1">[1]!RTData[[#This Row],[M-Price]]</f>
        <v>523.61</v>
      </c>
      <c r="J30" s="384">
        <v>71.645336666666665</v>
      </c>
      <c r="K30" s="383">
        <f>[1]!RTData[[#This Row],[1YT]]</f>
        <v>620.73689999999999</v>
      </c>
      <c r="L30" s="384">
        <f ca="1">IF(OR(TabCalc[[#This Row],[NAfter]]=0,TabCalc[[#This Row],[EfCost]]&gt;0),0,TabCalc[[#This Row],[EfCost]]/TabCalc[[#This Row],[NAfter]]/TabCalc[[#This Row],[Scale]])</f>
        <v>-93.31126938775509</v>
      </c>
      <c r="M30" s="744">
        <f ca="1">[1]!RTData[[#This Row],[Change%]]</f>
        <v>5.8589999999999996E-3</v>
      </c>
      <c r="N30" s="1172">
        <v>0.42857142857142855</v>
      </c>
      <c r="O30" s="966">
        <f>TabCalc[[#This Row],[Up20]]-1+TabCalc[[#This Row],[Up20]]</f>
        <v>-0.14285714285714285</v>
      </c>
      <c r="P30" s="966">
        <f>TabCalc[[#This Row],[Up20]]-TabCalc[[#This Row],[Up150]]</f>
        <v>-2.4665981500513912E-2</v>
      </c>
      <c r="Q30" s="966">
        <v>0.45323741007194246</v>
      </c>
      <c r="R30" s="966">
        <f>TabCalc[[#This Row],[Up150]]-1+TabCalc[[#This Row],[Up150]]</f>
        <v>-9.3525179856115026E-2</v>
      </c>
      <c r="S30" s="966">
        <f ca="1">IFERROR(SUMPRODUCT(DataShift!F1522:Z1522,DataShift!AB729:AV729)/SQRT(SUMPRODUCT(DataShift!F1522:Z1522,DataShift!F1522:Z1522)*SUMPRODUCT(DataShift!AB729:AV729,DataShift!AB729:AV729)),0)</f>
        <v>-0.63925672820446466</v>
      </c>
      <c r="T30" s="966">
        <f ca="1">IFERROR(SUMPRODUCT(DataShift!F1522:Z1522,DataShift!F730:Z730)/SQRT(SUMPRODUCT(DataShift!F1522:Z1522,DataShift!F1522:Z1522)*SUMPRODUCT(DataShift!F730:Z730,DataShift!F730:Z730)),0)</f>
        <v>-0.2104761131828487</v>
      </c>
      <c r="U30" s="1107">
        <v>0</v>
      </c>
      <c r="V30" s="1107">
        <v>12000</v>
      </c>
      <c r="W30" s="1107">
        <v>0</v>
      </c>
      <c r="X30" s="966" t="str">
        <f ca="1">IF(TabCalc[[#This Row],[EfCost]]+TabCalc[[#This Row],[M_V]]&lt;TabCalc[[#This Row],[NoT_GL]],"Pile","")</f>
        <v/>
      </c>
      <c r="Y3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0" s="213">
        <f ca="1">MIN(TabCalc[[#This Row],[L_Bn]],TabCalc[[#This Row],[NAfter]])*(TabCalc[[#This Row],[M]]+TabCalc[[#This Row],[L_Bp]])*TabCalc[[#This Row],[Scale]]</f>
        <v>1466.9999999999959</v>
      </c>
      <c r="AA30" s="210" cm="1">
        <f t="array" aca="1" ref="AA30" ca="1">_xlfn.XLOOKUP(TabCalc[[#This Row],[L_Bp]],INDIRECT("TabReg["&amp;TabCalc[[#This Row],[Ticker]]&amp;"2]"),INDIRECT("TabReg["&amp;TabCalc[[#This Row],[Ticker]]&amp;"]"))</f>
        <v>45943</v>
      </c>
      <c r="AB30" s="181" cm="1">
        <f t="array" aca="1" ref="AB30" ca="1">_xlfn.XLOOKUP(TabCalc[[#This Row],[L_Bp]],INDIRECT("TabReg["&amp;TabCalc[[#This Row],[Ticker]]&amp;"2]"),INDIRECT("TabReg["&amp;TabCalc[[#This Row],[Ticker]]&amp;"1]"))</f>
        <v>150</v>
      </c>
      <c r="AC30" s="192" cm="1">
        <f t="array" aca="1" ref="AC30" ca="1">IFERROR(INDEX(INDIRECT("TabReg["&amp;TabCalc[[#This Row],[Ticker]]&amp;"2]"),    _xlfn.XMATCH(    MAX(    _xlfn._xlws.FILTER(INDIRECT("TabReg["&amp;TabCalc[[#This Row],[Ticker]]&amp;"]"), INDIRECT("TabReg["&amp;TabCalc[[#This Row],[Ticker]]&amp;"2]")&lt;0)     ), INDIRECT("TabReg["&amp;TabCalc[[#This Row],[Ticker]]&amp;"]"),      0)), "")</f>
        <v>-513.83000000000004</v>
      </c>
      <c r="AD30" s="213">
        <f ca="1">IFERROR(MIN(TabCalc[[#This Row],[L_B1n]],TabCalc[[#This Row],[NAfter]])*(TabCalc[[#This Row],[M]]+TabCalc[[#This Row],[L_B1p]])*TabCalc[[#This Row],[Scale]],"")</f>
        <v>21777</v>
      </c>
      <c r="AE30" s="210" cm="1">
        <f t="array" aca="1" ref="AE3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45764</v>
      </c>
      <c r="AF30" s="181" cm="1">
        <f t="array" aca="1" ref="AF30" ca="1">IFERROR(_xlfn.XLOOKUP(TabCalc[[#This Row],[L_B1D]],INDIRECT("TabReg["&amp;TabCalc[[#This Row],[Ticker]]&amp;"]"),INDIRECT("TabReg["&amp;TabCalc[[#This Row],[Ticker]]&amp;"1]")),0)</f>
        <v>150</v>
      </c>
      <c r="AG30" s="192" cm="1">
        <f t="array" aca="1" ref="AG30" ca="1">IFERROR(_xlfn.XLOOKUP(TabCalc[[#This Row],[L_B1D]],INDIRECT("TabReg["&amp;TabCalc[[#This Row],[Ticker]]&amp;"]"),INDIRECT("TabReg["&amp;TabCalc[[#This Row],[Ticker]]&amp;"2]")),0)</f>
        <v>-378.43</v>
      </c>
      <c r="AH30" s="302">
        <f ca="1">IFERROR(TabCalc[[#This Row],[L_Sn]]*(TabCalc[[#This Row],[L_Sp]]-TabCalc[[#This Row],[M]])*TabCalc[[#This Row],[Scale]],"")</f>
        <v>46.499999999991815</v>
      </c>
      <c r="AI30" s="210" cm="1">
        <f t="array" aca="1" ref="AI30" ca="1">IFERROR(_xlfn.XLOOKUP(TabCalc[[#This Row],[L_Sp]],INDIRECT("TabReg["&amp;TabCalc[[#This Row],[Ticker]]&amp;"2]"),INDIRECT("TabReg["&amp;TabCalc[[#This Row],[Ticker]]&amp;"]")),0)</f>
        <v>45937</v>
      </c>
      <c r="AJ30" s="181" cm="1">
        <f t="array" aca="1" ref="AJ30" ca="1">IFERROR(_xlfn.XLOOKUP(TabCalc[[#This Row],[L_Sp]],INDIRECT("TabReg["&amp;TabCalc[[#This Row],[Ticker]]&amp;"2]"),INDIRECT("TabReg["&amp;TabCalc[[#This Row],[Ticker]]&amp;"1]")),0)</f>
        <v>150</v>
      </c>
      <c r="AK30" s="192" cm="1">
        <f t="array" aca="1" ref="AK30" ca="1">IFERROR(INDEX(INDIRECT("TabReg["&amp;TabCalc[[#This Row],[Ticker]]&amp;"2]"), _xlfn.XMATCH(MAX(_xlfn._xlws.FILTER(INDIRECT("TabReg["&amp;TabCalc[[#This Row],[Ticker]]&amp;"]"), INDIRECT("TabReg["&amp;TabCalc[[#This Row],[Ticker]]&amp;"2]")&gt;0)), INDIRECT("TabReg["&amp;TabCalc[[#This Row],[Ticker]]&amp;"]"), 0)), 0)</f>
        <v>523.91999999999996</v>
      </c>
      <c r="AL30" s="214">
        <f ca="1">IFERROR(TabCalc[[#This Row],[L_S1n]]*(TabCalc[[#This Row],[L_S1p]]-TabCalc[[#This Row],[M]])*TabCalc[[#This Row],[Scale]],0)</f>
        <v>-1673.0000000000018</v>
      </c>
      <c r="AM30" s="210" cm="1">
        <f t="array" aca="1" ref="AM3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45929</v>
      </c>
      <c r="AN30" s="181" cm="1">
        <f t="array" aca="1" ref="AN30" ca="1">IFERROR(_xlfn.XLOOKUP(TabCalc[[#This Row],[L_S1D]],INDIRECT("TabReg["&amp;TabCalc[[#This Row],[Ticker]]&amp;"]"),INDIRECT("TabReg["&amp;TabCalc[[#This Row],[Ticker]]&amp;"1]")),0)</f>
        <v>200</v>
      </c>
      <c r="AO30" s="384" cm="1">
        <f t="array" aca="1" ref="AO30" ca="1">IFERROR(_xlfn.XLOOKUP(TabCalc[[#This Row],[L_S1D]],INDIRECT("TabReg["&amp;TabCalc[[#This Row],[Ticker]]&amp;"]"),INDIRECT("TabReg["&amp;TabCalc[[#This Row],[Ticker]]&amp;"2]")),0)</f>
        <v>515.245</v>
      </c>
      <c r="AP30" s="336">
        <f ca="1">_xlfn.LET(_xlpm.MVOpen,[1]!RTData[[#This Row],[Open]]*TabCalc[[#This Row],[NAfter]],_xlpm.MVNow,TabCalc[[#This Row],[M]]*TabCalc[[#This Row],[NAfter]],_xlpm.MVNow-_xlpm.MVOpen)*TabCalc[[#This Row],[Scale]]</f>
        <v>8036</v>
      </c>
      <c r="AQ30" s="336">
        <f ca="1">_xlfn.LET(_xlpm.MVToday,DataShift!AV530,         _xlpm.MVY,DataShift!AU531,        _xlpm.MVYY, DataShift!AT531,                                IF(_xlpm.MVToday=_xlpm.MVY,_xlpm.MVY-_xlpm.MVYY,_xlpm.MVToday-_xlpm.MVY))</f>
        <v>4.9999999999997158E-2</v>
      </c>
      <c r="AR30" s="336">
        <f ca="1">_xlfn.LET(_xlpm.MVToday,DataShift!AV530,         _xlpm.MVY,DataShift!AU531,        _xlpm.MVYY, DataShift!AT531,         _xlpm.MVYYY, DataShift!AS531,                      IF(_xlpm.MVToday=_xlpm.MVY,      _xlpm.MVYY-_xlpm.MVYYY,          _xlpm.MVY-_xlpm.MVYY))</f>
        <v>3.0000000000000142</v>
      </c>
      <c r="AS30" s="1078">
        <f ca="1">TabCalc[[#This Row],[Y]]/TabCalc[[#This Row],[M]]</f>
        <v>1.1854947384503733</v>
      </c>
      <c r="AT30" s="299" t="str" cm="1">
        <f t="array" aca="1" ref="AT30" ca="1">IFERROR(_xlfn.IFS(          TabCalc[[#This Row],[E]]&gt;0, "Free Trade",      TabCalc[[#This Row],[A]]&lt;MIN(TabCalc[[#This Row],[L_Sp]],TabCalc[[#This Row],[M]]), "Buy",            TabCalc[[#This Row],[M]]&lt;TabCalc[[#This Row],[L_Sp]],       "Refill",       TabCalc[[#This Row],[M]]&gt;TabCalc[[#This Row],[L_Sp]],"S_more"),"")</f>
        <v>Buy</v>
      </c>
      <c r="AU30" s="299" t="str">
        <f ca="1">IF(           AND(TabCalc[[#This Row],[E]]&lt;=0,          TabCalc[[#This Row],[A]]&gt;MIN(TabCalc[[#This Row],[M]],TabCalc[[#This Row],[L_Sp]]),             TabCalc[[#This Row],[L_Sp]]&lt;=TabCalc[[#This Row],[M]]),                       "S_more","")</f>
        <v/>
      </c>
      <c r="AV30" s="82" t="str" cm="1">
        <f t="array" aca="1" ref="AV30" ca="1">IFERROR(_xlfn.IFS(TabCalc[[#This Row],[E]]&gt;0,"Free trade",                 TabCalc[[#This Row],[A]]&lt;MAX(ABS(TabCalc[[#This Row],[L_Bp]]),TabCalc[[#This Row],[A]]),"Sell",             TabCalc[[#This Row],[M]]&gt;ABS(TabCalc[[#This Row],[L_Bp]]),"Resell",             TabCalc[[#This Row],[M]]&lt;ABS(TabCalc[[#This Row],[L_Bp]]),"B_more"),"")</f>
        <v>Sell</v>
      </c>
      <c r="AW30" s="82">
        <f ca="1">TabCalc[[#This Row],[NAfter]]-TabCalc[[#This Row],[Nbegin]]</f>
        <v>-200</v>
      </c>
      <c r="AX30" s="307">
        <f ca="1">IFERROR((TabCalc[[#This Row],[M]]-TabCalc[[#This Row],[Y]])*(TabCalc[[#This Row],[M]]-TabCalc[[#This Row],[Y]])*(TabCalc[[#This Row],[M]]-TabCalc[[#This Row],[Y]])/(TabCalc[[#This Row],[Y]]*TabCalc[[#This Row],[M]]),"")</f>
        <v>-2.8190520041300933</v>
      </c>
      <c r="AY30" s="82">
        <f t="shared" ca="1" si="1"/>
        <v>200</v>
      </c>
      <c r="AZ30" s="90">
        <f ca="1">[1]!RTData[[#This Row],[V/VA]]</f>
        <v>0.82918306541212305</v>
      </c>
      <c r="BA30" s="90" t="str" cm="1">
        <f t="array" aca="1" ref="BA30" ca="1">IFERROR(_xlfn.IFS(TabCalc[[#This Row],[Cur]]="USD",Timer!F$27,TabCalc[[#This Row],[Cur]]="EUR",Timer!F$18,TabCalc[[#This Row],[Cur]]="GBP",Timer!F$12,TabCalc[[#This Row],[Cur]]="CAD",Timer!F$27,TabCalc[[#This Row],[Cur]]="JPY",Timer!F$31,TabCalc[[#This Row],[Cur]]="CHF",Timer!F$18),"Timing")</f>
        <v>None-Working Day</v>
      </c>
      <c r="BB30" s="90">
        <f ca="1">IF(ISNUMBER(TabCalc[[#This Row],[TimeEX]]),TabCalc[[#This Row],[V/VA]]/TabCalc[[#This Row],[TimeEX]],TabCalc[[#This Row],[V/VA]])</f>
        <v>0.82918306541212305</v>
      </c>
      <c r="BC30" s="87" cm="1">
        <f t="array" aca="1" ref="BC30" ca="1">INDEX(TabReg[], 1, _xlfn.XMATCH(TabCalc[[#This Row],[Ticker]]&amp;1, TabReg[#Headers], 0))</f>
        <v>10000</v>
      </c>
      <c r="BD30" s="161">
        <f ca="1">TabCalc[[#This Row],[Nbegin]]*TabCalc[[#This Row],[M]]*TabCalc[[#This Row],[Scale]]+TabCalc[[#This Row],[ValueBegin]]</f>
        <v>4181300</v>
      </c>
      <c r="BE30" s="336" t="str" cm="1">
        <f t="array" aca="1" ref="BE30" ca="1">_xlfn.IFS(TabCalc[[#This Row],[Cost+Gain]]&gt;0,"Free",             TabCalc[[#This Row],[GL]]&gt;0,"Gainer",                TRUE,"Looser")</f>
        <v>Free</v>
      </c>
      <c r="BF30" s="161">
        <f ca="1">TabCalc[[#This Row],[Tot_Paid]]-TabCalc[[#This Row],[ValueBegin]]</f>
        <v>-3014592.5829599998</v>
      </c>
      <c r="BG30" s="337">
        <f ca="1">IF(TabCalc[[#This Row],[EfCost]]&gt;TabCalc[[#This Row],[ValueBegin]],       0,        TabCalc[[#This Row],[EfCost]]-TabCalc[[#This Row],[ValueBegin]]*(1+Commission))</f>
        <v>0</v>
      </c>
      <c r="BH30" s="338">
        <f ca="1">TabCalc[[#This Row],[M_V]]+TabCalc[[#This Row],[ValueBegin]]</f>
        <v>4076578</v>
      </c>
      <c r="BI30" s="161" cm="1">
        <f t="array" aca="1" ref="BI30" ca="1">SUMPRODUCT(_xlfn._xlws.FILTER(INDIRECT("TabReg["&amp;TabCalc[[#This Row],[Ticker]]&amp;"1]") * INDIRECT("TabReg["&amp;TabCalc[[#This Row],[Ticker]]&amp;"2]"), INDIRECT("TabReg["&amp;TabCalc[[#This Row],[Ticker]]&amp;"2]")&lt;0))*(1+Commission)*TabCalc[[#This Row],[Scale]]</f>
        <v>-4069392.5829599998</v>
      </c>
      <c r="BJ30" s="161" cm="1">
        <f t="array" aca="1" ref="BJ30" ca="1">SUMPRODUCT(IF(INDIRECT("TabReg["&amp;TabCalc[[#This Row],[Ticker]]&amp;"2]") ="", 0, INDIRECT("TabReg["&amp;TabCalc[[#This Row],[Ticker]]&amp;"1]") * INDIRECT("TabReg["&amp;TabCalc[[#This Row],[Ticker]]&amp;"2]") ))*TabCalc[[#This Row],[Scale]]</f>
        <v>-914450.44</v>
      </c>
      <c r="BK30" s="161" cm="1">
        <f t="array" aca="1" ref="BK3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3136213.7481840001</v>
      </c>
      <c r="BL30" s="161">
        <f ca="1">TabCalc[[#This Row],[M_V]]+TabCalc[[#This Row],[EfCost]]</f>
        <v>4216927.5600000005</v>
      </c>
      <c r="BM30" s="161">
        <f ca="1">IF(        OR( TabCalc[[#This Row],[GL]]&gt;ABS(TabCalc[[#This Row],[EfCost]]),TabCalc[[#This Row],[NAfter]]=0),             TabCalc[[#This Row],[GL]],     0)</f>
        <v>4216927.5600000005</v>
      </c>
      <c r="BN30" s="161" cm="1">
        <f t="array" aca="1" ref="BN30" ca="1">SUMPRODUCT(_xlfn._xlws.FILTER(IF(INDIRECT("TabReg["&amp;TabCalc[[#This Row],[Ticker]]&amp;"2]") ="", 0, INDIRECT("TabReg["&amp;TabCalc[[#This Row],[Ticker]]&amp;"1]")  ),  INDIRECT("TabReg["&amp;TabCalc[[#This Row],[Ticker]]&amp;"2]") &lt; 0))</f>
        <v>17250</v>
      </c>
      <c r="BO30" s="161">
        <f ca="1">TabCalc[[#This Row],[SB]]-TabCalc[[#This Row],[Nbegin]]</f>
        <v>7250</v>
      </c>
      <c r="BP30" s="161" cm="1">
        <f t="array" aca="1" ref="BP30" ca="1">IFERROR(SUMPRODUCT(_xlfn._xlws.FILTER(IF(INDIRECT("TabReg["&amp;TabCalc[[#This Row],[Ticker]]&amp;"2]") ="", 0, INDIRECT("TabReg["&amp;TabCalc[[#This Row],[Ticker]]&amp;"1]")  ),  INDIRECT("TabReg["&amp;TabCalc[[#This Row],[Ticker]]&amp;"2]") &gt; 0)),0)</f>
        <v>7450</v>
      </c>
      <c r="BQ3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155.48</v>
      </c>
      <c r="BR30" s="176" t="str">
        <f ca="1">IF(TabCalc[[#This Row],[EfCost]]+TabCalc[[#This Row],[M_V]]&lt;TabCalc[[#This Row],[NoT_GL]],"Pile","")</f>
        <v/>
      </c>
      <c r="BS30" s="167">
        <f ca="1">[1]!RTData[[#This Row],[Last trade time]]</f>
        <v>45954.999993089841</v>
      </c>
      <c r="BT30" s="177">
        <f ca="1">(TabCalc[[#This Row],[ValueBegin]]+(TabCalc[[#This Row],[M]]-TabCalc[[#This Row],[A]])*TabCalc[[#This Row],[NAfter]])*TabCalc[[#This Row],[Scale]]</f>
        <v>3374453.700666667</v>
      </c>
      <c r="BU30" s="189" cm="1">
        <f t="array" aca="1" ref="BU30" ca="1">_xlfn.XLOOKUP(TabCalc[[#This Row],[Ticker]],TabReg[[#Headers],[AAPL]:[UnknownX28]],Reg!B$72:KF$72)+3</f>
        <v>24</v>
      </c>
      <c r="BV30" s="190" cm="1">
        <f t="array" aca="1" ref="BV30" ca="1">_xlfn.XLOOKUP(TabCalc[[#This Row],[Ticker]],TabReg[[#Headers],[AAPL]:[UnknownX28]],Reg!B$73:KF$73)+2</f>
        <v>87</v>
      </c>
      <c r="BW30" s="191">
        <f ca="1">IFERROR(MAX(TabCalc[[#This Row],[Max_SD]],TabCalc[[#This Row],[Max_PD]]),0)</f>
        <v>45943</v>
      </c>
      <c r="BX30" s="191" t="str" cm="1">
        <f t="array" aca="1" ref="BX30" ca="1">_xlfn.IFS(TabCalc[[#This Row],[L_TP]]&lt;0,"Purchase",TabCalc[[#This Row],[L_TP]]&gt;0,"Sale")</f>
        <v>Purchase</v>
      </c>
      <c r="BY30" s="190" cm="1">
        <f t="array" aca="1" ref="BY30" ca="1">INDEX(Reg!$A$1:$KF$73,TabCalc[[#This Row],[L_I1]],TabCalc[[#This Row],[L_I2]])</f>
        <v>150</v>
      </c>
      <c r="BZ30" s="192" cm="1">
        <f t="array" aca="1" ref="BZ30" ca="1">INDEX(Reg!$A$1:$KF$73,TabCalc[[#This Row],[L_I1]],TabCalc[[#This Row],[L_I2]]+1)</f>
        <v>-513.83000000000004</v>
      </c>
      <c r="CA30" s="161">
        <f ca="1">TabCalc[[#This Row],[NAfter]]*(TabCalc[[#This Row],[M]]-IF(TabCalc[[#This Row],[E]]&gt;0,0,TabCalc[[#This Row],[A]]))</f>
        <v>4429253.700666667</v>
      </c>
      <c r="CB30" s="167" cm="1">
        <f t="array" aca="1" ref="CB30" ca="1">IFERROR(MIN(_xlfn._xlws.FILTER(INDIRECT("TabReg["&amp;TabCalc[[#This Row],[Ticker]]&amp;"]"), INDIRECT("TabReg["&amp;TabCalc[[#This Row],[Ticker]]&amp;"2]")&gt;0)),0)</f>
        <v>40544</v>
      </c>
      <c r="CC30" s="178" cm="1">
        <f t="array" aca="1" ref="CC30" ca="1">IFERROR(MIN(_xlfn._xlws.FILTER(INDIRECT("TabReg["&amp;TabCalc[[#This Row],[Ticker]]&amp;"1]"), INDIRECT("TabReg["&amp;TabCalc[[#This Row],[Ticker]]&amp;"2]")&gt;0)),0)</f>
        <v>150</v>
      </c>
      <c r="CD30" s="173" cm="1">
        <f t="array" aca="1" ref="CD30" ca="1">IFERROR(MIN(_xlfn._xlws.FILTER(INDIRECT("TabReg["&amp;TabCalc[[#This Row],[Ticker]]&amp;"2]"), INDIRECT("TabReg["&amp;TabCalc[[#This Row],[Ticker]]&amp;"2]")&gt;0)),0)</f>
        <v>382.84870000000001</v>
      </c>
      <c r="CE30" s="167" cm="1">
        <f t="array" aca="1" ref="CE30" ca="1">IFERROR(MAX(_xlfn._xlws.FILTER(INDIRECT("TabReg["&amp;TabCalc[[#This Row],[Ticker]]&amp;"]"), INDIRECT("TabReg["&amp;TabCalc[[#This Row],[Ticker]]&amp;"2]")&gt;0)),0)</f>
        <v>45937</v>
      </c>
      <c r="CF30" s="178" cm="1">
        <f t="array" aca="1" ref="CF30" ca="1">IFERROR(MAX(_xlfn._xlws.FILTER(INDIRECT("TabReg["&amp;TabCalc[[#This Row],[Ticker]]&amp;"1]"), INDIRECT("TabReg["&amp;TabCalc[[#This Row],[Ticker]]&amp;"2]")&gt;0)),0)</f>
        <v>3000</v>
      </c>
      <c r="CG30" s="173" cm="1">
        <f t="array" aca="1" ref="CG30" ca="1">IFERROR(MAX(_xlfn._xlws.FILTER(INDIRECT("TabReg["&amp;TabCalc[[#This Row],[Ticker]]&amp;"2]"), INDIRECT("TabReg["&amp;TabCalc[[#This Row],[Ticker]]&amp;"2]")&gt;0)),0)</f>
        <v>523.91999999999996</v>
      </c>
      <c r="CH30" s="167" cm="1">
        <f t="array" aca="1" ref="CH30" ca="1">MIN(_xlfn._xlws.FILTER(INDIRECT("TabReg["&amp;TabCalc[[#This Row],[Ticker]]&amp;"]"), INDIRECT("TabReg["&amp;TabCalc[[#This Row],[Ticker]]&amp;"2]")&lt;0))</f>
        <v>40544</v>
      </c>
      <c r="CI30" s="177" cm="1">
        <f t="array" aca="1" ref="CI30" ca="1">MIN(_xlfn._xlws.FILTER(INDIRECT("TabReg["&amp;TabCalc[[#This Row],[Ticker]]&amp;"1]"), INDIRECT("TabReg["&amp;TabCalc[[#This Row],[Ticker]]&amp;"2]")&lt;0))</f>
        <v>150</v>
      </c>
      <c r="CJ30" s="173" cm="1">
        <f t="array" aca="1" ref="CJ30" ca="1">MIN(_xlfn._xlws.FILTER(INDIRECT("TabReg["&amp;TabCalc[[#This Row],[Ticker]]&amp;"2]"), INDIRECT("TabReg["&amp;TabCalc[[#This Row],[Ticker]]&amp;"2]")&lt;0))</f>
        <v>-513.83000000000004</v>
      </c>
      <c r="CK30" s="167" cm="1">
        <f t="array" aca="1" ref="CK30" ca="1">MAX(_xlfn._xlws.FILTER(INDIRECT("TabReg["&amp;TabCalc[[#This Row],[Ticker]]&amp;"]"), INDIRECT("TabReg["&amp;TabCalc[[#This Row],[Ticker]]&amp;"2]")&lt;0))</f>
        <v>45943</v>
      </c>
      <c r="CL30" s="177" cm="1">
        <f t="array" aca="1" ref="CL30" ca="1">MAX(_xlfn._xlws.FILTER(INDIRECT("TabReg["&amp;TabCalc[[#This Row],[Ticker]]&amp;"1]"), INDIRECT("TabReg["&amp;TabCalc[[#This Row],[Ticker]]&amp;"2]")&lt;0))</f>
        <v>10000</v>
      </c>
      <c r="CM30" s="173" cm="1">
        <f t="array" aca="1" ref="CM30" ca="1">MAX(_xlfn._xlws.FILTER(INDIRECT("TabReg["&amp;TabCalc[[#This Row],[Ticker]]&amp;"2]"), INDIRECT("TabReg["&amp;TabCalc[[#This Row],[Ticker]]&amp;"2]")&lt;0))</f>
        <v>-105.48</v>
      </c>
      <c r="CN30" s="167" cm="1">
        <f t="array" aca="1" ref="CN30" ca="1">IFERROR(_xlfn.XLOOKUP(TabCalc[[#This Row],[BS2P]],INDIRECT("TabReg["&amp;TabCalc[[#This Row],[Ticker]]&amp;"2]"),INDIRECT("TabReg["&amp;TabCalc[[#This Row],[Ticker]]&amp;"]")),0)</f>
        <v>45929</v>
      </c>
      <c r="CO30" s="178" cm="1">
        <f t="array" aca="1" ref="CO30" ca="1">IFERROR(_xlfn.XLOOKUP(TabCalc[[#This Row],[BS2P]],INDIRECT("TabReg["&amp;TabCalc[[#This Row],[Ticker]]&amp;"2]"),INDIRECT("TabReg["&amp;TabCalc[[#This Row],[Ticker]]&amp;"1]")),0)</f>
        <v>200</v>
      </c>
      <c r="CP30" s="173">
        <f ca="1">_xlfn.MAXIFS(INDIRECT("TabReg["&amp;TabCalc[[#This Row],[Ticker]]&amp;"2]"), INDIRECT("TabReg["&amp;TabCalc[[#This Row],[Ticker]]&amp;"2]"), "&lt;" &amp; MAX(INDIRECT("TabReg["&amp;TabCalc[[#This Row],[Ticker]]&amp;"2]")))</f>
        <v>515.245</v>
      </c>
      <c r="CQ30" s="167" cm="1">
        <f t="array" aca="1" ref="CQ30" ca="1">IFERROR(_xlfn.XLOOKUP(TabCalc[[#This Row],[WB2P]],INDIRECT("TabReg["&amp;TabCalc[[#This Row],[Ticker]]&amp;"2]"),INDIRECT("TabReg["&amp;TabCalc[[#This Row],[Ticker]]&amp;"]")),0)</f>
        <v>45495</v>
      </c>
      <c r="CR30" s="178" cm="1">
        <f t="array" aca="1" ref="CR30" ca="1">IFERROR(_xlfn.XLOOKUP(TabCalc[[#This Row],[WB2P]],INDIRECT("TabReg["&amp;TabCalc[[#This Row],[Ticker]]&amp;"2]"),INDIRECT("TabReg["&amp;TabCalc[[#This Row],[Ticker]]&amp;"1]")),0)</f>
        <v>2000</v>
      </c>
      <c r="CS30" s="173">
        <f ca="1">_xlfn.MINIFS(INDIRECT("TabReg["&amp;TabCalc[[#This Row],[Ticker]]&amp;"2]"), INDIRECT("TabReg["&amp;TabCalc[[#This Row],[Ticker]]&amp;"2]"), "&gt;" &amp; MIN(INDIRECT("TabReg["&amp;TabCalc[[#This Row],[Ticker]]&amp;"2]")))</f>
        <v>-441.04</v>
      </c>
      <c r="CT30" s="405">
        <f ca="1">IF(TabCalc[[#This Row],[M]]&lt;TabCalc[[#This Row],[L_Sp]],DesiredBuyGain/(TabCalc[[#This Row],[L_Sp]]-TabCalc[[#This Row],[M]]),0)</f>
        <v>16129.032258067355</v>
      </c>
      <c r="CU30" s="406">
        <f ca="1">IF(TabCalc[[#This Row],[ntoBuy]]*TabCalc[[#This Row],[M]]&lt;=0,0,TabCalc[[#This Row],[ntoBuy]]*TabCalc[[#This Row],[M]])</f>
        <v>8445322.5806466471</v>
      </c>
      <c r="CV30" s="406">
        <f ca="1">IF(TabCalc[[#This Row],[M]]&gt;ABS(TabCalc[[#This Row],[L_Bp]]),MIN(TabCalc[[#This Row],[NAfter]],DesiredSaleGain/(TabCalc[[#This Row],[M]]+TabCalc[[#This Row],[L_Bp]])),0)/TabCalc[[#This Row],[Scale]]</f>
        <v>511.24744376278261</v>
      </c>
      <c r="CW30" s="407">
        <f ca="1">TabCalc[[#This Row],[ntoSell]]*TabCalc[[#This Row],[M]]</f>
        <v>267694.27402863064</v>
      </c>
      <c r="CX30" s="400">
        <f ca="1">_xlfn.LET(_xlpm.nToSell,IF(TabCalc[[#This Row],[M]]-TabCalc[[#This Row],[A]]&lt;=0,"",INT(DesiredSaleGain/(TabCalc[[#This Row],[M]]-IF(TabCalc[[#This Row],[E]]&gt;0,0,TabCalc[[#This Row],[A]])))),IF(_xlpm.nToSell&lt;=TabCalc[[#This Row],[NAfter]],_xlpm.nToSell,0))</f>
        <v>11</v>
      </c>
      <c r="CY30" s="338">
        <f ca="1">IFERROR(TabCalc[[#This Row],[NMA]]*TabCalc[[#This Row],[M]],"")</f>
        <v>5759.71</v>
      </c>
      <c r="CZ30" s="337" cm="1">
        <f t="array" aca="1" ref="CZ30" ca="1">_xlfn.IFS(TabCalc[[#This Row],[M]]&gt;= TabCalc[[#This Row],[L_Sp]],(TabCalc[[#This Row],[M]]-TabCalc[[#This Row],[A]])*TabCalc[[#This Row],[NAfter]]*TabCalc[[#This Row],[Scale]],           TabCalc[[#This Row],[M]]&lt; TabCalc[[#This Row],[L_Sp]],(TabCalc[[#This Row],[M]]-TabCalc[[#This Row],[A]])*TabCalc[[#This Row],[NAfter]]*TabCalc[[#This Row],[Scale]],               TRUE,"")</f>
        <v>4429253.700666667</v>
      </c>
      <c r="DA30" s="90">
        <f ca="1">IFERROR((TabCalc[[#This Row],[M]]+TabCalc[[#This Row],[L_Bp]])/ABS(TabCalc[[#This Row],[L_Bp]])/(TODAY()-TabCalc[[#This Row],[L_Bdate]])*360,"")</f>
        <v>0.52708243822036172</v>
      </c>
      <c r="DB30" s="312">
        <f ca="1">MEDIAN(DataShift!F730:Z730)</f>
        <v>1.7778000000000002E-2</v>
      </c>
      <c r="DC30" s="312" t="str" cm="1">
        <f t="array" aca="1" ref="DC3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30" s="88" t="s">
        <v>27</v>
      </c>
      <c r="DN30" s="81">
        <v>10000</v>
      </c>
      <c r="DO30" s="317">
        <v>-105.48</v>
      </c>
    </row>
    <row r="31" spans="1:119">
      <c r="A31" s="120" t="str">
        <f ca="1">_xlfn.XLOOKUP(TabCalc[[#This Row],[Ticker]],[1]!RTData[Ticker symbol],[1]!RTData[Currency])</f>
        <v>USD</v>
      </c>
      <c r="B31" s="121">
        <f ca="1">IF(TabCalc[[#This Row],[Cur]]="GBP",0.01,1)</f>
        <v>1</v>
      </c>
      <c r="C31" s="82">
        <f ca="1">_xlfn.XLOOKUP(TabCalc[[#This Row],[Ticker]],DM$3:DM$96,DN$3:DN$96)</f>
        <v>4200</v>
      </c>
      <c r="D31" s="1254">
        <f ca="1">_xlfn.XLOOKUP(TabCalc[[#This Row],[Ticker]],DM$3:DM$96,DO$3:DO$96)</f>
        <v>-72.357823809523808</v>
      </c>
      <c r="E31" s="121">
        <f t="shared" ca="1" si="0"/>
        <v>-303902.86</v>
      </c>
      <c r="F31" s="82">
        <f ca="1">TabCalc[[#This Row],[NAfter]]*TabCalc[[#This Row],[M]]*TabCalc[[#This Row],[Scale]]</f>
        <v>33764</v>
      </c>
      <c r="G31" s="82">
        <f ca="1">IFERROR(TabCalc[[#This Row],[SB]]-TabCalc[[#This Row],[SST]],TabCalc[[#This Row],[SB]])</f>
        <v>400</v>
      </c>
      <c r="H31" s="535" t="str">
        <f ca="1">[1]!RTData[[#This Row],[Ticker symbol]]</f>
        <v>NEE</v>
      </c>
      <c r="I31" s="385">
        <f ca="1">[1]!RTData[[#This Row],[M-Price]]</f>
        <v>84.41</v>
      </c>
      <c r="J31" s="384">
        <v>333.98097959183673</v>
      </c>
      <c r="K31" s="383">
        <f>[1]!RTData[[#This Row],[1YT]]</f>
        <v>84.722219999999993</v>
      </c>
      <c r="L31" s="384">
        <f ca="1">IF(OR(TabCalc[[#This Row],[NAfter]]=0,TabCalc[[#This Row],[EfCost]]&gt;0),0,TabCalc[[#This Row],[EfCost]]/TabCalc[[#This Row],[NAfter]]/TabCalc[[#This Row],[Scale]])</f>
        <v>0</v>
      </c>
      <c r="M31" s="744">
        <f ca="1">[1]!RTData[[#This Row],[Change%]]</f>
        <v>1.3934E-2</v>
      </c>
      <c r="N31" s="1172">
        <v>0.5</v>
      </c>
      <c r="O31" s="966">
        <f>TabCalc[[#This Row],[Up20]]-1+TabCalc[[#This Row],[Up20]]</f>
        <v>0</v>
      </c>
      <c r="P31" s="966">
        <f>TabCalc[[#This Row],[Up20]]-TabCalc[[#This Row],[Up150]]</f>
        <v>-6.8181818181818232E-2</v>
      </c>
      <c r="Q31" s="966">
        <v>0.56818181818181823</v>
      </c>
      <c r="R31" s="966">
        <f>TabCalc[[#This Row],[Up150]]-1+TabCalc[[#This Row],[Up150]]</f>
        <v>0.13636363636363646</v>
      </c>
      <c r="S31" s="966">
        <f ca="1">IFERROR(SUMPRODUCT(DataShift!F1523:Z1523,DataShift!AB730:AV730)/SQRT(SUMPRODUCT(DataShift!F1523:Z1523,DataShift!F1523:Z1523)*SUMPRODUCT(DataShift!AB730:AV730,DataShift!AB730:AV730)),0)</f>
        <v>-0.71472325220237776</v>
      </c>
      <c r="T31" s="966">
        <f ca="1">IFERROR(SUMPRODUCT(DataShift!F1523:Z1523,DataShift!F731:Z731)/SQRT(SUMPRODUCT(DataShift!F1523:Z1523,DataShift!F1523:Z1523)*SUMPRODUCT(DataShift!F731:Z731,DataShift!F731:Z731)),0)</f>
        <v>8.5151042936556676E-2</v>
      </c>
      <c r="U31" s="1107">
        <v>9800</v>
      </c>
      <c r="V31" s="1107">
        <v>0</v>
      </c>
      <c r="W31" s="1107">
        <v>0</v>
      </c>
      <c r="X31" s="966" t="str">
        <f ca="1">IF(TabCalc[[#This Row],[EfCost]]+TabCalc[[#This Row],[M_V]]&lt;TabCalc[[#This Row],[NoT_GL]],"Pile","")</f>
        <v/>
      </c>
      <c r="Y3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319,337 = $ 26,955,236</v>
      </c>
      <c r="Z31" s="213">
        <f ca="1">MIN(TabCalc[[#This Row],[L_Bn]],TabCalc[[#This Row],[NAfter]])*(TabCalc[[#This Row],[M]]+TabCalc[[#This Row],[L_Bp]])*TabCalc[[#This Row],[Scale]]</f>
        <v>5363.8227999999972</v>
      </c>
      <c r="AA31" s="210" cm="1">
        <f t="array" aca="1" ref="AA31" ca="1">_xlfn.XLOOKUP(TabCalc[[#This Row],[L_Bp]],INDIRECT("TabReg["&amp;TabCalc[[#This Row],[Ticker]]&amp;"2]"),INDIRECT("TabReg["&amp;TabCalc[[#This Row],[Ticker]]&amp;"]"))</f>
        <v>45910</v>
      </c>
      <c r="AB31" s="181" cm="1">
        <f t="array" aca="1" ref="AB31" ca="1">_xlfn.XLOOKUP(TabCalc[[#This Row],[L_Bp]],INDIRECT("TabReg["&amp;TabCalc[[#This Row],[Ticker]]&amp;"2]"),INDIRECT("TabReg["&amp;TabCalc[[#This Row],[Ticker]]&amp;"1]"))</f>
        <v>4000</v>
      </c>
      <c r="AC31" s="192" cm="1">
        <f t="array" aca="1" ref="AC31" ca="1">IFERROR(INDEX(INDIRECT("TabReg["&amp;TabCalc[[#This Row],[Ticker]]&amp;"2]"),    _xlfn.XMATCH(    MAX(    _xlfn._xlws.FILTER(INDIRECT("TabReg["&amp;TabCalc[[#This Row],[Ticker]]&amp;"]"), INDIRECT("TabReg["&amp;TabCalc[[#This Row],[Ticker]]&amp;"2]")&lt;0)     ), INDIRECT("TabReg["&amp;TabCalc[[#This Row],[Ticker]]&amp;"]"),      0)), "")</f>
        <v>-71.000443000000004</v>
      </c>
      <c r="AD31" s="213">
        <f ca="1">IFERROR(MIN(TabCalc[[#This Row],[L_B1n]],TabCalc[[#This Row],[NAfter]])*(TabCalc[[#This Row],[M]]+TabCalc[[#This Row],[L_B1p]])*TabCalc[[#This Row],[Scale]],"")</f>
        <v>4739.9999999999982</v>
      </c>
      <c r="AE31" s="210" cm="1">
        <f t="array" aca="1" ref="AE3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45861</v>
      </c>
      <c r="AF31" s="181" cm="1">
        <f t="array" aca="1" ref="AF31" ca="1">IFERROR(_xlfn.XLOOKUP(TabCalc[[#This Row],[L_B1D]],INDIRECT("TabReg["&amp;TabCalc[[#This Row],[Ticker]]&amp;"]"),INDIRECT("TabReg["&amp;TabCalc[[#This Row],[Ticker]]&amp;"1]")),0)</f>
        <v>3000</v>
      </c>
      <c r="AG31" s="192" cm="1">
        <f t="array" aca="1" ref="AG31" ca="1">IFERROR(_xlfn.XLOOKUP(TabCalc[[#This Row],[L_B1D]],INDIRECT("TabReg["&amp;TabCalc[[#This Row],[Ticker]]&amp;"]"),INDIRECT("TabReg["&amp;TabCalc[[#This Row],[Ticker]]&amp;"2]")),0)</f>
        <v>-72.56</v>
      </c>
      <c r="AH31" s="302">
        <f ca="1">IFERROR(TabCalc[[#This Row],[L_Sn]]*(TabCalc[[#This Row],[L_Sp]]-TabCalc[[#This Row],[M]])*TabCalc[[#This Row],[Scale]],"")</f>
        <v>88.500000000000512</v>
      </c>
      <c r="AI31" s="210" cm="1">
        <f t="array" aca="1" ref="AI31" ca="1">IFERROR(_xlfn.XLOOKUP(TabCalc[[#This Row],[L_Sp]],INDIRECT("TabReg["&amp;TabCalc[[#This Row],[Ticker]]&amp;"2]"),INDIRECT("TabReg["&amp;TabCalc[[#This Row],[Ticker]]&amp;"]")),0)</f>
        <v>45944</v>
      </c>
      <c r="AJ31" s="181" cm="1">
        <f t="array" aca="1" ref="AJ31" ca="1">IFERROR(_xlfn.XLOOKUP(TabCalc[[#This Row],[L_Sp]],INDIRECT("TabReg["&amp;TabCalc[[#This Row],[Ticker]]&amp;"2]"),INDIRECT("TabReg["&amp;TabCalc[[#This Row],[Ticker]]&amp;"1]")),0)</f>
        <v>300</v>
      </c>
      <c r="AK31" s="192" cm="1">
        <f t="array" aca="1" ref="AK31" ca="1">IFERROR(INDEX(INDIRECT("TabReg["&amp;TabCalc[[#This Row],[Ticker]]&amp;"2]"), _xlfn.XMATCH(MAX(_xlfn._xlws.FILTER(INDIRECT("TabReg["&amp;TabCalc[[#This Row],[Ticker]]&amp;"]"), INDIRECT("TabReg["&amp;TabCalc[[#This Row],[Ticker]]&amp;"2]")&gt;0)), INDIRECT("TabReg["&amp;TabCalc[[#This Row],[Ticker]]&amp;"]"), 0)), 0)</f>
        <v>84.704999999999998</v>
      </c>
      <c r="AL31" s="214">
        <f ca="1">IFERROR(TabCalc[[#This Row],[L_S1n]]*(TabCalc[[#This Row],[L_S1p]]-TabCalc[[#This Row],[M]])*TabCalc[[#This Row],[Scale]],0)</f>
        <v>-1284.9999999999966</v>
      </c>
      <c r="AM31" s="210" cm="1">
        <f t="array" aca="1" ref="AM3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N31" s="181" cm="1">
        <f t="array" aca="1" ref="AN31" ca="1">IFERROR(_xlfn.XLOOKUP(TabCalc[[#This Row],[L_S1D]],INDIRECT("TabReg["&amp;TabCalc[[#This Row],[Ticker]]&amp;"]"),INDIRECT("TabReg["&amp;TabCalc[[#This Row],[Ticker]]&amp;"1]")),0)</f>
        <v>500</v>
      </c>
      <c r="AO31" s="384" cm="1">
        <f t="array" aca="1" ref="AO31" ca="1">IFERROR(_xlfn.XLOOKUP(TabCalc[[#This Row],[L_S1D]],INDIRECT("TabReg["&amp;TabCalc[[#This Row],[Ticker]]&amp;"]"),INDIRECT("TabReg["&amp;TabCalc[[#This Row],[Ticker]]&amp;"2]")),0)</f>
        <v>81.84</v>
      </c>
      <c r="AP31" s="336">
        <f ca="1">_xlfn.LET(_xlpm.MVOpen,[1]!RTData[[#This Row],[Open]]*TabCalc[[#This Row],[NAfter]],_xlpm.MVNow,TabCalc[[#This Row],[M]]*TabCalc[[#This Row],[NAfter]],_xlpm.MVNow-_xlpm.MVOpen)*TabCalc[[#This Row],[Scale]]</f>
        <v>332</v>
      </c>
      <c r="AQ31" s="336">
        <f ca="1">_xlfn.LET(_xlpm.MVToday,DataShift!AV531,         _xlpm.MVY,DataShift!AU532,        _xlpm.MVYY, DataShift!AT532,                                IF(_xlpm.MVToday=_xlpm.MVY,_xlpm.MVY-_xlpm.MVYY,_xlpm.MVToday-_xlpm.MVY))</f>
        <v>5880</v>
      </c>
      <c r="AR31" s="336">
        <f ca="1">_xlfn.LET(_xlpm.MVToday,DataShift!AV531,         _xlpm.MVY,DataShift!AU532,        _xlpm.MVYY, DataShift!AT532,         _xlpm.MVYYY, DataShift!AS532,                      IF(_xlpm.MVToday=_xlpm.MVY,      _xlpm.MVYY-_xlpm.MVYYY,          _xlpm.MVY-_xlpm.MVYY))</f>
        <v>-7200</v>
      </c>
      <c r="AS31" s="1078">
        <f ca="1">TabCalc[[#This Row],[Y]]/TabCalc[[#This Row],[M]]</f>
        <v>1.0036988508470559</v>
      </c>
      <c r="AT31" s="299" t="str" cm="1">
        <f t="array" aca="1" ref="AT31" ca="1">IFERROR(_xlfn.IFS(          TabCalc[[#This Row],[E]]&gt;0, "Free Trade",      TabCalc[[#This Row],[A]]&lt;MIN(TabCalc[[#This Row],[L_Sp]],TabCalc[[#This Row],[M]]), "Buy",            TabCalc[[#This Row],[M]]&lt;TabCalc[[#This Row],[L_Sp]],       "Refill",       TabCalc[[#This Row],[M]]&gt;TabCalc[[#This Row],[L_Sp]],"S_more"),"")</f>
        <v>Refill</v>
      </c>
      <c r="AU31" s="299" t="str">
        <f ca="1">IF(           AND(TabCalc[[#This Row],[E]]&lt;=0,          TabCalc[[#This Row],[A]]&gt;MIN(TabCalc[[#This Row],[M]],TabCalc[[#This Row],[L_Sp]]),             TabCalc[[#This Row],[L_Sp]]&lt;=TabCalc[[#This Row],[M]]),                       "S_more","")</f>
        <v/>
      </c>
      <c r="AV31" s="82" t="str" cm="1">
        <f t="array" aca="1" ref="AV31" ca="1">IFERROR(_xlfn.IFS(TabCalc[[#This Row],[E]]&gt;0,"Free trade",                 TabCalc[[#This Row],[A]]&lt;MAX(ABS(TabCalc[[#This Row],[L_Bp]]),TabCalc[[#This Row],[A]]),"Sell",             TabCalc[[#This Row],[M]]&gt;ABS(TabCalc[[#This Row],[L_Bp]]),"Resell",             TabCalc[[#This Row],[M]]&lt;ABS(TabCalc[[#This Row],[L_Bp]]),"B_more"),"")</f>
        <v>Resell</v>
      </c>
      <c r="AW31" s="82">
        <f ca="1">TabCalc[[#This Row],[NAfter]]-TabCalc[[#This Row],[Nbegin]]</f>
        <v>-3800</v>
      </c>
      <c r="AX31" s="307">
        <f ca="1">IFERROR((TabCalc[[#This Row],[M]]-TabCalc[[#This Row],[Y]])*(TabCalc[[#This Row],[M]]-TabCalc[[#This Row],[Y]])*(TabCalc[[#This Row],[M]]-TabCalc[[#This Row],[Y]])/(TabCalc[[#This Row],[Y]]*TabCalc[[#This Row],[M]]),"")</f>
        <v>-4.2558952553943366E-6</v>
      </c>
      <c r="AY31" s="82">
        <f t="shared" ca="1" si="1"/>
        <v>3800</v>
      </c>
      <c r="AZ31" s="90">
        <f ca="1">[1]!RTData[[#This Row],[V/VA]]</f>
        <v>0.61039410669672867</v>
      </c>
      <c r="BA31" s="90" t="str" cm="1">
        <f t="array" aca="1" ref="BA31" ca="1">IFERROR(_xlfn.IFS(TabCalc[[#This Row],[Cur]]="USD",Timer!F$27,TabCalc[[#This Row],[Cur]]="EUR",Timer!F$18,TabCalc[[#This Row],[Cur]]="GBP",Timer!F$12,TabCalc[[#This Row],[Cur]]="CAD",Timer!F$27,TabCalc[[#This Row],[Cur]]="JPY",Timer!F$31,TabCalc[[#This Row],[Cur]]="CHF",Timer!F$18),"Timing")</f>
        <v>None-Working Day</v>
      </c>
      <c r="BB31" s="90">
        <f ca="1">IF(ISNUMBER(TabCalc[[#This Row],[TimeEX]]),TabCalc[[#This Row],[V/VA]]/TabCalc[[#This Row],[TimeEX]],TabCalc[[#This Row],[V/VA]])</f>
        <v>0.61039410669672867</v>
      </c>
      <c r="BC31" s="87" cm="1">
        <f t="array" aca="1" ref="BC31" ca="1">INDEX(TabReg[], 1, _xlfn.XMATCH(TabCalc[[#This Row],[Ticker]]&amp;1, TabReg[#Headers], 0))</f>
        <v>4200</v>
      </c>
      <c r="BD31" s="161">
        <f ca="1">TabCalc[[#This Row],[Nbegin]]*TabCalc[[#This Row],[M]]*TabCalc[[#This Row],[Scale]]+TabCalc[[#This Row],[ValueBegin]]</f>
        <v>50619.140000000014</v>
      </c>
      <c r="BE31" s="336" t="str" cm="1">
        <f t="array" aca="1" ref="BE31" ca="1">_xlfn.IFS(TabCalc[[#This Row],[Cost+Gain]]&gt;0,"Free",             TabCalc[[#This Row],[GL]]&gt;0,"Gainer",                TRUE,"Looser")</f>
        <v>Free</v>
      </c>
      <c r="BF31" s="161">
        <f ca="1">TabCalc[[#This Row],[Tot_Paid]]-TabCalc[[#This Row],[ValueBegin]]</f>
        <v>-1205793.1826312002</v>
      </c>
      <c r="BG31" s="337">
        <f ca="1">IF(TabCalc[[#This Row],[EfCost]]&gt;TabCalc[[#This Row],[ValueBegin]],       0,        TabCalc[[#This Row],[EfCost]]-TabCalc[[#This Row],[ValueBegin]]*(1+Commission))</f>
        <v>0</v>
      </c>
      <c r="BH31" s="338">
        <f ca="1">TabCalc[[#This Row],[M_V]]+TabCalc[[#This Row],[ValueBegin]]</f>
        <v>-270138.86</v>
      </c>
      <c r="BI31" s="161" cm="1">
        <f t="array" aca="1" ref="BI31" ca="1">SUMPRODUCT(_xlfn._xlws.FILTER(INDIRECT("TabReg["&amp;TabCalc[[#This Row],[Ticker]]&amp;"1]") * INDIRECT("TabReg["&amp;TabCalc[[#This Row],[Ticker]]&amp;"2]"), INDIRECT("TabReg["&amp;TabCalc[[#This Row],[Ticker]]&amp;"2]")&lt;0))*(1+Commission)*TabCalc[[#This Row],[Scale]]</f>
        <v>-1509696.0426312</v>
      </c>
      <c r="BJ31" s="161" cm="1">
        <f t="array" aca="1" ref="BJ31" ca="1">SUMPRODUCT(IF(INDIRECT("TabReg["&amp;TabCalc[[#This Row],[Ticker]]&amp;"2]") ="", 0, INDIRECT("TabReg["&amp;TabCalc[[#This Row],[Ticker]]&amp;"1]") * INDIRECT("TabReg["&amp;TabCalc[[#This Row],[Ticker]]&amp;"2]") ))*TabCalc[[#This Row],[Scale]]</f>
        <v>33968.021999999968</v>
      </c>
      <c r="BK31" s="161" cm="1">
        <f t="array" aca="1" ref="BK3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1535745.6865115999</v>
      </c>
      <c r="BL31" s="161">
        <f ca="1">TabCalc[[#This Row],[M_V]]+TabCalc[[#This Row],[EfCost]]</f>
        <v>67732.021999999968</v>
      </c>
      <c r="BM31" s="161">
        <f ca="1">IF(        OR( TabCalc[[#This Row],[GL]]&gt;ABS(TabCalc[[#This Row],[EfCost]]),TabCalc[[#This Row],[NAfter]]=0),             TabCalc[[#This Row],[GL]],     0)</f>
        <v>67732.021999999968</v>
      </c>
      <c r="BN31" s="161" cm="1">
        <f t="array" aca="1" ref="BN31" ca="1">SUMPRODUCT(_xlfn._xlws.FILTER(IF(INDIRECT("TabReg["&amp;TabCalc[[#This Row],[Ticker]]&amp;"2]") ="", 0, INDIRECT("TabReg["&amp;TabCalc[[#This Row],[Ticker]]&amp;"1]")  ),  INDIRECT("TabReg["&amp;TabCalc[[#This Row],[Ticker]]&amp;"2]") &lt; 0))</f>
        <v>20780</v>
      </c>
      <c r="BO31" s="161">
        <f ca="1">TabCalc[[#This Row],[SB]]-TabCalc[[#This Row],[Nbegin]]</f>
        <v>16580</v>
      </c>
      <c r="BP31" s="161" cm="1">
        <f t="array" aca="1" ref="BP31" ca="1">IFERROR(SUMPRODUCT(_xlfn._xlws.FILTER(IF(INDIRECT("TabReg["&amp;TabCalc[[#This Row],[Ticker]]&amp;"2]") ="", 0, INDIRECT("TabReg["&amp;TabCalc[[#This Row],[Ticker]]&amp;"1]")  ),  INDIRECT("TabReg["&amp;TabCalc[[#This Row],[Ticker]]&amp;"2]") &gt; 0)),0)</f>
        <v>20380</v>
      </c>
      <c r="BQ31"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31" s="176" t="str">
        <f ca="1">IF(TabCalc[[#This Row],[EfCost]]+TabCalc[[#This Row],[M_V]]&lt;TabCalc[[#This Row],[NoT_GL]],"Pile","")</f>
        <v/>
      </c>
      <c r="BS31" s="167">
        <f ca="1">[1]!RTData[[#This Row],[Last trade time]]</f>
        <v>45954.999849108593</v>
      </c>
      <c r="BT31" s="177">
        <f ca="1">(TabCalc[[#This Row],[ValueBegin]]+(TabCalc[[#This Row],[M]]-TabCalc[[#This Row],[A]])*TabCalc[[#This Row],[NAfter]])*TabCalc[[#This Row],[Scale]]</f>
        <v>-403731.25183673471</v>
      </c>
      <c r="BU31" s="189" cm="1">
        <f t="array" aca="1" ref="BU31" ca="1">_xlfn.XLOOKUP(TabCalc[[#This Row],[Ticker]],TabReg[[#Headers],[AAPL]:[UnknownX28]],Reg!B$72:KF$72)+3</f>
        <v>31</v>
      </c>
      <c r="BV31" s="190" cm="1">
        <f t="array" aca="1" ref="BV31" ca="1">_xlfn.XLOOKUP(TabCalc[[#This Row],[Ticker]],TabReg[[#Headers],[AAPL]:[UnknownX28]],Reg!B$73:KF$73)+2</f>
        <v>90</v>
      </c>
      <c r="BW31" s="191">
        <f ca="1">IFERROR(MAX(TabCalc[[#This Row],[Max_SD]],TabCalc[[#This Row],[Max_PD]]),0)</f>
        <v>45944</v>
      </c>
      <c r="BX31" s="191" t="str" cm="1">
        <f t="array" aca="1" ref="BX31" ca="1">_xlfn.IFS(TabCalc[[#This Row],[L_TP]]&lt;0,"Purchase",TabCalc[[#This Row],[L_TP]]&gt;0,"Sale")</f>
        <v>Sale</v>
      </c>
      <c r="BY31" s="190" cm="1">
        <f t="array" aca="1" ref="BY31" ca="1">INDEX(Reg!$A$1:$KF$73,TabCalc[[#This Row],[L_I1]],TabCalc[[#This Row],[L_I2]])</f>
        <v>300</v>
      </c>
      <c r="BZ31" s="192" cm="1">
        <f t="array" aca="1" ref="BZ31" ca="1">INDEX(Reg!$A$1:$KF$73,TabCalc[[#This Row],[L_I1]],TabCalc[[#This Row],[L_I2]]+1)</f>
        <v>84.704999999999998</v>
      </c>
      <c r="CA31" s="161">
        <f ca="1">TabCalc[[#This Row],[NAfter]]*(TabCalc[[#This Row],[M]]-IF(TabCalc[[#This Row],[E]]&gt;0,0,TabCalc[[#This Row],[A]]))</f>
        <v>-99828.391836734692</v>
      </c>
      <c r="CB31" s="167" cm="1">
        <f t="array" aca="1" ref="CB31" ca="1">IFERROR(MIN(_xlfn._xlws.FILTER(INDIRECT("TabReg["&amp;TabCalc[[#This Row],[Ticker]]&amp;"]"), INDIRECT("TabReg["&amp;TabCalc[[#This Row],[Ticker]]&amp;"2]")&gt;0)),0)</f>
        <v>45442</v>
      </c>
      <c r="CC31" s="178" cm="1">
        <f t="array" aca="1" ref="CC31" ca="1">IFERROR(MIN(_xlfn._xlws.FILTER(INDIRECT("TabReg["&amp;TabCalc[[#This Row],[Ticker]]&amp;"1]"), INDIRECT("TabReg["&amp;TabCalc[[#This Row],[Ticker]]&amp;"2]")&gt;0)),0)</f>
        <v>300</v>
      </c>
      <c r="CD31" s="173" cm="1">
        <f t="array" aca="1" ref="CD31" ca="1">IFERROR(MIN(_xlfn._xlws.FILTER(INDIRECT("TabReg["&amp;TabCalc[[#This Row],[Ticker]]&amp;"2]"), INDIRECT("TabReg["&amp;TabCalc[[#This Row],[Ticker]]&amp;"2]")&gt;0)),0)</f>
        <v>69.83</v>
      </c>
      <c r="CE31" s="167" cm="1">
        <f t="array" aca="1" ref="CE31" ca="1">IFERROR(MAX(_xlfn._xlws.FILTER(INDIRECT("TabReg["&amp;TabCalc[[#This Row],[Ticker]]&amp;"]"), INDIRECT("TabReg["&amp;TabCalc[[#This Row],[Ticker]]&amp;"2]")&gt;0)),0)</f>
        <v>45944</v>
      </c>
      <c r="CF31" s="178" cm="1">
        <f t="array" aca="1" ref="CF31" ca="1">IFERROR(MAX(_xlfn._xlws.FILTER(INDIRECT("TabReg["&amp;TabCalc[[#This Row],[Ticker]]&amp;"1]"), INDIRECT("TabReg["&amp;TabCalc[[#This Row],[Ticker]]&amp;"2]")&gt;0)),0)</f>
        <v>3000</v>
      </c>
      <c r="CG31" s="173" cm="1">
        <f t="array" aca="1" ref="CG31" ca="1">IFERROR(MAX(_xlfn._xlws.FILTER(INDIRECT("TabReg["&amp;TabCalc[[#This Row],[Ticker]]&amp;"2]"), INDIRECT("TabReg["&amp;TabCalc[[#This Row],[Ticker]]&amp;"2]")&gt;0)),0)</f>
        <v>84.704999999999998</v>
      </c>
      <c r="CH31" s="167" cm="1">
        <f t="array" aca="1" ref="CH31" ca="1">MIN(_xlfn._xlws.FILTER(INDIRECT("TabReg["&amp;TabCalc[[#This Row],[Ticker]]&amp;"]"), INDIRECT("TabReg["&amp;TabCalc[[#This Row],[Ticker]]&amp;"2]")&lt;0))</f>
        <v>40544</v>
      </c>
      <c r="CI31" s="177" cm="1">
        <f t="array" aca="1" ref="CI31" ca="1">MIN(_xlfn._xlws.FILTER(INDIRECT("TabReg["&amp;TabCalc[[#This Row],[Ticker]]&amp;"1]"), INDIRECT("TabReg["&amp;TabCalc[[#This Row],[Ticker]]&amp;"2]")&lt;0))</f>
        <v>990</v>
      </c>
      <c r="CJ31" s="173" cm="1">
        <f t="array" aca="1" ref="CJ31" ca="1">MIN(_xlfn._xlws.FILTER(INDIRECT("TabReg["&amp;TabCalc[[#This Row],[Ticker]]&amp;"2]"), INDIRECT("TabReg["&amp;TabCalc[[#This Row],[Ticker]]&amp;"2]")&lt;0))</f>
        <v>-81.61</v>
      </c>
      <c r="CK31" s="167" cm="1">
        <f t="array" aca="1" ref="CK31" ca="1">MAX(_xlfn._xlws.FILTER(INDIRECT("TabReg["&amp;TabCalc[[#This Row],[Ticker]]&amp;"]"), INDIRECT("TabReg["&amp;TabCalc[[#This Row],[Ticker]]&amp;"2]")&lt;0))</f>
        <v>45910</v>
      </c>
      <c r="CL31" s="177" cm="1">
        <f t="array" aca="1" ref="CL31" ca="1">MAX(_xlfn._xlws.FILTER(INDIRECT("TabReg["&amp;TabCalc[[#This Row],[Ticker]]&amp;"1]"), INDIRECT("TabReg["&amp;TabCalc[[#This Row],[Ticker]]&amp;"2]")&lt;0))</f>
        <v>4200</v>
      </c>
      <c r="CM31" s="173" cm="1">
        <f t="array" aca="1" ref="CM31" ca="1">MAX(_xlfn._xlws.FILTER(INDIRECT("TabReg["&amp;TabCalc[[#This Row],[Ticker]]&amp;"2]"), INDIRECT("TabReg["&amp;TabCalc[[#This Row],[Ticker]]&amp;"2]")&lt;0))</f>
        <v>-66.36</v>
      </c>
      <c r="CN31" s="167" cm="1">
        <f t="array" aca="1" ref="CN31" ca="1">IFERROR(_xlfn.XLOOKUP(TabCalc[[#This Row],[BS2P]],INDIRECT("TabReg["&amp;TabCalc[[#This Row],[Ticker]]&amp;"2]"),INDIRECT("TabReg["&amp;TabCalc[[#This Row],[Ticker]]&amp;"]")),0)</f>
        <v>45554</v>
      </c>
      <c r="CO31" s="178" cm="1">
        <f t="array" aca="1" ref="CO31" ca="1">IFERROR(_xlfn.XLOOKUP(TabCalc[[#This Row],[BS2P]],INDIRECT("TabReg["&amp;TabCalc[[#This Row],[Ticker]]&amp;"2]"),INDIRECT("TabReg["&amp;TabCalc[[#This Row],[Ticker]]&amp;"1]")),0)</f>
        <v>2200</v>
      </c>
      <c r="CP31" s="173">
        <f ca="1">_xlfn.MAXIFS(INDIRECT("TabReg["&amp;TabCalc[[#This Row],[Ticker]]&amp;"2]"), INDIRECT("TabReg["&amp;TabCalc[[#This Row],[Ticker]]&amp;"2]"), "&lt;" &amp; MAX(INDIRECT("TabReg["&amp;TabCalc[[#This Row],[Ticker]]&amp;"2]")))</f>
        <v>82.5</v>
      </c>
      <c r="CQ31" s="167" cm="1">
        <f t="array" aca="1" ref="CQ31" ca="1">IFERROR(_xlfn.XLOOKUP(TabCalc[[#This Row],[WB2P]],INDIRECT("TabReg["&amp;TabCalc[[#This Row],[Ticker]]&amp;"2]"),INDIRECT("TabReg["&amp;TabCalc[[#This Row],[Ticker]]&amp;"]")),0)</f>
        <v>45523</v>
      </c>
      <c r="CR31" s="178" cm="1">
        <f t="array" aca="1" ref="CR31" ca="1">IFERROR(_xlfn.XLOOKUP(TabCalc[[#This Row],[WB2P]],INDIRECT("TabReg["&amp;TabCalc[[#This Row],[Ticker]]&amp;"2]"),INDIRECT("TabReg["&amp;TabCalc[[#This Row],[Ticker]]&amp;"1]")),0)</f>
        <v>2200</v>
      </c>
      <c r="CS31" s="173">
        <f ca="1">_xlfn.MINIFS(INDIRECT("TabReg["&amp;TabCalc[[#This Row],[Ticker]]&amp;"2]"), INDIRECT("TabReg["&amp;TabCalc[[#This Row],[Ticker]]&amp;"2]"), "&gt;" &amp; MIN(INDIRECT("TabReg["&amp;TabCalc[[#This Row],[Ticker]]&amp;"2]")))</f>
        <v>-79.180000000000007</v>
      </c>
      <c r="CT31" s="405">
        <f ca="1">IF(TabCalc[[#This Row],[M]]&lt;TabCalc[[#This Row],[L_Sp]],DesiredBuyGain/(TabCalc[[#This Row],[L_Sp]]-TabCalc[[#This Row],[M]]),0)</f>
        <v>16949.152542372784</v>
      </c>
      <c r="CU31" s="406">
        <f ca="1">IF(TabCalc[[#This Row],[ntoBuy]]*TabCalc[[#This Row],[M]]&lt;=0,0,TabCalc[[#This Row],[ntoBuy]]*TabCalc[[#This Row],[M]])</f>
        <v>1430677.9661016867</v>
      </c>
      <c r="CV31" s="406">
        <f ca="1">IF(TabCalc[[#This Row],[M]]&gt;ABS(TabCalc[[#This Row],[L_Bp]]),MIN(TabCalc[[#This Row],[NAfter]],DesiredSaleGain/(TabCalc[[#This Row],[M]]+TabCalc[[#This Row],[L_Bp]])),0)/TabCalc[[#This Row],[Scale]]</f>
        <v>372.86839527957579</v>
      </c>
      <c r="CW31" s="407">
        <f ca="1">TabCalc[[#This Row],[ntoSell]]*TabCalc[[#This Row],[M]]</f>
        <v>31473.821245548992</v>
      </c>
      <c r="CX31" s="400">
        <f ca="1">_xlfn.LET(_xlpm.nToSell,IF(TabCalc[[#This Row],[M]]-TabCalc[[#This Row],[A]]&lt;=0,"",INT(DesiredSaleGain/(TabCalc[[#This Row],[M]]-IF(TabCalc[[#This Row],[E]]&gt;0,0,TabCalc[[#This Row],[A]])))),IF(_xlpm.nToSell&lt;=TabCalc[[#This Row],[NAfter]],_xlpm.nToSell,0))</f>
        <v>0</v>
      </c>
      <c r="CY31" s="338">
        <f ca="1">IFERROR(TabCalc[[#This Row],[NMA]]*TabCalc[[#This Row],[M]],"")</f>
        <v>0</v>
      </c>
      <c r="CZ31" s="337" cm="1">
        <f t="array" aca="1" ref="CZ31" ca="1">_xlfn.IFS(TabCalc[[#This Row],[M]]&gt;= TabCalc[[#This Row],[L_Sp]],(TabCalc[[#This Row],[M]]-TabCalc[[#This Row],[A]])*TabCalc[[#This Row],[NAfter]]*TabCalc[[#This Row],[Scale]],           TabCalc[[#This Row],[M]]&lt; TabCalc[[#This Row],[L_Sp]],(TabCalc[[#This Row],[M]]-TabCalc[[#This Row],[A]])*TabCalc[[#This Row],[NAfter]]*TabCalc[[#This Row],[Scale]],               TRUE,"")</f>
        <v>-99828.391836734692</v>
      </c>
      <c r="DA31" s="90">
        <f ca="1">IFERROR((TabCalc[[#This Row],[M]]+TabCalc[[#This Row],[L_Bp]])/ABS(TabCalc[[#This Row],[L_Bp]])/(TODAY()-TabCalc[[#This Row],[L_Bdate]])*360,"")</f>
        <v>1.4780803428287725</v>
      </c>
      <c r="DB31" s="312">
        <f ca="1">MEDIAN(DataShift!F731:Z731)</f>
        <v>4.2300000000000003E-3</v>
      </c>
      <c r="DC31" s="312" t="str" cm="1">
        <f t="array" aca="1" ref="DC3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31" s="88" t="s">
        <v>28</v>
      </c>
      <c r="DN31" s="81">
        <v>4200</v>
      </c>
      <c r="DO31" s="317">
        <v>-72.357823809523808</v>
      </c>
    </row>
    <row r="32" spans="1:119">
      <c r="A32" s="120" t="str">
        <f ca="1">_xlfn.XLOOKUP(TabCalc[[#This Row],[Ticker]],[1]!RTData[Ticker symbol],[1]!RTData[Currency])</f>
        <v>USD</v>
      </c>
      <c r="B32" s="121">
        <f ca="1">IF(TabCalc[[#This Row],[Cur]]="GBP",0.01,1)</f>
        <v>1</v>
      </c>
      <c r="C32" s="82">
        <f ca="1">_xlfn.XLOOKUP(TabCalc[[#This Row],[Ticker]],DM$3:DM$96,DN$3:DN$96)</f>
        <v>15000</v>
      </c>
      <c r="D32" s="1254">
        <f ca="1">_xlfn.XLOOKUP(TabCalc[[#This Row],[Ticker]],DM$3:DM$96,DO$3:DO$96)</f>
        <v>-19.104759999999999</v>
      </c>
      <c r="E32" s="121">
        <f t="shared" ca="1" si="0"/>
        <v>-286571.39999999997</v>
      </c>
      <c r="F32" s="82">
        <f ca="1">TabCalc[[#This Row],[NAfter]]*TabCalc[[#This Row],[M]]*TabCalc[[#This Row],[Scale]]</f>
        <v>1417290</v>
      </c>
      <c r="G32" s="82">
        <f ca="1">IFERROR(TabCalc[[#This Row],[SB]]-TabCalc[[#This Row],[SST]],TabCalc[[#This Row],[SB]])</f>
        <v>17000</v>
      </c>
      <c r="H32" s="535" t="str">
        <f ca="1">[1]!RTData[[#This Row],[Ticker symbol]]</f>
        <v>NEM</v>
      </c>
      <c r="I32" s="385">
        <f ca="1">[1]!RTData[[#This Row],[M-Price]]</f>
        <v>83.37</v>
      </c>
      <c r="J32" s="384">
        <v>71.000443000000004</v>
      </c>
      <c r="K32" s="383">
        <f>[1]!RTData[[#This Row],[1YT]]</f>
        <v>91.209500000000006</v>
      </c>
      <c r="L32" s="384">
        <f ca="1">IF(OR(TabCalc[[#This Row],[NAfter]]=0,TabCalc[[#This Row],[EfCost]]&gt;0),0,TabCalc[[#This Row],[EfCost]]/TabCalc[[#This Row],[NAfter]]/TabCalc[[#This Row],[Scale]])</f>
        <v>-14.494474705882345</v>
      </c>
      <c r="M32" s="744">
        <f ca="1">[1]!RTData[[#This Row],[Change%]]</f>
        <v>-6.2309999999999997E-2</v>
      </c>
      <c r="N32" s="1172">
        <v>0</v>
      </c>
      <c r="O32" s="966">
        <f>TabCalc[[#This Row],[Up20]]-1+TabCalc[[#This Row],[Up20]]</f>
        <v>-1</v>
      </c>
      <c r="P32" s="966">
        <f>TabCalc[[#This Row],[Up20]]-TabCalc[[#This Row],[Up150]]</f>
        <v>0</v>
      </c>
      <c r="Q32" s="966">
        <v>0</v>
      </c>
      <c r="R32" s="966">
        <f>TabCalc[[#This Row],[Up150]]-1+TabCalc[[#This Row],[Up150]]</f>
        <v>-1</v>
      </c>
      <c r="S32" s="966">
        <f ca="1">IFERROR(SUMPRODUCT(DataShift!F1524:Z1524,DataShift!AB731:AV731)/SQRT(SUMPRODUCT(DataShift!F1524:Z1524,DataShift!F1524:Z1524)*SUMPRODUCT(DataShift!AB731:AV731,DataShift!AB731:AV731)),0)</f>
        <v>-0.76251449760349044</v>
      </c>
      <c r="T32" s="966">
        <f ca="1">IFERROR(SUMPRODUCT(DataShift!F1524:Z1524,DataShift!F732:Z732)/SQRT(SUMPRODUCT(DataShift!F1524:Z1524,DataShift!F1524:Z1524)*SUMPRODUCT(DataShift!F732:Z732,DataShift!F732:Z732)),0)</f>
        <v>-0.40471786114490593</v>
      </c>
      <c r="U32" s="1107">
        <v>400</v>
      </c>
      <c r="V32" s="1107">
        <v>0</v>
      </c>
      <c r="W32" s="1107">
        <v>0</v>
      </c>
      <c r="X32" s="966" t="str">
        <f ca="1">IF(TabCalc[[#This Row],[EfCost]]+TabCalc[[#This Row],[M_V]]&lt;TabCalc[[#This Row],[NoT_GL]],"Pile","")</f>
        <v/>
      </c>
      <c r="Y3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2" s="213">
        <f ca="1">MIN(TabCalc[[#This Row],[L_Bn]],TabCalc[[#This Row],[NAfter]])*(TabCalc[[#This Row],[M]]+TabCalc[[#This Row],[L_Bp]])*TabCalc[[#This Row],[Scale]]</f>
        <v>-263.33999999999946</v>
      </c>
      <c r="AA32" s="210" cm="1">
        <f t="array" aca="1" ref="AA32" ca="1">_xlfn.XLOOKUP(TabCalc[[#This Row],[L_Bp]],INDIRECT("TabReg["&amp;TabCalc[[#This Row],[Ticker]]&amp;"2]"),INDIRECT("TabReg["&amp;TabCalc[[#This Row],[Ticker]]&amp;"]"))</f>
        <v>45954</v>
      </c>
      <c r="AB32" s="181" cm="1">
        <f t="array" aca="1" ref="AB32" ca="1">_xlfn.XLOOKUP(TabCalc[[#This Row],[L_Bp]],INDIRECT("TabReg["&amp;TabCalc[[#This Row],[Ticker]]&amp;"2]"),INDIRECT("TabReg["&amp;TabCalc[[#This Row],[Ticker]]&amp;"1]"))</f>
        <v>2000</v>
      </c>
      <c r="AC32" s="192" cm="1">
        <f t="array" aca="1" ref="AC32" ca="1">IFERROR(INDEX(INDIRECT("TabReg["&amp;TabCalc[[#This Row],[Ticker]]&amp;"2]"),    _xlfn.XMATCH(    MAX(    _xlfn._xlws.FILTER(INDIRECT("TabReg["&amp;TabCalc[[#This Row],[Ticker]]&amp;"]"), INDIRECT("TabReg["&amp;TabCalc[[#This Row],[Ticker]]&amp;"2]")&lt;0)     ), INDIRECT("TabReg["&amp;TabCalc[[#This Row],[Ticker]]&amp;"]"),      0)), "")</f>
        <v>-83.501670000000004</v>
      </c>
      <c r="AD32" s="213">
        <f ca="1">IFERROR(MIN(TabCalc[[#This Row],[L_B1n]],TabCalc[[#This Row],[NAfter]])*(TabCalc[[#This Row],[M]]+TabCalc[[#This Row],[L_B1p]])*TabCalc[[#This Row],[Scale]],"")</f>
        <v>-6079.9999999999836</v>
      </c>
      <c r="AE32" s="210" cm="1">
        <f t="array" aca="1" ref="AE3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45951</v>
      </c>
      <c r="AF32" s="181" cm="1">
        <f t="array" aca="1" ref="AF32" ca="1">IFERROR(_xlfn.XLOOKUP(TabCalc[[#This Row],[L_B1D]],INDIRECT("TabReg["&amp;TabCalc[[#This Row],[Ticker]]&amp;"]"),INDIRECT("TabReg["&amp;TabCalc[[#This Row],[Ticker]]&amp;"1]")),0)</f>
        <v>2000</v>
      </c>
      <c r="AG32" s="192" cm="1">
        <f t="array" aca="1" ref="AG32" ca="1">IFERROR(_xlfn.XLOOKUP(TabCalc[[#This Row],[L_B1D]],INDIRECT("TabReg["&amp;TabCalc[[#This Row],[Ticker]]&amp;"]"),INDIRECT("TabReg["&amp;TabCalc[[#This Row],[Ticker]]&amp;"2]")),0)</f>
        <v>-86.41</v>
      </c>
      <c r="AH32" s="302">
        <f ca="1">IFERROR(TabCalc[[#This Row],[L_Sn]]*(TabCalc[[#This Row],[L_Sp]]-TabCalc[[#This Row],[M]])*TabCalc[[#This Row],[Scale]],"")</f>
        <v>10849.999999999995</v>
      </c>
      <c r="AI32" s="210" cm="1">
        <f t="array" aca="1" ref="AI32" ca="1">IFERROR(_xlfn.XLOOKUP(TabCalc[[#This Row],[L_Sp]],INDIRECT("TabReg["&amp;TabCalc[[#This Row],[Ticker]]&amp;"2]"),INDIRECT("TabReg["&amp;TabCalc[[#This Row],[Ticker]]&amp;"]")),0)</f>
        <v>45950</v>
      </c>
      <c r="AJ32" s="181" cm="1">
        <f t="array" aca="1" ref="AJ32" ca="1">IFERROR(_xlfn.XLOOKUP(TabCalc[[#This Row],[L_Sp]],INDIRECT("TabReg["&amp;TabCalc[[#This Row],[Ticker]]&amp;"2]"),INDIRECT("TabReg["&amp;TabCalc[[#This Row],[Ticker]]&amp;"1]")),0)</f>
        <v>1000</v>
      </c>
      <c r="AK32" s="192" cm="1">
        <f t="array" aca="1" ref="AK32" ca="1">IFERROR(INDEX(INDIRECT("TabReg["&amp;TabCalc[[#This Row],[Ticker]]&amp;"2]"), _xlfn.XMATCH(MAX(_xlfn._xlws.FILTER(INDIRECT("TabReg["&amp;TabCalc[[#This Row],[Ticker]]&amp;"]"), INDIRECT("TabReg["&amp;TabCalc[[#This Row],[Ticker]]&amp;"2]")&gt;0)), INDIRECT("TabReg["&amp;TabCalc[[#This Row],[Ticker]]&amp;"]"), 0)), 0)</f>
        <v>94.22</v>
      </c>
      <c r="AL32" s="214">
        <f ca="1">IFERROR(TabCalc[[#This Row],[L_S1n]]*(TabCalc[[#This Row],[L_S1p]]-TabCalc[[#This Row],[M]])*TabCalc[[#This Row],[Scale]],0)</f>
        <v>389.99999999999773</v>
      </c>
      <c r="AM32" s="210" cm="1">
        <f t="array" aca="1" ref="AM3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45923</v>
      </c>
      <c r="AN32" s="181" cm="1">
        <f t="array" aca="1" ref="AN32" ca="1">IFERROR(_xlfn.XLOOKUP(TabCalc[[#This Row],[L_S1D]],INDIRECT("TabReg["&amp;TabCalc[[#This Row],[Ticker]]&amp;"]"),INDIRECT("TabReg["&amp;TabCalc[[#This Row],[Ticker]]&amp;"1]")),0)</f>
        <v>200</v>
      </c>
      <c r="AO32" s="384" cm="1">
        <f t="array" aca="1" ref="AO32" ca="1">IFERROR(_xlfn.XLOOKUP(TabCalc[[#This Row],[L_S1D]],INDIRECT("TabReg["&amp;TabCalc[[#This Row],[Ticker]]&amp;"]"),INDIRECT("TabReg["&amp;TabCalc[[#This Row],[Ticker]]&amp;"2]")),0)</f>
        <v>85.32</v>
      </c>
      <c r="AP32" s="336">
        <f ca="1">_xlfn.LET(_xlpm.MVOpen,[1]!RTData[[#This Row],[Open]]*TabCalc[[#This Row],[NAfter]],_xlpm.MVNow,TabCalc[[#This Row],[M]]*TabCalc[[#This Row],[NAfter]],_xlpm.MVNow-_xlpm.MVOpen)*TabCalc[[#This Row],[Scale]]</f>
        <v>14110</v>
      </c>
      <c r="AQ32" s="336">
        <f ca="1">_xlfn.LET(_xlpm.MVToday,DataShift!AV532,         _xlpm.MVY,DataShift!AU533,        _xlpm.MVYY, DataShift!AT533,                                IF(_xlpm.MVToday=_xlpm.MVY,_xlpm.MVY-_xlpm.MVYY,_xlpm.MVToday-_xlpm.MVY))</f>
        <v>29890.000000000931</v>
      </c>
      <c r="AR32" s="336">
        <f ca="1">_xlfn.LET(_xlpm.MVToday,DataShift!AV532,         _xlpm.MVY,DataShift!AU533,        _xlpm.MVYY, DataShift!AT533,         _xlpm.MVYYY, DataShift!AS533,                      IF(_xlpm.MVToday=_xlpm.MVY,      _xlpm.MVYY-_xlpm.MVYYY,          _xlpm.MVY-_xlpm.MVYY))</f>
        <v>195.99999999906868</v>
      </c>
      <c r="AS32" s="1078">
        <f ca="1">TabCalc[[#This Row],[Y]]/TabCalc[[#This Row],[M]]</f>
        <v>1.0940326256447164</v>
      </c>
      <c r="AT32" s="299" t="str" cm="1">
        <f t="array" aca="1" ref="AT32" ca="1">IFERROR(_xlfn.IFS(          TabCalc[[#This Row],[E]]&gt;0, "Free Trade",      TabCalc[[#This Row],[A]]&lt;MIN(TabCalc[[#This Row],[L_Sp]],TabCalc[[#This Row],[M]]), "Buy",            TabCalc[[#This Row],[M]]&lt;TabCalc[[#This Row],[L_Sp]],       "Refill",       TabCalc[[#This Row],[M]]&gt;TabCalc[[#This Row],[L_Sp]],"S_more"),"")</f>
        <v>Buy</v>
      </c>
      <c r="AU32" s="299" t="str">
        <f ca="1">IF(           AND(TabCalc[[#This Row],[E]]&lt;=0,          TabCalc[[#This Row],[A]]&gt;MIN(TabCalc[[#This Row],[M]],TabCalc[[#This Row],[L_Sp]]),             TabCalc[[#This Row],[L_Sp]]&lt;=TabCalc[[#This Row],[M]]),                       "S_more","")</f>
        <v/>
      </c>
      <c r="AV32" s="82" t="str" cm="1">
        <f t="array" aca="1" ref="AV32" ca="1">IFERROR(_xlfn.IFS(TabCalc[[#This Row],[E]]&gt;0,"Free trade",                 TabCalc[[#This Row],[A]]&lt;MAX(ABS(TabCalc[[#This Row],[L_Bp]]),TabCalc[[#This Row],[A]]),"Sell",             TabCalc[[#This Row],[M]]&gt;ABS(TabCalc[[#This Row],[L_Bp]]),"Resell",             TabCalc[[#This Row],[M]]&lt;ABS(TabCalc[[#This Row],[L_Bp]]),"B_more"),"")</f>
        <v>Sell</v>
      </c>
      <c r="AW32" s="82">
        <f ca="1">TabCalc[[#This Row],[NAfter]]-TabCalc[[#This Row],[Nbegin]]</f>
        <v>2000</v>
      </c>
      <c r="AX32" s="307">
        <f ca="1">IFERROR((TabCalc[[#This Row],[M]]-TabCalc[[#This Row],[Y]])*(TabCalc[[#This Row],[M]]-TabCalc[[#This Row],[Y]])*(TabCalc[[#This Row],[M]]-TabCalc[[#This Row],[Y]])/(TabCalc[[#This Row],[Y]]*TabCalc[[#This Row],[M]]),"")</f>
        <v>-6.3360007044781286E-2</v>
      </c>
      <c r="AY32" s="82">
        <f t="shared" ca="1" si="1"/>
        <v>0</v>
      </c>
      <c r="AZ32" s="90">
        <f ca="1">[1]!RTData[[#This Row],[V/VA]]</f>
        <v>1.6303912010571617</v>
      </c>
      <c r="BA32" s="90" t="str" cm="1">
        <f t="array" aca="1" ref="BA32" ca="1">IFERROR(_xlfn.IFS(TabCalc[[#This Row],[Cur]]="USD",Timer!F$27,TabCalc[[#This Row],[Cur]]="EUR",Timer!F$18,TabCalc[[#This Row],[Cur]]="GBP",Timer!F$12,TabCalc[[#This Row],[Cur]]="CAD",Timer!F$27,TabCalc[[#This Row],[Cur]]="JPY",Timer!F$31,TabCalc[[#This Row],[Cur]]="CHF",Timer!F$18),"Timing")</f>
        <v>None-Working Day</v>
      </c>
      <c r="BB32" s="90">
        <f ca="1">IF(ISNUMBER(TabCalc[[#This Row],[TimeEX]]),TabCalc[[#This Row],[V/VA]]/TabCalc[[#This Row],[TimeEX]],TabCalc[[#This Row],[V/VA]])</f>
        <v>1.6303912010571617</v>
      </c>
      <c r="BC32" s="87" cm="1">
        <f t="array" aca="1" ref="BC32" ca="1">INDEX(TabReg[], 1, _xlfn.XMATCH(TabCalc[[#This Row],[Ticker]]&amp;1, TabReg[#Headers], 0))</f>
        <v>15000</v>
      </c>
      <c r="BD32" s="161">
        <f ca="1">TabCalc[[#This Row],[Nbegin]]*TabCalc[[#This Row],[M]]*TabCalc[[#This Row],[Scale]]+TabCalc[[#This Row],[ValueBegin]]</f>
        <v>963978.60000000009</v>
      </c>
      <c r="BE32" s="336" t="str" cm="1">
        <f t="array" aca="1" ref="BE32" ca="1">_xlfn.IFS(TabCalc[[#This Row],[Cost+Gain]]&gt;0,"Free",             TabCalc[[#This Row],[GL]]&gt;0,"Gainer",                TRUE,"Looser")</f>
        <v>Free</v>
      </c>
      <c r="BF32" s="161">
        <f ca="1">TabCalc[[#This Row],[Tot_Paid]]-TabCalc[[#This Row],[ValueBegin]]</f>
        <v>-2127118.6097939992</v>
      </c>
      <c r="BG32" s="337">
        <f ca="1">IF(TabCalc[[#This Row],[EfCost]]&gt;TabCalc[[#This Row],[ValueBegin]],       0,        TabCalc[[#This Row],[EfCost]]-TabCalc[[#This Row],[ValueBegin]]*(1+Commission))</f>
        <v>0</v>
      </c>
      <c r="BH32" s="338">
        <f ca="1">TabCalc[[#This Row],[M_V]]+TabCalc[[#This Row],[ValueBegin]]</f>
        <v>1130718.6000000001</v>
      </c>
      <c r="BI32" s="161" cm="1">
        <f t="array" aca="1" ref="BI32" ca="1">SUMPRODUCT(_xlfn._xlws.FILTER(INDIRECT("TabReg["&amp;TabCalc[[#This Row],[Ticker]]&amp;"1]") * INDIRECT("TabReg["&amp;TabCalc[[#This Row],[Ticker]]&amp;"2]"), INDIRECT("TabReg["&amp;TabCalc[[#This Row],[Ticker]]&amp;"2]")&lt;0))*(1+Commission)*TabCalc[[#This Row],[Scale]]</f>
        <v>-2413690.0097939991</v>
      </c>
      <c r="BJ32" s="161" cm="1">
        <f t="array" aca="1" ref="BJ32" ca="1">SUMPRODUCT(IF(INDIRECT("TabReg["&amp;TabCalc[[#This Row],[Ticker]]&amp;"2]") ="", 0, INDIRECT("TabReg["&amp;TabCalc[[#This Row],[Ticker]]&amp;"1]") * INDIRECT("TabReg["&amp;TabCalc[[#This Row],[Ticker]]&amp;"2]") ))*TabCalc[[#This Row],[Scale]]</f>
        <v>-246406.06999999986</v>
      </c>
      <c r="BK32" s="161" cm="1">
        <f t="array" aca="1" ref="BK3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2155405.9559880001</v>
      </c>
      <c r="BL32" s="161">
        <f ca="1">TabCalc[[#This Row],[M_V]]+TabCalc[[#This Row],[EfCost]]</f>
        <v>1170883.9300000002</v>
      </c>
      <c r="BM32" s="161">
        <f ca="1">IF(        OR( TabCalc[[#This Row],[GL]]&gt;ABS(TabCalc[[#This Row],[EfCost]]),TabCalc[[#This Row],[NAfter]]=0),             TabCalc[[#This Row],[GL]],     0)</f>
        <v>1170883.9300000002</v>
      </c>
      <c r="BN32" s="161" cm="1">
        <f t="array" aca="1" ref="BN32" ca="1">SUMPRODUCT(_xlfn._xlws.FILTER(IF(INDIRECT("TabReg["&amp;TabCalc[[#This Row],[Ticker]]&amp;"2]") ="", 0, INDIRECT("TabReg["&amp;TabCalc[[#This Row],[Ticker]]&amp;"1]")  ),  INDIRECT("TabReg["&amp;TabCalc[[#This Row],[Ticker]]&amp;"2]") &lt; 0))</f>
        <v>59000</v>
      </c>
      <c r="BO32" s="161">
        <f ca="1">TabCalc[[#This Row],[SB]]-TabCalc[[#This Row],[Nbegin]]</f>
        <v>44000</v>
      </c>
      <c r="BP32" s="161" cm="1">
        <f t="array" aca="1" ref="BP32" ca="1">IFERROR(SUMPRODUCT(_xlfn._xlws.FILTER(IF(INDIRECT("TabReg["&amp;TabCalc[[#This Row],[Ticker]]&amp;"2]") ="", 0, INDIRECT("TabReg["&amp;TabCalc[[#This Row],[Ticker]]&amp;"1]")  ),  INDIRECT("TabReg["&amp;TabCalc[[#This Row],[Ticker]]&amp;"2]") &gt; 0)),0)</f>
        <v>42000</v>
      </c>
      <c r="BQ32"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23.15</v>
      </c>
      <c r="BR32" s="176" t="str">
        <f ca="1">IF(TabCalc[[#This Row],[EfCost]]+TabCalc[[#This Row],[M_V]]&lt;TabCalc[[#This Row],[NoT_GL]],"Pile","")</f>
        <v/>
      </c>
      <c r="BS32" s="167">
        <f ca="1">[1]!RTData[[#This Row],[Last trade time]]</f>
        <v>45954.999974409373</v>
      </c>
      <c r="BT32" s="177">
        <f ca="1">(TabCalc[[#This Row],[ValueBegin]]+(TabCalc[[#This Row],[M]]-TabCalc[[#This Row],[A]])*TabCalc[[#This Row],[NAfter]])*TabCalc[[#This Row],[Scale]]</f>
        <v>-76288.930999999953</v>
      </c>
      <c r="BU32" s="189" cm="1">
        <f t="array" aca="1" ref="BU32" ca="1">_xlfn.XLOOKUP(TabCalc[[#This Row],[Ticker]],TabReg[[#Headers],[AAPL]:[UnknownX28]],Reg!B$72:KF$72)+3</f>
        <v>37</v>
      </c>
      <c r="BV32" s="190" cm="1">
        <f t="array" aca="1" ref="BV32" ca="1">_xlfn.XLOOKUP(TabCalc[[#This Row],[Ticker]],TabReg[[#Headers],[AAPL]:[UnknownX28]],Reg!B$73:KF$73)+2</f>
        <v>93</v>
      </c>
      <c r="BW32" s="191">
        <f ca="1">IFERROR(MAX(TabCalc[[#This Row],[Max_SD]],TabCalc[[#This Row],[Max_PD]]),0)</f>
        <v>45954</v>
      </c>
      <c r="BX32" s="191" t="str" cm="1">
        <f t="array" aca="1" ref="BX32" ca="1">_xlfn.IFS(TabCalc[[#This Row],[L_TP]]&lt;0,"Purchase",TabCalc[[#This Row],[L_TP]]&gt;0,"Sale")</f>
        <v>Purchase</v>
      </c>
      <c r="BY32" s="190" cm="1">
        <f t="array" aca="1" ref="BY32" ca="1">INDEX(Reg!$A$1:$KF$73,TabCalc[[#This Row],[L_I1]],TabCalc[[#This Row],[L_I2]])</f>
        <v>2000</v>
      </c>
      <c r="BZ32" s="192" cm="1">
        <f t="array" aca="1" ref="BZ32" ca="1">INDEX(Reg!$A$1:$KF$73,TabCalc[[#This Row],[L_I1]],TabCalc[[#This Row],[L_I2]]+1)</f>
        <v>-83.501670000000004</v>
      </c>
      <c r="CA32" s="161">
        <f ca="1">TabCalc[[#This Row],[NAfter]]*(TabCalc[[#This Row],[M]]-IF(TabCalc[[#This Row],[E]]&gt;0,0,TabCalc[[#This Row],[A]]))</f>
        <v>210282.46900000001</v>
      </c>
      <c r="CB32" s="167" cm="1">
        <f t="array" aca="1" ref="CB32" ca="1">IFERROR(MIN(_xlfn._xlws.FILTER(INDIRECT("TabReg["&amp;TabCalc[[#This Row],[Ticker]]&amp;"]"), INDIRECT("TabReg["&amp;TabCalc[[#This Row],[Ticker]]&amp;"2]")&gt;0)),0)</f>
        <v>45442</v>
      </c>
      <c r="CC32" s="178" cm="1">
        <f t="array" aca="1" ref="CC32" ca="1">IFERROR(MIN(_xlfn._xlws.FILTER(INDIRECT("TabReg["&amp;TabCalc[[#This Row],[Ticker]]&amp;"1]"), INDIRECT("TabReg["&amp;TabCalc[[#This Row],[Ticker]]&amp;"2]")&gt;0)),0)</f>
        <v>200</v>
      </c>
      <c r="CD32" s="173" cm="1">
        <f t="array" aca="1" ref="CD32" ca="1">IFERROR(MIN(_xlfn._xlws.FILTER(INDIRECT("TabReg["&amp;TabCalc[[#This Row],[Ticker]]&amp;"2]"), INDIRECT("TabReg["&amp;TabCalc[[#This Row],[Ticker]]&amp;"2]")&gt;0)),0)</f>
        <v>38.51</v>
      </c>
      <c r="CE32" s="167" cm="1">
        <f t="array" aca="1" ref="CE32" ca="1">IFERROR(MAX(_xlfn._xlws.FILTER(INDIRECT("TabReg["&amp;TabCalc[[#This Row],[Ticker]]&amp;"]"), INDIRECT("TabReg["&amp;TabCalc[[#This Row],[Ticker]]&amp;"2]")&gt;0)),0)</f>
        <v>45950</v>
      </c>
      <c r="CF32" s="178" cm="1">
        <f t="array" aca="1" ref="CF32" ca="1">IFERROR(MAX(_xlfn._xlws.FILTER(INDIRECT("TabReg["&amp;TabCalc[[#This Row],[Ticker]]&amp;"1]"), INDIRECT("TabReg["&amp;TabCalc[[#This Row],[Ticker]]&amp;"2]")&gt;0)),0)</f>
        <v>10000</v>
      </c>
      <c r="CG32" s="173" cm="1">
        <f t="array" aca="1" ref="CG32" ca="1">IFERROR(MAX(_xlfn._xlws.FILTER(INDIRECT("TabReg["&amp;TabCalc[[#This Row],[Ticker]]&amp;"2]"), INDIRECT("TabReg["&amp;TabCalc[[#This Row],[Ticker]]&amp;"2]")&gt;0)),0)</f>
        <v>94.22</v>
      </c>
      <c r="CH32" s="167" cm="1">
        <f t="array" aca="1" ref="CH32" ca="1">MIN(_xlfn._xlws.FILTER(INDIRECT("TabReg["&amp;TabCalc[[#This Row],[Ticker]]&amp;"]"), INDIRECT("TabReg["&amp;TabCalc[[#This Row],[Ticker]]&amp;"2]")&lt;0))</f>
        <v>40544</v>
      </c>
      <c r="CI32" s="177" cm="1">
        <f t="array" aca="1" ref="CI32" ca="1">MIN(_xlfn._xlws.FILTER(INDIRECT("TabReg["&amp;TabCalc[[#This Row],[Ticker]]&amp;"1]"), INDIRECT("TabReg["&amp;TabCalc[[#This Row],[Ticker]]&amp;"2]")&lt;0))</f>
        <v>1000</v>
      </c>
      <c r="CJ32" s="173" cm="1">
        <f t="array" aca="1" ref="CJ32" ca="1">MIN(_xlfn._xlws.FILTER(INDIRECT("TabReg["&amp;TabCalc[[#This Row],[Ticker]]&amp;"2]"), INDIRECT("TabReg["&amp;TabCalc[[#This Row],[Ticker]]&amp;"2]")&lt;0))</f>
        <v>-86.41</v>
      </c>
      <c r="CK32" s="167" cm="1">
        <f t="array" aca="1" ref="CK32" ca="1">MAX(_xlfn._xlws.FILTER(INDIRECT("TabReg["&amp;TabCalc[[#This Row],[Ticker]]&amp;"]"), INDIRECT("TabReg["&amp;TabCalc[[#This Row],[Ticker]]&amp;"2]")&lt;0))</f>
        <v>45954</v>
      </c>
      <c r="CL32" s="177" cm="1">
        <f t="array" aca="1" ref="CL32" ca="1">MAX(_xlfn._xlws.FILTER(INDIRECT("TabReg["&amp;TabCalc[[#This Row],[Ticker]]&amp;"1]"), INDIRECT("TabReg["&amp;TabCalc[[#This Row],[Ticker]]&amp;"2]")&lt;0))</f>
        <v>15000</v>
      </c>
      <c r="CM32" s="173" cm="1">
        <f t="array" aca="1" ref="CM32" ca="1">MAX(_xlfn._xlws.FILTER(INDIRECT("TabReg["&amp;TabCalc[[#This Row],[Ticker]]&amp;"2]"), INDIRECT("TabReg["&amp;TabCalc[[#This Row],[Ticker]]&amp;"2]")&lt;0))</f>
        <v>-19.104759999999999</v>
      </c>
      <c r="CN32" s="167" cm="1">
        <f t="array" aca="1" ref="CN32" ca="1">IFERROR(_xlfn.XLOOKUP(TabCalc[[#This Row],[BS2P]],INDIRECT("TabReg["&amp;TabCalc[[#This Row],[Ticker]]&amp;"2]"),INDIRECT("TabReg["&amp;TabCalc[[#This Row],[Ticker]]&amp;"]")),0)</f>
        <v>45923</v>
      </c>
      <c r="CO32" s="178" cm="1">
        <f t="array" aca="1" ref="CO32" ca="1">IFERROR(_xlfn.XLOOKUP(TabCalc[[#This Row],[BS2P]],INDIRECT("TabReg["&amp;TabCalc[[#This Row],[Ticker]]&amp;"2]"),INDIRECT("TabReg["&amp;TabCalc[[#This Row],[Ticker]]&amp;"1]")),0)</f>
        <v>200</v>
      </c>
      <c r="CP32" s="173">
        <f ca="1">_xlfn.MAXIFS(INDIRECT("TabReg["&amp;TabCalc[[#This Row],[Ticker]]&amp;"2]"), INDIRECT("TabReg["&amp;TabCalc[[#This Row],[Ticker]]&amp;"2]"), "&lt;" &amp; MAX(INDIRECT("TabReg["&amp;TabCalc[[#This Row],[Ticker]]&amp;"2]")))</f>
        <v>85.32</v>
      </c>
      <c r="CQ32" s="167" cm="1">
        <f t="array" aca="1" ref="CQ32" ca="1">IFERROR(_xlfn.XLOOKUP(TabCalc[[#This Row],[WB2P]],INDIRECT("TabReg["&amp;TabCalc[[#This Row],[Ticker]]&amp;"2]"),INDIRECT("TabReg["&amp;TabCalc[[#This Row],[Ticker]]&amp;"]")),0)</f>
        <v>45954</v>
      </c>
      <c r="CR32" s="178" cm="1">
        <f t="array" aca="1" ref="CR32" ca="1">IFERROR(_xlfn.XLOOKUP(TabCalc[[#This Row],[WB2P]],INDIRECT("TabReg["&amp;TabCalc[[#This Row],[Ticker]]&amp;"2]"),INDIRECT("TabReg["&amp;TabCalc[[#This Row],[Ticker]]&amp;"1]")),0)</f>
        <v>2000</v>
      </c>
      <c r="CS32" s="173">
        <f ca="1">_xlfn.MINIFS(INDIRECT("TabReg["&amp;TabCalc[[#This Row],[Ticker]]&amp;"2]"), INDIRECT("TabReg["&amp;TabCalc[[#This Row],[Ticker]]&amp;"2]"), "&gt;" &amp; MIN(INDIRECT("TabReg["&amp;TabCalc[[#This Row],[Ticker]]&amp;"2]")))</f>
        <v>-83.501670000000004</v>
      </c>
      <c r="CT32" s="405">
        <f ca="1">IF(TabCalc[[#This Row],[M]]&lt;TabCalc[[#This Row],[L_Sp]],DesiredBuyGain/(TabCalc[[#This Row],[L_Sp]]-TabCalc[[#This Row],[M]]),0)</f>
        <v>460.82949308755786</v>
      </c>
      <c r="CU32" s="406">
        <f ca="1">IF(TabCalc[[#This Row],[ntoBuy]]*TabCalc[[#This Row],[M]]&lt;=0,0,TabCalc[[#This Row],[ntoBuy]]*TabCalc[[#This Row],[M]])</f>
        <v>38419.354838709703</v>
      </c>
      <c r="CV32" s="406">
        <f ca="1">IF(TabCalc[[#This Row],[M]]&gt;ABS(TabCalc[[#This Row],[L_Bp]]),MIN(TabCalc[[#This Row],[NAfter]],DesiredSaleGain/(TabCalc[[#This Row],[M]]+TabCalc[[#This Row],[L_Bp]])),0)/TabCalc[[#This Row],[Scale]]</f>
        <v>0</v>
      </c>
      <c r="CW32" s="407">
        <f ca="1">TabCalc[[#This Row],[ntoSell]]*TabCalc[[#This Row],[M]]</f>
        <v>0</v>
      </c>
      <c r="CX32" s="400">
        <f ca="1">_xlfn.LET(_xlpm.nToSell,IF(TabCalc[[#This Row],[M]]-TabCalc[[#This Row],[A]]&lt;=0,"",INT(DesiredSaleGain/(TabCalc[[#This Row],[M]]-IF(TabCalc[[#This Row],[E]]&gt;0,0,TabCalc[[#This Row],[A]])))),IF(_xlpm.nToSell&lt;=TabCalc[[#This Row],[NAfter]],_xlpm.nToSell,0))</f>
        <v>404</v>
      </c>
      <c r="CY32" s="338">
        <f ca="1">IFERROR(TabCalc[[#This Row],[NMA]]*TabCalc[[#This Row],[M]],"")</f>
        <v>33681.480000000003</v>
      </c>
      <c r="CZ32" s="337" cm="1">
        <f t="array" aca="1" ref="CZ32" ca="1">_xlfn.IFS(TabCalc[[#This Row],[M]]&gt;= TabCalc[[#This Row],[L_Sp]],(TabCalc[[#This Row],[M]]-TabCalc[[#This Row],[A]])*TabCalc[[#This Row],[NAfter]]*TabCalc[[#This Row],[Scale]],           TabCalc[[#This Row],[M]]&lt; TabCalc[[#This Row],[L_Sp]],(TabCalc[[#This Row],[M]]-TabCalc[[#This Row],[A]])*TabCalc[[#This Row],[NAfter]]*TabCalc[[#This Row],[Scale]],               TRUE,"")</f>
        <v>210282.46900000001</v>
      </c>
      <c r="DA32" s="90">
        <f ca="1">IFERROR((TabCalc[[#This Row],[M]]+TabCalc[[#This Row],[L_Bp]])/ABS(TabCalc[[#This Row],[L_Bp]])/(TODAY()-TabCalc[[#This Row],[L_Bdate]])*360,"")</f>
        <v>-0.28383384428119762</v>
      </c>
      <c r="DB32" s="312">
        <f ca="1">MEDIAN(DataShift!F732:Z732)</f>
        <v>3.1219999999999998E-3</v>
      </c>
      <c r="DC32" s="312" t="str" cm="1">
        <f t="array" aca="1" ref="DC3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32" s="88" t="s">
        <v>29</v>
      </c>
      <c r="DN32" s="81">
        <v>15000</v>
      </c>
      <c r="DO32" s="317">
        <v>-19.104759999999999</v>
      </c>
    </row>
    <row r="33" spans="1:119">
      <c r="A33" s="120" t="str">
        <f ca="1">_xlfn.XLOOKUP(TabCalc[[#This Row],[Ticker]],[1]!RTData[Ticker symbol],[1]!RTData[Currency])</f>
        <v>USD</v>
      </c>
      <c r="B33" s="121">
        <f ca="1">IF(TabCalc[[#This Row],[Cur]]="GBP",0.01,1)</f>
        <v>1</v>
      </c>
      <c r="C33" s="82">
        <f ca="1">_xlfn.XLOOKUP(TabCalc[[#This Row],[Ticker]],DM$3:DM$96,DN$3:DN$96)</f>
        <v>4000</v>
      </c>
      <c r="D33" s="1254">
        <f ca="1">_xlfn.XLOOKUP(TabCalc[[#This Row],[Ticker]],DM$3:DM$96,DO$3:DO$96)</f>
        <v>-393.15</v>
      </c>
      <c r="E33" s="121">
        <f t="shared" ca="1" si="0"/>
        <v>-1572600</v>
      </c>
      <c r="F33" s="82">
        <f ca="1">TabCalc[[#This Row],[NAfter]]*TabCalc[[#This Row],[M]]*TabCalc[[#This Row],[Scale]]</f>
        <v>3284070</v>
      </c>
      <c r="G33" s="82">
        <f ca="1">IFERROR(TabCalc[[#This Row],[SB]]-TabCalc[[#This Row],[SST]],TabCalc[[#This Row],[SB]])</f>
        <v>3000</v>
      </c>
      <c r="H33" s="535" t="str">
        <f ca="1">[1]!RTData[[#This Row],[Ticker symbol]]</f>
        <v>NFLX</v>
      </c>
      <c r="I33" s="385">
        <f ca="1">[1]!RTData[[#This Row],[M-Price]]</f>
        <v>1094.69</v>
      </c>
      <c r="J33" s="384">
        <v>51.007316666666668</v>
      </c>
      <c r="K33" s="383">
        <f>[1]!RTData[[#This Row],[1YT]]</f>
        <v>1358.6105</v>
      </c>
      <c r="L33" s="384">
        <f ca="1">IF(OR(TabCalc[[#This Row],[NAfter]]=0,TabCalc[[#This Row],[EfCost]]&gt;0),0,TabCalc[[#This Row],[EfCost]]/TabCalc[[#This Row],[NAfter]]/TabCalc[[#This Row],[Scale]])</f>
        <v>-611.69033666666667</v>
      </c>
      <c r="M33" s="744">
        <f ca="1">[1]!RTData[[#This Row],[Change%]]</f>
        <v>-1.6972000000000001E-2</v>
      </c>
      <c r="N33" s="1172">
        <v>0.33333333333333331</v>
      </c>
      <c r="O33" s="966">
        <f>TabCalc[[#This Row],[Up20]]-1+TabCalc[[#This Row],[Up20]]</f>
        <v>-0.33333333333333343</v>
      </c>
      <c r="P33" s="966">
        <f>TabCalc[[#This Row],[Up20]]-TabCalc[[#This Row],[Up150]]</f>
        <v>-0.29051987767584103</v>
      </c>
      <c r="Q33" s="966">
        <v>0.62385321100917435</v>
      </c>
      <c r="R33" s="966">
        <f>TabCalc[[#This Row],[Up150]]-1+TabCalc[[#This Row],[Up150]]</f>
        <v>0.24770642201834869</v>
      </c>
      <c r="S33" s="966">
        <f ca="1">IFERROR(SUMPRODUCT(DataShift!F1525:Z1525,DataShift!AB732:AV732)/SQRT(SUMPRODUCT(DataShift!F1525:Z1525,DataShift!F1525:Z1525)*SUMPRODUCT(DataShift!AB732:AV732,DataShift!AB732:AV732)),0)</f>
        <v>-0.42813181069302608</v>
      </c>
      <c r="T33" s="966">
        <f ca="1">IFERROR(SUMPRODUCT(DataShift!F1525:Z1525,DataShift!F733:Z733)/SQRT(SUMPRODUCT(DataShift!F1525:Z1525,DataShift!F1525:Z1525)*SUMPRODUCT(DataShift!F733:Z733,DataShift!F733:Z733)),0)</f>
        <v>0.45238461216133674</v>
      </c>
      <c r="U33" s="1107">
        <v>15000</v>
      </c>
      <c r="V33" s="1107">
        <v>0</v>
      </c>
      <c r="W33" s="1107">
        <v>0</v>
      </c>
      <c r="X33" s="966" t="str">
        <f ca="1">IF(TabCalc[[#This Row],[EfCost]]+TabCalc[[#This Row],[M_V]]&lt;TabCalc[[#This Row],[NoT_GL]],"Pile","")</f>
        <v>Pile</v>
      </c>
      <c r="Y3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3" s="213">
        <f ca="1">MIN(TabCalc[[#This Row],[L_Bn]],TabCalc[[#This Row],[NAfter]])*(TabCalc[[#This Row],[M]]+TabCalc[[#This Row],[L_Bp]])*TabCalc[[#This Row],[Scale]]</f>
        <v>-1095.0000000000273</v>
      </c>
      <c r="AA33" s="210" cm="1">
        <f t="array" aca="1" ref="AA33" ca="1">_xlfn.XLOOKUP(TabCalc[[#This Row],[L_Bp]],INDIRECT("TabReg["&amp;TabCalc[[#This Row],[Ticker]]&amp;"2]"),INDIRECT("TabReg["&amp;TabCalc[[#This Row],[Ticker]]&amp;"]"))</f>
        <v>45954</v>
      </c>
      <c r="AB33" s="181" cm="1">
        <f t="array" aca="1" ref="AB33" ca="1">_xlfn.XLOOKUP(TabCalc[[#This Row],[L_Bp]],INDIRECT("TabReg["&amp;TabCalc[[#This Row],[Ticker]]&amp;"2]"),INDIRECT("TabReg["&amp;TabCalc[[#This Row],[Ticker]]&amp;"1]"))</f>
        <v>500</v>
      </c>
      <c r="AC33" s="192" cm="1">
        <f t="array" aca="1" ref="AC33" ca="1">IFERROR(INDEX(INDIRECT("TabReg["&amp;TabCalc[[#This Row],[Ticker]]&amp;"2]"),    _xlfn.XMATCH(    MAX(    _xlfn._xlws.FILTER(INDIRECT("TabReg["&amp;TabCalc[[#This Row],[Ticker]]&amp;"]"), INDIRECT("TabReg["&amp;TabCalc[[#This Row],[Ticker]]&amp;"2]")&lt;0)     ), INDIRECT("TabReg["&amp;TabCalc[[#This Row],[Ticker]]&amp;"]"),      0)), "")</f>
        <v>-1096.8800000000001</v>
      </c>
      <c r="AD33" s="213">
        <f ca="1">IFERROR(MIN(TabCalc[[#This Row],[L_B1n]],TabCalc[[#This Row],[NAfter]])*(TabCalc[[#This Row],[M]]+TabCalc[[#This Row],[L_B1p]])*TabCalc[[#This Row],[Scale]],"")</f>
        <v>-4434.9999999999454</v>
      </c>
      <c r="AE33" s="210" cm="1">
        <f t="array" aca="1" ref="AE3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45953</v>
      </c>
      <c r="AF33" s="181" cm="1">
        <f t="array" aca="1" ref="AF33" ca="1">IFERROR(_xlfn.XLOOKUP(TabCalc[[#This Row],[L_B1D]],INDIRECT("TabReg["&amp;TabCalc[[#This Row],[Ticker]]&amp;"]"),INDIRECT("TabReg["&amp;TabCalc[[#This Row],[Ticker]]&amp;"1]")),0)</f>
        <v>500</v>
      </c>
      <c r="AG33" s="192" cm="1">
        <f t="array" aca="1" ref="AG33" ca="1">IFERROR(_xlfn.XLOOKUP(TabCalc[[#This Row],[L_B1D]],INDIRECT("TabReg["&amp;TabCalc[[#This Row],[Ticker]]&amp;"]"),INDIRECT("TabReg["&amp;TabCalc[[#This Row],[Ticker]]&amp;"2]")),0)</f>
        <v>-1103.56</v>
      </c>
      <c r="AH33" s="302">
        <f ca="1">IFERROR(TabCalc[[#This Row],[L_Sn]]*(TabCalc[[#This Row],[L_Sp]]-TabCalc[[#This Row],[M]])*TabCalc[[#This Row],[Scale]],"")</f>
        <v>13886.999999999989</v>
      </c>
      <c r="AI33" s="210" cm="1">
        <f t="array" aca="1" ref="AI33" ca="1">IFERROR(_xlfn.XLOOKUP(TabCalc[[#This Row],[L_Sp]],INDIRECT("TabReg["&amp;TabCalc[[#This Row],[Ticker]]&amp;"2]"),INDIRECT("TabReg["&amp;TabCalc[[#This Row],[Ticker]]&amp;"]")),0)</f>
        <v>45950</v>
      </c>
      <c r="AJ33" s="181" cm="1">
        <f t="array" aca="1" ref="AJ33" ca="1">IFERROR(_xlfn.XLOOKUP(TabCalc[[#This Row],[L_Sp]],INDIRECT("TabReg["&amp;TabCalc[[#This Row],[Ticker]]&amp;"2]"),INDIRECT("TabReg["&amp;TabCalc[[#This Row],[Ticker]]&amp;"1]")),0)</f>
        <v>100</v>
      </c>
      <c r="AK33" s="192" cm="1">
        <f t="array" aca="1" ref="AK33" ca="1">IFERROR(INDEX(INDIRECT("TabReg["&amp;TabCalc[[#This Row],[Ticker]]&amp;"2]"), _xlfn.XMATCH(MAX(_xlfn._xlws.FILTER(INDIRECT("TabReg["&amp;TabCalc[[#This Row],[Ticker]]&amp;"]"), INDIRECT("TabReg["&amp;TabCalc[[#This Row],[Ticker]]&amp;"2]")&gt;0)), INDIRECT("TabReg["&amp;TabCalc[[#This Row],[Ticker]]&amp;"]"), 0)), 0)</f>
        <v>1233.56</v>
      </c>
      <c r="AL33" s="214">
        <f ca="1">IFERROR(TabCalc[[#This Row],[L_S1n]]*(TabCalc[[#This Row],[L_S1p]]-TabCalc[[#This Row],[M]])*TabCalc[[#This Row],[Scale]],0)</f>
        <v>14063.999999999987</v>
      </c>
      <c r="AM33" s="210" cm="1">
        <f t="array" aca="1" ref="AM3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N33" s="181" cm="1">
        <f t="array" aca="1" ref="AN33" ca="1">IFERROR(_xlfn.XLOOKUP(TabCalc[[#This Row],[L_S1D]],INDIRECT("TabReg["&amp;TabCalc[[#This Row],[Ticker]]&amp;"]"),INDIRECT("TabReg["&amp;TabCalc[[#This Row],[Ticker]]&amp;"1]")),0)</f>
        <v>100</v>
      </c>
      <c r="AO33" s="384" cm="1">
        <f t="array" aca="1" ref="AO33" ca="1">IFERROR(_xlfn.XLOOKUP(TabCalc[[#This Row],[L_S1D]],INDIRECT("TabReg["&amp;TabCalc[[#This Row],[Ticker]]&amp;"]"),INDIRECT("TabReg["&amp;TabCalc[[#This Row],[Ticker]]&amp;"2]")),0)</f>
        <v>1235.33</v>
      </c>
      <c r="AP33" s="336">
        <f ca="1">_xlfn.LET(_xlpm.MVOpen,[1]!RTData[[#This Row],[Open]]*TabCalc[[#This Row],[NAfter]],_xlpm.MVNow,TabCalc[[#This Row],[M]]*TabCalc[[#This Row],[NAfter]],_xlpm.MVNow-_xlpm.MVOpen)*TabCalc[[#This Row],[Scale]]</f>
        <v>-48930</v>
      </c>
      <c r="AQ33" s="336">
        <f ca="1">_xlfn.LET(_xlpm.MVToday,DataShift!AV533,         _xlpm.MVY,DataShift!AU534,        _xlpm.MVYY, DataShift!AT534,                                IF(_xlpm.MVToday=_xlpm.MVY,_xlpm.MVY-_xlpm.MVYY,_xlpm.MVToday-_xlpm.MVY))</f>
        <v>456</v>
      </c>
      <c r="AR33" s="336">
        <f ca="1">_xlfn.LET(_xlpm.MVToday,DataShift!AV533,         _xlpm.MVY,DataShift!AU534,        _xlpm.MVYY, DataShift!AT534,         _xlpm.MVYYY, DataShift!AS534,                      IF(_xlpm.MVToday=_xlpm.MVY,      _xlpm.MVYY-_xlpm.MVYYY,          _xlpm.MVY-_xlpm.MVYY))</f>
        <v>168</v>
      </c>
      <c r="AS33" s="1078">
        <f ca="1">TabCalc[[#This Row],[Y]]/TabCalc[[#This Row],[M]]</f>
        <v>1.2410915418977062</v>
      </c>
      <c r="AT33" s="299" t="str" cm="1">
        <f t="array" aca="1" ref="AT33" ca="1">IFERROR(_xlfn.IFS(          TabCalc[[#This Row],[E]]&gt;0, "Free Trade",      TabCalc[[#This Row],[A]]&lt;MIN(TabCalc[[#This Row],[L_Sp]],TabCalc[[#This Row],[M]]), "Buy",            TabCalc[[#This Row],[M]]&lt;TabCalc[[#This Row],[L_Sp]],       "Refill",       TabCalc[[#This Row],[M]]&gt;TabCalc[[#This Row],[L_Sp]],"S_more"),"")</f>
        <v>Buy</v>
      </c>
      <c r="AU33" s="299" t="str">
        <f ca="1">IF(           AND(TabCalc[[#This Row],[E]]&lt;=0,          TabCalc[[#This Row],[A]]&gt;MIN(TabCalc[[#This Row],[M]],TabCalc[[#This Row],[L_Sp]]),             TabCalc[[#This Row],[L_Sp]]&lt;=TabCalc[[#This Row],[M]]),                       "S_more","")</f>
        <v/>
      </c>
      <c r="AV33" s="82" t="str" cm="1">
        <f t="array" aca="1" ref="AV33" ca="1">IFERROR(_xlfn.IFS(TabCalc[[#This Row],[E]]&gt;0,"Free trade",                 TabCalc[[#This Row],[A]]&lt;MAX(ABS(TabCalc[[#This Row],[L_Bp]]),TabCalc[[#This Row],[A]]),"Sell",             TabCalc[[#This Row],[M]]&gt;ABS(TabCalc[[#This Row],[L_Bp]]),"Resell",             TabCalc[[#This Row],[M]]&lt;ABS(TabCalc[[#This Row],[L_Bp]]),"B_more"),"")</f>
        <v>Sell</v>
      </c>
      <c r="AW33" s="82">
        <f ca="1">TabCalc[[#This Row],[NAfter]]-TabCalc[[#This Row],[Nbegin]]</f>
        <v>-1000</v>
      </c>
      <c r="AX33" s="307">
        <f ca="1">IFERROR((TabCalc[[#This Row],[M]]-TabCalc[[#This Row],[Y]])*(TabCalc[[#This Row],[M]]-TabCalc[[#This Row],[Y]])*(TabCalc[[#This Row],[M]]-TabCalc[[#This Row],[Y]])/(TabCalc[[#This Row],[Y]]*TabCalc[[#This Row],[M]]),"")</f>
        <v>-12.360420863300146</v>
      </c>
      <c r="AY33" s="82">
        <f t="shared" ca="1" si="1"/>
        <v>1000</v>
      </c>
      <c r="AZ33" s="90">
        <f ca="1">[1]!RTData[[#This Row],[V/VA]]</f>
        <v>1.5614994580883679</v>
      </c>
      <c r="BA33" s="90" t="str" cm="1">
        <f t="array" aca="1" ref="BA33" ca="1">IFERROR(_xlfn.IFS(TabCalc[[#This Row],[Cur]]="USD",Timer!F$27,TabCalc[[#This Row],[Cur]]="EUR",Timer!F$18,TabCalc[[#This Row],[Cur]]="GBP",Timer!F$12,TabCalc[[#This Row],[Cur]]="CAD",Timer!F$27,TabCalc[[#This Row],[Cur]]="JPY",Timer!F$31,TabCalc[[#This Row],[Cur]]="CHF",Timer!F$18),"Timing")</f>
        <v>None-Working Day</v>
      </c>
      <c r="BB33" s="90">
        <f ca="1">IF(ISNUMBER(TabCalc[[#This Row],[TimeEX]]),TabCalc[[#This Row],[V/VA]]/TabCalc[[#This Row],[TimeEX]],TabCalc[[#This Row],[V/VA]])</f>
        <v>1.5614994580883679</v>
      </c>
      <c r="BC33" s="87" cm="1">
        <f t="array" aca="1" ref="BC33" ca="1">INDEX(TabReg[], 1, _xlfn.XMATCH(TabCalc[[#This Row],[Ticker]]&amp;1, TabReg[#Headers], 0))</f>
        <v>4000</v>
      </c>
      <c r="BD33" s="161">
        <f ca="1">TabCalc[[#This Row],[Nbegin]]*TabCalc[[#This Row],[M]]*TabCalc[[#This Row],[Scale]]+TabCalc[[#This Row],[ValueBegin]]</f>
        <v>2806160</v>
      </c>
      <c r="BE33" s="336" t="str" cm="1">
        <f t="array" aca="1" ref="BE33" ca="1">_xlfn.IFS(TabCalc[[#This Row],[Cost+Gain]]&gt;0,"Free",             TabCalc[[#This Row],[GL]]&gt;0,"Gainer",                TRUE,"Looser")</f>
        <v>Gainer</v>
      </c>
      <c r="BF33" s="161">
        <f ca="1">TabCalc[[#This Row],[Tot_Paid]]-TabCalc[[#This Row],[ValueBegin]]</f>
        <v>-4537831.0112339994</v>
      </c>
      <c r="BG33" s="337">
        <f ca="1">IF(TabCalc[[#This Row],[EfCost]]&gt;TabCalc[[#This Row],[ValueBegin]],       0,        TabCalc[[#This Row],[EfCost]]-TabCalc[[#This Row],[ValueBegin]]*(1+Commission))</f>
        <v>-258382.25</v>
      </c>
      <c r="BH33" s="338">
        <f ca="1">TabCalc[[#This Row],[M_V]]+TabCalc[[#This Row],[ValueBegin]]</f>
        <v>1711470</v>
      </c>
      <c r="BI33" s="161" cm="1">
        <f t="array" aca="1" ref="BI33" ca="1">SUMPRODUCT(_xlfn._xlws.FILTER(INDIRECT("TabReg["&amp;TabCalc[[#This Row],[Ticker]]&amp;"1]") * INDIRECT("TabReg["&amp;TabCalc[[#This Row],[Ticker]]&amp;"2]"), INDIRECT("TabReg["&amp;TabCalc[[#This Row],[Ticker]]&amp;"2]")&lt;0))*(1+Commission)*TabCalc[[#This Row],[Scale]]</f>
        <v>-6110431.0112339994</v>
      </c>
      <c r="BJ33" s="161" cm="1">
        <f t="array" aca="1" ref="BJ33" ca="1">SUMPRODUCT(IF(INDIRECT("TabReg["&amp;TabCalc[[#This Row],[Ticker]]&amp;"2]") ="", 0, INDIRECT("TabReg["&amp;TabCalc[[#This Row],[Ticker]]&amp;"1]") * INDIRECT("TabReg["&amp;TabCalc[[#This Row],[Ticker]]&amp;"2]") ))*TabCalc[[#This Row],[Scale]]</f>
        <v>-1835071.01</v>
      </c>
      <c r="BK33" s="161" cm="1">
        <f t="array" aca="1" ref="BK3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4248439.3433919996</v>
      </c>
      <c r="BL33" s="161">
        <f ca="1">TabCalc[[#This Row],[M_V]]+TabCalc[[#This Row],[EfCost]]</f>
        <v>1448998.99</v>
      </c>
      <c r="BM33" s="161">
        <f ca="1">IF(        OR( TabCalc[[#This Row],[GL]]&gt;ABS(TabCalc[[#This Row],[EfCost]]),TabCalc[[#This Row],[NAfter]]=0),             TabCalc[[#This Row],[GL]],     0)</f>
        <v>0</v>
      </c>
      <c r="BN33" s="161" cm="1">
        <f t="array" aca="1" ref="BN33" ca="1">SUMPRODUCT(_xlfn._xlws.FILTER(IF(INDIRECT("TabReg["&amp;TabCalc[[#This Row],[Ticker]]&amp;"2]") ="", 0, INDIRECT("TabReg["&amp;TabCalc[[#This Row],[Ticker]]&amp;"1]")  ),  INDIRECT("TabReg["&amp;TabCalc[[#This Row],[Ticker]]&amp;"2]") &lt; 0))</f>
        <v>8700</v>
      </c>
      <c r="BO33" s="161">
        <f ca="1">TabCalc[[#This Row],[SB]]-TabCalc[[#This Row],[Nbegin]]</f>
        <v>4700</v>
      </c>
      <c r="BP33" s="161" cm="1">
        <f t="array" aca="1" ref="BP33" ca="1">IFERROR(SUMPRODUCT(_xlfn._xlws.FILTER(IF(INDIRECT("TabReg["&amp;TabCalc[[#This Row],[Ticker]]&amp;"2]") ="", 0, INDIRECT("TabReg["&amp;TabCalc[[#This Row],[Ticker]]&amp;"1]")  ),  INDIRECT("TabReg["&amp;TabCalc[[#This Row],[Ticker]]&amp;"2]") &gt; 0)),0)</f>
        <v>5700</v>
      </c>
      <c r="BQ33"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978.12</v>
      </c>
      <c r="BR33" s="176" t="str">
        <f ca="1">IF(TabCalc[[#This Row],[EfCost]]+TabCalc[[#This Row],[M_V]]&lt;TabCalc[[#This Row],[NoT_GL]],"Pile","")</f>
        <v>Pile</v>
      </c>
      <c r="BS33" s="167">
        <f ca="1">[1]!RTData[[#This Row],[Last trade time]]</f>
        <v>45954.999961203124</v>
      </c>
      <c r="BT33" s="177">
        <f ca="1">(TabCalc[[#This Row],[ValueBegin]]+(TabCalc[[#This Row],[M]]-TabCalc[[#This Row],[A]])*TabCalc[[#This Row],[NAfter]])*TabCalc[[#This Row],[Scale]]</f>
        <v>1558448.0500000003</v>
      </c>
      <c r="BU33" s="189" cm="1">
        <f t="array" aca="1" ref="BU33" ca="1">_xlfn.XLOOKUP(TabCalc[[#This Row],[Ticker]],TabReg[[#Headers],[AAPL]:[UnknownX28]],Reg!B$72:KF$72)+3</f>
        <v>29</v>
      </c>
      <c r="BV33" s="190" cm="1">
        <f t="array" aca="1" ref="BV33" ca="1">_xlfn.XLOOKUP(TabCalc[[#This Row],[Ticker]],TabReg[[#Headers],[AAPL]:[UnknownX28]],Reg!B$73:KF$73)+2</f>
        <v>96</v>
      </c>
      <c r="BW33" s="191">
        <f ca="1">IFERROR(MAX(TabCalc[[#This Row],[Max_SD]],TabCalc[[#This Row],[Max_PD]]),0)</f>
        <v>45954</v>
      </c>
      <c r="BX33" s="191" t="str" cm="1">
        <f t="array" aca="1" ref="BX33" ca="1">_xlfn.IFS(TabCalc[[#This Row],[L_TP]]&lt;0,"Purchase",TabCalc[[#This Row],[L_TP]]&gt;0,"Sale")</f>
        <v>Purchase</v>
      </c>
      <c r="BY33" s="190" cm="1">
        <f t="array" aca="1" ref="BY33" ca="1">INDEX(Reg!$A$1:$KF$73,TabCalc[[#This Row],[L_I1]],TabCalc[[#This Row],[L_I2]])</f>
        <v>500</v>
      </c>
      <c r="BZ33" s="192" cm="1">
        <f t="array" aca="1" ref="BZ33" ca="1">INDEX(Reg!$A$1:$KF$73,TabCalc[[#This Row],[L_I1]],TabCalc[[#This Row],[L_I2]]+1)</f>
        <v>-1096.8800000000001</v>
      </c>
      <c r="CA33" s="161">
        <f ca="1">TabCalc[[#This Row],[NAfter]]*(TabCalc[[#This Row],[M]]-IF(TabCalc[[#This Row],[E]]&gt;0,0,TabCalc[[#This Row],[A]]))</f>
        <v>3131048.0500000003</v>
      </c>
      <c r="CB33" s="167" cm="1">
        <f t="array" aca="1" ref="CB33" ca="1">IFERROR(MIN(_xlfn._xlws.FILTER(INDIRECT("TabReg["&amp;TabCalc[[#This Row],[Ticker]]&amp;"]"), INDIRECT("TabReg["&amp;TabCalc[[#This Row],[Ticker]]&amp;"2]")&gt;0)),0)</f>
        <v>45365</v>
      </c>
      <c r="CC33" s="178" cm="1">
        <f t="array" aca="1" ref="CC33" ca="1">IFERROR(MIN(_xlfn._xlws.FILTER(INDIRECT("TabReg["&amp;TabCalc[[#This Row],[Ticker]]&amp;"1]"), INDIRECT("TabReg["&amp;TabCalc[[#This Row],[Ticker]]&amp;"2]")&gt;0)),0)</f>
        <v>100</v>
      </c>
      <c r="CD33" s="173" cm="1">
        <f t="array" aca="1" ref="CD33" ca="1">IFERROR(MIN(_xlfn._xlws.FILTER(INDIRECT("TabReg["&amp;TabCalc[[#This Row],[Ticker]]&amp;"2]"), INDIRECT("TabReg["&amp;TabCalc[[#This Row],[Ticker]]&amp;"2]")&gt;0)),0)</f>
        <v>608.69060000000002</v>
      </c>
      <c r="CE33" s="167" cm="1">
        <f t="array" aca="1" ref="CE33" ca="1">IFERROR(MAX(_xlfn._xlws.FILTER(INDIRECT("TabReg["&amp;TabCalc[[#This Row],[Ticker]]&amp;"]"), INDIRECT("TabReg["&amp;TabCalc[[#This Row],[Ticker]]&amp;"2]")&gt;0)),0)</f>
        <v>45950</v>
      </c>
      <c r="CF33" s="178" cm="1">
        <f t="array" aca="1" ref="CF33" ca="1">IFERROR(MAX(_xlfn._xlws.FILTER(INDIRECT("TabReg["&amp;TabCalc[[#This Row],[Ticker]]&amp;"1]"), INDIRECT("TabReg["&amp;TabCalc[[#This Row],[Ticker]]&amp;"2]")&gt;0)),0)</f>
        <v>1500</v>
      </c>
      <c r="CG33" s="173" cm="1">
        <f t="array" aca="1" ref="CG33" ca="1">IFERROR(MAX(_xlfn._xlws.FILTER(INDIRECT("TabReg["&amp;TabCalc[[#This Row],[Ticker]]&amp;"2]"), INDIRECT("TabReg["&amp;TabCalc[[#This Row],[Ticker]]&amp;"2]")&gt;0)),0)</f>
        <v>1235.33</v>
      </c>
      <c r="CH33" s="167" cm="1">
        <f t="array" aca="1" ref="CH33" ca="1">MIN(_xlfn._xlws.FILTER(INDIRECT("TabReg["&amp;TabCalc[[#This Row],[Ticker]]&amp;"]"), INDIRECT("TabReg["&amp;TabCalc[[#This Row],[Ticker]]&amp;"2]")&lt;0))</f>
        <v>40544</v>
      </c>
      <c r="CI33" s="177" cm="1">
        <f t="array" aca="1" ref="CI33" ca="1">MIN(_xlfn._xlws.FILTER(INDIRECT("TabReg["&amp;TabCalc[[#This Row],[Ticker]]&amp;"1]"), INDIRECT("TabReg["&amp;TabCalc[[#This Row],[Ticker]]&amp;"2]")&lt;0))</f>
        <v>100</v>
      </c>
      <c r="CJ33" s="173" cm="1">
        <f t="array" aca="1" ref="CJ33" ca="1">MIN(_xlfn._xlws.FILTER(INDIRECT("TabReg["&amp;TabCalc[[#This Row],[Ticker]]&amp;"2]"), INDIRECT("TabReg["&amp;TabCalc[[#This Row],[Ticker]]&amp;"2]")&lt;0))</f>
        <v>-1208.99</v>
      </c>
      <c r="CK33" s="167" cm="1">
        <f t="array" aca="1" ref="CK33" ca="1">MAX(_xlfn._xlws.FILTER(INDIRECT("TabReg["&amp;TabCalc[[#This Row],[Ticker]]&amp;"]"), INDIRECT("TabReg["&amp;TabCalc[[#This Row],[Ticker]]&amp;"2]")&lt;0))</f>
        <v>45954</v>
      </c>
      <c r="CL33" s="177" cm="1">
        <f t="array" aca="1" ref="CL33" ca="1">MAX(_xlfn._xlws.FILTER(INDIRECT("TabReg["&amp;TabCalc[[#This Row],[Ticker]]&amp;"1]"), INDIRECT("TabReg["&amp;TabCalc[[#This Row],[Ticker]]&amp;"2]")&lt;0))</f>
        <v>4000</v>
      </c>
      <c r="CM33" s="173" cm="1">
        <f t="array" aca="1" ref="CM33" ca="1">MAX(_xlfn._xlws.FILTER(INDIRECT("TabReg["&amp;TabCalc[[#This Row],[Ticker]]&amp;"2]"), INDIRECT("TabReg["&amp;TabCalc[[#This Row],[Ticker]]&amp;"2]")&lt;0))</f>
        <v>-393.15</v>
      </c>
      <c r="CN33" s="167" cm="1">
        <f t="array" aca="1" ref="CN33" ca="1">IFERROR(_xlfn.XLOOKUP(TabCalc[[#This Row],[BS2P]],INDIRECT("TabReg["&amp;TabCalc[[#This Row],[Ticker]]&amp;"2]"),INDIRECT("TabReg["&amp;TabCalc[[#This Row],[Ticker]]&amp;"]")),0)</f>
        <v>45950</v>
      </c>
      <c r="CO33" s="178" cm="1">
        <f t="array" aca="1" ref="CO33" ca="1">IFERROR(_xlfn.XLOOKUP(TabCalc[[#This Row],[BS2P]],INDIRECT("TabReg["&amp;TabCalc[[#This Row],[Ticker]]&amp;"2]"),INDIRECT("TabReg["&amp;TabCalc[[#This Row],[Ticker]]&amp;"1]")),0)</f>
        <v>100</v>
      </c>
      <c r="CP33" s="173">
        <f ca="1">_xlfn.MAXIFS(INDIRECT("TabReg["&amp;TabCalc[[#This Row],[Ticker]]&amp;"2]"), INDIRECT("TabReg["&amp;TabCalc[[#This Row],[Ticker]]&amp;"2]"), "&lt;" &amp; MAX(INDIRECT("TabReg["&amp;TabCalc[[#This Row],[Ticker]]&amp;"2]")))</f>
        <v>1233.56</v>
      </c>
      <c r="CQ33" s="167" cm="1">
        <f t="array" aca="1" ref="CQ33" ca="1">IFERROR(_xlfn.XLOOKUP(TabCalc[[#This Row],[WB2P]],INDIRECT("TabReg["&amp;TabCalc[[#This Row],[Ticker]]&amp;"2]"),INDIRECT("TabReg["&amp;TabCalc[[#This Row],[Ticker]]&amp;"]")),0)</f>
        <v>45946</v>
      </c>
      <c r="CR33" s="178" cm="1">
        <f t="array" aca="1" ref="CR33" ca="1">IFERROR(_xlfn.XLOOKUP(TabCalc[[#This Row],[WB2P]],INDIRECT("TabReg["&amp;TabCalc[[#This Row],[Ticker]]&amp;"2]"),INDIRECT("TabReg["&amp;TabCalc[[#This Row],[Ticker]]&amp;"1]")),0)</f>
        <v>100</v>
      </c>
      <c r="CS33" s="173">
        <f ca="1">_xlfn.MINIFS(INDIRECT("TabReg["&amp;TabCalc[[#This Row],[Ticker]]&amp;"2]"), INDIRECT("TabReg["&amp;TabCalc[[#This Row],[Ticker]]&amp;"2]"), "&gt;" &amp; MIN(INDIRECT("TabReg["&amp;TabCalc[[#This Row],[Ticker]]&amp;"2]")))</f>
        <v>-1179.6600000000001</v>
      </c>
      <c r="CT33" s="405">
        <f ca="1">IF(TabCalc[[#This Row],[M]]&lt;TabCalc[[#This Row],[L_Sp]],DesiredBuyGain/(TabCalc[[#This Row],[L_Sp]]-TabCalc[[#This Row],[M]]),0)</f>
        <v>36.004896665946596</v>
      </c>
      <c r="CU33" s="406">
        <f ca="1">IF(TabCalc[[#This Row],[ntoBuy]]*TabCalc[[#This Row],[M]]&lt;=0,0,TabCalc[[#This Row],[ntoBuy]]*TabCalc[[#This Row],[M]])</f>
        <v>39414.200331245083</v>
      </c>
      <c r="CV33" s="406">
        <f ca="1">IF(TabCalc[[#This Row],[M]]&gt;ABS(TabCalc[[#This Row],[L_Bp]]),MIN(TabCalc[[#This Row],[NAfter]],DesiredSaleGain/(TabCalc[[#This Row],[M]]+TabCalc[[#This Row],[L_Bp]])),0)/TabCalc[[#This Row],[Scale]]</f>
        <v>0</v>
      </c>
      <c r="CW33" s="407">
        <f ca="1">TabCalc[[#This Row],[ntoSell]]*TabCalc[[#This Row],[M]]</f>
        <v>0</v>
      </c>
      <c r="CX33" s="400">
        <f ca="1">_xlfn.LET(_xlpm.nToSell,IF(TabCalc[[#This Row],[M]]-TabCalc[[#This Row],[A]]&lt;=0,"",INT(DesiredSaleGain/(TabCalc[[#This Row],[M]]-IF(TabCalc[[#This Row],[E]]&gt;0,0,TabCalc[[#This Row],[A]])))),IF(_xlpm.nToSell&lt;=TabCalc[[#This Row],[NAfter]],_xlpm.nToSell,0))</f>
        <v>4</v>
      </c>
      <c r="CY33" s="338">
        <f ca="1">IFERROR(TabCalc[[#This Row],[NMA]]*TabCalc[[#This Row],[M]],"")</f>
        <v>4378.76</v>
      </c>
      <c r="CZ33" s="337" cm="1">
        <f t="array" aca="1" ref="CZ33" ca="1">_xlfn.IFS(TabCalc[[#This Row],[M]]&gt;= TabCalc[[#This Row],[L_Sp]],(TabCalc[[#This Row],[M]]-TabCalc[[#This Row],[A]])*TabCalc[[#This Row],[NAfter]]*TabCalc[[#This Row],[Scale]],           TabCalc[[#This Row],[M]]&lt; TabCalc[[#This Row],[L_Sp]],(TabCalc[[#This Row],[M]]-TabCalc[[#This Row],[A]])*TabCalc[[#This Row],[NAfter]]*TabCalc[[#This Row],[Scale]],               TRUE,"")</f>
        <v>3131048.0500000003</v>
      </c>
      <c r="DA33" s="90">
        <f ca="1">IFERROR((TabCalc[[#This Row],[M]]+TabCalc[[#This Row],[L_Bp]])/ABS(TabCalc[[#This Row],[L_Bp]])/(TODAY()-TabCalc[[#This Row],[L_Bdate]])*360,"")</f>
        <v>-0.35938297717162293</v>
      </c>
      <c r="DB33" s="312">
        <f ca="1">MEDIAN(DataShift!F733:Z733)</f>
        <v>-3.5599999999999998E-3</v>
      </c>
      <c r="DC33" s="312" t="str" cm="1">
        <f t="array" aca="1" ref="DC3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33" s="88" t="s">
        <v>30</v>
      </c>
      <c r="DN33" s="81">
        <v>4000</v>
      </c>
      <c r="DO33" s="317">
        <v>-393.15</v>
      </c>
    </row>
    <row r="34" spans="1:119">
      <c r="A34" s="120" t="str">
        <f ca="1">_xlfn.XLOOKUP(TabCalc[[#This Row],[Ticker]],[1]!RTData[Ticker symbol],[1]!RTData[Currency])</f>
        <v>USD</v>
      </c>
      <c r="B34" s="121">
        <f ca="1">IF(TabCalc[[#This Row],[Cur]]="GBP",0.01,1)</f>
        <v>1</v>
      </c>
      <c r="C34" s="82">
        <f ca="1">_xlfn.XLOOKUP(TabCalc[[#This Row],[Ticker]],DM$3:DM$96,DN$3:DN$96)</f>
        <v>30000</v>
      </c>
      <c r="D34" s="1254">
        <f ca="1">_xlfn.XLOOKUP(TabCalc[[#This Row],[Ticker]],DM$3:DM$96,DO$3:DO$96)</f>
        <v>-1.19</v>
      </c>
      <c r="E34" s="121">
        <f t="shared" ca="1" si="0"/>
        <v>-35700</v>
      </c>
      <c r="F34" s="82">
        <f ca="1">TabCalc[[#This Row],[NAfter]]*TabCalc[[#This Row],[M]]*TabCalc[[#This Row],[Scale]]</f>
        <v>116534.79000000001</v>
      </c>
      <c r="G34" s="82">
        <f ca="1">IFERROR(TabCalc[[#This Row],[SB]]-TabCalc[[#This Row],[SST]],TabCalc[[#This Row],[SB]])</f>
        <v>26667</v>
      </c>
      <c r="H34" s="535" t="str">
        <f ca="1">[1]!RTData[[#This Row],[Ticker symbol]]</f>
        <v>NOTE</v>
      </c>
      <c r="I34" s="385">
        <f ca="1">[1]!RTData[[#This Row],[M-Price]]</f>
        <v>4.37</v>
      </c>
      <c r="J34" s="384">
        <v>1135.346</v>
      </c>
      <c r="K34" s="383">
        <f>[1]!RTData[[#This Row],[1YT]]</f>
        <v>31.5</v>
      </c>
      <c r="L34" s="384">
        <f ca="1">IF(OR(TabCalc[[#This Row],[NAfter]]=0,TabCalc[[#This Row],[EfCost]]&gt;0),0,TabCalc[[#This Row],[EfCost]]/TabCalc[[#This Row],[NAfter]]/TabCalc[[#This Row],[Scale]])</f>
        <v>-9.4350833427082161</v>
      </c>
      <c r="M34" s="744">
        <f ca="1">[1]!RTData[[#This Row],[Change%]]</f>
        <v>-1.7978000000000001E-2</v>
      </c>
      <c r="N34" s="1172">
        <v>0.66666666666666663</v>
      </c>
      <c r="O34" s="966">
        <f>TabCalc[[#This Row],[Up20]]-1+TabCalc[[#This Row],[Up20]]</f>
        <v>0.33333333333333326</v>
      </c>
      <c r="P34" s="966">
        <f>TabCalc[[#This Row],[Up20]]-TabCalc[[#This Row],[Up150]]</f>
        <v>7.9510703363914303E-2</v>
      </c>
      <c r="Q34" s="966">
        <v>0.58715596330275233</v>
      </c>
      <c r="R34" s="966">
        <f>TabCalc[[#This Row],[Up150]]-1+TabCalc[[#This Row],[Up150]]</f>
        <v>0.17431192660550465</v>
      </c>
      <c r="S34" s="966">
        <f ca="1">IFERROR(SUMPRODUCT(DataShift!F1526:Z1526,DataShift!AB733:AV733)/SQRT(SUMPRODUCT(DataShift!F1526:Z1526,DataShift!F1526:Z1526)*SUMPRODUCT(DataShift!AB733:AV733,DataShift!AB733:AV733)),0)</f>
        <v>-0.52503919333044591</v>
      </c>
      <c r="T34" s="966">
        <f ca="1">IFERROR(SUMPRODUCT(DataShift!F1526:Z1526,DataShift!F734:Z734)/SQRT(SUMPRODUCT(DataShift!F1526:Z1526,DataShift!F1526:Z1526)*SUMPRODUCT(DataShift!F734:Z734,DataShift!F734:Z734)),0)</f>
        <v>-2.7893614134738152E-2</v>
      </c>
      <c r="U34" s="1107">
        <v>0</v>
      </c>
      <c r="V34" s="1107">
        <v>2500</v>
      </c>
      <c r="W34" s="1107">
        <v>0</v>
      </c>
      <c r="X34" s="966" t="str">
        <f ca="1">IF(TabCalc[[#This Row],[EfCost]]+TabCalc[[#This Row],[M_V]]&lt;TabCalc[[#This Row],[NoT_GL]],"Pile","")</f>
        <v>Pile</v>
      </c>
      <c r="Y3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1,085,007 = $ 4,741,480</v>
      </c>
      <c r="Z34" s="213">
        <f ca="1">MIN(TabCalc[[#This Row],[L_Bn]],TabCalc[[#This Row],[NAfter]])*(TabCalc[[#This Row],[M]]+TabCalc[[#This Row],[L_Bp]])*TabCalc[[#This Row],[Scale]]</f>
        <v>-2575.0000000000005</v>
      </c>
      <c r="AA34" s="210" cm="1">
        <f t="array" aca="1" ref="AA34" ca="1">_xlfn.XLOOKUP(TabCalc[[#This Row],[L_Bp]],INDIRECT("TabReg["&amp;TabCalc[[#This Row],[Ticker]]&amp;"2]"),INDIRECT("TabReg["&amp;TabCalc[[#This Row],[Ticker]]&amp;"]"))</f>
        <v>45903</v>
      </c>
      <c r="AB34" s="181" cm="1">
        <f t="array" aca="1" ref="AB34" ca="1">_xlfn.XLOOKUP(TabCalc[[#This Row],[L_Bp]],INDIRECT("TabReg["&amp;TabCalc[[#This Row],[Ticker]]&amp;"2]"),INDIRECT("TabReg["&amp;TabCalc[[#This Row],[Ticker]]&amp;"1]"))</f>
        <v>2500</v>
      </c>
      <c r="AC34" s="192" cm="1">
        <f t="array" aca="1" ref="AC34" ca="1">IFERROR(INDEX(INDIRECT("TabReg["&amp;TabCalc[[#This Row],[Ticker]]&amp;"2]"),    _xlfn.XMATCH(    MAX(    _xlfn._xlws.FILTER(INDIRECT("TabReg["&amp;TabCalc[[#This Row],[Ticker]]&amp;"]"), INDIRECT("TabReg["&amp;TabCalc[[#This Row],[Ticker]]&amp;"2]")&lt;0)     ), INDIRECT("TabReg["&amp;TabCalc[[#This Row],[Ticker]]&amp;"]"),      0)), "")</f>
        <v>-5.4</v>
      </c>
      <c r="AD34" s="213">
        <f ca="1">IFERROR(MIN(TabCalc[[#This Row],[L_B1n]],TabCalc[[#This Row],[NAfter]])*(TabCalc[[#This Row],[M]]+TabCalc[[#This Row],[L_B1p]])*TabCalc[[#This Row],[Scale]],"")</f>
        <v>-132495.57749999998</v>
      </c>
      <c r="AE34" s="210" cm="1">
        <f t="array" aca="1" ref="AE3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34" s="181" cm="1">
        <f t="array" aca="1" ref="AF34" ca="1">IFERROR(_xlfn.XLOOKUP(TabCalc[[#This Row],[L_B1D]],INDIRECT("TabReg["&amp;TabCalc[[#This Row],[Ticker]]&amp;"]"),INDIRECT("TabReg["&amp;TabCalc[[#This Row],[Ticker]]&amp;"1]")),0)</f>
        <v>24167</v>
      </c>
      <c r="AG34" s="192" cm="1">
        <f t="array" aca="1" ref="AG34" ca="1">IFERROR(_xlfn.XLOOKUP(TabCalc[[#This Row],[L_B1D]],INDIRECT("TabReg["&amp;TabCalc[[#This Row],[Ticker]]&amp;"]"),INDIRECT("TabReg["&amp;TabCalc[[#This Row],[Ticker]]&amp;"2]")),0)</f>
        <v>-9.8524999999999991</v>
      </c>
      <c r="AH34" s="302">
        <f ca="1">IFERROR(TabCalc[[#This Row],[L_Sn]]*(TabCalc[[#This Row],[L_Sp]]-TabCalc[[#This Row],[M]])*TabCalc[[#This Row],[Scale]],"")</f>
        <v>0</v>
      </c>
      <c r="AI34" s="210" cm="1">
        <f t="array" aca="1" ref="AI34" ca="1">IFERROR(_xlfn.XLOOKUP(TabCalc[[#This Row],[L_Sp]],INDIRECT("TabReg["&amp;TabCalc[[#This Row],[Ticker]]&amp;"2]"),INDIRECT("TabReg["&amp;TabCalc[[#This Row],[Ticker]]&amp;"]")),0)</f>
        <v>0</v>
      </c>
      <c r="AJ34" s="181" cm="1">
        <f t="array" aca="1" ref="AJ34" ca="1">IFERROR(_xlfn.XLOOKUP(TabCalc[[#This Row],[L_Sp]],INDIRECT("TabReg["&amp;TabCalc[[#This Row],[Ticker]]&amp;"2]"),INDIRECT("TabReg["&amp;TabCalc[[#This Row],[Ticker]]&amp;"1]")),0)</f>
        <v>0</v>
      </c>
      <c r="AK34" s="192" cm="1">
        <f t="array" aca="1" ref="AK34" ca="1">IFERROR(INDEX(INDIRECT("TabReg["&amp;TabCalc[[#This Row],[Ticker]]&amp;"2]"), _xlfn.XMATCH(MAX(_xlfn._xlws.FILTER(INDIRECT("TabReg["&amp;TabCalc[[#This Row],[Ticker]]&amp;"]"), INDIRECT("TabReg["&amp;TabCalc[[#This Row],[Ticker]]&amp;"2]")&gt;0)), INDIRECT("TabReg["&amp;TabCalc[[#This Row],[Ticker]]&amp;"]"), 0)), 0)</f>
        <v>0</v>
      </c>
      <c r="AL34" s="214">
        <f ca="1">IFERROR(TabCalc[[#This Row],[L_S1n]]*(TabCalc[[#This Row],[L_S1p]]-TabCalc[[#This Row],[M]])*TabCalc[[#This Row],[Scale]],0)</f>
        <v>0</v>
      </c>
      <c r="AM34" s="210" t="str" cm="1">
        <f t="array" aca="1" ref="AM3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34" s="181" cm="1">
        <f t="array" aca="1" ref="AN34" ca="1">IFERROR(_xlfn.XLOOKUP(TabCalc[[#This Row],[L_S1D]],INDIRECT("TabReg["&amp;TabCalc[[#This Row],[Ticker]]&amp;"]"),INDIRECT("TabReg["&amp;TabCalc[[#This Row],[Ticker]]&amp;"1]")),0)</f>
        <v>0</v>
      </c>
      <c r="AO34" s="384" cm="1">
        <f t="array" aca="1" ref="AO34" ca="1">IFERROR(_xlfn.XLOOKUP(TabCalc[[#This Row],[L_S1D]],INDIRECT("TabReg["&amp;TabCalc[[#This Row],[Ticker]]&amp;"]"),INDIRECT("TabReg["&amp;TabCalc[[#This Row],[Ticker]]&amp;"2]")),0)</f>
        <v>0</v>
      </c>
      <c r="AP34" s="336">
        <f ca="1">_xlfn.LET(_xlpm.MVOpen,[1]!RTData[[#This Row],[Open]]*TabCalc[[#This Row],[NAfter]],_xlpm.MVNow,TabCalc[[#This Row],[M]]*TabCalc[[#This Row],[NAfter]],_xlpm.MVNow-_xlpm.MVOpen)*TabCalc[[#This Row],[Scale]]</f>
        <v>-2933.3700000000099</v>
      </c>
      <c r="AQ34" s="336">
        <f ca="1">_xlfn.LET(_xlpm.MVToday,DataShift!AV534,         _xlpm.MVY,DataShift!AU535,        _xlpm.MVYY, DataShift!AT535,                                IF(_xlpm.MVToday=_xlpm.MVY,_xlpm.MVY-_xlpm.MVYY,_xlpm.MVToday-_xlpm.MVY))</f>
        <v>680</v>
      </c>
      <c r="AR34" s="336">
        <f ca="1">_xlfn.LET(_xlpm.MVToday,DataShift!AV534,         _xlpm.MVY,DataShift!AU535,        _xlpm.MVYY, DataShift!AT535,         _xlpm.MVYYY, DataShift!AS535,                      IF(_xlpm.MVToday=_xlpm.MVY,      _xlpm.MVYY-_xlpm.MVYYY,          _xlpm.MVY-_xlpm.MVYY))</f>
        <v>83710</v>
      </c>
      <c r="AS34" s="1078">
        <f ca="1">TabCalc[[#This Row],[Y]]/TabCalc[[#This Row],[M]]</f>
        <v>7.2082379862700225</v>
      </c>
      <c r="AT34" s="299" t="str" cm="1">
        <f t="array" aca="1" ref="AT34" ca="1">IFERROR(_xlfn.IFS(          TabCalc[[#This Row],[E]]&gt;0, "Free Trade",      TabCalc[[#This Row],[A]]&lt;MIN(TabCalc[[#This Row],[L_Sp]],TabCalc[[#This Row],[M]]), "Buy",            TabCalc[[#This Row],[M]]&lt;TabCalc[[#This Row],[L_Sp]],       "Refill",       TabCalc[[#This Row],[M]]&gt;TabCalc[[#This Row],[L_Sp]],"S_more"),"")</f>
        <v>S_more</v>
      </c>
      <c r="AU34" s="299" t="str">
        <f ca="1">IF(           AND(TabCalc[[#This Row],[E]]&lt;=0,          TabCalc[[#This Row],[A]]&gt;MIN(TabCalc[[#This Row],[M]],TabCalc[[#This Row],[L_Sp]]),             TabCalc[[#This Row],[L_Sp]]&lt;=TabCalc[[#This Row],[M]]),                       "S_more","")</f>
        <v>S_more</v>
      </c>
      <c r="AV34" s="82" t="str" cm="1">
        <f t="array" aca="1" ref="AV34" ca="1">IFERROR(_xlfn.IFS(TabCalc[[#This Row],[E]]&gt;0,"Free trade",                 TabCalc[[#This Row],[A]]&lt;MAX(ABS(TabCalc[[#This Row],[L_Bp]]),TabCalc[[#This Row],[A]]),"Sell",             TabCalc[[#This Row],[M]]&gt;ABS(TabCalc[[#This Row],[L_Bp]]),"Resell",             TabCalc[[#This Row],[M]]&lt;ABS(TabCalc[[#This Row],[L_Bp]]),"B_more"),"")</f>
        <v>B_more</v>
      </c>
      <c r="AW34" s="82">
        <f ca="1">TabCalc[[#This Row],[NAfter]]-TabCalc[[#This Row],[Nbegin]]</f>
        <v>-3333</v>
      </c>
      <c r="AX34" s="307">
        <f ca="1">IFERROR((TabCalc[[#This Row],[M]]-TabCalc[[#This Row],[Y]])*(TabCalc[[#This Row],[M]]-TabCalc[[#This Row],[Y]])*(TabCalc[[#This Row],[M]]-TabCalc[[#This Row],[Y]])/(TabCalc[[#This Row],[Y]]*TabCalc[[#This Row],[M]]),"")</f>
        <v>-145.0632457738549</v>
      </c>
      <c r="AY34" s="82">
        <f t="shared" ca="1" si="1"/>
        <v>3333</v>
      </c>
      <c r="AZ34" s="90">
        <f ca="1">[1]!RTData[[#This Row],[V/VA]]</f>
        <v>0.73766131524346279</v>
      </c>
      <c r="BA34" s="90" t="str" cm="1">
        <f t="array" aca="1" ref="BA34" ca="1">IFERROR(_xlfn.IFS(TabCalc[[#This Row],[Cur]]="USD",Timer!F$27,TabCalc[[#This Row],[Cur]]="EUR",Timer!F$18,TabCalc[[#This Row],[Cur]]="GBP",Timer!F$12,TabCalc[[#This Row],[Cur]]="CAD",Timer!F$27,TabCalc[[#This Row],[Cur]]="JPY",Timer!F$31,TabCalc[[#This Row],[Cur]]="CHF",Timer!F$18),"Timing")</f>
        <v>None-Working Day</v>
      </c>
      <c r="BB34" s="90">
        <f ca="1">IF(ISNUMBER(TabCalc[[#This Row],[TimeEX]]),TabCalc[[#This Row],[V/VA]]/TabCalc[[#This Row],[TimeEX]],TabCalc[[#This Row],[V/VA]])</f>
        <v>0.73766131524346279</v>
      </c>
      <c r="BC34" s="87" cm="1">
        <f t="array" aca="1" ref="BC34" ca="1">INDEX(TabReg[], 1, _xlfn.XMATCH(TabCalc[[#This Row],[Ticker]]&amp;1, TabReg[#Headers], 0))</f>
        <v>24167</v>
      </c>
      <c r="BD34" s="161">
        <f ca="1">TabCalc[[#This Row],[Nbegin]]*TabCalc[[#This Row],[M]]*TabCalc[[#This Row],[Scale]]+TabCalc[[#This Row],[ValueBegin]]</f>
        <v>95400</v>
      </c>
      <c r="BE34" s="336" t="str" cm="1">
        <f t="array" aca="1" ref="BE34" ca="1">_xlfn.IFS(TabCalc[[#This Row],[Cost+Gain]]&gt;0,"Free",             TabCalc[[#This Row],[GL]]&gt;0,"Gainer",                TRUE,"Looser")</f>
        <v>Looser</v>
      </c>
      <c r="BF34" s="161">
        <f ca="1">TabCalc[[#This Row],[Tot_Paid]]-TabCalc[[#This Row],[ValueBegin]]</f>
        <v>-216559.54145549997</v>
      </c>
      <c r="BG34" s="337">
        <f ca="1">IF(TabCalc[[#This Row],[EfCost]]&gt;TabCalc[[#This Row],[ValueBegin]],       0,        TabCalc[[#This Row],[EfCost]]-TabCalc[[#This Row],[ValueBegin]]*(1+Commission))</f>
        <v>-215812.54749999999</v>
      </c>
      <c r="BH34" s="338">
        <f ca="1">TabCalc[[#This Row],[M_V]]+TabCalc[[#This Row],[ValueBegin]]</f>
        <v>80834.790000000008</v>
      </c>
      <c r="BI34" s="161" cm="1">
        <f t="array" aca="1" ref="BI34" ca="1">SUMPRODUCT(_xlfn._xlws.FILTER(INDIRECT("TabReg["&amp;TabCalc[[#This Row],[Ticker]]&amp;"1]") * INDIRECT("TabReg["&amp;TabCalc[[#This Row],[Ticker]]&amp;"2]"), INDIRECT("TabReg["&amp;TabCalc[[#This Row],[Ticker]]&amp;"2]")&lt;0))*(1+Commission)*TabCalc[[#This Row],[Scale]]</f>
        <v>-252259.54145549997</v>
      </c>
      <c r="BJ34" s="161" cm="1">
        <f t="array" aca="1" ref="BJ34" ca="1">SUMPRODUCT(IF(INDIRECT("TabReg["&amp;TabCalc[[#This Row],[Ticker]]&amp;"2]") ="", 0, INDIRECT("TabReg["&amp;TabCalc[[#This Row],[Ticker]]&amp;"1]") * INDIRECT("TabReg["&amp;TabCalc[[#This Row],[Ticker]]&amp;"2]") ))*TabCalc[[#This Row],[Scale]]</f>
        <v>-251605.36749999999</v>
      </c>
      <c r="BK34" s="161" cm="1">
        <f t="array" aca="1" ref="BK3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34" s="161">
        <f ca="1">TabCalc[[#This Row],[M_V]]+TabCalc[[#This Row],[EfCost]]</f>
        <v>-135070.57749999998</v>
      </c>
      <c r="BM34" s="161">
        <f ca="1">IF(        OR( TabCalc[[#This Row],[GL]]&gt;ABS(TabCalc[[#This Row],[EfCost]]),TabCalc[[#This Row],[NAfter]]=0),             TabCalc[[#This Row],[GL]],     0)</f>
        <v>0</v>
      </c>
      <c r="BN34" s="161" cm="1">
        <f t="array" aca="1" ref="BN34" ca="1">SUMPRODUCT(_xlfn._xlws.FILTER(IF(INDIRECT("TabReg["&amp;TabCalc[[#This Row],[Ticker]]&amp;"2]") ="", 0, INDIRECT("TabReg["&amp;TabCalc[[#This Row],[Ticker]]&amp;"1]")  ),  INDIRECT("TabReg["&amp;TabCalc[[#This Row],[Ticker]]&amp;"2]") &lt; 0))</f>
        <v>26667</v>
      </c>
      <c r="BO34" s="161">
        <f ca="1">TabCalc[[#This Row],[SB]]-TabCalc[[#This Row],[Nbegin]]</f>
        <v>-3333</v>
      </c>
      <c r="BP34" s="161" cm="1">
        <f t="array" aca="1" ref="BP34" ca="1">IFERROR(SUMPRODUCT(_xlfn._xlws.FILTER(IF(INDIRECT("TabReg["&amp;TabCalc[[#This Row],[Ticker]]&amp;"2]") ="", 0, INDIRECT("TabReg["&amp;TabCalc[[#This Row],[Ticker]]&amp;"1]")  ),  INDIRECT("TabReg["&amp;TabCalc[[#This Row],[Ticker]]&amp;"2]") &gt; 0)),0)</f>
        <v>0</v>
      </c>
      <c r="BQ34"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4" s="176" t="str">
        <f ca="1">IF(TabCalc[[#This Row],[EfCost]]+TabCalc[[#This Row],[M_V]]&lt;TabCalc[[#This Row],[NoT_GL]],"Pile","")</f>
        <v>Pile</v>
      </c>
      <c r="BS34" s="167">
        <f ca="1">[1]!RTData[[#This Row],[Last trade time]]</f>
        <v>45954.988893668749</v>
      </c>
      <c r="BT34" s="177">
        <f ca="1">(TabCalc[[#This Row],[ValueBegin]]+(TabCalc[[#This Row],[M]]-TabCalc[[#This Row],[A]])*TabCalc[[#This Row],[NAfter]])*TabCalc[[#This Row],[Scale]]</f>
        <v>-30195436.992000002</v>
      </c>
      <c r="BU34" s="189" cm="1">
        <f t="array" aca="1" ref="BU34" ca="1">_xlfn.XLOOKUP(TabCalc[[#This Row],[Ticker]],TabReg[[#Headers],[AAPL]:[UnknownX28]],Reg!B$72:KF$72)+3</f>
        <v>5</v>
      </c>
      <c r="BV34" s="190" cm="1">
        <f t="array" aca="1" ref="BV34" ca="1">_xlfn.XLOOKUP(TabCalc[[#This Row],[Ticker]],TabReg[[#Headers],[AAPL]:[UnknownX28]],Reg!B$73:KF$73)+2</f>
        <v>99</v>
      </c>
      <c r="BW34" s="191">
        <f ca="1">IFERROR(MAX(TabCalc[[#This Row],[Max_SD]],TabCalc[[#This Row],[Max_PD]]),0)</f>
        <v>45903</v>
      </c>
      <c r="BX34" s="191" t="str" cm="1">
        <f t="array" aca="1" ref="BX34" ca="1">_xlfn.IFS(TabCalc[[#This Row],[L_TP]]&lt;0,"Purchase",TabCalc[[#This Row],[L_TP]]&gt;0,"Sale")</f>
        <v>Purchase</v>
      </c>
      <c r="BY34" s="190" cm="1">
        <f t="array" aca="1" ref="BY34" ca="1">INDEX(Reg!$A$1:$KF$73,TabCalc[[#This Row],[L_I1]],TabCalc[[#This Row],[L_I2]])</f>
        <v>2500</v>
      </c>
      <c r="BZ34" s="192" cm="1">
        <f t="array" aca="1" ref="BZ34" ca="1">INDEX(Reg!$A$1:$KF$73,TabCalc[[#This Row],[L_I1]],TabCalc[[#This Row],[L_I2]]+1)</f>
        <v>-5.4</v>
      </c>
      <c r="CA34" s="161">
        <f ca="1">TabCalc[[#This Row],[NAfter]]*(TabCalc[[#This Row],[M]]-IF(TabCalc[[#This Row],[E]]&gt;0,0,TabCalc[[#This Row],[A]]))</f>
        <v>-30159736.992000002</v>
      </c>
      <c r="CB34" s="167" cm="1">
        <f t="array" aca="1" ref="CB34" ca="1">IFERROR(MIN(_xlfn._xlws.FILTER(INDIRECT("TabReg["&amp;TabCalc[[#This Row],[Ticker]]&amp;"]"), INDIRECT("TabReg["&amp;TabCalc[[#This Row],[Ticker]]&amp;"2]")&gt;0)),0)</f>
        <v>0</v>
      </c>
      <c r="CC34" s="178" cm="1">
        <f t="array" aca="1" ref="CC34" ca="1">IFERROR(MIN(_xlfn._xlws.FILTER(INDIRECT("TabReg["&amp;TabCalc[[#This Row],[Ticker]]&amp;"1]"), INDIRECT("TabReg["&amp;TabCalc[[#This Row],[Ticker]]&amp;"2]")&gt;0)),0)</f>
        <v>0</v>
      </c>
      <c r="CD34" s="173" cm="1">
        <f t="array" aca="1" ref="CD34" ca="1">IFERROR(MIN(_xlfn._xlws.FILTER(INDIRECT("TabReg["&amp;TabCalc[[#This Row],[Ticker]]&amp;"2]"), INDIRECT("TabReg["&amp;TabCalc[[#This Row],[Ticker]]&amp;"2]")&gt;0)),0)</f>
        <v>0</v>
      </c>
      <c r="CE34" s="167" cm="1">
        <f t="array" aca="1" ref="CE34" ca="1">IFERROR(MAX(_xlfn._xlws.FILTER(INDIRECT("TabReg["&amp;TabCalc[[#This Row],[Ticker]]&amp;"]"), INDIRECT("TabReg["&amp;TabCalc[[#This Row],[Ticker]]&amp;"2]")&gt;0)),0)</f>
        <v>0</v>
      </c>
      <c r="CF34" s="178" cm="1">
        <f t="array" aca="1" ref="CF34" ca="1">IFERROR(MAX(_xlfn._xlws.FILTER(INDIRECT("TabReg["&amp;TabCalc[[#This Row],[Ticker]]&amp;"1]"), INDIRECT("TabReg["&amp;TabCalc[[#This Row],[Ticker]]&amp;"2]")&gt;0)),0)</f>
        <v>0</v>
      </c>
      <c r="CG34" s="173" cm="1">
        <f t="array" aca="1" ref="CG34" ca="1">IFERROR(MAX(_xlfn._xlws.FILTER(INDIRECT("TabReg["&amp;TabCalc[[#This Row],[Ticker]]&amp;"2]"), INDIRECT("TabReg["&amp;TabCalc[[#This Row],[Ticker]]&amp;"2]")&gt;0)),0)</f>
        <v>0</v>
      </c>
      <c r="CH34" s="167" cm="1">
        <f t="array" aca="1" ref="CH34" ca="1">MIN(_xlfn._xlws.FILTER(INDIRECT("TabReg["&amp;TabCalc[[#This Row],[Ticker]]&amp;"]"), INDIRECT("TabReg["&amp;TabCalc[[#This Row],[Ticker]]&amp;"2]")&lt;0))</f>
        <v>45902</v>
      </c>
      <c r="CI34" s="177" cm="1">
        <f t="array" aca="1" ref="CI34" ca="1">MIN(_xlfn._xlws.FILTER(INDIRECT("TabReg["&amp;TabCalc[[#This Row],[Ticker]]&amp;"1]"), INDIRECT("TabReg["&amp;TabCalc[[#This Row],[Ticker]]&amp;"2]")&lt;0))</f>
        <v>2500</v>
      </c>
      <c r="CJ34" s="173" cm="1">
        <f t="array" aca="1" ref="CJ34" ca="1">MIN(_xlfn._xlws.FILTER(INDIRECT("TabReg["&amp;TabCalc[[#This Row],[Ticker]]&amp;"2]"), INDIRECT("TabReg["&amp;TabCalc[[#This Row],[Ticker]]&amp;"2]")&lt;0))</f>
        <v>-9.8524999999999991</v>
      </c>
      <c r="CK34" s="167" cm="1">
        <f t="array" aca="1" ref="CK34" ca="1">MAX(_xlfn._xlws.FILTER(INDIRECT("TabReg["&amp;TabCalc[[#This Row],[Ticker]]&amp;"]"), INDIRECT("TabReg["&amp;TabCalc[[#This Row],[Ticker]]&amp;"2]")&lt;0))</f>
        <v>45903</v>
      </c>
      <c r="CL34" s="177" cm="1">
        <f t="array" aca="1" ref="CL34" ca="1">MAX(_xlfn._xlws.FILTER(INDIRECT("TabReg["&amp;TabCalc[[#This Row],[Ticker]]&amp;"1]"), INDIRECT("TabReg["&amp;TabCalc[[#This Row],[Ticker]]&amp;"2]")&lt;0))</f>
        <v>24167</v>
      </c>
      <c r="CM34" s="173" cm="1">
        <f t="array" aca="1" ref="CM34" ca="1">MAX(_xlfn._xlws.FILTER(INDIRECT("TabReg["&amp;TabCalc[[#This Row],[Ticker]]&amp;"2]"), INDIRECT("TabReg["&amp;TabCalc[[#This Row],[Ticker]]&amp;"2]")&lt;0))</f>
        <v>-5.4</v>
      </c>
      <c r="CN34" s="167" cm="1">
        <f t="array" aca="1" ref="CN34" ca="1">IFERROR(_xlfn.XLOOKUP(TabCalc[[#This Row],[BS2P]],INDIRECT("TabReg["&amp;TabCalc[[#This Row],[Ticker]]&amp;"2]"),INDIRECT("TabReg["&amp;TabCalc[[#This Row],[Ticker]]&amp;"]")),0)</f>
        <v>45902</v>
      </c>
      <c r="CO34" s="178" cm="1">
        <f t="array" aca="1" ref="CO34" ca="1">IFERROR(_xlfn.XLOOKUP(TabCalc[[#This Row],[BS2P]],INDIRECT("TabReg["&amp;TabCalc[[#This Row],[Ticker]]&amp;"2]"),INDIRECT("TabReg["&amp;TabCalc[[#This Row],[Ticker]]&amp;"1]")),0)</f>
        <v>24167</v>
      </c>
      <c r="CP34" s="173">
        <f ca="1">_xlfn.MAXIFS(INDIRECT("TabReg["&amp;TabCalc[[#This Row],[Ticker]]&amp;"2]"), INDIRECT("TabReg["&amp;TabCalc[[#This Row],[Ticker]]&amp;"2]"), "&lt;" &amp; MAX(INDIRECT("TabReg["&amp;TabCalc[[#This Row],[Ticker]]&amp;"2]")))</f>
        <v>-9.8524999999999991</v>
      </c>
      <c r="CQ34" s="167" cm="1">
        <f t="array" aca="1" ref="CQ34" ca="1">IFERROR(_xlfn.XLOOKUP(TabCalc[[#This Row],[WB2P]],INDIRECT("TabReg["&amp;TabCalc[[#This Row],[Ticker]]&amp;"2]"),INDIRECT("TabReg["&amp;TabCalc[[#This Row],[Ticker]]&amp;"]")),0)</f>
        <v>45903</v>
      </c>
      <c r="CR34" s="178" cm="1">
        <f t="array" aca="1" ref="CR34" ca="1">IFERROR(_xlfn.XLOOKUP(TabCalc[[#This Row],[WB2P]],INDIRECT("TabReg["&amp;TabCalc[[#This Row],[Ticker]]&amp;"2]"),INDIRECT("TabReg["&amp;TabCalc[[#This Row],[Ticker]]&amp;"1]")),0)</f>
        <v>2500</v>
      </c>
      <c r="CS34" s="173">
        <f ca="1">_xlfn.MINIFS(INDIRECT("TabReg["&amp;TabCalc[[#This Row],[Ticker]]&amp;"2]"), INDIRECT("TabReg["&amp;TabCalc[[#This Row],[Ticker]]&amp;"2]"), "&gt;" &amp; MIN(INDIRECT("TabReg["&amp;TabCalc[[#This Row],[Ticker]]&amp;"2]")))</f>
        <v>-5.4</v>
      </c>
      <c r="CT34" s="405">
        <f ca="1">IF(TabCalc[[#This Row],[M]]&lt;TabCalc[[#This Row],[L_Sp]],DesiredBuyGain/(TabCalc[[#This Row],[L_Sp]]-TabCalc[[#This Row],[M]]),0)</f>
        <v>0</v>
      </c>
      <c r="CU34" s="406">
        <f ca="1">IF(TabCalc[[#This Row],[ntoBuy]]*TabCalc[[#This Row],[M]]&lt;=0,0,TabCalc[[#This Row],[ntoBuy]]*TabCalc[[#This Row],[M]])</f>
        <v>0</v>
      </c>
      <c r="CV34" s="406">
        <f ca="1">IF(TabCalc[[#This Row],[M]]&gt;ABS(TabCalc[[#This Row],[L_Bp]]),MIN(TabCalc[[#This Row],[NAfter]],DesiredSaleGain/(TabCalc[[#This Row],[M]]+TabCalc[[#This Row],[L_Bp]])),0)/TabCalc[[#This Row],[Scale]]</f>
        <v>0</v>
      </c>
      <c r="CW34" s="407">
        <f ca="1">TabCalc[[#This Row],[ntoSell]]*TabCalc[[#This Row],[M]]</f>
        <v>0</v>
      </c>
      <c r="CX34" s="400">
        <f ca="1">_xlfn.LET(_xlpm.nToSell,IF(TabCalc[[#This Row],[M]]-TabCalc[[#This Row],[A]]&lt;=0,"",INT(DesiredSaleGain/(TabCalc[[#This Row],[M]]-IF(TabCalc[[#This Row],[E]]&gt;0,0,TabCalc[[#This Row],[A]])))),IF(_xlpm.nToSell&lt;=TabCalc[[#This Row],[NAfter]],_xlpm.nToSell,0))</f>
        <v>0</v>
      </c>
      <c r="CY34" s="338">
        <f ca="1">IFERROR(TabCalc[[#This Row],[NMA]]*TabCalc[[#This Row],[M]],"")</f>
        <v>0</v>
      </c>
      <c r="CZ34" s="337" cm="1">
        <f t="array" aca="1" ref="CZ34" ca="1">_xlfn.IFS(TabCalc[[#This Row],[M]]&gt;= TabCalc[[#This Row],[L_Sp]],(TabCalc[[#This Row],[M]]-TabCalc[[#This Row],[A]])*TabCalc[[#This Row],[NAfter]]*TabCalc[[#This Row],[Scale]],           TabCalc[[#This Row],[M]]&lt; TabCalc[[#This Row],[L_Sp]],(TabCalc[[#This Row],[M]]-TabCalc[[#This Row],[A]])*TabCalc[[#This Row],[NAfter]]*TabCalc[[#This Row],[Scale]],               TRUE,"")</f>
        <v>-30159736.992000002</v>
      </c>
      <c r="DA34" s="90">
        <f ca="1">IFERROR((TabCalc[[#This Row],[M]]+TabCalc[[#This Row],[L_Bp]])/ABS(TabCalc[[#This Row],[L_Bp]])/(TODAY()-TabCalc[[#This Row],[L_Bdate]])*360,"")</f>
        <v>-1.2955974842767297</v>
      </c>
      <c r="DB34" s="312">
        <f ca="1">MEDIAN(DataShift!F734:Z734)</f>
        <v>5.5259999999999997E-3</v>
      </c>
      <c r="DC34" s="312" t="str" cm="1">
        <f t="array" aca="1" ref="DC3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34" s="88" t="s">
        <v>31</v>
      </c>
      <c r="DN34" s="81">
        <v>3000</v>
      </c>
      <c r="DO34" s="317">
        <v>-28.96</v>
      </c>
    </row>
    <row r="35" spans="1:119">
      <c r="A35" s="120" t="str">
        <f ca="1">_xlfn.XLOOKUP(TabCalc[[#This Row],[Ticker]],[1]!RTData[Ticker symbol],[1]!RTData[Currency])</f>
        <v>USD</v>
      </c>
      <c r="B35" s="121">
        <f ca="1">IF(TabCalc[[#This Row],[Cur]]="GBP",0.01,1)</f>
        <v>1</v>
      </c>
      <c r="C35" s="82">
        <f ca="1">_xlfn.XLOOKUP(TabCalc[[#This Row],[Ticker]],DM$3:DM$96,DN$3:DN$96)</f>
        <v>3000</v>
      </c>
      <c r="D35" s="1254">
        <f ca="1">_xlfn.XLOOKUP(TabCalc[[#This Row],[Ticker]],DM$3:DM$96,DO$3:DO$96)</f>
        <v>-28.96</v>
      </c>
      <c r="E35" s="121">
        <f t="shared" ca="1" si="0"/>
        <v>-86880</v>
      </c>
      <c r="F35" s="82">
        <f ca="1">TabCalc[[#This Row],[NAfter]]*TabCalc[[#This Row],[M]]*TabCalc[[#This Row],[Scale]]</f>
        <v>145360</v>
      </c>
      <c r="G35" s="82">
        <f ca="1">IFERROR(TabCalc[[#This Row],[SB]]-TabCalc[[#This Row],[SST]],TabCalc[[#This Row],[SB]])</f>
        <v>4000</v>
      </c>
      <c r="H35" s="535" t="str">
        <f ca="1">[1]!RTData[[#This Row],[Ticker symbol]]</f>
        <v>PAAS</v>
      </c>
      <c r="I35" s="385">
        <f ca="1">[1]!RTData[[#This Row],[M-Price]]</f>
        <v>36.340000000000003</v>
      </c>
      <c r="J35" s="384">
        <v>9.4350833427082161</v>
      </c>
      <c r="K35" s="383">
        <f>[1]!RTData[[#This Row],[1YT]]</f>
        <v>44.5</v>
      </c>
      <c r="L35" s="384">
        <f ca="1">IF(OR(TabCalc[[#This Row],[NAfter]]=0,TabCalc[[#This Row],[EfCost]]&gt;0),0,TabCalc[[#This Row],[EfCost]]/TabCalc[[#This Row],[NAfter]]/TabCalc[[#This Row],[Scale]])</f>
        <v>-16.810612500000001</v>
      </c>
      <c r="M35" s="744">
        <f ca="1">[1]!RTData[[#This Row],[Change%]]</f>
        <v>3.313E-3</v>
      </c>
      <c r="N35" s="1172">
        <v>0.54545454545454541</v>
      </c>
      <c r="O35" s="966">
        <f>TabCalc[[#This Row],[Up20]]-1+TabCalc[[#This Row],[Up20]]</f>
        <v>9.0909090909090828E-2</v>
      </c>
      <c r="P35" s="966">
        <f>TabCalc[[#This Row],[Up20]]-TabCalc[[#This Row],[Up150]]</f>
        <v>9.5454545454545403E-2</v>
      </c>
      <c r="Q35" s="966">
        <v>0.45</v>
      </c>
      <c r="R35" s="966">
        <f>TabCalc[[#This Row],[Up150]]-1+TabCalc[[#This Row],[Up150]]</f>
        <v>-0.10000000000000003</v>
      </c>
      <c r="S35" s="966">
        <f ca="1">IFERROR(SUMPRODUCT(DataShift!F1527:Z1527,DataShift!AB734:AV734)/SQRT(SUMPRODUCT(DataShift!F1527:Z1527,DataShift!F1527:Z1527)*SUMPRODUCT(DataShift!AB734:AV734,DataShift!AB734:AV734)),0)</f>
        <v>-0.87080710066454936</v>
      </c>
      <c r="T35" s="966">
        <f ca="1">IFERROR(SUMPRODUCT(DataShift!F1527:Z1527,DataShift!F735:Z735)/SQRT(SUMPRODUCT(DataShift!F1527:Z1527,DataShift!F1527:Z1527)*SUMPRODUCT(DataShift!F735:Z735,DataShift!F735:Z735)),0)</f>
        <v>0.27399863391254459</v>
      </c>
      <c r="U35" s="1107">
        <v>0</v>
      </c>
      <c r="V35" s="1107">
        <v>26667</v>
      </c>
      <c r="W35" s="1107">
        <v>0</v>
      </c>
      <c r="X35" s="966" t="str">
        <f ca="1">IF(TabCalc[[#This Row],[EfCost]]+TabCalc[[#This Row],[M_V]]&lt;TabCalc[[#This Row],[NoT_GL]],"Pile","")</f>
        <v/>
      </c>
      <c r="Y3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5" s="213">
        <f ca="1">MIN(TabCalc[[#This Row],[L_Bn]],TabCalc[[#This Row],[NAfter]])*(TabCalc[[#This Row],[M]]+TabCalc[[#This Row],[L_Bp]])*TabCalc[[#This Row],[Scale]]</f>
        <v>930.00000000000682</v>
      </c>
      <c r="AA35" s="210" cm="1">
        <f t="array" aca="1" ref="AA35" ca="1">_xlfn.XLOOKUP(TabCalc[[#This Row],[L_Bp]],INDIRECT("TabReg["&amp;TabCalc[[#This Row],[Ticker]]&amp;"2]"),INDIRECT("TabReg["&amp;TabCalc[[#This Row],[Ticker]]&amp;"]"))</f>
        <v>45951</v>
      </c>
      <c r="AB35" s="181" cm="1">
        <f t="array" aca="1" ref="AB35" ca="1">_xlfn.XLOOKUP(TabCalc[[#This Row],[L_Bp]],INDIRECT("TabReg["&amp;TabCalc[[#This Row],[Ticker]]&amp;"2]"),INDIRECT("TabReg["&amp;TabCalc[[#This Row],[Ticker]]&amp;"1]"))</f>
        <v>1500</v>
      </c>
      <c r="AC35" s="192" cm="1">
        <f t="array" aca="1" ref="AC35" ca="1">IFERROR(INDEX(INDIRECT("TabReg["&amp;TabCalc[[#This Row],[Ticker]]&amp;"2]"),    _xlfn.XMATCH(    MAX(    _xlfn._xlws.FILTER(INDIRECT("TabReg["&amp;TabCalc[[#This Row],[Ticker]]&amp;"]"), INDIRECT("TabReg["&amp;TabCalc[[#This Row],[Ticker]]&amp;"2]")&lt;0)     ), INDIRECT("TabReg["&amp;TabCalc[[#This Row],[Ticker]]&amp;"]"),      0)), "")</f>
        <v>-35.72</v>
      </c>
      <c r="AD35" s="213">
        <f ca="1">IFERROR(MIN(TabCalc[[#This Row],[L_B1n]],TabCalc[[#This Row],[NAfter]])*(TabCalc[[#This Row],[M]]+TabCalc[[#This Row],[L_B1p]])*TabCalc[[#This Row],[Scale]],"")</f>
        <v>8810.0000000000018</v>
      </c>
      <c r="AE35" s="210" cm="1">
        <f t="array" aca="1" ref="AE3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45835</v>
      </c>
      <c r="AF35" s="181" cm="1">
        <f t="array" aca="1" ref="AF35" ca="1">IFERROR(_xlfn.XLOOKUP(TabCalc[[#This Row],[L_B1D]],INDIRECT("TabReg["&amp;TabCalc[[#This Row],[Ticker]]&amp;"]"),INDIRECT("TabReg["&amp;TabCalc[[#This Row],[Ticker]]&amp;"1]")),0)</f>
        <v>1000</v>
      </c>
      <c r="AG35" s="192" cm="1">
        <f t="array" aca="1" ref="AG35" ca="1">IFERROR(_xlfn.XLOOKUP(TabCalc[[#This Row],[L_B1D]],INDIRECT("TabReg["&amp;TabCalc[[#This Row],[Ticker]]&amp;"]"),INDIRECT("TabReg["&amp;TabCalc[[#This Row],[Ticker]]&amp;"2]")),0)</f>
        <v>-27.53</v>
      </c>
      <c r="AH35" s="214">
        <f ca="1">IFERROR(TabCalc[[#This Row],[L_Sn]]*(TabCalc[[#This Row],[L_Sp]]-TabCalc[[#This Row],[M]])*TabCalc[[#This Row],[Scale]],"")</f>
        <v>1480.2499999999982</v>
      </c>
      <c r="AI35" s="210" cm="1">
        <f t="array" aca="1" ref="AI35" ca="1">IFERROR(_xlfn.XLOOKUP(TabCalc[[#This Row],[L_Sp]],INDIRECT("TabReg["&amp;TabCalc[[#This Row],[Ticker]]&amp;"2]"),INDIRECT("TabReg["&amp;TabCalc[[#This Row],[Ticker]]&amp;"]")),0)</f>
        <v>45929</v>
      </c>
      <c r="AJ35" s="181" cm="1">
        <f t="array" aca="1" ref="AJ35" ca="1">IFERROR(_xlfn.XLOOKUP(TabCalc[[#This Row],[L_Sp]],INDIRECT("TabReg["&amp;TabCalc[[#This Row],[Ticker]]&amp;"2]"),INDIRECT("TabReg["&amp;TabCalc[[#This Row],[Ticker]]&amp;"1]")),0)</f>
        <v>500</v>
      </c>
      <c r="AK35" s="192" cm="1">
        <f t="array" aca="1" ref="AK35" ca="1">IFERROR(INDEX(INDIRECT("TabReg["&amp;TabCalc[[#This Row],[Ticker]]&amp;"2]"), _xlfn.XMATCH(MAX(_xlfn._xlws.FILTER(INDIRECT("TabReg["&amp;TabCalc[[#This Row],[Ticker]]&amp;"]"), INDIRECT("TabReg["&amp;TabCalc[[#This Row],[Ticker]]&amp;"2]")&gt;0)), INDIRECT("TabReg["&amp;TabCalc[[#This Row],[Ticker]]&amp;"]"), 0)), 0)</f>
        <v>39.3005</v>
      </c>
      <c r="AL35" s="214">
        <f ca="1">IFERROR(TabCalc[[#This Row],[L_S1n]]*(TabCalc[[#This Row],[L_S1p]]-TabCalc[[#This Row],[M]])*TabCalc[[#This Row],[Scale]],0)</f>
        <v>-50.000000000004263</v>
      </c>
      <c r="AM35" s="210" cm="1">
        <f t="array" aca="1" ref="AM3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N35" s="181" cm="1">
        <f t="array" aca="1" ref="AN35" ca="1">IFERROR(_xlfn.XLOOKUP(TabCalc[[#This Row],[L_S1D]],INDIRECT("TabReg["&amp;TabCalc[[#This Row],[Ticker]]&amp;"]"),INDIRECT("TabReg["&amp;TabCalc[[#This Row],[Ticker]]&amp;"1]")),0)</f>
        <v>1000</v>
      </c>
      <c r="AO35" s="384" cm="1">
        <f t="array" aca="1" ref="AO35" ca="1">IFERROR(_xlfn.XLOOKUP(TabCalc[[#This Row],[L_S1D]],INDIRECT("TabReg["&amp;TabCalc[[#This Row],[Ticker]]&amp;"]"),INDIRECT("TabReg["&amp;TabCalc[[#This Row],[Ticker]]&amp;"2]")),0)</f>
        <v>36.29</v>
      </c>
      <c r="AP35" s="336">
        <f ca="1">_xlfn.LET(_xlpm.MVOpen,[1]!RTData[[#This Row],[Open]]*TabCalc[[#This Row],[NAfter]],_xlpm.MVNow,TabCalc[[#This Row],[M]]*TabCalc[[#This Row],[NAfter]],_xlpm.MVNow-_xlpm.MVOpen)*TabCalc[[#This Row],[Scale]]</f>
        <v>2880</v>
      </c>
      <c r="AQ35" s="336">
        <f ca="1">_xlfn.LET(_xlpm.MVToday,DataShift!AV535,         _xlpm.MVY,DataShift!AU536,        _xlpm.MVYY, DataShift!AT536,                                IF(_xlpm.MVToday=_xlpm.MVY,_xlpm.MVY-_xlpm.MVYY,_xlpm.MVToday-_xlpm.MVY))</f>
        <v>500095</v>
      </c>
      <c r="AR35" s="336">
        <f ca="1">_xlfn.LET(_xlpm.MVToday,DataShift!AV535,         _xlpm.MVY,DataShift!AU536,        _xlpm.MVYY, DataShift!AT536,         _xlpm.MVYYY, DataShift!AS536,                      IF(_xlpm.MVToday=_xlpm.MVY,      _xlpm.MVYY-_xlpm.MVYYY,          _xlpm.MVY-_xlpm.MVYY))</f>
        <v>551235</v>
      </c>
      <c r="AS35" s="1078">
        <f ca="1">TabCalc[[#This Row],[Y]]/TabCalc[[#This Row],[M]]</f>
        <v>1.2245459548706659</v>
      </c>
      <c r="AT35" s="299" t="str" cm="1">
        <f t="array" aca="1" ref="AT35" ca="1">IFERROR(_xlfn.IFS(          TabCalc[[#This Row],[E]]&gt;0, "Free Trade",      TabCalc[[#This Row],[A]]&lt;MIN(TabCalc[[#This Row],[L_Sp]],TabCalc[[#This Row],[M]]), "Buy",            TabCalc[[#This Row],[M]]&lt;TabCalc[[#This Row],[L_Sp]],       "Refill",       TabCalc[[#This Row],[M]]&gt;TabCalc[[#This Row],[L_Sp]],"S_more"),"")</f>
        <v>Buy</v>
      </c>
      <c r="AU35" s="299" t="str">
        <f ca="1">IF(           AND(TabCalc[[#This Row],[E]]&lt;=0,          TabCalc[[#This Row],[A]]&gt;MIN(TabCalc[[#This Row],[M]],TabCalc[[#This Row],[L_Sp]]),             TabCalc[[#This Row],[L_Sp]]&lt;=TabCalc[[#This Row],[M]]),                       "S_more","")</f>
        <v/>
      </c>
      <c r="AV35" s="82" t="str" cm="1">
        <f t="array" aca="1" ref="AV35" ca="1">IFERROR(_xlfn.IFS(TabCalc[[#This Row],[E]]&gt;0,"Free trade",                 TabCalc[[#This Row],[A]]&lt;MAX(ABS(TabCalc[[#This Row],[L_Bp]]),TabCalc[[#This Row],[A]]),"Sell",             TabCalc[[#This Row],[M]]&gt;ABS(TabCalc[[#This Row],[L_Bp]]),"Resell",             TabCalc[[#This Row],[M]]&lt;ABS(TabCalc[[#This Row],[L_Bp]]),"B_more"),"")</f>
        <v>Sell</v>
      </c>
      <c r="AW35" s="82">
        <f ca="1">TabCalc[[#This Row],[NAfter]]-TabCalc[[#This Row],[Nbegin]]</f>
        <v>1000</v>
      </c>
      <c r="AX35" s="307">
        <f ca="1">IFERROR((TabCalc[[#This Row],[M]]-TabCalc[[#This Row],[Y]])*(TabCalc[[#This Row],[M]]-TabCalc[[#This Row],[Y]])*(TabCalc[[#This Row],[M]]-TabCalc[[#This Row],[Y]])/(TabCalc[[#This Row],[Y]]*TabCalc[[#This Row],[M]]),"")</f>
        <v>-0.33598937376710547</v>
      </c>
      <c r="AY35" s="82">
        <f t="shared" ca="1" si="1"/>
        <v>0</v>
      </c>
      <c r="AZ35" s="90">
        <f ca="1">[1]!RTData[[#This Row],[V/VA]]</f>
        <v>0.52479457239055072</v>
      </c>
      <c r="BA35" s="90" t="str" cm="1">
        <f t="array" aca="1" ref="BA35" ca="1">IFERROR(_xlfn.IFS(TabCalc[[#This Row],[Cur]]="USD",Timer!F$27,TabCalc[[#This Row],[Cur]]="EUR",Timer!F$18,TabCalc[[#This Row],[Cur]]="GBP",Timer!F$12,TabCalc[[#This Row],[Cur]]="CAD",Timer!F$27,TabCalc[[#This Row],[Cur]]="JPY",Timer!F$31,TabCalc[[#This Row],[Cur]]="CHF",Timer!F$18),"Timing")</f>
        <v>None-Working Day</v>
      </c>
      <c r="BB35" s="90">
        <f ca="1">IF(ISNUMBER(TabCalc[[#This Row],[TimeEX]]),TabCalc[[#This Row],[V/VA]]/TabCalc[[#This Row],[TimeEX]],TabCalc[[#This Row],[V/VA]])</f>
        <v>0.52479457239055072</v>
      </c>
      <c r="BC35" s="87" cm="1">
        <f t="array" aca="1" ref="BC35" ca="1">INDEX(TabReg[], 1, _xlfn.XMATCH(TabCalc[[#This Row],[Ticker]]&amp;1, TabReg[#Headers], 0))</f>
        <v>3000</v>
      </c>
      <c r="BD35" s="161">
        <f ca="1">TabCalc[[#This Row],[Nbegin]]*TabCalc[[#This Row],[M]]*TabCalc[[#This Row],[Scale]]+TabCalc[[#This Row],[ValueBegin]]</f>
        <v>22140.000000000015</v>
      </c>
      <c r="BE35" s="336" t="str" cm="1">
        <f t="array" aca="1" ref="BE35" ca="1">_xlfn.IFS(TabCalc[[#This Row],[Cost+Gain]]&gt;0,"Free",             TabCalc[[#This Row],[GL]]&gt;0,"Gainer",                TRUE,"Looser")</f>
        <v>Free</v>
      </c>
      <c r="BF35" s="161">
        <f ca="1">TabCalc[[#This Row],[Tot_Paid]]-TabCalc[[#This Row],[ValueBegin]]</f>
        <v>-375156.78035999998</v>
      </c>
      <c r="BG35" s="337">
        <f ca="1">IF(TabCalc[[#This Row],[EfCost]]&gt;TabCalc[[#This Row],[ValueBegin]],       0,        TabCalc[[#This Row],[EfCost]]-TabCalc[[#This Row],[ValueBegin]]*(1+Commission))</f>
        <v>0</v>
      </c>
      <c r="BH35" s="338">
        <f ca="1">TabCalc[[#This Row],[M_V]]+TabCalc[[#This Row],[ValueBegin]]</f>
        <v>58480</v>
      </c>
      <c r="BI35" s="161" cm="1">
        <f t="array" aca="1" ref="BI35" ca="1">SUMPRODUCT(_xlfn._xlws.FILTER(INDIRECT("TabReg["&amp;TabCalc[[#This Row],[Ticker]]&amp;"1]") * INDIRECT("TabReg["&amp;TabCalc[[#This Row],[Ticker]]&amp;"2]"), INDIRECT("TabReg["&amp;TabCalc[[#This Row],[Ticker]]&amp;"2]")&lt;0))*(1+Commission)*TabCalc[[#This Row],[Scale]]</f>
        <v>-462036.78035999998</v>
      </c>
      <c r="BJ35" s="161" cm="1">
        <f t="array" aca="1" ref="BJ35" ca="1">SUMPRODUCT(IF(INDIRECT("TabReg["&amp;TabCalc[[#This Row],[Ticker]]&amp;"2]") ="", 0, INDIRECT("TabReg["&amp;TabCalc[[#This Row],[Ticker]]&amp;"1]") * INDIRECT("TabReg["&amp;TabCalc[[#This Row],[Ticker]]&amp;"2]") ))*TabCalc[[#This Row],[Scale]]</f>
        <v>-67242.450000000012</v>
      </c>
      <c r="BK35" s="161" cm="1">
        <f t="array" aca="1" ref="BK3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392572.80001000001</v>
      </c>
      <c r="BL35" s="161">
        <f ca="1">TabCalc[[#This Row],[M_V]]+TabCalc[[#This Row],[EfCost]]</f>
        <v>78117.549999999988</v>
      </c>
      <c r="BM35" s="161">
        <f ca="1">IF(        OR( TabCalc[[#This Row],[GL]]&gt;ABS(TabCalc[[#This Row],[EfCost]]),TabCalc[[#This Row],[NAfter]]=0),             TabCalc[[#This Row],[GL]],     0)</f>
        <v>78117.549999999988</v>
      </c>
      <c r="BN35" s="161" cm="1">
        <f t="array" aca="1" ref="BN35" ca="1">SUMPRODUCT(_xlfn._xlws.FILTER(IF(INDIRECT("TabReg["&amp;TabCalc[[#This Row],[Ticker]]&amp;"2]") ="", 0, INDIRECT("TabReg["&amp;TabCalc[[#This Row],[Ticker]]&amp;"1]")  ),  INDIRECT("TabReg["&amp;TabCalc[[#This Row],[Ticker]]&amp;"2]") &lt; 0))</f>
        <v>18000</v>
      </c>
      <c r="BO35" s="161">
        <f ca="1">TabCalc[[#This Row],[SB]]-TabCalc[[#This Row],[Nbegin]]</f>
        <v>15000</v>
      </c>
      <c r="BP35" s="161" cm="1">
        <f t="array" aca="1" ref="BP35" ca="1">IFERROR(SUMPRODUCT(_xlfn._xlws.FILTER(IF(INDIRECT("TabReg["&amp;TabCalc[[#This Row],[Ticker]]&amp;"2]") ="", 0, INDIRECT("TabReg["&amp;TabCalc[[#This Row],[Ticker]]&amp;"1]")  ),  INDIRECT("TabReg["&amp;TabCalc[[#This Row],[Ticker]]&amp;"2]") &gt; 0)),0)</f>
        <v>14000</v>
      </c>
      <c r="BQ35"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27.27</v>
      </c>
      <c r="BR35" s="176" t="str">
        <f ca="1">IF(TabCalc[[#This Row],[EfCost]]+TabCalc[[#This Row],[M_V]]&lt;TabCalc[[#This Row],[NoT_GL]],"Pile","")</f>
        <v/>
      </c>
      <c r="BS35" s="167">
        <f ca="1">[1]!RTData[[#This Row],[Last trade time]]</f>
        <v>45954.998963726561</v>
      </c>
      <c r="BT35" s="177">
        <f ca="1">(TabCalc[[#This Row],[ValueBegin]]+(TabCalc[[#This Row],[M]]-TabCalc[[#This Row],[A]])*TabCalc[[#This Row],[NAfter]])*TabCalc[[#This Row],[Scale]]</f>
        <v>20739.666629167143</v>
      </c>
      <c r="BU35" s="189" cm="1">
        <f t="array" aca="1" ref="BU35" ca="1">_xlfn.XLOOKUP(TabCalc[[#This Row],[Ticker]],TabReg[[#Headers],[AAPL]:[UnknownX28]],Reg!B$72:KF$72)+3</f>
        <v>18</v>
      </c>
      <c r="BV35" s="190" cm="1">
        <f t="array" aca="1" ref="BV35" ca="1">_xlfn.XLOOKUP(TabCalc[[#This Row],[Ticker]],TabReg[[#Headers],[AAPL]:[UnknownX28]],Reg!B$73:KF$73)+2</f>
        <v>102</v>
      </c>
      <c r="BW35" s="191">
        <f ca="1">IFERROR(MAX(TabCalc[[#This Row],[Max_SD]],TabCalc[[#This Row],[Max_PD]]),0)</f>
        <v>45951</v>
      </c>
      <c r="BX35" s="191" t="str" cm="1">
        <f t="array" aca="1" ref="BX35" ca="1">_xlfn.IFS(TabCalc[[#This Row],[L_TP]]&lt;0,"Purchase",TabCalc[[#This Row],[L_TP]]&gt;0,"Sale")</f>
        <v>Purchase</v>
      </c>
      <c r="BY35" s="190" cm="1">
        <f t="array" aca="1" ref="BY35" ca="1">INDEX(Reg!$A$1:$KF$73,TabCalc[[#This Row],[L_I1]],TabCalc[[#This Row],[L_I2]])</f>
        <v>1500</v>
      </c>
      <c r="BZ35" s="192" cm="1">
        <f t="array" aca="1" ref="BZ35" ca="1">INDEX(Reg!$A$1:$KF$73,TabCalc[[#This Row],[L_I1]],TabCalc[[#This Row],[L_I2]]+1)</f>
        <v>-35.72</v>
      </c>
      <c r="CA35" s="161">
        <f ca="1">TabCalc[[#This Row],[NAfter]]*(TabCalc[[#This Row],[M]]-IF(TabCalc[[#This Row],[E]]&gt;0,0,TabCalc[[#This Row],[A]]))</f>
        <v>107619.66662916714</v>
      </c>
      <c r="CB35" s="167" cm="1">
        <f t="array" aca="1" ref="CB35" ca="1">IFERROR(MIN(_xlfn._xlws.FILTER(INDIRECT("TabReg["&amp;TabCalc[[#This Row],[Ticker]]&amp;"]"), INDIRECT("TabReg["&amp;TabCalc[[#This Row],[Ticker]]&amp;"2]")&gt;0)),0)</f>
        <v>45489</v>
      </c>
      <c r="CC35" s="178" cm="1">
        <f t="array" aca="1" ref="CC35" ca="1">IFERROR(MIN(_xlfn._xlws.FILTER(INDIRECT("TabReg["&amp;TabCalc[[#This Row],[Ticker]]&amp;"1]"), INDIRECT("TabReg["&amp;TabCalc[[#This Row],[Ticker]]&amp;"2]")&gt;0)),0)</f>
        <v>500</v>
      </c>
      <c r="CD35" s="173" cm="1">
        <f t="array" aca="1" ref="CD35" ca="1">IFERROR(MIN(_xlfn._xlws.FILTER(INDIRECT("TabReg["&amp;TabCalc[[#This Row],[Ticker]]&amp;"2]"), INDIRECT("TabReg["&amp;TabCalc[[#This Row],[Ticker]]&amp;"2]")&gt;0)),0)</f>
        <v>24.1203</v>
      </c>
      <c r="CE35" s="167" cm="1">
        <f t="array" aca="1" ref="CE35" ca="1">IFERROR(MAX(_xlfn._xlws.FILTER(INDIRECT("TabReg["&amp;TabCalc[[#This Row],[Ticker]]&amp;"]"), INDIRECT("TabReg["&amp;TabCalc[[#This Row],[Ticker]]&amp;"2]")&gt;0)),0)</f>
        <v>45929</v>
      </c>
      <c r="CF35" s="178" cm="1">
        <f t="array" aca="1" ref="CF35" ca="1">IFERROR(MAX(_xlfn._xlws.FILTER(INDIRECT("TabReg["&amp;TabCalc[[#This Row],[Ticker]]&amp;"1]"), INDIRECT("TabReg["&amp;TabCalc[[#This Row],[Ticker]]&amp;"2]")&gt;0)),0)</f>
        <v>3000</v>
      </c>
      <c r="CG35" s="173" cm="1">
        <f t="array" aca="1" ref="CG35" ca="1">IFERROR(MAX(_xlfn._xlws.FILTER(INDIRECT("TabReg["&amp;TabCalc[[#This Row],[Ticker]]&amp;"2]"), INDIRECT("TabReg["&amp;TabCalc[[#This Row],[Ticker]]&amp;"2]")&gt;0)),0)</f>
        <v>39.3005</v>
      </c>
      <c r="CH35" s="167" cm="1">
        <f t="array" aca="1" ref="CH35" ca="1">MIN(_xlfn._xlws.FILTER(INDIRECT("TabReg["&amp;TabCalc[[#This Row],[Ticker]]&amp;"]"), INDIRECT("TabReg["&amp;TabCalc[[#This Row],[Ticker]]&amp;"2]")&lt;0))</f>
        <v>40544</v>
      </c>
      <c r="CI35" s="177" cm="1">
        <f t="array" aca="1" ref="CI35" ca="1">MIN(_xlfn._xlws.FILTER(INDIRECT("TabReg["&amp;TabCalc[[#This Row],[Ticker]]&amp;"1]"), INDIRECT("TabReg["&amp;TabCalc[[#This Row],[Ticker]]&amp;"2]")&lt;0))</f>
        <v>1000</v>
      </c>
      <c r="CJ35" s="173" cm="1">
        <f t="array" aca="1" ref="CJ35" ca="1">MIN(_xlfn._xlws.FILTER(INDIRECT("TabReg["&amp;TabCalc[[#This Row],[Ticker]]&amp;"2]"), INDIRECT("TabReg["&amp;TabCalc[[#This Row],[Ticker]]&amp;"2]")&lt;0))</f>
        <v>-35.72</v>
      </c>
      <c r="CK35" s="167" cm="1">
        <f t="array" aca="1" ref="CK35" ca="1">MAX(_xlfn._xlws.FILTER(INDIRECT("TabReg["&amp;TabCalc[[#This Row],[Ticker]]&amp;"]"), INDIRECT("TabReg["&amp;TabCalc[[#This Row],[Ticker]]&amp;"2]")&lt;0))</f>
        <v>45951</v>
      </c>
      <c r="CL35" s="177" cm="1">
        <f t="array" aca="1" ref="CL35" ca="1">MAX(_xlfn._xlws.FILTER(INDIRECT("TabReg["&amp;TabCalc[[#This Row],[Ticker]]&amp;"1]"), INDIRECT("TabReg["&amp;TabCalc[[#This Row],[Ticker]]&amp;"2]")&lt;0))</f>
        <v>3000</v>
      </c>
      <c r="CM35" s="173" cm="1">
        <f t="array" aca="1" ref="CM35" ca="1">MAX(_xlfn._xlws.FILTER(INDIRECT("TabReg["&amp;TabCalc[[#This Row],[Ticker]]&amp;"2]"), INDIRECT("TabReg["&amp;TabCalc[[#This Row],[Ticker]]&amp;"2]")&lt;0))</f>
        <v>-22.606200000000001</v>
      </c>
      <c r="CN35" s="167" cm="1">
        <f t="array" aca="1" ref="CN35" ca="1">IFERROR(_xlfn.XLOOKUP(TabCalc[[#This Row],[BS2P]],INDIRECT("TabReg["&amp;TabCalc[[#This Row],[Ticker]]&amp;"2]"),INDIRECT("TabReg["&amp;TabCalc[[#This Row],[Ticker]]&amp;"]")),0)</f>
        <v>45916</v>
      </c>
      <c r="CO35" s="178" cm="1">
        <f t="array" aca="1" ref="CO35" ca="1">IFERROR(_xlfn.XLOOKUP(TabCalc[[#This Row],[BS2P]],INDIRECT("TabReg["&amp;TabCalc[[#This Row],[Ticker]]&amp;"2]"),INDIRECT("TabReg["&amp;TabCalc[[#This Row],[Ticker]]&amp;"1]")),0)</f>
        <v>1000</v>
      </c>
      <c r="CP35" s="173">
        <f ca="1">_xlfn.MAXIFS(INDIRECT("TabReg["&amp;TabCalc[[#This Row],[Ticker]]&amp;"2]"), INDIRECT("TabReg["&amp;TabCalc[[#This Row],[Ticker]]&amp;"2]"), "&lt;" &amp; MAX(INDIRECT("TabReg["&amp;TabCalc[[#This Row],[Ticker]]&amp;"2]")))</f>
        <v>36.29</v>
      </c>
      <c r="CQ35" s="167" cm="1">
        <f t="array" aca="1" ref="CQ35" ca="1">IFERROR(_xlfn.XLOOKUP(TabCalc[[#This Row],[WB2P]],INDIRECT("TabReg["&amp;TabCalc[[#This Row],[Ticker]]&amp;"2]"),INDIRECT("TabReg["&amp;TabCalc[[#This Row],[Ticker]]&amp;"]")),0)</f>
        <v>40544</v>
      </c>
      <c r="CR35" s="178" cm="1">
        <f t="array" aca="1" ref="CR35" ca="1">IFERROR(_xlfn.XLOOKUP(TabCalc[[#This Row],[WB2P]],INDIRECT("TabReg["&amp;TabCalc[[#This Row],[Ticker]]&amp;"2]"),INDIRECT("TabReg["&amp;TabCalc[[#This Row],[Ticker]]&amp;"1]")),0)</f>
        <v>3000</v>
      </c>
      <c r="CS35" s="173">
        <f ca="1">_xlfn.MINIFS(INDIRECT("TabReg["&amp;TabCalc[[#This Row],[Ticker]]&amp;"2]"), INDIRECT("TabReg["&amp;TabCalc[[#This Row],[Ticker]]&amp;"2]"), "&gt;" &amp; MIN(INDIRECT("TabReg["&amp;TabCalc[[#This Row],[Ticker]]&amp;"2]")))</f>
        <v>-28.96</v>
      </c>
      <c r="CT35" s="405">
        <f ca="1">IF(TabCalc[[#This Row],[M]]&lt;TabCalc[[#This Row],[L_Sp]],DesiredBuyGain/(TabCalc[[#This Row],[L_Sp]]-TabCalc[[#This Row],[M]]),0)</f>
        <v>1688.9039013680144</v>
      </c>
      <c r="CU35" s="406">
        <f ca="1">IF(TabCalc[[#This Row],[ntoBuy]]*TabCalc[[#This Row],[M]]&lt;=0,0,TabCalc[[#This Row],[ntoBuy]]*TabCalc[[#This Row],[M]])</f>
        <v>61374.767775713648</v>
      </c>
      <c r="CV35" s="406">
        <f ca="1">IF(TabCalc[[#This Row],[M]]&gt;ABS(TabCalc[[#This Row],[L_Bp]]),MIN(TabCalc[[#This Row],[NAfter]],DesiredSaleGain/(TabCalc[[#This Row],[M]]+TabCalc[[#This Row],[L_Bp]])),0)/TabCalc[[#This Row],[Scale]]</f>
        <v>4000</v>
      </c>
      <c r="CW35" s="407">
        <f ca="1">TabCalc[[#This Row],[ntoSell]]*TabCalc[[#This Row],[M]]</f>
        <v>145360</v>
      </c>
      <c r="CX35" s="400">
        <f ca="1">_xlfn.LET(_xlpm.nToSell,IF(TabCalc[[#This Row],[M]]-TabCalc[[#This Row],[A]]&lt;=0,"",INT(DesiredSaleGain/(TabCalc[[#This Row],[M]]-IF(TabCalc[[#This Row],[E]]&gt;0,0,TabCalc[[#This Row],[A]])))),IF(_xlpm.nToSell&lt;=TabCalc[[#This Row],[NAfter]],_xlpm.nToSell,0))</f>
        <v>185</v>
      </c>
      <c r="CY35" s="338">
        <f ca="1">IFERROR(TabCalc[[#This Row],[NMA]]*TabCalc[[#This Row],[M]],"")</f>
        <v>6722.9000000000005</v>
      </c>
      <c r="CZ35" s="337" cm="1">
        <f t="array" aca="1" ref="CZ35" ca="1">_xlfn.IFS(TabCalc[[#This Row],[M]]&gt;= TabCalc[[#This Row],[L_Sp]],(TabCalc[[#This Row],[M]]-TabCalc[[#This Row],[A]])*TabCalc[[#This Row],[NAfter]]*TabCalc[[#This Row],[Scale]],           TabCalc[[#This Row],[M]]&lt; TabCalc[[#This Row],[L_Sp]],(TabCalc[[#This Row],[M]]-TabCalc[[#This Row],[A]])*TabCalc[[#This Row],[NAfter]]*TabCalc[[#This Row],[Scale]],               TRUE,"")</f>
        <v>107619.66662916714</v>
      </c>
      <c r="DA35" s="90">
        <f ca="1">IFERROR((TabCalc[[#This Row],[M]]+TabCalc[[#This Row],[L_Bp]])/ABS(TabCalc[[#This Row],[L_Bp]])/(TODAY()-TabCalc[[#This Row],[L_Bdate]])*360,"")</f>
        <v>1.2497200447928425</v>
      </c>
      <c r="DB35" s="312">
        <f ca="1">MEDIAN(DataShift!F735:Z735)</f>
        <v>-5.0139999999999994E-3</v>
      </c>
      <c r="DC35" s="312" t="str" cm="1">
        <f t="array" aca="1" ref="DC3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35" s="88" t="s">
        <v>32</v>
      </c>
      <c r="DN35">
        <v>500</v>
      </c>
      <c r="DO35" s="317">
        <v>-896.1</v>
      </c>
    </row>
    <row r="36" spans="1:119">
      <c r="A36" s="120" t="str">
        <f ca="1">_xlfn.XLOOKUP(TabCalc[[#This Row],[Ticker]],[1]!RTData[Ticker symbol],[1]!RTData[Currency])</f>
        <v>USD</v>
      </c>
      <c r="B36" s="121">
        <f ca="1">IF(TabCalc[[#This Row],[Cur]]="GBP",0.01,1)</f>
        <v>1</v>
      </c>
      <c r="C36" s="82">
        <f ca="1">_xlfn.XLOOKUP(TabCalc[[#This Row],[Ticker]],DM$3:DM$96,DN$3:DN$96)</f>
        <v>6000</v>
      </c>
      <c r="D36" s="1254">
        <f ca="1">_xlfn.XLOOKUP(TabCalc[[#This Row],[Ticker]],DM$3:DM$96,DO$3:DO$96)</f>
        <v>-15.19</v>
      </c>
      <c r="E36" s="121">
        <f t="shared" ca="1" si="0"/>
        <v>-91140</v>
      </c>
      <c r="F36" s="82">
        <f ca="1">TabCalc[[#This Row],[NAfter]]*TabCalc[[#This Row],[M]]*TabCalc[[#This Row],[Scale]]</f>
        <v>22000</v>
      </c>
      <c r="G36" s="82">
        <f ca="1">IFERROR(TabCalc[[#This Row],[SB]]-TabCalc[[#This Row],[SST]],TabCalc[[#This Row],[SB]])</f>
        <v>4000</v>
      </c>
      <c r="H36" s="535" t="str">
        <f ca="1">[1]!RTData[[#This Row],[Ticker symbol]]</f>
        <v>PROF</v>
      </c>
      <c r="I36" s="385">
        <f ca="1">[1]!RTData[[#This Row],[M-Price]]</f>
        <v>5.5</v>
      </c>
      <c r="J36" s="384">
        <v>29.252500000000001</v>
      </c>
      <c r="K36" s="383">
        <f>[1]!RTData[[#This Row],[1YT]]</f>
        <v>12.1</v>
      </c>
      <c r="L36" s="384">
        <f ca="1">IF(OR(TabCalc[[#This Row],[NAfter]]=0,TabCalc[[#This Row],[EfCost]]&gt;0),0,TabCalc[[#This Row],[EfCost]]/TabCalc[[#This Row],[NAfter]]/TabCalc[[#This Row],[Scale]])</f>
        <v>-4.8681549999999936</v>
      </c>
      <c r="M36" s="744">
        <f ca="1">[1]!RTData[[#This Row],[Change%]]</f>
        <v>3.6562000000000004E-2</v>
      </c>
      <c r="N36" s="1172">
        <v>0.30769230769230771</v>
      </c>
      <c r="O36" s="966">
        <f>TabCalc[[#This Row],[Up20]]-1+TabCalc[[#This Row],[Up20]]</f>
        <v>-0.38461538461538458</v>
      </c>
      <c r="P36" s="966">
        <f>TabCalc[[#This Row],[Up20]]-TabCalc[[#This Row],[Up150]]</f>
        <v>-0.29230769230769227</v>
      </c>
      <c r="Q36" s="966">
        <v>0.6</v>
      </c>
      <c r="R36" s="966">
        <f>TabCalc[[#This Row],[Up150]]-1+TabCalc[[#This Row],[Up150]]</f>
        <v>0.19999999999999996</v>
      </c>
      <c r="S36" s="966">
        <f ca="1">IFERROR(SUMPRODUCT(DataShift!F1528:Z1528,DataShift!AB735:AV735)/SQRT(SUMPRODUCT(DataShift!F1528:Z1528,DataShift!F1528:Z1528)*SUMPRODUCT(DataShift!AB735:AV735,DataShift!AB735:AV735)),0)</f>
        <v>-0.84975981344309082</v>
      </c>
      <c r="T36" s="966">
        <f ca="1">IFERROR(SUMPRODUCT(DataShift!F1528:Z1528,DataShift!F736:Z736)/SQRT(SUMPRODUCT(DataShift!F1528:Z1528,DataShift!F1528:Z1528)*SUMPRODUCT(DataShift!F736:Z736,DataShift!F736:Z736)),0)</f>
        <v>0.11008793958407426</v>
      </c>
      <c r="U36" s="1107">
        <v>4000</v>
      </c>
      <c r="V36" s="1107">
        <v>0</v>
      </c>
      <c r="W36" s="1107">
        <v>0</v>
      </c>
      <c r="X36" s="966" t="str">
        <f ca="1">IF(TabCalc[[#This Row],[EfCost]]+TabCalc[[#This Row],[M_V]]&lt;TabCalc[[#This Row],[NoT_GL]],"Pile","")</f>
        <v/>
      </c>
      <c r="Y3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10,395 = $ 57,172</v>
      </c>
      <c r="Z36" s="213">
        <f ca="1">MIN(TabCalc[[#This Row],[L_Bn]],TabCalc[[#This Row],[NAfter]])*(TabCalc[[#This Row],[M]]+TabCalc[[#This Row],[L_Bp]])*TabCalc[[#This Row],[Scale]]</f>
        <v>1239.9999999999984</v>
      </c>
      <c r="AA36" s="210" cm="1">
        <f t="array" aca="1" ref="AA36" ca="1">_xlfn.XLOOKUP(TabCalc[[#This Row],[L_Bp]],INDIRECT("TabReg["&amp;TabCalc[[#This Row],[Ticker]]&amp;"2]"),INDIRECT("TabReg["&amp;TabCalc[[#This Row],[Ticker]]&amp;"]"))</f>
        <v>45924</v>
      </c>
      <c r="AB36" s="181" cm="1">
        <f t="array" aca="1" ref="AB36" ca="1">_xlfn.XLOOKUP(TabCalc[[#This Row],[L_Bp]],INDIRECT("TabReg["&amp;TabCalc[[#This Row],[Ticker]]&amp;"2]"),INDIRECT("TabReg["&amp;TabCalc[[#This Row],[Ticker]]&amp;"1]"))</f>
        <v>4000</v>
      </c>
      <c r="AC36" s="192" cm="1">
        <f t="array" aca="1" ref="AC36" ca="1">IFERROR(INDEX(INDIRECT("TabReg["&amp;TabCalc[[#This Row],[Ticker]]&amp;"2]"),    _xlfn.XMATCH(    MAX(    _xlfn._xlws.FILTER(INDIRECT("TabReg["&amp;TabCalc[[#This Row],[Ticker]]&amp;"]"), INDIRECT("TabReg["&amp;TabCalc[[#This Row],[Ticker]]&amp;"2]")&lt;0)     ), INDIRECT("TabReg["&amp;TabCalc[[#This Row],[Ticker]]&amp;"]"),      0)), "")</f>
        <v>-5.19</v>
      </c>
      <c r="AD36" s="213">
        <f ca="1">IFERROR(MIN(TabCalc[[#This Row],[L_B1n]],TabCalc[[#This Row],[NAfter]])*(TabCalc[[#This Row],[M]]+TabCalc[[#This Row],[L_B1p]])*TabCalc[[#This Row],[Scale]],"")</f>
        <v>-1449.7999999999997</v>
      </c>
      <c r="AE36" s="210" cm="1">
        <f t="array" aca="1" ref="AE3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36" s="181" cm="1">
        <f t="array" aca="1" ref="AF36" ca="1">IFERROR(_xlfn.XLOOKUP(TabCalc[[#This Row],[L_B1D]],INDIRECT("TabReg["&amp;TabCalc[[#This Row],[Ticker]]&amp;"]"),INDIRECT("TabReg["&amp;TabCalc[[#This Row],[Ticker]]&amp;"1]")),0)</f>
        <v>2000</v>
      </c>
      <c r="AG36" s="192" cm="1">
        <f t="array" aca="1" ref="AG36" ca="1">IFERROR(_xlfn.XLOOKUP(TabCalc[[#This Row],[L_B1D]],INDIRECT("TabReg["&amp;TabCalc[[#This Row],[Ticker]]&amp;"]"),INDIRECT("TabReg["&amp;TabCalc[[#This Row],[Ticker]]&amp;"2]")),0)</f>
        <v>-6.2248999999999999</v>
      </c>
      <c r="AH36" s="302">
        <f ca="1">IFERROR(TabCalc[[#This Row],[L_Sn]]*(TabCalc[[#This Row],[L_Sp]]-TabCalc[[#This Row],[M]])*TabCalc[[#This Row],[Scale]],"")</f>
        <v>220.00000000000063</v>
      </c>
      <c r="AI36" s="210" cm="1">
        <f t="array" aca="1" ref="AI36" ca="1">IFERROR(_xlfn.XLOOKUP(TabCalc[[#This Row],[L_Sp]],INDIRECT("TabReg["&amp;TabCalc[[#This Row],[Ticker]]&amp;"2]"),INDIRECT("TabReg["&amp;TabCalc[[#This Row],[Ticker]]&amp;"]")),0)</f>
        <v>45945</v>
      </c>
      <c r="AJ36" s="181" cm="1">
        <f t="array" aca="1" ref="AJ36" ca="1">IFERROR(_xlfn.XLOOKUP(TabCalc[[#This Row],[L_Sp]],INDIRECT("TabReg["&amp;TabCalc[[#This Row],[Ticker]]&amp;"2]"),INDIRECT("TabReg["&amp;TabCalc[[#This Row],[Ticker]]&amp;"1]")),0)</f>
        <v>2000</v>
      </c>
      <c r="AK36" s="192" cm="1">
        <f t="array" aca="1" ref="AK36" ca="1">IFERROR(INDEX(INDIRECT("TabReg["&amp;TabCalc[[#This Row],[Ticker]]&amp;"2]"), _xlfn.XMATCH(MAX(_xlfn._xlws.FILTER(INDIRECT("TabReg["&amp;TabCalc[[#This Row],[Ticker]]&amp;"]"), INDIRECT("TabReg["&amp;TabCalc[[#This Row],[Ticker]]&amp;"2]")&gt;0)), INDIRECT("TabReg["&amp;TabCalc[[#This Row],[Ticker]]&amp;"]"), 0)), 0)</f>
        <v>5.61</v>
      </c>
      <c r="AL36" s="214">
        <f ca="1">IFERROR(TabCalc[[#This Row],[L_S1n]]*(TabCalc[[#This Row],[L_S1p]]-TabCalc[[#This Row],[M]])*TabCalc[[#This Row],[Scale]],0)</f>
        <v>2859.9999999999995</v>
      </c>
      <c r="AM36" s="210" cm="1">
        <f t="array" aca="1" ref="AM3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45707</v>
      </c>
      <c r="AN36" s="181" cm="1">
        <f t="array" aca="1" ref="AN36" ca="1">IFERROR(_xlfn.XLOOKUP(TabCalc[[#This Row],[L_S1D]],INDIRECT("TabReg["&amp;TabCalc[[#This Row],[Ticker]]&amp;"]"),INDIRECT("TabReg["&amp;TabCalc[[#This Row],[Ticker]]&amp;"1]")),0)</f>
        <v>2000</v>
      </c>
      <c r="AO36" s="384" cm="1">
        <f t="array" aca="1" ref="AO36" ca="1">IFERROR(_xlfn.XLOOKUP(TabCalc[[#This Row],[L_S1D]],INDIRECT("TabReg["&amp;TabCalc[[#This Row],[Ticker]]&amp;"]"),INDIRECT("TabReg["&amp;TabCalc[[#This Row],[Ticker]]&amp;"2]")),0)</f>
        <v>6.93</v>
      </c>
      <c r="AP36" s="336">
        <f ca="1">_xlfn.LET(_xlpm.MVOpen,[1]!RTData[[#This Row],[Open]]*TabCalc[[#This Row],[NAfter]],_xlpm.MVNow,TabCalc[[#This Row],[M]]*TabCalc[[#This Row],[NAfter]],_xlpm.MVNow-_xlpm.MVOpen)*TabCalc[[#This Row],[Scale]]</f>
        <v>480</v>
      </c>
      <c r="AQ36" s="336">
        <f ca="1">_xlfn.LET(_xlpm.MVToday,DataShift!AV536,         _xlpm.MVY,DataShift!AU537,        _xlpm.MVYY, DataShift!AT537,                                IF(_xlpm.MVToday=_xlpm.MVY,_xlpm.MVY-_xlpm.MVYY,_xlpm.MVToday-_xlpm.MVY))</f>
        <v>-2133.3600000000006</v>
      </c>
      <c r="AR36" s="336">
        <f ca="1">_xlfn.LET(_xlpm.MVToday,DataShift!AV536,         _xlpm.MVY,DataShift!AU537,        _xlpm.MVYY, DataShift!AT537,         _xlpm.MVYYY, DataShift!AS537,                      IF(_xlpm.MVToday=_xlpm.MVY,      _xlpm.MVYY-_xlpm.MVYYY,          _xlpm.MVY-_xlpm.MVYY))</f>
        <v>5600.070000000007</v>
      </c>
      <c r="AS36" s="1078">
        <f ca="1">TabCalc[[#This Row],[Y]]/TabCalc[[#This Row],[M]]</f>
        <v>2.1999999999999997</v>
      </c>
      <c r="AT36" s="299" t="str" cm="1">
        <f t="array" aca="1" ref="AT36" ca="1">IFERROR(_xlfn.IFS(          TabCalc[[#This Row],[E]]&gt;0, "Free Trade",      TabCalc[[#This Row],[A]]&lt;MIN(TabCalc[[#This Row],[L_Sp]],TabCalc[[#This Row],[M]]), "Buy",            TabCalc[[#This Row],[M]]&lt;TabCalc[[#This Row],[L_Sp]],       "Refill",       TabCalc[[#This Row],[M]]&gt;TabCalc[[#This Row],[L_Sp]],"S_more"),"")</f>
        <v>Refill</v>
      </c>
      <c r="AU36" s="299" t="str">
        <f ca="1">IF(           AND(TabCalc[[#This Row],[E]]&lt;=0,          TabCalc[[#This Row],[A]]&gt;MIN(TabCalc[[#This Row],[M]],TabCalc[[#This Row],[L_Sp]]),             TabCalc[[#This Row],[L_Sp]]&lt;=TabCalc[[#This Row],[M]]),                       "S_more","")</f>
        <v/>
      </c>
      <c r="AV36" s="82" t="str" cm="1">
        <f t="array" aca="1" ref="AV36" ca="1">IFERROR(_xlfn.IFS(TabCalc[[#This Row],[E]]&gt;0,"Free trade",                 TabCalc[[#This Row],[A]]&lt;MAX(ABS(TabCalc[[#This Row],[L_Bp]]),TabCalc[[#This Row],[A]]),"Sell",             TabCalc[[#This Row],[M]]&gt;ABS(TabCalc[[#This Row],[L_Bp]]),"Resell",             TabCalc[[#This Row],[M]]&lt;ABS(TabCalc[[#This Row],[L_Bp]]),"B_more"),"")</f>
        <v>Resell</v>
      </c>
      <c r="AW36" s="82">
        <f ca="1">TabCalc[[#This Row],[NAfter]]-TabCalc[[#This Row],[Nbegin]]</f>
        <v>-2000</v>
      </c>
      <c r="AX36" s="307">
        <f ca="1">IFERROR((TabCalc[[#This Row],[M]]-TabCalc[[#This Row],[Y]])*(TabCalc[[#This Row],[M]]-TabCalc[[#This Row],[Y]])*(TabCalc[[#This Row],[M]]-TabCalc[[#This Row],[Y]])/(TabCalc[[#This Row],[Y]]*TabCalc[[#This Row],[M]]),"")</f>
        <v>-4.32</v>
      </c>
      <c r="AY36" s="82">
        <f t="shared" ca="1" si="1"/>
        <v>2000</v>
      </c>
      <c r="AZ36" s="90">
        <f ca="1">[1]!RTData[[#This Row],[V/VA]]</f>
        <v>0.70349137663733641</v>
      </c>
      <c r="BA36" s="90" t="str" cm="1">
        <f t="array" aca="1" ref="BA36" ca="1">IFERROR(_xlfn.IFS(TabCalc[[#This Row],[Cur]]="USD",Timer!F$27,TabCalc[[#This Row],[Cur]]="EUR",Timer!F$18,TabCalc[[#This Row],[Cur]]="GBP",Timer!F$12,TabCalc[[#This Row],[Cur]]="CAD",Timer!F$27,TabCalc[[#This Row],[Cur]]="JPY",Timer!F$31,TabCalc[[#This Row],[Cur]]="CHF",Timer!F$18),"Timing")</f>
        <v>None-Working Day</v>
      </c>
      <c r="BB36" s="90">
        <f ca="1">IF(ISNUMBER(TabCalc[[#This Row],[TimeEX]]),TabCalc[[#This Row],[V/VA]]/TabCalc[[#This Row],[TimeEX]],TabCalc[[#This Row],[V/VA]])</f>
        <v>0.70349137663733641</v>
      </c>
      <c r="BC36" s="87" cm="1">
        <f t="array" aca="1" ref="BC36" ca="1">INDEX(TabReg[], 1, _xlfn.XMATCH(TabCalc[[#This Row],[Ticker]]&amp;1, TabReg[#Headers], 0))</f>
        <v>6000</v>
      </c>
      <c r="BD36" s="161">
        <f ca="1">TabCalc[[#This Row],[Nbegin]]*TabCalc[[#This Row],[M]]*TabCalc[[#This Row],[Scale]]+TabCalc[[#This Row],[ValueBegin]]</f>
        <v>-58140</v>
      </c>
      <c r="BE36" s="336" t="str" cm="1">
        <f t="array" aca="1" ref="BE36" ca="1">_xlfn.IFS(TabCalc[[#This Row],[Cost+Gain]]&gt;0,"Free",             TabCalc[[#This Row],[GL]]&gt;0,"Gainer",                TRUE,"Looser")</f>
        <v>Gainer</v>
      </c>
      <c r="BF36" s="161">
        <f ca="1">TabCalc[[#This Row],[Tot_Paid]]-TabCalc[[#This Row],[ValueBegin]]</f>
        <v>-255768.30256799998</v>
      </c>
      <c r="BG36" s="337">
        <f ca="1">IF(TabCalc[[#This Row],[EfCost]]&gt;TabCalc[[#This Row],[ValueBegin]],       0,        TabCalc[[#This Row],[EfCost]]-TabCalc[[#This Row],[ValueBegin]]*(1+Commission))</f>
        <v>0</v>
      </c>
      <c r="BH36" s="338">
        <f ca="1">TabCalc[[#This Row],[M_V]]+TabCalc[[#This Row],[ValueBegin]]</f>
        <v>-69140</v>
      </c>
      <c r="BI36" s="161" cm="1">
        <f t="array" aca="1" ref="BI36" ca="1">SUMPRODUCT(_xlfn._xlws.FILTER(INDIRECT("TabReg["&amp;TabCalc[[#This Row],[Ticker]]&amp;"1]") * INDIRECT("TabReg["&amp;TabCalc[[#This Row],[Ticker]]&amp;"2]"), INDIRECT("TabReg["&amp;TabCalc[[#This Row],[Ticker]]&amp;"2]")&lt;0))*(1+Commission)*TabCalc[[#This Row],[Scale]]</f>
        <v>-346908.30256799998</v>
      </c>
      <c r="BJ36" s="161" cm="1">
        <f t="array" aca="1" ref="BJ36" ca="1">SUMPRODUCT(IF(INDIRECT("TabReg["&amp;TabCalc[[#This Row],[Ticker]]&amp;"2]") ="", 0, INDIRECT("TabReg["&amp;TabCalc[[#This Row],[Ticker]]&amp;"1]") * INDIRECT("TabReg["&amp;TabCalc[[#This Row],[Ticker]]&amp;"2]") ))*TabCalc[[#This Row],[Scale]]</f>
        <v>-19472.619999999974</v>
      </c>
      <c r="BK36" s="161" cm="1">
        <f t="array" aca="1" ref="BK3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325687.06624399999</v>
      </c>
      <c r="BL36" s="161">
        <f ca="1">TabCalc[[#This Row],[M_V]]+TabCalc[[#This Row],[EfCost]]</f>
        <v>2527.3800000000265</v>
      </c>
      <c r="BM36" s="161">
        <f ca="1">IF(        OR( TabCalc[[#This Row],[GL]]&gt;ABS(TabCalc[[#This Row],[EfCost]]),TabCalc[[#This Row],[NAfter]]=0),             TabCalc[[#This Row],[GL]],     0)</f>
        <v>0</v>
      </c>
      <c r="BN36" s="161" cm="1">
        <f t="array" aca="1" ref="BN36" ca="1">SUMPRODUCT(_xlfn._xlws.FILTER(IF(INDIRECT("TabReg["&amp;TabCalc[[#This Row],[Ticker]]&amp;"2]") ="", 0, INDIRECT("TabReg["&amp;TabCalc[[#This Row],[Ticker]]&amp;"1]")  ),  INDIRECT("TabReg["&amp;TabCalc[[#This Row],[Ticker]]&amp;"2]") &lt; 0))</f>
        <v>39200</v>
      </c>
      <c r="BO36" s="161">
        <f ca="1">TabCalc[[#This Row],[SB]]-TabCalc[[#This Row],[Nbegin]]</f>
        <v>33200</v>
      </c>
      <c r="BP36" s="161" cm="1">
        <f t="array" aca="1" ref="BP36" ca="1">IFERROR(SUMPRODUCT(_xlfn._xlws.FILTER(IF(INDIRECT("TabReg["&amp;TabCalc[[#This Row],[Ticker]]&amp;"2]") ="", 0, INDIRECT("TabReg["&amp;TabCalc[[#This Row],[Ticker]]&amp;"1]")  ),  INDIRECT("TabReg["&amp;TabCalc[[#This Row],[Ticker]]&amp;"2]") &gt; 0)),0)</f>
        <v>35200</v>
      </c>
      <c r="BQ3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8.05</v>
      </c>
      <c r="BR36" s="176" t="str">
        <f ca="1">IF(TabCalc[[#This Row],[EfCost]]+TabCalc[[#This Row],[M_V]]&lt;TabCalc[[#This Row],[NoT_GL]],"Pile","")</f>
        <v/>
      </c>
      <c r="BS36" s="167">
        <f ca="1">[1]!RTData[[#This Row],[Last trade time]]</f>
        <v>45954.84032655078</v>
      </c>
      <c r="BT36" s="177">
        <f ca="1">(TabCalc[[#This Row],[ValueBegin]]+(TabCalc[[#This Row],[M]]-TabCalc[[#This Row],[A]])*TabCalc[[#This Row],[NAfter]])*TabCalc[[#This Row],[Scale]]</f>
        <v>-186150</v>
      </c>
      <c r="BU36" s="189" cm="1">
        <f t="array" aca="1" ref="BU36" ca="1">_xlfn.XLOOKUP(TabCalc[[#This Row],[Ticker]],TabReg[[#Headers],[AAPL]:[UnknownX28]],Reg!B$72:KF$72)+3</f>
        <v>21</v>
      </c>
      <c r="BV36" s="190" cm="1">
        <f t="array" aca="1" ref="BV36" ca="1">_xlfn.XLOOKUP(TabCalc[[#This Row],[Ticker]],TabReg[[#Headers],[AAPL]:[UnknownX28]],Reg!B$73:KF$73)+2</f>
        <v>105</v>
      </c>
      <c r="BW36" s="191">
        <f ca="1">IFERROR(MAX(TabCalc[[#This Row],[Max_SD]],TabCalc[[#This Row],[Max_PD]]),0)</f>
        <v>45945</v>
      </c>
      <c r="BX36" s="191" t="str" cm="1">
        <f t="array" aca="1" ref="BX36" ca="1">_xlfn.IFS(TabCalc[[#This Row],[L_TP]]&lt;0,"Purchase",TabCalc[[#This Row],[L_TP]]&gt;0,"Sale")</f>
        <v>Sale</v>
      </c>
      <c r="BY36" s="190" cm="1">
        <f t="array" aca="1" ref="BY36" ca="1">INDEX(Reg!$A$1:$KF$73,TabCalc[[#This Row],[L_I1]],TabCalc[[#This Row],[L_I2]])</f>
        <v>2000</v>
      </c>
      <c r="BZ36" s="192" cm="1">
        <f t="array" aca="1" ref="BZ36" ca="1">INDEX(Reg!$A$1:$KF$73,TabCalc[[#This Row],[L_I1]],TabCalc[[#This Row],[L_I2]]+1)</f>
        <v>5.61</v>
      </c>
      <c r="CA36" s="161">
        <f ca="1">TabCalc[[#This Row],[NAfter]]*(TabCalc[[#This Row],[M]]-IF(TabCalc[[#This Row],[E]]&gt;0,0,TabCalc[[#This Row],[A]]))</f>
        <v>-95010</v>
      </c>
      <c r="CB36" s="167" cm="1">
        <f t="array" aca="1" ref="CB36" ca="1">IFERROR(MIN(_xlfn._xlws.FILTER(INDIRECT("TabReg["&amp;TabCalc[[#This Row],[Ticker]]&amp;"]"), INDIRECT("TabReg["&amp;TabCalc[[#This Row],[Ticker]]&amp;"2]")&gt;0)),0)</f>
        <v>45349</v>
      </c>
      <c r="CC36" s="178" cm="1">
        <f t="array" aca="1" ref="CC36" ca="1">IFERROR(MIN(_xlfn._xlws.FILTER(INDIRECT("TabReg["&amp;TabCalc[[#This Row],[Ticker]]&amp;"1]"), INDIRECT("TabReg["&amp;TabCalc[[#This Row],[Ticker]]&amp;"2]")&gt;0)),0)</f>
        <v>2000</v>
      </c>
      <c r="CD36" s="173" cm="1">
        <f t="array" aca="1" ref="CD36" ca="1">IFERROR(MIN(_xlfn._xlws.FILTER(INDIRECT("TabReg["&amp;TabCalc[[#This Row],[Ticker]]&amp;"2]"), INDIRECT("TabReg["&amp;TabCalc[[#This Row],[Ticker]]&amp;"2]")&gt;0)),0)</f>
        <v>5.61</v>
      </c>
      <c r="CE36" s="167" cm="1">
        <f t="array" aca="1" ref="CE36" ca="1">IFERROR(MAX(_xlfn._xlws.FILTER(INDIRECT("TabReg["&amp;TabCalc[[#This Row],[Ticker]]&amp;"]"), INDIRECT("TabReg["&amp;TabCalc[[#This Row],[Ticker]]&amp;"2]")&gt;0)),0)</f>
        <v>45945</v>
      </c>
      <c r="CF36" s="178" cm="1">
        <f t="array" aca="1" ref="CF36" ca="1">IFERROR(MAX(_xlfn._xlws.FILTER(INDIRECT("TabReg["&amp;TabCalc[[#This Row],[Ticker]]&amp;"1]"), INDIRECT("TabReg["&amp;TabCalc[[#This Row],[Ticker]]&amp;"2]")&gt;0)),0)</f>
        <v>10000</v>
      </c>
      <c r="CG36" s="173" cm="1">
        <f t="array" aca="1" ref="CG36" ca="1">IFERROR(MAX(_xlfn._xlws.FILTER(INDIRECT("TabReg["&amp;TabCalc[[#This Row],[Ticker]]&amp;"2]"), INDIRECT("TabReg["&amp;TabCalc[[#This Row],[Ticker]]&amp;"2]")&gt;0)),0)</f>
        <v>10.475300000000001</v>
      </c>
      <c r="CH36" s="167" cm="1">
        <f t="array" aca="1" ref="CH36" ca="1">MIN(_xlfn._xlws.FILTER(INDIRECT("TabReg["&amp;TabCalc[[#This Row],[Ticker]]&amp;"]"), INDIRECT("TabReg["&amp;TabCalc[[#This Row],[Ticker]]&amp;"2]")&lt;0))</f>
        <v>40544</v>
      </c>
      <c r="CI36" s="177" cm="1">
        <f t="array" aca="1" ref="CI36" ca="1">MIN(_xlfn._xlws.FILTER(INDIRECT("TabReg["&amp;TabCalc[[#This Row],[Ticker]]&amp;"1]"), INDIRECT("TabReg["&amp;TabCalc[[#This Row],[Ticker]]&amp;"2]")&lt;0))</f>
        <v>1800</v>
      </c>
      <c r="CJ36" s="173" cm="1">
        <f t="array" aca="1" ref="CJ36" ca="1">MIN(_xlfn._xlws.FILTER(INDIRECT("TabReg["&amp;TabCalc[[#This Row],[Ticker]]&amp;"2]"), INDIRECT("TabReg["&amp;TabCalc[[#This Row],[Ticker]]&amp;"2]")&lt;0))</f>
        <v>-15.19</v>
      </c>
      <c r="CK36" s="167" cm="1">
        <f t="array" aca="1" ref="CK36" ca="1">MAX(_xlfn._xlws.FILTER(INDIRECT("TabReg["&amp;TabCalc[[#This Row],[Ticker]]&amp;"]"), INDIRECT("TabReg["&amp;TabCalc[[#This Row],[Ticker]]&amp;"2]")&lt;0))</f>
        <v>45924</v>
      </c>
      <c r="CL36" s="177" cm="1">
        <f t="array" aca="1" ref="CL36" ca="1">MAX(_xlfn._xlws.FILTER(INDIRECT("TabReg["&amp;TabCalc[[#This Row],[Ticker]]&amp;"1]"), INDIRECT("TabReg["&amp;TabCalc[[#This Row],[Ticker]]&amp;"2]")&lt;0))</f>
        <v>7200</v>
      </c>
      <c r="CM36" s="173" cm="1">
        <f t="array" aca="1" ref="CM36" ca="1">MAX(_xlfn._xlws.FILTER(INDIRECT("TabReg["&amp;TabCalc[[#This Row],[Ticker]]&amp;"2]"), INDIRECT("TabReg["&amp;TabCalc[[#This Row],[Ticker]]&amp;"2]")&lt;0))</f>
        <v>-5.19</v>
      </c>
      <c r="CN36" s="167" cm="1">
        <f t="array" aca="1" ref="CN36" ca="1">IFERROR(_xlfn.XLOOKUP(TabCalc[[#This Row],[BS2P]],INDIRECT("TabReg["&amp;TabCalc[[#This Row],[Ticker]]&amp;"2]"),INDIRECT("TabReg["&amp;TabCalc[[#This Row],[Ticker]]&amp;"]")),0)</f>
        <v>45503</v>
      </c>
      <c r="CO36" s="178" cm="1">
        <f t="array" aca="1" ref="CO36" ca="1">IFERROR(_xlfn.XLOOKUP(TabCalc[[#This Row],[BS2P]],INDIRECT("TabReg["&amp;TabCalc[[#This Row],[Ticker]]&amp;"2]"),INDIRECT("TabReg["&amp;TabCalc[[#This Row],[Ticker]]&amp;"1]")),0)</f>
        <v>6000</v>
      </c>
      <c r="CP36" s="173">
        <f ca="1">_xlfn.MAXIFS(INDIRECT("TabReg["&amp;TabCalc[[#This Row],[Ticker]]&amp;"2]"), INDIRECT("TabReg["&amp;TabCalc[[#This Row],[Ticker]]&amp;"2]"), "&lt;" &amp; MAX(INDIRECT("TabReg["&amp;TabCalc[[#This Row],[Ticker]]&amp;"2]")))</f>
        <v>10.296900000000001</v>
      </c>
      <c r="CQ36" s="167" cm="1">
        <f t="array" aca="1" ref="CQ36" ca="1">IFERROR(_xlfn.XLOOKUP(TabCalc[[#This Row],[WB2P]],INDIRECT("TabReg["&amp;TabCalc[[#This Row],[Ticker]]&amp;"2]"),INDIRECT("TabReg["&amp;TabCalc[[#This Row],[Ticker]]&amp;"]")),0)</f>
        <v>45461</v>
      </c>
      <c r="CR36" s="178" cm="1">
        <f t="array" aca="1" ref="CR36" ca="1">IFERROR(_xlfn.XLOOKUP(TabCalc[[#This Row],[WB2P]],INDIRECT("TabReg["&amp;TabCalc[[#This Row],[Ticker]]&amp;"2]"),INDIRECT("TabReg["&amp;TabCalc[[#This Row],[Ticker]]&amp;"1]")),0)</f>
        <v>4000</v>
      </c>
      <c r="CS36" s="173">
        <f ca="1">_xlfn.MINIFS(INDIRECT("TabReg["&amp;TabCalc[[#This Row],[Ticker]]&amp;"2]"), INDIRECT("TabReg["&amp;TabCalc[[#This Row],[Ticker]]&amp;"2]"), "&gt;" &amp; MIN(INDIRECT("TabReg["&amp;TabCalc[[#This Row],[Ticker]]&amp;"2]")))</f>
        <v>-8.7272999999999996</v>
      </c>
      <c r="CT36" s="405">
        <f ca="1">IF(TabCalc[[#This Row],[M]]&lt;TabCalc[[#This Row],[L_Sp]],DesiredBuyGain/(TabCalc[[#This Row],[L_Sp]]-TabCalc[[#This Row],[M]]),0)</f>
        <v>45454.545454545325</v>
      </c>
      <c r="CU36" s="406">
        <f ca="1">IF(TabCalc[[#This Row],[ntoBuy]]*TabCalc[[#This Row],[M]]&lt;=0,0,TabCalc[[#This Row],[ntoBuy]]*TabCalc[[#This Row],[M]])</f>
        <v>249999.9999999993</v>
      </c>
      <c r="CV36" s="406">
        <f ca="1">IF(TabCalc[[#This Row],[M]]&gt;ABS(TabCalc[[#This Row],[L_Bp]]),MIN(TabCalc[[#This Row],[NAfter]],DesiredSaleGain/(TabCalc[[#This Row],[M]]+TabCalc[[#This Row],[L_Bp]])),0)/TabCalc[[#This Row],[Scale]]</f>
        <v>4000</v>
      </c>
      <c r="CW36" s="407">
        <f ca="1">TabCalc[[#This Row],[ntoSell]]*TabCalc[[#This Row],[M]]</f>
        <v>22000</v>
      </c>
      <c r="CX36" s="400">
        <f ca="1">_xlfn.LET(_xlpm.nToSell,IF(TabCalc[[#This Row],[M]]-TabCalc[[#This Row],[A]]&lt;=0,"",INT(DesiredSaleGain/(TabCalc[[#This Row],[M]]-IF(TabCalc[[#This Row],[E]]&gt;0,0,TabCalc[[#This Row],[A]])))),IF(_xlpm.nToSell&lt;=TabCalc[[#This Row],[NAfter]],_xlpm.nToSell,0))</f>
        <v>0</v>
      </c>
      <c r="CY36" s="338">
        <f ca="1">IFERROR(TabCalc[[#This Row],[NMA]]*TabCalc[[#This Row],[M]],"")</f>
        <v>0</v>
      </c>
      <c r="CZ36" s="337" cm="1">
        <f t="array" aca="1" ref="CZ36" ca="1">_xlfn.IFS(TabCalc[[#This Row],[M]]&gt;= TabCalc[[#This Row],[L_Sp]],(TabCalc[[#This Row],[M]]-TabCalc[[#This Row],[A]])*TabCalc[[#This Row],[NAfter]]*TabCalc[[#This Row],[Scale]],           TabCalc[[#This Row],[M]]&lt; TabCalc[[#This Row],[L_Sp]],(TabCalc[[#This Row],[M]]-TabCalc[[#This Row],[A]])*TabCalc[[#This Row],[NAfter]]*TabCalc[[#This Row],[Scale]],               TRUE,"")</f>
        <v>-95010</v>
      </c>
      <c r="DA36" s="90">
        <f ca="1">IFERROR((TabCalc[[#This Row],[M]]+TabCalc[[#This Row],[L_Bp]])/ABS(TabCalc[[#This Row],[L_Bp]])/(TODAY()-TabCalc[[#This Row],[L_Bdate]])*360,"")</f>
        <v>0.67196531791907421</v>
      </c>
      <c r="DB36" s="312">
        <f ca="1">MEDIAN(DataShift!F736:Z736)</f>
        <v>-6.4380000000000001E-3</v>
      </c>
      <c r="DC36" s="312" t="str" cm="1">
        <f t="array" aca="1" ref="DC3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36" s="88" t="s">
        <v>33</v>
      </c>
      <c r="DN36" s="81">
        <v>6000</v>
      </c>
      <c r="DO36" s="317">
        <v>-15.19</v>
      </c>
    </row>
    <row r="37" spans="1:119">
      <c r="A37" s="120" t="str">
        <f ca="1">_xlfn.XLOOKUP(TabCalc[[#This Row],[Ticker]],[1]!RTData[Ticker symbol],[1]!RTData[Currency])</f>
        <v>USD</v>
      </c>
      <c r="B37" s="121">
        <f ca="1">IF(TabCalc[[#This Row],[Cur]]="GBP",0.01,1)</f>
        <v>1</v>
      </c>
      <c r="C37" s="82">
        <f ca="1">_xlfn.XLOOKUP(TabCalc[[#This Row],[Ticker]],DM$3:DM$96,DN$3:DN$96)</f>
        <v>45000</v>
      </c>
      <c r="D37" s="1254">
        <f ca="1">_xlfn.XLOOKUP(TabCalc[[#This Row],[Ticker]],DM$3:DM$96,DO$3:DO$96)</f>
        <v>-6.5707668888888886</v>
      </c>
      <c r="E37" s="121">
        <f t="shared" ref="E37:E68" ca="1" si="2">SUMPRODUCT(C37,D37,B37)</f>
        <v>-295684.51</v>
      </c>
      <c r="F37" s="82">
        <f ca="1">TabCalc[[#This Row],[NAfter]]*TabCalc[[#This Row],[M]]*TabCalc[[#This Row],[Scale]]</f>
        <v>370350</v>
      </c>
      <c r="G37" s="82">
        <f ca="1">IFERROR(TabCalc[[#This Row],[SB]]-TabCalc[[#This Row],[SST]],TabCalc[[#This Row],[SB]])</f>
        <v>45000</v>
      </c>
      <c r="H37" s="535" t="str">
        <f ca="1">[1]!RTData[[#This Row],[Ticker symbol]]</f>
        <v>POET</v>
      </c>
      <c r="I37" s="385">
        <f ca="1">[1]!RTData[[#This Row],[M-Price]]</f>
        <v>8.23</v>
      </c>
      <c r="J37" s="384">
        <v>5.19</v>
      </c>
      <c r="K37" s="383">
        <f>[1]!RTData[[#This Row],[1YT]]</f>
        <v>6.6333299999999999</v>
      </c>
      <c r="L37" s="384">
        <f ca="1">IF(OR(TabCalc[[#This Row],[NAfter]]=0,TabCalc[[#This Row],[EfCost]]&gt;0),0,TabCalc[[#This Row],[EfCost]]/TabCalc[[#This Row],[NAfter]]/TabCalc[[#This Row],[Scale]])</f>
        <v>-5.672944666666667</v>
      </c>
      <c r="M37" s="744">
        <f ca="1">[1]!RTData[[#This Row],[Change%]]</f>
        <v>0.12585499999999999</v>
      </c>
      <c r="N37" s="1172">
        <v>0</v>
      </c>
      <c r="O37" s="966">
        <f>TabCalc[[#This Row],[Up20]]-1+TabCalc[[#This Row],[Up20]]</f>
        <v>-1</v>
      </c>
      <c r="P37" s="966">
        <f>TabCalc[[#This Row],[Up20]]-TabCalc[[#This Row],[Up150]]</f>
        <v>0</v>
      </c>
      <c r="Q37" s="966">
        <v>0</v>
      </c>
      <c r="R37" s="966">
        <f>TabCalc[[#This Row],[Up150]]-1+TabCalc[[#This Row],[Up150]]</f>
        <v>-1</v>
      </c>
      <c r="S37" s="966">
        <f ca="1">IFERROR(SUMPRODUCT(DataShift!F1529:Z1529,DataShift!AB736:AV736)/SQRT(SUMPRODUCT(DataShift!F1529:Z1529,DataShift!F1529:Z1529)*SUMPRODUCT(DataShift!AB736:AV736,DataShift!AB736:AV736)),0)</f>
        <v>-0.29835286762645902</v>
      </c>
      <c r="T37" s="966">
        <f ca="1">IFERROR(SUMPRODUCT(DataShift!F1529:Z1529,DataShift!F737:Z737)/SQRT(SUMPRODUCT(DataShift!F1529:Z1529,DataShift!F1529:Z1529)*SUMPRODUCT(DataShift!F737:Z737,DataShift!F737:Z737)),0)</f>
        <v>9.3561603573268176E-2</v>
      </c>
      <c r="U37" s="1107">
        <v>4000</v>
      </c>
      <c r="V37" s="1107">
        <v>0</v>
      </c>
      <c r="W37" s="1107">
        <v>0</v>
      </c>
      <c r="X37" s="966" t="str">
        <f ca="1">IF(TabCalc[[#This Row],[EfCost]]+TabCalc[[#This Row],[M_V]]&lt;TabCalc[[#This Row],[NoT_GL]],"Pile","")</f>
        <v/>
      </c>
      <c r="Y3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7" s="213">
        <f ca="1">MIN(TabCalc[[#This Row],[L_Bn]],TabCalc[[#This Row],[NAfter]])*(TabCalc[[#This Row],[M]]+TabCalc[[#This Row],[L_Bp]])*TabCalc[[#This Row],[Scale]]</f>
        <v>7775.0000000000009</v>
      </c>
      <c r="AA37" s="210" cm="1">
        <f t="array" aca="1" ref="AA37" ca="1">_xlfn.XLOOKUP(TabCalc[[#This Row],[L_Bp]],INDIRECT("TabReg["&amp;TabCalc[[#This Row],[Ticker]]&amp;"2]"),INDIRECT("TabReg["&amp;TabCalc[[#This Row],[Ticker]]&amp;"]"))</f>
        <v>45833</v>
      </c>
      <c r="AB37" s="181" cm="1">
        <f t="array" aca="1" ref="AB37" ca="1">_xlfn.XLOOKUP(TabCalc[[#This Row],[L_Bp]],INDIRECT("TabReg["&amp;TabCalc[[#This Row],[Ticker]]&amp;"2]"),INDIRECT("TabReg["&amp;TabCalc[[#This Row],[Ticker]]&amp;"1]"))</f>
        <v>2500</v>
      </c>
      <c r="AC37" s="192" cm="1">
        <f t="array" aca="1" ref="AC37" ca="1">IFERROR(INDEX(INDIRECT("TabReg["&amp;TabCalc[[#This Row],[Ticker]]&amp;"2]"),    _xlfn.XMATCH(    MAX(    _xlfn._xlws.FILTER(INDIRECT("TabReg["&amp;TabCalc[[#This Row],[Ticker]]&amp;"]"), INDIRECT("TabReg["&amp;TabCalc[[#This Row],[Ticker]]&amp;"2]")&lt;0)     ), INDIRECT("TabReg["&amp;TabCalc[[#This Row],[Ticker]]&amp;"]"),      0)), "")</f>
        <v>-5.12</v>
      </c>
      <c r="AD37" s="213">
        <f ca="1">IFERROR(MIN(TabCalc[[#This Row],[L_B1n]],TabCalc[[#This Row],[NAfter]])*(TabCalc[[#This Row],[M]]+TabCalc[[#This Row],[L_B1p]])*TabCalc[[#This Row],[Scale]],"")</f>
        <v>31150.000000000007</v>
      </c>
      <c r="AE37" s="210" cm="1">
        <f t="array" aca="1" ref="AE3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45719</v>
      </c>
      <c r="AF37" s="181" cm="1">
        <f t="array" aca="1" ref="AF37" ca="1">IFERROR(_xlfn.XLOOKUP(TabCalc[[#This Row],[L_B1D]],INDIRECT("TabReg["&amp;TabCalc[[#This Row],[Ticker]]&amp;"]"),INDIRECT("TabReg["&amp;TabCalc[[#This Row],[Ticker]]&amp;"1]")),0)</f>
        <v>7000</v>
      </c>
      <c r="AG37" s="192" cm="1">
        <f t="array" aca="1" ref="AG37" ca="1">IFERROR(_xlfn.XLOOKUP(TabCalc[[#This Row],[L_B1D]],INDIRECT("TabReg["&amp;TabCalc[[#This Row],[Ticker]]&amp;"]"),INDIRECT("TabReg["&amp;TabCalc[[#This Row],[Ticker]]&amp;"2]")),0)</f>
        <v>-3.78</v>
      </c>
      <c r="AH37" s="302">
        <f ca="1">IFERROR(TabCalc[[#This Row],[L_Sn]]*(TabCalc[[#This Row],[L_Sp]]-TabCalc[[#This Row],[M]])*TabCalc[[#This Row],[Scale]],"")</f>
        <v>2099.9999999999995</v>
      </c>
      <c r="AI37" s="210" cm="1">
        <f t="array" aca="1" ref="AI37" ca="1">IFERROR(_xlfn.XLOOKUP(TabCalc[[#This Row],[L_Sp]],INDIRECT("TabReg["&amp;TabCalc[[#This Row],[Ticker]]&amp;"2]"),INDIRECT("TabReg["&amp;TabCalc[[#This Row],[Ticker]]&amp;"]")),0)</f>
        <v>45938</v>
      </c>
      <c r="AJ37" s="181" cm="1">
        <f t="array" aca="1" ref="AJ37" ca="1">IFERROR(_xlfn.XLOOKUP(TabCalc[[#This Row],[L_Sp]],INDIRECT("TabReg["&amp;TabCalc[[#This Row],[Ticker]]&amp;"2]"),INDIRECT("TabReg["&amp;TabCalc[[#This Row],[Ticker]]&amp;"1]")),0)</f>
        <v>2500</v>
      </c>
      <c r="AK37" s="192" cm="1">
        <f t="array" aca="1" ref="AK37" ca="1">IFERROR(INDEX(INDIRECT("TabReg["&amp;TabCalc[[#This Row],[Ticker]]&amp;"2]"), _xlfn.XMATCH(MAX(_xlfn._xlws.FILTER(INDIRECT("TabReg["&amp;TabCalc[[#This Row],[Ticker]]&amp;"]"), INDIRECT("TabReg["&amp;TabCalc[[#This Row],[Ticker]]&amp;"2]")&gt;0)), INDIRECT("TabReg["&amp;TabCalc[[#This Row],[Ticker]]&amp;"]"), 0)), 0)</f>
        <v>9.07</v>
      </c>
      <c r="AL37" s="214">
        <f ca="1">IFERROR(TabCalc[[#This Row],[L_S1n]]*(TabCalc[[#This Row],[L_S1p]]-TabCalc[[#This Row],[M]])*TabCalc[[#This Row],[Scale]],0)</f>
        <v>-2075</v>
      </c>
      <c r="AM37" s="210" cm="1">
        <f t="array" aca="1" ref="AM3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45937</v>
      </c>
      <c r="AN37" s="181" cm="1">
        <f t="array" aca="1" ref="AN37" ca="1">IFERROR(_xlfn.XLOOKUP(TabCalc[[#This Row],[L_S1D]],INDIRECT("TabReg["&amp;TabCalc[[#This Row],[Ticker]]&amp;"]"),INDIRECT("TabReg["&amp;TabCalc[[#This Row],[Ticker]]&amp;"1]")),0)</f>
        <v>2500</v>
      </c>
      <c r="AO37" s="384" cm="1">
        <f t="array" aca="1" ref="AO37" ca="1">IFERROR(_xlfn.XLOOKUP(TabCalc[[#This Row],[L_S1D]],INDIRECT("TabReg["&amp;TabCalc[[#This Row],[Ticker]]&amp;"]"),INDIRECT("TabReg["&amp;TabCalc[[#This Row],[Ticker]]&amp;"2]")),0)</f>
        <v>7.4</v>
      </c>
      <c r="AP37" s="336">
        <f ca="1">_xlfn.LET(_xlpm.MVOpen,[1]!RTData[[#This Row],[Open]]*TabCalc[[#This Row],[NAfter]],_xlpm.MVNow,TabCalc[[#This Row],[M]]*TabCalc[[#This Row],[NAfter]],_xlpm.MVNow-_xlpm.MVOpen)*TabCalc[[#This Row],[Scale]]</f>
        <v>29475</v>
      </c>
      <c r="AQ37" s="336">
        <f ca="1">_xlfn.LET(_xlpm.MVToday,DataShift!AV537,         _xlpm.MVY,DataShift!AU538,        _xlpm.MVYY, DataShift!AT538,                                IF(_xlpm.MVToday=_xlpm.MVY,_xlpm.MVY-_xlpm.MVYY,_xlpm.MVToday-_xlpm.MVY))</f>
        <v>40</v>
      </c>
      <c r="AR37" s="336">
        <f ca="1">_xlfn.LET(_xlpm.MVToday,DataShift!AV537,         _xlpm.MVY,DataShift!AU538,        _xlpm.MVYY, DataShift!AT538,         _xlpm.MVYYY, DataShift!AS538,                      IF(_xlpm.MVToday=_xlpm.MVY,      _xlpm.MVYY-_xlpm.MVYYY,          _xlpm.MVY-_xlpm.MVYY))</f>
        <v>480</v>
      </c>
      <c r="AS37" s="1078">
        <f ca="1">TabCalc[[#This Row],[Y]]/TabCalc[[#This Row],[M]]</f>
        <v>0.80599392466585662</v>
      </c>
      <c r="AT37" s="299" t="str" cm="1">
        <f t="array" aca="1" ref="AT37" ca="1">IFERROR(_xlfn.IFS(          TabCalc[[#This Row],[E]]&gt;0, "Free Trade",      TabCalc[[#This Row],[A]]&lt;MIN(TabCalc[[#This Row],[L_Sp]],TabCalc[[#This Row],[M]]), "Buy",            TabCalc[[#This Row],[M]]&lt;TabCalc[[#This Row],[L_Sp]],       "Refill",       TabCalc[[#This Row],[M]]&gt;TabCalc[[#This Row],[L_Sp]],"S_more"),"")</f>
        <v>Buy</v>
      </c>
      <c r="AU37" s="299" t="str">
        <f ca="1">IF(           AND(TabCalc[[#This Row],[E]]&lt;=0,          TabCalc[[#This Row],[A]]&gt;MIN(TabCalc[[#This Row],[M]],TabCalc[[#This Row],[L_Sp]]),             TabCalc[[#This Row],[L_Sp]]&lt;=TabCalc[[#This Row],[M]]),                       "S_more","")</f>
        <v/>
      </c>
      <c r="AV37" s="82" t="str" cm="1">
        <f t="array" aca="1" ref="AV37" ca="1">IFERROR(_xlfn.IFS(TabCalc[[#This Row],[E]]&gt;0,"Free trade",                 TabCalc[[#This Row],[A]]&lt;MAX(ABS(TabCalc[[#This Row],[L_Bp]]),TabCalc[[#This Row],[A]]),"Sell",             TabCalc[[#This Row],[M]]&gt;ABS(TabCalc[[#This Row],[L_Bp]]),"Resell",             TabCalc[[#This Row],[M]]&lt;ABS(TabCalc[[#This Row],[L_Bp]]),"B_more"),"")</f>
        <v>Resell</v>
      </c>
      <c r="AW37" s="82">
        <f ca="1">TabCalc[[#This Row],[NAfter]]-TabCalc[[#This Row],[Nbegin]]</f>
        <v>0</v>
      </c>
      <c r="AX37" s="307">
        <f ca="1">IFERROR((TabCalc[[#This Row],[M]]-TabCalc[[#This Row],[Y]])*(TabCalc[[#This Row],[M]]-TabCalc[[#This Row],[Y]])*(TabCalc[[#This Row],[M]]-TabCalc[[#This Row],[Y]])/(TabCalc[[#This Row],[Y]]*TabCalc[[#This Row],[M]]),"")</f>
        <v>7.4561400598284061E-2</v>
      </c>
      <c r="AY37" s="82">
        <f t="shared" ref="AY37:AY68" ca="1" si="3">IF(G37&lt;C37,C37-G37,0)</f>
        <v>0</v>
      </c>
      <c r="AZ37" s="90">
        <f ca="1">[1]!RTData[[#This Row],[V/VA]]</f>
        <v>1.322523558249018</v>
      </c>
      <c r="BA37" s="90" t="str" cm="1">
        <f t="array" aca="1" ref="BA37" ca="1">IFERROR(_xlfn.IFS(TabCalc[[#This Row],[Cur]]="USD",Timer!F$27,TabCalc[[#This Row],[Cur]]="EUR",Timer!F$18,TabCalc[[#This Row],[Cur]]="GBP",Timer!F$12,TabCalc[[#This Row],[Cur]]="CAD",Timer!F$27,TabCalc[[#This Row],[Cur]]="JPY",Timer!F$31,TabCalc[[#This Row],[Cur]]="CHF",Timer!F$18),"Timing")</f>
        <v>None-Working Day</v>
      </c>
      <c r="BB37" s="90">
        <f ca="1">IF(ISNUMBER(TabCalc[[#This Row],[TimeEX]]),TabCalc[[#This Row],[V/VA]]/TabCalc[[#This Row],[TimeEX]],TabCalc[[#This Row],[V/VA]])</f>
        <v>1.322523558249018</v>
      </c>
      <c r="BC37" s="87" cm="1">
        <f t="array" aca="1" ref="BC37" ca="1">INDEX(TabReg[], 1, _xlfn.XMATCH(TabCalc[[#This Row],[Ticker]]&amp;1, TabReg[#Headers], 0))</f>
        <v>45000</v>
      </c>
      <c r="BD37" s="161">
        <f ca="1">TabCalc[[#This Row],[Nbegin]]*TabCalc[[#This Row],[M]]*TabCalc[[#This Row],[Scale]]+TabCalc[[#This Row],[ValueBegin]]</f>
        <v>74665.489999999991</v>
      </c>
      <c r="BE37" s="336" t="str" cm="1">
        <f t="array" aca="1" ref="BE37" ca="1">_xlfn.IFS(TabCalc[[#This Row],[Cost+Gain]]&gt;0,"Free",             TabCalc[[#This Row],[GL]]&gt;0,"Gainer",                TRUE,"Looser")</f>
        <v>Gainer</v>
      </c>
      <c r="BF37" s="161">
        <f ca="1">TabCalc[[#This Row],[Tot_Paid]]-TabCalc[[#This Row],[ValueBegin]]</f>
        <v>-61437.108325999987</v>
      </c>
      <c r="BG37" s="337">
        <f ca="1">IF(TabCalc[[#This Row],[EfCost]]&gt;TabCalc[[#This Row],[ValueBegin]],       0,        TabCalc[[#This Row],[EfCost]]-TabCalc[[#This Row],[ValueBegin]]*(1+Commission))</f>
        <v>0</v>
      </c>
      <c r="BH37" s="338">
        <f ca="1">TabCalc[[#This Row],[M_V]]+TabCalc[[#This Row],[ValueBegin]]</f>
        <v>74665.489999999991</v>
      </c>
      <c r="BI37" s="161" cm="1">
        <f t="array" aca="1" ref="BI37" ca="1">SUMPRODUCT(_xlfn._xlws.FILTER(INDIRECT("TabReg["&amp;TabCalc[[#This Row],[Ticker]]&amp;"1]") * INDIRECT("TabReg["&amp;TabCalc[[#This Row],[Ticker]]&amp;"2]"), INDIRECT("TabReg["&amp;TabCalc[[#This Row],[Ticker]]&amp;"2]")&lt;0))*(1+Commission)*TabCalc[[#This Row],[Scale]]</f>
        <v>-357121.618326</v>
      </c>
      <c r="BJ37" s="161" cm="1">
        <f t="array" aca="1" ref="BJ37" ca="1">SUMPRODUCT(IF(INDIRECT("TabReg["&amp;TabCalc[[#This Row],[Ticker]]&amp;"2]") ="", 0, INDIRECT("TabReg["&amp;TabCalc[[#This Row],[Ticker]]&amp;"1]") * INDIRECT("TabReg["&amp;TabCalc[[#This Row],[Ticker]]&amp;"2]") ))*TabCalc[[#This Row],[Scale]]</f>
        <v>-255282.51</v>
      </c>
      <c r="BK37" s="161" cm="1">
        <f t="array" aca="1" ref="BK3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100650.6262</v>
      </c>
      <c r="BL37" s="161">
        <f ca="1">TabCalc[[#This Row],[M_V]]+TabCalc[[#This Row],[EfCost]]</f>
        <v>115067.48999999999</v>
      </c>
      <c r="BM37" s="161">
        <f ca="1">IF(        OR( TabCalc[[#This Row],[GL]]&gt;ABS(TabCalc[[#This Row],[EfCost]]),TabCalc[[#This Row],[NAfter]]=0),             TabCalc[[#This Row],[GL]],     0)</f>
        <v>0</v>
      </c>
      <c r="BN37" s="161" cm="1">
        <f t="array" aca="1" ref="BN37" ca="1">SUMPRODUCT(_xlfn._xlws.FILTER(IF(INDIRECT("TabReg["&amp;TabCalc[[#This Row],[Ticker]]&amp;"2]") ="", 0, INDIRECT("TabReg["&amp;TabCalc[[#This Row],[Ticker]]&amp;"1]")  ),  INDIRECT("TabReg["&amp;TabCalc[[#This Row],[Ticker]]&amp;"2]") &lt; 0))</f>
        <v>60000</v>
      </c>
      <c r="BO37" s="161">
        <f ca="1">TabCalc[[#This Row],[SB]]-TabCalc[[#This Row],[Nbegin]]</f>
        <v>15000</v>
      </c>
      <c r="BP37" s="161" cm="1">
        <f t="array" aca="1" ref="BP37" ca="1">IFERROR(SUMPRODUCT(_xlfn._xlws.FILTER(IF(INDIRECT("TabReg["&amp;TabCalc[[#This Row],[Ticker]]&amp;"2]") ="", 0, INDIRECT("TabReg["&amp;TabCalc[[#This Row],[Ticker]]&amp;"1]")  ),  INDIRECT("TabReg["&amp;TabCalc[[#This Row],[Ticker]]&amp;"2]") &gt; 0)),0)</f>
        <v>15000</v>
      </c>
      <c r="BQ3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9.14</v>
      </c>
      <c r="BR37" s="176" t="str">
        <f ca="1">IF(TabCalc[[#This Row],[EfCost]]+TabCalc[[#This Row],[M_V]]&lt;TabCalc[[#This Row],[NoT_GL]],"Pile","")</f>
        <v/>
      </c>
      <c r="BS37" s="167">
        <f ca="1">[1]!RTData[[#This Row],[Last trade time]]</f>
        <v>45954.999822685153</v>
      </c>
      <c r="BT37" s="177">
        <f ca="1">(TabCalc[[#This Row],[ValueBegin]]+(TabCalc[[#This Row],[M]]-TabCalc[[#This Row],[A]])*TabCalc[[#This Row],[NAfter]])*TabCalc[[#This Row],[Scale]]</f>
        <v>-158884.51</v>
      </c>
      <c r="BU37" s="189" cm="1">
        <f t="array" aca="1" ref="BU37" ca="1">_xlfn.XLOOKUP(TabCalc[[#This Row],[Ticker]],TabReg[[#Headers],[AAPL]:[UnknownX28]],Reg!B$72:KF$72)+3</f>
        <v>13</v>
      </c>
      <c r="BV37" s="190" cm="1">
        <f t="array" aca="1" ref="BV37" ca="1">_xlfn.XLOOKUP(TabCalc[[#This Row],[Ticker]],TabReg[[#Headers],[AAPL]:[UnknownX28]],Reg!B$73:KF$73)+2</f>
        <v>108</v>
      </c>
      <c r="BW37" s="191">
        <f ca="1">IFERROR(MAX(TabCalc[[#This Row],[Max_SD]],TabCalc[[#This Row],[Max_PD]]),0)</f>
        <v>45938</v>
      </c>
      <c r="BX37" s="191" t="str" cm="1">
        <f t="array" aca="1" ref="BX37" ca="1">_xlfn.IFS(TabCalc[[#This Row],[L_TP]]&lt;0,"Purchase",TabCalc[[#This Row],[L_TP]]&gt;0,"Sale")</f>
        <v>Sale</v>
      </c>
      <c r="BY37" s="190" cm="1">
        <f t="array" aca="1" ref="BY37" ca="1">INDEX(Reg!$A$1:$KF$73,TabCalc[[#This Row],[L_I1]],TabCalc[[#This Row],[L_I2]])</f>
        <v>2500</v>
      </c>
      <c r="BZ37" s="192" cm="1">
        <f t="array" aca="1" ref="BZ37" ca="1">INDEX(Reg!$A$1:$KF$73,TabCalc[[#This Row],[L_I1]],TabCalc[[#This Row],[L_I2]]+1)</f>
        <v>9.07</v>
      </c>
      <c r="CA37" s="161">
        <f ca="1">TabCalc[[#This Row],[NAfter]]*(TabCalc[[#This Row],[M]]-IF(TabCalc[[#This Row],[E]]&gt;0,0,TabCalc[[#This Row],[A]]))</f>
        <v>136800</v>
      </c>
      <c r="CB37" s="167" cm="1">
        <f t="array" aca="1" ref="CB37" ca="1">IFERROR(MIN(_xlfn._xlws.FILTER(INDIRECT("TabReg["&amp;TabCalc[[#This Row],[Ticker]]&amp;"]"), INDIRECT("TabReg["&amp;TabCalc[[#This Row],[Ticker]]&amp;"2]")&gt;0)),0)</f>
        <v>45553</v>
      </c>
      <c r="CC37" s="178" cm="1">
        <f t="array" aca="1" ref="CC37" ca="1">IFERROR(MIN(_xlfn._xlws.FILTER(INDIRECT("TabReg["&amp;TabCalc[[#This Row],[Ticker]]&amp;"1]"), INDIRECT("TabReg["&amp;TabCalc[[#This Row],[Ticker]]&amp;"2]")&gt;0)),0)</f>
        <v>2500</v>
      </c>
      <c r="CD37" s="173" cm="1">
        <f t="array" aca="1" ref="CD37" ca="1">IFERROR(MIN(_xlfn._xlws.FILTER(INDIRECT("TabReg["&amp;TabCalc[[#This Row],[Ticker]]&amp;"2]"), INDIRECT("TabReg["&amp;TabCalc[[#This Row],[Ticker]]&amp;"2]")&gt;0)),0)</f>
        <v>4.1676000000000002</v>
      </c>
      <c r="CE37" s="167" cm="1">
        <f t="array" aca="1" ref="CE37" ca="1">IFERROR(MAX(_xlfn._xlws.FILTER(INDIRECT("TabReg["&amp;TabCalc[[#This Row],[Ticker]]&amp;"]"), INDIRECT("TabReg["&amp;TabCalc[[#This Row],[Ticker]]&amp;"2]")&gt;0)),0)</f>
        <v>45938</v>
      </c>
      <c r="CF37" s="178" cm="1">
        <f t="array" aca="1" ref="CF37" ca="1">IFERROR(MAX(_xlfn._xlws.FILTER(INDIRECT("TabReg["&amp;TabCalc[[#This Row],[Ticker]]&amp;"1]"), INDIRECT("TabReg["&amp;TabCalc[[#This Row],[Ticker]]&amp;"2]")&gt;0)),0)</f>
        <v>5000</v>
      </c>
      <c r="CG37" s="173" cm="1">
        <f t="array" aca="1" ref="CG37" ca="1">IFERROR(MAX(_xlfn._xlws.FILTER(INDIRECT("TabReg["&amp;TabCalc[[#This Row],[Ticker]]&amp;"2]"), INDIRECT("TabReg["&amp;TabCalc[[#This Row],[Ticker]]&amp;"2]")&gt;0)),0)</f>
        <v>9.07</v>
      </c>
      <c r="CH37" s="167" cm="1">
        <f t="array" aca="1" ref="CH37" ca="1">MIN(_xlfn._xlws.FILTER(INDIRECT("TabReg["&amp;TabCalc[[#This Row],[Ticker]]&amp;"]"), INDIRECT("TabReg["&amp;TabCalc[[#This Row],[Ticker]]&amp;"2]")&lt;0))</f>
        <v>40544</v>
      </c>
      <c r="CI37" s="177" cm="1">
        <f t="array" aca="1" ref="CI37" ca="1">MIN(_xlfn._xlws.FILTER(INDIRECT("TabReg["&amp;TabCalc[[#This Row],[Ticker]]&amp;"1]"), INDIRECT("TabReg["&amp;TabCalc[[#This Row],[Ticker]]&amp;"2]")&lt;0))</f>
        <v>500</v>
      </c>
      <c r="CJ37" s="173" cm="1">
        <f t="array" aca="1" ref="CJ37" ca="1">MIN(_xlfn._xlws.FILTER(INDIRECT("TabReg["&amp;TabCalc[[#This Row],[Ticker]]&amp;"2]"), INDIRECT("TabReg["&amp;TabCalc[[#This Row],[Ticker]]&amp;"2]")&lt;0))</f>
        <v>-7.09</v>
      </c>
      <c r="CK37" s="167" cm="1">
        <f t="array" aca="1" ref="CK37" ca="1">MAX(_xlfn._xlws.FILTER(INDIRECT("TabReg["&amp;TabCalc[[#This Row],[Ticker]]&amp;"]"), INDIRECT("TabReg["&amp;TabCalc[[#This Row],[Ticker]]&amp;"2]")&lt;0))</f>
        <v>45833</v>
      </c>
      <c r="CL37" s="177" cm="1">
        <f t="array" aca="1" ref="CL37" ca="1">MAX(_xlfn._xlws.FILTER(INDIRECT("TabReg["&amp;TabCalc[[#This Row],[Ticker]]&amp;"1]"), INDIRECT("TabReg["&amp;TabCalc[[#This Row],[Ticker]]&amp;"2]")&lt;0))</f>
        <v>45000</v>
      </c>
      <c r="CM37" s="173" cm="1">
        <f t="array" aca="1" ref="CM37" ca="1">MAX(_xlfn._xlws.FILTER(INDIRECT("TabReg["&amp;TabCalc[[#This Row],[Ticker]]&amp;"2]"), INDIRECT("TabReg["&amp;TabCalc[[#This Row],[Ticker]]&amp;"2]")&lt;0))</f>
        <v>-3.5411999999999999</v>
      </c>
      <c r="CN37" s="167" cm="1">
        <f t="array" aca="1" ref="CN37" ca="1">IFERROR(_xlfn.XLOOKUP(TabCalc[[#This Row],[BS2P]],INDIRECT("TabReg["&amp;TabCalc[[#This Row],[Ticker]]&amp;"2]"),INDIRECT("TabReg["&amp;TabCalc[[#This Row],[Ticker]]&amp;"]")),0)</f>
        <v>45663</v>
      </c>
      <c r="CO37" s="178" cm="1">
        <f t="array" aca="1" ref="CO37" ca="1">IFERROR(_xlfn.XLOOKUP(TabCalc[[#This Row],[BS2P]],INDIRECT("TabReg["&amp;TabCalc[[#This Row],[Ticker]]&amp;"2]"),INDIRECT("TabReg["&amp;TabCalc[[#This Row],[Ticker]]&amp;"1]")),0)</f>
        <v>2500</v>
      </c>
      <c r="CP37" s="173">
        <f ca="1">_xlfn.MAXIFS(INDIRECT("TabReg["&amp;TabCalc[[#This Row],[Ticker]]&amp;"2]"), INDIRECT("TabReg["&amp;TabCalc[[#This Row],[Ticker]]&amp;"2]"), "&lt;" &amp; MAX(INDIRECT("TabReg["&amp;TabCalc[[#This Row],[Ticker]]&amp;"2]")))</f>
        <v>9.06</v>
      </c>
      <c r="CQ37" s="167" cm="1">
        <f t="array" aca="1" ref="CQ37" ca="1">IFERROR(_xlfn.XLOOKUP(TabCalc[[#This Row],[WB2P]],INDIRECT("TabReg["&amp;TabCalc[[#This Row],[Ticker]]&amp;"2]"),INDIRECT("TabReg["&amp;TabCalc[[#This Row],[Ticker]]&amp;"]")),0)</f>
        <v>40544</v>
      </c>
      <c r="CR37" s="178" cm="1">
        <f t="array" aca="1" ref="CR37" ca="1">IFERROR(_xlfn.XLOOKUP(TabCalc[[#This Row],[WB2P]],INDIRECT("TabReg["&amp;TabCalc[[#This Row],[Ticker]]&amp;"2]"),INDIRECT("TabReg["&amp;TabCalc[[#This Row],[Ticker]]&amp;"1]")),0)</f>
        <v>45000</v>
      </c>
      <c r="CS37" s="173">
        <f ca="1">_xlfn.MINIFS(INDIRECT("TabReg["&amp;TabCalc[[#This Row],[Ticker]]&amp;"2]"), INDIRECT("TabReg["&amp;TabCalc[[#This Row],[Ticker]]&amp;"2]"), "&gt;" &amp; MIN(INDIRECT("TabReg["&amp;TabCalc[[#This Row],[Ticker]]&amp;"2]")))</f>
        <v>-6.5707668888888886</v>
      </c>
      <c r="CT37" s="405">
        <f ca="1">IF(TabCalc[[#This Row],[M]]&lt;TabCalc[[#This Row],[L_Sp]],DesiredBuyGain/(TabCalc[[#This Row],[L_Sp]]-TabCalc[[#This Row],[M]]),0)</f>
        <v>5952.3809523809532</v>
      </c>
      <c r="CU37" s="406">
        <f ca="1">IF(TabCalc[[#This Row],[ntoBuy]]*TabCalc[[#This Row],[M]]&lt;=0,0,TabCalc[[#This Row],[ntoBuy]]*TabCalc[[#This Row],[M]])</f>
        <v>48988.095238095244</v>
      </c>
      <c r="CV37" s="406">
        <f ca="1">IF(TabCalc[[#This Row],[M]]&gt;ABS(TabCalc[[#This Row],[L_Bp]]),MIN(TabCalc[[#This Row],[NAfter]],DesiredSaleGain/(TabCalc[[#This Row],[M]]+TabCalc[[#This Row],[L_Bp]])),0)/TabCalc[[#This Row],[Scale]]</f>
        <v>1607.7170418006428</v>
      </c>
      <c r="CW37" s="407">
        <f ca="1">TabCalc[[#This Row],[ntoSell]]*TabCalc[[#This Row],[M]]</f>
        <v>13231.511254019291</v>
      </c>
      <c r="CX37" s="400">
        <f ca="1">_xlfn.LET(_xlpm.nToSell,IF(TabCalc[[#This Row],[M]]-TabCalc[[#This Row],[A]]&lt;=0,"",INT(DesiredSaleGain/(TabCalc[[#This Row],[M]]-IF(TabCalc[[#This Row],[E]]&gt;0,0,TabCalc[[#This Row],[A]])))),IF(_xlpm.nToSell&lt;=TabCalc[[#This Row],[NAfter]],_xlpm.nToSell,0))</f>
        <v>1644</v>
      </c>
      <c r="CY37" s="338">
        <f ca="1">IFERROR(TabCalc[[#This Row],[NMA]]*TabCalc[[#This Row],[M]],"")</f>
        <v>13530.12</v>
      </c>
      <c r="CZ37" s="337" cm="1">
        <f t="array" aca="1" ref="CZ37" ca="1">_xlfn.IFS(TabCalc[[#This Row],[M]]&gt;= TabCalc[[#This Row],[L_Sp]],(TabCalc[[#This Row],[M]]-TabCalc[[#This Row],[A]])*TabCalc[[#This Row],[NAfter]]*TabCalc[[#This Row],[Scale]],           TabCalc[[#This Row],[M]]&lt; TabCalc[[#This Row],[L_Sp]],(TabCalc[[#This Row],[M]]-TabCalc[[#This Row],[A]])*TabCalc[[#This Row],[NAfter]]*TabCalc[[#This Row],[Scale]],               TRUE,"")</f>
        <v>136800</v>
      </c>
      <c r="DA37" s="90">
        <f ca="1">IFERROR((TabCalc[[#This Row],[M]]+TabCalc[[#This Row],[L_Bp]])/ABS(TabCalc[[#This Row],[L_Bp]])/(TODAY()-TabCalc[[#This Row],[L_Bdate]])*360,"")</f>
        <v>1.7778201219512195</v>
      </c>
      <c r="DB37" s="312">
        <f ca="1">MEDIAN(DataShift!F737:Z737)</f>
        <v>9.1970000000000003E-3</v>
      </c>
      <c r="DC37" s="312" t="str" cm="1">
        <f t="array" aca="1" ref="DC3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37" s="88" t="s">
        <v>1089</v>
      </c>
      <c r="DN37" s="81">
        <v>45000</v>
      </c>
      <c r="DO37" s="317">
        <v>-6.5707668888888886</v>
      </c>
    </row>
    <row r="38" spans="1:119">
      <c r="A38" s="120" t="str">
        <f ca="1">_xlfn.XLOOKUP(TabCalc[[#This Row],[Ticker]],[1]!RTData[Ticker symbol],[1]!RTData[Currency])</f>
        <v>USD</v>
      </c>
      <c r="B38" s="121">
        <f ca="1">IF(TabCalc[[#This Row],[Cur]]="GBP",0.01,1)</f>
        <v>1</v>
      </c>
      <c r="C38" s="82">
        <f ca="1">_xlfn.XLOOKUP(TabCalc[[#This Row],[Ticker]],DM$3:DM$96,DN$3:DN$96)</f>
        <v>3000</v>
      </c>
      <c r="D38" s="1254">
        <f ca="1">_xlfn.XLOOKUP(TabCalc[[#This Row],[Ticker]],DM$3:DM$96,DO$3:DO$96)</f>
        <v>-3.1669499999999999</v>
      </c>
      <c r="E38" s="121">
        <f t="shared" ca="1" si="2"/>
        <v>-9500.85</v>
      </c>
      <c r="F38" s="82">
        <f ca="1">TabCalc[[#This Row],[NAfter]]*TabCalc[[#This Row],[M]]*TabCalc[[#This Row],[Scale]]</f>
        <v>7534.9999999999991</v>
      </c>
      <c r="G38" s="82">
        <f ca="1">IFERROR(TabCalc[[#This Row],[SB]]-TabCalc[[#This Row],[SST]],TabCalc[[#This Row],[SB]])</f>
        <v>10000</v>
      </c>
      <c r="H38" s="535" t="str">
        <f ca="1">[1]!RTData[[#This Row],[Ticker symbol]]</f>
        <v>PW</v>
      </c>
      <c r="I38" s="385">
        <f ca="1">[1]!RTData[[#This Row],[M-Price]]</f>
        <v>0.75349999999999995</v>
      </c>
      <c r="J38" s="384">
        <v>5.725200148148148</v>
      </c>
      <c r="K38" s="383">
        <f>[1]!RTData[[#This Row],[1YT]]</f>
        <v>0</v>
      </c>
      <c r="L38" s="384">
        <f ca="1">IF(OR(TabCalc[[#This Row],[NAfter]]=0,TabCalc[[#This Row],[EfCost]]&gt;0),0,TabCalc[[#This Row],[EfCost]]/TabCalc[[#This Row],[NAfter]]/TabCalc[[#This Row],[Scale]])</f>
        <v>-1.4510142999999995</v>
      </c>
      <c r="M38" s="744">
        <f ca="1">[1]!RTData[[#This Row],[Change%]]</f>
        <v>7.1986999999999995E-2</v>
      </c>
      <c r="N38" s="1172">
        <v>0</v>
      </c>
      <c r="O38" s="966">
        <f>TabCalc[[#This Row],[Up20]]-1+TabCalc[[#This Row],[Up20]]</f>
        <v>-1</v>
      </c>
      <c r="P38" s="966">
        <f>TabCalc[[#This Row],[Up20]]-TabCalc[[#This Row],[Up150]]</f>
        <v>0</v>
      </c>
      <c r="Q38" s="966">
        <v>0</v>
      </c>
      <c r="R38" s="966">
        <f>TabCalc[[#This Row],[Up150]]-1+TabCalc[[#This Row],[Up150]]</f>
        <v>-1</v>
      </c>
      <c r="S38" s="966">
        <f ca="1">IFERROR(SUMPRODUCT(DataShift!F1530:Z1530,DataShift!AB737:AV737)/SQRT(SUMPRODUCT(DataShift!F1530:Z1530,DataShift!F1530:Z1530)*SUMPRODUCT(DataShift!AB737:AV737,DataShift!AB737:AV737)),0)</f>
        <v>-0.57056148658133332</v>
      </c>
      <c r="T38" s="966">
        <f ca="1">IFERROR(SUMPRODUCT(DataShift!F1530:Z1530,DataShift!F738:Z738)/SQRT(SUMPRODUCT(DataShift!F1530:Z1530,DataShift!F1530:Z1530)*SUMPRODUCT(DataShift!F738:Z738,DataShift!F738:Z738)),0)</f>
        <v>6.1334158159586989E-2</v>
      </c>
      <c r="U38" s="1107">
        <v>45000</v>
      </c>
      <c r="V38" s="1107">
        <v>0</v>
      </c>
      <c r="W38" s="1107">
        <v>0</v>
      </c>
      <c r="X38" s="966" t="str">
        <f ca="1">IF(TabCalc[[#This Row],[EfCost]]+TabCalc[[#This Row],[M_V]]&lt;TabCalc[[#This Row],[NoT_GL]],"Pile","")</f>
        <v/>
      </c>
      <c r="Y3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-75,982 = $ -57,253</v>
      </c>
      <c r="Z38" s="213">
        <f ca="1">MIN(TabCalc[[#This Row],[L_Bn]],TabCalc[[#This Row],[NAfter]])*(TabCalc[[#This Row],[M]]+TabCalc[[#This Row],[L_Bp]])*TabCalc[[#This Row],[Scale]]</f>
        <v>-2654.6520000000005</v>
      </c>
      <c r="AA38" s="210" cm="1">
        <f t="array" aca="1" ref="AA38" ca="1">_xlfn.XLOOKUP(TabCalc[[#This Row],[L_Bp]],INDIRECT("TabReg["&amp;TabCalc[[#This Row],[Ticker]]&amp;"2]"),INDIRECT("TabReg["&amp;TabCalc[[#This Row],[Ticker]]&amp;"]"))</f>
        <v>45679</v>
      </c>
      <c r="AB38" s="181" cm="1">
        <f t="array" aca="1" ref="AB38" ca="1">_xlfn.XLOOKUP(TabCalc[[#This Row],[L_Bp]],INDIRECT("TabReg["&amp;TabCalc[[#This Row],[Ticker]]&amp;"2]"),INDIRECT("TabReg["&amp;TabCalc[[#This Row],[Ticker]]&amp;"1]"))</f>
        <v>6006</v>
      </c>
      <c r="AC38" s="192" cm="1">
        <f t="array" aca="1" ref="AC38" ca="1">IFERROR(INDEX(INDIRECT("TabReg["&amp;TabCalc[[#This Row],[Ticker]]&amp;"2]"),    _xlfn.XMATCH(    MAX(    _xlfn._xlws.FILTER(INDIRECT("TabReg["&amp;TabCalc[[#This Row],[Ticker]]&amp;"]"), INDIRECT("TabReg["&amp;TabCalc[[#This Row],[Ticker]]&amp;"2]")&lt;0)     ), INDIRECT("TabReg["&amp;TabCalc[[#This Row],[Ticker]]&amp;"]"),      0)), "")</f>
        <v>-1.1955</v>
      </c>
      <c r="AD38" s="213">
        <f ca="1">IFERROR(MIN(TabCalc[[#This Row],[L_B1n]],TabCalc[[#This Row],[NAfter]])*(TabCalc[[#This Row],[M]]+TabCalc[[#This Row],[L_B1p]])*TabCalc[[#This Row],[Scale]],"")</f>
        <v>-290.07900000000006</v>
      </c>
      <c r="AE38" s="210" cm="1">
        <f t="array" aca="1" ref="AE3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38" s="181" cm="1">
        <f t="array" aca="1" ref="AF38" ca="1">IFERROR(_xlfn.XLOOKUP(TabCalc[[#This Row],[L_B1D]],INDIRECT("TabReg["&amp;TabCalc[[#This Row],[Ticker]]&amp;"]"),INDIRECT("TabReg["&amp;TabCalc[[#This Row],[Ticker]]&amp;"1]")),0)</f>
        <v>3006</v>
      </c>
      <c r="AG38" s="192" cm="1">
        <f t="array" aca="1" ref="AG38" ca="1">IFERROR(_xlfn.XLOOKUP(TabCalc[[#This Row],[L_B1D]],INDIRECT("TabReg["&amp;TabCalc[[#This Row],[Ticker]]&amp;"]"),INDIRECT("TabReg["&amp;TabCalc[[#This Row],[Ticker]]&amp;"2]")),0)</f>
        <v>-0.85</v>
      </c>
      <c r="AH38" s="302">
        <f ca="1">IFERROR(TabCalc[[#This Row],[L_Sn]]*(TabCalc[[#This Row],[L_Sp]]-TabCalc[[#This Row],[M]])*TabCalc[[#This Row],[Scale]],"")</f>
        <v>2364.2190000000001</v>
      </c>
      <c r="AI38" s="210" cm="1">
        <f t="array" aca="1" ref="AI38" ca="1">IFERROR(_xlfn.XLOOKUP(TabCalc[[#This Row],[L_Sp]],INDIRECT("TabReg["&amp;TabCalc[[#This Row],[Ticker]]&amp;"2]"),INDIRECT("TabReg["&amp;TabCalc[[#This Row],[Ticker]]&amp;"]")),0)</f>
        <v>45523</v>
      </c>
      <c r="AJ38" s="181" cm="1">
        <f t="array" aca="1" ref="AJ38" ca="1">IFERROR(_xlfn.XLOOKUP(TabCalc[[#This Row],[L_Sp]],INDIRECT("TabReg["&amp;TabCalc[[#This Row],[Ticker]]&amp;"2]"),INDIRECT("TabReg["&amp;TabCalc[[#This Row],[Ticker]]&amp;"1]")),0)</f>
        <v>3006</v>
      </c>
      <c r="AK38" s="192" cm="1">
        <f t="array" aca="1" ref="AK38" ca="1">IFERROR(INDEX(INDIRECT("TabReg["&amp;TabCalc[[#This Row],[Ticker]]&amp;"2]"), _xlfn.XMATCH(MAX(_xlfn._xlws.FILTER(INDIRECT("TabReg["&amp;TabCalc[[#This Row],[Ticker]]&amp;"]"), INDIRECT("TabReg["&amp;TabCalc[[#This Row],[Ticker]]&amp;"2]")&gt;0)), INDIRECT("TabReg["&amp;TabCalc[[#This Row],[Ticker]]&amp;"]"), 0)), 0)</f>
        <v>1.54</v>
      </c>
      <c r="AL38" s="214">
        <f ca="1">IFERROR(TabCalc[[#This Row],[L_S1n]]*(TabCalc[[#This Row],[L_S1p]]-TabCalc[[#This Row],[M]])*TabCalc[[#This Row],[Scale]],0)</f>
        <v>1913.319</v>
      </c>
      <c r="AM38" s="210" cm="1">
        <f t="array" aca="1" ref="AM3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45517</v>
      </c>
      <c r="AN38" s="181" cm="1">
        <f t="array" aca="1" ref="AN38" ca="1">IFERROR(_xlfn.XLOOKUP(TabCalc[[#This Row],[L_S1D]],INDIRECT("TabReg["&amp;TabCalc[[#This Row],[Ticker]]&amp;"]"),INDIRECT("TabReg["&amp;TabCalc[[#This Row],[Ticker]]&amp;"1]")),0)</f>
        <v>3006</v>
      </c>
      <c r="AO38" s="384" cm="1">
        <f t="array" aca="1" ref="AO38" ca="1">IFERROR(_xlfn.XLOOKUP(TabCalc[[#This Row],[L_S1D]],INDIRECT("TabReg["&amp;TabCalc[[#This Row],[Ticker]]&amp;"]"),INDIRECT("TabReg["&amp;TabCalc[[#This Row],[Ticker]]&amp;"2]")),0)</f>
        <v>1.39</v>
      </c>
      <c r="AP38" s="336">
        <f ca="1">_xlfn.LET(_xlpm.MVOpen,[1]!RTData[[#This Row],[Open]]*TabCalc[[#This Row],[NAfter]],_xlpm.MVNow,TabCalc[[#This Row],[M]]*TabCalc[[#This Row],[NAfter]],_xlpm.MVNow-_xlpm.MVOpen)*TabCalc[[#This Row],[Scale]]</f>
        <v>434.99999999999909</v>
      </c>
      <c r="AQ38" s="336">
        <f ca="1">_xlfn.LET(_xlpm.MVToday,DataShift!AV538,         _xlpm.MVY,DataShift!AU539,        _xlpm.MVYY, DataShift!AT539,                                IF(_xlpm.MVToday=_xlpm.MVY,_xlpm.MVY-_xlpm.MVYY,_xlpm.MVToday-_xlpm.MVY))</f>
        <v>776</v>
      </c>
      <c r="AR38" s="336">
        <f ca="1">_xlfn.LET(_xlpm.MVToday,DataShift!AV538,         _xlpm.MVY,DataShift!AU539,        _xlpm.MVYY, DataShift!AT539,         _xlpm.MVYYY, DataShift!AS539,                      IF(_xlpm.MVToday=_xlpm.MVY,      _xlpm.MVYY-_xlpm.MVYYY,          _xlpm.MVY-_xlpm.MVYY))</f>
        <v>-456</v>
      </c>
      <c r="AS38" s="1078">
        <f ca="1">TabCalc[[#This Row],[Y]]/TabCalc[[#This Row],[M]]</f>
        <v>0</v>
      </c>
      <c r="AT38" s="299" t="str" cm="1">
        <f t="array" aca="1" ref="AT38" ca="1">IFERROR(_xlfn.IFS(          TabCalc[[#This Row],[E]]&gt;0, "Free Trade",      TabCalc[[#This Row],[A]]&lt;MIN(TabCalc[[#This Row],[L_Sp]],TabCalc[[#This Row],[M]]), "Buy",            TabCalc[[#This Row],[M]]&lt;TabCalc[[#This Row],[L_Sp]],       "Refill",       TabCalc[[#This Row],[M]]&gt;TabCalc[[#This Row],[L_Sp]],"S_more"),"")</f>
        <v>Refill</v>
      </c>
      <c r="AU38" s="299" t="str">
        <f ca="1">IF(           AND(TabCalc[[#This Row],[E]]&lt;=0,          TabCalc[[#This Row],[A]]&gt;MIN(TabCalc[[#This Row],[M]],TabCalc[[#This Row],[L_Sp]]),             TabCalc[[#This Row],[L_Sp]]&lt;=TabCalc[[#This Row],[M]]),                       "S_more","")</f>
        <v/>
      </c>
      <c r="AV38" s="82" t="str" cm="1">
        <f t="array" aca="1" ref="AV38" ca="1">IFERROR(_xlfn.IFS(TabCalc[[#This Row],[E]]&gt;0,"Free trade",                 TabCalc[[#This Row],[A]]&lt;MAX(ABS(TabCalc[[#This Row],[L_Bp]]),TabCalc[[#This Row],[A]]),"Sell",             TabCalc[[#This Row],[M]]&gt;ABS(TabCalc[[#This Row],[L_Bp]]),"Resell",             TabCalc[[#This Row],[M]]&lt;ABS(TabCalc[[#This Row],[L_Bp]]),"B_more"),"")</f>
        <v>B_more</v>
      </c>
      <c r="AW38" s="82">
        <f ca="1">TabCalc[[#This Row],[NAfter]]-TabCalc[[#This Row],[Nbegin]]</f>
        <v>7000</v>
      </c>
      <c r="AX38" s="307" t="str">
        <f ca="1">IFERROR((TabCalc[[#This Row],[M]]-TabCalc[[#This Row],[Y]])*(TabCalc[[#This Row],[M]]-TabCalc[[#This Row],[Y]])*(TabCalc[[#This Row],[M]]-TabCalc[[#This Row],[Y]])/(TabCalc[[#This Row],[Y]]*TabCalc[[#This Row],[M]]),"")</f>
        <v/>
      </c>
      <c r="AY38" s="82">
        <f t="shared" ca="1" si="3"/>
        <v>0</v>
      </c>
      <c r="AZ38" s="90">
        <f ca="1">[1]!RTData[[#This Row],[V/VA]]</f>
        <v>4.7314187776941727</v>
      </c>
      <c r="BA38" s="90" t="str" cm="1">
        <f t="array" aca="1" ref="BA38" ca="1">IFERROR(_xlfn.IFS(TabCalc[[#This Row],[Cur]]="USD",Timer!F$27,TabCalc[[#This Row],[Cur]]="EUR",Timer!F$18,TabCalc[[#This Row],[Cur]]="GBP",Timer!F$12,TabCalc[[#This Row],[Cur]]="CAD",Timer!F$27,TabCalc[[#This Row],[Cur]]="JPY",Timer!F$31,TabCalc[[#This Row],[Cur]]="CHF",Timer!F$18),"Timing")</f>
        <v>None-Working Day</v>
      </c>
      <c r="BB38" s="90">
        <f ca="1">IF(ISNUMBER(TabCalc[[#This Row],[TimeEX]]),TabCalc[[#This Row],[V/VA]]/TabCalc[[#This Row],[TimeEX]],TabCalc[[#This Row],[V/VA]])</f>
        <v>4.7314187776941727</v>
      </c>
      <c r="BC38" s="87" cm="1">
        <f t="array" aca="1" ref="BC38" ca="1">INDEX(TabReg[], 1, _xlfn.XMATCH(TabCalc[[#This Row],[Ticker]]&amp;1, TabReg[#Headers], 0))</f>
        <v>3000</v>
      </c>
      <c r="BD38" s="161">
        <f ca="1">TabCalc[[#This Row],[Nbegin]]*TabCalc[[#This Row],[M]]*TabCalc[[#This Row],[Scale]]+TabCalc[[#This Row],[ValueBegin]]</f>
        <v>-7240.35</v>
      </c>
      <c r="BE38" s="336" t="str" cm="1">
        <f t="array" aca="1" ref="BE38" ca="1">_xlfn.IFS(TabCalc[[#This Row],[Cost+Gain]]&gt;0,"Free",             TabCalc[[#This Row],[GL]]&gt;0,"Gainer",                TRUE,"Looser")</f>
        <v>Looser</v>
      </c>
      <c r="BF38" s="161">
        <f ca="1">TabCalc[[#This Row],[Tot_Paid]]-TabCalc[[#This Row],[ValueBegin]]</f>
        <v>-19203.711319799993</v>
      </c>
      <c r="BG38" s="337">
        <f ca="1">IF(TabCalc[[#This Row],[EfCost]]&gt;TabCalc[[#This Row],[ValueBegin]],       0,        TabCalc[[#This Row],[EfCost]]-TabCalc[[#This Row],[ValueBegin]]*(1+Commission))</f>
        <v>-4984.5907899999966</v>
      </c>
      <c r="BH38" s="338">
        <f ca="1">TabCalc[[#This Row],[M_V]]+TabCalc[[#This Row],[ValueBegin]]</f>
        <v>-1965.8500000000013</v>
      </c>
      <c r="BI38" s="161" cm="1">
        <f t="array" aca="1" ref="BI38" ca="1">SUMPRODUCT(_xlfn._xlws.FILTER(INDIRECT("TabReg["&amp;TabCalc[[#This Row],[Ticker]]&amp;"1]") * INDIRECT("TabReg["&amp;TabCalc[[#This Row],[Ticker]]&amp;"2]"), INDIRECT("TabReg["&amp;TabCalc[[#This Row],[Ticker]]&amp;"2]")&lt;0))*(1+Commission)*TabCalc[[#This Row],[Scale]]</f>
        <v>-28704.561319799996</v>
      </c>
      <c r="BJ38" s="161" cm="1">
        <f t="array" aca="1" ref="BJ38" ca="1">SUMPRODUCT(IF(INDIRECT("TabReg["&amp;TabCalc[[#This Row],[Ticker]]&amp;"2]") ="", 0, INDIRECT("TabReg["&amp;TabCalc[[#This Row],[Ticker]]&amp;"1]") * INDIRECT("TabReg["&amp;TabCalc[[#This Row],[Ticker]]&amp;"2]") ))*TabCalc[[#This Row],[Scale]]</f>
        <v>-14510.142999999996</v>
      </c>
      <c r="BK38" s="161" cm="1">
        <f t="array" aca="1" ref="BK3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14083.268051999999</v>
      </c>
      <c r="BL38" s="161">
        <f ca="1">TabCalc[[#This Row],[M_V]]+TabCalc[[#This Row],[EfCost]]</f>
        <v>-6975.1429999999973</v>
      </c>
      <c r="BM38" s="161">
        <f ca="1">IF(        OR( TabCalc[[#This Row],[GL]]&gt;ABS(TabCalc[[#This Row],[EfCost]]),TabCalc[[#This Row],[NAfter]]=0),             TabCalc[[#This Row],[GL]],     0)</f>
        <v>0</v>
      </c>
      <c r="BN38" s="161" cm="1">
        <f t="array" aca="1" ref="BN38" ca="1">SUMPRODUCT(_xlfn._xlws.FILTER(IF(INDIRECT("TabReg["&amp;TabCalc[[#This Row],[Ticker]]&amp;"2]") ="", 0, INDIRECT("TabReg["&amp;TabCalc[[#This Row],[Ticker]]&amp;"1]")  ),  INDIRECT("TabReg["&amp;TabCalc[[#This Row],[Ticker]]&amp;"2]") &lt; 0))</f>
        <v>22012</v>
      </c>
      <c r="BO38" s="161">
        <f ca="1">TabCalc[[#This Row],[SB]]-TabCalc[[#This Row],[Nbegin]]</f>
        <v>19012</v>
      </c>
      <c r="BP38" s="161" cm="1">
        <f t="array" aca="1" ref="BP38" ca="1">IFERROR(SUMPRODUCT(_xlfn._xlws.FILTER(IF(INDIRECT("TabReg["&amp;TabCalc[[#This Row],[Ticker]]&amp;"2]") ="", 0, INDIRECT("TabReg["&amp;TabCalc[[#This Row],[Ticker]]&amp;"1]")  ),  INDIRECT("TabReg["&amp;TabCalc[[#This Row],[Ticker]]&amp;"2]") &gt; 0)),0)</f>
        <v>12012</v>
      </c>
      <c r="BQ38"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1.79</v>
      </c>
      <c r="BR38" s="176" t="str">
        <f ca="1">IF(TabCalc[[#This Row],[EfCost]]+TabCalc[[#This Row],[M_V]]&lt;TabCalc[[#This Row],[NoT_GL]],"Pile","")</f>
        <v/>
      </c>
      <c r="BS38" s="167">
        <f ca="1">[1]!RTData[[#This Row],[Last trade time]]</f>
        <v>45954.976756562501</v>
      </c>
      <c r="BT38" s="177">
        <f ca="1">(TabCalc[[#This Row],[ValueBegin]]+(TabCalc[[#This Row],[M]]-TabCalc[[#This Row],[A]])*TabCalc[[#This Row],[NAfter]])*TabCalc[[#This Row],[Scale]]</f>
        <v>-59217.851481481477</v>
      </c>
      <c r="BU38" s="189" cm="1">
        <f t="array" aca="1" ref="BU38" ca="1">_xlfn.XLOOKUP(TabCalc[[#This Row],[Ticker]],TabReg[[#Headers],[AAPL]:[UnknownX28]],Reg!B$72:KF$72)+3</f>
        <v>11</v>
      </c>
      <c r="BV38" s="190" cm="1">
        <f t="array" aca="1" ref="BV38" ca="1">_xlfn.XLOOKUP(TabCalc[[#This Row],[Ticker]],TabReg[[#Headers],[AAPL]:[UnknownX28]],Reg!B$73:KF$73)+2</f>
        <v>111</v>
      </c>
      <c r="BW38" s="191">
        <f ca="1">IFERROR(MAX(TabCalc[[#This Row],[Max_SD]],TabCalc[[#This Row],[Max_PD]]),0)</f>
        <v>45679</v>
      </c>
      <c r="BX38" s="191" t="str" cm="1">
        <f t="array" aca="1" ref="BX38" ca="1">_xlfn.IFS(TabCalc[[#This Row],[L_TP]]&lt;0,"Purchase",TabCalc[[#This Row],[L_TP]]&gt;0,"Sale")</f>
        <v>Purchase</v>
      </c>
      <c r="BY38" s="190" cm="1">
        <f t="array" aca="1" ref="BY38" ca="1">INDEX(Reg!$A$1:$KF$73,TabCalc[[#This Row],[L_I1]],TabCalc[[#This Row],[L_I2]])</f>
        <v>6006</v>
      </c>
      <c r="BZ38" s="192" cm="1">
        <f t="array" aca="1" ref="BZ38" ca="1">INDEX(Reg!$A$1:$KF$73,TabCalc[[#This Row],[L_I1]],TabCalc[[#This Row],[L_I2]]+1)</f>
        <v>-1.1955</v>
      </c>
      <c r="CA38" s="161">
        <f ca="1">TabCalc[[#This Row],[NAfter]]*(TabCalc[[#This Row],[M]]-IF(TabCalc[[#This Row],[E]]&gt;0,0,TabCalc[[#This Row],[A]]))</f>
        <v>-49717.001481481479</v>
      </c>
      <c r="CB38" s="167" cm="1">
        <f t="array" aca="1" ref="CB38" ca="1">IFERROR(MIN(_xlfn._xlws.FILTER(INDIRECT("TabReg["&amp;TabCalc[[#This Row],[Ticker]]&amp;"]"), INDIRECT("TabReg["&amp;TabCalc[[#This Row],[Ticker]]&amp;"2]")&gt;0)),0)</f>
        <v>40544</v>
      </c>
      <c r="CC38" s="178" cm="1">
        <f t="array" aca="1" ref="CC38" ca="1">IFERROR(MIN(_xlfn._xlws.FILTER(INDIRECT("TabReg["&amp;TabCalc[[#This Row],[Ticker]]&amp;"1]"), INDIRECT("TabReg["&amp;TabCalc[[#This Row],[Ticker]]&amp;"2]")&gt;0)),0)</f>
        <v>3000</v>
      </c>
      <c r="CD38" s="173" cm="1">
        <f t="array" aca="1" ref="CD38" ca="1">IFERROR(MIN(_xlfn._xlws.FILTER(INDIRECT("TabReg["&amp;TabCalc[[#This Row],[Ticker]]&amp;"2]"), INDIRECT("TabReg["&amp;TabCalc[[#This Row],[Ticker]]&amp;"2]")&gt;0)),0)</f>
        <v>0.54310000000000003</v>
      </c>
      <c r="CE38" s="167" cm="1">
        <f t="array" aca="1" ref="CE38" ca="1">IFERROR(MAX(_xlfn._xlws.FILTER(INDIRECT("TabReg["&amp;TabCalc[[#This Row],[Ticker]]&amp;"]"), INDIRECT("TabReg["&amp;TabCalc[[#This Row],[Ticker]]&amp;"2]")&gt;0)),0)</f>
        <v>45523</v>
      </c>
      <c r="CF38" s="178" cm="1">
        <f t="array" aca="1" ref="CF38" ca="1">IFERROR(MAX(_xlfn._xlws.FILTER(INDIRECT("TabReg["&amp;TabCalc[[#This Row],[Ticker]]&amp;"1]"), INDIRECT("TabReg["&amp;TabCalc[[#This Row],[Ticker]]&amp;"2]")&gt;0)),0)</f>
        <v>3006</v>
      </c>
      <c r="CG38" s="173" cm="1">
        <f t="array" aca="1" ref="CG38" ca="1">IFERROR(MAX(_xlfn._xlws.FILTER(INDIRECT("TabReg["&amp;TabCalc[[#This Row],[Ticker]]&amp;"2]"), INDIRECT("TabReg["&amp;TabCalc[[#This Row],[Ticker]]&amp;"2]")&gt;0)),0)</f>
        <v>1.54</v>
      </c>
      <c r="CH38" s="167" cm="1">
        <f t="array" aca="1" ref="CH38" ca="1">MIN(_xlfn._xlws.FILTER(INDIRECT("TabReg["&amp;TabCalc[[#This Row],[Ticker]]&amp;"]"), INDIRECT("TabReg["&amp;TabCalc[[#This Row],[Ticker]]&amp;"2]")&lt;0))</f>
        <v>40544</v>
      </c>
      <c r="CI38" s="177" cm="1">
        <f t="array" aca="1" ref="CI38" ca="1">MIN(_xlfn._xlws.FILTER(INDIRECT("TabReg["&amp;TabCalc[[#This Row],[Ticker]]&amp;"1]"), INDIRECT("TabReg["&amp;TabCalc[[#This Row],[Ticker]]&amp;"2]")&lt;0))</f>
        <v>3000</v>
      </c>
      <c r="CJ38" s="173" cm="1">
        <f t="array" aca="1" ref="CJ38" ca="1">MIN(_xlfn._xlws.FILTER(INDIRECT("TabReg["&amp;TabCalc[[#This Row],[Ticker]]&amp;"2]"), INDIRECT("TabReg["&amp;TabCalc[[#This Row],[Ticker]]&amp;"2]")&lt;0))</f>
        <v>-3.1669499999999999</v>
      </c>
      <c r="CK38" s="167" cm="1">
        <f t="array" aca="1" ref="CK38" ca="1">MAX(_xlfn._xlws.FILTER(INDIRECT("TabReg["&amp;TabCalc[[#This Row],[Ticker]]&amp;"]"), INDIRECT("TabReg["&amp;TabCalc[[#This Row],[Ticker]]&amp;"2]")&lt;0))</f>
        <v>45679</v>
      </c>
      <c r="CL38" s="177" cm="1">
        <f t="array" aca="1" ref="CL38" ca="1">MAX(_xlfn._xlws.FILTER(INDIRECT("TabReg["&amp;TabCalc[[#This Row],[Ticker]]&amp;"1]"), INDIRECT("TabReg["&amp;TabCalc[[#This Row],[Ticker]]&amp;"2]")&lt;0))</f>
        <v>10000</v>
      </c>
      <c r="CM38" s="173" cm="1">
        <f t="array" aca="1" ref="CM38" ca="1">MAX(_xlfn._xlws.FILTER(INDIRECT("TabReg["&amp;TabCalc[[#This Row],[Ticker]]&amp;"2]"), INDIRECT("TabReg["&amp;TabCalc[[#This Row],[Ticker]]&amp;"2]")&lt;0))</f>
        <v>-0.85</v>
      </c>
      <c r="CN38" s="167" cm="1">
        <f t="array" aca="1" ref="CN38" ca="1">IFERROR(_xlfn.XLOOKUP(TabCalc[[#This Row],[BS2P]],INDIRECT("TabReg["&amp;TabCalc[[#This Row],[Ticker]]&amp;"2]"),INDIRECT("TabReg["&amp;TabCalc[[#This Row],[Ticker]]&amp;"]")),0)</f>
        <v>45517</v>
      </c>
      <c r="CO38" s="178" cm="1">
        <f t="array" aca="1" ref="CO38" ca="1">IFERROR(_xlfn.XLOOKUP(TabCalc[[#This Row],[BS2P]],INDIRECT("TabReg["&amp;TabCalc[[#This Row],[Ticker]]&amp;"2]"),INDIRECT("TabReg["&amp;TabCalc[[#This Row],[Ticker]]&amp;"1]")),0)</f>
        <v>3006</v>
      </c>
      <c r="CP38" s="173">
        <f ca="1">_xlfn.MAXIFS(INDIRECT("TabReg["&amp;TabCalc[[#This Row],[Ticker]]&amp;"2]"), INDIRECT("TabReg["&amp;TabCalc[[#This Row],[Ticker]]&amp;"2]"), "&lt;" &amp; MAX(INDIRECT("TabReg["&amp;TabCalc[[#This Row],[Ticker]]&amp;"2]")))</f>
        <v>1.39</v>
      </c>
      <c r="CQ38" s="167" cm="1">
        <f t="array" aca="1" ref="CQ38" ca="1">IFERROR(_xlfn.XLOOKUP(TabCalc[[#This Row],[WB2P]],INDIRECT("TabReg["&amp;TabCalc[[#This Row],[Ticker]]&amp;"2]"),INDIRECT("TabReg["&amp;TabCalc[[#This Row],[Ticker]]&amp;"]")),0)</f>
        <v>45679</v>
      </c>
      <c r="CR38" s="178" cm="1">
        <f t="array" aca="1" ref="CR38" ca="1">IFERROR(_xlfn.XLOOKUP(TabCalc[[#This Row],[WB2P]],INDIRECT("TabReg["&amp;TabCalc[[#This Row],[Ticker]]&amp;"2]"),INDIRECT("TabReg["&amp;TabCalc[[#This Row],[Ticker]]&amp;"1]")),0)</f>
        <v>6006</v>
      </c>
      <c r="CS38" s="173">
        <f ca="1">_xlfn.MINIFS(INDIRECT("TabReg["&amp;TabCalc[[#This Row],[Ticker]]&amp;"2]"), INDIRECT("TabReg["&amp;TabCalc[[#This Row],[Ticker]]&amp;"2]"), "&gt;" &amp; MIN(INDIRECT("TabReg["&amp;TabCalc[[#This Row],[Ticker]]&amp;"2]")))</f>
        <v>-1.1955</v>
      </c>
      <c r="CT38" s="405">
        <f ca="1">IF(TabCalc[[#This Row],[M]]&lt;TabCalc[[#This Row],[L_Sp]],DesiredBuyGain/(TabCalc[[#This Row],[L_Sp]]-TabCalc[[#This Row],[M]]),0)</f>
        <v>6357.2790845518111</v>
      </c>
      <c r="CU38" s="406">
        <f ca="1">IF(TabCalc[[#This Row],[ntoBuy]]*TabCalc[[#This Row],[M]]&lt;=0,0,TabCalc[[#This Row],[ntoBuy]]*TabCalc[[#This Row],[M]])</f>
        <v>4790.2097902097894</v>
      </c>
      <c r="CV38" s="406">
        <f ca="1">IF(TabCalc[[#This Row],[M]]&gt;ABS(TabCalc[[#This Row],[L_Bp]]),MIN(TabCalc[[#This Row],[NAfter]],DesiredSaleGain/(TabCalc[[#This Row],[M]]+TabCalc[[#This Row],[L_Bp]])),0)/TabCalc[[#This Row],[Scale]]</f>
        <v>0</v>
      </c>
      <c r="CW38" s="407">
        <f ca="1">TabCalc[[#This Row],[ntoSell]]*TabCalc[[#This Row],[M]]</f>
        <v>0</v>
      </c>
      <c r="CX38" s="400">
        <f ca="1">_xlfn.LET(_xlpm.nToSell,IF(TabCalc[[#This Row],[M]]-TabCalc[[#This Row],[A]]&lt;=0,"",INT(DesiredSaleGain/(TabCalc[[#This Row],[M]]-IF(TabCalc[[#This Row],[E]]&gt;0,0,TabCalc[[#This Row],[A]])))),IF(_xlpm.nToSell&lt;=TabCalc[[#This Row],[NAfter]],_xlpm.nToSell,0))</f>
        <v>0</v>
      </c>
      <c r="CY38" s="338">
        <f ca="1">IFERROR(TabCalc[[#This Row],[NMA]]*TabCalc[[#This Row],[M]],"")</f>
        <v>0</v>
      </c>
      <c r="CZ38" s="337" cm="1">
        <f t="array" aca="1" ref="CZ38" ca="1">_xlfn.IFS(TabCalc[[#This Row],[M]]&gt;= TabCalc[[#This Row],[L_Sp]],(TabCalc[[#This Row],[M]]-TabCalc[[#This Row],[A]])*TabCalc[[#This Row],[NAfter]]*TabCalc[[#This Row],[Scale]],           TabCalc[[#This Row],[M]]&lt; TabCalc[[#This Row],[L_Sp]],(TabCalc[[#This Row],[M]]-TabCalc[[#This Row],[A]])*TabCalc[[#This Row],[NAfter]]*TabCalc[[#This Row],[Scale]],               TRUE,"")</f>
        <v>-49717.001481481479</v>
      </c>
      <c r="DA38" s="90">
        <f ca="1">IFERROR((TabCalc[[#This Row],[M]]+TabCalc[[#This Row],[L_Bp]])/ABS(TabCalc[[#This Row],[L_Bp]])/(TODAY()-TabCalc[[#This Row],[L_Bdate]])*360,"")</f>
        <v>-0.48050224442743328</v>
      </c>
      <c r="DB38" s="312">
        <f ca="1">MEDIAN(DataShift!F738:Z738)</f>
        <v>-5.3959999999999998E-3</v>
      </c>
      <c r="DC38" s="312" t="str" cm="1">
        <f t="array" aca="1" ref="DC3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38" s="88" t="s">
        <v>34</v>
      </c>
      <c r="DN38" s="81">
        <v>3000</v>
      </c>
      <c r="DO38" s="317">
        <v>-3.1669499999999999</v>
      </c>
    </row>
    <row r="39" spans="1:119">
      <c r="A39" s="120" t="str">
        <f ca="1">_xlfn.XLOOKUP(TabCalc[[#This Row],[Ticker]],[1]!RTData[Ticker symbol],[1]!RTData[Currency])</f>
        <v>USD</v>
      </c>
      <c r="B39" s="121">
        <f ca="1">IF(TabCalc[[#This Row],[Cur]]="GBP",0.01,1)</f>
        <v>1</v>
      </c>
      <c r="C39" s="82">
        <f ca="1">_xlfn.XLOOKUP(TabCalc[[#This Row],[Ticker]],DM$3:DM$96,DN$3:DN$96)</f>
        <v>2700</v>
      </c>
      <c r="D39" s="1254">
        <f ca="1">_xlfn.XLOOKUP(TabCalc[[#This Row],[Ticker]],DM$3:DM$96,DO$3:DO$96)</f>
        <v>-36.9220481481481</v>
      </c>
      <c r="E39" s="121">
        <f t="shared" ca="1" si="2"/>
        <v>-99689.529999999868</v>
      </c>
      <c r="F39" s="82">
        <f ca="1">TabCalc[[#This Row],[NAfter]]*TabCalc[[#This Row],[M]]*TabCalc[[#This Row],[Scale]]</f>
        <v>59940</v>
      </c>
      <c r="G39" s="82">
        <f ca="1">IFERROR(TabCalc[[#This Row],[SB]]-TabCalc[[#This Row],[SST]],TabCalc[[#This Row],[SB]])</f>
        <v>2000</v>
      </c>
      <c r="H39" s="535" t="str">
        <f ca="1">[1]!RTData[[#This Row],[Ticker symbol]]</f>
        <v>RIGL</v>
      </c>
      <c r="I39" s="385">
        <f ca="1">[1]!RTData[[#This Row],[M-Price]]</f>
        <v>29.97</v>
      </c>
      <c r="J39" s="384">
        <v>1.0663400199999999</v>
      </c>
      <c r="K39" s="383">
        <f>[1]!RTData[[#This Row],[1YT]]</f>
        <v>38.33</v>
      </c>
      <c r="L39" s="384">
        <f ca="1">IF(OR(TabCalc[[#This Row],[NAfter]]=0,TabCalc[[#This Row],[EfCost]]&gt;0),0,TabCalc[[#This Row],[EfCost]]/TabCalc[[#This Row],[NAfter]]/TabCalc[[#This Row],[Scale]])</f>
        <v>0</v>
      </c>
      <c r="M39" s="744">
        <f ca="1">[1]!RTData[[#This Row],[Change%]]</f>
        <v>1.9734999999999999E-2</v>
      </c>
      <c r="N39" s="1172">
        <v>0</v>
      </c>
      <c r="O39" s="966">
        <f>TabCalc[[#This Row],[Up20]]-1+TabCalc[[#This Row],[Up20]]</f>
        <v>-1</v>
      </c>
      <c r="P39" s="966">
        <f>TabCalc[[#This Row],[Up20]]-TabCalc[[#This Row],[Up150]]</f>
        <v>0</v>
      </c>
      <c r="Q39" s="966">
        <v>0</v>
      </c>
      <c r="R39" s="966">
        <f>TabCalc[[#This Row],[Up150]]-1+TabCalc[[#This Row],[Up150]]</f>
        <v>-1</v>
      </c>
      <c r="S39" s="966">
        <f ca="1">IFERROR(SUMPRODUCT(DataShift!F1531:Z1531,DataShift!AB738:AV738)/SQRT(SUMPRODUCT(DataShift!F1531:Z1531,DataShift!F1531:Z1531)*SUMPRODUCT(DataShift!AB738:AV738,DataShift!AB738:AV738)),0)</f>
        <v>-0.71085566822393664</v>
      </c>
      <c r="T39" s="966">
        <f ca="1">IFERROR(SUMPRODUCT(DataShift!F1531:Z1531,DataShift!F739:Z739)/SQRT(SUMPRODUCT(DataShift!F1531:Z1531,DataShift!F1531:Z1531)*SUMPRODUCT(DataShift!F739:Z739,DataShift!F739:Z739)),0)</f>
        <v>-2.2855035131393642E-2</v>
      </c>
      <c r="U39" s="1107">
        <v>0</v>
      </c>
      <c r="V39" s="1107">
        <v>10000</v>
      </c>
      <c r="W39" s="1107">
        <v>0</v>
      </c>
      <c r="X39" s="966" t="str">
        <f ca="1">IF(TabCalc[[#This Row],[EfCost]]+TabCalc[[#This Row],[M_V]]&lt;TabCalc[[#This Row],[NoT_GL]],"Pile","")</f>
        <v/>
      </c>
      <c r="Y3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9" s="213">
        <f ca="1">MIN(TabCalc[[#This Row],[L_Bn]],TabCalc[[#This Row],[NAfter]])*(TabCalc[[#This Row],[M]]+TabCalc[[#This Row],[L_Bp]])*TabCalc[[#This Row],[Scale]]</f>
        <v>2849.5099999999952</v>
      </c>
      <c r="AA39" s="210" cm="1">
        <f t="array" aca="1" ref="AA39" ca="1">_xlfn.XLOOKUP(TabCalc[[#This Row],[L_Bp]],INDIRECT("TabReg["&amp;TabCalc[[#This Row],[Ticker]]&amp;"2]"),INDIRECT("TabReg["&amp;TabCalc[[#This Row],[Ticker]]&amp;"]"))</f>
        <v>45926</v>
      </c>
      <c r="AB39" s="181" cm="1">
        <f t="array" aca="1" ref="AB39" ca="1">_xlfn.XLOOKUP(TabCalc[[#This Row],[L_Bp]],INDIRECT("TabReg["&amp;TabCalc[[#This Row],[Ticker]]&amp;"2]"),INDIRECT("TabReg["&amp;TabCalc[[#This Row],[Ticker]]&amp;"1]"))</f>
        <v>2000</v>
      </c>
      <c r="AC39" s="192" cm="1">
        <f t="array" aca="1" ref="AC39" ca="1">IFERROR(INDEX(INDIRECT("TabReg["&amp;TabCalc[[#This Row],[Ticker]]&amp;"2]"),    _xlfn.XMATCH(    MAX(    _xlfn._xlws.FILTER(INDIRECT("TabReg["&amp;TabCalc[[#This Row],[Ticker]]&amp;"]"), INDIRECT("TabReg["&amp;TabCalc[[#This Row],[Ticker]]&amp;"2]")&lt;0)     ), INDIRECT("TabReg["&amp;TabCalc[[#This Row],[Ticker]]&amp;"]"),      0)), "")</f>
        <v>-28.545245000000001</v>
      </c>
      <c r="AD39" s="213">
        <f ca="1">IFERROR(MIN(TabCalc[[#This Row],[L_B1n]],TabCalc[[#This Row],[NAfter]])*(TabCalc[[#This Row],[M]]+TabCalc[[#This Row],[L_B1p]])*TabCalc[[#This Row],[Scale]],"")</f>
        <v>22640</v>
      </c>
      <c r="AE39" s="210" cm="1">
        <f t="array" aca="1" ref="AE3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F39" s="181" cm="1">
        <f t="array" aca="1" ref="AF39" ca="1">IFERROR(_xlfn.XLOOKUP(TabCalc[[#This Row],[L_B1D]],INDIRECT("TabReg["&amp;TabCalc[[#This Row],[Ticker]]&amp;"]"),INDIRECT("TabReg["&amp;TabCalc[[#This Row],[Ticker]]&amp;"1]")),0)</f>
        <v>2000</v>
      </c>
      <c r="AG39" s="192" cm="1">
        <f t="array" aca="1" ref="AG39" ca="1">IFERROR(_xlfn.XLOOKUP(TabCalc[[#This Row],[L_B1D]],INDIRECT("TabReg["&amp;TabCalc[[#This Row],[Ticker]]&amp;"]"),INDIRECT("TabReg["&amp;TabCalc[[#This Row],[Ticker]]&amp;"2]")),0)</f>
        <v>-18.649999999999999</v>
      </c>
      <c r="AH39" s="302">
        <f ca="1">IFERROR(TabCalc[[#This Row],[L_Sn]]*(TabCalc[[#This Row],[L_Sp]]-TabCalc[[#This Row],[M]])*TabCalc[[#This Row],[Scale]],"")</f>
        <v>-99.999999999994316</v>
      </c>
      <c r="AI39" s="210" cm="1">
        <f t="array" aca="1" ref="AI39" ca="1">IFERROR(_xlfn.XLOOKUP(TabCalc[[#This Row],[L_Sp]],INDIRECT("TabReg["&amp;TabCalc[[#This Row],[Ticker]]&amp;"2]"),INDIRECT("TabReg["&amp;TabCalc[[#This Row],[Ticker]]&amp;"]")),0)</f>
        <v>45951</v>
      </c>
      <c r="AJ39" s="181" cm="1">
        <f t="array" aca="1" ref="AJ39" ca="1">IFERROR(_xlfn.XLOOKUP(TabCalc[[#This Row],[L_Sp]],INDIRECT("TabReg["&amp;TabCalc[[#This Row],[Ticker]]&amp;"2]"),INDIRECT("TabReg["&amp;TabCalc[[#This Row],[Ticker]]&amp;"1]")),0)</f>
        <v>2000</v>
      </c>
      <c r="AK39" s="192" cm="1">
        <f t="array" aca="1" ref="AK39" ca="1">IFERROR(INDEX(INDIRECT("TabReg["&amp;TabCalc[[#This Row],[Ticker]]&amp;"2]"), _xlfn.XMATCH(MAX(_xlfn._xlws.FILTER(INDIRECT("TabReg["&amp;TabCalc[[#This Row],[Ticker]]&amp;"]"), INDIRECT("TabReg["&amp;TabCalc[[#This Row],[Ticker]]&amp;"2]")&gt;0)), INDIRECT("TabReg["&amp;TabCalc[[#This Row],[Ticker]]&amp;"]"), 0)), 0)</f>
        <v>29.92</v>
      </c>
      <c r="AL39" s="214">
        <f ca="1">IFERROR(TabCalc[[#This Row],[L_S1n]]*(TabCalc[[#This Row],[L_S1p]]-TabCalc[[#This Row],[M]])*TabCalc[[#This Row],[Scale]],0)</f>
        <v>8750</v>
      </c>
      <c r="AM39" s="210" cm="1">
        <f t="array" aca="1" ref="AM3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45898</v>
      </c>
      <c r="AN39" s="181" cm="1">
        <f t="array" aca="1" ref="AN39" ca="1">IFERROR(_xlfn.XLOOKUP(TabCalc[[#This Row],[L_S1D]],INDIRECT("TabReg["&amp;TabCalc[[#This Row],[Ticker]]&amp;"]"),INDIRECT("TabReg["&amp;TabCalc[[#This Row],[Ticker]]&amp;"1]")),0)</f>
        <v>1000</v>
      </c>
      <c r="AO39" s="384" cm="1">
        <f t="array" aca="1" ref="AO39" ca="1">IFERROR(_xlfn.XLOOKUP(TabCalc[[#This Row],[L_S1D]],INDIRECT("TabReg["&amp;TabCalc[[#This Row],[Ticker]]&amp;"]"),INDIRECT("TabReg["&amp;TabCalc[[#This Row],[Ticker]]&amp;"2]")),0)</f>
        <v>38.72</v>
      </c>
      <c r="AP39" s="336">
        <f ca="1">_xlfn.LET(_xlpm.MVOpen,[1]!RTData[[#This Row],[Open]]*TabCalc[[#This Row],[NAfter]],_xlpm.MVNow,TabCalc[[#This Row],[M]]*TabCalc[[#This Row],[NAfter]],_xlpm.MVNow-_xlpm.MVOpen)*TabCalc[[#This Row],[Scale]]</f>
        <v>520</v>
      </c>
      <c r="AQ39" s="336">
        <f ca="1">_xlfn.LET(_xlpm.MVToday,DataShift!AV539,         _xlpm.MVY,DataShift!AU540,        _xlpm.MVYY, DataShift!AT540,                                IF(_xlpm.MVToday=_xlpm.MVY,_xlpm.MVY-_xlpm.MVYY,_xlpm.MVToday-_xlpm.MVY))</f>
        <v>41400</v>
      </c>
      <c r="AR39" s="336">
        <f ca="1">_xlfn.LET(_xlpm.MVToday,DataShift!AV539,         _xlpm.MVY,DataShift!AU540,        _xlpm.MVYY, DataShift!AT540,         _xlpm.MVYYY, DataShift!AS540,                      IF(_xlpm.MVToday=_xlpm.MVY,      _xlpm.MVYY-_xlpm.MVYYY,          _xlpm.MVY-_xlpm.MVYY))</f>
        <v>-2700</v>
      </c>
      <c r="AS39" s="1078">
        <f ca="1">TabCalc[[#This Row],[Y]]/TabCalc[[#This Row],[M]]</f>
        <v>1.2789456122789455</v>
      </c>
      <c r="AT39" s="299" t="str" cm="1">
        <f t="array" aca="1" ref="AT39" ca="1">IFERROR(_xlfn.IFS(          TabCalc[[#This Row],[E]]&gt;0, "Free Trade",      TabCalc[[#This Row],[A]]&lt;MIN(TabCalc[[#This Row],[L_Sp]],TabCalc[[#This Row],[M]]), "Buy",            TabCalc[[#This Row],[M]]&lt;TabCalc[[#This Row],[L_Sp]],       "Refill",       TabCalc[[#This Row],[M]]&gt;TabCalc[[#This Row],[L_Sp]],"S_more"),"")</f>
        <v>Buy</v>
      </c>
      <c r="AU39" s="299" t="str">
        <f ca="1">IF(           AND(TabCalc[[#This Row],[E]]&lt;=0,          TabCalc[[#This Row],[A]]&gt;MIN(TabCalc[[#This Row],[M]],TabCalc[[#This Row],[L_Sp]]),             TabCalc[[#This Row],[L_Sp]]&lt;=TabCalc[[#This Row],[M]]),                       "S_more","")</f>
        <v/>
      </c>
      <c r="AV39" s="82" t="str" cm="1">
        <f t="array" aca="1" ref="AV39" ca="1">IFERROR(_xlfn.IFS(TabCalc[[#This Row],[E]]&gt;0,"Free trade",                 TabCalc[[#This Row],[A]]&lt;MAX(ABS(TabCalc[[#This Row],[L_Bp]]),TabCalc[[#This Row],[A]]),"Sell",             TabCalc[[#This Row],[M]]&gt;ABS(TabCalc[[#This Row],[L_Bp]]),"Resell",             TabCalc[[#This Row],[M]]&lt;ABS(TabCalc[[#This Row],[L_Bp]]),"B_more"),"")</f>
        <v>Sell</v>
      </c>
      <c r="AW39" s="82">
        <f ca="1">TabCalc[[#This Row],[NAfter]]-TabCalc[[#This Row],[Nbegin]]</f>
        <v>-700</v>
      </c>
      <c r="AX39" s="307">
        <f ca="1">IFERROR((TabCalc[[#This Row],[M]]-TabCalc[[#This Row],[Y]])*(TabCalc[[#This Row],[M]]-TabCalc[[#This Row],[Y]])*(TabCalc[[#This Row],[M]]-TabCalc[[#This Row],[Y]])/(TabCalc[[#This Row],[Y]]*TabCalc[[#This Row],[M]]),"")</f>
        <v>-0.50861980860763356</v>
      </c>
      <c r="AY39" s="82">
        <f t="shared" ca="1" si="3"/>
        <v>700</v>
      </c>
      <c r="AZ39" s="90">
        <f ca="1">[1]!RTData[[#This Row],[V/VA]]</f>
        <v>0.48854361342578145</v>
      </c>
      <c r="BA39" s="90" t="str" cm="1">
        <f t="array" aca="1" ref="BA39" ca="1">IFERROR(_xlfn.IFS(TabCalc[[#This Row],[Cur]]="USD",Timer!F$27,TabCalc[[#This Row],[Cur]]="EUR",Timer!F$18,TabCalc[[#This Row],[Cur]]="GBP",Timer!F$12,TabCalc[[#This Row],[Cur]]="CAD",Timer!F$27,TabCalc[[#This Row],[Cur]]="JPY",Timer!F$31,TabCalc[[#This Row],[Cur]]="CHF",Timer!F$18),"Timing")</f>
        <v>None-Working Day</v>
      </c>
      <c r="BB39" s="90">
        <f ca="1">IF(ISNUMBER(TabCalc[[#This Row],[TimeEX]]),TabCalc[[#This Row],[V/VA]]/TabCalc[[#This Row],[TimeEX]],TabCalc[[#This Row],[V/VA]])</f>
        <v>0.48854361342578145</v>
      </c>
      <c r="BC39" s="87" cm="1">
        <f t="array" aca="1" ref="BC39" ca="1">INDEX(TabReg[], 1, _xlfn.XMATCH(TabCalc[[#This Row],[Ticker]]&amp;1, TabReg[#Headers], 0))</f>
        <v>2700</v>
      </c>
      <c r="BD39" s="161">
        <f ca="1">TabCalc[[#This Row],[Nbegin]]*TabCalc[[#This Row],[M]]*TabCalc[[#This Row],[Scale]]+TabCalc[[#This Row],[ValueBegin]]</f>
        <v>-18770.529999999868</v>
      </c>
      <c r="BE39" s="336" t="str" cm="1">
        <f t="array" aca="1" ref="BE39" ca="1">_xlfn.IFS(TabCalc[[#This Row],[Cost+Gain]]&gt;0,"Free",             TabCalc[[#This Row],[GL]]&gt;0,"Gainer",                TRUE,"Looser")</f>
        <v>Free</v>
      </c>
      <c r="BF39" s="161">
        <f ca="1">TabCalc[[#This Row],[Tot_Paid]]-TabCalc[[#This Row],[ValueBegin]]</f>
        <v>-400085.39508799999</v>
      </c>
      <c r="BG39" s="337">
        <f ca="1">IF(TabCalc[[#This Row],[EfCost]]&gt;TabCalc[[#This Row],[ValueBegin]],       0,        TabCalc[[#This Row],[EfCost]]-TabCalc[[#This Row],[ValueBegin]]*(1+Commission))</f>
        <v>0</v>
      </c>
      <c r="BH39" s="338">
        <f ca="1">TabCalc[[#This Row],[M_V]]+TabCalc[[#This Row],[ValueBegin]]</f>
        <v>-39749.529999999868</v>
      </c>
      <c r="BI39" s="161" cm="1">
        <f t="array" aca="1" ref="BI39" ca="1">SUMPRODUCT(_xlfn._xlws.FILTER(INDIRECT("TabReg["&amp;TabCalc[[#This Row],[Ticker]]&amp;"1]") * INDIRECT("TabReg["&amp;TabCalc[[#This Row],[Ticker]]&amp;"2]"), INDIRECT("TabReg["&amp;TabCalc[[#This Row],[Ticker]]&amp;"2]")&lt;0))*(1+Commission)*TabCalc[[#This Row],[Scale]]</f>
        <v>-499774.92508799984</v>
      </c>
      <c r="BJ39" s="161" cm="1">
        <f t="array" aca="1" ref="BJ39" ca="1">SUMPRODUCT(IF(INDIRECT("TabReg["&amp;TabCalc[[#This Row],[Ticker]]&amp;"2]") ="", 0, INDIRECT("TabReg["&amp;TabCalc[[#This Row],[Ticker]]&amp;"1]") * INDIRECT("TabReg["&amp;TabCalc[[#This Row],[Ticker]]&amp;"2]") ))*TabCalc[[#This Row],[Scale]]</f>
        <v>63986.220000000132</v>
      </c>
      <c r="BK39" s="161" cm="1">
        <f t="array" aca="1" ref="BK3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561002.69073999999</v>
      </c>
      <c r="BL39" s="161">
        <f ca="1">TabCalc[[#This Row],[M_V]]+TabCalc[[#This Row],[EfCost]]</f>
        <v>123926.22000000013</v>
      </c>
      <c r="BM39" s="161">
        <f ca="1">IF(        OR( TabCalc[[#This Row],[GL]]&gt;ABS(TabCalc[[#This Row],[EfCost]]),TabCalc[[#This Row],[NAfter]]=0),             TabCalc[[#This Row],[GL]],     0)</f>
        <v>123926.22000000013</v>
      </c>
      <c r="BN39" s="161" cm="1">
        <f t="array" aca="1" ref="BN39" ca="1">SUMPRODUCT(_xlfn._xlws.FILTER(IF(INDIRECT("TabReg["&amp;TabCalc[[#This Row],[Ticker]]&amp;"2]") ="", 0, INDIRECT("TabReg["&amp;TabCalc[[#This Row],[Ticker]]&amp;"1]")  ),  INDIRECT("TabReg["&amp;TabCalc[[#This Row],[Ticker]]&amp;"2]") &lt; 0))</f>
        <v>26300</v>
      </c>
      <c r="BO39" s="161">
        <f ca="1">TabCalc[[#This Row],[SB]]-TabCalc[[#This Row],[Nbegin]]</f>
        <v>23600</v>
      </c>
      <c r="BP39" s="161" cm="1">
        <f t="array" aca="1" ref="BP39" ca="1">IFERROR(SUMPRODUCT(_xlfn._xlws.FILTER(IF(INDIRECT("TabReg["&amp;TabCalc[[#This Row],[Ticker]]&amp;"2]") ="", 0, INDIRECT("TabReg["&amp;TabCalc[[#This Row],[Ticker]]&amp;"1]")  ),  INDIRECT("TabReg["&amp;TabCalc[[#This Row],[Ticker]]&amp;"2]") &gt; 0)),0)</f>
        <v>24300</v>
      </c>
      <c r="BQ39"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9" s="176" t="str">
        <f ca="1">IF(TabCalc[[#This Row],[EfCost]]+TabCalc[[#This Row],[M_V]]&lt;TabCalc[[#This Row],[NoT_GL]],"Pile","")</f>
        <v/>
      </c>
      <c r="BS39" s="167">
        <f ca="1">[1]!RTData[[#This Row],[Last trade time]]</f>
        <v>45954.874653957813</v>
      </c>
      <c r="BT39" s="177">
        <f ca="1">(TabCalc[[#This Row],[ValueBegin]]+(TabCalc[[#This Row],[M]]-TabCalc[[#This Row],[A]])*TabCalc[[#This Row],[NAfter]])*TabCalc[[#This Row],[Scale]]</f>
        <v>-41882.210039999867</v>
      </c>
      <c r="BU39" s="189" cm="1">
        <f t="array" aca="1" ref="BU39" ca="1">_xlfn.XLOOKUP(TabCalc[[#This Row],[Ticker]],TabReg[[#Headers],[AAPL]:[UnknownX28]],Reg!B$72:KF$72)+3</f>
        <v>26</v>
      </c>
      <c r="BV39" s="190" cm="1">
        <f t="array" aca="1" ref="BV39" ca="1">_xlfn.XLOOKUP(TabCalc[[#This Row],[Ticker]],TabReg[[#Headers],[AAPL]:[UnknownX28]],Reg!B$73:KF$73)+2</f>
        <v>114</v>
      </c>
      <c r="BW39" s="191">
        <f ca="1">IFERROR(MAX(TabCalc[[#This Row],[Max_SD]],TabCalc[[#This Row],[Max_PD]]),0)</f>
        <v>45951</v>
      </c>
      <c r="BX39" s="191" t="str" cm="1">
        <f t="array" aca="1" ref="BX39" ca="1">_xlfn.IFS(TabCalc[[#This Row],[L_TP]]&lt;0,"Purchase",TabCalc[[#This Row],[L_TP]]&gt;0,"Sale")</f>
        <v>Sale</v>
      </c>
      <c r="BY39" s="190" cm="1">
        <f t="array" aca="1" ref="BY39" ca="1">INDEX(Reg!$A$1:$KF$73,TabCalc[[#This Row],[L_I1]],TabCalc[[#This Row],[L_I2]])</f>
        <v>2000</v>
      </c>
      <c r="BZ39" s="192" cm="1">
        <f t="array" aca="1" ref="BZ39" ca="1">INDEX(Reg!$A$1:$KF$73,TabCalc[[#This Row],[L_I1]],TabCalc[[#This Row],[L_I2]]+1)</f>
        <v>29.92</v>
      </c>
      <c r="CA39" s="161">
        <f ca="1">TabCalc[[#This Row],[NAfter]]*(TabCalc[[#This Row],[M]]-IF(TabCalc[[#This Row],[E]]&gt;0,0,TabCalc[[#This Row],[A]]))</f>
        <v>57807.319960000001</v>
      </c>
      <c r="CB39" s="167" cm="1">
        <f t="array" aca="1" ref="CB39" ca="1">IFERROR(MIN(_xlfn._xlws.FILTER(INDIRECT("TabReg["&amp;TabCalc[[#This Row],[Ticker]]&amp;"]"), INDIRECT("TabReg["&amp;TabCalc[[#This Row],[Ticker]]&amp;"2]")&gt;0)),0)</f>
        <v>45349</v>
      </c>
      <c r="CC39" s="178" cm="1">
        <f t="array" aca="1" ref="CC39" ca="1">IFERROR(MIN(_xlfn._xlws.FILTER(INDIRECT("TabReg["&amp;TabCalc[[#This Row],[Ticker]]&amp;"1]"), INDIRECT("TabReg["&amp;TabCalc[[#This Row],[Ticker]]&amp;"2]")&gt;0)),0)</f>
        <v>1000</v>
      </c>
      <c r="CD39" s="173" cm="1">
        <f t="array" aca="1" ref="CD39" ca="1">IFERROR(MIN(_xlfn._xlws.FILTER(INDIRECT("TabReg["&amp;TabCalc[[#This Row],[Ticker]]&amp;"2]"), INDIRECT("TabReg["&amp;TabCalc[[#This Row],[Ticker]]&amp;"2]")&gt;0)),0)</f>
        <v>9.7766999999999999</v>
      </c>
      <c r="CE39" s="167" cm="1">
        <f t="array" aca="1" ref="CE39" ca="1">IFERROR(MAX(_xlfn._xlws.FILTER(INDIRECT("TabReg["&amp;TabCalc[[#This Row],[Ticker]]&amp;"]"), INDIRECT("TabReg["&amp;TabCalc[[#This Row],[Ticker]]&amp;"2]")&gt;0)),0)</f>
        <v>45951</v>
      </c>
      <c r="CF39" s="178" cm="1">
        <f t="array" aca="1" ref="CF39" ca="1">IFERROR(MAX(_xlfn._xlws.FILTER(INDIRECT("TabReg["&amp;TabCalc[[#This Row],[Ticker]]&amp;"1]"), INDIRECT("TabReg["&amp;TabCalc[[#This Row],[Ticker]]&amp;"2]")&gt;0)),0)</f>
        <v>4000</v>
      </c>
      <c r="CG39" s="173" cm="1">
        <f t="array" aca="1" ref="CG39" ca="1">IFERROR(MAX(_xlfn._xlws.FILTER(INDIRECT("TabReg["&amp;TabCalc[[#This Row],[Ticker]]&amp;"2]"), INDIRECT("TabReg["&amp;TabCalc[[#This Row],[Ticker]]&amp;"2]")&gt;0)),0)</f>
        <v>42.05</v>
      </c>
      <c r="CH39" s="167" cm="1">
        <f t="array" aca="1" ref="CH39" ca="1">MIN(_xlfn._xlws.FILTER(INDIRECT("TabReg["&amp;TabCalc[[#This Row],[Ticker]]&amp;"]"), INDIRECT("TabReg["&amp;TabCalc[[#This Row],[Ticker]]&amp;"2]")&lt;0))</f>
        <v>40544</v>
      </c>
      <c r="CI39" s="177" cm="1">
        <f t="array" aca="1" ref="CI39" ca="1">MIN(_xlfn._xlws.FILTER(INDIRECT("TabReg["&amp;TabCalc[[#This Row],[Ticker]]&amp;"1]"), INDIRECT("TabReg["&amp;TabCalc[[#This Row],[Ticker]]&amp;"2]")&lt;0))</f>
        <v>1000</v>
      </c>
      <c r="CJ39" s="173" cm="1">
        <f t="array" aca="1" ref="CJ39" ca="1">MIN(_xlfn._xlws.FILTER(INDIRECT("TabReg["&amp;TabCalc[[#This Row],[Ticker]]&amp;"2]"), INDIRECT("TabReg["&amp;TabCalc[[#This Row],[Ticker]]&amp;"2]")&lt;0))</f>
        <v>-36.9220481481481</v>
      </c>
      <c r="CK39" s="167" cm="1">
        <f t="array" aca="1" ref="CK39" ca="1">MAX(_xlfn._xlws.FILTER(INDIRECT("TabReg["&amp;TabCalc[[#This Row],[Ticker]]&amp;"]"), INDIRECT("TabReg["&amp;TabCalc[[#This Row],[Ticker]]&amp;"2]")&lt;0))</f>
        <v>45926</v>
      </c>
      <c r="CL39" s="177" cm="1">
        <f t="array" aca="1" ref="CL39" ca="1">MAX(_xlfn._xlws.FILTER(INDIRECT("TabReg["&amp;TabCalc[[#This Row],[Ticker]]&amp;"1]"), INDIRECT("TabReg["&amp;TabCalc[[#This Row],[Ticker]]&amp;"2]")&lt;0))</f>
        <v>6000</v>
      </c>
      <c r="CM39" s="173" cm="1">
        <f t="array" aca="1" ref="CM39" ca="1">MAX(_xlfn._xlws.FILTER(INDIRECT("TabReg["&amp;TabCalc[[#This Row],[Ticker]]&amp;"2]"), INDIRECT("TabReg["&amp;TabCalc[[#This Row],[Ticker]]&amp;"2]")&lt;0))</f>
        <v>-8.2022999999999993</v>
      </c>
      <c r="CN39" s="167" cm="1">
        <f t="array" aca="1" ref="CN39" ca="1">IFERROR(_xlfn.XLOOKUP(TabCalc[[#This Row],[BS2P]],INDIRECT("TabReg["&amp;TabCalc[[#This Row],[Ticker]]&amp;"2]"),INDIRECT("TabReg["&amp;TabCalc[[#This Row],[Ticker]]&amp;"]")),0)</f>
        <v>45894</v>
      </c>
      <c r="CO39" s="178" cm="1">
        <f t="array" aca="1" ref="CO39" ca="1">IFERROR(_xlfn.XLOOKUP(TabCalc[[#This Row],[BS2P]],INDIRECT("TabReg["&amp;TabCalc[[#This Row],[Ticker]]&amp;"2]"),INDIRECT("TabReg["&amp;TabCalc[[#This Row],[Ticker]]&amp;"1]")),0)</f>
        <v>1000</v>
      </c>
      <c r="CP39" s="173">
        <f ca="1">_xlfn.MAXIFS(INDIRECT("TabReg["&amp;TabCalc[[#This Row],[Ticker]]&amp;"2]"), INDIRECT("TabReg["&amp;TabCalc[[#This Row],[Ticker]]&amp;"2]"), "&lt;" &amp; MAX(INDIRECT("TabReg["&amp;TabCalc[[#This Row],[Ticker]]&amp;"2]")))</f>
        <v>41.42</v>
      </c>
      <c r="CQ39" s="167" cm="1">
        <f t="array" aca="1" ref="CQ39" ca="1">IFERROR(_xlfn.XLOOKUP(TabCalc[[#This Row],[WB2P]],INDIRECT("TabReg["&amp;TabCalc[[#This Row],[Ticker]]&amp;"2]"),INDIRECT("TabReg["&amp;TabCalc[[#This Row],[Ticker]]&amp;"]")),0)</f>
        <v>45926</v>
      </c>
      <c r="CR39" s="178" cm="1">
        <f t="array" aca="1" ref="CR39" ca="1">IFERROR(_xlfn.XLOOKUP(TabCalc[[#This Row],[WB2P]],INDIRECT("TabReg["&amp;TabCalc[[#This Row],[Ticker]]&amp;"2]"),INDIRECT("TabReg["&amp;TabCalc[[#This Row],[Ticker]]&amp;"1]")),0)</f>
        <v>2000</v>
      </c>
      <c r="CS39" s="173">
        <f ca="1">_xlfn.MINIFS(INDIRECT("TabReg["&amp;TabCalc[[#This Row],[Ticker]]&amp;"2]"), INDIRECT("TabReg["&amp;TabCalc[[#This Row],[Ticker]]&amp;"2]"), "&gt;" &amp; MIN(INDIRECT("TabReg["&amp;TabCalc[[#This Row],[Ticker]]&amp;"2]")))</f>
        <v>-28.545245000000001</v>
      </c>
      <c r="CT39" s="405">
        <f ca="1">IF(TabCalc[[#This Row],[M]]&lt;TabCalc[[#This Row],[L_Sp]],DesiredBuyGain/(TabCalc[[#This Row],[L_Sp]]-TabCalc[[#This Row],[M]]),0)</f>
        <v>0</v>
      </c>
      <c r="CU39" s="406">
        <f ca="1">IF(TabCalc[[#This Row],[ntoBuy]]*TabCalc[[#This Row],[M]]&lt;=0,0,TabCalc[[#This Row],[ntoBuy]]*TabCalc[[#This Row],[M]])</f>
        <v>0</v>
      </c>
      <c r="CV39" s="406">
        <f ca="1">IF(TabCalc[[#This Row],[M]]&gt;ABS(TabCalc[[#This Row],[L_Bp]]),MIN(TabCalc[[#This Row],[NAfter]],DesiredSaleGain/(TabCalc[[#This Row],[M]]+TabCalc[[#This Row],[L_Bp]])),0)/TabCalc[[#This Row],[Scale]]</f>
        <v>2000</v>
      </c>
      <c r="CW39" s="407">
        <f ca="1">TabCalc[[#This Row],[ntoSell]]*TabCalc[[#This Row],[M]]</f>
        <v>59940</v>
      </c>
      <c r="CX39" s="400">
        <f ca="1">_xlfn.LET(_xlpm.nToSell,IF(TabCalc[[#This Row],[M]]-TabCalc[[#This Row],[A]]&lt;=0,"",INT(DesiredSaleGain/(TabCalc[[#This Row],[M]]-IF(TabCalc[[#This Row],[E]]&gt;0,0,TabCalc[[#This Row],[A]])))),IF(_xlpm.nToSell&lt;=TabCalc[[#This Row],[NAfter]],_xlpm.nToSell,0))</f>
        <v>172</v>
      </c>
      <c r="CY39" s="338">
        <f ca="1">IFERROR(TabCalc[[#This Row],[NMA]]*TabCalc[[#This Row],[M]],"")</f>
        <v>5154.84</v>
      </c>
      <c r="CZ39" s="337" cm="1">
        <f t="array" aca="1" ref="CZ39" ca="1">_xlfn.IFS(TabCalc[[#This Row],[M]]&gt;= TabCalc[[#This Row],[L_Sp]],(TabCalc[[#This Row],[M]]-TabCalc[[#This Row],[A]])*TabCalc[[#This Row],[NAfter]]*TabCalc[[#This Row],[Scale]],           TabCalc[[#This Row],[M]]&lt; TabCalc[[#This Row],[L_Sp]],(TabCalc[[#This Row],[M]]-TabCalc[[#This Row],[A]])*TabCalc[[#This Row],[NAfter]]*TabCalc[[#This Row],[Scale]],               TRUE,"")</f>
        <v>57807.319960000001</v>
      </c>
      <c r="DA39" s="90">
        <f ca="1">IFERROR((TabCalc[[#This Row],[M]]+TabCalc[[#This Row],[L_Bp]])/ABS(TabCalc[[#This Row],[L_Bp]])/(TODAY()-TabCalc[[#This Row],[L_Bdate]])*360,"")</f>
        <v>0.59894598907803975</v>
      </c>
      <c r="DB39" s="312">
        <f ca="1">MEDIAN(DataShift!F739:Z739)</f>
        <v>-8.1410000000000007E-3</v>
      </c>
      <c r="DC39" s="312" t="str" cm="1">
        <f t="array" aca="1" ref="DC3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39" s="88" t="s">
        <v>35</v>
      </c>
      <c r="DN39" s="81">
        <v>2700</v>
      </c>
      <c r="DO39" s="317">
        <v>-36.9220481481481</v>
      </c>
    </row>
    <row r="40" spans="1:119">
      <c r="A40" s="120" t="str">
        <f ca="1">_xlfn.XLOOKUP(TabCalc[[#This Row],[Ticker]],[1]!RTData[Ticker symbol],[1]!RTData[Currency])</f>
        <v>EUR</v>
      </c>
      <c r="B40" s="121">
        <f ca="1">IF(TabCalc[[#This Row],[Cur]]="GBP",0.01,1)</f>
        <v>1</v>
      </c>
      <c r="C40" s="82">
        <f ca="1">_xlfn.XLOOKUP(TabCalc[[#This Row],[Ticker]],DM$3:DM$96,DN$3:DN$96)</f>
        <v>30000</v>
      </c>
      <c r="D40" s="1254">
        <f ca="1">_xlfn.XLOOKUP(TabCalc[[#This Row],[Ticker]],DM$3:DM$96,DO$3:DO$96)</f>
        <v>-33.802067999999998</v>
      </c>
      <c r="E40" s="121">
        <f t="shared" ca="1" si="2"/>
        <v>-1014062.0399999999</v>
      </c>
      <c r="F40" s="82">
        <f ca="1">TabCalc[[#This Row],[NAfter]]*TabCalc[[#This Row],[M]]*TabCalc[[#This Row],[Scale]]</f>
        <v>2028.5</v>
      </c>
      <c r="G40" s="82">
        <f ca="1">IFERROR(TabCalc[[#This Row],[SB]]-TabCalc[[#This Row],[SST]],TabCalc[[#This Row],[SB]])</f>
        <v>50</v>
      </c>
      <c r="H40" s="535" t="str">
        <f ca="1">[1]!RTData[[#This Row],[Ticker symbol]]</f>
        <v>RWE</v>
      </c>
      <c r="I40" s="385">
        <f ca="1">[1]!RTData[[#This Row],[M-Price]]</f>
        <v>40.57</v>
      </c>
      <c r="J40" s="384">
        <v>28.545245000000001</v>
      </c>
      <c r="K40" s="383">
        <f>[1]!RTData[[#This Row],[1YT]]</f>
        <v>43.982349999999997</v>
      </c>
      <c r="L40" s="384">
        <f ca="1">IF(OR(TabCalc[[#This Row],[NAfter]]=0,TabCalc[[#This Row],[EfCost]]&gt;0),0,TabCalc[[#This Row],[EfCost]]/TabCalc[[#This Row],[NAfter]]/TabCalc[[#This Row],[Scale]])</f>
        <v>0</v>
      </c>
      <c r="M40" s="744">
        <f ca="1">[1]!RTData[[#This Row],[Change%]]</f>
        <v>3.215E-3</v>
      </c>
      <c r="N40" s="1172">
        <v>0</v>
      </c>
      <c r="O40" s="966">
        <f>TabCalc[[#This Row],[Up20]]-1+TabCalc[[#This Row],[Up20]]</f>
        <v>-1</v>
      </c>
      <c r="P40" s="966">
        <f>TabCalc[[#This Row],[Up20]]-TabCalc[[#This Row],[Up150]]</f>
        <v>0</v>
      </c>
      <c r="Q40" s="966">
        <v>0</v>
      </c>
      <c r="R40" s="966">
        <f>TabCalc[[#This Row],[Up150]]-1+TabCalc[[#This Row],[Up150]]</f>
        <v>-1</v>
      </c>
      <c r="S40" s="966">
        <f ca="1">IFERROR(SUMPRODUCT(DataShift!F1532:Z1532,DataShift!AB739:AV739)/SQRT(SUMPRODUCT(DataShift!F1532:Z1532,DataShift!F1532:Z1532)*SUMPRODUCT(DataShift!AB739:AV739,DataShift!AB739:AV739)),0)</f>
        <v>-0.76617289095533181</v>
      </c>
      <c r="T40" s="966">
        <f ca="1">IFERROR(SUMPRODUCT(DataShift!F1532:Z1532,DataShift!F740:Z740)/SQRT(SUMPRODUCT(DataShift!F1532:Z1532,DataShift!F1532:Z1532)*SUMPRODUCT(DataShift!F740:Z740,DataShift!F740:Z740)),0)</f>
        <v>0.55495256311835917</v>
      </c>
      <c r="U40" s="1107">
        <v>2000</v>
      </c>
      <c r="V40" s="1107">
        <v>0</v>
      </c>
      <c r="W40" s="1107">
        <v>0</v>
      </c>
      <c r="X40" s="966" t="str">
        <f ca="1">IF(TabCalc[[#This Row],[EfCost]]+TabCalc[[#This Row],[M_V]]&lt;TabCalc[[#This Row],[NoT_GL]],"Pile","")</f>
        <v>Pile</v>
      </c>
      <c r="Y4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0" s="213">
        <f ca="1">MIN(TabCalc[[#This Row],[L_Bn]],TabCalc[[#This Row],[NAfter]])*(TabCalc[[#This Row],[M]]+TabCalc[[#This Row],[L_Bp]])*TabCalc[[#This Row],[Scale]]</f>
        <v>610</v>
      </c>
      <c r="AA40" s="210" cm="1">
        <f t="array" aca="1" ref="AA40" ca="1">_xlfn.XLOOKUP(TabCalc[[#This Row],[L_Bp]],INDIRECT("TabReg["&amp;TabCalc[[#This Row],[Ticker]]&amp;"2]"),INDIRECT("TabReg["&amp;TabCalc[[#This Row],[Ticker]]&amp;"]"))</f>
        <v>45705</v>
      </c>
      <c r="AB40" s="181" cm="1">
        <f t="array" aca="1" ref="AB40" ca="1">_xlfn.XLOOKUP(TabCalc[[#This Row],[L_Bp]],INDIRECT("TabReg["&amp;TabCalc[[#This Row],[Ticker]]&amp;"2]"),INDIRECT("TabReg["&amp;TabCalc[[#This Row],[Ticker]]&amp;"1]"))</f>
        <v>4000</v>
      </c>
      <c r="AC40" s="192" cm="1">
        <f t="array" aca="1" ref="AC40" ca="1">IFERROR(INDEX(INDIRECT("TabReg["&amp;TabCalc[[#This Row],[Ticker]]&amp;"2]"),    _xlfn.XMATCH(    MAX(    _xlfn._xlws.FILTER(INDIRECT("TabReg["&amp;TabCalc[[#This Row],[Ticker]]&amp;"]"), INDIRECT("TabReg["&amp;TabCalc[[#This Row],[Ticker]]&amp;"2]")&lt;0)     ), INDIRECT("TabReg["&amp;TabCalc[[#This Row],[Ticker]]&amp;"]"),      0)), "")</f>
        <v>-28.37</v>
      </c>
      <c r="AD40" s="213">
        <f ca="1">IFERROR(MIN(TabCalc[[#This Row],[L_B1n]],TabCalc[[#This Row],[NAfter]])*(TabCalc[[#This Row],[M]]+TabCalc[[#This Row],[L_B1p]])*TabCalc[[#This Row],[Scale]],"")</f>
        <v>566.75</v>
      </c>
      <c r="AE40" s="210" cm="1">
        <f t="array" aca="1" ref="AE4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45698</v>
      </c>
      <c r="AF40" s="181" cm="1">
        <f t="array" aca="1" ref="AF40" ca="1">IFERROR(_xlfn.XLOOKUP(TabCalc[[#This Row],[L_B1D]],INDIRECT("TabReg["&amp;TabCalc[[#This Row],[Ticker]]&amp;"]"),INDIRECT("TabReg["&amp;TabCalc[[#This Row],[Ticker]]&amp;"1]")),0)</f>
        <v>4000</v>
      </c>
      <c r="AG40" s="192" cm="1">
        <f t="array" aca="1" ref="AG40" ca="1">IFERROR(_xlfn.XLOOKUP(TabCalc[[#This Row],[L_B1D]],INDIRECT("TabReg["&amp;TabCalc[[#This Row],[Ticker]]&amp;"]"),INDIRECT("TabReg["&amp;TabCalc[[#This Row],[Ticker]]&amp;"2]")),0)</f>
        <v>-29.234999999999999</v>
      </c>
      <c r="AH40" s="302">
        <f ca="1">IFERROR(TabCalc[[#This Row],[L_Sn]]*(TabCalc[[#This Row],[L_Sp]]-TabCalc[[#This Row],[M]])*TabCalc[[#This Row],[Scale]],"")</f>
        <v>-23072.000000000004</v>
      </c>
      <c r="AI40" s="210" cm="1">
        <f t="array" aca="1" ref="AI40" ca="1">IFERROR(_xlfn.XLOOKUP(TabCalc[[#This Row],[L_Sp]],INDIRECT("TabReg["&amp;TabCalc[[#This Row],[Ticker]]&amp;"2]"),INDIRECT("TabReg["&amp;TabCalc[[#This Row],[Ticker]]&amp;"]")),0)</f>
        <v>45811</v>
      </c>
      <c r="AJ40" s="181" cm="1">
        <f t="array" aca="1" ref="AJ40" ca="1">IFERROR(_xlfn.XLOOKUP(TabCalc[[#This Row],[L_Sp]],INDIRECT("TabReg["&amp;TabCalc[[#This Row],[Ticker]]&amp;"2]"),INDIRECT("TabReg["&amp;TabCalc[[#This Row],[Ticker]]&amp;"1]")),0)</f>
        <v>3200</v>
      </c>
      <c r="AK40" s="192" cm="1">
        <f t="array" aca="1" ref="AK40" ca="1">IFERROR(INDEX(INDIRECT("TabReg["&amp;TabCalc[[#This Row],[Ticker]]&amp;"2]"), _xlfn.XMATCH(MAX(_xlfn._xlws.FILTER(INDIRECT("TabReg["&amp;TabCalc[[#This Row],[Ticker]]&amp;"]"), INDIRECT("TabReg["&amp;TabCalc[[#This Row],[Ticker]]&amp;"2]")&gt;0)), INDIRECT("TabReg["&amp;TabCalc[[#This Row],[Ticker]]&amp;"]"), 0)), 0)</f>
        <v>33.36</v>
      </c>
      <c r="AL40" s="214">
        <f ca="1">IFERROR(TabCalc[[#This Row],[L_S1n]]*(TabCalc[[#This Row],[L_S1p]]-TabCalc[[#This Row],[M]])*TabCalc[[#This Row],[Scale]],0)</f>
        <v>-12494.999999999998</v>
      </c>
      <c r="AM40" s="210" cm="1">
        <f t="array" aca="1" ref="AM4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40" s="181" cm="1">
        <f t="array" aca="1" ref="AN40" ca="1">IFERROR(_xlfn.XLOOKUP(TabCalc[[#This Row],[L_S1D]],INDIRECT("TabReg["&amp;TabCalc[[#This Row],[Ticker]]&amp;"]"),INDIRECT("TabReg["&amp;TabCalc[[#This Row],[Ticker]]&amp;"1]")),0)</f>
        <v>1500</v>
      </c>
      <c r="AO40" s="384" cm="1">
        <f t="array" aca="1" ref="AO40" ca="1">IFERROR(_xlfn.XLOOKUP(TabCalc[[#This Row],[L_S1D]],INDIRECT("TabReg["&amp;TabCalc[[#This Row],[Ticker]]&amp;"]"),INDIRECT("TabReg["&amp;TabCalc[[#This Row],[Ticker]]&amp;"2]")),0)</f>
        <v>32.24</v>
      </c>
      <c r="AP40" s="336">
        <f ca="1">_xlfn.LET(_xlpm.MVOpen,[1]!RTData[[#This Row],[Open]]*TabCalc[[#This Row],[NAfter]],_xlpm.MVNow,TabCalc[[#This Row],[M]]*TabCalc[[#This Row],[NAfter]],_xlpm.MVNow-_xlpm.MVOpen)*TabCalc[[#This Row],[Scale]]</f>
        <v>12</v>
      </c>
      <c r="AQ40" s="336">
        <f ca="1">_xlfn.LET(_xlpm.MVToday,DataShift!AV540,         _xlpm.MVY,DataShift!AU541,        _xlpm.MVYY, DataShift!AT541,                                IF(_xlpm.MVToday=_xlpm.MVY,_xlpm.MVY-_xlpm.MVYY,_xlpm.MVToday-_xlpm.MVY))</f>
        <v>684.99999999999818</v>
      </c>
      <c r="AR40" s="336">
        <f ca="1">_xlfn.LET(_xlpm.MVToday,DataShift!AV540,         _xlpm.MVY,DataShift!AU541,        _xlpm.MVYY, DataShift!AT541,         _xlpm.MVYYY, DataShift!AS541,                      IF(_xlpm.MVToday=_xlpm.MVY,      _xlpm.MVYY-_xlpm.MVYYY,          _xlpm.MVY-_xlpm.MVYY))</f>
        <v>-244.99999999999909</v>
      </c>
      <c r="AS40" s="1078">
        <f ca="1">TabCalc[[#This Row],[Y]]/TabCalc[[#This Row],[M]]</f>
        <v>1.0841101799359132</v>
      </c>
      <c r="AT40" s="299" t="str" cm="1">
        <f t="array" aca="1" ref="AT40" ca="1">IFERROR(_xlfn.IFS(          TabCalc[[#This Row],[E]]&gt;0, "Free Trade",      TabCalc[[#This Row],[A]]&lt;MIN(TabCalc[[#This Row],[L_Sp]],TabCalc[[#This Row],[M]]), "Buy",            TabCalc[[#This Row],[M]]&lt;TabCalc[[#This Row],[L_Sp]],       "Refill",       TabCalc[[#This Row],[M]]&gt;TabCalc[[#This Row],[L_Sp]],"S_more"),"")</f>
        <v>Buy</v>
      </c>
      <c r="AU40" s="299" t="str">
        <f ca="1">IF(           AND(TabCalc[[#This Row],[E]]&lt;=0,          TabCalc[[#This Row],[A]]&gt;MIN(TabCalc[[#This Row],[M]],TabCalc[[#This Row],[L_Sp]]),             TabCalc[[#This Row],[L_Sp]]&lt;=TabCalc[[#This Row],[M]]),                       "S_more","")</f>
        <v/>
      </c>
      <c r="AV40" s="82" t="str" cm="1">
        <f t="array" aca="1" ref="AV40" ca="1">IFERROR(_xlfn.IFS(TabCalc[[#This Row],[E]]&gt;0,"Free trade",                 TabCalc[[#This Row],[A]]&lt;MAX(ABS(TabCalc[[#This Row],[L_Bp]]),TabCalc[[#This Row],[A]]),"Sell",             TabCalc[[#This Row],[M]]&gt;ABS(TabCalc[[#This Row],[L_Bp]]),"Resell",             TabCalc[[#This Row],[M]]&lt;ABS(TabCalc[[#This Row],[L_Bp]]),"B_more"),"")</f>
        <v>Resell</v>
      </c>
      <c r="AW40" s="82">
        <f ca="1">TabCalc[[#This Row],[NAfter]]-TabCalc[[#This Row],[Nbegin]]</f>
        <v>-29950</v>
      </c>
      <c r="AX40" s="307">
        <f ca="1">IFERROR((TabCalc[[#This Row],[M]]-TabCalc[[#This Row],[Y]])*(TabCalc[[#This Row],[M]]-TabCalc[[#This Row],[Y]])*(TabCalc[[#This Row],[M]]-TabCalc[[#This Row],[Y]])/(TabCalc[[#This Row],[Y]]*TabCalc[[#This Row],[M]]),"")</f>
        <v>-2.2267797915870604E-2</v>
      </c>
      <c r="AY40" s="82">
        <f t="shared" ca="1" si="3"/>
        <v>29950</v>
      </c>
      <c r="AZ40" s="90">
        <f ca="1">[1]!RTData[[#This Row],[V/VA]]</f>
        <v>0.73562425007112731</v>
      </c>
      <c r="BA40" s="90" t="str" cm="1">
        <f t="array" aca="1" ref="BA40" ca="1">IFERROR(_xlfn.IFS(TabCalc[[#This Row],[Cur]]="USD",Timer!F$27,TabCalc[[#This Row],[Cur]]="EUR",Timer!F$18,TabCalc[[#This Row],[Cur]]="GBP",Timer!F$12,TabCalc[[#This Row],[Cur]]="CAD",Timer!F$27,TabCalc[[#This Row],[Cur]]="JPY",Timer!F$31,TabCalc[[#This Row],[Cur]]="CHF",Timer!F$18),"Timing")</f>
        <v>None-Working Day</v>
      </c>
      <c r="BB40" s="90">
        <f ca="1">IF(ISNUMBER(TabCalc[[#This Row],[TimeEX]]),TabCalc[[#This Row],[V/VA]]/TabCalc[[#This Row],[TimeEX]],TabCalc[[#This Row],[V/VA]])</f>
        <v>0.73562425007112731</v>
      </c>
      <c r="BC40" s="87" cm="1">
        <f t="array" aca="1" ref="BC40" ca="1">INDEX(TabReg[], 1, _xlfn.XMATCH(TabCalc[[#This Row],[Ticker]]&amp;1, TabReg[#Headers], 0))</f>
        <v>30000</v>
      </c>
      <c r="BD40" s="161">
        <f ca="1">TabCalc[[#This Row],[Nbegin]]*TabCalc[[#This Row],[M]]*TabCalc[[#This Row],[Scale]]+TabCalc[[#This Row],[ValueBegin]]</f>
        <v>203037.96000000008</v>
      </c>
      <c r="BE40" s="336" t="str" cm="1">
        <f t="array" aca="1" ref="BE40" ca="1">_xlfn.IFS(TabCalc[[#This Row],[Cost+Gain]]&gt;0,"Free",             TabCalc[[#This Row],[GL]]&gt;0,"Gainer",                TRUE,"Looser")</f>
        <v>Free</v>
      </c>
      <c r="BF40" s="161">
        <f ca="1">TabCalc[[#This Row],[Tot_Paid]]-TabCalc[[#This Row],[ValueBegin]]</f>
        <v>-1724008.6424159999</v>
      </c>
      <c r="BG40" s="337">
        <f ca="1">IF(TabCalc[[#This Row],[EfCost]]&gt;TabCalc[[#This Row],[ValueBegin]],       0,        TabCalc[[#This Row],[EfCost]]-TabCalc[[#This Row],[ValueBegin]]*(1+Commission))</f>
        <v>0</v>
      </c>
      <c r="BH40" s="338">
        <f ca="1">TabCalc[[#This Row],[M_V]]+TabCalc[[#This Row],[ValueBegin]]</f>
        <v>-1012033.5399999999</v>
      </c>
      <c r="BI40" s="161" cm="1">
        <f t="array" aca="1" ref="BI40" ca="1">SUMPRODUCT(_xlfn._xlws.FILTER(INDIRECT("TabReg["&amp;TabCalc[[#This Row],[Ticker]]&amp;"1]") * INDIRECT("TabReg["&amp;TabCalc[[#This Row],[Ticker]]&amp;"2]"), INDIRECT("TabReg["&amp;TabCalc[[#This Row],[Ticker]]&amp;"2]")&lt;0))*(1+Commission)*TabCalc[[#This Row],[Scale]]</f>
        <v>-2738070.6824159999</v>
      </c>
      <c r="BJ40" s="161" cm="1">
        <f t="array" aca="1" ref="BJ40" ca="1">SUMPRODUCT(IF(INDIRECT("TabReg["&amp;TabCalc[[#This Row],[Ticker]]&amp;"2]") ="", 0, INDIRECT("TabReg["&amp;TabCalc[[#This Row],[Ticker]]&amp;"1]") * INDIRECT("TabReg["&amp;TabCalc[[#This Row],[Ticker]]&amp;"2]") ))*TabCalc[[#This Row],[Scale]]</f>
        <v>34133.352499999921</v>
      </c>
      <c r="BK40" s="161" cm="1">
        <f t="array" aca="1" ref="BK4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2757914.2433675001</v>
      </c>
      <c r="BL40" s="161">
        <f ca="1">TabCalc[[#This Row],[M_V]]+TabCalc[[#This Row],[EfCost]]</f>
        <v>36161.852499999921</v>
      </c>
      <c r="BM40" s="161">
        <f ca="1">IF(        OR( TabCalc[[#This Row],[GL]]&gt;ABS(TabCalc[[#This Row],[EfCost]]),TabCalc[[#This Row],[NAfter]]=0),             TabCalc[[#This Row],[GL]],     0)</f>
        <v>36161.852499999921</v>
      </c>
      <c r="BN40" s="161" cm="1">
        <f t="array" aca="1" ref="BN40" ca="1">SUMPRODUCT(_xlfn._xlws.FILTER(IF(INDIRECT("TabReg["&amp;TabCalc[[#This Row],[Ticker]]&amp;"2]") ="", 0, INDIRECT("TabReg["&amp;TabCalc[[#This Row],[Ticker]]&amp;"1]")  ),  INDIRECT("TabReg["&amp;TabCalc[[#This Row],[Ticker]]&amp;"2]") &lt; 0))</f>
        <v>83914</v>
      </c>
      <c r="BO40" s="161">
        <f ca="1">TabCalc[[#This Row],[SB]]-TabCalc[[#This Row],[Nbegin]]</f>
        <v>53914</v>
      </c>
      <c r="BP40" s="161" cm="1">
        <f t="array" aca="1" ref="BP40" ca="1">IFERROR(SUMPRODUCT(_xlfn._xlws.FILTER(IF(INDIRECT("TabReg["&amp;TabCalc[[#This Row],[Ticker]]&amp;"2]") ="", 0, INDIRECT("TabReg["&amp;TabCalc[[#This Row],[Ticker]]&amp;"1]")  ),  INDIRECT("TabReg["&amp;TabCalc[[#This Row],[Ticker]]&amp;"2]") &gt; 0)),0)</f>
        <v>83864</v>
      </c>
      <c r="BQ40"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0" s="176" t="str">
        <f ca="1">IF(TabCalc[[#This Row],[EfCost]]+TabCalc[[#This Row],[M_V]]&lt;TabCalc[[#This Row],[NoT_GL]],"Pile","")</f>
        <v>Pile</v>
      </c>
      <c r="BS40" s="167">
        <f ca="1">[1]!RTData[[#This Row],[Last trade time]]</f>
        <v>45954.770833333336</v>
      </c>
      <c r="BT40" s="177">
        <f ca="1">(TabCalc[[#This Row],[ValueBegin]]+(TabCalc[[#This Row],[M]]-TabCalc[[#This Row],[A]])*TabCalc[[#This Row],[NAfter]])*TabCalc[[#This Row],[Scale]]</f>
        <v>-1013460.8022499999</v>
      </c>
      <c r="BU40" s="189" cm="1">
        <f t="array" aca="1" ref="BU40" ca="1">_xlfn.XLOOKUP(TabCalc[[#This Row],[Ticker]],TabReg[[#Headers],[AAPL]:[UnknownX28]],Reg!B$72:KF$72)+3</f>
        <v>28</v>
      </c>
      <c r="BV40" s="190" cm="1">
        <f t="array" aca="1" ref="BV40" ca="1">_xlfn.XLOOKUP(TabCalc[[#This Row],[Ticker]],TabReg[[#Headers],[AAPL]:[UnknownX28]],Reg!B$73:KF$73)+2</f>
        <v>117</v>
      </c>
      <c r="BW40" s="191">
        <f ca="1">IFERROR(MAX(TabCalc[[#This Row],[Max_SD]],TabCalc[[#This Row],[Max_PD]]),0)</f>
        <v>45811</v>
      </c>
      <c r="BX40" s="191" t="str" cm="1">
        <f t="array" aca="1" ref="BX40" ca="1">_xlfn.IFS(TabCalc[[#This Row],[L_TP]]&lt;0,"Purchase",TabCalc[[#This Row],[L_TP]]&gt;0,"Sale")</f>
        <v>Sale</v>
      </c>
      <c r="BY40" s="190" cm="1">
        <f t="array" aca="1" ref="BY40" ca="1">INDEX(Reg!$A$1:$KF$73,TabCalc[[#This Row],[L_I1]],TabCalc[[#This Row],[L_I2]])</f>
        <v>3200</v>
      </c>
      <c r="BZ40" s="192" cm="1">
        <f t="array" aca="1" ref="BZ40" ca="1">INDEX(Reg!$A$1:$KF$73,TabCalc[[#This Row],[L_I1]],TabCalc[[#This Row],[L_I2]]+1)</f>
        <v>33.36</v>
      </c>
      <c r="CA40" s="161">
        <f ca="1">TabCalc[[#This Row],[NAfter]]*(TabCalc[[#This Row],[M]]-IF(TabCalc[[#This Row],[E]]&gt;0,0,TabCalc[[#This Row],[A]]))</f>
        <v>601.23775000000001</v>
      </c>
      <c r="CB40" s="167" cm="1">
        <f t="array" aca="1" ref="CB40" ca="1">IFERROR(MIN(_xlfn._xlws.FILTER(INDIRECT("TabReg["&amp;TabCalc[[#This Row],[Ticker]]&amp;"]"), INDIRECT("TabReg["&amp;TabCalc[[#This Row],[Ticker]]&amp;"2]")&gt;0)),0)</f>
        <v>45408</v>
      </c>
      <c r="CC40" s="178" cm="1">
        <f t="array" aca="1" ref="CC40" ca="1">IFERROR(MIN(_xlfn._xlws.FILTER(INDIRECT("TabReg["&amp;TabCalc[[#This Row],[Ticker]]&amp;"1]"), INDIRECT("TabReg["&amp;TabCalc[[#This Row],[Ticker]]&amp;"2]")&gt;0)),0)</f>
        <v>1000</v>
      </c>
      <c r="CD40" s="173" cm="1">
        <f t="array" aca="1" ref="CD40" ca="1">IFERROR(MIN(_xlfn._xlws.FILTER(INDIRECT("TabReg["&amp;TabCalc[[#This Row],[Ticker]]&amp;"2]"), INDIRECT("TabReg["&amp;TabCalc[[#This Row],[Ticker]]&amp;"2]")&gt;0)),0)</f>
        <v>29.33</v>
      </c>
      <c r="CE40" s="167" cm="1">
        <f t="array" aca="1" ref="CE40" ca="1">IFERROR(MAX(_xlfn._xlws.FILTER(INDIRECT("TabReg["&amp;TabCalc[[#This Row],[Ticker]]&amp;"]"), INDIRECT("TabReg["&amp;TabCalc[[#This Row],[Ticker]]&amp;"2]")&gt;0)),0)</f>
        <v>45811</v>
      </c>
      <c r="CF40" s="178" cm="1">
        <f t="array" aca="1" ref="CF40" ca="1">IFERROR(MAX(_xlfn._xlws.FILTER(INDIRECT("TabReg["&amp;TabCalc[[#This Row],[Ticker]]&amp;"1]"), INDIRECT("TabReg["&amp;TabCalc[[#This Row],[Ticker]]&amp;"2]")&gt;0)),0)</f>
        <v>15000</v>
      </c>
      <c r="CG40" s="173" cm="1">
        <f t="array" aca="1" ref="CG40" ca="1">IFERROR(MAX(_xlfn._xlws.FILTER(INDIRECT("TabReg["&amp;TabCalc[[#This Row],[Ticker]]&amp;"2]"), INDIRECT("TabReg["&amp;TabCalc[[#This Row],[Ticker]]&amp;"2]")&gt;0)),0)</f>
        <v>36.225999999999999</v>
      </c>
      <c r="CH40" s="167" cm="1">
        <f t="array" aca="1" ref="CH40" ca="1">MIN(_xlfn._xlws.FILTER(INDIRECT("TabReg["&amp;TabCalc[[#This Row],[Ticker]]&amp;"]"), INDIRECT("TabReg["&amp;TabCalc[[#This Row],[Ticker]]&amp;"2]")&lt;0))</f>
        <v>40544</v>
      </c>
      <c r="CI40" s="177" cm="1">
        <f t="array" aca="1" ref="CI40" ca="1">MIN(_xlfn._xlws.FILTER(INDIRECT("TabReg["&amp;TabCalc[[#This Row],[Ticker]]&amp;"1]"), INDIRECT("TabReg["&amp;TabCalc[[#This Row],[Ticker]]&amp;"2]")&lt;0))</f>
        <v>1914</v>
      </c>
      <c r="CJ40" s="173" cm="1">
        <f t="array" aca="1" ref="CJ40" ca="1">MIN(_xlfn._xlws.FILTER(INDIRECT("TabReg["&amp;TabCalc[[#This Row],[Ticker]]&amp;"2]"), INDIRECT("TabReg["&amp;TabCalc[[#This Row],[Ticker]]&amp;"2]")&lt;0))</f>
        <v>-33.802067999999998</v>
      </c>
      <c r="CK40" s="167" cm="1">
        <f t="array" aca="1" ref="CK40" ca="1">MAX(_xlfn._xlws.FILTER(INDIRECT("TabReg["&amp;TabCalc[[#This Row],[Ticker]]&amp;"]"), INDIRECT("TabReg["&amp;TabCalc[[#This Row],[Ticker]]&amp;"2]")&lt;0))</f>
        <v>45705</v>
      </c>
      <c r="CL40" s="177" cm="1">
        <f t="array" aca="1" ref="CL40" ca="1">MAX(_xlfn._xlws.FILTER(INDIRECT("TabReg["&amp;TabCalc[[#This Row],[Ticker]]&amp;"1]"), INDIRECT("TabReg["&amp;TabCalc[[#This Row],[Ticker]]&amp;"2]")&lt;0))</f>
        <v>30000</v>
      </c>
      <c r="CM40" s="173" cm="1">
        <f t="array" aca="1" ref="CM40" ca="1">MAX(_xlfn._xlws.FILTER(INDIRECT("TabReg["&amp;TabCalc[[#This Row],[Ticker]]&amp;"2]"), INDIRECT("TabReg["&amp;TabCalc[[#This Row],[Ticker]]&amp;"2]")&lt;0))</f>
        <v>-28.37</v>
      </c>
      <c r="CN40" s="167" cm="1">
        <f t="array" aca="1" ref="CN40" ca="1">IFERROR(_xlfn.XLOOKUP(TabCalc[[#This Row],[BS2P]],INDIRECT("TabReg["&amp;TabCalc[[#This Row],[Ticker]]&amp;"2]"),INDIRECT("TabReg["&amp;TabCalc[[#This Row],[Ticker]]&amp;"]")),0)</f>
        <v>45435</v>
      </c>
      <c r="CO40" s="178" cm="1">
        <f t="array" aca="1" ref="CO40" ca="1">IFERROR(_xlfn.XLOOKUP(TabCalc[[#This Row],[BS2P]],INDIRECT("TabReg["&amp;TabCalc[[#This Row],[Ticker]]&amp;"2]"),INDIRECT("TabReg["&amp;TabCalc[[#This Row],[Ticker]]&amp;"1]")),0)</f>
        <v>10000</v>
      </c>
      <c r="CP40" s="173">
        <f ca="1">_xlfn.MAXIFS(INDIRECT("TabReg["&amp;TabCalc[[#This Row],[Ticker]]&amp;"2]"), INDIRECT("TabReg["&amp;TabCalc[[#This Row],[Ticker]]&amp;"2]"), "&lt;" &amp; MAX(INDIRECT("TabReg["&amp;TabCalc[[#This Row],[Ticker]]&amp;"2]")))</f>
        <v>34.6</v>
      </c>
      <c r="CQ40" s="167" cm="1">
        <f t="array" aca="1" ref="CQ40" ca="1">IFERROR(_xlfn.XLOOKUP(TabCalc[[#This Row],[WB2P]],INDIRECT("TabReg["&amp;TabCalc[[#This Row],[Ticker]]&amp;"2]"),INDIRECT("TabReg["&amp;TabCalc[[#This Row],[Ticker]]&amp;"]")),0)</f>
        <v>45412</v>
      </c>
      <c r="CR40" s="178" cm="1">
        <f t="array" aca="1" ref="CR40" ca="1">IFERROR(_xlfn.XLOOKUP(TabCalc[[#This Row],[WB2P]],INDIRECT("TabReg["&amp;TabCalc[[#This Row],[Ticker]]&amp;"2]"),INDIRECT("TabReg["&amp;TabCalc[[#This Row],[Ticker]]&amp;"1]")),0)</f>
        <v>15000</v>
      </c>
      <c r="CS40" s="173">
        <f ca="1">_xlfn.MINIFS(INDIRECT("TabReg["&amp;TabCalc[[#This Row],[Ticker]]&amp;"2]"), INDIRECT("TabReg["&amp;TabCalc[[#This Row],[Ticker]]&amp;"2]"), "&gt;" &amp; MIN(INDIRECT("TabReg["&amp;TabCalc[[#This Row],[Ticker]]&amp;"2]")))</f>
        <v>-33.28</v>
      </c>
      <c r="CT40" s="405">
        <f ca="1">IF(TabCalc[[#This Row],[M]]&lt;TabCalc[[#This Row],[L_Sp]],DesiredBuyGain/(TabCalc[[#This Row],[L_Sp]]-TabCalc[[#This Row],[M]]),0)</f>
        <v>0</v>
      </c>
      <c r="CU40" s="406">
        <f ca="1">IF(TabCalc[[#This Row],[ntoBuy]]*TabCalc[[#This Row],[M]]&lt;=0,0,TabCalc[[#This Row],[ntoBuy]]*TabCalc[[#This Row],[M]])</f>
        <v>0</v>
      </c>
      <c r="CV40" s="406">
        <f ca="1">IF(TabCalc[[#This Row],[M]]&gt;ABS(TabCalc[[#This Row],[L_Bp]]),MIN(TabCalc[[#This Row],[NAfter]],DesiredSaleGain/(TabCalc[[#This Row],[M]]+TabCalc[[#This Row],[L_Bp]])),0)/TabCalc[[#This Row],[Scale]]</f>
        <v>50</v>
      </c>
      <c r="CW40" s="407">
        <f ca="1">TabCalc[[#This Row],[ntoSell]]*TabCalc[[#This Row],[M]]</f>
        <v>2028.5</v>
      </c>
      <c r="CX40" s="400">
        <f ca="1">_xlfn.LET(_xlpm.nToSell,IF(TabCalc[[#This Row],[M]]-TabCalc[[#This Row],[A]]&lt;=0,"",INT(DesiredSaleGain/(TabCalc[[#This Row],[M]]-IF(TabCalc[[#This Row],[E]]&gt;0,0,TabCalc[[#This Row],[A]])))),IF(_xlpm.nToSell&lt;=TabCalc[[#This Row],[NAfter]],_xlpm.nToSell,0))</f>
        <v>0</v>
      </c>
      <c r="CY40" s="338">
        <f ca="1">IFERROR(TabCalc[[#This Row],[NMA]]*TabCalc[[#This Row],[M]],"")</f>
        <v>0</v>
      </c>
      <c r="CZ40" s="337" cm="1">
        <f t="array" aca="1" ref="CZ40" ca="1">_xlfn.IFS(TabCalc[[#This Row],[M]]&gt;= TabCalc[[#This Row],[L_Sp]],(TabCalc[[#This Row],[M]]-TabCalc[[#This Row],[A]])*TabCalc[[#This Row],[NAfter]]*TabCalc[[#This Row],[Scale]],           TabCalc[[#This Row],[M]]&lt; TabCalc[[#This Row],[L_Sp]],(TabCalc[[#This Row],[M]]-TabCalc[[#This Row],[A]])*TabCalc[[#This Row],[NAfter]]*TabCalc[[#This Row],[Scale]],               TRUE,"")</f>
        <v>601.23775000000001</v>
      </c>
      <c r="DA40" s="90">
        <f ca="1">IFERROR((TabCalc[[#This Row],[M]]+TabCalc[[#This Row],[L_Bp]])/ABS(TabCalc[[#This Row],[L_Bp]])/(TODAY()-TabCalc[[#This Row],[L_Bdate]])*360,"")</f>
        <v>0.61677856778736295</v>
      </c>
      <c r="DB40" s="312">
        <f ca="1">MEDIAN(DataShift!F740:Z740)</f>
        <v>-2.7536999999999999E-2</v>
      </c>
      <c r="DC40" s="312" t="str" cm="1">
        <f t="array" aca="1" ref="DC4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40" t="s">
        <v>36</v>
      </c>
      <c r="DN40" s="81">
        <v>500</v>
      </c>
      <c r="DO40" s="317">
        <v>-172.548</v>
      </c>
    </row>
    <row r="41" spans="1:119">
      <c r="A41" s="120" t="str">
        <f ca="1">_xlfn.XLOOKUP(TabCalc[[#This Row],[Ticker]],[1]!RTData[Ticker symbol],[1]!RTData[Currency])</f>
        <v>EUR</v>
      </c>
      <c r="B41" s="121">
        <f ca="1">IF(TabCalc[[#This Row],[Cur]]="GBP",0.01,1)</f>
        <v>1</v>
      </c>
      <c r="C41" s="82">
        <f ca="1">_xlfn.XLOOKUP(TabCalc[[#This Row],[Ticker]],DM$3:DM$96,DN$3:DN$96)</f>
        <v>1500</v>
      </c>
      <c r="D41" s="1254">
        <f ca="1">_xlfn.XLOOKUP(TabCalc[[#This Row],[Ticker]],DM$3:DM$96,DO$3:DO$96)</f>
        <v>-93.048699999999997</v>
      </c>
      <c r="E41" s="121">
        <f t="shared" ca="1" si="2"/>
        <v>-139573.04999999999</v>
      </c>
      <c r="F41" s="82">
        <f ca="1">TabCalc[[#This Row],[NAfter]]*TabCalc[[#This Row],[M]]*TabCalc[[#This Row],[Scale]]</f>
        <v>886730</v>
      </c>
      <c r="G41" s="82">
        <f ca="1">IFERROR(TabCalc[[#This Row],[SB]]-TabCalc[[#This Row],[SST]],TabCalc[[#This Row],[SB]])</f>
        <v>3800</v>
      </c>
      <c r="H41" s="535" t="str">
        <f ca="1">[1]!RTData[[#This Row],[Ticker symbol]]</f>
        <v>SAP</v>
      </c>
      <c r="I41" s="385">
        <f ca="1">[1]!RTData[[#This Row],[M-Price]]</f>
        <v>233.35</v>
      </c>
      <c r="J41" s="384">
        <v>28.37</v>
      </c>
      <c r="K41" s="383">
        <f>[1]!RTData[[#This Row],[1YT]]</f>
        <v>287.60270000000003</v>
      </c>
      <c r="L41" s="384">
        <f ca="1">IF(OR(TabCalc[[#This Row],[NAfter]]=0,TabCalc[[#This Row],[EfCost]]&gt;0),0,TabCalc[[#This Row],[EfCost]]/TabCalc[[#This Row],[NAfter]]/TabCalc[[#This Row],[Scale]])</f>
        <v>-217.99105921052634</v>
      </c>
      <c r="M41" s="744">
        <f ca="1">[1]!RTData[[#This Row],[Change%]]</f>
        <v>-3.5743999999999998E-2</v>
      </c>
      <c r="N41" s="1172">
        <v>0</v>
      </c>
      <c r="O41" s="966">
        <f>TabCalc[[#This Row],[Up20]]-1+TabCalc[[#This Row],[Up20]]</f>
        <v>-1</v>
      </c>
      <c r="P41" s="966">
        <f>TabCalc[[#This Row],[Up20]]-TabCalc[[#This Row],[Up150]]</f>
        <v>0</v>
      </c>
      <c r="Q41" s="966">
        <v>0</v>
      </c>
      <c r="R41" s="966">
        <f>TabCalc[[#This Row],[Up150]]-1+TabCalc[[#This Row],[Up150]]</f>
        <v>-1</v>
      </c>
      <c r="S41" s="966">
        <f ca="1">IFERROR(SUMPRODUCT(DataShift!F1533:Z1533,DataShift!AB740:AV740)/SQRT(SUMPRODUCT(DataShift!F1533:Z1533,DataShift!F1533:Z1533)*SUMPRODUCT(DataShift!AB740:AV740,DataShift!AB740:AV740)),0)</f>
        <v>-0.85746946760250398</v>
      </c>
      <c r="T41" s="966">
        <f ca="1">IFERROR(SUMPRODUCT(DataShift!F1533:Z1533,DataShift!F741:Z741)/SQRT(SUMPRODUCT(DataShift!F1533:Z1533,DataShift!F1533:Z1533)*SUMPRODUCT(DataShift!F741:Z741,DataShift!F741:Z741)),0)</f>
        <v>-0.13077081071527163</v>
      </c>
      <c r="U41" s="1107">
        <v>50</v>
      </c>
      <c r="V41" s="1107">
        <v>0</v>
      </c>
      <c r="W41" s="1107">
        <v>0</v>
      </c>
      <c r="X41" s="966" t="str">
        <f ca="1">IF(TabCalc[[#This Row],[EfCost]]+TabCalc[[#This Row],[M_V]]&lt;TabCalc[[#This Row],[NoT_GL]],"Pile","")</f>
        <v>Pile</v>
      </c>
      <c r="Y4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1" s="213">
        <f ca="1">MIN(TabCalc[[#This Row],[L_Bn]],TabCalc[[#This Row],[NAfter]])*(TabCalc[[#This Row],[M]]+TabCalc[[#This Row],[L_Bp]])*TabCalc[[#This Row],[Scale]]</f>
        <v>500</v>
      </c>
      <c r="AA41" s="210" cm="1">
        <f t="array" aca="1" ref="AA41" ca="1">_xlfn.XLOOKUP(TabCalc[[#This Row],[L_Bp]],INDIRECT("TabReg["&amp;TabCalc[[#This Row],[Ticker]]&amp;"2]"),INDIRECT("TabReg["&amp;TabCalc[[#This Row],[Ticker]]&amp;"]"))</f>
        <v>45932</v>
      </c>
      <c r="AB41" s="181" cm="1">
        <f t="array" aca="1" ref="AB41" ca="1">_xlfn.XLOOKUP(TabCalc[[#This Row],[L_Bp]],INDIRECT("TabReg["&amp;TabCalc[[#This Row],[Ticker]]&amp;"2]"),INDIRECT("TabReg["&amp;TabCalc[[#This Row],[Ticker]]&amp;"1]"))</f>
        <v>500</v>
      </c>
      <c r="AC41" s="192" cm="1">
        <f t="array" aca="1" ref="AC41" ca="1">IFERROR(INDEX(INDIRECT("TabReg["&amp;TabCalc[[#This Row],[Ticker]]&amp;"2]"),    _xlfn.XMATCH(    MAX(    _xlfn._xlws.FILTER(INDIRECT("TabReg["&amp;TabCalc[[#This Row],[Ticker]]&amp;"]"), INDIRECT("TabReg["&amp;TabCalc[[#This Row],[Ticker]]&amp;"2]")&lt;0)     ), INDIRECT("TabReg["&amp;TabCalc[[#This Row],[Ticker]]&amp;"]"),      0)), "")</f>
        <v>-232.35</v>
      </c>
      <c r="AD41" s="213">
        <f ca="1">IFERROR(MIN(TabCalc[[#This Row],[L_B1n]],TabCalc[[#This Row],[NAfter]])*(TabCalc[[#This Row],[M]]+TabCalc[[#This Row],[L_B1p]])*TabCalc[[#This Row],[Scale]],"")</f>
        <v>5799.9999999999827</v>
      </c>
      <c r="AE41" s="210" cm="1">
        <f t="array" aca="1" ref="AE4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45919</v>
      </c>
      <c r="AF41" s="181" cm="1">
        <f t="array" aca="1" ref="AF41" ca="1">IFERROR(_xlfn.XLOOKUP(TabCalc[[#This Row],[L_B1D]],INDIRECT("TabReg["&amp;TabCalc[[#This Row],[Ticker]]&amp;"]"),INDIRECT("TabReg["&amp;TabCalc[[#This Row],[Ticker]]&amp;"1]")),0)</f>
        <v>1000</v>
      </c>
      <c r="AG41" s="192" cm="1">
        <f t="array" aca="1" ref="AG41" ca="1">IFERROR(_xlfn.XLOOKUP(TabCalc[[#This Row],[L_B1D]],INDIRECT("TabReg["&amp;TabCalc[[#This Row],[Ticker]]&amp;"]"),INDIRECT("TabReg["&amp;TabCalc[[#This Row],[Ticker]]&amp;"2]")),0)</f>
        <v>-227.55</v>
      </c>
      <c r="AH41" s="302">
        <f ca="1">IFERROR(TabCalc[[#This Row],[L_Sn]]*(TabCalc[[#This Row],[L_Sp]]-TabCalc[[#This Row],[M]])*TabCalc[[#This Row],[Scale]],"")</f>
        <v>890.00000000000341</v>
      </c>
      <c r="AI41" s="210" cm="1">
        <f t="array" aca="1" ref="AI41" ca="1">IFERROR(_xlfn.XLOOKUP(TabCalc[[#This Row],[L_Sp]],INDIRECT("TabReg["&amp;TabCalc[[#This Row],[Ticker]]&amp;"2]"),INDIRECT("TabReg["&amp;TabCalc[[#This Row],[Ticker]]&amp;"]")),0)</f>
        <v>45940</v>
      </c>
      <c r="AJ41" s="181" cm="1">
        <f t="array" aca="1" ref="AJ41" ca="1">IFERROR(_xlfn.XLOOKUP(TabCalc[[#This Row],[L_Sp]],INDIRECT("TabReg["&amp;TabCalc[[#This Row],[Ticker]]&amp;"2]"),INDIRECT("TabReg["&amp;TabCalc[[#This Row],[Ticker]]&amp;"1]")),0)</f>
        <v>200</v>
      </c>
      <c r="AK41" s="192" cm="1">
        <f t="array" aca="1" ref="AK41" ca="1">IFERROR(INDEX(INDIRECT("TabReg["&amp;TabCalc[[#This Row],[Ticker]]&amp;"2]"), _xlfn.XMATCH(MAX(_xlfn._xlws.FILTER(INDIRECT("TabReg["&amp;TabCalc[[#This Row],[Ticker]]&amp;"]"), INDIRECT("TabReg["&amp;TabCalc[[#This Row],[Ticker]]&amp;"2]")&gt;0)), INDIRECT("TabReg["&amp;TabCalc[[#This Row],[Ticker]]&amp;"]"), 0)), 0)</f>
        <v>237.8</v>
      </c>
      <c r="AL41" s="214">
        <f ca="1">IFERROR(TabCalc[[#This Row],[L_S1n]]*(TabCalc[[#This Row],[L_S1p]]-TabCalc[[#This Row],[M]])*TabCalc[[#This Row],[Scale]],0)</f>
        <v>15850.000000000009</v>
      </c>
      <c r="AM41" s="210" cm="1">
        <f t="array" aca="1" ref="AM4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45855</v>
      </c>
      <c r="AN41" s="181" cm="1">
        <f t="array" aca="1" ref="AN41" ca="1">IFERROR(_xlfn.XLOOKUP(TabCalc[[#This Row],[L_S1D]],INDIRECT("TabReg["&amp;TabCalc[[#This Row],[Ticker]]&amp;"]"),INDIRECT("TabReg["&amp;TabCalc[[#This Row],[Ticker]]&amp;"1]")),0)</f>
        <v>500</v>
      </c>
      <c r="AO41" s="384" cm="1">
        <f t="array" aca="1" ref="AO41" ca="1">IFERROR(_xlfn.XLOOKUP(TabCalc[[#This Row],[L_S1D]],INDIRECT("TabReg["&amp;TabCalc[[#This Row],[Ticker]]&amp;"]"),INDIRECT("TabReg["&amp;TabCalc[[#This Row],[Ticker]]&amp;"2]")),0)</f>
        <v>265.05</v>
      </c>
      <c r="AP41" s="336">
        <f ca="1">_xlfn.LET(_xlpm.MVOpen,[1]!RTData[[#This Row],[Open]]*TabCalc[[#This Row],[NAfter]],_xlpm.MVNow,TabCalc[[#This Row],[M]]*TabCalc[[#This Row],[NAfter]],_xlpm.MVNow-_xlpm.MVOpen)*TabCalc[[#This Row],[Scale]]</f>
        <v>-30020</v>
      </c>
      <c r="AQ41" s="336">
        <f ca="1">_xlfn.LET(_xlpm.MVToday,DataShift!AV541,         _xlpm.MVY,DataShift!AU542,        _xlpm.MVYY, DataShift!AT542,                                IF(_xlpm.MVToday=_xlpm.MVY,_xlpm.MVY-_xlpm.MVYY,_xlpm.MVToday-_xlpm.MVY))</f>
        <v>1160</v>
      </c>
      <c r="AR41" s="336">
        <f ca="1">_xlfn.LET(_xlpm.MVToday,DataShift!AV541,         _xlpm.MVY,DataShift!AU542,        _xlpm.MVYY, DataShift!AT542,         _xlpm.MVYYY, DataShift!AS542,                      IF(_xlpm.MVToday=_xlpm.MVY,      _xlpm.MVYY-_xlpm.MVYYY,          _xlpm.MVY-_xlpm.MVYY))</f>
        <v>-2600</v>
      </c>
      <c r="AS41" s="1078">
        <f ca="1">TabCalc[[#This Row],[Y]]/TabCalc[[#This Row],[M]]</f>
        <v>1.2324949646453827</v>
      </c>
      <c r="AT41" s="299" t="str" cm="1">
        <f t="array" aca="1" ref="AT41" ca="1">IFERROR(_xlfn.IFS(          TabCalc[[#This Row],[E]]&gt;0, "Free Trade",      TabCalc[[#This Row],[A]]&lt;MIN(TabCalc[[#This Row],[L_Sp]],TabCalc[[#This Row],[M]]), "Buy",            TabCalc[[#This Row],[M]]&lt;TabCalc[[#This Row],[L_Sp]],       "Refill",       TabCalc[[#This Row],[M]]&gt;TabCalc[[#This Row],[L_Sp]],"S_more"),"")</f>
        <v>Buy</v>
      </c>
      <c r="AU41" s="299" t="str">
        <f ca="1">IF(           AND(TabCalc[[#This Row],[E]]&lt;=0,          TabCalc[[#This Row],[A]]&gt;MIN(TabCalc[[#This Row],[M]],TabCalc[[#This Row],[L_Sp]]),             TabCalc[[#This Row],[L_Sp]]&lt;=TabCalc[[#This Row],[M]]),                       "S_more","")</f>
        <v/>
      </c>
      <c r="AV41" s="82" t="str" cm="1">
        <f t="array" aca="1" ref="AV41" ca="1">IFERROR(_xlfn.IFS(TabCalc[[#This Row],[E]]&gt;0,"Free trade",                 TabCalc[[#This Row],[A]]&lt;MAX(ABS(TabCalc[[#This Row],[L_Bp]]),TabCalc[[#This Row],[A]]),"Sell",             TabCalc[[#This Row],[M]]&gt;ABS(TabCalc[[#This Row],[L_Bp]]),"Resell",             TabCalc[[#This Row],[M]]&lt;ABS(TabCalc[[#This Row],[L_Bp]]),"B_more"),"")</f>
        <v>Sell</v>
      </c>
      <c r="AW41" s="82">
        <f ca="1">TabCalc[[#This Row],[NAfter]]-TabCalc[[#This Row],[Nbegin]]</f>
        <v>2300</v>
      </c>
      <c r="AX41" s="307">
        <f ca="1">IFERROR((TabCalc[[#This Row],[M]]-TabCalc[[#This Row],[Y]])*(TabCalc[[#This Row],[M]]-TabCalc[[#This Row],[Y]])*(TabCalc[[#This Row],[M]]-TabCalc[[#This Row],[Y]])/(TabCalc[[#This Row],[Y]]*TabCalc[[#This Row],[M]]),"")</f>
        <v>-2.3793772554340875</v>
      </c>
      <c r="AY41" s="82">
        <f t="shared" ca="1" si="3"/>
        <v>0</v>
      </c>
      <c r="AZ41" s="90">
        <f ca="1">[1]!RTData[[#This Row],[V/VA]]</f>
        <v>1.4654710415921433</v>
      </c>
      <c r="BA41" s="90" t="str" cm="1">
        <f t="array" aca="1" ref="BA41" ca="1">IFERROR(_xlfn.IFS(TabCalc[[#This Row],[Cur]]="USD",Timer!F$27,TabCalc[[#This Row],[Cur]]="EUR",Timer!F$18,TabCalc[[#This Row],[Cur]]="GBP",Timer!F$12,TabCalc[[#This Row],[Cur]]="CAD",Timer!F$27,TabCalc[[#This Row],[Cur]]="JPY",Timer!F$31,TabCalc[[#This Row],[Cur]]="CHF",Timer!F$18),"Timing")</f>
        <v>None-Working Day</v>
      </c>
      <c r="BB41" s="90">
        <f ca="1">IF(ISNUMBER(TabCalc[[#This Row],[TimeEX]]),TabCalc[[#This Row],[V/VA]]/TabCalc[[#This Row],[TimeEX]],TabCalc[[#This Row],[V/VA]])</f>
        <v>1.4654710415921433</v>
      </c>
      <c r="BC41" s="87" cm="1">
        <f t="array" aca="1" ref="BC41" ca="1">INDEX(TabReg[], 1, _xlfn.XMATCH(TabCalc[[#This Row],[Ticker]]&amp;1, TabReg[#Headers], 0))</f>
        <v>1500</v>
      </c>
      <c r="BD41" s="161">
        <f ca="1">TabCalc[[#This Row],[Nbegin]]*TabCalc[[#This Row],[M]]*TabCalc[[#This Row],[Scale]]+TabCalc[[#This Row],[ValueBegin]]</f>
        <v>210451.95</v>
      </c>
      <c r="BE41" s="336" t="str" cm="1">
        <f t="array" aca="1" ref="BE41" ca="1">_xlfn.IFS(TabCalc[[#This Row],[Cost+Gain]]&gt;0,"Free",             TabCalc[[#This Row],[GL]]&gt;0,"Gainer",                TRUE,"Looser")</f>
        <v>Gainer</v>
      </c>
      <c r="BF41" s="161">
        <f ca="1">TabCalc[[#This Row],[Tot_Paid]]-TabCalc[[#This Row],[ValueBegin]]</f>
        <v>-2209112.8975200001</v>
      </c>
      <c r="BG41" s="337">
        <f ca="1">IF(TabCalc[[#This Row],[EfCost]]&gt;TabCalc[[#This Row],[ValueBegin]],       0,        TabCalc[[#This Row],[EfCost]]-TabCalc[[#This Row],[ValueBegin]]*(1+Commission))</f>
        <v>-688430.08507000015</v>
      </c>
      <c r="BH41" s="338">
        <f ca="1">TabCalc[[#This Row],[M_V]]+TabCalc[[#This Row],[ValueBegin]]</f>
        <v>747156.95</v>
      </c>
      <c r="BI41" s="161" cm="1">
        <f t="array" aca="1" ref="BI41" ca="1">SUMPRODUCT(_xlfn._xlws.FILTER(INDIRECT("TabReg["&amp;TabCalc[[#This Row],[Ticker]]&amp;"1]") * INDIRECT("TabReg["&amp;TabCalc[[#This Row],[Ticker]]&amp;"2]"), INDIRECT("TabReg["&amp;TabCalc[[#This Row],[Ticker]]&amp;"2]")&lt;0))*(1+Commission)*TabCalc[[#This Row],[Scale]]</f>
        <v>-2348685.9475199999</v>
      </c>
      <c r="BJ41" s="161" cm="1">
        <f t="array" aca="1" ref="BJ41" ca="1">SUMPRODUCT(IF(INDIRECT("TabReg["&amp;TabCalc[[#This Row],[Ticker]]&amp;"2]") ="", 0, INDIRECT("TabReg["&amp;TabCalc[[#This Row],[Ticker]]&amp;"1]") * INDIRECT("TabReg["&amp;TabCalc[[#This Row],[Ticker]]&amp;"2]") ))*TabCalc[[#This Row],[Scale]]</f>
        <v>-828366.02500000014</v>
      </c>
      <c r="BK41" s="161" cm="1">
        <f t="array" aca="1" ref="BK4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1510292.1791449997</v>
      </c>
      <c r="BL41" s="161">
        <f ca="1">TabCalc[[#This Row],[M_V]]+TabCalc[[#This Row],[EfCost]]</f>
        <v>58363.97499999986</v>
      </c>
      <c r="BM41" s="161">
        <f ca="1">IF(        OR( TabCalc[[#This Row],[GL]]&gt;ABS(TabCalc[[#This Row],[EfCost]]),TabCalc[[#This Row],[NAfter]]=0),             TabCalc[[#This Row],[GL]],     0)</f>
        <v>0</v>
      </c>
      <c r="BN41" s="161" cm="1">
        <f t="array" aca="1" ref="BN41" ca="1">SUMPRODUCT(_xlfn._xlws.FILTER(IF(INDIRECT("TabReg["&amp;TabCalc[[#This Row],[Ticker]]&amp;"2]") ="", 0, INDIRECT("TabReg["&amp;TabCalc[[#This Row],[Ticker]]&amp;"1]")  ),  INDIRECT("TabReg["&amp;TabCalc[[#This Row],[Ticker]]&amp;"2]") &lt; 0))</f>
        <v>11469</v>
      </c>
      <c r="BO41" s="161">
        <f ca="1">TabCalc[[#This Row],[SB]]-TabCalc[[#This Row],[Nbegin]]</f>
        <v>9969</v>
      </c>
      <c r="BP41" s="161" cm="1">
        <f t="array" aca="1" ref="BP41" ca="1">IFERROR(SUMPRODUCT(_xlfn._xlws.FILTER(IF(INDIRECT("TabReg["&amp;TabCalc[[#This Row],[Ticker]]&amp;"2]") ="", 0, INDIRECT("TabReg["&amp;TabCalc[[#This Row],[Ticker]]&amp;"1]")  ),  INDIRECT("TabReg["&amp;TabCalc[[#This Row],[Ticker]]&amp;"2]") &gt; 0)),0)</f>
        <v>7669</v>
      </c>
      <c r="BQ41"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361.02</v>
      </c>
      <c r="BR41" s="176" t="str">
        <f ca="1">IF(TabCalc[[#This Row],[EfCost]]+TabCalc[[#This Row],[M_V]]&lt;TabCalc[[#This Row],[NoT_GL]],"Pile","")</f>
        <v>Pile</v>
      </c>
      <c r="BS41" s="167">
        <f ca="1">[1]!RTData[[#This Row],[Last trade time]]</f>
        <v>45954.770833333336</v>
      </c>
      <c r="BT41" s="177">
        <f ca="1">(TabCalc[[#This Row],[ValueBegin]]+(TabCalc[[#This Row],[M]]-TabCalc[[#This Row],[A]])*TabCalc[[#This Row],[NAfter]])*TabCalc[[#This Row],[Scale]]</f>
        <v>639350.94999999995</v>
      </c>
      <c r="BU41" s="189" cm="1">
        <f t="array" aca="1" ref="BU41" ca="1">_xlfn.XLOOKUP(TabCalc[[#This Row],[Ticker]],TabReg[[#Headers],[AAPL]:[UnknownX28]],Reg!B$72:KF$72)+3</f>
        <v>30</v>
      </c>
      <c r="BV41" s="190" cm="1">
        <f t="array" aca="1" ref="BV41" ca="1">_xlfn.XLOOKUP(TabCalc[[#This Row],[Ticker]],TabReg[[#Headers],[AAPL]:[UnknownX28]],Reg!B$73:KF$73)+2</f>
        <v>120</v>
      </c>
      <c r="BW41" s="191">
        <f ca="1">IFERROR(MAX(TabCalc[[#This Row],[Max_SD]],TabCalc[[#This Row],[Max_PD]]),0)</f>
        <v>45940</v>
      </c>
      <c r="BX41" s="191" t="str" cm="1">
        <f t="array" aca="1" ref="BX41" ca="1">_xlfn.IFS(TabCalc[[#This Row],[L_TP]]&lt;0,"Purchase",TabCalc[[#This Row],[L_TP]]&gt;0,"Sale")</f>
        <v>Sale</v>
      </c>
      <c r="BY41" s="190" cm="1">
        <f t="array" aca="1" ref="BY41" ca="1">INDEX(Reg!$A$1:$KF$73,TabCalc[[#This Row],[L_I1]],TabCalc[[#This Row],[L_I2]])</f>
        <v>200</v>
      </c>
      <c r="BZ41" s="192" cm="1">
        <f t="array" aca="1" ref="BZ41" ca="1">INDEX(Reg!$A$1:$KF$73,TabCalc[[#This Row],[L_I1]],TabCalc[[#This Row],[L_I2]]+1)</f>
        <v>237.8</v>
      </c>
      <c r="CA41" s="161">
        <f ca="1">TabCalc[[#This Row],[NAfter]]*(TabCalc[[#This Row],[M]]-IF(TabCalc[[#This Row],[E]]&gt;0,0,TabCalc[[#This Row],[A]]))</f>
        <v>778924</v>
      </c>
      <c r="CB41" s="167" cm="1">
        <f t="array" aca="1" ref="CB41" ca="1">IFERROR(MIN(_xlfn._xlws.FILTER(INDIRECT("TabReg["&amp;TabCalc[[#This Row],[Ticker]]&amp;"]"), INDIRECT("TabReg["&amp;TabCalc[[#This Row],[Ticker]]&amp;"2]")&gt;0)),0)</f>
        <v>43950</v>
      </c>
      <c r="CC41" s="178" cm="1">
        <f t="array" aca="1" ref="CC41" ca="1">IFERROR(MIN(_xlfn._xlws.FILTER(INDIRECT("TabReg["&amp;TabCalc[[#This Row],[Ticker]]&amp;"1]"), INDIRECT("TabReg["&amp;TabCalc[[#This Row],[Ticker]]&amp;"2]")&gt;0)),0)</f>
        <v>200</v>
      </c>
      <c r="CD41" s="173" cm="1">
        <f t="array" aca="1" ref="CD41" ca="1">IFERROR(MIN(_xlfn._xlws.FILTER(INDIRECT("TabReg["&amp;TabCalc[[#This Row],[Ticker]]&amp;"2]"), INDIRECT("TabReg["&amp;TabCalc[[#This Row],[Ticker]]&amp;"2]")&gt;0)),0)</f>
        <v>107.8</v>
      </c>
      <c r="CE41" s="167" cm="1">
        <f t="array" aca="1" ref="CE41" ca="1">IFERROR(MAX(_xlfn._xlws.FILTER(INDIRECT("TabReg["&amp;TabCalc[[#This Row],[Ticker]]&amp;"]"), INDIRECT("TabReg["&amp;TabCalc[[#This Row],[Ticker]]&amp;"2]")&gt;0)),0)</f>
        <v>45940</v>
      </c>
      <c r="CF41" s="178" cm="1">
        <f t="array" aca="1" ref="CF41" ca="1">IFERROR(MAX(_xlfn._xlws.FILTER(INDIRECT("TabReg["&amp;TabCalc[[#This Row],[Ticker]]&amp;"1]"), INDIRECT("TabReg["&amp;TabCalc[[#This Row],[Ticker]]&amp;"2]")&gt;0)),0)</f>
        <v>1490</v>
      </c>
      <c r="CG41" s="173" cm="1">
        <f t="array" aca="1" ref="CG41" ca="1">IFERROR(MAX(_xlfn._xlws.FILTER(INDIRECT("TabReg["&amp;TabCalc[[#This Row],[Ticker]]&amp;"2]"), INDIRECT("TabReg["&amp;TabCalc[[#This Row],[Ticker]]&amp;"2]")&gt;0)),0)</f>
        <v>275.52499999999998</v>
      </c>
      <c r="CH41" s="167" cm="1">
        <f t="array" aca="1" ref="CH41" ca="1">MIN(_xlfn._xlws.FILTER(INDIRECT("TabReg["&amp;TabCalc[[#This Row],[Ticker]]&amp;"]"), INDIRECT("TabReg["&amp;TabCalc[[#This Row],[Ticker]]&amp;"2]")&lt;0))</f>
        <v>42853</v>
      </c>
      <c r="CI41" s="177" cm="1">
        <f t="array" aca="1" ref="CI41" ca="1">MIN(_xlfn._xlws.FILTER(INDIRECT("TabReg["&amp;TabCalc[[#This Row],[Ticker]]&amp;"1]"), INDIRECT("TabReg["&amp;TabCalc[[#This Row],[Ticker]]&amp;"2]")&lt;0))</f>
        <v>120</v>
      </c>
      <c r="CJ41" s="173" cm="1">
        <f t="array" aca="1" ref="CJ41" ca="1">MIN(_xlfn._xlws.FILTER(INDIRECT("TabReg["&amp;TabCalc[[#This Row],[Ticker]]&amp;"2]"), INDIRECT("TabReg["&amp;TabCalc[[#This Row],[Ticker]]&amp;"2]")&lt;0))</f>
        <v>-262.89999999999998</v>
      </c>
      <c r="CK41" s="167" cm="1">
        <f t="array" aca="1" ref="CK41" ca="1">MAX(_xlfn._xlws.FILTER(INDIRECT("TabReg["&amp;TabCalc[[#This Row],[Ticker]]&amp;"]"), INDIRECT("TabReg["&amp;TabCalc[[#This Row],[Ticker]]&amp;"2]")&lt;0))</f>
        <v>45932</v>
      </c>
      <c r="CL41" s="177" cm="1">
        <f t="array" aca="1" ref="CL41" ca="1">MAX(_xlfn._xlws.FILTER(INDIRECT("TabReg["&amp;TabCalc[[#This Row],[Ticker]]&amp;"1]"), INDIRECT("TabReg["&amp;TabCalc[[#This Row],[Ticker]]&amp;"2]")&lt;0))</f>
        <v>1500</v>
      </c>
      <c r="CM41" s="173" cm="1">
        <f t="array" aca="1" ref="CM41" ca="1">MAX(_xlfn._xlws.FILTER(INDIRECT("TabReg["&amp;TabCalc[[#This Row],[Ticker]]&amp;"2]"), INDIRECT("TabReg["&amp;TabCalc[[#This Row],[Ticker]]&amp;"2]")&lt;0))</f>
        <v>-93.048699999999997</v>
      </c>
      <c r="CN41" s="167" cm="1">
        <f t="array" aca="1" ref="CN41" ca="1">IFERROR(_xlfn.XLOOKUP(TabCalc[[#This Row],[BS2P]],INDIRECT("TabReg["&amp;TabCalc[[#This Row],[Ticker]]&amp;"2]"),INDIRECT("TabReg["&amp;TabCalc[[#This Row],[Ticker]]&amp;"]")),0)</f>
        <v>45813</v>
      </c>
      <c r="CO41" s="178" cm="1">
        <f t="array" aca="1" ref="CO41" ca="1">IFERROR(_xlfn.XLOOKUP(TabCalc[[#This Row],[BS2P]],INDIRECT("TabReg["&amp;TabCalc[[#This Row],[Ticker]]&amp;"2]"),INDIRECT("TabReg["&amp;TabCalc[[#This Row],[Ticker]]&amp;"1]")),0)</f>
        <v>500</v>
      </c>
      <c r="CP41" s="173">
        <f ca="1">_xlfn.MAXIFS(INDIRECT("TabReg["&amp;TabCalc[[#This Row],[Ticker]]&amp;"2]"), INDIRECT("TabReg["&amp;TabCalc[[#This Row],[Ticker]]&amp;"2]"), "&lt;" &amp; MAX(INDIRECT("TabReg["&amp;TabCalc[[#This Row],[Ticker]]&amp;"2]")))</f>
        <v>273.14999999999998</v>
      </c>
      <c r="CQ41" s="167" cm="1">
        <f t="array" aca="1" ref="CQ41" ca="1">IFERROR(_xlfn.XLOOKUP(TabCalc[[#This Row],[WB2P]],INDIRECT("TabReg["&amp;TabCalc[[#This Row],[Ticker]]&amp;"2]"),INDIRECT("TabReg["&amp;TabCalc[[#This Row],[Ticker]]&amp;"]")),0)</f>
        <v>45740</v>
      </c>
      <c r="CR41" s="178" cm="1">
        <f t="array" aca="1" ref="CR41" ca="1">IFERROR(_xlfn.XLOOKUP(TabCalc[[#This Row],[WB2P]],INDIRECT("TabReg["&amp;TabCalc[[#This Row],[Ticker]]&amp;"2]"),INDIRECT("TabReg["&amp;TabCalc[[#This Row],[Ticker]]&amp;"1]")),0)</f>
        <v>1000</v>
      </c>
      <c r="CS41" s="173">
        <f ca="1">_xlfn.MINIFS(INDIRECT("TabReg["&amp;TabCalc[[#This Row],[Ticker]]&amp;"2]"), INDIRECT("TabReg["&amp;TabCalc[[#This Row],[Ticker]]&amp;"2]"), "&gt;" &amp; MIN(INDIRECT("TabReg["&amp;TabCalc[[#This Row],[Ticker]]&amp;"2]")))</f>
        <v>-255.19</v>
      </c>
      <c r="CT41" s="405">
        <f ca="1">IF(TabCalc[[#This Row],[M]]&lt;TabCalc[[#This Row],[L_Sp]],DesiredBuyGain/(TabCalc[[#This Row],[L_Sp]]-TabCalc[[#This Row],[M]]),0)</f>
        <v>1123.5955056179732</v>
      </c>
      <c r="CU41" s="406">
        <f ca="1">IF(TabCalc[[#This Row],[ntoBuy]]*TabCalc[[#This Row],[M]]&lt;=0,0,TabCalc[[#This Row],[ntoBuy]]*TabCalc[[#This Row],[M]])</f>
        <v>262191.01123595407</v>
      </c>
      <c r="CV41" s="406">
        <f ca="1">IF(TabCalc[[#This Row],[M]]&gt;ABS(TabCalc[[#This Row],[L_Bp]]),MIN(TabCalc[[#This Row],[NAfter]],DesiredSaleGain/(TabCalc[[#This Row],[M]]+TabCalc[[#This Row],[L_Bp]])),0)/TabCalc[[#This Row],[Scale]]</f>
        <v>3800</v>
      </c>
      <c r="CW41" s="407">
        <f ca="1">TabCalc[[#This Row],[ntoSell]]*TabCalc[[#This Row],[M]]</f>
        <v>886730</v>
      </c>
      <c r="CX41" s="400">
        <f ca="1">_xlfn.LET(_xlpm.nToSell,IF(TabCalc[[#This Row],[M]]-TabCalc[[#This Row],[A]]&lt;=0,"",INT(DesiredSaleGain/(TabCalc[[#This Row],[M]]-IF(TabCalc[[#This Row],[E]]&gt;0,0,TabCalc[[#This Row],[A]])))),IF(_xlpm.nToSell&lt;=TabCalc[[#This Row],[NAfter]],_xlpm.nToSell,0))</f>
        <v>24</v>
      </c>
      <c r="CY41" s="338">
        <f ca="1">IFERROR(TabCalc[[#This Row],[NMA]]*TabCalc[[#This Row],[M]],"")</f>
        <v>5600.4</v>
      </c>
      <c r="CZ41" s="337" cm="1">
        <f t="array" aca="1" ref="CZ41" ca="1">_xlfn.IFS(TabCalc[[#This Row],[M]]&gt;= TabCalc[[#This Row],[L_Sp]],(TabCalc[[#This Row],[M]]-TabCalc[[#This Row],[A]])*TabCalc[[#This Row],[NAfter]]*TabCalc[[#This Row],[Scale]],           TabCalc[[#This Row],[M]]&lt; TabCalc[[#This Row],[L_Sp]],(TabCalc[[#This Row],[M]]-TabCalc[[#This Row],[A]])*TabCalc[[#This Row],[NAfter]]*TabCalc[[#This Row],[Scale]],               TRUE,"")</f>
        <v>778924</v>
      </c>
      <c r="DA41" s="90">
        <f ca="1">IFERROR((TabCalc[[#This Row],[M]]+TabCalc[[#This Row],[L_Bp]])/ABS(TabCalc[[#This Row],[L_Bp]])/(TODAY()-TabCalc[[#This Row],[L_Bdate]])*360,"")</f>
        <v>6.4557779212395083E-2</v>
      </c>
      <c r="DB41" s="312">
        <f ca="1">MEDIAN(DataShift!F741:Z741)</f>
        <v>3.215E-3</v>
      </c>
      <c r="DC41" s="312" t="str" cm="1">
        <f t="array" aca="1" ref="DC4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41" s="88" t="s">
        <v>37</v>
      </c>
      <c r="DN41" s="81">
        <v>30000</v>
      </c>
      <c r="DO41" s="317">
        <v>-33.802067999999998</v>
      </c>
    </row>
    <row r="42" spans="1:119">
      <c r="A42" s="120" t="str">
        <f ca="1">_xlfn.XLOOKUP(TabCalc[[#This Row],[Ticker]],[1]!RTData[Ticker symbol],[1]!RTData[Currency])</f>
        <v>USD</v>
      </c>
      <c r="B42" s="121">
        <f ca="1">IF(TabCalc[[#This Row],[Cur]]="GBP",0.01,1)</f>
        <v>1</v>
      </c>
      <c r="C42" s="82">
        <f ca="1">_xlfn.XLOOKUP(TabCalc[[#This Row],[Ticker]],DM$3:DM$96,DN$3:DN$96)</f>
        <v>12500</v>
      </c>
      <c r="D42" s="1254">
        <f ca="1">_xlfn.XLOOKUP(TabCalc[[#This Row],[Ticker]],DM$3:DM$96,DO$3:DO$96)</f>
        <v>-11.2137168</v>
      </c>
      <c r="E42" s="121">
        <f t="shared" ca="1" si="2"/>
        <v>-140171.46</v>
      </c>
      <c r="F42" s="82">
        <f ca="1">TabCalc[[#This Row],[NAfter]]*TabCalc[[#This Row],[M]]*TabCalc[[#This Row],[Scale]]</f>
        <v>350506.56</v>
      </c>
      <c r="G42" s="82">
        <f ca="1">IFERROR(TabCalc[[#This Row],[SB]]-TabCalc[[#This Row],[SST]],TabCalc[[#This Row],[SB]])</f>
        <v>22368</v>
      </c>
      <c r="H42" s="535" t="str">
        <f ca="1">[1]!RTData[[#This Row],[Ticker symbol]]</f>
        <v>SHECY</v>
      </c>
      <c r="I42" s="385">
        <f ca="1">[1]!RTData[[#This Row],[M-Price]]</f>
        <v>15.67</v>
      </c>
      <c r="J42" s="384">
        <v>240.53301315789471</v>
      </c>
      <c r="K42" s="383">
        <f>[1]!RTData[[#This Row],[1YT]]</f>
        <v>0</v>
      </c>
      <c r="L42" s="384">
        <f ca="1">IF(OR(TabCalc[[#This Row],[NAfter]]=0,TabCalc[[#This Row],[EfCost]]&gt;0),0,TabCalc[[#This Row],[EfCost]]/TabCalc[[#This Row],[NAfter]]/TabCalc[[#This Row],[Scale]])</f>
        <v>-11.907608190271818</v>
      </c>
      <c r="M42" s="744">
        <f ca="1">[1]!RTData[[#This Row],[Change%]]</f>
        <v>-2.9721000000000001E-2</v>
      </c>
      <c r="N42" s="1172">
        <v>0.22222222222222221</v>
      </c>
      <c r="O42" s="966">
        <f>TabCalc[[#This Row],[Up20]]-1+TabCalc[[#This Row],[Up20]]</f>
        <v>-0.55555555555555558</v>
      </c>
      <c r="P42" s="966">
        <f>TabCalc[[#This Row],[Up20]]-TabCalc[[#This Row],[Up150]]</f>
        <v>-0.29129129129129128</v>
      </c>
      <c r="Q42" s="966">
        <v>0.51351351351351349</v>
      </c>
      <c r="R42" s="966">
        <f>TabCalc[[#This Row],[Up150]]-1+TabCalc[[#This Row],[Up150]]</f>
        <v>2.7027027027026973E-2</v>
      </c>
      <c r="S42" s="966">
        <f ca="1">IFERROR(SUMPRODUCT(DataShift!F1534:Z1534,DataShift!AB741:AV741)/SQRT(SUMPRODUCT(DataShift!F1534:Z1534,DataShift!F1534:Z1534)*SUMPRODUCT(DataShift!AB741:AV741,DataShift!AB741:AV741)),0)</f>
        <v>-0.23141950760723942</v>
      </c>
      <c r="T42" s="966">
        <f ca="1">IFERROR(SUMPRODUCT(DataShift!F1534:Z1534,DataShift!F742:Z742)/SQRT(SUMPRODUCT(DataShift!F1534:Z1534,DataShift!F1534:Z1534)*SUMPRODUCT(DataShift!F742:Z742,DataShift!F742:Z742)),0)</f>
        <v>-0.28454671270270959</v>
      </c>
      <c r="U42" s="1107">
        <v>1999</v>
      </c>
      <c r="V42" s="1107">
        <v>1801</v>
      </c>
      <c r="W42" s="1107">
        <v>0</v>
      </c>
      <c r="X42" s="966" t="str">
        <f ca="1">IF(TabCalc[[#This Row],[EfCost]]+TabCalc[[#This Row],[M_V]]&lt;TabCalc[[#This Row],[NoT_GL]],"Pile","")</f>
        <v/>
      </c>
      <c r="Y4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-343,347 = $ -5,380,248</v>
      </c>
      <c r="Z42" s="213">
        <f ca="1">MIN(TabCalc[[#This Row],[L_Bn]],TabCalc[[#This Row],[NAfter]])*(TabCalc[[#This Row],[M]]+TabCalc[[#This Row],[L_Bp]])*TabCalc[[#This Row],[Scale]]</f>
        <v>660.00000000000193</v>
      </c>
      <c r="AA42" s="210" cm="1">
        <f t="array" aca="1" ref="AA42" ca="1">_xlfn.XLOOKUP(TabCalc[[#This Row],[L_Bp]],INDIRECT("TabReg["&amp;TabCalc[[#This Row],[Ticker]]&amp;"2]"),INDIRECT("TabReg["&amp;TabCalc[[#This Row],[Ticker]]&amp;"]"))</f>
        <v>45833</v>
      </c>
      <c r="AB42" s="181" cm="1">
        <f t="array" aca="1" ref="AB42" ca="1">_xlfn.XLOOKUP(TabCalc[[#This Row],[L_Bp]],INDIRECT("TabReg["&amp;TabCalc[[#This Row],[Ticker]]&amp;"2]"),INDIRECT("TabReg["&amp;TabCalc[[#This Row],[Ticker]]&amp;"1]"))</f>
        <v>3000</v>
      </c>
      <c r="AC42" s="192" cm="1">
        <f t="array" aca="1" ref="AC42" ca="1">IFERROR(INDEX(INDIRECT("TabReg["&amp;TabCalc[[#This Row],[Ticker]]&amp;"2]"),    _xlfn.XMATCH(    MAX(    _xlfn._xlws.FILTER(INDIRECT("TabReg["&amp;TabCalc[[#This Row],[Ticker]]&amp;"]"), INDIRECT("TabReg["&amp;TabCalc[[#This Row],[Ticker]]&amp;"2]")&lt;0)     ), INDIRECT("TabReg["&amp;TabCalc[[#This Row],[Ticker]]&amp;"]"),      0)), "")</f>
        <v>-15.45</v>
      </c>
      <c r="AD42" s="213">
        <f ca="1">IFERROR(MIN(TabCalc[[#This Row],[L_B1n]],TabCalc[[#This Row],[NAfter]])*(TabCalc[[#This Row],[M]]+TabCalc[[#This Row],[L_B1p]])*TabCalc[[#This Row],[Scale]],"")</f>
        <v>6006.7999999999984</v>
      </c>
      <c r="AE42" s="210" cm="1">
        <f t="array" aca="1" ref="AE4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45748</v>
      </c>
      <c r="AF42" s="181" cm="1">
        <f t="array" aca="1" ref="AF42" ca="1">IFERROR(_xlfn.XLOOKUP(TabCalc[[#This Row],[L_B1D]],INDIRECT("TabReg["&amp;TabCalc[[#This Row],[Ticker]]&amp;"]"),INDIRECT("TabReg["&amp;TabCalc[[#This Row],[Ticker]]&amp;"1]")),0)</f>
        <v>4000</v>
      </c>
      <c r="AG42" s="192" cm="1">
        <f t="array" aca="1" ref="AG42" ca="1">IFERROR(_xlfn.XLOOKUP(TabCalc[[#This Row],[L_B1D]],INDIRECT("TabReg["&amp;TabCalc[[#This Row],[Ticker]]&amp;"]"),INDIRECT("TabReg["&amp;TabCalc[[#This Row],[Ticker]]&amp;"2]")),0)</f>
        <v>-14.1683</v>
      </c>
      <c r="AH42" s="302">
        <f ca="1">IFERROR(TabCalc[[#This Row],[L_Sn]]*(TabCalc[[#This Row],[L_Sp]]-TabCalc[[#This Row],[M]])*TabCalc[[#This Row],[Scale]],"")</f>
        <v>549.83999999999946</v>
      </c>
      <c r="AI42" s="210" cm="1">
        <f t="array" aca="1" ref="AI42" ca="1">IFERROR(_xlfn.XLOOKUP(TabCalc[[#This Row],[L_Sp]],INDIRECT("TabReg["&amp;TabCalc[[#This Row],[Ticker]]&amp;"2]"),INDIRECT("TabReg["&amp;TabCalc[[#This Row],[Ticker]]&amp;"]")),0)</f>
        <v>45945</v>
      </c>
      <c r="AJ42" s="181" cm="1">
        <f t="array" aca="1" ref="AJ42" ca="1">IFERROR(_xlfn.XLOOKUP(TabCalc[[#This Row],[L_Sp]],INDIRECT("TabReg["&amp;TabCalc[[#This Row],[Ticker]]&amp;"2]"),INDIRECT("TabReg["&amp;TabCalc[[#This Row],[Ticker]]&amp;"1]")),0)</f>
        <v>632</v>
      </c>
      <c r="AK42" s="192" cm="1">
        <f t="array" aca="1" ref="AK42" ca="1">IFERROR(INDEX(INDIRECT("TabReg["&amp;TabCalc[[#This Row],[Ticker]]&amp;"2]"), _xlfn.XMATCH(MAX(_xlfn._xlws.FILTER(INDIRECT("TabReg["&amp;TabCalc[[#This Row],[Ticker]]&amp;"]"), INDIRECT("TabReg["&amp;TabCalc[[#This Row],[Ticker]]&amp;"2]")&gt;0)), INDIRECT("TabReg["&amp;TabCalc[[#This Row],[Ticker]]&amp;"]"), 0)), 0)</f>
        <v>16.54</v>
      </c>
      <c r="AL42" s="214">
        <f ca="1">IFERROR(TabCalc[[#This Row],[L_S1n]]*(TabCalc[[#This Row],[L_S1p]]-TabCalc[[#This Row],[M]])*TabCalc[[#This Row],[Scale]],0)</f>
        <v>5351.0000000000009</v>
      </c>
      <c r="AM42" s="210" cm="1">
        <f t="array" aca="1" ref="AM4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45757</v>
      </c>
      <c r="AN42" s="181" cm="1">
        <f t="array" aca="1" ref="AN42" ca="1">IFERROR(_xlfn.XLOOKUP(TabCalc[[#This Row],[L_S1D]],INDIRECT("TabReg["&amp;TabCalc[[#This Row],[Ticker]]&amp;"]"),INDIRECT("TabReg["&amp;TabCalc[[#This Row],[Ticker]]&amp;"1]")),0)</f>
        <v>1000</v>
      </c>
      <c r="AO42" s="384" cm="1">
        <f t="array" aca="1" ref="AO42" ca="1">IFERROR(_xlfn.XLOOKUP(TabCalc[[#This Row],[L_S1D]],INDIRECT("TabReg["&amp;TabCalc[[#This Row],[Ticker]]&amp;"]"),INDIRECT("TabReg["&amp;TabCalc[[#This Row],[Ticker]]&amp;"2]")),0)</f>
        <v>21.021000000000001</v>
      </c>
      <c r="AP42" s="336">
        <f ca="1">_xlfn.LET(_xlpm.MVOpen,[1]!RTData[[#This Row],[Open]]*TabCalc[[#This Row],[NAfter]],_xlpm.MVNow,TabCalc[[#This Row],[M]]*TabCalc[[#This Row],[NAfter]],_xlpm.MVNow-_xlpm.MVOpen)*TabCalc[[#This Row],[Scale]]</f>
        <v>-1789.4400000000023</v>
      </c>
      <c r="AQ42" s="336">
        <f ca="1">_xlfn.LET(_xlpm.MVToday,DataShift!AV542,         _xlpm.MVY,DataShift!AU543,        _xlpm.MVYY, DataShift!AT543,                                IF(_xlpm.MVToday=_xlpm.MVY,_xlpm.MVY-_xlpm.MVYY,_xlpm.MVToday-_xlpm.MVY))</f>
        <v>4.5000000000002274</v>
      </c>
      <c r="AR42" s="336">
        <f ca="1">_xlfn.LET(_xlpm.MVToday,DataShift!AV542,         _xlpm.MVY,DataShift!AU543,        _xlpm.MVYY, DataShift!AT543,         _xlpm.MVYYY, DataShift!AS543,                      IF(_xlpm.MVToday=_xlpm.MVY,      _xlpm.MVYY-_xlpm.MVYYY,          _xlpm.MVY-_xlpm.MVYY))</f>
        <v>23.999999999999773</v>
      </c>
      <c r="AS42" s="1078">
        <f ca="1">TabCalc[[#This Row],[Y]]/TabCalc[[#This Row],[M]]</f>
        <v>0</v>
      </c>
      <c r="AT42" s="299" t="str" cm="1">
        <f t="array" aca="1" ref="AT42" ca="1">IFERROR(_xlfn.IFS(          TabCalc[[#This Row],[E]]&gt;0, "Free Trade",      TabCalc[[#This Row],[A]]&lt;MIN(TabCalc[[#This Row],[L_Sp]],TabCalc[[#This Row],[M]]), "Buy",            TabCalc[[#This Row],[M]]&lt;TabCalc[[#This Row],[L_Sp]],       "Refill",       TabCalc[[#This Row],[M]]&gt;TabCalc[[#This Row],[L_Sp]],"S_more"),"")</f>
        <v>Refill</v>
      </c>
      <c r="AU42" s="299" t="str">
        <f ca="1">IF(           AND(TabCalc[[#This Row],[E]]&lt;=0,          TabCalc[[#This Row],[A]]&gt;MIN(TabCalc[[#This Row],[M]],TabCalc[[#This Row],[L_Sp]]),             TabCalc[[#This Row],[L_Sp]]&lt;=TabCalc[[#This Row],[M]]),                       "S_more","")</f>
        <v/>
      </c>
      <c r="AV42" s="82" t="str" cm="1">
        <f t="array" aca="1" ref="AV42" ca="1">IFERROR(_xlfn.IFS(TabCalc[[#This Row],[E]]&gt;0,"Free trade",                 TabCalc[[#This Row],[A]]&lt;MAX(ABS(TabCalc[[#This Row],[L_Bp]]),TabCalc[[#This Row],[A]]),"Sell",             TabCalc[[#This Row],[M]]&gt;ABS(TabCalc[[#This Row],[L_Bp]]),"Resell",             TabCalc[[#This Row],[M]]&lt;ABS(TabCalc[[#This Row],[L_Bp]]),"B_more"),"")</f>
        <v>Resell</v>
      </c>
      <c r="AW42" s="82">
        <f ca="1">TabCalc[[#This Row],[NAfter]]-TabCalc[[#This Row],[Nbegin]]</f>
        <v>9868</v>
      </c>
      <c r="AX42" s="307" t="str">
        <f ca="1">IFERROR((TabCalc[[#This Row],[M]]-TabCalc[[#This Row],[Y]])*(TabCalc[[#This Row],[M]]-TabCalc[[#This Row],[Y]])*(TabCalc[[#This Row],[M]]-TabCalc[[#This Row],[Y]])/(TabCalc[[#This Row],[Y]]*TabCalc[[#This Row],[M]]),"")</f>
        <v/>
      </c>
      <c r="AY42" s="82">
        <f t="shared" ca="1" si="3"/>
        <v>0</v>
      </c>
      <c r="AZ42" s="90">
        <f ca="1">[1]!RTData[[#This Row],[V/VA]]</f>
        <v>2.6870142640134636E-2</v>
      </c>
      <c r="BA42" s="90" t="str" cm="1">
        <f t="array" aca="1" ref="BA42" ca="1">IFERROR(_xlfn.IFS(TabCalc[[#This Row],[Cur]]="USD",Timer!F$27,TabCalc[[#This Row],[Cur]]="EUR",Timer!F$18,TabCalc[[#This Row],[Cur]]="GBP",Timer!F$12,TabCalc[[#This Row],[Cur]]="CAD",Timer!F$27,TabCalc[[#This Row],[Cur]]="JPY",Timer!F$31,TabCalc[[#This Row],[Cur]]="CHF",Timer!F$18),"Timing")</f>
        <v>None-Working Day</v>
      </c>
      <c r="BB42" s="90">
        <f ca="1">IF(ISNUMBER(TabCalc[[#This Row],[TimeEX]]),TabCalc[[#This Row],[V/VA]]/TabCalc[[#This Row],[TimeEX]],TabCalc[[#This Row],[V/VA]])</f>
        <v>2.6870142640134636E-2</v>
      </c>
      <c r="BC42" s="87" cm="1">
        <f t="array" aca="1" ref="BC42" ca="1">INDEX(TabReg[], 1, _xlfn.XMATCH(TabCalc[[#This Row],[Ticker]]&amp;1, TabReg[#Headers], 0))</f>
        <v>12500</v>
      </c>
      <c r="BD42" s="161">
        <f ca="1">TabCalc[[#This Row],[Nbegin]]*TabCalc[[#This Row],[M]]*TabCalc[[#This Row],[Scale]]+TabCalc[[#This Row],[ValueBegin]]</f>
        <v>55703.540000000008</v>
      </c>
      <c r="BE42" s="336" t="str" cm="1">
        <f t="array" aca="1" ref="BE42" ca="1">_xlfn.IFS(TabCalc[[#This Row],[Cost+Gain]]&gt;0,"Free",             TabCalc[[#This Row],[GL]]&gt;0,"Gainer",                TRUE,"Looser")</f>
        <v>Gainer</v>
      </c>
      <c r="BF42" s="161">
        <f ca="1">TabCalc[[#This Row],[Tot_Paid]]-TabCalc[[#This Row],[ValueBegin]]</f>
        <v>-472598.26971599995</v>
      </c>
      <c r="BG42" s="337">
        <f ca="1">IF(TabCalc[[#This Row],[EfCost]]&gt;TabCalc[[#This Row],[ValueBegin]],       0,        TabCalc[[#This Row],[EfCost]]-TabCalc[[#This Row],[ValueBegin]]*(1+Commission))</f>
        <v>-125813.47420400003</v>
      </c>
      <c r="BH42" s="338">
        <f ca="1">TabCalc[[#This Row],[M_V]]+TabCalc[[#This Row],[ValueBegin]]</f>
        <v>210335.1</v>
      </c>
      <c r="BI42" s="161" cm="1">
        <f t="array" aca="1" ref="BI42" ca="1">SUMPRODUCT(_xlfn._xlws.FILTER(INDIRECT("TabReg["&amp;TabCalc[[#This Row],[Ticker]]&amp;"1]") * INDIRECT("TabReg["&amp;TabCalc[[#This Row],[Ticker]]&amp;"2]"), INDIRECT("TabReg["&amp;TabCalc[[#This Row],[Ticker]]&amp;"2]")&lt;0))*(1+Commission)*TabCalc[[#This Row],[Scale]]</f>
        <v>-612769.72971599991</v>
      </c>
      <c r="BJ42" s="161" cm="1">
        <f t="array" aca="1" ref="BJ42" ca="1">SUMPRODUCT(IF(INDIRECT("TabReg["&amp;TabCalc[[#This Row],[Ticker]]&amp;"2]") ="", 0, INDIRECT("TabReg["&amp;TabCalc[[#This Row],[Ticker]]&amp;"1]") * INDIRECT("TabReg["&amp;TabCalc[[#This Row],[Ticker]]&amp;"2]") ))*TabCalc[[#This Row],[Scale]]</f>
        <v>-266349.38</v>
      </c>
      <c r="BK42" s="161" cm="1">
        <f t="array" aca="1" ref="BK4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343934.71867199999</v>
      </c>
      <c r="BL42" s="161">
        <f ca="1">TabCalc[[#This Row],[M_V]]+TabCalc[[#This Row],[EfCost]]</f>
        <v>84157.18</v>
      </c>
      <c r="BM42" s="161">
        <f ca="1">IF(        OR( TabCalc[[#This Row],[GL]]&gt;ABS(TabCalc[[#This Row],[EfCost]]),TabCalc[[#This Row],[NAfter]]=0),             TabCalc[[#This Row],[GL]],     0)</f>
        <v>0</v>
      </c>
      <c r="BN42" s="161" cm="1">
        <f t="array" aca="1" ref="BN42" ca="1">SUMPRODUCT(_xlfn._xlws.FILTER(IF(INDIRECT("TabReg["&amp;TabCalc[[#This Row],[Ticker]]&amp;"2]") ="", 0, INDIRECT("TabReg["&amp;TabCalc[[#This Row],[Ticker]]&amp;"1]")  ),  INDIRECT("TabReg["&amp;TabCalc[[#This Row],[Ticker]]&amp;"2]") &lt; 0))</f>
        <v>39500</v>
      </c>
      <c r="BO42" s="161">
        <f ca="1">TabCalc[[#This Row],[SB]]-TabCalc[[#This Row],[Nbegin]]</f>
        <v>27000</v>
      </c>
      <c r="BP42" s="161" cm="1">
        <f t="array" aca="1" ref="BP42" ca="1">IFERROR(SUMPRODUCT(_xlfn._xlws.FILTER(IF(INDIRECT("TabReg["&amp;TabCalc[[#This Row],[Ticker]]&amp;"2]") ="", 0, INDIRECT("TabReg["&amp;TabCalc[[#This Row],[Ticker]]&amp;"1]")  ),  INDIRECT("TabReg["&amp;TabCalc[[#This Row],[Ticker]]&amp;"2]") &gt; 0)),0)</f>
        <v>17132</v>
      </c>
      <c r="BQ42"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19.48</v>
      </c>
      <c r="BR42" s="176" t="str">
        <f ca="1">IF(TabCalc[[#This Row],[EfCost]]+TabCalc[[#This Row],[M_V]]&lt;TabCalc[[#This Row],[NoT_GL]],"Pile","")</f>
        <v/>
      </c>
      <c r="BS42" s="167">
        <f ca="1">[1]!RTData[[#This Row],[Last trade time]]</f>
        <v>45955.006944444445</v>
      </c>
      <c r="BT42" s="177">
        <f ca="1">(TabCalc[[#This Row],[ValueBegin]]+(TabCalc[[#This Row],[M]]-TabCalc[[#This Row],[A]])*TabCalc[[#This Row],[NAfter]])*TabCalc[[#This Row],[Scale]]</f>
        <v>-5169907.3383157896</v>
      </c>
      <c r="BU42" s="189" cm="1">
        <f t="array" aca="1" ref="BU42" ca="1">_xlfn.XLOOKUP(TabCalc[[#This Row],[Ticker]],TabReg[[#Headers],[AAPL]:[UnknownX28]],Reg!B$72:KF$72)+3</f>
        <v>19</v>
      </c>
      <c r="BV42" s="190" cm="1">
        <f t="array" aca="1" ref="BV42" ca="1">_xlfn.XLOOKUP(TabCalc[[#This Row],[Ticker]],TabReg[[#Headers],[AAPL]:[UnknownX28]],Reg!B$73:KF$73)+2</f>
        <v>123</v>
      </c>
      <c r="BW42" s="191">
        <f ca="1">IFERROR(MAX(TabCalc[[#This Row],[Max_SD]],TabCalc[[#This Row],[Max_PD]]),0)</f>
        <v>45945</v>
      </c>
      <c r="BX42" s="191" t="str" cm="1">
        <f t="array" aca="1" ref="BX42" ca="1">_xlfn.IFS(TabCalc[[#This Row],[L_TP]]&lt;0,"Purchase",TabCalc[[#This Row],[L_TP]]&gt;0,"Sale")</f>
        <v>Sale</v>
      </c>
      <c r="BY42" s="190" cm="1">
        <f t="array" aca="1" ref="BY42" ca="1">INDEX(Reg!$A$1:$KF$73,TabCalc[[#This Row],[L_I1]],TabCalc[[#This Row],[L_I2]])</f>
        <v>632</v>
      </c>
      <c r="BZ42" s="192" cm="1">
        <f t="array" aca="1" ref="BZ42" ca="1">INDEX(Reg!$A$1:$KF$73,TabCalc[[#This Row],[L_I1]],TabCalc[[#This Row],[L_I2]]+1)</f>
        <v>16.54</v>
      </c>
      <c r="CA42" s="161">
        <f ca="1">TabCalc[[#This Row],[NAfter]]*(TabCalc[[#This Row],[M]]-IF(TabCalc[[#This Row],[E]]&gt;0,0,TabCalc[[#This Row],[A]]))</f>
        <v>-5029735.8783157896</v>
      </c>
      <c r="CB42" s="167" cm="1">
        <f t="array" aca="1" ref="CB42" ca="1">IFERROR(MIN(_xlfn._xlws.FILTER(INDIRECT("TabReg["&amp;TabCalc[[#This Row],[Ticker]]&amp;"]"), INDIRECT("TabReg["&amp;TabCalc[[#This Row],[Ticker]]&amp;"2]")&gt;0)),0)</f>
        <v>45377</v>
      </c>
      <c r="CC42" s="178" cm="1">
        <f t="array" aca="1" ref="CC42" ca="1">IFERROR(MIN(_xlfn._xlws.FILTER(INDIRECT("TabReg["&amp;TabCalc[[#This Row],[Ticker]]&amp;"1]"), INDIRECT("TabReg["&amp;TabCalc[[#This Row],[Ticker]]&amp;"2]")&gt;0)),0)</f>
        <v>632</v>
      </c>
      <c r="CD42" s="173" cm="1">
        <f t="array" aca="1" ref="CD42" ca="1">IFERROR(MIN(_xlfn._xlws.FILTER(INDIRECT("TabReg["&amp;TabCalc[[#This Row],[Ticker]]&amp;"2]"), INDIRECT("TabReg["&amp;TabCalc[[#This Row],[Ticker]]&amp;"2]")&gt;0)),0)</f>
        <v>15.3</v>
      </c>
      <c r="CE42" s="167" cm="1">
        <f t="array" aca="1" ref="CE42" ca="1">IFERROR(MAX(_xlfn._xlws.FILTER(INDIRECT("TabReg["&amp;TabCalc[[#This Row],[Ticker]]&amp;"]"), INDIRECT("TabReg["&amp;TabCalc[[#This Row],[Ticker]]&amp;"2]")&gt;0)),0)</f>
        <v>45945</v>
      </c>
      <c r="CF42" s="178" cm="1">
        <f t="array" aca="1" ref="CF42" ca="1">IFERROR(MAX(_xlfn._xlws.FILTER(INDIRECT("TabReg["&amp;TabCalc[[#This Row],[Ticker]]&amp;"1]"), INDIRECT("TabReg["&amp;TabCalc[[#This Row],[Ticker]]&amp;"2]")&gt;0)),0)</f>
        <v>5000</v>
      </c>
      <c r="CG42" s="173" cm="1">
        <f t="array" aca="1" ref="CG42" ca="1">IFERROR(MAX(_xlfn._xlws.FILTER(INDIRECT("TabReg["&amp;TabCalc[[#This Row],[Ticker]]&amp;"2]"), INDIRECT("TabReg["&amp;TabCalc[[#This Row],[Ticker]]&amp;"2]")&gt;0)),0)</f>
        <v>22.6</v>
      </c>
      <c r="CH42" s="167" cm="1">
        <f t="array" aca="1" ref="CH42" ca="1">MIN(_xlfn._xlws.FILTER(INDIRECT("TabReg["&amp;TabCalc[[#This Row],[Ticker]]&amp;"]"), INDIRECT("TabReg["&amp;TabCalc[[#This Row],[Ticker]]&amp;"2]")&lt;0))</f>
        <v>40544</v>
      </c>
      <c r="CI42" s="177" cm="1">
        <f t="array" aca="1" ref="CI42" ca="1">MIN(_xlfn._xlws.FILTER(INDIRECT("TabReg["&amp;TabCalc[[#This Row],[Ticker]]&amp;"1]"), INDIRECT("TabReg["&amp;TabCalc[[#This Row],[Ticker]]&amp;"2]")&lt;0))</f>
        <v>1000</v>
      </c>
      <c r="CJ42" s="173" cm="1">
        <f t="array" aca="1" ref="CJ42" ca="1">MIN(_xlfn._xlws.FILTER(INDIRECT("TabReg["&amp;TabCalc[[#This Row],[Ticker]]&amp;"2]"), INDIRECT("TabReg["&amp;TabCalc[[#This Row],[Ticker]]&amp;"2]")&lt;0))</f>
        <v>-20.27</v>
      </c>
      <c r="CK42" s="167" cm="1">
        <f t="array" aca="1" ref="CK42" ca="1">MAX(_xlfn._xlws.FILTER(INDIRECT("TabReg["&amp;TabCalc[[#This Row],[Ticker]]&amp;"]"), INDIRECT("TabReg["&amp;TabCalc[[#This Row],[Ticker]]&amp;"2]")&lt;0))</f>
        <v>45833</v>
      </c>
      <c r="CL42" s="177" cm="1">
        <f t="array" aca="1" ref="CL42" ca="1">MAX(_xlfn._xlws.FILTER(INDIRECT("TabReg["&amp;TabCalc[[#This Row],[Ticker]]&amp;"1]"), INDIRECT("TabReg["&amp;TabCalc[[#This Row],[Ticker]]&amp;"2]")&lt;0))</f>
        <v>12500</v>
      </c>
      <c r="CM42" s="173" cm="1">
        <f t="array" aca="1" ref="CM42" ca="1">MAX(_xlfn._xlws.FILTER(INDIRECT("TabReg["&amp;TabCalc[[#This Row],[Ticker]]&amp;"2]"), INDIRECT("TabReg["&amp;TabCalc[[#This Row],[Ticker]]&amp;"2]")&lt;0))</f>
        <v>-11.2137168</v>
      </c>
      <c r="CN42" s="167" cm="1">
        <f t="array" aca="1" ref="CN42" ca="1">IFERROR(_xlfn.XLOOKUP(TabCalc[[#This Row],[BS2P]],INDIRECT("TabReg["&amp;TabCalc[[#This Row],[Ticker]]&amp;"2]"),INDIRECT("TabReg["&amp;TabCalc[[#This Row],[Ticker]]&amp;"]")),0)</f>
        <v>45504</v>
      </c>
      <c r="CO42" s="178" cm="1">
        <f t="array" aca="1" ref="CO42" ca="1">IFERROR(_xlfn.XLOOKUP(TabCalc[[#This Row],[BS2P]],INDIRECT("TabReg["&amp;TabCalc[[#This Row],[Ticker]]&amp;"2]"),INDIRECT("TabReg["&amp;TabCalc[[#This Row],[Ticker]]&amp;"1]")),0)</f>
        <v>2000</v>
      </c>
      <c r="CP42" s="173">
        <f ca="1">_xlfn.MAXIFS(INDIRECT("TabReg["&amp;TabCalc[[#This Row],[Ticker]]&amp;"2]"), INDIRECT("TabReg["&amp;TabCalc[[#This Row],[Ticker]]&amp;"2]"), "&lt;" &amp; MAX(INDIRECT("TabReg["&amp;TabCalc[[#This Row],[Ticker]]&amp;"2]")))</f>
        <v>22.140999999999998</v>
      </c>
      <c r="CQ42" s="167" cm="1">
        <f t="array" aca="1" ref="CQ42" ca="1">IFERROR(_xlfn.XLOOKUP(TabCalc[[#This Row],[WB2P]],INDIRECT("TabReg["&amp;TabCalc[[#This Row],[Ticker]]&amp;"2]"),INDIRECT("TabReg["&amp;TabCalc[[#This Row],[Ticker]]&amp;"]")),0)</f>
        <v>45605</v>
      </c>
      <c r="CR42" s="178" cm="1">
        <f t="array" aca="1" ref="CR42" ca="1">IFERROR(_xlfn.XLOOKUP(TabCalc[[#This Row],[WB2P]],INDIRECT("TabReg["&amp;TabCalc[[#This Row],[Ticker]]&amp;"2]"),INDIRECT("TabReg["&amp;TabCalc[[#This Row],[Ticker]]&amp;"1]")),0)</f>
        <v>4000</v>
      </c>
      <c r="CS42" s="173">
        <f ca="1">_xlfn.MINIFS(INDIRECT("TabReg["&amp;TabCalc[[#This Row],[Ticker]]&amp;"2]"), INDIRECT("TabReg["&amp;TabCalc[[#This Row],[Ticker]]&amp;"2]"), "&gt;" &amp; MIN(INDIRECT("TabReg["&amp;TabCalc[[#This Row],[Ticker]]&amp;"2]")))</f>
        <v>-19.82</v>
      </c>
      <c r="CT42" s="405">
        <f ca="1">IF(TabCalc[[#This Row],[M]]&lt;TabCalc[[#This Row],[L_Sp]],DesiredBuyGain/(TabCalc[[#This Row],[L_Sp]]-TabCalc[[#This Row],[M]]),0)</f>
        <v>5747.1264367816148</v>
      </c>
      <c r="CU42" s="406">
        <f ca="1">IF(TabCalc[[#This Row],[ntoBuy]]*TabCalc[[#This Row],[M]]&lt;=0,0,TabCalc[[#This Row],[ntoBuy]]*TabCalc[[#This Row],[M]])</f>
        <v>90057.471264367909</v>
      </c>
      <c r="CV42" s="406">
        <f ca="1">IF(TabCalc[[#This Row],[M]]&gt;ABS(TabCalc[[#This Row],[L_Bp]]),MIN(TabCalc[[#This Row],[NAfter]],DesiredSaleGain/(TabCalc[[#This Row],[M]]+TabCalc[[#This Row],[L_Bp]])),0)/TabCalc[[#This Row],[Scale]]</f>
        <v>22368</v>
      </c>
      <c r="CW42" s="407">
        <f ca="1">TabCalc[[#This Row],[ntoSell]]*TabCalc[[#This Row],[M]]</f>
        <v>350506.56</v>
      </c>
      <c r="CX42" s="400">
        <f ca="1">_xlfn.LET(_xlpm.nToSell,IF(TabCalc[[#This Row],[M]]-TabCalc[[#This Row],[A]]&lt;=0,"",INT(DesiredSaleGain/(TabCalc[[#This Row],[M]]-IF(TabCalc[[#This Row],[E]]&gt;0,0,TabCalc[[#This Row],[A]])))),IF(_xlpm.nToSell&lt;=TabCalc[[#This Row],[NAfter]],_xlpm.nToSell,0))</f>
        <v>0</v>
      </c>
      <c r="CY42" s="338">
        <f ca="1">IFERROR(TabCalc[[#This Row],[NMA]]*TabCalc[[#This Row],[M]],"")</f>
        <v>0</v>
      </c>
      <c r="CZ42" s="337" cm="1">
        <f t="array" aca="1" ref="CZ42" ca="1">_xlfn.IFS(TabCalc[[#This Row],[M]]&gt;= TabCalc[[#This Row],[L_Sp]],(TabCalc[[#This Row],[M]]-TabCalc[[#This Row],[A]])*TabCalc[[#This Row],[NAfter]]*TabCalc[[#This Row],[Scale]],           TabCalc[[#This Row],[M]]&lt; TabCalc[[#This Row],[L_Sp]],(TabCalc[[#This Row],[M]]-TabCalc[[#This Row],[A]])*TabCalc[[#This Row],[NAfter]]*TabCalc[[#This Row],[Scale]],               TRUE,"")</f>
        <v>-5029735.8783157896</v>
      </c>
      <c r="DA42" s="90">
        <f ca="1">IFERROR((TabCalc[[#This Row],[M]]+TabCalc[[#This Row],[L_Bp]])/ABS(TabCalc[[#This Row],[L_Bp]])/(TODAY()-TabCalc[[#This Row],[L_Bdate]])*360,"")</f>
        <v>4.1676533270187194E-2</v>
      </c>
      <c r="DB42" s="312">
        <f ca="1">MEDIAN(DataShift!F742:Z742)</f>
        <v>-2.8179999999999998E-3</v>
      </c>
      <c r="DC42" s="312" t="str" cm="1">
        <f t="array" aca="1" ref="DC4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42" s="88" t="s">
        <v>38</v>
      </c>
      <c r="DN42" s="82">
        <v>1500</v>
      </c>
      <c r="DO42" s="317">
        <v>-93.048699999999997</v>
      </c>
    </row>
    <row r="43" spans="1:119">
      <c r="A43" s="120" t="str">
        <f ca="1">_xlfn.XLOOKUP(TabCalc[[#This Row],[Ticker]],[1]!RTData[Ticker symbol],[1]!RTData[Currency])</f>
        <v>USD</v>
      </c>
      <c r="B43" s="121">
        <f ca="1">IF(TabCalc[[#This Row],[Cur]]="GBP",0.01,1)</f>
        <v>1</v>
      </c>
      <c r="C43" s="82">
        <f ca="1">_xlfn.XLOOKUP(TabCalc[[#This Row],[Ticker]],DM$3:DM$96,DN$3:DN$96)</f>
        <v>16000</v>
      </c>
      <c r="D43" s="1254">
        <f ca="1">_xlfn.XLOOKUP(TabCalc[[#This Row],[Ticker]],DM$3:DM$96,DO$3:DO$96)</f>
        <v>-54.700470000000003</v>
      </c>
      <c r="E43" s="121">
        <f t="shared" ca="1" si="2"/>
        <v>-875207.52</v>
      </c>
      <c r="F43" s="82">
        <f ca="1">TabCalc[[#This Row],[NAfter]]*TabCalc[[#This Row],[M]]*TabCalc[[#This Row],[Scale]]</f>
        <v>191840</v>
      </c>
      <c r="G43" s="82">
        <f ca="1">IFERROR(TabCalc[[#This Row],[SB]]-TabCalc[[#This Row],[SST]],TabCalc[[#This Row],[SB]])</f>
        <v>16000</v>
      </c>
      <c r="H43" s="535" t="str">
        <f ca="1">[1]!RTData[[#This Row],[Ticker symbol]]</f>
        <v>SSYS</v>
      </c>
      <c r="I43" s="385">
        <f ca="1">[1]!RTData[[#This Row],[M-Price]]</f>
        <v>11.99</v>
      </c>
      <c r="J43" s="384">
        <v>17.004960658082975</v>
      </c>
      <c r="K43" s="383">
        <f>[1]!RTData[[#This Row],[1YT]]</f>
        <v>13.33333</v>
      </c>
      <c r="L43" s="384">
        <f ca="1">IF(OR(TabCalc[[#This Row],[NAfter]]=0,TabCalc[[#This Row],[EfCost]]&gt;0),0,TabCalc[[#This Row],[EfCost]]/TabCalc[[#This Row],[NAfter]]/TabCalc[[#This Row],[Scale]])</f>
        <v>-53.532770006250004</v>
      </c>
      <c r="M43" s="744">
        <f ca="1">[1]!RTData[[#This Row],[Change%]]</f>
        <v>1.7826999999999999E-2</v>
      </c>
      <c r="N43" s="1172">
        <v>0</v>
      </c>
      <c r="O43" s="966">
        <f>TabCalc[[#This Row],[Up20]]-1+TabCalc[[#This Row],[Up20]]</f>
        <v>-1</v>
      </c>
      <c r="P43" s="966">
        <f>TabCalc[[#This Row],[Up20]]-TabCalc[[#This Row],[Up150]]</f>
        <v>0</v>
      </c>
      <c r="Q43" s="966">
        <v>0</v>
      </c>
      <c r="R43" s="966">
        <f>TabCalc[[#This Row],[Up150]]-1+TabCalc[[#This Row],[Up150]]</f>
        <v>-1</v>
      </c>
      <c r="S43" s="966">
        <f ca="1">IFERROR(SUMPRODUCT(DataShift!F1535:Z1535,DataShift!AB742:AV742)/SQRT(SUMPRODUCT(DataShift!F1535:Z1535,DataShift!F1535:Z1535)*SUMPRODUCT(DataShift!AB742:AV742,DataShift!AB742:AV742)),0)</f>
        <v>-0.40756004283113673</v>
      </c>
      <c r="T43" s="966">
        <f ca="1">IFERROR(SUMPRODUCT(DataShift!F1535:Z1535,DataShift!F743:Z743)/SQRT(SUMPRODUCT(DataShift!F1535:Z1535,DataShift!F1535:Z1535)*SUMPRODUCT(DataShift!F743:Z743,DataShift!F743:Z743)),0)</f>
        <v>0.44047555142954481</v>
      </c>
      <c r="U43" s="1107">
        <v>11000</v>
      </c>
      <c r="V43" s="1107">
        <v>11368</v>
      </c>
      <c r="W43" s="1107">
        <v>0</v>
      </c>
      <c r="X43" s="966" t="str">
        <f ca="1">IF(TabCalc[[#This Row],[EfCost]]+TabCalc[[#This Row],[M_V]]&lt;TabCalc[[#This Row],[NoT_GL]],"Pile","")</f>
        <v/>
      </c>
      <c r="Y4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43,731 = $ 524,334</v>
      </c>
      <c r="Z43" s="213">
        <f ca="1">MIN(TabCalc[[#This Row],[L_Bn]],TabCalc[[#This Row],[NAfter]])*(TabCalc[[#This Row],[M]]+TabCalc[[#This Row],[L_Bp]])*TabCalc[[#This Row],[Scale]]</f>
        <v>8220</v>
      </c>
      <c r="AA43" s="210" cm="1">
        <f t="array" aca="1" ref="AA43" ca="1">_xlfn.XLOOKUP(TabCalc[[#This Row],[L_Bp]],INDIRECT("TabReg["&amp;TabCalc[[#This Row],[Ticker]]&amp;"2]"),INDIRECT("TabReg["&amp;TabCalc[[#This Row],[Ticker]]&amp;"]"))</f>
        <v>45664</v>
      </c>
      <c r="AB43" s="181" cm="1">
        <f t="array" aca="1" ref="AB43" ca="1">_xlfn.XLOOKUP(TabCalc[[#This Row],[L_Bp]],INDIRECT("TabReg["&amp;TabCalc[[#This Row],[Ticker]]&amp;"2]"),INDIRECT("TabReg["&amp;TabCalc[[#This Row],[Ticker]]&amp;"1]"))</f>
        <v>3000</v>
      </c>
      <c r="AC43" s="192" cm="1">
        <f t="array" aca="1" ref="AC43" ca="1">IFERROR(INDEX(INDIRECT("TabReg["&amp;TabCalc[[#This Row],[Ticker]]&amp;"2]"),    _xlfn.XMATCH(    MAX(    _xlfn._xlws.FILTER(INDIRECT("TabReg["&amp;TabCalc[[#This Row],[Ticker]]&amp;"]"), INDIRECT("TabReg["&amp;TabCalc[[#This Row],[Ticker]]&amp;"2]")&lt;0)     ), INDIRECT("TabReg["&amp;TabCalc[[#This Row],[Ticker]]&amp;"]"),      0)), "")</f>
        <v>-9.25</v>
      </c>
      <c r="AD43" s="213">
        <f ca="1">IFERROR(MIN(TabCalc[[#This Row],[L_B1n]],TabCalc[[#This Row],[NAfter]])*(TabCalc[[#This Row],[M]]+TabCalc[[#This Row],[L_B1p]])*TabCalc[[#This Row],[Scale]],"")</f>
        <v>11494</v>
      </c>
      <c r="AE43" s="210" cm="1">
        <f t="array" aca="1" ref="AE4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45449</v>
      </c>
      <c r="AF43" s="181" cm="1">
        <f t="array" aca="1" ref="AF43" ca="1">IFERROR(_xlfn.XLOOKUP(TabCalc[[#This Row],[L_B1D]],INDIRECT("TabReg["&amp;TabCalc[[#This Row],[Ticker]]&amp;"]"),INDIRECT("TabReg["&amp;TabCalc[[#This Row],[Ticker]]&amp;"1]")),0)</f>
        <v>4000</v>
      </c>
      <c r="AG43" s="192" cm="1">
        <f t="array" aca="1" ref="AG43" ca="1">IFERROR(_xlfn.XLOOKUP(TabCalc[[#This Row],[L_B1D]],INDIRECT("TabReg["&amp;TabCalc[[#This Row],[Ticker]]&amp;"]"),INDIRECT("TabReg["&amp;TabCalc[[#This Row],[Ticker]]&amp;"2]")),0)</f>
        <v>-9.1165000000000003</v>
      </c>
      <c r="AH43" s="302">
        <f ca="1">IFERROR(TabCalc[[#This Row],[L_Sn]]*(TabCalc[[#This Row],[L_Sp]]-TabCalc[[#This Row],[M]])*TabCalc[[#This Row],[Scale]],"")</f>
        <v>2332.5999000000002</v>
      </c>
      <c r="AI43" s="210" cm="1">
        <f t="array" aca="1" ref="AI43" ca="1">IFERROR(_xlfn.XLOOKUP(TabCalc[[#This Row],[L_Sp]],INDIRECT("TabReg["&amp;TabCalc[[#This Row],[Ticker]]&amp;"2]"),INDIRECT("TabReg["&amp;TabCalc[[#This Row],[Ticker]]&amp;"]")),0)</f>
        <v>45694</v>
      </c>
      <c r="AJ43" s="181" cm="1">
        <f t="array" aca="1" ref="AJ43" ca="1">IFERROR(_xlfn.XLOOKUP(TabCalc[[#This Row],[L_Sp]],INDIRECT("TabReg["&amp;TabCalc[[#This Row],[Ticker]]&amp;"2]"),INDIRECT("TabReg["&amp;TabCalc[[#This Row],[Ticker]]&amp;"1]")),0)</f>
        <v>3000</v>
      </c>
      <c r="AK43" s="192" cm="1">
        <f t="array" aca="1" ref="AK43" ca="1">IFERROR(INDEX(INDIRECT("TabReg["&amp;TabCalc[[#This Row],[Ticker]]&amp;"2]"), _xlfn.XMATCH(MAX(_xlfn._xlws.FILTER(INDIRECT("TabReg["&amp;TabCalc[[#This Row],[Ticker]]&amp;"]"), INDIRECT("TabReg["&amp;TabCalc[[#This Row],[Ticker]]&amp;"2]")&gt;0)), INDIRECT("TabReg["&amp;TabCalc[[#This Row],[Ticker]]&amp;"]"), 0)), 0)</f>
        <v>12.7675333</v>
      </c>
      <c r="AL43" s="214">
        <f ca="1">IFERROR(TabCalc[[#This Row],[L_S1n]]*(TabCalc[[#This Row],[L_S1p]]-TabCalc[[#This Row],[M]])*TabCalc[[#This Row],[Scale]],0)</f>
        <v>-6520.0000000000027</v>
      </c>
      <c r="AM43" s="210" cm="1">
        <f t="array" aca="1" ref="AM4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45642</v>
      </c>
      <c r="AN43" s="181" cm="1">
        <f t="array" aca="1" ref="AN43" ca="1">IFERROR(_xlfn.XLOOKUP(TabCalc[[#This Row],[L_S1D]],INDIRECT("TabReg["&amp;TabCalc[[#This Row],[Ticker]]&amp;"]"),INDIRECT("TabReg["&amp;TabCalc[[#This Row],[Ticker]]&amp;"1]")),0)</f>
        <v>4000</v>
      </c>
      <c r="AO43" s="384" cm="1">
        <f t="array" aca="1" ref="AO43" ca="1">IFERROR(_xlfn.XLOOKUP(TabCalc[[#This Row],[L_S1D]],INDIRECT("TabReg["&amp;TabCalc[[#This Row],[Ticker]]&amp;"]"),INDIRECT("TabReg["&amp;TabCalc[[#This Row],[Ticker]]&amp;"2]")),0)</f>
        <v>10.36</v>
      </c>
      <c r="AP43" s="336">
        <f ca="1">_xlfn.LET(_xlpm.MVOpen,[1]!RTData[[#This Row],[Open]]*TabCalc[[#This Row],[NAfter]],_xlpm.MVNow,TabCalc[[#This Row],[M]]*TabCalc[[#This Row],[NAfter]],_xlpm.MVNow-_xlpm.MVOpen)*TabCalc[[#This Row],[Scale]]</f>
        <v>1056</v>
      </c>
      <c r="AQ43" s="336">
        <f ca="1">_xlfn.LET(_xlpm.MVToday,DataShift!AV543,         _xlpm.MVY,DataShift!AU544,        _xlpm.MVYY, DataShift!AT544,                                IF(_xlpm.MVToday=_xlpm.MVY,_xlpm.MVY-_xlpm.MVYY,_xlpm.MVToday-_xlpm.MVY))</f>
        <v>-32870</v>
      </c>
      <c r="AR43" s="336">
        <f ca="1">_xlfn.LET(_xlpm.MVToday,DataShift!AV543,         _xlpm.MVY,DataShift!AU544,        _xlpm.MVYY, DataShift!AT544,         _xlpm.MVYYY, DataShift!AS544,                      IF(_xlpm.MVToday=_xlpm.MVY,      _xlpm.MVYY-_xlpm.MVYYY,          _xlpm.MVY-_xlpm.MVYY))</f>
        <v>19570</v>
      </c>
      <c r="AS43" s="1078">
        <f ca="1">TabCalc[[#This Row],[Y]]/TabCalc[[#This Row],[M]]</f>
        <v>1.1120375312760633</v>
      </c>
      <c r="AT43" s="299" t="str" cm="1">
        <f t="array" aca="1" ref="AT43" ca="1">IFERROR(_xlfn.IFS(          TabCalc[[#This Row],[E]]&gt;0, "Free Trade",      TabCalc[[#This Row],[A]]&lt;MIN(TabCalc[[#This Row],[L_Sp]],TabCalc[[#This Row],[M]]), "Buy",            TabCalc[[#This Row],[M]]&lt;TabCalc[[#This Row],[L_Sp]],       "Refill",       TabCalc[[#This Row],[M]]&gt;TabCalc[[#This Row],[L_Sp]],"S_more"),"")</f>
        <v>Refill</v>
      </c>
      <c r="AU43" s="299" t="str">
        <f ca="1">IF(           AND(TabCalc[[#This Row],[E]]&lt;=0,          TabCalc[[#This Row],[A]]&gt;MIN(TabCalc[[#This Row],[M]],TabCalc[[#This Row],[L_Sp]]),             TabCalc[[#This Row],[L_Sp]]&lt;=TabCalc[[#This Row],[M]]),                       "S_more","")</f>
        <v/>
      </c>
      <c r="AV43" s="82" t="str" cm="1">
        <f t="array" aca="1" ref="AV43" ca="1">IFERROR(_xlfn.IFS(TabCalc[[#This Row],[E]]&gt;0,"Free trade",                 TabCalc[[#This Row],[A]]&lt;MAX(ABS(TabCalc[[#This Row],[L_Bp]]),TabCalc[[#This Row],[A]]),"Sell",             TabCalc[[#This Row],[M]]&gt;ABS(TabCalc[[#This Row],[L_Bp]]),"Resell",             TabCalc[[#This Row],[M]]&lt;ABS(TabCalc[[#This Row],[L_Bp]]),"B_more"),"")</f>
        <v>Resell</v>
      </c>
      <c r="AW43" s="82">
        <f ca="1">TabCalc[[#This Row],[NAfter]]-TabCalc[[#This Row],[Nbegin]]</f>
        <v>0</v>
      </c>
      <c r="AX43" s="307">
        <f ca="1">IFERROR((TabCalc[[#This Row],[M]]-TabCalc[[#This Row],[Y]])*(TabCalc[[#This Row],[M]]-TabCalc[[#This Row],[Y]])*(TabCalc[[#This Row],[M]]-TabCalc[[#This Row],[Y]])/(TabCalc[[#This Row],[Y]]*TabCalc[[#This Row],[M]]),"")</f>
        <v>-1.5163181386525349E-2</v>
      </c>
      <c r="AY43" s="82">
        <f t="shared" ca="1" si="3"/>
        <v>0</v>
      </c>
      <c r="AZ43" s="90">
        <f ca="1">[1]!RTData[[#This Row],[V/VA]]</f>
        <v>0.83446883714636</v>
      </c>
      <c r="BA43" s="90" t="str" cm="1">
        <f t="array" aca="1" ref="BA43" ca="1">IFERROR(_xlfn.IFS(TabCalc[[#This Row],[Cur]]="USD",Timer!F$27,TabCalc[[#This Row],[Cur]]="EUR",Timer!F$18,TabCalc[[#This Row],[Cur]]="GBP",Timer!F$12,TabCalc[[#This Row],[Cur]]="CAD",Timer!F$27,TabCalc[[#This Row],[Cur]]="JPY",Timer!F$31,TabCalc[[#This Row],[Cur]]="CHF",Timer!F$18),"Timing")</f>
        <v>None-Working Day</v>
      </c>
      <c r="BB43" s="90">
        <f ca="1">IF(ISNUMBER(TabCalc[[#This Row],[TimeEX]]),TabCalc[[#This Row],[V/VA]]/TabCalc[[#This Row],[TimeEX]],TabCalc[[#This Row],[V/VA]])</f>
        <v>0.83446883714636</v>
      </c>
      <c r="BC43" s="87" cm="1">
        <f t="array" aca="1" ref="BC43" ca="1">INDEX(TabReg[], 1, _xlfn.XMATCH(TabCalc[[#This Row],[Ticker]]&amp;1, TabReg[#Headers], 0))</f>
        <v>16000</v>
      </c>
      <c r="BD43" s="161">
        <f ca="1">TabCalc[[#This Row],[Nbegin]]*TabCalc[[#This Row],[M]]*TabCalc[[#This Row],[Scale]]+TabCalc[[#This Row],[ValueBegin]]</f>
        <v>-683367.52</v>
      </c>
      <c r="BE43" s="336" t="str" cm="1">
        <f t="array" aca="1" ref="BE43" ca="1">_xlfn.IFS(TabCalc[[#This Row],[Cost+Gain]]&gt;0,"Free",             TabCalc[[#This Row],[GL]]&gt;0,"Gainer",                TRUE,"Looser")</f>
        <v>Looser</v>
      </c>
      <c r="BF43" s="161">
        <f ca="1">TabCalc[[#This Row],[Tot_Paid]]-TabCalc[[#This Row],[ValueBegin]]</f>
        <v>-86737.170311999973</v>
      </c>
      <c r="BG43" s="337">
        <f ca="1">IF(TabCalc[[#This Row],[EfCost]]&gt;TabCalc[[#This Row],[ValueBegin]],       0,        TabCalc[[#This Row],[EfCost]]-TabCalc[[#This Row],[ValueBegin]]*(1+Commission))</f>
        <v>0</v>
      </c>
      <c r="BH43" s="338">
        <f ca="1">TabCalc[[#This Row],[M_V]]+TabCalc[[#This Row],[ValueBegin]]</f>
        <v>-683367.52</v>
      </c>
      <c r="BI43" s="161" cm="1">
        <f t="array" aca="1" ref="BI43" ca="1">SUMPRODUCT(_xlfn._xlws.FILTER(INDIRECT("TabReg["&amp;TabCalc[[#This Row],[Ticker]]&amp;"1]") * INDIRECT("TabReg["&amp;TabCalc[[#This Row],[Ticker]]&amp;"2]"), INDIRECT("TabReg["&amp;TabCalc[[#This Row],[Ticker]]&amp;"2]")&lt;0))*(1+Commission)*TabCalc[[#This Row],[Scale]]</f>
        <v>-961944.69031199999</v>
      </c>
      <c r="BJ43" s="161" cm="1">
        <f t="array" aca="1" ref="BJ43" ca="1">SUMPRODUCT(IF(INDIRECT("TabReg["&amp;TabCalc[[#This Row],[Ticker]]&amp;"2]") ="", 0, INDIRECT("TabReg["&amp;TabCalc[[#This Row],[Ticker]]&amp;"1]") * INDIRECT("TabReg["&amp;TabCalc[[#This Row],[Ticker]]&amp;"2]") ))*TabCalc[[#This Row],[Scale]]</f>
        <v>-856524.32010000001</v>
      </c>
      <c r="BK43" s="161" cm="1">
        <f t="array" aca="1" ref="BK4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102658.19282026</v>
      </c>
      <c r="BL43" s="161">
        <f ca="1">TabCalc[[#This Row],[M_V]]+TabCalc[[#This Row],[EfCost]]</f>
        <v>-664684.32010000001</v>
      </c>
      <c r="BM43" s="161">
        <f ca="1">IF(        OR( TabCalc[[#This Row],[GL]]&gt;ABS(TabCalc[[#This Row],[EfCost]]),TabCalc[[#This Row],[NAfter]]=0),             TabCalc[[#This Row],[GL]],     0)</f>
        <v>0</v>
      </c>
      <c r="BN43" s="161" cm="1">
        <f t="array" aca="1" ref="BN43" ca="1">SUMPRODUCT(_xlfn._xlws.FILTER(IF(INDIRECT("TabReg["&amp;TabCalc[[#This Row],[Ticker]]&amp;"2]") ="", 0, INDIRECT("TabReg["&amp;TabCalc[[#This Row],[Ticker]]&amp;"1]")  ),  INDIRECT("TabReg["&amp;TabCalc[[#This Row],[Ticker]]&amp;"2]") &lt; 0))</f>
        <v>25000</v>
      </c>
      <c r="BO43" s="161">
        <f ca="1">TabCalc[[#This Row],[SB]]-TabCalc[[#This Row],[Nbegin]]</f>
        <v>9000</v>
      </c>
      <c r="BP43" s="161" cm="1">
        <f t="array" aca="1" ref="BP43" ca="1">IFERROR(SUMPRODUCT(_xlfn._xlws.FILTER(IF(INDIRECT("TabReg["&amp;TabCalc[[#This Row],[Ticker]]&amp;"2]") ="", 0, INDIRECT("TabReg["&amp;TabCalc[[#This Row],[Ticker]]&amp;"1]")  ),  INDIRECT("TabReg["&amp;TabCalc[[#This Row],[Ticker]]&amp;"2]") &gt; 0)),0)</f>
        <v>9000</v>
      </c>
      <c r="BQ43"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87.33</v>
      </c>
      <c r="BR43" s="176" t="str">
        <f ca="1">IF(TabCalc[[#This Row],[EfCost]]+TabCalc[[#This Row],[M_V]]&lt;TabCalc[[#This Row],[NoT_GL]],"Pile","")</f>
        <v/>
      </c>
      <c r="BS43" s="167">
        <f ca="1">[1]!RTData[[#This Row],[Last trade time]]</f>
        <v>45954.987047603907</v>
      </c>
      <c r="BT43" s="177">
        <f ca="1">(TabCalc[[#This Row],[ValueBegin]]+(TabCalc[[#This Row],[M]]-TabCalc[[#This Row],[A]])*TabCalc[[#This Row],[NAfter]])*TabCalc[[#This Row],[Scale]]</f>
        <v>-955446.89052932756</v>
      </c>
      <c r="BU43" s="189" cm="1">
        <f t="array" aca="1" ref="BU43" ca="1">_xlfn.XLOOKUP(TabCalc[[#This Row],[Ticker]],TabReg[[#Headers],[AAPL]:[UnknownX28]],Reg!B$72:KF$72)+3</f>
        <v>10</v>
      </c>
      <c r="BV43" s="190" cm="1">
        <f t="array" aca="1" ref="BV43" ca="1">_xlfn.XLOOKUP(TabCalc[[#This Row],[Ticker]],TabReg[[#Headers],[AAPL]:[UnknownX28]],Reg!B$73:KF$73)+2</f>
        <v>126</v>
      </c>
      <c r="BW43" s="191">
        <f ca="1">IFERROR(MAX(TabCalc[[#This Row],[Max_SD]],TabCalc[[#This Row],[Max_PD]]),0)</f>
        <v>45694</v>
      </c>
      <c r="BX43" s="191" t="str" cm="1">
        <f t="array" aca="1" ref="BX43" ca="1">_xlfn.IFS(TabCalc[[#This Row],[L_TP]]&lt;0,"Purchase",TabCalc[[#This Row],[L_TP]]&gt;0,"Sale")</f>
        <v>Sale</v>
      </c>
      <c r="BY43" s="190" cm="1">
        <f t="array" aca="1" ref="BY43" ca="1">INDEX(Reg!$A$1:$KF$73,TabCalc[[#This Row],[L_I1]],TabCalc[[#This Row],[L_I2]])</f>
        <v>3000</v>
      </c>
      <c r="BZ43" s="192" cm="1">
        <f t="array" aca="1" ref="BZ43" ca="1">INDEX(Reg!$A$1:$KF$73,TabCalc[[#This Row],[L_I1]],TabCalc[[#This Row],[L_I2]]+1)</f>
        <v>12.7675333</v>
      </c>
      <c r="CA43" s="161">
        <f ca="1">TabCalc[[#This Row],[NAfter]]*(TabCalc[[#This Row],[M]]-IF(TabCalc[[#This Row],[E]]&gt;0,0,TabCalc[[#This Row],[A]]))</f>
        <v>-80239.3705293276</v>
      </c>
      <c r="CB43" s="167" cm="1">
        <f t="array" aca="1" ref="CB43" ca="1">IFERROR(MIN(_xlfn._xlws.FILTER(INDIRECT("TabReg["&amp;TabCalc[[#This Row],[Ticker]]&amp;"]"), INDIRECT("TabReg["&amp;TabCalc[[#This Row],[Ticker]]&amp;"2]")&gt;0)),0)</f>
        <v>45369</v>
      </c>
      <c r="CC43" s="178" cm="1">
        <f t="array" aca="1" ref="CC43" ca="1">IFERROR(MIN(_xlfn._xlws.FILTER(INDIRECT("TabReg["&amp;TabCalc[[#This Row],[Ticker]]&amp;"1]"), INDIRECT("TabReg["&amp;TabCalc[[#This Row],[Ticker]]&amp;"2]")&gt;0)),0)</f>
        <v>2000</v>
      </c>
      <c r="CD43" s="173" cm="1">
        <f t="array" aca="1" ref="CD43" ca="1">IFERROR(MIN(_xlfn._xlws.FILTER(INDIRECT("TabReg["&amp;TabCalc[[#This Row],[Ticker]]&amp;"2]"), INDIRECT("TabReg["&amp;TabCalc[[#This Row],[Ticker]]&amp;"2]")&gt;0)),0)</f>
        <v>10.36</v>
      </c>
      <c r="CE43" s="167" cm="1">
        <f t="array" aca="1" ref="CE43" ca="1">IFERROR(MAX(_xlfn._xlws.FILTER(INDIRECT("TabReg["&amp;TabCalc[[#This Row],[Ticker]]&amp;"]"), INDIRECT("TabReg["&amp;TabCalc[[#This Row],[Ticker]]&amp;"2]")&gt;0)),0)</f>
        <v>45694</v>
      </c>
      <c r="CF43" s="178" cm="1">
        <f t="array" aca="1" ref="CF43" ca="1">IFERROR(MAX(_xlfn._xlws.FILTER(INDIRECT("TabReg["&amp;TabCalc[[#This Row],[Ticker]]&amp;"1]"), INDIRECT("TabReg["&amp;TabCalc[[#This Row],[Ticker]]&amp;"2]")&gt;0)),0)</f>
        <v>4000</v>
      </c>
      <c r="CG43" s="173" cm="1">
        <f t="array" aca="1" ref="CG43" ca="1">IFERROR(MAX(_xlfn._xlws.FILTER(INDIRECT("TabReg["&amp;TabCalc[[#This Row],[Ticker]]&amp;"2]"), INDIRECT("TabReg["&amp;TabCalc[[#This Row],[Ticker]]&amp;"2]")&gt;0)),0)</f>
        <v>12.7675333</v>
      </c>
      <c r="CH43" s="167" cm="1">
        <f t="array" aca="1" ref="CH43" ca="1">MIN(_xlfn._xlws.FILTER(INDIRECT("TabReg["&amp;TabCalc[[#This Row],[Ticker]]&amp;"]"), INDIRECT("TabReg["&amp;TabCalc[[#This Row],[Ticker]]&amp;"2]")&lt;0))</f>
        <v>40544</v>
      </c>
      <c r="CI43" s="177" cm="1">
        <f t="array" aca="1" ref="CI43" ca="1">MIN(_xlfn._xlws.FILTER(INDIRECT("TabReg["&amp;TabCalc[[#This Row],[Ticker]]&amp;"1]"), INDIRECT("TabReg["&amp;TabCalc[[#This Row],[Ticker]]&amp;"2]")&lt;0))</f>
        <v>2000</v>
      </c>
      <c r="CJ43" s="173" cm="1">
        <f t="array" aca="1" ref="CJ43" ca="1">MIN(_xlfn._xlws.FILTER(INDIRECT("TabReg["&amp;TabCalc[[#This Row],[Ticker]]&amp;"2]"), INDIRECT("TabReg["&amp;TabCalc[[#This Row],[Ticker]]&amp;"2]")&lt;0))</f>
        <v>-54.700470000000003</v>
      </c>
      <c r="CK43" s="167" cm="1">
        <f t="array" aca="1" ref="CK43" ca="1">MAX(_xlfn._xlws.FILTER(INDIRECT("TabReg["&amp;TabCalc[[#This Row],[Ticker]]&amp;"]"), INDIRECT("TabReg["&amp;TabCalc[[#This Row],[Ticker]]&amp;"2]")&lt;0))</f>
        <v>45664</v>
      </c>
      <c r="CL43" s="177" cm="1">
        <f t="array" aca="1" ref="CL43" ca="1">MAX(_xlfn._xlws.FILTER(INDIRECT("TabReg["&amp;TabCalc[[#This Row],[Ticker]]&amp;"1]"), INDIRECT("TabReg["&amp;TabCalc[[#This Row],[Ticker]]&amp;"2]")&lt;0))</f>
        <v>16000</v>
      </c>
      <c r="CM43" s="173" cm="1">
        <f t="array" aca="1" ref="CM43" ca="1">MAX(_xlfn._xlws.FILTER(INDIRECT("TabReg["&amp;TabCalc[[#This Row],[Ticker]]&amp;"2]"), INDIRECT("TabReg["&amp;TabCalc[[#This Row],[Ticker]]&amp;"2]")&lt;0))</f>
        <v>-9.1165000000000003</v>
      </c>
      <c r="CN43" s="167" cm="1">
        <f t="array" aca="1" ref="CN43" ca="1">IFERROR(_xlfn.XLOOKUP(TabCalc[[#This Row],[BS2P]],INDIRECT("TabReg["&amp;TabCalc[[#This Row],[Ticker]]&amp;"2]"),INDIRECT("TabReg["&amp;TabCalc[[#This Row],[Ticker]]&amp;"]")),0)</f>
        <v>45369</v>
      </c>
      <c r="CO43" s="178" cm="1">
        <f t="array" aca="1" ref="CO43" ca="1">IFERROR(_xlfn.XLOOKUP(TabCalc[[#This Row],[BS2P]],INDIRECT("TabReg["&amp;TabCalc[[#This Row],[Ticker]]&amp;"2]"),INDIRECT("TabReg["&amp;TabCalc[[#This Row],[Ticker]]&amp;"1]")),0)</f>
        <v>2000</v>
      </c>
      <c r="CP43" s="173">
        <f ca="1">_xlfn.MAXIFS(INDIRECT("TabReg["&amp;TabCalc[[#This Row],[Ticker]]&amp;"2]"), INDIRECT("TabReg["&amp;TabCalc[[#This Row],[Ticker]]&amp;"2]"), "&lt;" &amp; MAX(INDIRECT("TabReg["&amp;TabCalc[[#This Row],[Ticker]]&amp;"2]")))</f>
        <v>11.5916</v>
      </c>
      <c r="CQ43" s="167" cm="1">
        <f t="array" aca="1" ref="CQ43" ca="1">IFERROR(_xlfn.XLOOKUP(TabCalc[[#This Row],[WB2P]],INDIRECT("TabReg["&amp;TabCalc[[#This Row],[Ticker]]&amp;"2]"),INDIRECT("TabReg["&amp;TabCalc[[#This Row],[Ticker]]&amp;"]")),0)</f>
        <v>45412</v>
      </c>
      <c r="CR43" s="178" cm="1">
        <f t="array" aca="1" ref="CR43" ca="1">IFERROR(_xlfn.XLOOKUP(TabCalc[[#This Row],[WB2P]],INDIRECT("TabReg["&amp;TabCalc[[#This Row],[Ticker]]&amp;"2]"),INDIRECT("TabReg["&amp;TabCalc[[#This Row],[Ticker]]&amp;"1]")),0)</f>
        <v>2000</v>
      </c>
      <c r="CS43" s="173">
        <f ca="1">_xlfn.MINIFS(INDIRECT("TabReg["&amp;TabCalc[[#This Row],[Ticker]]&amp;"2]"), INDIRECT("TabReg["&amp;TabCalc[[#This Row],[Ticker]]&amp;"2]"), "&gt;" &amp; MIN(INDIRECT("TabReg["&amp;TabCalc[[#This Row],[Ticker]]&amp;"2]")))</f>
        <v>-10.013299999999999</v>
      </c>
      <c r="CT43" s="405">
        <f ca="1">IF(TabCalc[[#This Row],[M]]&lt;TabCalc[[#This Row],[L_Sp]],DesiredBuyGain/(TabCalc[[#This Row],[L_Sp]]-TabCalc[[#This Row],[M]]),0)</f>
        <v>6430.5927476032221</v>
      </c>
      <c r="CU43" s="406">
        <f ca="1">IF(TabCalc[[#This Row],[ntoBuy]]*TabCalc[[#This Row],[M]]&lt;=0,0,TabCalc[[#This Row],[ntoBuy]]*TabCalc[[#This Row],[M]])</f>
        <v>77102.80704376263</v>
      </c>
      <c r="CV43" s="406">
        <f ca="1">IF(TabCalc[[#This Row],[M]]&gt;ABS(TabCalc[[#This Row],[L_Bp]]),MIN(TabCalc[[#This Row],[NAfter]],DesiredSaleGain/(TabCalc[[#This Row],[M]]+TabCalc[[#This Row],[L_Bp]])),0)/TabCalc[[#This Row],[Scale]]</f>
        <v>1824.817518248175</v>
      </c>
      <c r="CW43" s="407">
        <f ca="1">TabCalc[[#This Row],[ntoSell]]*TabCalc[[#This Row],[M]]</f>
        <v>21879.56204379562</v>
      </c>
      <c r="CX43" s="400">
        <f ca="1">_xlfn.LET(_xlpm.nToSell,IF(TabCalc[[#This Row],[M]]-TabCalc[[#This Row],[A]]&lt;=0,"",INT(DesiredSaleGain/(TabCalc[[#This Row],[M]]-IF(TabCalc[[#This Row],[E]]&gt;0,0,TabCalc[[#This Row],[A]])))),IF(_xlpm.nToSell&lt;=TabCalc[[#This Row],[NAfter]],_xlpm.nToSell,0))</f>
        <v>0</v>
      </c>
      <c r="CY43" s="338">
        <f ca="1">IFERROR(TabCalc[[#This Row],[NMA]]*TabCalc[[#This Row],[M]],"")</f>
        <v>0</v>
      </c>
      <c r="CZ43" s="337" cm="1">
        <f t="array" aca="1" ref="CZ43" ca="1">_xlfn.IFS(TabCalc[[#This Row],[M]]&gt;= TabCalc[[#This Row],[L_Sp]],(TabCalc[[#This Row],[M]]-TabCalc[[#This Row],[A]])*TabCalc[[#This Row],[NAfter]]*TabCalc[[#This Row],[Scale]],           TabCalc[[#This Row],[M]]&lt; TabCalc[[#This Row],[L_Sp]],(TabCalc[[#This Row],[M]]-TabCalc[[#This Row],[A]])*TabCalc[[#This Row],[NAfter]]*TabCalc[[#This Row],[Scale]],               TRUE,"")</f>
        <v>-80239.3705293276</v>
      </c>
      <c r="DA43" s="90">
        <f ca="1">IFERROR((TabCalc[[#This Row],[M]]+TabCalc[[#This Row],[L_Bp]])/ABS(TabCalc[[#This Row],[L_Bp]])/(TODAY()-TabCalc[[#This Row],[L_Bdate]])*360,"")</f>
        <v>0.36519807478711591</v>
      </c>
      <c r="DB43" s="312">
        <f ca="1">MEDIAN(DataShift!F743:Z743)</f>
        <v>2.5300000000000001E-3</v>
      </c>
      <c r="DC43" s="312" t="str" cm="1">
        <f t="array" aca="1" ref="DC4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43" s="88" t="s">
        <v>39</v>
      </c>
      <c r="DN43" s="81">
        <v>12500</v>
      </c>
      <c r="DO43" s="317">
        <v>-11.2137168</v>
      </c>
    </row>
    <row r="44" spans="1:119">
      <c r="A44" s="120" t="str">
        <f ca="1">_xlfn.XLOOKUP(TabCalc[[#This Row],[Ticker]],[1]!RTData[Ticker symbol],[1]!RTData[Currency])</f>
        <v>USD</v>
      </c>
      <c r="B44" s="121">
        <f ca="1">IF(TabCalc[[#This Row],[Cur]]="GBP",0.01,1)</f>
        <v>1</v>
      </c>
      <c r="C44" s="82">
        <f ca="1">_xlfn.XLOOKUP(TabCalc[[#This Row],[Ticker]],DM$3:DM$96,DN$3:DN$96)</f>
        <v>500</v>
      </c>
      <c r="D44" s="1254">
        <f ca="1">_xlfn.XLOOKUP(TabCalc[[#This Row],[Ticker]],DM$3:DM$96,DO$3:DO$96)</f>
        <v>-172.548</v>
      </c>
      <c r="E44" s="121">
        <f t="shared" ca="1" si="2"/>
        <v>-86274</v>
      </c>
      <c r="F44" s="82">
        <f ca="1">TabCalc[[#This Row],[NAfter]]*TabCalc[[#This Row],[M]]*TabCalc[[#This Row],[Scale]]</f>
        <v>433.72</v>
      </c>
      <c r="G44" s="82">
        <f ca="1">IFERROR(TabCalc[[#This Row],[SB]]-TabCalc[[#This Row],[SST]],TabCalc[[#This Row],[SB]])</f>
        <v>1</v>
      </c>
      <c r="H44" s="535" t="str">
        <f ca="1">[1]!RTData[[#This Row],[Ticker symbol]]</f>
        <v>TSLA</v>
      </c>
      <c r="I44" s="385">
        <f ca="1">[1]!RTData[[#This Row],[M-Price]]</f>
        <v>433.72</v>
      </c>
      <c r="J44" s="384">
        <v>29.196618125000001</v>
      </c>
      <c r="K44" s="383">
        <f>[1]!RTData[[#This Row],[1YT]]</f>
        <v>360.62945999999999</v>
      </c>
      <c r="L44" s="384">
        <f ca="1">IF(OR(TabCalc[[#This Row],[NAfter]]=0,TabCalc[[#This Row],[EfCost]]&gt;0),0,TabCalc[[#This Row],[EfCost]]/TabCalc[[#This Row],[NAfter]]/TabCalc[[#This Row],[Scale]])</f>
        <v>0</v>
      </c>
      <c r="M44" s="744">
        <f ca="1">[1]!RTData[[#This Row],[Change%]]</f>
        <v>-3.3987999999999997E-2</v>
      </c>
      <c r="N44" s="1172">
        <v>0.45454545454545453</v>
      </c>
      <c r="O44" s="966">
        <f>TabCalc[[#This Row],[Up20]]-1+TabCalc[[#This Row],[Up20]]</f>
        <v>-9.0909090909090884E-2</v>
      </c>
      <c r="P44" s="966">
        <f>TabCalc[[#This Row],[Up20]]-TabCalc[[#This Row],[Up150]]</f>
        <v>0</v>
      </c>
      <c r="Q44" s="966">
        <v>0.45454545454545453</v>
      </c>
      <c r="R44" s="966">
        <f>TabCalc[[#This Row],[Up150]]-1+TabCalc[[#This Row],[Up150]]</f>
        <v>-9.0909090909090884E-2</v>
      </c>
      <c r="S44" s="966">
        <f ca="1">IFERROR(SUMPRODUCT(DataShift!F1536:Z1536,DataShift!AB743:AV743)/SQRT(SUMPRODUCT(DataShift!F1536:Z1536,DataShift!F1536:Z1536)*SUMPRODUCT(DataShift!AB743:AV743,DataShift!AB743:AV743)),0)</f>
        <v>-0.69231542659495404</v>
      </c>
      <c r="T44" s="966">
        <f ca="1">IFERROR(SUMPRODUCT(DataShift!F1536:Z1536,DataShift!F744:Z744)/SQRT(SUMPRODUCT(DataShift!F1536:Z1536,DataShift!F1536:Z1536)*SUMPRODUCT(DataShift!F744:Z744,DataShift!F744:Z744)),0)</f>
        <v>-6.4840814697642968E-2</v>
      </c>
      <c r="U44" s="1107">
        <v>9000</v>
      </c>
      <c r="V44" s="1107">
        <v>7000</v>
      </c>
      <c r="W44" s="1107">
        <v>0</v>
      </c>
      <c r="X44" s="966" t="str">
        <f ca="1">IF(TabCalc[[#This Row],[EfCost]]+TabCalc[[#This Row],[M_V]]&lt;TabCalc[[#This Row],[NoT_GL]],"Pile","")</f>
        <v>Pile</v>
      </c>
      <c r="Y4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4" s="213">
        <f ca="1">MIN(TabCalc[[#This Row],[L_Bn]],TabCalc[[#This Row],[NAfter]])*(TabCalc[[#This Row],[M]]+TabCalc[[#This Row],[L_Bp]])*TabCalc[[#This Row],[Scale]]</f>
        <v>97.210000000000036</v>
      </c>
      <c r="AA44" s="210" cm="1">
        <f t="array" aca="1" ref="AA44" ca="1">_xlfn.XLOOKUP(TabCalc[[#This Row],[L_Bp]],INDIRECT("TabReg["&amp;TabCalc[[#This Row],[Ticker]]&amp;"2]"),INDIRECT("TabReg["&amp;TabCalc[[#This Row],[Ticker]]&amp;"]"))</f>
        <v>45700</v>
      </c>
      <c r="AB44" s="181" cm="1">
        <f t="array" aca="1" ref="AB44" ca="1">_xlfn.XLOOKUP(TabCalc[[#This Row],[L_Bp]],INDIRECT("TabReg["&amp;TabCalc[[#This Row],[Ticker]]&amp;"2]"),INDIRECT("TabReg["&amp;TabCalc[[#This Row],[Ticker]]&amp;"1]"))</f>
        <v>400</v>
      </c>
      <c r="AC44" s="192" cm="1">
        <f t="array" aca="1" ref="AC44" ca="1">IFERROR(INDEX(INDIRECT("TabReg["&amp;TabCalc[[#This Row],[Ticker]]&amp;"2]"),    _xlfn.XMATCH(    MAX(    _xlfn._xlws.FILTER(INDIRECT("TabReg["&amp;TabCalc[[#This Row],[Ticker]]&amp;"]"), INDIRECT("TabReg["&amp;TabCalc[[#This Row],[Ticker]]&amp;"2]")&lt;0)     ), INDIRECT("TabReg["&amp;TabCalc[[#This Row],[Ticker]]&amp;"]"),      0)), "")</f>
        <v>-336.51</v>
      </c>
      <c r="AD44" s="213">
        <f ca="1">IFERROR(MIN(TabCalc[[#This Row],[L_B1n]],TabCalc[[#This Row],[NAfter]])*(TabCalc[[#This Row],[M]]+TabCalc[[#This Row],[L_B1p]])*TabCalc[[#This Row],[Scale]],"")</f>
        <v>51.55800000000005</v>
      </c>
      <c r="AE44" s="210" cm="1">
        <f t="array" aca="1" ref="AE4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45693</v>
      </c>
      <c r="AF44" s="181" cm="1">
        <f t="array" aca="1" ref="AF44" ca="1">IFERROR(_xlfn.XLOOKUP(TabCalc[[#This Row],[L_B1D]],INDIRECT("TabReg["&amp;TabCalc[[#This Row],[Ticker]]&amp;"]"),INDIRECT("TabReg["&amp;TabCalc[[#This Row],[Ticker]]&amp;"1]")),0)</f>
        <v>100</v>
      </c>
      <c r="AG44" s="192" cm="1">
        <f t="array" aca="1" ref="AG44" ca="1">IFERROR(_xlfn.XLOOKUP(TabCalc[[#This Row],[L_B1D]],INDIRECT("TabReg["&amp;TabCalc[[#This Row],[Ticker]]&amp;"]"),INDIRECT("TabReg["&amp;TabCalc[[#This Row],[Ticker]]&amp;"2]")),0)</f>
        <v>-382.16199999999998</v>
      </c>
      <c r="AH44" s="302">
        <f ca="1">IFERROR(TabCalc[[#This Row],[L_Sn]]*(TabCalc[[#This Row],[L_Sp]]-TabCalc[[#This Row],[M]])*TabCalc[[#This Row],[Scale]],"")</f>
        <v>-55.620000000000061</v>
      </c>
      <c r="AI44" s="210" cm="1">
        <f t="array" aca="1" ref="AI44" ca="1">IFERROR(_xlfn.XLOOKUP(TabCalc[[#This Row],[L_Sp]],INDIRECT("TabReg["&amp;TabCalc[[#This Row],[Ticker]]&amp;"2]"),INDIRECT("TabReg["&amp;TabCalc[[#This Row],[Ticker]]&amp;"]")),0)</f>
        <v>45944</v>
      </c>
      <c r="AJ44" s="181" cm="1">
        <f t="array" aca="1" ref="AJ44" ca="1">IFERROR(_xlfn.XLOOKUP(TabCalc[[#This Row],[L_Sp]],INDIRECT("TabReg["&amp;TabCalc[[#This Row],[Ticker]]&amp;"2]"),INDIRECT("TabReg["&amp;TabCalc[[#This Row],[Ticker]]&amp;"1]")),0)</f>
        <v>9</v>
      </c>
      <c r="AK44" s="192" cm="1">
        <f t="array" aca="1" ref="AK44" ca="1">IFERROR(INDEX(INDIRECT("TabReg["&amp;TabCalc[[#This Row],[Ticker]]&amp;"2]"), _xlfn.XMATCH(MAX(_xlfn._xlws.FILTER(INDIRECT("TabReg["&amp;TabCalc[[#This Row],[Ticker]]&amp;"]"), INDIRECT("TabReg["&amp;TabCalc[[#This Row],[Ticker]]&amp;"2]")&gt;0)), INDIRECT("TabReg["&amp;TabCalc[[#This Row],[Ticker]]&amp;"]"), 0)), 0)</f>
        <v>427.54</v>
      </c>
      <c r="AL44" s="214">
        <f ca="1">IFERROR(TabCalc[[#This Row],[L_S1n]]*(TabCalc[[#This Row],[L_S1p]]-TabCalc[[#This Row],[M]])*TabCalc[[#This Row],[Scale]],0)</f>
        <v>-38918.100000000006</v>
      </c>
      <c r="AM44" s="210" cm="1">
        <f t="array" aca="1" ref="AM4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N44" s="181" cm="1">
        <f t="array" aca="1" ref="AN44" ca="1">IFERROR(_xlfn.XLOOKUP(TabCalc[[#This Row],[L_S1D]],INDIRECT("TabReg["&amp;TabCalc[[#This Row],[Ticker]]&amp;"]"),INDIRECT("TabReg["&amp;TabCalc[[#This Row],[Ticker]]&amp;"1]")),0)</f>
        <v>390</v>
      </c>
      <c r="AO44" s="384" cm="1">
        <f t="array" aca="1" ref="AO44" ca="1">IFERROR(_xlfn.XLOOKUP(TabCalc[[#This Row],[L_S1D]],INDIRECT("TabReg["&amp;TabCalc[[#This Row],[Ticker]]&amp;"]"),INDIRECT("TabReg["&amp;TabCalc[[#This Row],[Ticker]]&amp;"2]")),0)</f>
        <v>333.93</v>
      </c>
      <c r="AP44" s="336">
        <f ca="1">_xlfn.LET(_xlpm.MVOpen,[1]!RTData[[#This Row],[Open]]*TabCalc[[#This Row],[NAfter]],_xlpm.MVNow,TabCalc[[#This Row],[M]]*TabCalc[[#This Row],[NAfter]],_xlpm.MVNow-_xlpm.MVOpen)*TabCalc[[#This Row],[Scale]]</f>
        <v>-13.109999999999957</v>
      </c>
      <c r="AQ44" s="336">
        <f ca="1">_xlfn.LET(_xlpm.MVToday,DataShift!AV544,         _xlpm.MVY,DataShift!AU545,        _xlpm.MVYY, DataShift!AT545,                                IF(_xlpm.MVToday=_xlpm.MVY,_xlpm.MVY-_xlpm.MVYY,_xlpm.MVToday-_xlpm.MVY))</f>
        <v>-10736.639999999956</v>
      </c>
      <c r="AR44" s="336">
        <f ca="1">_xlfn.LET(_xlpm.MVToday,DataShift!AV544,         _xlpm.MVY,DataShift!AU545,        _xlpm.MVYY, DataShift!AT545,         _xlpm.MVYYY, DataShift!AS545,                      IF(_xlpm.MVToday=_xlpm.MVY,      _xlpm.MVYY-_xlpm.MVYYY,          _xlpm.MVY-_xlpm.MVYY))</f>
        <v>2460.4799999999814</v>
      </c>
      <c r="AS44" s="1078">
        <f ca="1">TabCalc[[#This Row],[Y]]/TabCalc[[#This Row],[M]]</f>
        <v>0.83147989486304519</v>
      </c>
      <c r="AT44" s="299" t="str" cm="1">
        <f t="array" aca="1" ref="AT44" ca="1">IFERROR(_xlfn.IFS(          TabCalc[[#This Row],[E]]&gt;0, "Free Trade",      TabCalc[[#This Row],[A]]&lt;MIN(TabCalc[[#This Row],[L_Sp]],TabCalc[[#This Row],[M]]), "Buy",            TabCalc[[#This Row],[M]]&lt;TabCalc[[#This Row],[L_Sp]],       "Refill",       TabCalc[[#This Row],[M]]&gt;TabCalc[[#This Row],[L_Sp]],"S_more"),"")</f>
        <v>Buy</v>
      </c>
      <c r="AU44" s="299" t="str">
        <f ca="1">IF(           AND(TabCalc[[#This Row],[E]]&lt;=0,          TabCalc[[#This Row],[A]]&gt;MIN(TabCalc[[#This Row],[M]],TabCalc[[#This Row],[L_Sp]]),             TabCalc[[#This Row],[L_Sp]]&lt;=TabCalc[[#This Row],[M]]),                       "S_more","")</f>
        <v/>
      </c>
      <c r="AV44" s="82" t="str" cm="1">
        <f t="array" aca="1" ref="AV44" ca="1">IFERROR(_xlfn.IFS(TabCalc[[#This Row],[E]]&gt;0,"Free trade",                 TabCalc[[#This Row],[A]]&lt;MAX(ABS(TabCalc[[#This Row],[L_Bp]]),TabCalc[[#This Row],[A]]),"Sell",             TabCalc[[#This Row],[M]]&gt;ABS(TabCalc[[#This Row],[L_Bp]]),"Resell",             TabCalc[[#This Row],[M]]&lt;ABS(TabCalc[[#This Row],[L_Bp]]),"B_more"),"")</f>
        <v>Sell</v>
      </c>
      <c r="AW44" s="82">
        <f ca="1">TabCalc[[#This Row],[NAfter]]-TabCalc[[#This Row],[Nbegin]]</f>
        <v>-499</v>
      </c>
      <c r="AX44" s="307">
        <f ca="1">IFERROR((TabCalc[[#This Row],[M]]-TabCalc[[#This Row],[Y]])*(TabCalc[[#This Row],[M]]-TabCalc[[#This Row],[Y]])*(TabCalc[[#This Row],[M]]-TabCalc[[#This Row],[Y]])/(TabCalc[[#This Row],[Y]]*TabCalc[[#This Row],[M]]),"")</f>
        <v>2.4963924523070515</v>
      </c>
      <c r="AY44" s="82">
        <f t="shared" ca="1" si="3"/>
        <v>499</v>
      </c>
      <c r="AZ44" s="90">
        <f ca="1">[1]!RTData[[#This Row],[V/VA]]</f>
        <v>1.0540454973134783</v>
      </c>
      <c r="BA44" s="90" t="str" cm="1">
        <f t="array" aca="1" ref="BA44" ca="1">IFERROR(_xlfn.IFS(TabCalc[[#This Row],[Cur]]="USD",Timer!F$27,TabCalc[[#This Row],[Cur]]="EUR",Timer!F$18,TabCalc[[#This Row],[Cur]]="GBP",Timer!F$12,TabCalc[[#This Row],[Cur]]="CAD",Timer!F$27,TabCalc[[#This Row],[Cur]]="JPY",Timer!F$31,TabCalc[[#This Row],[Cur]]="CHF",Timer!F$18),"Timing")</f>
        <v>None-Working Day</v>
      </c>
      <c r="BB44" s="90">
        <f ca="1">IF(ISNUMBER(TabCalc[[#This Row],[TimeEX]]),TabCalc[[#This Row],[V/VA]]/TabCalc[[#This Row],[TimeEX]],TabCalc[[#This Row],[V/VA]])</f>
        <v>1.0540454973134783</v>
      </c>
      <c r="BC44" s="87" cm="1">
        <f t="array" aca="1" ref="BC44" ca="1">INDEX(TabReg[], 1, _xlfn.XMATCH(TabCalc[[#This Row],[Ticker]]&amp;1, TabReg[#Headers], 0))</f>
        <v>500</v>
      </c>
      <c r="BD44" s="161">
        <f ca="1">TabCalc[[#This Row],[Nbegin]]*TabCalc[[#This Row],[M]]*TabCalc[[#This Row],[Scale]]+TabCalc[[#This Row],[ValueBegin]]</f>
        <v>130586</v>
      </c>
      <c r="BE44" s="336" t="str" cm="1">
        <f t="array" aca="1" ref="BE44" ca="1">_xlfn.IFS(TabCalc[[#This Row],[Cost+Gain]]&gt;0,"Free",             TabCalc[[#This Row],[GL]]&gt;0,"Gainer",                TRUE,"Looser")</f>
        <v>Free</v>
      </c>
      <c r="BF44" s="161">
        <f ca="1">TabCalc[[#This Row],[Tot_Paid]]-TabCalc[[#This Row],[ValueBegin]]</f>
        <v>-402376.89762</v>
      </c>
      <c r="BG44" s="337">
        <f ca="1">IF(TabCalc[[#This Row],[EfCost]]&gt;TabCalc[[#This Row],[ValueBegin]],       0,        TabCalc[[#This Row],[EfCost]]-TabCalc[[#This Row],[ValueBegin]]*(1+Commission))</f>
        <v>0</v>
      </c>
      <c r="BH44" s="338">
        <f ca="1">TabCalc[[#This Row],[M_V]]+TabCalc[[#This Row],[ValueBegin]]</f>
        <v>-85840.28</v>
      </c>
      <c r="BI44" s="161" cm="1">
        <f t="array" aca="1" ref="BI44" ca="1">SUMPRODUCT(_xlfn._xlws.FILTER(INDIRECT("TabReg["&amp;TabCalc[[#This Row],[Ticker]]&amp;"1]") * INDIRECT("TabReg["&amp;TabCalc[[#This Row],[Ticker]]&amp;"2]"), INDIRECT("TabReg["&amp;TabCalc[[#This Row],[Ticker]]&amp;"2]")&lt;0))*(1+Commission)*TabCalc[[#This Row],[Scale]]</f>
        <v>-488650.89762</v>
      </c>
      <c r="BJ44" s="161" cm="1">
        <f t="array" aca="1" ref="BJ44" ca="1">SUMPRODUCT(IF(INDIRECT("TabReg["&amp;TabCalc[[#This Row],[Ticker]]&amp;"2]") ="", 0, INDIRECT("TabReg["&amp;TabCalc[[#This Row],[Ticker]]&amp;"1]") * INDIRECT("TabReg["&amp;TabCalc[[#This Row],[Ticker]]&amp;"2]") ))*TabCalc[[#This Row],[Scale]]</f>
        <v>87225.76</v>
      </c>
      <c r="BK44" s="161" cm="1">
        <f t="array" aca="1" ref="BK4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573115.47540399991</v>
      </c>
      <c r="BL44" s="161">
        <f ca="1">TabCalc[[#This Row],[M_V]]+TabCalc[[#This Row],[EfCost]]</f>
        <v>87659.48</v>
      </c>
      <c r="BM44" s="161">
        <f ca="1">IF(        OR( TabCalc[[#This Row],[GL]]&gt;ABS(TabCalc[[#This Row],[EfCost]]),TabCalc[[#This Row],[NAfter]]=0),             TabCalc[[#This Row],[GL]],     0)</f>
        <v>87659.48</v>
      </c>
      <c r="BN44" s="161" cm="1">
        <f t="array" aca="1" ref="BN44" ca="1">SUMPRODUCT(_xlfn._xlws.FILTER(IF(INDIRECT("TabReg["&amp;TabCalc[[#This Row],[Ticker]]&amp;"2]") ="", 0, INDIRECT("TabReg["&amp;TabCalc[[#This Row],[Ticker]]&amp;"1]")  ),  INDIRECT("TabReg["&amp;TabCalc[[#This Row],[Ticker]]&amp;"2]") &lt; 0))</f>
        <v>2000</v>
      </c>
      <c r="BO44" s="161">
        <f ca="1">TabCalc[[#This Row],[SB]]-TabCalc[[#This Row],[Nbegin]]</f>
        <v>1500</v>
      </c>
      <c r="BP44" s="161" cm="1">
        <f t="array" aca="1" ref="BP44" ca="1">IFERROR(SUMPRODUCT(_xlfn._xlws.FILTER(IF(INDIRECT("TabReg["&amp;TabCalc[[#This Row],[Ticker]]&amp;"2]") ="", 0, INDIRECT("TabReg["&amp;TabCalc[[#This Row],[Ticker]]&amp;"1]")  ),  INDIRECT("TabReg["&amp;TabCalc[[#This Row],[Ticker]]&amp;"2]") &gt; 0)),0)</f>
        <v>1999</v>
      </c>
      <c r="BQ44"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4" s="176" t="str">
        <f ca="1">IF(TabCalc[[#This Row],[EfCost]]+TabCalc[[#This Row],[M_V]]&lt;TabCalc[[#This Row],[NoT_GL]],"Pile","")</f>
        <v>Pile</v>
      </c>
      <c r="BS44" s="167">
        <f ca="1">[1]!RTData[[#This Row],[Last trade time]]</f>
        <v>45954.999995960156</v>
      </c>
      <c r="BT44" s="177">
        <f ca="1">(TabCalc[[#This Row],[ValueBegin]]+(TabCalc[[#This Row],[M]]-TabCalc[[#This Row],[A]])*TabCalc[[#This Row],[NAfter]])*TabCalc[[#This Row],[Scale]]</f>
        <v>-85869.476618125002</v>
      </c>
      <c r="BU44" s="189" cm="1">
        <f t="array" aca="1" ref="BU44" ca="1">_xlfn.XLOOKUP(TabCalc[[#This Row],[Ticker]],TabReg[[#Headers],[AAPL]:[UnknownX28]],Reg!B$72:KF$72)+3</f>
        <v>14</v>
      </c>
      <c r="BV44" s="190" cm="1">
        <f t="array" aca="1" ref="BV44" ca="1">_xlfn.XLOOKUP(TabCalc[[#This Row],[Ticker]],TabReg[[#Headers],[AAPL]:[UnknownX28]],Reg!B$73:KF$73)+2</f>
        <v>129</v>
      </c>
      <c r="BW44" s="191">
        <f ca="1">IFERROR(MAX(TabCalc[[#This Row],[Max_SD]],TabCalc[[#This Row],[Max_PD]]),0)</f>
        <v>45944</v>
      </c>
      <c r="BX44" s="191" t="str" cm="1">
        <f t="array" aca="1" ref="BX44" ca="1">_xlfn.IFS(TabCalc[[#This Row],[L_TP]]&lt;0,"Purchase",TabCalc[[#This Row],[L_TP]]&gt;0,"Sale")</f>
        <v>Sale</v>
      </c>
      <c r="BY44" s="190" cm="1">
        <f t="array" aca="1" ref="BY44" ca="1">INDEX(Reg!$A$1:$KF$73,TabCalc[[#This Row],[L_I1]],TabCalc[[#This Row],[L_I2]])</f>
        <v>9</v>
      </c>
      <c r="BZ44" s="192" cm="1">
        <f t="array" aca="1" ref="BZ44" ca="1">INDEX(Reg!$A$1:$KF$73,TabCalc[[#This Row],[L_I1]],TabCalc[[#This Row],[L_I2]]+1)</f>
        <v>427.54</v>
      </c>
      <c r="CA44" s="161">
        <f ca="1">TabCalc[[#This Row],[NAfter]]*(TabCalc[[#This Row],[M]]-IF(TabCalc[[#This Row],[E]]&gt;0,0,TabCalc[[#This Row],[A]]))</f>
        <v>404.52338187500004</v>
      </c>
      <c r="CB44" s="167" cm="1">
        <f t="array" aca="1" ref="CB44" ca="1">IFERROR(MIN(_xlfn._xlws.FILTER(INDIRECT("TabReg["&amp;TabCalc[[#This Row],[Ticker]]&amp;"]"), INDIRECT("TabReg["&amp;TabCalc[[#This Row],[Ticker]]&amp;"2]")&gt;0)),0)</f>
        <v>45439</v>
      </c>
      <c r="CC44" s="178" cm="1">
        <f t="array" aca="1" ref="CC44" ca="1">IFERROR(MIN(_xlfn._xlws.FILTER(INDIRECT("TabReg["&amp;TabCalc[[#This Row],[Ticker]]&amp;"1]"), INDIRECT("TabReg["&amp;TabCalc[[#This Row],[Ticker]]&amp;"2]")&gt;0)),0)</f>
        <v>9</v>
      </c>
      <c r="CD44" s="173" cm="1">
        <f t="array" aca="1" ref="CD44" ca="1">IFERROR(MIN(_xlfn._xlws.FILTER(INDIRECT("TabReg["&amp;TabCalc[[#This Row],[Ticker]]&amp;"2]"), INDIRECT("TabReg["&amp;TabCalc[[#This Row],[Ticker]]&amp;"2]")&gt;0)),0)</f>
        <v>176.54</v>
      </c>
      <c r="CE44" s="167" cm="1">
        <f t="array" aca="1" ref="CE44" ca="1">IFERROR(MAX(_xlfn._xlws.FILTER(INDIRECT("TabReg["&amp;TabCalc[[#This Row],[Ticker]]&amp;"]"), INDIRECT("TabReg["&amp;TabCalc[[#This Row],[Ticker]]&amp;"2]")&gt;0)),0)</f>
        <v>45944</v>
      </c>
      <c r="CF44" s="178" cm="1">
        <f t="array" aca="1" ref="CF44" ca="1">IFERROR(MAX(_xlfn._xlws.FILTER(INDIRECT("TabReg["&amp;TabCalc[[#This Row],[Ticker]]&amp;"1]"), INDIRECT("TabReg["&amp;TabCalc[[#This Row],[Ticker]]&amp;"2]")&gt;0)),0)</f>
        <v>500</v>
      </c>
      <c r="CG44" s="173" cm="1">
        <f t="array" aca="1" ref="CG44" ca="1">IFERROR(MAX(_xlfn._xlws.FILTER(INDIRECT("TabReg["&amp;TabCalc[[#This Row],[Ticker]]&amp;"2]"), INDIRECT("TabReg["&amp;TabCalc[[#This Row],[Ticker]]&amp;"2]")&gt;0)),0)</f>
        <v>427.54</v>
      </c>
      <c r="CH44" s="167" cm="1">
        <f t="array" aca="1" ref="CH44" ca="1">MIN(_xlfn._xlws.FILTER(INDIRECT("TabReg["&amp;TabCalc[[#This Row],[Ticker]]&amp;"]"), INDIRECT("TabReg["&amp;TabCalc[[#This Row],[Ticker]]&amp;"2]")&lt;0))</f>
        <v>40544</v>
      </c>
      <c r="CI44" s="177" cm="1">
        <f t="array" aca="1" ref="CI44" ca="1">MIN(_xlfn._xlws.FILTER(INDIRECT("TabReg["&amp;TabCalc[[#This Row],[Ticker]]&amp;"1]"), INDIRECT("TabReg["&amp;TabCalc[[#This Row],[Ticker]]&amp;"2]")&lt;0))</f>
        <v>100</v>
      </c>
      <c r="CJ44" s="173" cm="1">
        <f t="array" aca="1" ref="CJ44" ca="1">MIN(_xlfn._xlws.FILTER(INDIRECT("TabReg["&amp;TabCalc[[#This Row],[Ticker]]&amp;"2]"), INDIRECT("TabReg["&amp;TabCalc[[#This Row],[Ticker]]&amp;"2]")&lt;0))</f>
        <v>-382.16199999999998</v>
      </c>
      <c r="CK44" s="167" cm="1">
        <f t="array" aca="1" ref="CK44" ca="1">MAX(_xlfn._xlws.FILTER(INDIRECT("TabReg["&amp;TabCalc[[#This Row],[Ticker]]&amp;"]"), INDIRECT("TabReg["&amp;TabCalc[[#This Row],[Ticker]]&amp;"2]")&lt;0))</f>
        <v>45700</v>
      </c>
      <c r="CL44" s="177" cm="1">
        <f t="array" aca="1" ref="CL44" ca="1">MAX(_xlfn._xlws.FILTER(INDIRECT("TabReg["&amp;TabCalc[[#This Row],[Ticker]]&amp;"1]"), INDIRECT("TabReg["&amp;TabCalc[[#This Row],[Ticker]]&amp;"2]")&lt;0))</f>
        <v>1000</v>
      </c>
      <c r="CM44" s="173" cm="1">
        <f t="array" aca="1" ref="CM44" ca="1">MAX(_xlfn._xlws.FILTER(INDIRECT("TabReg["&amp;TabCalc[[#This Row],[Ticker]]&amp;"2]"), INDIRECT("TabReg["&amp;TabCalc[[#This Row],[Ticker]]&amp;"2]")&lt;0))</f>
        <v>-172.548</v>
      </c>
      <c r="CN44" s="167" cm="1">
        <f t="array" aca="1" ref="CN44" ca="1">IFERROR(_xlfn.XLOOKUP(TabCalc[[#This Row],[BS2P]],INDIRECT("TabReg["&amp;TabCalc[[#This Row],[Ticker]]&amp;"2]"),INDIRECT("TabReg["&amp;TabCalc[[#This Row],[Ticker]]&amp;"]")),0)</f>
        <v>45664</v>
      </c>
      <c r="CO44" s="178" cm="1">
        <f t="array" aca="1" ref="CO44" ca="1">IFERROR(_xlfn.XLOOKUP(TabCalc[[#This Row],[BS2P]],INDIRECT("TabReg["&amp;TabCalc[[#This Row],[Ticker]]&amp;"2]"),INDIRECT("TabReg["&amp;TabCalc[[#This Row],[Ticker]]&amp;"1]")),0)</f>
        <v>400</v>
      </c>
      <c r="CP44" s="173">
        <f ca="1">_xlfn.MAXIFS(INDIRECT("TabReg["&amp;TabCalc[[#This Row],[Ticker]]&amp;"2]"), INDIRECT("TabReg["&amp;TabCalc[[#This Row],[Ticker]]&amp;"2]"), "&lt;" &amp; MAX(INDIRECT("TabReg["&amp;TabCalc[[#This Row],[Ticker]]&amp;"2]")))</f>
        <v>397.49</v>
      </c>
      <c r="CQ44" s="167" cm="1">
        <f t="array" aca="1" ref="CQ44" ca="1">IFERROR(_xlfn.XLOOKUP(TabCalc[[#This Row],[WB2P]],INDIRECT("TabReg["&amp;TabCalc[[#This Row],[Ticker]]&amp;"2]"),INDIRECT("TabReg["&amp;TabCalc[[#This Row],[Ticker]]&amp;"]")),0)</f>
        <v>45700</v>
      </c>
      <c r="CR44" s="178" cm="1">
        <f t="array" aca="1" ref="CR44" ca="1">IFERROR(_xlfn.XLOOKUP(TabCalc[[#This Row],[WB2P]],INDIRECT("TabReg["&amp;TabCalc[[#This Row],[Ticker]]&amp;"2]"),INDIRECT("TabReg["&amp;TabCalc[[#This Row],[Ticker]]&amp;"1]")),0)</f>
        <v>400</v>
      </c>
      <c r="CS44" s="173">
        <f ca="1">_xlfn.MINIFS(INDIRECT("TabReg["&amp;TabCalc[[#This Row],[Ticker]]&amp;"2]"), INDIRECT("TabReg["&amp;TabCalc[[#This Row],[Ticker]]&amp;"2]"), "&gt;" &amp; MIN(INDIRECT("TabReg["&amp;TabCalc[[#This Row],[Ticker]]&amp;"2]")))</f>
        <v>-336.51</v>
      </c>
      <c r="CT44" s="405">
        <f ca="1">IF(TabCalc[[#This Row],[M]]&lt;TabCalc[[#This Row],[L_Sp]],DesiredBuyGain/(TabCalc[[#This Row],[L_Sp]]-TabCalc[[#This Row],[M]]),0)</f>
        <v>0</v>
      </c>
      <c r="CU44" s="406">
        <f ca="1">IF(TabCalc[[#This Row],[ntoBuy]]*TabCalc[[#This Row],[M]]&lt;=0,0,TabCalc[[#This Row],[ntoBuy]]*TabCalc[[#This Row],[M]])</f>
        <v>0</v>
      </c>
      <c r="CV44" s="406">
        <f ca="1">IF(TabCalc[[#This Row],[M]]&gt;ABS(TabCalc[[#This Row],[L_Bp]]),MIN(TabCalc[[#This Row],[NAfter]],DesiredSaleGain/(TabCalc[[#This Row],[M]]+TabCalc[[#This Row],[L_Bp]])),0)/TabCalc[[#This Row],[Scale]]</f>
        <v>1</v>
      </c>
      <c r="CW44" s="407">
        <f ca="1">TabCalc[[#This Row],[ntoSell]]*TabCalc[[#This Row],[M]]</f>
        <v>433.72</v>
      </c>
      <c r="CX44" s="400">
        <f ca="1">_xlfn.LET(_xlpm.nToSell,IF(TabCalc[[#This Row],[M]]-TabCalc[[#This Row],[A]]&lt;=0,"",INT(DesiredSaleGain/(TabCalc[[#This Row],[M]]-IF(TabCalc[[#This Row],[E]]&gt;0,0,TabCalc[[#This Row],[A]])))),IF(_xlpm.nToSell&lt;=TabCalc[[#This Row],[NAfter]],_xlpm.nToSell,0))</f>
        <v>0</v>
      </c>
      <c r="CY44" s="338">
        <f ca="1">IFERROR(TabCalc[[#This Row],[NMA]]*TabCalc[[#This Row],[M]],"")</f>
        <v>0</v>
      </c>
      <c r="CZ44" s="337" cm="1">
        <f t="array" aca="1" ref="CZ44" ca="1">_xlfn.IFS(TabCalc[[#This Row],[M]]&gt;= TabCalc[[#This Row],[L_Sp]],(TabCalc[[#This Row],[M]]-TabCalc[[#This Row],[A]])*TabCalc[[#This Row],[NAfter]]*TabCalc[[#This Row],[Scale]],           TabCalc[[#This Row],[M]]&lt; TabCalc[[#This Row],[L_Sp]],(TabCalc[[#This Row],[M]]-TabCalc[[#This Row],[A]])*TabCalc[[#This Row],[NAfter]]*TabCalc[[#This Row],[Scale]],               TRUE,"")</f>
        <v>404.52338187500004</v>
      </c>
      <c r="DA44" s="90">
        <f ca="1">IFERROR((TabCalc[[#This Row],[M]]+TabCalc[[#This Row],[L_Bp]])/ABS(TabCalc[[#This Row],[L_Bp]])/(TODAY()-TabCalc[[#This Row],[L_Bdate]])*360,"")</f>
        <v>0.40623328430061528</v>
      </c>
      <c r="DB44" s="312">
        <f ca="1">MEDIAN(DataShift!F744:Z744)</f>
        <v>-2.98E-3</v>
      </c>
      <c r="DC44" s="312" t="str" cm="1">
        <f t="array" aca="1" ref="DC4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44" s="88" t="s">
        <v>40</v>
      </c>
      <c r="DN44" s="81">
        <v>16000</v>
      </c>
      <c r="DO44" s="317">
        <v>-54.700470000000003</v>
      </c>
    </row>
    <row r="45" spans="1:119">
      <c r="A45" s="120" t="str">
        <f ca="1">_xlfn.XLOOKUP(TabCalc[[#This Row],[Ticker]],[1]!RTData[Ticker symbol],[1]!RTData[Currency])</f>
        <v>USD</v>
      </c>
      <c r="B45" s="121">
        <f ca="1">IF(TabCalc[[#This Row],[Cur]]="GBP",0.01,1)</f>
        <v>1</v>
      </c>
      <c r="C45" s="82">
        <f ca="1">_xlfn.XLOOKUP(TabCalc[[#This Row],[Ticker]],DM$3:DM$96,DN$3:DN$96)</f>
        <v>2000</v>
      </c>
      <c r="D45" s="1254">
        <f ca="1">_xlfn.XLOOKUP(TabCalc[[#This Row],[Ticker]],DM$3:DM$96,DO$3:DO$96)</f>
        <v>-1E-3</v>
      </c>
      <c r="E45" s="121">
        <f t="shared" ca="1" si="2"/>
        <v>-2</v>
      </c>
      <c r="F45" s="82">
        <f ca="1">TabCalc[[#This Row],[NAfter]]*TabCalc[[#This Row],[M]]*TabCalc[[#This Row],[Scale]]</f>
        <v>1415808</v>
      </c>
      <c r="G45" s="82">
        <f ca="1">IFERROR(TabCalc[[#This Row],[SB]]-TabCalc[[#This Row],[SST]],TabCalc[[#This Row],[SB]])</f>
        <v>4800</v>
      </c>
      <c r="H45" s="535" t="str">
        <f ca="1">[1]!RTData[[#This Row],[Ticker symbol]]</f>
        <v>TSM</v>
      </c>
      <c r="I45" s="385">
        <f ca="1">[1]!RTData[[#This Row],[M-Price]]</f>
        <v>294.95999999999998</v>
      </c>
      <c r="J45" s="384">
        <v>336.51</v>
      </c>
      <c r="K45" s="383">
        <f>[1]!RTData[[#This Row],[1YT]]</f>
        <v>269.76</v>
      </c>
      <c r="L45" s="384">
        <f ca="1">IF(OR(TabCalc[[#This Row],[NAfter]]=0,TabCalc[[#This Row],[EfCost]]&gt;0),0,TabCalc[[#This Row],[EfCost]]/TabCalc[[#This Row],[NAfter]]/TabCalc[[#This Row],[Scale]])</f>
        <v>-97.823141249999992</v>
      </c>
      <c r="M45" s="744">
        <f ca="1">[1]!RTData[[#This Row],[Change%]]</f>
        <v>1.455E-2</v>
      </c>
      <c r="N45" s="1172">
        <v>0.5</v>
      </c>
      <c r="O45" s="966">
        <f>TabCalc[[#This Row],[Up20]]-1+TabCalc[[#This Row],[Up20]]</f>
        <v>0</v>
      </c>
      <c r="P45" s="966">
        <f>TabCalc[[#This Row],[Up20]]-TabCalc[[#This Row],[Up150]]</f>
        <v>-3.4351145038167941E-2</v>
      </c>
      <c r="Q45" s="966">
        <v>0.53435114503816794</v>
      </c>
      <c r="R45" s="966">
        <f>TabCalc[[#This Row],[Up150]]-1+TabCalc[[#This Row],[Up150]]</f>
        <v>6.8702290076335881E-2</v>
      </c>
      <c r="S45" s="966">
        <f ca="1">IFERROR(SUMPRODUCT(DataShift!F1537:Z1537,DataShift!AB744:AV744)/SQRT(SUMPRODUCT(DataShift!F1537:Z1537,DataShift!F1537:Z1537)*SUMPRODUCT(DataShift!AB744:AV744,DataShift!AB744:AV744)),0)</f>
        <v>-0.81147319283356389</v>
      </c>
      <c r="T45" s="966">
        <f ca="1">IFERROR(SUMPRODUCT(DataShift!F1537:Z1537,DataShift!F745:Z745)/SQRT(SUMPRODUCT(DataShift!F1537:Z1537,DataShift!F1537:Z1537)*SUMPRODUCT(DataShift!F745:Z745,DataShift!F745:Z745)),0)</f>
        <v>-5.1881507219388179E-4</v>
      </c>
      <c r="U45" s="1107">
        <v>1</v>
      </c>
      <c r="V45" s="1107">
        <v>0</v>
      </c>
      <c r="W45" s="1107">
        <v>0</v>
      </c>
      <c r="X45" s="966" t="str">
        <f ca="1">IF(TabCalc[[#This Row],[EfCost]]+TabCalc[[#This Row],[M_V]]&lt;TabCalc[[#This Row],[NoT_GL]],"Pile","")</f>
        <v/>
      </c>
      <c r="Y4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-12,715 = $ -3,750,417</v>
      </c>
      <c r="Z45" s="213">
        <f ca="1">MIN(TabCalc[[#This Row],[L_Bn]],TabCalc[[#This Row],[NAfter]])*(TabCalc[[#This Row],[M]]+TabCalc[[#This Row],[L_Bp]])*TabCalc[[#This Row],[Scale]]</f>
        <v>6846.0000000000036</v>
      </c>
      <c r="AA45" s="210" cm="1">
        <f t="array" aca="1" ref="AA45" ca="1">_xlfn.XLOOKUP(TabCalc[[#This Row],[L_Bp]],INDIRECT("TabReg["&amp;TabCalc[[#This Row],[Ticker]]&amp;"2]"),INDIRECT("TabReg["&amp;TabCalc[[#This Row],[Ticker]]&amp;"]"))</f>
        <v>45952</v>
      </c>
      <c r="AB45" s="181" cm="1">
        <f t="array" aca="1" ref="AB45" ca="1">_xlfn.XLOOKUP(TabCalc[[#This Row],[L_Bp]],INDIRECT("TabReg["&amp;TabCalc[[#This Row],[Ticker]]&amp;"2]"),INDIRECT("TabReg["&amp;TabCalc[[#This Row],[Ticker]]&amp;"1]"))</f>
        <v>800</v>
      </c>
      <c r="AC45" s="192" cm="1">
        <f t="array" aca="1" ref="AC45" ca="1">IFERROR(INDEX(INDIRECT("TabReg["&amp;TabCalc[[#This Row],[Ticker]]&amp;"2]"),    _xlfn.XMATCH(    MAX(    _xlfn._xlws.FILTER(INDIRECT("TabReg["&amp;TabCalc[[#This Row],[Ticker]]&amp;"]"), INDIRECT("TabReg["&amp;TabCalc[[#This Row],[Ticker]]&amp;"2]")&lt;0)     ), INDIRECT("TabReg["&amp;TabCalc[[#This Row],[Ticker]]&amp;"]"),      0)), "")</f>
        <v>-286.40249999999997</v>
      </c>
      <c r="AD45" s="213">
        <f ca="1">IFERROR(MIN(TabCalc[[#This Row],[L_B1n]],TabCalc[[#This Row],[NAfter]])*(TabCalc[[#This Row],[M]]+TabCalc[[#This Row],[L_B1p]])*TabCalc[[#This Row],[Scale]],"")</f>
        <v>59709.999999999978</v>
      </c>
      <c r="AE45" s="210" cm="1">
        <f t="array" aca="1" ref="AE4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45870</v>
      </c>
      <c r="AF45" s="181" cm="1">
        <f t="array" aca="1" ref="AF45" ca="1">IFERROR(_xlfn.XLOOKUP(TabCalc[[#This Row],[L_B1D]],INDIRECT("TabReg["&amp;TabCalc[[#This Row],[Ticker]]&amp;"]"),INDIRECT("TabReg["&amp;TabCalc[[#This Row],[Ticker]]&amp;"1]")),0)</f>
        <v>1000</v>
      </c>
      <c r="AG45" s="192" cm="1">
        <f t="array" aca="1" ref="AG45" ca="1">IFERROR(_xlfn.XLOOKUP(TabCalc[[#This Row],[L_B1D]],INDIRECT("TabReg["&amp;TabCalc[[#This Row],[Ticker]]&amp;"]"),INDIRECT("TabReg["&amp;TabCalc[[#This Row],[Ticker]]&amp;"2]")),0)</f>
        <v>-235.25</v>
      </c>
      <c r="AH45" s="302">
        <f ca="1">IFERROR(TabCalc[[#This Row],[L_Sn]]*(TabCalc[[#This Row],[L_Sp]]-TabCalc[[#This Row],[M]])*TabCalc[[#This Row],[Scale]],"")</f>
        <v>719.99999999999886</v>
      </c>
      <c r="AI45" s="210" cm="1">
        <f t="array" aca="1" ref="AI45" ca="1">IFERROR(_xlfn.XLOOKUP(TabCalc[[#This Row],[L_Sp]],INDIRECT("TabReg["&amp;TabCalc[[#This Row],[Ticker]]&amp;"2]"),INDIRECT("TabReg["&amp;TabCalc[[#This Row],[Ticker]]&amp;"]")),0)</f>
        <v>45947</v>
      </c>
      <c r="AJ45" s="181" cm="1">
        <f t="array" aca="1" ref="AJ45" ca="1">IFERROR(_xlfn.XLOOKUP(TabCalc[[#This Row],[L_Sp]],INDIRECT("TabReg["&amp;TabCalc[[#This Row],[Ticker]]&amp;"2]"),INDIRECT("TabReg["&amp;TabCalc[[#This Row],[Ticker]]&amp;"1]")),0)</f>
        <v>500</v>
      </c>
      <c r="AK45" s="192" cm="1">
        <f t="array" aca="1" ref="AK45" ca="1">IFERROR(INDEX(INDIRECT("TabReg["&amp;TabCalc[[#This Row],[Ticker]]&amp;"2]"), _xlfn.XMATCH(MAX(_xlfn._xlws.FILTER(INDIRECT("TabReg["&amp;TabCalc[[#This Row],[Ticker]]&amp;"]"), INDIRECT("TabReg["&amp;TabCalc[[#This Row],[Ticker]]&amp;"2]")&gt;0)), INDIRECT("TabReg["&amp;TabCalc[[#This Row],[Ticker]]&amp;"]"), 0)), 0)</f>
        <v>296.39999999999998</v>
      </c>
      <c r="AL45" s="214">
        <f ca="1">IFERROR(TabCalc[[#This Row],[L_S1n]]*(TabCalc[[#This Row],[L_S1p]]-TabCalc[[#This Row],[M]])*TabCalc[[#This Row],[Scale]],0)</f>
        <v>-26370.000000000004</v>
      </c>
      <c r="AM45" s="210" cm="1">
        <f t="array" aca="1" ref="AM4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45918</v>
      </c>
      <c r="AN45" s="181" cm="1">
        <f t="array" aca="1" ref="AN45" ca="1">IFERROR(_xlfn.XLOOKUP(TabCalc[[#This Row],[L_S1D]],INDIRECT("TabReg["&amp;TabCalc[[#This Row],[Ticker]]&amp;"]"),INDIRECT("TabReg["&amp;TabCalc[[#This Row],[Ticker]]&amp;"1]")),0)</f>
        <v>1000</v>
      </c>
      <c r="AO45" s="384" cm="1">
        <f t="array" aca="1" ref="AO45" ca="1">IFERROR(_xlfn.XLOOKUP(TabCalc[[#This Row],[L_S1D]],INDIRECT("TabReg["&amp;TabCalc[[#This Row],[Ticker]]&amp;"]"),INDIRECT("TabReg["&amp;TabCalc[[#This Row],[Ticker]]&amp;"2]")),0)</f>
        <v>268.58999999999997</v>
      </c>
      <c r="AP45" s="336">
        <f ca="1">_xlfn.LET(_xlpm.MVOpen,[1]!RTData[[#This Row],[Open]]*TabCalc[[#This Row],[NAfter]],_xlpm.MVNow,TabCalc[[#This Row],[M]]*TabCalc[[#This Row],[NAfter]],_xlpm.MVNow-_xlpm.MVOpen)*TabCalc[[#This Row],[Scale]]</f>
        <v>-2928</v>
      </c>
      <c r="AQ45" s="336">
        <f ca="1">_xlfn.LET(_xlpm.MVToday,DataShift!AV545,         _xlpm.MVY,DataShift!AU546,        _xlpm.MVYY, DataShift!AT546,                                IF(_xlpm.MVToday=_xlpm.MVY,_xlpm.MVY-_xlpm.MVYY,_xlpm.MVToday-_xlpm.MVY))</f>
        <v>3360</v>
      </c>
      <c r="AR45" s="336">
        <f ca="1">_xlfn.LET(_xlpm.MVToday,DataShift!AV545,         _xlpm.MVY,DataShift!AU546,        _xlpm.MVYY, DataShift!AT546,         _xlpm.MVYYY, DataShift!AS546,                      IF(_xlpm.MVToday=_xlpm.MVY,      _xlpm.MVYY-_xlpm.MVYYY,          _xlpm.MVY-_xlpm.MVYY))</f>
        <v>7680</v>
      </c>
      <c r="AS45" s="1078">
        <f ca="1">TabCalc[[#This Row],[Y]]/TabCalc[[#This Row],[M]]</f>
        <v>0.91456468673718472</v>
      </c>
      <c r="AT45" s="299" t="str" cm="1">
        <f t="array" aca="1" ref="AT45" ca="1">IFERROR(_xlfn.IFS(          TabCalc[[#This Row],[E]]&gt;0, "Free Trade",      TabCalc[[#This Row],[A]]&lt;MIN(TabCalc[[#This Row],[L_Sp]],TabCalc[[#This Row],[M]]), "Buy",            TabCalc[[#This Row],[M]]&lt;TabCalc[[#This Row],[L_Sp]],       "Refill",       TabCalc[[#This Row],[M]]&gt;TabCalc[[#This Row],[L_Sp]],"S_more"),"")</f>
        <v>Refill</v>
      </c>
      <c r="AU45" s="299" t="str">
        <f ca="1">IF(           AND(TabCalc[[#This Row],[E]]&lt;=0,          TabCalc[[#This Row],[A]]&gt;MIN(TabCalc[[#This Row],[M]],TabCalc[[#This Row],[L_Sp]]),             TabCalc[[#This Row],[L_Sp]]&lt;=TabCalc[[#This Row],[M]]),                       "S_more","")</f>
        <v/>
      </c>
      <c r="AV45" s="82" t="str" cm="1">
        <f t="array" aca="1" ref="AV45" ca="1">IFERROR(_xlfn.IFS(TabCalc[[#This Row],[E]]&gt;0,"Free trade",                 TabCalc[[#This Row],[A]]&lt;MAX(ABS(TabCalc[[#This Row],[L_Bp]]),TabCalc[[#This Row],[A]]),"Sell",             TabCalc[[#This Row],[M]]&gt;ABS(TabCalc[[#This Row],[L_Bp]]),"Resell",             TabCalc[[#This Row],[M]]&lt;ABS(TabCalc[[#This Row],[L_Bp]]),"B_more"),"")</f>
        <v>Resell</v>
      </c>
      <c r="AW45" s="82">
        <f ca="1">TabCalc[[#This Row],[NAfter]]-TabCalc[[#This Row],[Nbegin]]</f>
        <v>2800</v>
      </c>
      <c r="AX45" s="307">
        <f ca="1">IFERROR((TabCalc[[#This Row],[M]]-TabCalc[[#This Row],[Y]])*(TabCalc[[#This Row],[M]]-TabCalc[[#This Row],[Y]])*(TabCalc[[#This Row],[M]]-TabCalc[[#This Row],[Y]])/(TabCalc[[#This Row],[Y]]*TabCalc[[#This Row],[M]]),"")</f>
        <v>0.20112263246744569</v>
      </c>
      <c r="AY45" s="82">
        <f t="shared" ca="1" si="3"/>
        <v>0</v>
      </c>
      <c r="AZ45" s="90">
        <f ca="1">[1]!RTData[[#This Row],[V/VA]]</f>
        <v>0.60274669526661961</v>
      </c>
      <c r="BA45" s="90" t="str" cm="1">
        <f t="array" aca="1" ref="BA45" ca="1">IFERROR(_xlfn.IFS(TabCalc[[#This Row],[Cur]]="USD",Timer!F$27,TabCalc[[#This Row],[Cur]]="EUR",Timer!F$18,TabCalc[[#This Row],[Cur]]="GBP",Timer!F$12,TabCalc[[#This Row],[Cur]]="CAD",Timer!F$27,TabCalc[[#This Row],[Cur]]="JPY",Timer!F$31,TabCalc[[#This Row],[Cur]]="CHF",Timer!F$18),"Timing")</f>
        <v>None-Working Day</v>
      </c>
      <c r="BB45" s="90">
        <f ca="1">IF(ISNUMBER(TabCalc[[#This Row],[TimeEX]]),TabCalc[[#This Row],[V/VA]]/TabCalc[[#This Row],[TimeEX]],TabCalc[[#This Row],[V/VA]])</f>
        <v>0.60274669526661961</v>
      </c>
      <c r="BC45" s="87" cm="1">
        <f t="array" aca="1" ref="BC45" ca="1">INDEX(TabReg[], 1, _xlfn.XMATCH(TabCalc[[#This Row],[Ticker]]&amp;1, TabReg[#Headers], 0))</f>
        <v>2000</v>
      </c>
      <c r="BD45" s="161">
        <f ca="1">TabCalc[[#This Row],[Nbegin]]*TabCalc[[#This Row],[M]]*TabCalc[[#This Row],[Scale]]+TabCalc[[#This Row],[ValueBegin]]</f>
        <v>589918</v>
      </c>
      <c r="BE45" s="336" t="str" cm="1">
        <f t="array" aca="1" ref="BE45" ca="1">_xlfn.IFS(TabCalc[[#This Row],[Cost+Gain]]&gt;0,"Free",             TabCalc[[#This Row],[GL]]&gt;0,"Gainer",                TRUE,"Looser")</f>
        <v>Free</v>
      </c>
      <c r="BF45" s="161">
        <f ca="1">TabCalc[[#This Row],[Tot_Paid]]-TabCalc[[#This Row],[ValueBegin]]</f>
        <v>-1518823.2831027999</v>
      </c>
      <c r="BG45" s="337">
        <f ca="1">IF(TabCalc[[#This Row],[EfCost]]&gt;TabCalc[[#This Row],[ValueBegin]],       0,        TabCalc[[#This Row],[EfCost]]-TabCalc[[#This Row],[ValueBegin]]*(1+Commission))</f>
        <v>-469549.07279999997</v>
      </c>
      <c r="BH45" s="338">
        <f ca="1">TabCalc[[#This Row],[M_V]]+TabCalc[[#This Row],[ValueBegin]]</f>
        <v>1415806</v>
      </c>
      <c r="BI45" s="161" cm="1">
        <f t="array" aca="1" ref="BI45" ca="1">SUMPRODUCT(_xlfn._xlws.FILTER(INDIRECT("TabReg["&amp;TabCalc[[#This Row],[Ticker]]&amp;"1]") * INDIRECT("TabReg["&amp;TabCalc[[#This Row],[Ticker]]&amp;"2]"), INDIRECT("TabReg["&amp;TabCalc[[#This Row],[Ticker]]&amp;"2]")&lt;0))*(1+Commission)*TabCalc[[#This Row],[Scale]]</f>
        <v>-1518825.2831027999</v>
      </c>
      <c r="BJ45" s="161" cm="1">
        <f t="array" aca="1" ref="BJ45" ca="1">SUMPRODUCT(IF(INDIRECT("TabReg["&amp;TabCalc[[#This Row],[Ticker]]&amp;"2]") ="", 0, INDIRECT("TabReg["&amp;TabCalc[[#This Row],[Ticker]]&amp;"1]") * INDIRECT("TabReg["&amp;TabCalc[[#This Row],[Ticker]]&amp;"2]") ))*TabCalc[[#This Row],[Scale]]</f>
        <v>-469551.07799999998</v>
      </c>
      <c r="BK45" s="161" cm="1">
        <f t="array" aca="1" ref="BK4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1042617.6277</v>
      </c>
      <c r="BL45" s="161">
        <f ca="1">TabCalc[[#This Row],[M_V]]+TabCalc[[#This Row],[EfCost]]</f>
        <v>946256.92200000002</v>
      </c>
      <c r="BM45" s="161">
        <f ca="1">IF(        OR( TabCalc[[#This Row],[GL]]&gt;ABS(TabCalc[[#This Row],[EfCost]]),TabCalc[[#This Row],[NAfter]]=0),             TabCalc[[#This Row],[GL]],     0)</f>
        <v>946256.92200000002</v>
      </c>
      <c r="BN45" s="161" cm="1">
        <f t="array" aca="1" ref="BN45" ca="1">SUMPRODUCT(_xlfn._xlws.FILTER(IF(INDIRECT("TabReg["&amp;TabCalc[[#This Row],[Ticker]]&amp;"2]") ="", 0, INDIRECT("TabReg["&amp;TabCalc[[#This Row],[Ticker]]&amp;"1]")  ),  INDIRECT("TabReg["&amp;TabCalc[[#This Row],[Ticker]]&amp;"2]") &lt; 0))</f>
        <v>9800</v>
      </c>
      <c r="BO45" s="161">
        <f ca="1">TabCalc[[#This Row],[SB]]-TabCalc[[#This Row],[Nbegin]]</f>
        <v>7800</v>
      </c>
      <c r="BP45" s="161" cm="1">
        <f t="array" aca="1" ref="BP45" ca="1">IFERROR(SUMPRODUCT(_xlfn._xlws.FILTER(IF(INDIRECT("TabReg["&amp;TabCalc[[#This Row],[Ticker]]&amp;"2]") ="", 0, INDIRECT("TabReg["&amp;TabCalc[[#This Row],[Ticker]]&amp;"1]")  ),  INDIRECT("TabReg["&amp;TabCalc[[#This Row],[Ticker]]&amp;"2]") &gt; 0)),0)</f>
        <v>5000</v>
      </c>
      <c r="BQ45"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162.77</v>
      </c>
      <c r="BR45" s="176" t="str">
        <f ca="1">IF(TabCalc[[#This Row],[EfCost]]+TabCalc[[#This Row],[M_V]]&lt;TabCalc[[#This Row],[NoT_GL]],"Pile","")</f>
        <v/>
      </c>
      <c r="BS45" s="167">
        <f ca="1">[1]!RTData[[#This Row],[Last trade time]]</f>
        <v>45954.999973113285</v>
      </c>
      <c r="BT45" s="177">
        <f ca="1">(TabCalc[[#This Row],[ValueBegin]]+(TabCalc[[#This Row],[M]]-TabCalc[[#This Row],[A]])*TabCalc[[#This Row],[NAfter]])*TabCalc[[#This Row],[Scale]]</f>
        <v>-199442.00000000006</v>
      </c>
      <c r="BU45" s="189" cm="1">
        <f t="array" aca="1" ref="BU45" ca="1">_xlfn.XLOOKUP(TabCalc[[#This Row],[Ticker]],TabReg[[#Headers],[AAPL]:[UnknownX28]],Reg!B$72:KF$72)+3</f>
        <v>22</v>
      </c>
      <c r="BV45" s="190" cm="1">
        <f t="array" aca="1" ref="BV45" ca="1">_xlfn.XLOOKUP(TabCalc[[#This Row],[Ticker]],TabReg[[#Headers],[AAPL]:[UnknownX28]],Reg!B$73:KF$73)+2</f>
        <v>132</v>
      </c>
      <c r="BW45" s="191">
        <f ca="1">IFERROR(MAX(TabCalc[[#This Row],[Max_SD]],TabCalc[[#This Row],[Max_PD]]),0)</f>
        <v>45952</v>
      </c>
      <c r="BX45" s="191" t="str" cm="1">
        <f t="array" aca="1" ref="BX45" ca="1">_xlfn.IFS(TabCalc[[#This Row],[L_TP]]&lt;0,"Purchase",TabCalc[[#This Row],[L_TP]]&gt;0,"Sale")</f>
        <v>Purchase</v>
      </c>
      <c r="BY45" s="190" cm="1">
        <f t="array" aca="1" ref="BY45" ca="1">INDEX(Reg!$A$1:$KF$73,TabCalc[[#This Row],[L_I1]],TabCalc[[#This Row],[L_I2]])</f>
        <v>800</v>
      </c>
      <c r="BZ45" s="192" cm="1">
        <f t="array" aca="1" ref="BZ45" ca="1">INDEX(Reg!$A$1:$KF$73,TabCalc[[#This Row],[L_I1]],TabCalc[[#This Row],[L_I2]]+1)</f>
        <v>-286.40249999999997</v>
      </c>
      <c r="CA45" s="161">
        <f ca="1">TabCalc[[#This Row],[NAfter]]*(TabCalc[[#This Row],[M]]-IF(TabCalc[[#This Row],[E]]&gt;0,0,TabCalc[[#This Row],[A]]))</f>
        <v>-199440.00000000006</v>
      </c>
      <c r="CB45" s="167" cm="1">
        <f t="array" aca="1" ref="CB45" ca="1">IFERROR(MIN(_xlfn._xlws.FILTER(INDIRECT("TabReg["&amp;TabCalc[[#This Row],[Ticker]]&amp;"]"), INDIRECT("TabReg["&amp;TabCalc[[#This Row],[Ticker]]&amp;"2]")&gt;0)),0)</f>
        <v>45369</v>
      </c>
      <c r="CC45" s="178" cm="1">
        <f t="array" aca="1" ref="CC45" ca="1">IFERROR(MIN(_xlfn._xlws.FILTER(INDIRECT("TabReg["&amp;TabCalc[[#This Row],[Ticker]]&amp;"1]"), INDIRECT("TabReg["&amp;TabCalc[[#This Row],[Ticker]]&amp;"2]")&gt;0)),0)</f>
        <v>500</v>
      </c>
      <c r="CD45" s="173" cm="1">
        <f t="array" aca="1" ref="CD45" ca="1">IFERROR(MIN(_xlfn._xlws.FILTER(INDIRECT("TabReg["&amp;TabCalc[[#This Row],[Ticker]]&amp;"2]"), INDIRECT("TabReg["&amp;TabCalc[[#This Row],[Ticker]]&amp;"2]")&gt;0)),0)</f>
        <v>134.16</v>
      </c>
      <c r="CE45" s="167" cm="1">
        <f t="array" aca="1" ref="CE45" ca="1">IFERROR(MAX(_xlfn._xlws.FILTER(INDIRECT("TabReg["&amp;TabCalc[[#This Row],[Ticker]]&amp;"]"), INDIRECT("TabReg["&amp;TabCalc[[#This Row],[Ticker]]&amp;"2]")&gt;0)),0)</f>
        <v>45947</v>
      </c>
      <c r="CF45" s="178" cm="1">
        <f t="array" aca="1" ref="CF45" ca="1">IFERROR(MAX(_xlfn._xlws.FILTER(INDIRECT("TabReg["&amp;TabCalc[[#This Row],[Ticker]]&amp;"1]"), INDIRECT("TabReg["&amp;TabCalc[[#This Row],[Ticker]]&amp;"2]")&gt;0)),0)</f>
        <v>1000</v>
      </c>
      <c r="CG45" s="173" cm="1">
        <f t="array" aca="1" ref="CG45" ca="1">IFERROR(MAX(_xlfn._xlws.FILTER(INDIRECT("TabReg["&amp;TabCalc[[#This Row],[Ticker]]&amp;"2]"), INDIRECT("TabReg["&amp;TabCalc[[#This Row],[Ticker]]&amp;"2]")&gt;0)),0)</f>
        <v>296.39999999999998</v>
      </c>
      <c r="CH45" s="167" cm="1">
        <f t="array" aca="1" ref="CH45" ca="1">MIN(_xlfn._xlws.FILTER(INDIRECT("TabReg["&amp;TabCalc[[#This Row],[Ticker]]&amp;"]"), INDIRECT("TabReg["&amp;TabCalc[[#This Row],[Ticker]]&amp;"2]")&lt;0))</f>
        <v>40544</v>
      </c>
      <c r="CI45" s="177" cm="1">
        <f t="array" aca="1" ref="CI45" ca="1">MIN(_xlfn._xlws.FILTER(INDIRECT("TabReg["&amp;TabCalc[[#This Row],[Ticker]]&amp;"1]"), INDIRECT("TabReg["&amp;TabCalc[[#This Row],[Ticker]]&amp;"2]")&lt;0))</f>
        <v>200</v>
      </c>
      <c r="CJ45" s="173" cm="1">
        <f t="array" aca="1" ref="CJ45" ca="1">MIN(_xlfn._xlws.FILTER(INDIRECT("TabReg["&amp;TabCalc[[#This Row],[Ticker]]&amp;"2]"), INDIRECT("TabReg["&amp;TabCalc[[#This Row],[Ticker]]&amp;"2]")&lt;0))</f>
        <v>-286.40249999999997</v>
      </c>
      <c r="CK45" s="167" cm="1">
        <f t="array" aca="1" ref="CK45" ca="1">MAX(_xlfn._xlws.FILTER(INDIRECT("TabReg["&amp;TabCalc[[#This Row],[Ticker]]&amp;"]"), INDIRECT("TabReg["&amp;TabCalc[[#This Row],[Ticker]]&amp;"2]")&lt;0))</f>
        <v>45952</v>
      </c>
      <c r="CL45" s="177" cm="1">
        <f t="array" aca="1" ref="CL45" ca="1">MAX(_xlfn._xlws.FILTER(INDIRECT("TabReg["&amp;TabCalc[[#This Row],[Ticker]]&amp;"1]"), INDIRECT("TabReg["&amp;TabCalc[[#This Row],[Ticker]]&amp;"2]")&lt;0))</f>
        <v>2000</v>
      </c>
      <c r="CM45" s="173" cm="1">
        <f t="array" aca="1" ref="CM45" ca="1">MAX(_xlfn._xlws.FILTER(INDIRECT("TabReg["&amp;TabCalc[[#This Row],[Ticker]]&amp;"2]"), INDIRECT("TabReg["&amp;TabCalc[[#This Row],[Ticker]]&amp;"2]")&lt;0))</f>
        <v>-1E-3</v>
      </c>
      <c r="CN45" s="167" cm="1">
        <f t="array" aca="1" ref="CN45" ca="1">IFERROR(_xlfn.XLOOKUP(TabCalc[[#This Row],[BS2P]],INDIRECT("TabReg["&amp;TabCalc[[#This Row],[Ticker]]&amp;"2]"),INDIRECT("TabReg["&amp;TabCalc[[#This Row],[Ticker]]&amp;"]")),0)</f>
        <v>45918</v>
      </c>
      <c r="CO45" s="178" cm="1">
        <f t="array" aca="1" ref="CO45" ca="1">IFERROR(_xlfn.XLOOKUP(TabCalc[[#This Row],[BS2P]],INDIRECT("TabReg["&amp;TabCalc[[#This Row],[Ticker]]&amp;"2]"),INDIRECT("TabReg["&amp;TabCalc[[#This Row],[Ticker]]&amp;"1]")),0)</f>
        <v>1000</v>
      </c>
      <c r="CP45" s="173">
        <f ca="1">_xlfn.MAXIFS(INDIRECT("TabReg["&amp;TabCalc[[#This Row],[Ticker]]&amp;"2]"), INDIRECT("TabReg["&amp;TabCalc[[#This Row],[Ticker]]&amp;"2]"), "&lt;" &amp; MAX(INDIRECT("TabReg["&amp;TabCalc[[#This Row],[Ticker]]&amp;"2]")))</f>
        <v>268.58999999999997</v>
      </c>
      <c r="CQ45" s="167" cm="1">
        <f t="array" aca="1" ref="CQ45" ca="1">IFERROR(_xlfn.XLOOKUP(TabCalc[[#This Row],[WB2P]],INDIRECT("TabReg["&amp;TabCalc[[#This Row],[Ticker]]&amp;"2]"),INDIRECT("TabReg["&amp;TabCalc[[#This Row],[Ticker]]&amp;"]")),0)</f>
        <v>45856</v>
      </c>
      <c r="CR45" s="178" cm="1">
        <f t="array" aca="1" ref="CR45" ca="1">IFERROR(_xlfn.XLOOKUP(TabCalc[[#This Row],[WB2P]],INDIRECT("TabReg["&amp;TabCalc[[#This Row],[Ticker]]&amp;"2]"),INDIRECT("TabReg["&amp;TabCalc[[#This Row],[Ticker]]&amp;"1]")),0)</f>
        <v>500</v>
      </c>
      <c r="CS45" s="173">
        <f ca="1">_xlfn.MINIFS(INDIRECT("TabReg["&amp;TabCalc[[#This Row],[Ticker]]&amp;"2]"), INDIRECT("TabReg["&amp;TabCalc[[#This Row],[Ticker]]&amp;"2]"), "&gt;" &amp; MIN(INDIRECT("TabReg["&amp;TabCalc[[#This Row],[Ticker]]&amp;"2]")))</f>
        <v>-241.39</v>
      </c>
      <c r="CT45" s="405">
        <f ca="1">IF(TabCalc[[#This Row],[M]]&lt;TabCalc[[#This Row],[L_Sp]],DesiredBuyGain/(TabCalc[[#This Row],[L_Sp]]-TabCalc[[#This Row],[M]]),0)</f>
        <v>3472.2222222222276</v>
      </c>
      <c r="CU45" s="406">
        <f ca="1">IF(TabCalc[[#This Row],[ntoBuy]]*TabCalc[[#This Row],[M]]&lt;=0,0,TabCalc[[#This Row],[ntoBuy]]*TabCalc[[#This Row],[M]])</f>
        <v>1024166.6666666681</v>
      </c>
      <c r="CV45" s="406">
        <f ca="1">IF(TabCalc[[#This Row],[M]]&gt;ABS(TabCalc[[#This Row],[L_Bp]]),MIN(TabCalc[[#This Row],[NAfter]],DesiredSaleGain/(TabCalc[[#This Row],[M]]+TabCalc[[#This Row],[L_Bp]])),0)/TabCalc[[#This Row],[Scale]]</f>
        <v>584.28279287174962</v>
      </c>
      <c r="CW45" s="407">
        <f ca="1">TabCalc[[#This Row],[ntoSell]]*TabCalc[[#This Row],[M]]</f>
        <v>172340.05258545125</v>
      </c>
      <c r="CX45" s="400">
        <f ca="1">_xlfn.LET(_xlpm.nToSell,IF(TabCalc[[#This Row],[M]]-TabCalc[[#This Row],[A]]&lt;=0,"",INT(DesiredSaleGain/(TabCalc[[#This Row],[M]]-IF(TabCalc[[#This Row],[E]]&gt;0,0,TabCalc[[#This Row],[A]])))),IF(_xlpm.nToSell&lt;=TabCalc[[#This Row],[NAfter]],_xlpm.nToSell,0))</f>
        <v>0</v>
      </c>
      <c r="CY45" s="338">
        <f ca="1">IFERROR(TabCalc[[#This Row],[NMA]]*TabCalc[[#This Row],[M]],"")</f>
        <v>0</v>
      </c>
      <c r="CZ45" s="337" cm="1">
        <f t="array" aca="1" ref="CZ45" ca="1">_xlfn.IFS(TabCalc[[#This Row],[M]]&gt;= TabCalc[[#This Row],[L_Sp]],(TabCalc[[#This Row],[M]]-TabCalc[[#This Row],[A]])*TabCalc[[#This Row],[NAfter]]*TabCalc[[#This Row],[Scale]],           TabCalc[[#This Row],[M]]&lt; TabCalc[[#This Row],[L_Sp]],(TabCalc[[#This Row],[M]]-TabCalc[[#This Row],[A]])*TabCalc[[#This Row],[NAfter]]*TabCalc[[#This Row],[Scale]],               TRUE,"")</f>
        <v>-199440.00000000006</v>
      </c>
      <c r="DA45" s="90">
        <f ca="1">IFERROR((TabCalc[[#This Row],[M]]+TabCalc[[#This Row],[L_Bp]])/ABS(TabCalc[[#This Row],[L_Bp]])/(TODAY()-TabCalc[[#This Row],[L_Bdate]])*360,"")</f>
        <v>2.6891350459580501</v>
      </c>
      <c r="DB45" s="312">
        <f ca="1">MEDIAN(DataShift!F745:Z745)</f>
        <v>-6.9630000000000004E-3</v>
      </c>
      <c r="DC45" s="312" t="str" cm="1">
        <f t="array" aca="1" ref="DC4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45" s="88" t="s">
        <v>41</v>
      </c>
      <c r="DN45" s="81">
        <v>2000</v>
      </c>
      <c r="DO45" s="317">
        <v>-6.93</v>
      </c>
    </row>
    <row r="46" spans="1:119">
      <c r="A46" s="120" t="str">
        <f ca="1">_xlfn.XLOOKUP(TabCalc[[#This Row],[Ticker]],[1]!RTData[Ticker symbol],[1]!RTData[Currency])</f>
        <v>EUR</v>
      </c>
      <c r="B46" s="121">
        <f ca="1">IF(TabCalc[[#This Row],[Cur]]="GBP",0.01,1)</f>
        <v>1</v>
      </c>
      <c r="C46" s="82">
        <f ca="1">_xlfn.XLOOKUP(TabCalc[[#This Row],[Ticker]],DM$3:DM$96,DN$3:DN$96)</f>
        <v>700</v>
      </c>
      <c r="D46" s="1254">
        <f ca="1">_xlfn.XLOOKUP(TabCalc[[#This Row],[Ticker]],DM$3:DM$96,DO$3:DO$96)</f>
        <v>-263.42</v>
      </c>
      <c r="E46" s="121">
        <f t="shared" ca="1" si="2"/>
        <v>-184394</v>
      </c>
      <c r="F46" s="82">
        <f ca="1">TabCalc[[#This Row],[NAfter]]*TabCalc[[#This Row],[M]]*TabCalc[[#This Row],[Scale]]</f>
        <v>90450</v>
      </c>
      <c r="G46" s="82">
        <f ca="1">IFERROR(TabCalc[[#This Row],[SB]]-TabCalc[[#This Row],[SST]],TabCalc[[#This Row],[SB]])</f>
        <v>3000</v>
      </c>
      <c r="H46" s="535" t="str">
        <f ca="1">[1]!RTData[[#This Row],[Ticker symbol]]</f>
        <v>UN0</v>
      </c>
      <c r="I46" s="385">
        <f ca="1">[1]!RTData[[#This Row],[M-Price]]</f>
        <v>30.15</v>
      </c>
      <c r="J46" s="384">
        <v>203.95281791666665</v>
      </c>
      <c r="K46" s="383">
        <f>[1]!RTData[[#This Row],[1YT]]</f>
        <v>0</v>
      </c>
      <c r="L46" s="384">
        <f ca="1">IF(OR(TabCalc[[#This Row],[NAfter]]=0,TabCalc[[#This Row],[EfCost]]&gt;0),0,TabCalc[[#This Row],[EfCost]]/TabCalc[[#This Row],[NAfter]]/TabCalc[[#This Row],[Scale]])</f>
        <v>-96.394064999999998</v>
      </c>
      <c r="M46" s="744">
        <f ca="1">[1]!RTData[[#This Row],[Change%]]</f>
        <v>-2.5847999999999999E-2</v>
      </c>
      <c r="N46" s="1172">
        <v>0</v>
      </c>
      <c r="O46" s="966">
        <f>TabCalc[[#This Row],[Up20]]-1+TabCalc[[#This Row],[Up20]]</f>
        <v>-1</v>
      </c>
      <c r="P46" s="966">
        <f>TabCalc[[#This Row],[Up20]]-TabCalc[[#This Row],[Up150]]</f>
        <v>0</v>
      </c>
      <c r="Q46" s="966">
        <v>0</v>
      </c>
      <c r="R46" s="966">
        <f>TabCalc[[#This Row],[Up150]]-1+TabCalc[[#This Row],[Up150]]</f>
        <v>-1</v>
      </c>
      <c r="S46" s="966">
        <f ca="1">IFERROR(SUMPRODUCT(DataShift!F1538:Z1538,DataShift!AB745:AV745)/SQRT(SUMPRODUCT(DataShift!F1538:Z1538,DataShift!F1538:Z1538)*SUMPRODUCT(DataShift!AB745:AV745,DataShift!AB745:AV745)),0)</f>
        <v>-0.77518364379767191</v>
      </c>
      <c r="T46" s="966">
        <f ca="1">IFERROR(SUMPRODUCT(DataShift!F1538:Z1538,DataShift!F746:Z746)/SQRT(SUMPRODUCT(DataShift!F1538:Z1538,DataShift!F1538:Z1538)*SUMPRODUCT(DataShift!F746:Z746,DataShift!F746:Z746)),0)</f>
        <v>6.077802474002978E-2</v>
      </c>
      <c r="U46" s="1107">
        <v>4800</v>
      </c>
      <c r="V46" s="1107">
        <v>0</v>
      </c>
      <c r="W46" s="1107">
        <v>0</v>
      </c>
      <c r="X46" s="966" t="str">
        <f ca="1">IF(TabCalc[[#This Row],[EfCost]]+TabCalc[[#This Row],[M_V]]&lt;TabCalc[[#This Row],[NoT_GL]],"Pile","")</f>
        <v>Pile</v>
      </c>
      <c r="Y4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-20,294 = $ -611,865</v>
      </c>
      <c r="Z46" s="213">
        <f ca="1">MIN(TabCalc[[#This Row],[L_Bn]],TabCalc[[#This Row],[NAfter]])*(TabCalc[[#This Row],[M]]+TabCalc[[#This Row],[L_Bp]])*TabCalc[[#This Row],[Scale]]</f>
        <v>-2481.7449999999994</v>
      </c>
      <c r="AA46" s="210" cm="1">
        <f t="array" aca="1" ref="AA46" ca="1">_xlfn.XLOOKUP(TabCalc[[#This Row],[L_Bp]],INDIRECT("TabReg["&amp;TabCalc[[#This Row],[Ticker]]&amp;"2]"),INDIRECT("TabReg["&amp;TabCalc[[#This Row],[Ticker]]&amp;"]"))</f>
        <v>45856</v>
      </c>
      <c r="AB46" s="181" cm="1">
        <f t="array" aca="1" ref="AB46" ca="1">_xlfn.XLOOKUP(TabCalc[[#This Row],[L_Bp]],INDIRECT("TabReg["&amp;TabCalc[[#This Row],[Ticker]]&amp;"2]"),INDIRECT("TabReg["&amp;TabCalc[[#This Row],[Ticker]]&amp;"1]"))</f>
        <v>350</v>
      </c>
      <c r="AC46" s="192" cm="1">
        <f t="array" aca="1" ref="AC46" ca="1">IFERROR(INDEX(INDIRECT("TabReg["&amp;TabCalc[[#This Row],[Ticker]]&amp;"2]"),    _xlfn.XMATCH(    MAX(    _xlfn._xlws.FILTER(INDIRECT("TabReg["&amp;TabCalc[[#This Row],[Ticker]]&amp;"]"), INDIRECT("TabReg["&amp;TabCalc[[#This Row],[Ticker]]&amp;"2]")&lt;0)     ), INDIRECT("TabReg["&amp;TabCalc[[#This Row],[Ticker]]&amp;"]"),      0)), "")</f>
        <v>-37.240699999999997</v>
      </c>
      <c r="AD46" s="213">
        <f ca="1">IFERROR(MIN(TabCalc[[#This Row],[L_B1n]],TabCalc[[#This Row],[NAfter]])*(TabCalc[[#This Row],[M]]+TabCalc[[#This Row],[L_B1p]])*TabCalc[[#This Row],[Scale]],"")</f>
        <v>-4374.1500000000015</v>
      </c>
      <c r="AE46" s="210" cm="1">
        <f t="array" aca="1" ref="AE4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45694</v>
      </c>
      <c r="AF46" s="181" cm="1">
        <f t="array" aca="1" ref="AF46" ca="1">IFERROR(_xlfn.XLOOKUP(TabCalc[[#This Row],[L_B1D]],INDIRECT("TabReg["&amp;TabCalc[[#This Row],[Ticker]]&amp;"]"),INDIRECT("TabReg["&amp;TabCalc[[#This Row],[Ticker]]&amp;"1]")),0)</f>
        <v>363</v>
      </c>
      <c r="AG46" s="192" cm="1">
        <f t="array" aca="1" ref="AG46" ca="1">IFERROR(_xlfn.XLOOKUP(TabCalc[[#This Row],[L_B1D]],INDIRECT("TabReg["&amp;TabCalc[[#This Row],[Ticker]]&amp;"]"),INDIRECT("TabReg["&amp;TabCalc[[#This Row],[Ticker]]&amp;"2]")),0)</f>
        <v>-42.2</v>
      </c>
      <c r="AH46" s="302">
        <f ca="1">IFERROR(TabCalc[[#This Row],[L_Sn]]*(TabCalc[[#This Row],[L_Sp]]-TabCalc[[#This Row],[M]])*TabCalc[[#This Row],[Scale]],"")</f>
        <v>4952.0694999999996</v>
      </c>
      <c r="AI46" s="210" cm="1">
        <f t="array" aca="1" ref="AI46" ca="1">IFERROR(_xlfn.XLOOKUP(TabCalc[[#This Row],[L_Sp]],INDIRECT("TabReg["&amp;TabCalc[[#This Row],[Ticker]]&amp;"2]"),INDIRECT("TabReg["&amp;TabCalc[[#This Row],[Ticker]]&amp;"]")),0)</f>
        <v>45715</v>
      </c>
      <c r="AJ46" s="181" cm="1">
        <f t="array" aca="1" ref="AJ46" ca="1">IFERROR(_xlfn.XLOOKUP(TabCalc[[#This Row],[L_Sp]],INDIRECT("TabReg["&amp;TabCalc[[#This Row],[Ticker]]&amp;"2]"),INDIRECT("TabReg["&amp;TabCalc[[#This Row],[Ticker]]&amp;"1]")),0)</f>
        <v>350</v>
      </c>
      <c r="AK46" s="192" cm="1">
        <f t="array" aca="1" ref="AK46" ca="1">IFERROR(INDEX(INDIRECT("TabReg["&amp;TabCalc[[#This Row],[Ticker]]&amp;"2]"), _xlfn.XMATCH(MAX(_xlfn._xlws.FILTER(INDIRECT("TabReg["&amp;TabCalc[[#This Row],[Ticker]]&amp;"]"), INDIRECT("TabReg["&amp;TabCalc[[#This Row],[Ticker]]&amp;"2]")&gt;0)), INDIRECT("TabReg["&amp;TabCalc[[#This Row],[Ticker]]&amp;"]"), 0)), 0)</f>
        <v>44.298769999999998</v>
      </c>
      <c r="AL46" s="214">
        <f ca="1">IFERROR(TabCalc[[#This Row],[L_S1n]]*(TabCalc[[#This Row],[L_S1p]]-TabCalc[[#This Row],[M]])*TabCalc[[#This Row],[Scale]],0)</f>
        <v>33050</v>
      </c>
      <c r="AM46" s="210" cm="1">
        <f t="array" aca="1" ref="AM4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45523</v>
      </c>
      <c r="AN46" s="181" cm="1">
        <f t="array" aca="1" ref="AN46" ca="1">IFERROR(_xlfn.XLOOKUP(TabCalc[[#This Row],[L_S1D]],INDIRECT("TabReg["&amp;TabCalc[[#This Row],[Ticker]]&amp;"]"),INDIRECT("TabReg["&amp;TabCalc[[#This Row],[Ticker]]&amp;"1]")),0)</f>
        <v>2500</v>
      </c>
      <c r="AO46" s="384" cm="1">
        <f t="array" aca="1" ref="AO46" ca="1">IFERROR(_xlfn.XLOOKUP(TabCalc[[#This Row],[L_S1D]],INDIRECT("TabReg["&amp;TabCalc[[#This Row],[Ticker]]&amp;"]"),INDIRECT("TabReg["&amp;TabCalc[[#This Row],[Ticker]]&amp;"2]")),0)</f>
        <v>43.37</v>
      </c>
      <c r="AP46" s="336">
        <f ca="1">_xlfn.LET(_xlpm.MVOpen,[1]!RTData[[#This Row],[Open]]*TabCalc[[#This Row],[NAfter]],_xlpm.MVNow,TabCalc[[#This Row],[M]]*TabCalc[[#This Row],[NAfter]],_xlpm.MVNow-_xlpm.MVOpen)*TabCalc[[#This Row],[Scale]]</f>
        <v>-2550</v>
      </c>
      <c r="AQ46" s="336">
        <f ca="1">_xlfn.LET(_xlpm.MVToday,DataShift!AV546,         _xlpm.MVY,DataShift!AU547,        _xlpm.MVYY, DataShift!AT547,                                IF(_xlpm.MVToday=_xlpm.MVY,_xlpm.MVY-_xlpm.MVYY,_xlpm.MVToday-_xlpm.MVY))</f>
        <v>-15.259999999999991</v>
      </c>
      <c r="AR46" s="336">
        <f ca="1">_xlfn.LET(_xlpm.MVToday,DataShift!AV546,         _xlpm.MVY,DataShift!AU547,        _xlpm.MVYY, DataShift!AT547,         _xlpm.MVYYY, DataShift!AS547,                      IF(_xlpm.MVToday=_xlpm.MVY,      _xlpm.MVYY-_xlpm.MVYYY,          _xlpm.MVY-_xlpm.MVYY))</f>
        <v>10.009999999999991</v>
      </c>
      <c r="AS46" s="1078">
        <f ca="1">TabCalc[[#This Row],[Y]]/TabCalc[[#This Row],[M]]</f>
        <v>0</v>
      </c>
      <c r="AT46" s="299" t="str" cm="1">
        <f t="array" aca="1" ref="AT46" ca="1">IFERROR(_xlfn.IFS(          TabCalc[[#This Row],[E]]&gt;0, "Free Trade",      TabCalc[[#This Row],[A]]&lt;MIN(TabCalc[[#This Row],[L_Sp]],TabCalc[[#This Row],[M]]), "Buy",            TabCalc[[#This Row],[M]]&lt;TabCalc[[#This Row],[L_Sp]],       "Refill",       TabCalc[[#This Row],[M]]&gt;TabCalc[[#This Row],[L_Sp]],"S_more"),"")</f>
        <v>Refill</v>
      </c>
      <c r="AU46" s="299" t="str">
        <f ca="1">IF(           AND(TabCalc[[#This Row],[E]]&lt;=0,          TabCalc[[#This Row],[A]]&gt;MIN(TabCalc[[#This Row],[M]],TabCalc[[#This Row],[L_Sp]]),             TabCalc[[#This Row],[L_Sp]]&lt;=TabCalc[[#This Row],[M]]),                       "S_more","")</f>
        <v/>
      </c>
      <c r="AV46" s="82" t="str" cm="1">
        <f t="array" aca="1" ref="AV46" ca="1">IFERROR(_xlfn.IFS(TabCalc[[#This Row],[E]]&gt;0,"Free trade",                 TabCalc[[#This Row],[A]]&lt;MAX(ABS(TabCalc[[#This Row],[L_Bp]]),TabCalc[[#This Row],[A]]),"Sell",             TabCalc[[#This Row],[M]]&gt;ABS(TabCalc[[#This Row],[L_Bp]]),"Resell",             TabCalc[[#This Row],[M]]&lt;ABS(TabCalc[[#This Row],[L_Bp]]),"B_more"),"")</f>
        <v>B_more</v>
      </c>
      <c r="AW46" s="82">
        <f ca="1">TabCalc[[#This Row],[NAfter]]-TabCalc[[#This Row],[Nbegin]]</f>
        <v>2300</v>
      </c>
      <c r="AX46" s="307" t="str">
        <f ca="1">IFERROR((TabCalc[[#This Row],[M]]-TabCalc[[#This Row],[Y]])*(TabCalc[[#This Row],[M]]-TabCalc[[#This Row],[Y]])*(TabCalc[[#This Row],[M]]-TabCalc[[#This Row],[Y]])/(TabCalc[[#This Row],[Y]]*TabCalc[[#This Row],[M]]),"")</f>
        <v/>
      </c>
      <c r="AY46" s="82">
        <f t="shared" ca="1" si="3"/>
        <v>0</v>
      </c>
      <c r="AZ46" s="90">
        <f ca="1">[1]!RTData[[#This Row],[V/VA]]</f>
        <v>3.907563025210084E-2</v>
      </c>
      <c r="BA46" s="90" t="str" cm="1">
        <f t="array" aca="1" ref="BA46" ca="1">IFERROR(_xlfn.IFS(TabCalc[[#This Row],[Cur]]="USD",Timer!F$27,TabCalc[[#This Row],[Cur]]="EUR",Timer!F$18,TabCalc[[#This Row],[Cur]]="GBP",Timer!F$12,TabCalc[[#This Row],[Cur]]="CAD",Timer!F$27,TabCalc[[#This Row],[Cur]]="JPY",Timer!F$31,TabCalc[[#This Row],[Cur]]="CHF",Timer!F$18),"Timing")</f>
        <v>None-Working Day</v>
      </c>
      <c r="BB46" s="90">
        <f ca="1">IF(ISNUMBER(TabCalc[[#This Row],[TimeEX]]),TabCalc[[#This Row],[V/VA]]/TabCalc[[#This Row],[TimeEX]],TabCalc[[#This Row],[V/VA]])</f>
        <v>3.907563025210084E-2</v>
      </c>
      <c r="BC46" s="87" cm="1">
        <f t="array" aca="1" ref="BC46" ca="1">INDEX(TabReg[], 1, _xlfn.XMATCH(TabCalc[[#This Row],[Ticker]]&amp;1, TabReg[#Headers], 0))</f>
        <v>700</v>
      </c>
      <c r="BD46" s="161">
        <f ca="1">TabCalc[[#This Row],[Nbegin]]*TabCalc[[#This Row],[M]]*TabCalc[[#This Row],[Scale]]+TabCalc[[#This Row],[ValueBegin]]</f>
        <v>-163289</v>
      </c>
      <c r="BE46" s="336" t="str" cm="1">
        <f t="array" aca="1" ref="BE46" ca="1">_xlfn.IFS(TabCalc[[#This Row],[Cost+Gain]]&gt;0,"Free",             TabCalc[[#This Row],[GL]]&gt;0,"Gainer",                TRUE,"Looser")</f>
        <v>Looser</v>
      </c>
      <c r="BF46" s="161">
        <f ca="1">TabCalc[[#This Row],[Tot_Paid]]-TabCalc[[#This Row],[ValueBegin]]</f>
        <v>-393831.50213769986</v>
      </c>
      <c r="BG46" s="337">
        <f ca="1">IF(TabCalc[[#This Row],[EfCost]]&gt;TabCalc[[#This Row],[ValueBegin]],       0,        TabCalc[[#This Row],[EfCost]]-TabCalc[[#This Row],[ValueBegin]]*(1+Commission))</f>
        <v>-104308.77060000002</v>
      </c>
      <c r="BH46" s="338">
        <f ca="1">TabCalc[[#This Row],[M_V]]+TabCalc[[#This Row],[ValueBegin]]</f>
        <v>-93944</v>
      </c>
      <c r="BI46" s="161" cm="1">
        <f t="array" aca="1" ref="BI46" ca="1">SUMPRODUCT(_xlfn._xlws.FILTER(INDIRECT("TabReg["&amp;TabCalc[[#This Row],[Ticker]]&amp;"1]") * INDIRECT("TabReg["&amp;TabCalc[[#This Row],[Ticker]]&amp;"2]"), INDIRECT("TabReg["&amp;TabCalc[[#This Row],[Ticker]]&amp;"2]")&lt;0))*(1+Commission)*TabCalc[[#This Row],[Scale]]</f>
        <v>-578225.50213769986</v>
      </c>
      <c r="BJ46" s="161" cm="1">
        <f t="array" aca="1" ref="BJ46" ca="1">SUMPRODUCT(IF(INDIRECT("TabReg["&amp;TabCalc[[#This Row],[Ticker]]&amp;"2]") ="", 0, INDIRECT("TabReg["&amp;TabCalc[[#This Row],[Ticker]]&amp;"1]") * INDIRECT("TabReg["&amp;TabCalc[[#This Row],[Ticker]]&amp;"2]") ))*TabCalc[[#This Row],[Scale]]</f>
        <v>-289182.19500000001</v>
      </c>
      <c r="BK46" s="161" cm="1">
        <f t="array" aca="1" ref="BK4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286796.20556929999</v>
      </c>
      <c r="BL46" s="161">
        <f ca="1">TabCalc[[#This Row],[M_V]]+TabCalc[[#This Row],[EfCost]]</f>
        <v>-198732.19500000001</v>
      </c>
      <c r="BM46" s="161">
        <f ca="1">IF(        OR( TabCalc[[#This Row],[GL]]&gt;ABS(TabCalc[[#This Row],[EfCost]]),TabCalc[[#This Row],[NAfter]]=0),             TabCalc[[#This Row],[GL]],     0)</f>
        <v>0</v>
      </c>
      <c r="BN46" s="161" cm="1">
        <f t="array" aca="1" ref="BN46" ca="1">SUMPRODUCT(_xlfn._xlws.FILTER(IF(INDIRECT("TabReg["&amp;TabCalc[[#This Row],[Ticker]]&amp;"2]") ="", 0, INDIRECT("TabReg["&amp;TabCalc[[#This Row],[Ticker]]&amp;"1]")  ),  INDIRECT("TabReg["&amp;TabCalc[[#This Row],[Ticker]]&amp;"2]") &lt; 0))</f>
        <v>8700</v>
      </c>
      <c r="BO46" s="161">
        <f ca="1">TabCalc[[#This Row],[SB]]-TabCalc[[#This Row],[Nbegin]]</f>
        <v>8000</v>
      </c>
      <c r="BP46" s="161" cm="1">
        <f t="array" aca="1" ref="BP46" ca="1">IFERROR(SUMPRODUCT(_xlfn._xlws.FILTER(IF(INDIRECT("TabReg["&amp;TabCalc[[#This Row],[Ticker]]&amp;"2]") ="", 0, INDIRECT("TabReg["&amp;TabCalc[[#This Row],[Ticker]]&amp;"1]")  ),  INDIRECT("TabReg["&amp;TabCalc[[#This Row],[Ticker]]&amp;"2]") &gt; 0)),0)</f>
        <v>5700</v>
      </c>
      <c r="BQ4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138.92</v>
      </c>
      <c r="BR46" s="176" t="str">
        <f ca="1">IF(TabCalc[[#This Row],[EfCost]]+TabCalc[[#This Row],[M_V]]&lt;TabCalc[[#This Row],[NoT_GL]],"Pile","")</f>
        <v>Pile</v>
      </c>
      <c r="BS46" s="167">
        <f ca="1">[1]!RTData[[#This Row],[Last trade time]]</f>
        <v>45954.836805555555</v>
      </c>
      <c r="BT46" s="177">
        <f ca="1">(TabCalc[[#This Row],[ValueBegin]]+(TabCalc[[#This Row],[M]]-TabCalc[[#This Row],[A]])*TabCalc[[#This Row],[NAfter]])*TabCalc[[#This Row],[Scale]]</f>
        <v>-705802.45374999987</v>
      </c>
      <c r="BU46" s="189" cm="1">
        <f t="array" aca="1" ref="BU46" ca="1">_xlfn.XLOOKUP(TabCalc[[#This Row],[Ticker]],TabReg[[#Headers],[AAPL]:[UnknownX28]],Reg!B$72:KF$72)+3</f>
        <v>18</v>
      </c>
      <c r="BV46" s="190" cm="1">
        <f t="array" aca="1" ref="BV46" ca="1">_xlfn.XLOOKUP(TabCalc[[#This Row],[Ticker]],TabReg[[#Headers],[AAPL]:[UnknownX28]],Reg!B$73:KF$73)+2</f>
        <v>135</v>
      </c>
      <c r="BW46" s="191">
        <f ca="1">IFERROR(MAX(TabCalc[[#This Row],[Max_SD]],TabCalc[[#This Row],[Max_PD]]),0)</f>
        <v>45856</v>
      </c>
      <c r="BX46" s="191" t="str" cm="1">
        <f t="array" aca="1" ref="BX46" ca="1">_xlfn.IFS(TabCalc[[#This Row],[L_TP]]&lt;0,"Purchase",TabCalc[[#This Row],[L_TP]]&gt;0,"Sale")</f>
        <v>Purchase</v>
      </c>
      <c r="BY46" s="190" cm="1">
        <f t="array" aca="1" ref="BY46" ca="1">INDEX(Reg!$A$1:$KF$73,TabCalc[[#This Row],[L_I1]],TabCalc[[#This Row],[L_I2]])</f>
        <v>350</v>
      </c>
      <c r="BZ46" s="192" cm="1">
        <f t="array" aca="1" ref="BZ46" ca="1">INDEX(Reg!$A$1:$KF$73,TabCalc[[#This Row],[L_I1]],TabCalc[[#This Row],[L_I2]]+1)</f>
        <v>-37.240699999999997</v>
      </c>
      <c r="CA46" s="161">
        <f ca="1">TabCalc[[#This Row],[NAfter]]*(TabCalc[[#This Row],[M]]-IF(TabCalc[[#This Row],[E]]&gt;0,0,TabCalc[[#This Row],[A]]))</f>
        <v>-521408.45374999993</v>
      </c>
      <c r="CB46" s="167" cm="1">
        <f t="array" aca="1" ref="CB46" ca="1">IFERROR(MIN(_xlfn._xlws.FILTER(INDIRECT("TabReg["&amp;TabCalc[[#This Row],[Ticker]]&amp;"]"), INDIRECT("TabReg["&amp;TabCalc[[#This Row],[Ticker]]&amp;"2]")&gt;0)),0)</f>
        <v>45349</v>
      </c>
      <c r="CC46" s="178" cm="1">
        <f t="array" aca="1" ref="CC46" ca="1">IFERROR(MIN(_xlfn._xlws.FILTER(INDIRECT("TabReg["&amp;TabCalc[[#This Row],[Ticker]]&amp;"1]"), INDIRECT("TabReg["&amp;TabCalc[[#This Row],[Ticker]]&amp;"2]")&gt;0)),0)</f>
        <v>100</v>
      </c>
      <c r="CD46" s="173" cm="1">
        <f t="array" aca="1" ref="CD46" ca="1">IFERROR(MIN(_xlfn._xlws.FILTER(INDIRECT("TabReg["&amp;TabCalc[[#This Row],[Ticker]]&amp;"2]"), INDIRECT("TabReg["&amp;TabCalc[[#This Row],[Ticker]]&amp;"2]")&gt;0)),0)</f>
        <v>43.37</v>
      </c>
      <c r="CE46" s="167" cm="1">
        <f t="array" aca="1" ref="CE46" ca="1">IFERROR(MAX(_xlfn._xlws.FILTER(INDIRECT("TabReg["&amp;TabCalc[[#This Row],[Ticker]]&amp;"]"), INDIRECT("TabReg["&amp;TabCalc[[#This Row],[Ticker]]&amp;"2]")&gt;0)),0)</f>
        <v>45715</v>
      </c>
      <c r="CF46" s="178" cm="1">
        <f t="array" aca="1" ref="CF46" ca="1">IFERROR(MAX(_xlfn._xlws.FILTER(INDIRECT("TabReg["&amp;TabCalc[[#This Row],[Ticker]]&amp;"1]"), INDIRECT("TabReg["&amp;TabCalc[[#This Row],[Ticker]]&amp;"2]")&gt;0)),0)</f>
        <v>2500</v>
      </c>
      <c r="CG46" s="173" cm="1">
        <f t="array" aca="1" ref="CG46" ca="1">IFERROR(MAX(_xlfn._xlws.FILTER(INDIRECT("TabReg["&amp;TabCalc[[#This Row],[Ticker]]&amp;"2]"), INDIRECT("TabReg["&amp;TabCalc[[#This Row],[Ticker]]&amp;"2]")&gt;0)),0)</f>
        <v>59.706699999999998</v>
      </c>
      <c r="CH46" s="167" cm="1">
        <f t="array" aca="1" ref="CH46" ca="1">MIN(_xlfn._xlws.FILTER(INDIRECT("TabReg["&amp;TabCalc[[#This Row],[Ticker]]&amp;"]"), INDIRECT("TabReg["&amp;TabCalc[[#This Row],[Ticker]]&amp;"2]")&lt;0))</f>
        <v>40544</v>
      </c>
      <c r="CI46" s="177" cm="1">
        <f t="array" aca="1" ref="CI46" ca="1">MIN(_xlfn._xlws.FILTER(INDIRECT("TabReg["&amp;TabCalc[[#This Row],[Ticker]]&amp;"1]"), INDIRECT("TabReg["&amp;TabCalc[[#This Row],[Ticker]]&amp;"2]")&lt;0))</f>
        <v>137</v>
      </c>
      <c r="CJ46" s="173" cm="1">
        <f t="array" aca="1" ref="CJ46" ca="1">MIN(_xlfn._xlws.FILTER(INDIRECT("TabReg["&amp;TabCalc[[#This Row],[Ticker]]&amp;"2]"), INDIRECT("TabReg["&amp;TabCalc[[#This Row],[Ticker]]&amp;"2]")&lt;0))</f>
        <v>-263.42</v>
      </c>
      <c r="CK46" s="167" cm="1">
        <f t="array" aca="1" ref="CK46" ca="1">MAX(_xlfn._xlws.FILTER(INDIRECT("TabReg["&amp;TabCalc[[#This Row],[Ticker]]&amp;"]"), INDIRECT("TabReg["&amp;TabCalc[[#This Row],[Ticker]]&amp;"2]")&lt;0))</f>
        <v>45856</v>
      </c>
      <c r="CL46" s="177" cm="1">
        <f t="array" aca="1" ref="CL46" ca="1">MAX(_xlfn._xlws.FILTER(INDIRECT("TabReg["&amp;TabCalc[[#This Row],[Ticker]]&amp;"1]"), INDIRECT("TabReg["&amp;TabCalc[[#This Row],[Ticker]]&amp;"2]")&lt;0))</f>
        <v>2640</v>
      </c>
      <c r="CM46" s="173" cm="1">
        <f t="array" aca="1" ref="CM46" ca="1">MAX(_xlfn._xlws.FILTER(INDIRECT("TabReg["&amp;TabCalc[[#This Row],[Ticker]]&amp;"2]"), INDIRECT("TabReg["&amp;TabCalc[[#This Row],[Ticker]]&amp;"2]")&lt;0))</f>
        <v>-37.240699999999997</v>
      </c>
      <c r="CN46" s="167" cm="1">
        <f t="array" aca="1" ref="CN46" ca="1">IFERROR(_xlfn.XLOOKUP(TabCalc[[#This Row],[BS2P]],INDIRECT("TabReg["&amp;TabCalc[[#This Row],[Ticker]]&amp;"2]"),INDIRECT("TabReg["&amp;TabCalc[[#This Row],[Ticker]]&amp;"]")),0)</f>
        <v>45357</v>
      </c>
      <c r="CO46" s="178" cm="1">
        <f t="array" aca="1" ref="CO46" ca="1">IFERROR(_xlfn.XLOOKUP(TabCalc[[#This Row],[BS2P]],INDIRECT("TabReg["&amp;TabCalc[[#This Row],[Ticker]]&amp;"2]"),INDIRECT("TabReg["&amp;TabCalc[[#This Row],[Ticker]]&amp;"1]")),0)</f>
        <v>1300</v>
      </c>
      <c r="CP46" s="173">
        <f ca="1">_xlfn.MAXIFS(INDIRECT("TabReg["&amp;TabCalc[[#This Row],[Ticker]]&amp;"2]"), INDIRECT("TabReg["&amp;TabCalc[[#This Row],[Ticker]]&amp;"2]"), "&lt;" &amp; MAX(INDIRECT("TabReg["&amp;TabCalc[[#This Row],[Ticker]]&amp;"2]")))</f>
        <v>55.9</v>
      </c>
      <c r="CQ46" s="167" cm="1">
        <f t="array" aca="1" ref="CQ46" ca="1">IFERROR(_xlfn.XLOOKUP(TabCalc[[#This Row],[WB2P]],INDIRECT("TabReg["&amp;TabCalc[[#This Row],[Ticker]]&amp;"2]"),INDIRECT("TabReg["&amp;TabCalc[[#This Row],[Ticker]]&amp;"]")),0)</f>
        <v>40544</v>
      </c>
      <c r="CR46" s="178" cm="1">
        <f t="array" aca="1" ref="CR46" ca="1">IFERROR(_xlfn.XLOOKUP(TabCalc[[#This Row],[WB2P]],INDIRECT("TabReg["&amp;TabCalc[[#This Row],[Ticker]]&amp;"2]"),INDIRECT("TabReg["&amp;TabCalc[[#This Row],[Ticker]]&amp;"1]")),0)</f>
        <v>1300</v>
      </c>
      <c r="CS46" s="173">
        <f ca="1">_xlfn.MINIFS(INDIRECT("TabReg["&amp;TabCalc[[#This Row],[Ticker]]&amp;"2]"), INDIRECT("TabReg["&amp;TabCalc[[#This Row],[Ticker]]&amp;"2]"), "&gt;" &amp; MIN(INDIRECT("TabReg["&amp;TabCalc[[#This Row],[Ticker]]&amp;"2]")))</f>
        <v>-57.761699999999998</v>
      </c>
      <c r="CT46" s="405">
        <f ca="1">IF(TabCalc[[#This Row],[M]]&lt;TabCalc[[#This Row],[L_Sp]],DesiredBuyGain/(TabCalc[[#This Row],[L_Sp]]-TabCalc[[#This Row],[M]]),0)</f>
        <v>353.38760895823458</v>
      </c>
      <c r="CU46" s="406">
        <f ca="1">IF(TabCalc[[#This Row],[ntoBuy]]*TabCalc[[#This Row],[M]]&lt;=0,0,TabCalc[[#This Row],[ntoBuy]]*TabCalc[[#This Row],[M]])</f>
        <v>10654.636410090772</v>
      </c>
      <c r="CV46" s="406">
        <f ca="1">IF(TabCalc[[#This Row],[M]]&gt;ABS(TabCalc[[#This Row],[L_Bp]]),MIN(TabCalc[[#This Row],[NAfter]],DesiredSaleGain/(TabCalc[[#This Row],[M]]+TabCalc[[#This Row],[L_Bp]])),0)/TabCalc[[#This Row],[Scale]]</f>
        <v>0</v>
      </c>
      <c r="CW46" s="407">
        <f ca="1">TabCalc[[#This Row],[ntoSell]]*TabCalc[[#This Row],[M]]</f>
        <v>0</v>
      </c>
      <c r="CX46" s="400">
        <f ca="1">_xlfn.LET(_xlpm.nToSell,IF(TabCalc[[#This Row],[M]]-TabCalc[[#This Row],[A]]&lt;=0,"",INT(DesiredSaleGain/(TabCalc[[#This Row],[M]]-IF(TabCalc[[#This Row],[E]]&gt;0,0,TabCalc[[#This Row],[A]])))),IF(_xlpm.nToSell&lt;=TabCalc[[#This Row],[NAfter]],_xlpm.nToSell,0))</f>
        <v>0</v>
      </c>
      <c r="CY46" s="338">
        <f ca="1">IFERROR(TabCalc[[#This Row],[NMA]]*TabCalc[[#This Row],[M]],"")</f>
        <v>0</v>
      </c>
      <c r="CZ46" s="337" cm="1">
        <f t="array" aca="1" ref="CZ46" ca="1">_xlfn.IFS(TabCalc[[#This Row],[M]]&gt;= TabCalc[[#This Row],[L_Sp]],(TabCalc[[#This Row],[M]]-TabCalc[[#This Row],[A]])*TabCalc[[#This Row],[NAfter]]*TabCalc[[#This Row],[Scale]],           TabCalc[[#This Row],[M]]&lt; TabCalc[[#This Row],[L_Sp]],(TabCalc[[#This Row],[M]]-TabCalc[[#This Row],[A]])*TabCalc[[#This Row],[NAfter]]*TabCalc[[#This Row],[Scale]],               TRUE,"")</f>
        <v>-521408.45374999993</v>
      </c>
      <c r="DA46" s="90">
        <f ca="1">IFERROR((TabCalc[[#This Row],[M]]+TabCalc[[#This Row],[L_Bp]])/ABS(TabCalc[[#This Row],[L_Bp]])/(TODAY()-TabCalc[[#This Row],[L_Bdate]])*360,"")</f>
        <v>-0.68544683639136739</v>
      </c>
      <c r="DB46" s="312">
        <f ca="1">MEDIAN(DataShift!F746:Z746)</f>
        <v>-7.1799999999999998E-3</v>
      </c>
      <c r="DC46" s="312" t="str" cm="1">
        <f t="array" aca="1" ref="DC4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46" s="88" t="s">
        <v>42</v>
      </c>
      <c r="DN46" s="81">
        <v>7300</v>
      </c>
      <c r="DO46" s="317">
        <v>-10.784000000000001</v>
      </c>
    </row>
    <row r="47" spans="1:119">
      <c r="A47" s="120" t="str">
        <f ca="1">_xlfn.XLOOKUP(TabCalc[[#This Row],[Ticker]],[1]!RTData[Ticker symbol],[1]!RTData[Currency])</f>
        <v>USD</v>
      </c>
      <c r="B47" s="121">
        <f ca="1">IF(TabCalc[[#This Row],[Cur]]="GBP",0.01,1)</f>
        <v>1</v>
      </c>
      <c r="C47" s="82">
        <f ca="1">_xlfn.XLOOKUP(TabCalc[[#This Row],[Ticker]],DM$3:DM$96,DN$3:DN$96)</f>
        <v>2000</v>
      </c>
      <c r="D47" s="1254">
        <f ca="1">_xlfn.XLOOKUP(TabCalc[[#This Row],[Ticker]],DM$3:DM$96,DO$3:DO$96)</f>
        <v>-30.32</v>
      </c>
      <c r="E47" s="121">
        <f t="shared" ca="1" si="2"/>
        <v>-60640</v>
      </c>
      <c r="F47" s="82">
        <f ca="1">TabCalc[[#This Row],[NAfter]]*TabCalc[[#This Row],[M]]*TabCalc[[#This Row],[Scale]]</f>
        <v>43410</v>
      </c>
      <c r="G47" s="82">
        <f ca="1">IFERROR(TabCalc[[#This Row],[SB]]-TabCalc[[#This Row],[SST]],TabCalc[[#This Row],[SB]])</f>
        <v>7235</v>
      </c>
      <c r="H47" s="535" t="str">
        <f ca="1">[1]!RTData[[#This Row],[Ticker symbol]]</f>
        <v>UNIT</v>
      </c>
      <c r="I47" s="385">
        <f ca="1">[1]!RTData[[#This Row],[M-Price]]</f>
        <v>6</v>
      </c>
      <c r="J47" s="384">
        <v>41.599350000000001</v>
      </c>
      <c r="K47" s="383">
        <f>[1]!RTData[[#This Row],[1YT]]</f>
        <v>7.4749999999999996</v>
      </c>
      <c r="L47" s="384">
        <f ca="1">IF(OR(TabCalc[[#This Row],[NAfter]]=0,TabCalc[[#This Row],[EfCost]]&gt;0),0,TabCalc[[#This Row],[EfCost]]/TabCalc[[#This Row],[NAfter]]/TabCalc[[#This Row],[Scale]])</f>
        <v>-9.3000000000000007</v>
      </c>
      <c r="M47" s="744">
        <f ca="1">[1]!RTData[[#This Row],[Change%]]</f>
        <v>3.4483E-2</v>
      </c>
      <c r="N47" s="1172">
        <v>0.35294117647058826</v>
      </c>
      <c r="O47" s="966">
        <f>TabCalc[[#This Row],[Up20]]-1+TabCalc[[#This Row],[Up20]]</f>
        <v>-0.29411764705882343</v>
      </c>
      <c r="P47" s="966">
        <f>TabCalc[[#This Row],[Up20]]-TabCalc[[#This Row],[Up150]]</f>
        <v>-3.9915966386554591E-2</v>
      </c>
      <c r="Q47" s="966">
        <v>0.39285714285714285</v>
      </c>
      <c r="R47" s="966">
        <f>TabCalc[[#This Row],[Up150]]-1+TabCalc[[#This Row],[Up150]]</f>
        <v>-0.21428571428571436</v>
      </c>
      <c r="S47" s="966">
        <f ca="1">IFERROR(SUMPRODUCT(DataShift!F1539:Z1539,DataShift!AB746:AV746)/SQRT(SUMPRODUCT(DataShift!F1539:Z1539,DataShift!F1539:Z1539)*SUMPRODUCT(DataShift!AB746:AV746,DataShift!AB746:AV746)),0)</f>
        <v>-0.81560441015905871</v>
      </c>
      <c r="T47" s="966">
        <f ca="1">IFERROR(SUMPRODUCT(DataShift!F1539:Z1539,DataShift!F747:Z747)/SQRT(SUMPRODUCT(DataShift!F1539:Z1539,DataShift!F1539:Z1539)*SUMPRODUCT(DataShift!F747:Z747,DataShift!F747:Z747)),0)</f>
        <v>-0.10687922644531293</v>
      </c>
      <c r="U47" s="1107">
        <v>0</v>
      </c>
      <c r="V47" s="1107">
        <v>3000</v>
      </c>
      <c r="W47" s="1107">
        <v>0</v>
      </c>
      <c r="X47" s="966" t="str">
        <f ca="1">IF(TabCalc[[#This Row],[EfCost]]+TabCalc[[#This Row],[M_V]]&lt;TabCalc[[#This Row],[NoT_GL]],"Pile","")</f>
        <v/>
      </c>
      <c r="Y4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167,382 = $ 1,004,292</v>
      </c>
      <c r="Z47" s="213">
        <f ca="1">MIN(TabCalc[[#This Row],[L_Bn]],TabCalc[[#This Row],[NAfter]])*(TabCalc[[#This Row],[M]]+TabCalc[[#This Row],[L_Bp]])*TabCalc[[#This Row],[Scale]]</f>
        <v>-23875.500000000004</v>
      </c>
      <c r="AA47" s="210" cm="1">
        <f t="array" aca="1" ref="AA47" ca="1">_xlfn.XLOOKUP(TabCalc[[#This Row],[L_Bp]],INDIRECT("TabReg["&amp;TabCalc[[#This Row],[Ticker]]&amp;"2]"),INDIRECT("TabReg["&amp;TabCalc[[#This Row],[Ticker]]&amp;"]"))</f>
        <v>45874</v>
      </c>
      <c r="AB47" s="181" cm="1">
        <f t="array" aca="1" ref="AB47" ca="1">_xlfn.XLOOKUP(TabCalc[[#This Row],[L_Bp]],INDIRECT("TabReg["&amp;TabCalc[[#This Row],[Ticker]]&amp;"2]"),INDIRECT("TabReg["&amp;TabCalc[[#This Row],[Ticker]]&amp;"1]"))</f>
        <v>7235</v>
      </c>
      <c r="AC47" s="192" cm="1">
        <f t="array" aca="1" ref="AC47" ca="1">IFERROR(INDEX(INDIRECT("TabReg["&amp;TabCalc[[#This Row],[Ticker]]&amp;"2]"),    _xlfn.XMATCH(    MAX(    _xlfn._xlws.FILTER(INDIRECT("TabReg["&amp;TabCalc[[#This Row],[Ticker]]&amp;"]"), INDIRECT("TabReg["&amp;TabCalc[[#This Row],[Ticker]]&amp;"2]")&lt;0)     ), INDIRECT("TabReg["&amp;TabCalc[[#This Row],[Ticker]]&amp;"]"),      0)), "")</f>
        <v>-9.3000000000000007</v>
      </c>
      <c r="AD47" s="213">
        <f ca="1">IFERROR(MIN(TabCalc[[#This Row],[L_B1n]],TabCalc[[#This Row],[NAfter]])*(TabCalc[[#This Row],[M]]+TabCalc[[#This Row],[L_B1p]])*TabCalc[[#This Row],[Scale]],"")</f>
        <v>0</v>
      </c>
      <c r="AE47" s="210" t="str" cm="1">
        <f t="array" aca="1" ref="AE4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47" s="181" cm="1">
        <f t="array" aca="1" ref="AF47" ca="1">IFERROR(_xlfn.XLOOKUP(TabCalc[[#This Row],[L_B1D]],INDIRECT("TabReg["&amp;TabCalc[[#This Row],[Ticker]]&amp;"]"),INDIRECT("TabReg["&amp;TabCalc[[#This Row],[Ticker]]&amp;"1]")),0)</f>
        <v>0</v>
      </c>
      <c r="AG47" s="192" cm="1">
        <f t="array" aca="1" ref="AG47" ca="1">IFERROR(_xlfn.XLOOKUP(TabCalc[[#This Row],[L_B1D]],INDIRECT("TabReg["&amp;TabCalc[[#This Row],[Ticker]]&amp;"]"),INDIRECT("TabReg["&amp;TabCalc[[#This Row],[Ticker]]&amp;"2]")),0)</f>
        <v>0</v>
      </c>
      <c r="AH47" s="302">
        <f ca="1">IFERROR(TabCalc[[#This Row],[L_Sn]]*(TabCalc[[#This Row],[L_Sp]]-TabCalc[[#This Row],[M]])*TabCalc[[#This Row],[Scale]],"")</f>
        <v>0</v>
      </c>
      <c r="AI47" s="210" cm="1">
        <f t="array" aca="1" ref="AI47" ca="1">IFERROR(_xlfn.XLOOKUP(TabCalc[[#This Row],[L_Sp]],INDIRECT("TabReg["&amp;TabCalc[[#This Row],[Ticker]]&amp;"2]"),INDIRECT("TabReg["&amp;TabCalc[[#This Row],[Ticker]]&amp;"]")),0)</f>
        <v>0</v>
      </c>
      <c r="AJ47" s="181" cm="1">
        <f t="array" aca="1" ref="AJ47" ca="1">IFERROR(_xlfn.XLOOKUP(TabCalc[[#This Row],[L_Sp]],INDIRECT("TabReg["&amp;TabCalc[[#This Row],[Ticker]]&amp;"2]"),INDIRECT("TabReg["&amp;TabCalc[[#This Row],[Ticker]]&amp;"1]")),0)</f>
        <v>0</v>
      </c>
      <c r="AK47" s="192" cm="1">
        <f t="array" aca="1" ref="AK47" ca="1">IFERROR(INDEX(INDIRECT("TabReg["&amp;TabCalc[[#This Row],[Ticker]]&amp;"2]"), _xlfn.XMATCH(MAX(_xlfn._xlws.FILTER(INDIRECT("TabReg["&amp;TabCalc[[#This Row],[Ticker]]&amp;"]"), INDIRECT("TabReg["&amp;TabCalc[[#This Row],[Ticker]]&amp;"2]")&gt;0)), INDIRECT("TabReg["&amp;TabCalc[[#This Row],[Ticker]]&amp;"]"), 0)), 0)</f>
        <v>0</v>
      </c>
      <c r="AL47" s="214">
        <f ca="1">IFERROR(TabCalc[[#This Row],[L_S1n]]*(TabCalc[[#This Row],[L_S1p]]-TabCalc[[#This Row],[M]])*TabCalc[[#This Row],[Scale]],0)</f>
        <v>0</v>
      </c>
      <c r="AM47" s="210" t="str" cm="1">
        <f t="array" aca="1" ref="AM4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47" s="181" cm="1">
        <f t="array" aca="1" ref="AN47" ca="1">IFERROR(_xlfn.XLOOKUP(TabCalc[[#This Row],[L_S1D]],INDIRECT("TabReg["&amp;TabCalc[[#This Row],[Ticker]]&amp;"]"),INDIRECT("TabReg["&amp;TabCalc[[#This Row],[Ticker]]&amp;"1]")),0)</f>
        <v>0</v>
      </c>
      <c r="AO47" s="384" cm="1">
        <f t="array" aca="1" ref="AO47" ca="1">IFERROR(_xlfn.XLOOKUP(TabCalc[[#This Row],[L_S1D]],INDIRECT("TabReg["&amp;TabCalc[[#This Row],[Ticker]]&amp;"]"),INDIRECT("TabReg["&amp;TabCalc[[#This Row],[Ticker]]&amp;"2]")),0)</f>
        <v>0</v>
      </c>
      <c r="AP47" s="336">
        <f ca="1">_xlfn.LET(_xlpm.MVOpen,[1]!RTData[[#This Row],[Open]]*TabCalc[[#This Row],[NAfter]],_xlpm.MVNow,TabCalc[[#This Row],[M]]*TabCalc[[#This Row],[NAfter]],_xlpm.MVNow-_xlpm.MVOpen)*TabCalc[[#This Row],[Scale]]</f>
        <v>217.05000000000291</v>
      </c>
      <c r="AQ47" s="336">
        <f ca="1">_xlfn.LET(_xlpm.MVToday,DataShift!AV547,         _xlpm.MVY,DataShift!AU548,        _xlpm.MVYY, DataShift!AT548,                                IF(_xlpm.MVToday=_xlpm.MVY,_xlpm.MVY-_xlpm.MVYY,_xlpm.MVToday-_xlpm.MVY))</f>
        <v>-192</v>
      </c>
      <c r="AR47" s="336">
        <f ca="1">_xlfn.LET(_xlpm.MVToday,DataShift!AV547,         _xlpm.MVY,DataShift!AU548,        _xlpm.MVYY, DataShift!AT548,         _xlpm.MVYYY, DataShift!AS548,                      IF(_xlpm.MVToday=_xlpm.MVY,      _xlpm.MVYY-_xlpm.MVYYY,          _xlpm.MVY-_xlpm.MVYY))</f>
        <v>20448</v>
      </c>
      <c r="AS47" s="1078">
        <f ca="1">TabCalc[[#This Row],[Y]]/TabCalc[[#This Row],[M]]</f>
        <v>1.2458333333333333</v>
      </c>
      <c r="AT47" s="299" t="str" cm="1">
        <f t="array" aca="1" ref="AT47" ca="1">IFERROR(_xlfn.IFS(          TabCalc[[#This Row],[E]]&gt;0, "Free Trade",      TabCalc[[#This Row],[A]]&lt;MIN(TabCalc[[#This Row],[L_Sp]],TabCalc[[#This Row],[M]]), "Buy",            TabCalc[[#This Row],[M]]&lt;TabCalc[[#This Row],[L_Sp]],       "Refill",       TabCalc[[#This Row],[M]]&gt;TabCalc[[#This Row],[L_Sp]],"S_more"),"")</f>
        <v>S_more</v>
      </c>
      <c r="AU47" s="299" t="str">
        <f ca="1">IF(           AND(TabCalc[[#This Row],[E]]&lt;=0,          TabCalc[[#This Row],[A]]&gt;MIN(TabCalc[[#This Row],[M]],TabCalc[[#This Row],[L_Sp]]),             TabCalc[[#This Row],[L_Sp]]&lt;=TabCalc[[#This Row],[M]]),                       "S_more","")</f>
        <v>S_more</v>
      </c>
      <c r="AV47" s="82" t="str" cm="1">
        <f t="array" aca="1" ref="AV47" ca="1">IFERROR(_xlfn.IFS(TabCalc[[#This Row],[E]]&gt;0,"Free trade",                 TabCalc[[#This Row],[A]]&lt;MAX(ABS(TabCalc[[#This Row],[L_Bp]]),TabCalc[[#This Row],[A]]),"Sell",             TabCalc[[#This Row],[M]]&gt;ABS(TabCalc[[#This Row],[L_Bp]]),"Resell",             TabCalc[[#This Row],[M]]&lt;ABS(TabCalc[[#This Row],[L_Bp]]),"B_more"),"")</f>
        <v>B_more</v>
      </c>
      <c r="AW47" s="82">
        <f ca="1">TabCalc[[#This Row],[NAfter]]-TabCalc[[#This Row],[Nbegin]]</f>
        <v>5235</v>
      </c>
      <c r="AX47" s="307">
        <f ca="1">IFERROR((TabCalc[[#This Row],[M]]-TabCalc[[#This Row],[Y]])*(TabCalc[[#This Row],[M]]-TabCalc[[#This Row],[Y]])*(TabCalc[[#This Row],[M]]-TabCalc[[#This Row],[Y]])/(TabCalc[[#This Row],[Y]]*TabCalc[[#This Row],[M]]),"")</f>
        <v>-7.1550654960981008E-2</v>
      </c>
      <c r="AY47" s="82">
        <f t="shared" ca="1" si="3"/>
        <v>0</v>
      </c>
      <c r="AZ47" s="90">
        <f ca="1">[1]!RTData[[#This Row],[V/VA]]</f>
        <v>0.78130773010126597</v>
      </c>
      <c r="BA47" s="90" t="str" cm="1">
        <f t="array" aca="1" ref="BA47" ca="1">IFERROR(_xlfn.IFS(TabCalc[[#This Row],[Cur]]="USD",Timer!F$27,TabCalc[[#This Row],[Cur]]="EUR",Timer!F$18,TabCalc[[#This Row],[Cur]]="GBP",Timer!F$12,TabCalc[[#This Row],[Cur]]="CAD",Timer!F$27,TabCalc[[#This Row],[Cur]]="JPY",Timer!F$31,TabCalc[[#This Row],[Cur]]="CHF",Timer!F$18),"Timing")</f>
        <v>None-Working Day</v>
      </c>
      <c r="BB47" s="90">
        <f ca="1">IF(ISNUMBER(TabCalc[[#This Row],[TimeEX]]),TabCalc[[#This Row],[V/VA]]/TabCalc[[#This Row],[TimeEX]],TabCalc[[#This Row],[V/VA]])</f>
        <v>0.78130773010126597</v>
      </c>
      <c r="BC47" s="87" cm="1">
        <f t="array" aca="1" ref="BC47" ca="1">INDEX(TabReg[], 1, _xlfn.XMATCH(TabCalc[[#This Row],[Ticker]]&amp;1, TabReg[#Headers], 0))</f>
        <v>7235</v>
      </c>
      <c r="BD47" s="161">
        <f ca="1">TabCalc[[#This Row],[Nbegin]]*TabCalc[[#This Row],[M]]*TabCalc[[#This Row],[Scale]]+TabCalc[[#This Row],[ValueBegin]]</f>
        <v>-48640</v>
      </c>
      <c r="BE47" s="336" t="str" cm="1">
        <f t="array" aca="1" ref="BE47" ca="1">_xlfn.IFS(TabCalc[[#This Row],[Cost+Gain]]&gt;0,"Free",             TabCalc[[#This Row],[GL]]&gt;0,"Gainer",                TRUE,"Looser")</f>
        <v>Looser</v>
      </c>
      <c r="BF47" s="161">
        <f ca="1">TabCalc[[#This Row],[Tot_Paid]]-TabCalc[[#This Row],[ValueBegin]]</f>
        <v>-6820.4422999999952</v>
      </c>
      <c r="BG47" s="337">
        <f ca="1">IF(TabCalc[[#This Row],[EfCost]]&gt;TabCalc[[#This Row],[ValueBegin]],       0,        TabCalc[[#This Row],[EfCost]]-TabCalc[[#This Row],[ValueBegin]]*(1+Commission))</f>
        <v>-6487.836000000003</v>
      </c>
      <c r="BH47" s="338">
        <f ca="1">TabCalc[[#This Row],[M_V]]+TabCalc[[#This Row],[ValueBegin]]</f>
        <v>-17230</v>
      </c>
      <c r="BI47" s="161" cm="1">
        <f t="array" aca="1" ref="BI47" ca="1">SUMPRODUCT(_xlfn._xlws.FILTER(INDIRECT("TabReg["&amp;TabCalc[[#This Row],[Ticker]]&amp;"1]") * INDIRECT("TabReg["&amp;TabCalc[[#This Row],[Ticker]]&amp;"2]"), INDIRECT("TabReg["&amp;TabCalc[[#This Row],[Ticker]]&amp;"2]")&lt;0))*(1+Commission)*TabCalc[[#This Row],[Scale]]</f>
        <v>-67460.442299999995</v>
      </c>
      <c r="BJ47" s="161" cm="1">
        <f t="array" aca="1" ref="BJ47" ca="1">SUMPRODUCT(IF(INDIRECT("TabReg["&amp;TabCalc[[#This Row],[Ticker]]&amp;"2]") ="", 0, INDIRECT("TabReg["&amp;TabCalc[[#This Row],[Ticker]]&amp;"1]") * INDIRECT("TabReg["&amp;TabCalc[[#This Row],[Ticker]]&amp;"2]") ))*TabCalc[[#This Row],[Scale]]</f>
        <v>-67285.5</v>
      </c>
      <c r="BK47" s="161" cm="1">
        <f t="array" aca="1" ref="BK4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47" s="161">
        <f ca="1">TabCalc[[#This Row],[M_V]]+TabCalc[[#This Row],[EfCost]]</f>
        <v>-23875.5</v>
      </c>
      <c r="BM47" s="161">
        <f ca="1">IF(        OR( TabCalc[[#This Row],[GL]]&gt;ABS(TabCalc[[#This Row],[EfCost]]),TabCalc[[#This Row],[NAfter]]=0),             TabCalc[[#This Row],[GL]],     0)</f>
        <v>0</v>
      </c>
      <c r="BN47" s="161" cm="1">
        <f t="array" aca="1" ref="BN47" ca="1">SUMPRODUCT(_xlfn._xlws.FILTER(IF(INDIRECT("TabReg["&amp;TabCalc[[#This Row],[Ticker]]&amp;"2]") ="", 0, INDIRECT("TabReg["&amp;TabCalc[[#This Row],[Ticker]]&amp;"1]")  ),  INDIRECT("TabReg["&amp;TabCalc[[#This Row],[Ticker]]&amp;"2]") &lt; 0))</f>
        <v>7235</v>
      </c>
      <c r="BO47" s="161">
        <f ca="1">TabCalc[[#This Row],[SB]]-TabCalc[[#This Row],[Nbegin]]</f>
        <v>5235</v>
      </c>
      <c r="BP47" s="161" cm="1">
        <f t="array" aca="1" ref="BP47" ca="1">IFERROR(SUMPRODUCT(_xlfn._xlws.FILTER(IF(INDIRECT("TabReg["&amp;TabCalc[[#This Row],[Ticker]]&amp;"2]") ="", 0, INDIRECT("TabReg["&amp;TabCalc[[#This Row],[Ticker]]&amp;"1]")  ),  INDIRECT("TabReg["&amp;TabCalc[[#This Row],[Ticker]]&amp;"2]") &gt; 0)),0)</f>
        <v>0</v>
      </c>
      <c r="BQ47"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7" s="176" t="str">
        <f ca="1">IF(TabCalc[[#This Row],[EfCost]]+TabCalc[[#This Row],[M_V]]&lt;TabCalc[[#This Row],[NoT_GL]],"Pile","")</f>
        <v/>
      </c>
      <c r="BS47" s="167">
        <f ca="1">[1]!RTData[[#This Row],[Last trade time]]</f>
        <v>45954.994566863279</v>
      </c>
      <c r="BT47" s="177">
        <f ca="1">(TabCalc[[#This Row],[ValueBegin]]+(TabCalc[[#This Row],[M]]-TabCalc[[#This Row],[A]])*TabCalc[[#This Row],[NAfter]])*TabCalc[[#This Row],[Scale]]</f>
        <v>-318201.29725</v>
      </c>
      <c r="BU47" s="189" cm="1">
        <f t="array" aca="1" ref="BU47" ca="1">_xlfn.XLOOKUP(TabCalc[[#This Row],[Ticker]],TabReg[[#Headers],[AAPL]:[UnknownX28]],Reg!B$72:KF$72)+3</f>
        <v>4</v>
      </c>
      <c r="BV47" s="190" cm="1">
        <f t="array" aca="1" ref="BV47" ca="1">_xlfn.XLOOKUP(TabCalc[[#This Row],[Ticker]],TabReg[[#Headers],[AAPL]:[UnknownX28]],Reg!B$73:KF$73)+2</f>
        <v>138</v>
      </c>
      <c r="BW47" s="191">
        <f ca="1">IFERROR(MAX(TabCalc[[#This Row],[Max_SD]],TabCalc[[#This Row],[Max_PD]]),0)</f>
        <v>45874</v>
      </c>
      <c r="BX47" s="191" t="str" cm="1">
        <f t="array" aca="1" ref="BX47" ca="1">_xlfn.IFS(TabCalc[[#This Row],[L_TP]]&lt;0,"Purchase",TabCalc[[#This Row],[L_TP]]&gt;0,"Sale")</f>
        <v>Purchase</v>
      </c>
      <c r="BY47" s="190" cm="1">
        <f t="array" aca="1" ref="BY47" ca="1">INDEX(Reg!$A$1:$KF$73,TabCalc[[#This Row],[L_I1]],TabCalc[[#This Row],[L_I2]])</f>
        <v>7235</v>
      </c>
      <c r="BZ47" s="192" cm="1">
        <f t="array" aca="1" ref="BZ47" ca="1">INDEX(Reg!$A$1:$KF$73,TabCalc[[#This Row],[L_I1]],TabCalc[[#This Row],[L_I2]]+1)</f>
        <v>-9.3000000000000007</v>
      </c>
      <c r="CA47" s="161">
        <f ca="1">TabCalc[[#This Row],[NAfter]]*(TabCalc[[#This Row],[M]]-IF(TabCalc[[#This Row],[E]]&gt;0,0,TabCalc[[#This Row],[A]]))</f>
        <v>-257561.29725</v>
      </c>
      <c r="CB47" s="167" cm="1">
        <f t="array" aca="1" ref="CB47" ca="1">IFERROR(MIN(_xlfn._xlws.FILTER(INDIRECT("TabReg["&amp;TabCalc[[#This Row],[Ticker]]&amp;"]"), INDIRECT("TabReg["&amp;TabCalc[[#This Row],[Ticker]]&amp;"2]")&gt;0)),0)</f>
        <v>0</v>
      </c>
      <c r="CC47" s="178" cm="1">
        <f t="array" aca="1" ref="CC47" ca="1">IFERROR(MIN(_xlfn._xlws.FILTER(INDIRECT("TabReg["&amp;TabCalc[[#This Row],[Ticker]]&amp;"1]"), INDIRECT("TabReg["&amp;TabCalc[[#This Row],[Ticker]]&amp;"2]")&gt;0)),0)</f>
        <v>0</v>
      </c>
      <c r="CD47" s="173" cm="1">
        <f t="array" aca="1" ref="CD47" ca="1">IFERROR(MIN(_xlfn._xlws.FILTER(INDIRECT("TabReg["&amp;TabCalc[[#This Row],[Ticker]]&amp;"2]"), INDIRECT("TabReg["&amp;TabCalc[[#This Row],[Ticker]]&amp;"2]")&gt;0)),0)</f>
        <v>0</v>
      </c>
      <c r="CE47" s="167" cm="1">
        <f t="array" aca="1" ref="CE47" ca="1">IFERROR(MAX(_xlfn._xlws.FILTER(INDIRECT("TabReg["&amp;TabCalc[[#This Row],[Ticker]]&amp;"]"), INDIRECT("TabReg["&amp;TabCalc[[#This Row],[Ticker]]&amp;"2]")&gt;0)),0)</f>
        <v>0</v>
      </c>
      <c r="CF47" s="178" cm="1">
        <f t="array" aca="1" ref="CF47" ca="1">IFERROR(MAX(_xlfn._xlws.FILTER(INDIRECT("TabReg["&amp;TabCalc[[#This Row],[Ticker]]&amp;"1]"), INDIRECT("TabReg["&amp;TabCalc[[#This Row],[Ticker]]&amp;"2]")&gt;0)),0)</f>
        <v>0</v>
      </c>
      <c r="CG47" s="173" cm="1">
        <f t="array" aca="1" ref="CG47" ca="1">IFERROR(MAX(_xlfn._xlws.FILTER(INDIRECT("TabReg["&amp;TabCalc[[#This Row],[Ticker]]&amp;"2]"), INDIRECT("TabReg["&amp;TabCalc[[#This Row],[Ticker]]&amp;"2]")&gt;0)),0)</f>
        <v>0</v>
      </c>
      <c r="CH47" s="167" cm="1">
        <f t="array" aca="1" ref="CH47" ca="1">MIN(_xlfn._xlws.FILTER(INDIRECT("TabReg["&amp;TabCalc[[#This Row],[Ticker]]&amp;"]"), INDIRECT("TabReg["&amp;TabCalc[[#This Row],[Ticker]]&amp;"2]")&lt;0))</f>
        <v>45874</v>
      </c>
      <c r="CI47" s="177" cm="1">
        <f t="array" aca="1" ref="CI47" ca="1">MIN(_xlfn._xlws.FILTER(INDIRECT("TabReg["&amp;TabCalc[[#This Row],[Ticker]]&amp;"1]"), INDIRECT("TabReg["&amp;TabCalc[[#This Row],[Ticker]]&amp;"2]")&lt;0))</f>
        <v>7235</v>
      </c>
      <c r="CJ47" s="173" cm="1">
        <f t="array" aca="1" ref="CJ47" ca="1">MIN(_xlfn._xlws.FILTER(INDIRECT("TabReg["&amp;TabCalc[[#This Row],[Ticker]]&amp;"2]"), INDIRECT("TabReg["&amp;TabCalc[[#This Row],[Ticker]]&amp;"2]")&lt;0))</f>
        <v>-9.3000000000000007</v>
      </c>
      <c r="CK47" s="167" cm="1">
        <f t="array" aca="1" ref="CK47" ca="1">MAX(_xlfn._xlws.FILTER(INDIRECT("TabReg["&amp;TabCalc[[#This Row],[Ticker]]&amp;"]"), INDIRECT("TabReg["&amp;TabCalc[[#This Row],[Ticker]]&amp;"2]")&lt;0))</f>
        <v>45874</v>
      </c>
      <c r="CL47" s="177" cm="1">
        <f t="array" aca="1" ref="CL47" ca="1">MAX(_xlfn._xlws.FILTER(INDIRECT("TabReg["&amp;TabCalc[[#This Row],[Ticker]]&amp;"1]"), INDIRECT("TabReg["&amp;TabCalc[[#This Row],[Ticker]]&amp;"2]")&lt;0))</f>
        <v>7235</v>
      </c>
      <c r="CM47" s="173" cm="1">
        <f t="array" aca="1" ref="CM47" ca="1">MAX(_xlfn._xlws.FILTER(INDIRECT("TabReg["&amp;TabCalc[[#This Row],[Ticker]]&amp;"2]"), INDIRECT("TabReg["&amp;TabCalc[[#This Row],[Ticker]]&amp;"2]")&lt;0))</f>
        <v>-9.3000000000000007</v>
      </c>
      <c r="CN47" s="167" cm="1">
        <f t="array" aca="1" ref="CN47" ca="1">IFERROR(_xlfn.XLOOKUP(TabCalc[[#This Row],[BS2P]],INDIRECT("TabReg["&amp;TabCalc[[#This Row],[Ticker]]&amp;"2]"),INDIRECT("TabReg["&amp;TabCalc[[#This Row],[Ticker]]&amp;"]")),0)</f>
        <v>0</v>
      </c>
      <c r="CO47" s="178" cm="1">
        <f t="array" aca="1" ref="CO47" ca="1">IFERROR(_xlfn.XLOOKUP(TabCalc[[#This Row],[BS2P]],INDIRECT("TabReg["&amp;TabCalc[[#This Row],[Ticker]]&amp;"2]"),INDIRECT("TabReg["&amp;TabCalc[[#This Row],[Ticker]]&amp;"1]")),0)</f>
        <v>0</v>
      </c>
      <c r="CP47" s="173">
        <f ca="1">_xlfn.MAXIFS(INDIRECT("TabReg["&amp;TabCalc[[#This Row],[Ticker]]&amp;"2]"), INDIRECT("TabReg["&amp;TabCalc[[#This Row],[Ticker]]&amp;"2]"), "&lt;" &amp; MAX(INDIRECT("TabReg["&amp;TabCalc[[#This Row],[Ticker]]&amp;"2]")))</f>
        <v>0</v>
      </c>
      <c r="CQ47" s="167" cm="1">
        <f t="array" aca="1" ref="CQ47" ca="1">IFERROR(_xlfn.XLOOKUP(TabCalc[[#This Row],[WB2P]],INDIRECT("TabReg["&amp;TabCalc[[#This Row],[Ticker]]&amp;"2]"),INDIRECT("TabReg["&amp;TabCalc[[#This Row],[Ticker]]&amp;"]")),0)</f>
        <v>0</v>
      </c>
      <c r="CR47" s="178" cm="1">
        <f t="array" aca="1" ref="CR47" ca="1">IFERROR(_xlfn.XLOOKUP(TabCalc[[#This Row],[WB2P]],INDIRECT("TabReg["&amp;TabCalc[[#This Row],[Ticker]]&amp;"2]"),INDIRECT("TabReg["&amp;TabCalc[[#This Row],[Ticker]]&amp;"1]")),0)</f>
        <v>0</v>
      </c>
      <c r="CS47" s="173">
        <f ca="1">_xlfn.MINIFS(INDIRECT("TabReg["&amp;TabCalc[[#This Row],[Ticker]]&amp;"2]"), INDIRECT("TabReg["&amp;TabCalc[[#This Row],[Ticker]]&amp;"2]"), "&gt;" &amp; MIN(INDIRECT("TabReg["&amp;TabCalc[[#This Row],[Ticker]]&amp;"2]")))</f>
        <v>0</v>
      </c>
      <c r="CT47" s="405">
        <f ca="1">IF(TabCalc[[#This Row],[M]]&lt;TabCalc[[#This Row],[L_Sp]],DesiredBuyGain/(TabCalc[[#This Row],[L_Sp]]-TabCalc[[#This Row],[M]]),0)</f>
        <v>0</v>
      </c>
      <c r="CU47" s="406">
        <f ca="1">IF(TabCalc[[#This Row],[ntoBuy]]*TabCalc[[#This Row],[M]]&lt;=0,0,TabCalc[[#This Row],[ntoBuy]]*TabCalc[[#This Row],[M]])</f>
        <v>0</v>
      </c>
      <c r="CV47" s="406">
        <f ca="1">IF(TabCalc[[#This Row],[M]]&gt;ABS(TabCalc[[#This Row],[L_Bp]]),MIN(TabCalc[[#This Row],[NAfter]],DesiredSaleGain/(TabCalc[[#This Row],[M]]+TabCalc[[#This Row],[L_Bp]])),0)/TabCalc[[#This Row],[Scale]]</f>
        <v>0</v>
      </c>
      <c r="CW47" s="407">
        <f ca="1">TabCalc[[#This Row],[ntoSell]]*TabCalc[[#This Row],[M]]</f>
        <v>0</v>
      </c>
      <c r="CX47" s="400">
        <f ca="1">_xlfn.LET(_xlpm.nToSell,IF(TabCalc[[#This Row],[M]]-TabCalc[[#This Row],[A]]&lt;=0,"",INT(DesiredSaleGain/(TabCalc[[#This Row],[M]]-IF(TabCalc[[#This Row],[E]]&gt;0,0,TabCalc[[#This Row],[A]])))),IF(_xlpm.nToSell&lt;=TabCalc[[#This Row],[NAfter]],_xlpm.nToSell,0))</f>
        <v>0</v>
      </c>
      <c r="CY47" s="338">
        <f ca="1">IFERROR(TabCalc[[#This Row],[NMA]]*TabCalc[[#This Row],[M]],"")</f>
        <v>0</v>
      </c>
      <c r="CZ47" s="337" cm="1">
        <f t="array" aca="1" ref="CZ47" ca="1">_xlfn.IFS(TabCalc[[#This Row],[M]]&gt;= TabCalc[[#This Row],[L_Sp]],(TabCalc[[#This Row],[M]]-TabCalc[[#This Row],[A]])*TabCalc[[#This Row],[NAfter]]*TabCalc[[#This Row],[Scale]],           TabCalc[[#This Row],[M]]&lt; TabCalc[[#This Row],[L_Sp]],(TabCalc[[#This Row],[M]]-TabCalc[[#This Row],[A]])*TabCalc[[#This Row],[NAfter]]*TabCalc[[#This Row],[Scale]],               TRUE,"")</f>
        <v>-257561.29725</v>
      </c>
      <c r="DA47" s="90">
        <f ca="1">IFERROR((TabCalc[[#This Row],[M]]+TabCalc[[#This Row],[L_Bp]])/ABS(TabCalc[[#This Row],[L_Bp]])/(TODAY()-TabCalc[[#This Row],[L_Bdate]])*360,"")</f>
        <v>-1.557828481510622</v>
      </c>
      <c r="DB47" s="312">
        <f ca="1">MEDIAN(DataShift!F747:Z747)</f>
        <v>-1.1790000000000001E-3</v>
      </c>
      <c r="DC47" s="312" t="str" cm="1">
        <f t="array" aca="1" ref="DC4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47" s="88" t="s">
        <v>43</v>
      </c>
      <c r="DN47" s="81">
        <v>2000</v>
      </c>
      <c r="DO47" s="317">
        <v>-1E-3</v>
      </c>
    </row>
    <row r="48" spans="1:119">
      <c r="A48" s="120" t="str">
        <f ca="1">_xlfn.XLOOKUP(TabCalc[[#This Row],[Ticker]],[1]!RTData[Ticker symbol],[1]!RTData[Currency])</f>
        <v>USD</v>
      </c>
      <c r="B48" s="121">
        <f ca="1">IF(TabCalc[[#This Row],[Cur]]="GBP",0.01,1)</f>
        <v>1</v>
      </c>
      <c r="C48" s="82">
        <f ca="1">_xlfn.XLOOKUP(TabCalc[[#This Row],[Ticker]],DM$3:DM$96,DN$3:DN$96)</f>
        <v>190</v>
      </c>
      <c r="D48" s="1254">
        <f ca="1">_xlfn.XLOOKUP(TabCalc[[#This Row],[Ticker]],DM$3:DM$96,DO$3:DO$96)</f>
        <v>-109.65132</v>
      </c>
      <c r="E48" s="121">
        <f t="shared" ca="1" si="2"/>
        <v>-20833.750799999998</v>
      </c>
      <c r="F48" s="82">
        <f ca="1">TabCalc[[#This Row],[NAfter]]*TabCalc[[#This Row],[M]]*TabCalc[[#This Row],[Scale]]</f>
        <v>141652</v>
      </c>
      <c r="G48" s="82">
        <f ca="1">IFERROR(TabCalc[[#This Row],[SB]]-TabCalc[[#This Row],[SST]],TabCalc[[#This Row],[SB]])</f>
        <v>400</v>
      </c>
      <c r="H48" s="535" t="str">
        <f ca="1">[1]!RTData[[#This Row],[Ticker symbol]]</f>
        <v>AVGO</v>
      </c>
      <c r="I48" s="385">
        <f ca="1">[1]!RTData[[#This Row],[M-Price]]</f>
        <v>354.13</v>
      </c>
      <c r="J48" s="384">
        <v>9.3000000000000007</v>
      </c>
      <c r="K48" s="383">
        <f>[1]!RTData[[#This Row],[1YT]]</f>
        <v>370.36489999999998</v>
      </c>
      <c r="L48" s="384">
        <f ca="1">IF(OR(TabCalc[[#This Row],[NAfter]]=0,TabCalc[[#This Row],[EfCost]]&gt;0),0,TabCalc[[#This Row],[EfCost]]/TabCalc[[#This Row],[NAfter]]/TabCalc[[#This Row],[Scale]])</f>
        <v>-168.60156198000007</v>
      </c>
      <c r="M48" s="744">
        <f ca="1">[1]!RTData[[#This Row],[Change%]]</f>
        <v>2.8580999999999999E-2</v>
      </c>
      <c r="N48" s="1172">
        <v>0</v>
      </c>
      <c r="O48" s="966">
        <f>TabCalc[[#This Row],[Up20]]-1+TabCalc[[#This Row],[Up20]]</f>
        <v>-1</v>
      </c>
      <c r="P48" s="966">
        <f>TabCalc[[#This Row],[Up20]]-TabCalc[[#This Row],[Up150]]</f>
        <v>0</v>
      </c>
      <c r="Q48" s="966">
        <v>0</v>
      </c>
      <c r="R48" s="966">
        <f>TabCalc[[#This Row],[Up150]]-1+TabCalc[[#This Row],[Up150]]</f>
        <v>-1</v>
      </c>
      <c r="S48" s="966">
        <f ca="1">IFERROR(SUMPRODUCT(DataShift!F1540:Z1540,DataShift!AB747:AV747)/SQRT(SUMPRODUCT(DataShift!F1540:Z1540,DataShift!F1540:Z1540)*SUMPRODUCT(DataShift!AB747:AV747,DataShift!AB747:AV747)),0)</f>
        <v>-0.23691813200642658</v>
      </c>
      <c r="T48" s="966">
        <f ca="1">IFERROR(SUMPRODUCT(DataShift!F1540:Z1540,DataShift!F748:Z748)/SQRT(SUMPRODUCT(DataShift!F1540:Z1540,DataShift!F1540:Z1540)*SUMPRODUCT(DataShift!F748:Z748,DataShift!F748:Z748)),0)</f>
        <v>5.9522848352303759E-2</v>
      </c>
      <c r="U48" s="1107">
        <v>0</v>
      </c>
      <c r="V48" s="1107">
        <v>7235</v>
      </c>
      <c r="W48" s="1107">
        <v>0</v>
      </c>
      <c r="X48" s="966" t="str">
        <f ca="1">IF(TabCalc[[#This Row],[EfCost]]+TabCalc[[#This Row],[M_V]]&lt;TabCalc[[#This Row],[NoT_GL]],"Pile","")</f>
        <v/>
      </c>
      <c r="Y4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8" s="213">
        <f ca="1">MIN(TabCalc[[#This Row],[L_Bn]],TabCalc[[#This Row],[NAfter]])*(TabCalc[[#This Row],[M]]+TabCalc[[#This Row],[L_Bp]])*TabCalc[[#This Row],[Scale]]</f>
        <v>4725</v>
      </c>
      <c r="AA48" s="210" cm="1">
        <f t="array" aca="1" ref="AA48" ca="1">_xlfn.XLOOKUP(TabCalc[[#This Row],[L_Bp]],INDIRECT("TabReg["&amp;TabCalc[[#This Row],[Ticker]]&amp;"2]"),INDIRECT("TabReg["&amp;TabCalc[[#This Row],[Ticker]]&amp;"]"))</f>
        <v>45940</v>
      </c>
      <c r="AB48" s="181" cm="1">
        <f t="array" aca="1" ref="AB48" ca="1">_xlfn.XLOOKUP(TabCalc[[#This Row],[L_Bp]],INDIRECT("TabReg["&amp;TabCalc[[#This Row],[Ticker]]&amp;"2]"),INDIRECT("TabReg["&amp;TabCalc[[#This Row],[Ticker]]&amp;"1]"))</f>
        <v>210</v>
      </c>
      <c r="AC48" s="192" cm="1">
        <f t="array" aca="1" ref="AC48" ca="1">IFERROR(INDEX(INDIRECT("TabReg["&amp;TabCalc[[#This Row],[Ticker]]&amp;"2]"),    _xlfn.XMATCH(    MAX(    _xlfn._xlws.FILTER(INDIRECT("TabReg["&amp;TabCalc[[#This Row],[Ticker]]&amp;"]"), INDIRECT("TabReg["&amp;TabCalc[[#This Row],[Ticker]]&amp;"2]")&lt;0)     ), INDIRECT("TabReg["&amp;TabCalc[[#This Row],[Ticker]]&amp;"]"),      0)), "")</f>
        <v>-331.63</v>
      </c>
      <c r="AD48" s="213">
        <f ca="1">IFERROR(MIN(TabCalc[[#This Row],[L_B1n]],TabCalc[[#This Row],[NAfter]])*(TabCalc[[#This Row],[M]]+TabCalc[[#This Row],[L_B1p]])*TabCalc[[#This Row],[Scale]],"")</f>
        <v>36169.000008000003</v>
      </c>
      <c r="AE48" s="210" cm="1">
        <f t="array" aca="1" ref="AE4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45713</v>
      </c>
      <c r="AF48" s="181" cm="1">
        <f t="array" aca="1" ref="AF48" ca="1">IFERROR(_xlfn.XLOOKUP(TabCalc[[#This Row],[L_B1D]],INDIRECT("TabReg["&amp;TabCalc[[#This Row],[Ticker]]&amp;"]"),INDIRECT("TabReg["&amp;TabCalc[[#This Row],[Ticker]]&amp;"1]")),0)</f>
        <v>240</v>
      </c>
      <c r="AG48" s="192" cm="1">
        <f t="array" aca="1" ref="AG48" ca="1">IFERROR(_xlfn.XLOOKUP(TabCalc[[#This Row],[L_B1D]],INDIRECT("TabReg["&amp;TabCalc[[#This Row],[Ticker]]&amp;"]"),INDIRECT("TabReg["&amp;TabCalc[[#This Row],[Ticker]]&amp;"2]")),0)</f>
        <v>-203.42583329999999</v>
      </c>
      <c r="AH48" s="302">
        <f ca="1">IFERROR(TabCalc[[#This Row],[L_Sn]]*(TabCalc[[#This Row],[L_Sp]]-TabCalc[[#This Row],[M]])*TabCalc[[#This Row],[Scale]],"")</f>
        <v>-1286.4000000000033</v>
      </c>
      <c r="AI48" s="210" cm="1">
        <f t="array" aca="1" ref="AI48" ca="1">IFERROR(_xlfn.XLOOKUP(TabCalc[[#This Row],[L_Sp]],INDIRECT("TabReg["&amp;TabCalc[[#This Row],[Ticker]]&amp;"2]"),INDIRECT("TabReg["&amp;TabCalc[[#This Row],[Ticker]]&amp;"]")),0)</f>
        <v>45939</v>
      </c>
      <c r="AJ48" s="181" cm="1">
        <f t="array" aca="1" ref="AJ48" ca="1">IFERROR(_xlfn.XLOOKUP(TabCalc[[#This Row],[L_Sp]],INDIRECT("TabReg["&amp;TabCalc[[#This Row],[Ticker]]&amp;"2]"),INDIRECT("TabReg["&amp;TabCalc[[#This Row],[Ticker]]&amp;"1]")),0)</f>
        <v>160</v>
      </c>
      <c r="AK48" s="192" cm="1">
        <f t="array" aca="1" ref="AK48" ca="1">IFERROR(INDEX(INDIRECT("TabReg["&amp;TabCalc[[#This Row],[Ticker]]&amp;"2]"), _xlfn.XMATCH(MAX(_xlfn._xlws.FILTER(INDIRECT("TabReg["&amp;TabCalc[[#This Row],[Ticker]]&amp;"]"), INDIRECT("TabReg["&amp;TabCalc[[#This Row],[Ticker]]&amp;"2]")&gt;0)), INDIRECT("TabReg["&amp;TabCalc[[#This Row],[Ticker]]&amp;"]"), 0)), 0)</f>
        <v>346.09</v>
      </c>
      <c r="AL48" s="214">
        <f ca="1">IFERROR(TabCalc[[#This Row],[L_S1n]]*(TabCalc[[#This Row],[L_S1p]]-TabCalc[[#This Row],[M]])*TabCalc[[#This Row],[Scale]],0)</f>
        <v>-19586</v>
      </c>
      <c r="AM48" s="210" cm="1">
        <f t="array" aca="1" ref="AM4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45811</v>
      </c>
      <c r="AN48" s="181" cm="1">
        <f t="array" aca="1" ref="AN48" ca="1">IFERROR(_xlfn.XLOOKUP(TabCalc[[#This Row],[L_S1D]],INDIRECT("TabReg["&amp;TabCalc[[#This Row],[Ticker]]&amp;"]"),INDIRECT("TabReg["&amp;TabCalc[[#This Row],[Ticker]]&amp;"1]")),0)</f>
        <v>200</v>
      </c>
      <c r="AO48" s="384" cm="1">
        <f t="array" aca="1" ref="AO48" ca="1">IFERROR(_xlfn.XLOOKUP(TabCalc[[#This Row],[L_S1D]],INDIRECT("TabReg["&amp;TabCalc[[#This Row],[Ticker]]&amp;"]"),INDIRECT("TabReg["&amp;TabCalc[[#This Row],[Ticker]]&amp;"2]")),0)</f>
        <v>256.2</v>
      </c>
      <c r="AP48" s="336">
        <f ca="1">_xlfn.LET(_xlpm.MVOpen,[1]!RTData[[#This Row],[Open]]*TabCalc[[#This Row],[NAfter]],_xlpm.MVNow,TabCalc[[#This Row],[M]]*TabCalc[[#This Row],[NAfter]],_xlpm.MVNow-_xlpm.MVOpen)*TabCalc[[#This Row],[Scale]]</f>
        <v>648</v>
      </c>
      <c r="AQ48" s="336">
        <f ca="1">_xlfn.LET(_xlpm.MVToday,DataShift!AV548,         _xlpm.MVY,DataShift!AU549,        _xlpm.MVYY, DataShift!AT549,                                IF(_xlpm.MVToday=_xlpm.MVY,_xlpm.MVY-_xlpm.MVYY,_xlpm.MVToday-_xlpm.MVY))</f>
        <v>-2400</v>
      </c>
      <c r="AR48" s="336">
        <f ca="1">_xlfn.LET(_xlpm.MVToday,DataShift!AV548,         _xlpm.MVY,DataShift!AU549,        _xlpm.MVYY, DataShift!AT549,         _xlpm.MVYYY, DataShift!AS549,                      IF(_xlpm.MVToday=_xlpm.MVY,      _xlpm.MVYY-_xlpm.MVYYY,          _xlpm.MVY-_xlpm.MVYY))</f>
        <v>-2550</v>
      </c>
      <c r="AS48" s="1078">
        <f ca="1">TabCalc[[#This Row],[Y]]/TabCalc[[#This Row],[M]]</f>
        <v>1.0458444638974387</v>
      </c>
      <c r="AT48" s="299" t="str" cm="1">
        <f t="array" aca="1" ref="AT48" ca="1">IFERROR(_xlfn.IFS(          TabCalc[[#This Row],[E]]&gt;0, "Free Trade",      TabCalc[[#This Row],[A]]&lt;MIN(TabCalc[[#This Row],[L_Sp]],TabCalc[[#This Row],[M]]), "Buy",            TabCalc[[#This Row],[M]]&lt;TabCalc[[#This Row],[L_Sp]],       "Refill",       TabCalc[[#This Row],[M]]&gt;TabCalc[[#This Row],[L_Sp]],"S_more"),"")</f>
        <v>Buy</v>
      </c>
      <c r="AU48" s="299" t="str">
        <f ca="1">IF(           AND(TabCalc[[#This Row],[E]]&lt;=0,          TabCalc[[#This Row],[A]]&gt;MIN(TabCalc[[#This Row],[M]],TabCalc[[#This Row],[L_Sp]]),             TabCalc[[#This Row],[L_Sp]]&lt;=TabCalc[[#This Row],[M]]),                       "S_more","")</f>
        <v/>
      </c>
      <c r="AV48" s="82" t="str" cm="1">
        <f t="array" aca="1" ref="AV48" ca="1">IFERROR(_xlfn.IFS(TabCalc[[#This Row],[E]]&gt;0,"Free trade",                 TabCalc[[#This Row],[A]]&lt;MAX(ABS(TabCalc[[#This Row],[L_Bp]]),TabCalc[[#This Row],[A]]),"Sell",             TabCalc[[#This Row],[M]]&gt;ABS(TabCalc[[#This Row],[L_Bp]]),"Resell",             TabCalc[[#This Row],[M]]&lt;ABS(TabCalc[[#This Row],[L_Bp]]),"B_more"),"")</f>
        <v>Sell</v>
      </c>
      <c r="AW48" s="82">
        <f ca="1">TabCalc[[#This Row],[NAfter]]-TabCalc[[#This Row],[Nbegin]]</f>
        <v>210</v>
      </c>
      <c r="AX48" s="307">
        <f ca="1">IFERROR((TabCalc[[#This Row],[M]]-TabCalc[[#This Row],[Y]])*(TabCalc[[#This Row],[M]]-TabCalc[[#This Row],[Y]])*(TabCalc[[#This Row],[M]]-TabCalc[[#This Row],[Y]])/(TabCalc[[#This Row],[Y]]*TabCalc[[#This Row],[M]]),"")</f>
        <v>-3.2625435159368332E-2</v>
      </c>
      <c r="AY48" s="82">
        <f t="shared" ca="1" si="3"/>
        <v>0</v>
      </c>
      <c r="AZ48" s="90">
        <f ca="1">[1]!RTData[[#This Row],[V/VA]]</f>
        <v>0.73700693831301933</v>
      </c>
      <c r="BA48" s="90" t="str" cm="1">
        <f t="array" aca="1" ref="BA48" ca="1">IFERROR(_xlfn.IFS(TabCalc[[#This Row],[Cur]]="USD",Timer!F$27,TabCalc[[#This Row],[Cur]]="EUR",Timer!F$18,TabCalc[[#This Row],[Cur]]="GBP",Timer!F$12,TabCalc[[#This Row],[Cur]]="CAD",Timer!F$27,TabCalc[[#This Row],[Cur]]="JPY",Timer!F$31,TabCalc[[#This Row],[Cur]]="CHF",Timer!F$18),"Timing")</f>
        <v>None-Working Day</v>
      </c>
      <c r="BB48" s="90">
        <f ca="1">IF(ISNUMBER(TabCalc[[#This Row],[TimeEX]]),TabCalc[[#This Row],[V/VA]]/TabCalc[[#This Row],[TimeEX]],TabCalc[[#This Row],[V/VA]])</f>
        <v>0.73700693831301933</v>
      </c>
      <c r="BC48" s="87" cm="1">
        <f t="array" aca="1" ref="BC48" ca="1">INDEX(TabReg[], 1, _xlfn.XMATCH(TabCalc[[#This Row],[Ticker]]&amp;1, TabReg[#Headers], 0))</f>
        <v>190</v>
      </c>
      <c r="BD48" s="161">
        <f ca="1">TabCalc[[#This Row],[Nbegin]]*TabCalc[[#This Row],[M]]*TabCalc[[#This Row],[Scale]]+TabCalc[[#This Row],[ValueBegin]]</f>
        <v>46450.949200000003</v>
      </c>
      <c r="BE48" s="336" t="str" cm="1">
        <f t="array" aca="1" ref="BE48" ca="1">_xlfn.IFS(TabCalc[[#This Row],[Cost+Gain]]&gt;0,"Free",             TabCalc[[#This Row],[GL]]&gt;0,"Gainer",                TRUE,"Looser")</f>
        <v>Free</v>
      </c>
      <c r="BF48" s="161">
        <f ca="1">TabCalc[[#This Row],[Tot_Paid]]-TabCalc[[#This Row],[ValueBegin]]</f>
        <v>-373935.83920405922</v>
      </c>
      <c r="BG48" s="337">
        <f ca="1">IF(TabCalc[[#This Row],[EfCost]]&gt;TabCalc[[#This Row],[ValueBegin]],       0,        TabCalc[[#This Row],[EfCost]]-TabCalc[[#This Row],[ValueBegin]]*(1+Commission))</f>
        <v>-46552.706239920037</v>
      </c>
      <c r="BH48" s="338">
        <f ca="1">TabCalc[[#This Row],[M_V]]+TabCalc[[#This Row],[ValueBegin]]</f>
        <v>120818.24920000001</v>
      </c>
      <c r="BI48" s="161" cm="1">
        <f t="array" aca="1" ref="BI48" ca="1">SUMPRODUCT(_xlfn._xlws.FILTER(INDIRECT("TabReg["&amp;TabCalc[[#This Row],[Ticker]]&amp;"1]") * INDIRECT("TabReg["&amp;TabCalc[[#This Row],[Ticker]]&amp;"2]"), INDIRECT("TabReg["&amp;TabCalc[[#This Row],[Ticker]]&amp;"2]")&lt;0))*(1+Commission)*TabCalc[[#This Row],[Scale]]</f>
        <v>-394769.5900040592</v>
      </c>
      <c r="BJ48" s="161" cm="1">
        <f t="array" aca="1" ref="BJ48" ca="1">SUMPRODUCT(IF(INDIRECT("TabReg["&amp;TabCalc[[#This Row],[Ticker]]&amp;"2]") ="", 0, INDIRECT("TabReg["&amp;TabCalc[[#This Row],[Ticker]]&amp;"1]") * INDIRECT("TabReg["&amp;TabCalc[[#This Row],[Ticker]]&amp;"2]") ))*TabCalc[[#This Row],[Scale]]</f>
        <v>-67440.624792000031</v>
      </c>
      <c r="BK48" s="161" cm="1">
        <f t="array" aca="1" ref="BK4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325456.83241239999</v>
      </c>
      <c r="BL48" s="161">
        <f ca="1">TabCalc[[#This Row],[M_V]]+TabCalc[[#This Row],[EfCost]]</f>
        <v>74211.375207999969</v>
      </c>
      <c r="BM48" s="161">
        <f ca="1">IF(        OR( TabCalc[[#This Row],[GL]]&gt;ABS(TabCalc[[#This Row],[EfCost]]),TabCalc[[#This Row],[NAfter]]=0),             TabCalc[[#This Row],[GL]],     0)</f>
        <v>74211.375207999969</v>
      </c>
      <c r="BN48" s="161" cm="1">
        <f t="array" aca="1" ref="BN48" ca="1">SUMPRODUCT(_xlfn._xlws.FILTER(IF(INDIRECT("TabReg["&amp;TabCalc[[#This Row],[Ticker]]&amp;"2]") ="", 0, INDIRECT("TabReg["&amp;TabCalc[[#This Row],[Ticker]]&amp;"1]")  ),  INDIRECT("TabReg["&amp;TabCalc[[#This Row],[Ticker]]&amp;"2]") &lt; 0))</f>
        <v>1790</v>
      </c>
      <c r="BO48" s="161">
        <f ca="1">TabCalc[[#This Row],[SB]]-TabCalc[[#This Row],[Nbegin]]</f>
        <v>1600</v>
      </c>
      <c r="BP48" s="161" cm="1">
        <f t="array" aca="1" ref="BP48" ca="1">IFERROR(SUMPRODUCT(_xlfn._xlws.FILTER(IF(INDIRECT("TabReg["&amp;TabCalc[[#This Row],[Ticker]]&amp;"2]") ="", 0, INDIRECT("TabReg["&amp;TabCalc[[#This Row],[Ticker]]&amp;"1]")  ),  INDIRECT("TabReg["&amp;TabCalc[[#This Row],[Ticker]]&amp;"2]") &gt; 0)),0)</f>
        <v>1390</v>
      </c>
      <c r="BQ4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8" s="176" t="str">
        <f ca="1">IF(TabCalc[[#This Row],[EfCost]]+TabCalc[[#This Row],[M_V]]&lt;TabCalc[[#This Row],[NoT_GL]],"Pile","")</f>
        <v/>
      </c>
      <c r="BS48" s="167">
        <f ca="1">[1]!RTData[[#This Row],[Last trade time]]</f>
        <v>45954.999835983595</v>
      </c>
      <c r="BT48" s="177">
        <f ca="1">(TabCalc[[#This Row],[ValueBegin]]+(TabCalc[[#This Row],[M]]-TabCalc[[#This Row],[A]])*TabCalc[[#This Row],[NAfter]])*TabCalc[[#This Row],[Scale]]</f>
        <v>117098.24920000001</v>
      </c>
      <c r="BU48" s="189" cm="1">
        <f t="array" aca="1" ref="BU48" ca="1">_xlfn.XLOOKUP(TabCalc[[#This Row],[Ticker]],TabReg[[#Headers],[AAPL]:[UnknownX28]],Reg!B$72:KF$72)+3</f>
        <v>3</v>
      </c>
      <c r="BV48" s="190" cm="1">
        <f t="array" aca="1" ref="BV48" ca="1">_xlfn.XLOOKUP(TabCalc[[#This Row],[Ticker]],TabReg[[#Headers],[AAPL]:[UnknownX28]],Reg!B$73:KF$73)+2</f>
        <v>21</v>
      </c>
      <c r="BW48" s="191">
        <f ca="1">IFERROR(MAX(TabCalc[[#This Row],[Max_SD]],TabCalc[[#This Row],[Max_PD]]),0)</f>
        <v>45940</v>
      </c>
      <c r="BX48" s="191" t="str" cm="1">
        <f t="array" aca="1" ref="BX48" ca="1">_xlfn.IFS(TabCalc[[#This Row],[L_TP]]&lt;0,"Purchase",TabCalc[[#This Row],[L_TP]]&gt;0,"Sale")</f>
        <v>Sale</v>
      </c>
      <c r="BY48" s="190" t="str" cm="1">
        <f t="array" aca="1" ref="BY48" ca="1">INDEX(Reg!$A$1:$KF$73,TabCalc[[#This Row],[L_I1]],TabCalc[[#This Row],[L_I2]])</f>
        <v>AVGO1</v>
      </c>
      <c r="BZ48" s="192" t="str" cm="1">
        <f t="array" aca="1" ref="BZ48" ca="1">INDEX(Reg!$A$1:$KF$73,TabCalc[[#This Row],[L_I1]],TabCalc[[#This Row],[L_I2]]+1)</f>
        <v>AVGO2</v>
      </c>
      <c r="CA48" s="161">
        <f ca="1">TabCalc[[#This Row],[NAfter]]*(TabCalc[[#This Row],[M]]-IF(TabCalc[[#This Row],[E]]&gt;0,0,TabCalc[[#This Row],[A]]))</f>
        <v>137932</v>
      </c>
      <c r="CB48" s="167" cm="1">
        <f t="array" aca="1" ref="CB48" ca="1">IFERROR(MIN(_xlfn._xlws.FILTER(INDIRECT("TabReg["&amp;TabCalc[[#This Row],[Ticker]]&amp;"]"), INDIRECT("TabReg["&amp;TabCalc[[#This Row],[Ticker]]&amp;"2]")&gt;0)),0)</f>
        <v>45363</v>
      </c>
      <c r="CC48" s="178" cm="1">
        <f t="array" aca="1" ref="CC48" ca="1">IFERROR(MIN(_xlfn._xlws.FILTER(INDIRECT("TabReg["&amp;TabCalc[[#This Row],[Ticker]]&amp;"1]"), INDIRECT("TabReg["&amp;TabCalc[[#This Row],[Ticker]]&amp;"2]")&gt;0)),0)</f>
        <v>80</v>
      </c>
      <c r="CD48" s="173" cm="1">
        <f t="array" aca="1" ref="CD48" ca="1">IFERROR(MIN(_xlfn._xlws.FILTER(INDIRECT("TabReg["&amp;TabCalc[[#This Row],[Ticker]]&amp;"2]"), INDIRECT("TabReg["&amp;TabCalc[[#This Row],[Ticker]]&amp;"2]")&gt;0)),0)</f>
        <v>128.18799999999999</v>
      </c>
      <c r="CE48" s="167" cm="1">
        <f t="array" aca="1" ref="CE48" ca="1">IFERROR(MAX(_xlfn._xlws.FILTER(INDIRECT("TabReg["&amp;TabCalc[[#This Row],[Ticker]]&amp;"]"), INDIRECT("TabReg["&amp;TabCalc[[#This Row],[Ticker]]&amp;"2]")&gt;0)),0)</f>
        <v>45939</v>
      </c>
      <c r="CF48" s="178" cm="1">
        <f t="array" aca="1" ref="CF48" ca="1">IFERROR(MAX(_xlfn._xlws.FILTER(INDIRECT("TabReg["&amp;TabCalc[[#This Row],[Ticker]]&amp;"1]"), INDIRECT("TabReg["&amp;TabCalc[[#This Row],[Ticker]]&amp;"2]")&gt;0)),0)</f>
        <v>250</v>
      </c>
      <c r="CG48" s="173" cm="1">
        <f t="array" aca="1" ref="CG48" ca="1">IFERROR(MAX(_xlfn._xlws.FILTER(INDIRECT("TabReg["&amp;TabCalc[[#This Row],[Ticker]]&amp;"2]"), INDIRECT("TabReg["&amp;TabCalc[[#This Row],[Ticker]]&amp;"2]")&gt;0)),0)</f>
        <v>346.09</v>
      </c>
      <c r="CH48" s="167" cm="1">
        <f t="array" aca="1" ref="CH48" ca="1">MIN(_xlfn._xlws.FILTER(INDIRECT("TabReg["&amp;TabCalc[[#This Row],[Ticker]]&amp;"]"), INDIRECT("TabReg["&amp;TabCalc[[#This Row],[Ticker]]&amp;"2]")&lt;0))</f>
        <v>40544</v>
      </c>
      <c r="CI48" s="177" cm="1">
        <f t="array" aca="1" ref="CI48" ca="1">MIN(_xlfn._xlws.FILTER(INDIRECT("TabReg["&amp;TabCalc[[#This Row],[Ticker]]&amp;"1]"), INDIRECT("TabReg["&amp;TabCalc[[#This Row],[Ticker]]&amp;"2]")&lt;0))</f>
        <v>40</v>
      </c>
      <c r="CJ48" s="173" cm="1">
        <f t="array" aca="1" ref="CJ48" ca="1">MIN(_xlfn._xlws.FILTER(INDIRECT("TabReg["&amp;TabCalc[[#This Row],[Ticker]]&amp;"2]"), INDIRECT("TabReg["&amp;TabCalc[[#This Row],[Ticker]]&amp;"2]")&lt;0))</f>
        <v>-331.63</v>
      </c>
      <c r="CK48" s="167" cm="1">
        <f t="array" aca="1" ref="CK48" ca="1">MAX(_xlfn._xlws.FILTER(INDIRECT("TabReg["&amp;TabCalc[[#This Row],[Ticker]]&amp;"]"), INDIRECT("TabReg["&amp;TabCalc[[#This Row],[Ticker]]&amp;"2]")&lt;0))</f>
        <v>45940</v>
      </c>
      <c r="CL48" s="177" cm="1">
        <f t="array" aca="1" ref="CL48" ca="1">MAX(_xlfn._xlws.FILTER(INDIRECT("TabReg["&amp;TabCalc[[#This Row],[Ticker]]&amp;"1]"), INDIRECT("TabReg["&amp;TabCalc[[#This Row],[Ticker]]&amp;"2]")&lt;0))</f>
        <v>500</v>
      </c>
      <c r="CM48" s="173" cm="1">
        <f t="array" aca="1" ref="CM48" ca="1">MAX(_xlfn._xlws.FILTER(INDIRECT("TabReg["&amp;TabCalc[[#This Row],[Ticker]]&amp;"2]"), INDIRECT("TabReg["&amp;TabCalc[[#This Row],[Ticker]]&amp;"2]")&lt;0))</f>
        <v>-109.65132</v>
      </c>
      <c r="CN48" s="167" cm="1">
        <f t="array" aca="1" ref="CN48" ca="1">IFERROR(_xlfn.XLOOKUP(TabCalc[[#This Row],[BS2P]],INDIRECT("TabReg["&amp;TabCalc[[#This Row],[Ticker]]&amp;"2]"),INDIRECT("TabReg["&amp;TabCalc[[#This Row],[Ticker]]&amp;"]")),0)</f>
        <v>45811</v>
      </c>
      <c r="CO48" s="178" cm="1">
        <f t="array" aca="1" ref="CO48" ca="1">IFERROR(_xlfn.XLOOKUP(TabCalc[[#This Row],[BS2P]],INDIRECT("TabReg["&amp;TabCalc[[#This Row],[Ticker]]&amp;"2]"),INDIRECT("TabReg["&amp;TabCalc[[#This Row],[Ticker]]&amp;"1]")),0)</f>
        <v>200</v>
      </c>
      <c r="CP48" s="173">
        <f ca="1">_xlfn.MAXIFS(INDIRECT("TabReg["&amp;TabCalc[[#This Row],[Ticker]]&amp;"2]"), INDIRECT("TabReg["&amp;TabCalc[[#This Row],[Ticker]]&amp;"2]"), "&lt;" &amp; MAX(INDIRECT("TabReg["&amp;TabCalc[[#This Row],[Ticker]]&amp;"2]")))</f>
        <v>256.2</v>
      </c>
      <c r="CQ48" s="167" cm="1">
        <f t="array" aca="1" ref="CQ48" ca="1">IFERROR(_xlfn.XLOOKUP(TabCalc[[#This Row],[WB2P]],INDIRECT("TabReg["&amp;TabCalc[[#This Row],[Ticker]]&amp;"2]"),INDIRECT("TabReg["&amp;TabCalc[[#This Row],[Ticker]]&amp;"]")),0)</f>
        <v>45643</v>
      </c>
      <c r="CR48" s="178" cm="1">
        <f t="array" aca="1" ref="CR48" ca="1">IFERROR(_xlfn.XLOOKUP(TabCalc[[#This Row],[WB2P]],INDIRECT("TabReg["&amp;TabCalc[[#This Row],[Ticker]]&amp;"2]"),INDIRECT("TabReg["&amp;TabCalc[[#This Row],[Ticker]]&amp;"1]")),0)</f>
        <v>40</v>
      </c>
      <c r="CS48" s="173">
        <f ca="1">_xlfn.MINIFS(INDIRECT("TabReg["&amp;TabCalc[[#This Row],[Ticker]]&amp;"2]"), INDIRECT("TabReg["&amp;TabCalc[[#This Row],[Ticker]]&amp;"2]"), "&gt;" &amp; MIN(INDIRECT("TabReg["&amp;TabCalc[[#This Row],[Ticker]]&amp;"2]")))</f>
        <v>-234.57</v>
      </c>
      <c r="CT48" s="405">
        <f ca="1">IF(TabCalc[[#This Row],[M]]&lt;TabCalc[[#This Row],[L_Sp]],DesiredBuyGain/(TabCalc[[#This Row],[L_Sp]]-TabCalc[[#This Row],[M]]),0)</f>
        <v>0</v>
      </c>
      <c r="CU48" s="406">
        <f ca="1">IF(TabCalc[[#This Row],[ntoBuy]]*TabCalc[[#This Row],[M]]&lt;=0,0,TabCalc[[#This Row],[ntoBuy]]*TabCalc[[#This Row],[M]])</f>
        <v>0</v>
      </c>
      <c r="CV48" s="406">
        <f ca="1">IF(TabCalc[[#This Row],[M]]&gt;ABS(TabCalc[[#This Row],[L_Bp]]),MIN(TabCalc[[#This Row],[NAfter]],DesiredSaleGain/(TabCalc[[#This Row],[M]]+TabCalc[[#This Row],[L_Bp]])),0)/TabCalc[[#This Row],[Scale]]</f>
        <v>222.22222222222223</v>
      </c>
      <c r="CW48" s="407">
        <f ca="1">TabCalc[[#This Row],[ntoSell]]*TabCalc[[#This Row],[M]]</f>
        <v>78695.555555555562</v>
      </c>
      <c r="CX48" s="400">
        <f ca="1">_xlfn.LET(_xlpm.nToSell,IF(TabCalc[[#This Row],[M]]-TabCalc[[#This Row],[A]]&lt;=0,"",INT(DesiredSaleGain/(TabCalc[[#This Row],[M]]-IF(TabCalc[[#This Row],[E]]&gt;0,0,TabCalc[[#This Row],[A]])))),IF(_xlpm.nToSell&lt;=TabCalc[[#This Row],[NAfter]],_xlpm.nToSell,0))</f>
        <v>14</v>
      </c>
      <c r="CY48" s="338">
        <f ca="1">IFERROR(TabCalc[[#This Row],[NMA]]*TabCalc[[#This Row],[M]],"")</f>
        <v>4957.82</v>
      </c>
      <c r="CZ48" s="337" cm="1">
        <f t="array" aca="1" ref="CZ48" ca="1">_xlfn.IFS(TabCalc[[#This Row],[M]]&gt;= TabCalc[[#This Row],[L_Sp]],(TabCalc[[#This Row],[M]]-TabCalc[[#This Row],[A]])*TabCalc[[#This Row],[NAfter]]*TabCalc[[#This Row],[Scale]],           TabCalc[[#This Row],[M]]&lt; TabCalc[[#This Row],[L_Sp]],(TabCalc[[#This Row],[M]]-TabCalc[[#This Row],[A]])*TabCalc[[#This Row],[NAfter]]*TabCalc[[#This Row],[Scale]],               TRUE,"")</f>
        <v>137932</v>
      </c>
      <c r="DA48" s="90">
        <f ca="1">IFERROR((TabCalc[[#This Row],[M]]+TabCalc[[#This Row],[L_Bp]])/ABS(TabCalc[[#This Row],[L_Bp]])/(TODAY()-TabCalc[[#This Row],[L_Bdate]])*360,"")</f>
        <v>1.5265506739438532</v>
      </c>
      <c r="DB48" s="312">
        <f ca="1">MEDIAN(DataShift!F748:Z748)</f>
        <v>1.585E-3</v>
      </c>
      <c r="DC48" s="312" t="str" cm="1">
        <f t="array" aca="1" ref="DC4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48" s="88" t="s">
        <v>44</v>
      </c>
      <c r="DN48" s="81">
        <v>700</v>
      </c>
      <c r="DO48" s="317">
        <v>-263.42</v>
      </c>
    </row>
    <row r="49" spans="1:119">
      <c r="A49" s="120" t="str">
        <f ca="1">_xlfn.XLOOKUP(TabCalc[[#This Row],[Ticker]],[1]!RTData[Ticker symbol],[1]!RTData[Currency])</f>
        <v>USD</v>
      </c>
      <c r="B49" s="121">
        <f ca="1">IF(TabCalc[[#This Row],[Cur]]="GBP",0.01,1)</f>
        <v>1</v>
      </c>
      <c r="C49" s="82">
        <f ca="1">_xlfn.XLOOKUP(TabCalc[[#This Row],[Ticker]],DM$3:DM$96,DN$3:DN$96)</f>
        <v>10000</v>
      </c>
      <c r="D49" s="1254">
        <f ca="1">_xlfn.XLOOKUP(TabCalc[[#This Row],[Ticker]],DM$3:DM$96,DO$3:DO$96)</f>
        <v>-19.13</v>
      </c>
      <c r="E49" s="121">
        <f t="shared" ca="1" si="2"/>
        <v>-191300</v>
      </c>
      <c r="F49" s="82">
        <f ca="1">TabCalc[[#This Row],[NAfter]]*TabCalc[[#This Row],[M]]*TabCalc[[#This Row],[Scale]]</f>
        <v>41415</v>
      </c>
      <c r="G49" s="82">
        <f ca="1">IFERROR(TabCalc[[#This Row],[SB]]-TabCalc[[#This Row],[SST]],TabCalc[[#This Row],[SB]])</f>
        <v>1500</v>
      </c>
      <c r="H49" s="535" t="str">
        <f ca="1">[1]!RTData[[#This Row],[Ticker symbol]]</f>
        <v>VLVLY</v>
      </c>
      <c r="I49" s="385">
        <f ca="1">[1]!RTData[[#This Row],[M-Price]]</f>
        <v>27.61</v>
      </c>
      <c r="J49" s="384">
        <v>24.15</v>
      </c>
      <c r="K49" s="383">
        <f>[1]!RTData[[#This Row],[1YT]]</f>
        <v>36</v>
      </c>
      <c r="L49" s="384">
        <f ca="1">IF(OR(TabCalc[[#This Row],[NAfter]]=0,TabCalc[[#This Row],[EfCost]]&gt;0),0,TabCalc[[#This Row],[EfCost]]/TabCalc[[#This Row],[NAfter]]/TabCalc[[#This Row],[Scale]])</f>
        <v>0</v>
      </c>
      <c r="M49" s="744">
        <f ca="1">[1]!RTData[[#This Row],[Change%]]</f>
        <v>7.2970000000000005E-3</v>
      </c>
      <c r="N49" s="1172">
        <v>0</v>
      </c>
      <c r="O49" s="966">
        <f>TabCalc[[#This Row],[Up20]]-1+TabCalc[[#This Row],[Up20]]</f>
        <v>-1</v>
      </c>
      <c r="P49" s="966">
        <f>TabCalc[[#This Row],[Up20]]-TabCalc[[#This Row],[Up150]]</f>
        <v>0</v>
      </c>
      <c r="Q49" s="966">
        <v>0</v>
      </c>
      <c r="R49" s="966">
        <f>TabCalc[[#This Row],[Up150]]-1+TabCalc[[#This Row],[Up150]]</f>
        <v>-1</v>
      </c>
      <c r="S49" s="966">
        <f ca="1">IFERROR(SUMPRODUCT(DataShift!F1541:Z1541,DataShift!AB748:AV748)/SQRT(SUMPRODUCT(DataShift!F1541:Z1541,DataShift!F1541:Z1541)*SUMPRODUCT(DataShift!AB748:AV748,DataShift!AB748:AV748)),0)</f>
        <v>-0.46963959301436986</v>
      </c>
      <c r="T49" s="966">
        <f ca="1">IFERROR(SUMPRODUCT(DataShift!F1541:Z1541,DataShift!F749:Z749)/SQRT(SUMPRODUCT(DataShift!F1541:Z1541,DataShift!F1541:Z1541)*SUMPRODUCT(DataShift!F749:Z749,DataShift!F749:Z749)),0)</f>
        <v>-0.21592475275216444</v>
      </c>
      <c r="U49" s="1107">
        <v>1500</v>
      </c>
      <c r="V49" s="1107">
        <v>0</v>
      </c>
      <c r="W49" s="1107">
        <v>0</v>
      </c>
      <c r="X49" s="966" t="str">
        <f ca="1">IF(TabCalc[[#This Row],[EfCost]]+TabCalc[[#This Row],[M_V]]&lt;TabCalc[[#This Row],[NoT_GL]],"Pile","")</f>
        <v/>
      </c>
      <c r="Y4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9" s="213">
        <f ca="1">MIN(TabCalc[[#This Row],[L_Bn]],TabCalc[[#This Row],[NAfter]])*(TabCalc[[#This Row],[M]]+TabCalc[[#This Row],[L_Bp]])*TabCalc[[#This Row],[Scale]]</f>
        <v>5190.0000000000009</v>
      </c>
      <c r="AA49" s="210" cm="1">
        <f t="array" aca="1" ref="AA49" ca="1">_xlfn.XLOOKUP(TabCalc[[#This Row],[L_Bp]],INDIRECT("TabReg["&amp;TabCalc[[#This Row],[Ticker]]&amp;"2]"),INDIRECT("TabReg["&amp;TabCalc[[#This Row],[Ticker]]&amp;"]"))</f>
        <v>45629</v>
      </c>
      <c r="AB49" s="181" cm="1">
        <f t="array" aca="1" ref="AB49" ca="1">_xlfn.XLOOKUP(TabCalc[[#This Row],[L_Bp]],INDIRECT("TabReg["&amp;TabCalc[[#This Row],[Ticker]]&amp;"2]"),INDIRECT("TabReg["&amp;TabCalc[[#This Row],[Ticker]]&amp;"1]"))</f>
        <v>3000</v>
      </c>
      <c r="AC49" s="192" cm="1">
        <f t="array" aca="1" ref="AC49" ca="1">IFERROR(INDEX(INDIRECT("TabReg["&amp;TabCalc[[#This Row],[Ticker]]&amp;"2]"),    _xlfn.XMATCH(    MAX(    _xlfn._xlws.FILTER(INDIRECT("TabReg["&amp;TabCalc[[#This Row],[Ticker]]&amp;"]"), INDIRECT("TabReg["&amp;TabCalc[[#This Row],[Ticker]]&amp;"2]")&lt;0)     ), INDIRECT("TabReg["&amp;TabCalc[[#This Row],[Ticker]]&amp;"]"),      0)), "")</f>
        <v>-24.15</v>
      </c>
      <c r="AD49" s="213">
        <f ca="1">IFERROR(MIN(TabCalc[[#This Row],[L_B1n]],TabCalc[[#This Row],[NAfter]])*(TabCalc[[#This Row],[M]]+TabCalc[[#This Row],[L_B1p]])*TabCalc[[#This Row],[Scale]],"")</f>
        <v>3111.7500000000009</v>
      </c>
      <c r="AE49" s="210" cm="1">
        <f t="array" aca="1" ref="AE4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45478</v>
      </c>
      <c r="AF49" s="181" cm="1">
        <f t="array" aca="1" ref="AF49" ca="1">IFERROR(_xlfn.XLOOKUP(TabCalc[[#This Row],[L_B1D]],INDIRECT("TabReg["&amp;TabCalc[[#This Row],[Ticker]]&amp;"]"),INDIRECT("TabReg["&amp;TabCalc[[#This Row],[Ticker]]&amp;"1]")),0)</f>
        <v>3000</v>
      </c>
      <c r="AG49" s="192" cm="1">
        <f t="array" aca="1" ref="AG49" ca="1">IFERROR(_xlfn.XLOOKUP(TabCalc[[#This Row],[L_B1D]],INDIRECT("TabReg["&amp;TabCalc[[#This Row],[Ticker]]&amp;"]"),INDIRECT("TabReg["&amp;TabCalc[[#This Row],[Ticker]]&amp;"2]")),0)</f>
        <v>-25.535499999999999</v>
      </c>
      <c r="AH49" s="302">
        <f ca="1">IFERROR(TabCalc[[#This Row],[L_Sn]]*(TabCalc[[#This Row],[L_Sp]]-TabCalc[[#This Row],[M]])*TabCalc[[#This Row],[Scale]],"")</f>
        <v>1234.9999999999995</v>
      </c>
      <c r="AI49" s="210" cm="1">
        <f t="array" aca="1" ref="AI49" ca="1">IFERROR(_xlfn.XLOOKUP(TabCalc[[#This Row],[L_Sp]],INDIRECT("TabReg["&amp;TabCalc[[#This Row],[Ticker]]&amp;"2]"),INDIRECT("TabReg["&amp;TabCalc[[#This Row],[Ticker]]&amp;"]")),0)</f>
        <v>45701</v>
      </c>
      <c r="AJ49" s="181" cm="1">
        <f t="array" aca="1" ref="AJ49" ca="1">IFERROR(_xlfn.XLOOKUP(TabCalc[[#This Row],[L_Sp]],INDIRECT("TabReg["&amp;TabCalc[[#This Row],[Ticker]]&amp;"2]"),INDIRECT("TabReg["&amp;TabCalc[[#This Row],[Ticker]]&amp;"1]")),0)</f>
        <v>500</v>
      </c>
      <c r="AK49" s="192" cm="1">
        <f t="array" aca="1" ref="AK49" ca="1">IFERROR(INDEX(INDIRECT("TabReg["&amp;TabCalc[[#This Row],[Ticker]]&amp;"2]"), _xlfn.XMATCH(MAX(_xlfn._xlws.FILTER(INDIRECT("TabReg["&amp;TabCalc[[#This Row],[Ticker]]&amp;"]"), INDIRECT("TabReg["&amp;TabCalc[[#This Row],[Ticker]]&amp;"2]")&gt;0)), INDIRECT("TabReg["&amp;TabCalc[[#This Row],[Ticker]]&amp;"]"), 0)), 0)</f>
        <v>30.08</v>
      </c>
      <c r="AL49" s="214">
        <f ca="1">IFERROR(TabCalc[[#This Row],[L_S1n]]*(TabCalc[[#This Row],[L_S1p]]-TabCalc[[#This Row],[M]])*TabCalc[[#This Row],[Scale]],0)</f>
        <v>-6659.9999999999964</v>
      </c>
      <c r="AM49" s="210" cm="1">
        <f t="array" aca="1" ref="AM4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49" s="181" cm="1">
        <f t="array" aca="1" ref="AN49" ca="1">IFERROR(_xlfn.XLOOKUP(TabCalc[[#This Row],[L_S1D]],INDIRECT("TabReg["&amp;TabCalc[[#This Row],[Ticker]]&amp;"]"),INDIRECT("TabReg["&amp;TabCalc[[#This Row],[Ticker]]&amp;"1]")),0)</f>
        <v>3000</v>
      </c>
      <c r="AO49" s="384" cm="1">
        <f t="array" aca="1" ref="AO49" ca="1">IFERROR(_xlfn.XLOOKUP(TabCalc[[#This Row],[L_S1D]],INDIRECT("TabReg["&amp;TabCalc[[#This Row],[Ticker]]&amp;"]"),INDIRECT("TabReg["&amp;TabCalc[[#This Row],[Ticker]]&amp;"2]")),0)</f>
        <v>25.39</v>
      </c>
      <c r="AP49" s="336">
        <f ca="1">_xlfn.LET(_xlpm.MVOpen,[1]!RTData[[#This Row],[Open]]*TabCalc[[#This Row],[NAfter]],_xlpm.MVNow,TabCalc[[#This Row],[M]]*TabCalc[[#This Row],[NAfter]],_xlpm.MVNow-_xlpm.MVOpen)*TabCalc[[#This Row],[Scale]]</f>
        <v>-165</v>
      </c>
      <c r="AQ49" s="336">
        <f ca="1">_xlfn.LET(_xlpm.MVToday,DataShift!AV549,         _xlpm.MVY,DataShift!AU550,        _xlpm.MVYY, DataShift!AT550,                                IF(_xlpm.MVToday=_xlpm.MVY,_xlpm.MVY-_xlpm.MVYY,_xlpm.MVToday-_xlpm.MVY))</f>
        <v>1447</v>
      </c>
      <c r="AR49" s="336">
        <f ca="1">_xlfn.LET(_xlpm.MVToday,DataShift!AV549,         _xlpm.MVY,DataShift!AU550,        _xlpm.MVYY, DataShift!AT550,         _xlpm.MVYYY, DataShift!AS550,                      IF(_xlpm.MVToday=_xlpm.MVY,      _xlpm.MVYY-_xlpm.MVYYY,          _xlpm.MVY-_xlpm.MVYY))</f>
        <v>1808.75</v>
      </c>
      <c r="AS49" s="1078">
        <f ca="1">TabCalc[[#This Row],[Y]]/TabCalc[[#This Row],[M]]</f>
        <v>1.3038754074610648</v>
      </c>
      <c r="AT49" s="299" t="str" cm="1">
        <f t="array" aca="1" ref="AT49" ca="1">IFERROR(_xlfn.IFS(          TabCalc[[#This Row],[E]]&gt;0, "Free Trade",      TabCalc[[#This Row],[A]]&lt;MIN(TabCalc[[#This Row],[L_Sp]],TabCalc[[#This Row],[M]]), "Buy",            TabCalc[[#This Row],[M]]&lt;TabCalc[[#This Row],[L_Sp]],       "Refill",       TabCalc[[#This Row],[M]]&gt;TabCalc[[#This Row],[L_Sp]],"S_more"),"")</f>
        <v>Buy</v>
      </c>
      <c r="AU49" s="299" t="str">
        <f ca="1">IF(           AND(TabCalc[[#This Row],[E]]&lt;=0,          TabCalc[[#This Row],[A]]&gt;MIN(TabCalc[[#This Row],[M]],TabCalc[[#This Row],[L_Sp]]),             TabCalc[[#This Row],[L_Sp]]&lt;=TabCalc[[#This Row],[M]]),                       "S_more","")</f>
        <v/>
      </c>
      <c r="AV49" s="82" t="str" cm="1">
        <f t="array" aca="1" ref="AV49" ca="1">IFERROR(_xlfn.IFS(TabCalc[[#This Row],[E]]&gt;0,"Free trade",                 TabCalc[[#This Row],[A]]&lt;MAX(ABS(TabCalc[[#This Row],[L_Bp]]),TabCalc[[#This Row],[A]]),"Sell",             TabCalc[[#This Row],[M]]&gt;ABS(TabCalc[[#This Row],[L_Bp]]),"Resell",             TabCalc[[#This Row],[M]]&lt;ABS(TabCalc[[#This Row],[L_Bp]]),"B_more"),"")</f>
        <v>Resell</v>
      </c>
      <c r="AW49" s="82">
        <f ca="1">TabCalc[[#This Row],[NAfter]]-TabCalc[[#This Row],[Nbegin]]</f>
        <v>-8500</v>
      </c>
      <c r="AX49" s="307">
        <f ca="1">IFERROR((TabCalc[[#This Row],[M]]-TabCalc[[#This Row],[Y]])*(TabCalc[[#This Row],[M]]-TabCalc[[#This Row],[Y]])*(TabCalc[[#This Row],[M]]-TabCalc[[#This Row],[Y]])/(TabCalc[[#This Row],[Y]]*TabCalc[[#This Row],[M]]),"")</f>
        <v>-0.59417855748722292</v>
      </c>
      <c r="AY49" s="82">
        <f t="shared" ca="1" si="3"/>
        <v>8500</v>
      </c>
      <c r="AZ49" s="90">
        <f ca="1">[1]!RTData[[#This Row],[V/VA]]</f>
        <v>1.2957002388870289E-2</v>
      </c>
      <c r="BA49" s="90" t="str" cm="1">
        <f t="array" aca="1" ref="BA49" ca="1">IFERROR(_xlfn.IFS(TabCalc[[#This Row],[Cur]]="USD",Timer!F$27,TabCalc[[#This Row],[Cur]]="EUR",Timer!F$18,TabCalc[[#This Row],[Cur]]="GBP",Timer!F$12,TabCalc[[#This Row],[Cur]]="CAD",Timer!F$27,TabCalc[[#This Row],[Cur]]="JPY",Timer!F$31,TabCalc[[#This Row],[Cur]]="CHF",Timer!F$18),"Timing")</f>
        <v>None-Working Day</v>
      </c>
      <c r="BB49" s="90">
        <f ca="1">IF(ISNUMBER(TabCalc[[#This Row],[TimeEX]]),TabCalc[[#This Row],[V/VA]]/TabCalc[[#This Row],[TimeEX]],TabCalc[[#This Row],[V/VA]])</f>
        <v>1.2957002388870289E-2</v>
      </c>
      <c r="BC49" s="87" cm="1">
        <f t="array" aca="1" ref="BC49" ca="1">INDEX(TabReg[], 1, _xlfn.XMATCH(TabCalc[[#This Row],[Ticker]]&amp;1, TabReg[#Headers], 0))</f>
        <v>10000</v>
      </c>
      <c r="BD49" s="161">
        <f ca="1">TabCalc[[#This Row],[Nbegin]]*TabCalc[[#This Row],[M]]*TabCalc[[#This Row],[Scale]]+TabCalc[[#This Row],[ValueBegin]]</f>
        <v>84800</v>
      </c>
      <c r="BE49" s="336" t="str" cm="1">
        <f t="array" aca="1" ref="BE49" ca="1">_xlfn.IFS(TabCalc[[#This Row],[Cost+Gain]]&gt;0,"Free",             TabCalc[[#This Row],[GL]]&gt;0,"Gainer",                TRUE,"Looser")</f>
        <v>Free</v>
      </c>
      <c r="BF49" s="161">
        <f ca="1">TabCalc[[#This Row],[Tot_Paid]]-TabCalc[[#This Row],[ValueBegin]]</f>
        <v>-337225.50274000003</v>
      </c>
      <c r="BG49" s="337">
        <f ca="1">IF(TabCalc[[#This Row],[EfCost]]&gt;TabCalc[[#This Row],[ValueBegin]],       0,        TabCalc[[#This Row],[EfCost]]-TabCalc[[#This Row],[ValueBegin]]*(1+Commission))</f>
        <v>0</v>
      </c>
      <c r="BH49" s="338">
        <f ca="1">TabCalc[[#This Row],[M_V]]+TabCalc[[#This Row],[ValueBegin]]</f>
        <v>-149885</v>
      </c>
      <c r="BI49" s="161" cm="1">
        <f t="array" aca="1" ref="BI49" ca="1">SUMPRODUCT(_xlfn._xlws.FILTER(INDIRECT("TabReg["&amp;TabCalc[[#This Row],[Ticker]]&amp;"1]") * INDIRECT("TabReg["&amp;TabCalc[[#This Row],[Ticker]]&amp;"2]"), INDIRECT("TabReg["&amp;TabCalc[[#This Row],[Ticker]]&amp;"2]")&lt;0))*(1+Commission)*TabCalc[[#This Row],[Scale]]</f>
        <v>-528525.50274000003</v>
      </c>
      <c r="BJ49" s="161" cm="1">
        <f t="array" aca="1" ref="BJ49" ca="1">SUMPRODUCT(IF(INDIRECT("TabReg["&amp;TabCalc[[#This Row],[Ticker]]&amp;"2]") ="", 0, INDIRECT("TabReg["&amp;TabCalc[[#This Row],[Ticker]]&amp;"1]") * INDIRECT("TabReg["&amp;TabCalc[[#This Row],[Ticker]]&amp;"2]") ))*TabCalc[[#This Row],[Scale]]</f>
        <v>53896.369999999995</v>
      </c>
      <c r="BK49" s="161" cm="1">
        <f t="array" aca="1" ref="BK4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579540.53669800004</v>
      </c>
      <c r="BL49" s="161">
        <f ca="1">TabCalc[[#This Row],[M_V]]+TabCalc[[#This Row],[EfCost]]</f>
        <v>95311.37</v>
      </c>
      <c r="BM49" s="161">
        <f ca="1">IF(        OR( TabCalc[[#This Row],[GL]]&gt;ABS(TabCalc[[#This Row],[EfCost]]),TabCalc[[#This Row],[NAfter]]=0),             TabCalc[[#This Row],[GL]],     0)</f>
        <v>95311.37</v>
      </c>
      <c r="BN49" s="161" cm="1">
        <f t="array" aca="1" ref="BN49" ca="1">SUMPRODUCT(_xlfn._xlws.FILTER(IF(INDIRECT("TabReg["&amp;TabCalc[[#This Row],[Ticker]]&amp;"2]") ="", 0, INDIRECT("TabReg["&amp;TabCalc[[#This Row],[Ticker]]&amp;"1]")  ),  INDIRECT("TabReg["&amp;TabCalc[[#This Row],[Ticker]]&amp;"2]") &lt; 0))</f>
        <v>24000</v>
      </c>
      <c r="BO49" s="161">
        <f ca="1">TabCalc[[#This Row],[SB]]-TabCalc[[#This Row],[Nbegin]]</f>
        <v>14000</v>
      </c>
      <c r="BP49" s="161" cm="1">
        <f t="array" aca="1" ref="BP49" ca="1">IFERROR(SUMPRODUCT(_xlfn._xlws.FILTER(IF(INDIRECT("TabReg["&amp;TabCalc[[#This Row],[Ticker]]&amp;"2]") ="", 0, INDIRECT("TabReg["&amp;TabCalc[[#This Row],[Ticker]]&amp;"1]")  ),  INDIRECT("TabReg["&amp;TabCalc[[#This Row],[Ticker]]&amp;"2]") &gt; 0)),0)</f>
        <v>22500</v>
      </c>
      <c r="BQ4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49" s="176" t="str">
        <f ca="1">IF(TabCalc[[#This Row],[EfCost]]+TabCalc[[#This Row],[M_V]]&lt;TabCalc[[#This Row],[NoT_GL]],"Pile","")</f>
        <v/>
      </c>
      <c r="BS49" s="167">
        <f ca="1">[1]!RTData[[#This Row],[Last trade time]]</f>
        <v>45955.006944444445</v>
      </c>
      <c r="BT49" s="177">
        <f ca="1">(TabCalc[[#This Row],[ValueBegin]]+(TabCalc[[#This Row],[M]]-TabCalc[[#This Row],[A]])*TabCalc[[#This Row],[NAfter]])*TabCalc[[#This Row],[Scale]]</f>
        <v>-186110</v>
      </c>
      <c r="BU49" s="189" cm="1">
        <f t="array" aca="1" ref="BU49" ca="1">_xlfn.XLOOKUP(TabCalc[[#This Row],[Ticker]],TabReg[[#Headers],[AAPL]:[UnknownX28]],Reg!B$72:KF$72)+3</f>
        <v>12</v>
      </c>
      <c r="BV49" s="190" cm="1">
        <f t="array" aca="1" ref="BV49" ca="1">_xlfn.XLOOKUP(TabCalc[[#This Row],[Ticker]],TabReg[[#Headers],[AAPL]:[UnknownX28]],Reg!B$73:KF$73)+2</f>
        <v>144</v>
      </c>
      <c r="BW49" s="191">
        <f ca="1">IFERROR(MAX(TabCalc[[#This Row],[Max_SD]],TabCalc[[#This Row],[Max_PD]]),0)</f>
        <v>45701</v>
      </c>
      <c r="BX49" s="191" t="str" cm="1">
        <f t="array" aca="1" ref="BX49" ca="1">_xlfn.IFS(TabCalc[[#This Row],[L_TP]]&lt;0,"Purchase",TabCalc[[#This Row],[L_TP]]&gt;0,"Sale")</f>
        <v>Sale</v>
      </c>
      <c r="BY49" s="190" cm="1">
        <f t="array" aca="1" ref="BY49" ca="1">INDEX(Reg!$A$1:$KF$73,TabCalc[[#This Row],[L_I1]],TabCalc[[#This Row],[L_I2]])</f>
        <v>500</v>
      </c>
      <c r="BZ49" s="192" cm="1">
        <f t="array" aca="1" ref="BZ49" ca="1">INDEX(Reg!$A$1:$KF$73,TabCalc[[#This Row],[L_I1]],TabCalc[[#This Row],[L_I2]]+1)</f>
        <v>30.08</v>
      </c>
      <c r="CA49" s="161">
        <f ca="1">TabCalc[[#This Row],[NAfter]]*(TabCalc[[#This Row],[M]]-IF(TabCalc[[#This Row],[E]]&gt;0,0,TabCalc[[#This Row],[A]]))</f>
        <v>5190.0000000000009</v>
      </c>
      <c r="CB49" s="167" cm="1">
        <f t="array" aca="1" ref="CB49" ca="1">IFERROR(MIN(_xlfn._xlws.FILTER(INDIRECT("TabReg["&amp;TabCalc[[#This Row],[Ticker]]&amp;"]"), INDIRECT("TabReg["&amp;TabCalc[[#This Row],[Ticker]]&amp;"2]")&gt;0)),0)</f>
        <v>40544</v>
      </c>
      <c r="CC49" s="178" cm="1">
        <f t="array" aca="1" ref="CC49" ca="1">IFERROR(MIN(_xlfn._xlws.FILTER(INDIRECT("TabReg["&amp;TabCalc[[#This Row],[Ticker]]&amp;"1]"), INDIRECT("TabReg["&amp;TabCalc[[#This Row],[Ticker]]&amp;"2]")&gt;0)),0)</f>
        <v>500</v>
      </c>
      <c r="CD49" s="173" cm="1">
        <f t="array" aca="1" ref="CD49" ca="1">IFERROR(MIN(_xlfn._xlws.FILTER(INDIRECT("TabReg["&amp;TabCalc[[#This Row],[Ticker]]&amp;"2]"), INDIRECT("TabReg["&amp;TabCalc[[#This Row],[Ticker]]&amp;"2]")&gt;0)),0)</f>
        <v>24.09</v>
      </c>
      <c r="CE49" s="167" cm="1">
        <f t="array" aca="1" ref="CE49" ca="1">IFERROR(MAX(_xlfn._xlws.FILTER(INDIRECT("TabReg["&amp;TabCalc[[#This Row],[Ticker]]&amp;"]"), INDIRECT("TabReg["&amp;TabCalc[[#This Row],[Ticker]]&amp;"2]")&gt;0)),0)</f>
        <v>45701</v>
      </c>
      <c r="CF49" s="178" cm="1">
        <f t="array" aca="1" ref="CF49" ca="1">IFERROR(MAX(_xlfn._xlws.FILTER(INDIRECT("TabReg["&amp;TabCalc[[#This Row],[Ticker]]&amp;"1]"), INDIRECT("TabReg["&amp;TabCalc[[#This Row],[Ticker]]&amp;"2]")&gt;0)),0)</f>
        <v>9990</v>
      </c>
      <c r="CG49" s="173" cm="1">
        <f t="array" aca="1" ref="CG49" ca="1">IFERROR(MAX(_xlfn._xlws.FILTER(INDIRECT("TabReg["&amp;TabCalc[[#This Row],[Ticker]]&amp;"2]"), INDIRECT("TabReg["&amp;TabCalc[[#This Row],[Ticker]]&amp;"2]")&gt;0)),0)</f>
        <v>30.08</v>
      </c>
      <c r="CH49" s="167" cm="1">
        <f t="array" aca="1" ref="CH49" ca="1">MIN(_xlfn._xlws.FILTER(INDIRECT("TabReg["&amp;TabCalc[[#This Row],[Ticker]]&amp;"]"), INDIRECT("TabReg["&amp;TabCalc[[#This Row],[Ticker]]&amp;"2]")&lt;0))</f>
        <v>40544</v>
      </c>
      <c r="CI49" s="177" cm="1">
        <f t="array" aca="1" ref="CI49" ca="1">MIN(_xlfn._xlws.FILTER(INDIRECT("TabReg["&amp;TabCalc[[#This Row],[Ticker]]&amp;"1]"), INDIRECT("TabReg["&amp;TabCalc[[#This Row],[Ticker]]&amp;"2]")&lt;0))</f>
        <v>3000</v>
      </c>
      <c r="CJ49" s="173" cm="1">
        <f t="array" aca="1" ref="CJ49" ca="1">MIN(_xlfn._xlws.FILTER(INDIRECT("TabReg["&amp;TabCalc[[#This Row],[Ticker]]&amp;"2]"), INDIRECT("TabReg["&amp;TabCalc[[#This Row],[Ticker]]&amp;"2]")&lt;0))</f>
        <v>-25.535499999999999</v>
      </c>
      <c r="CK49" s="167" cm="1">
        <f t="array" aca="1" ref="CK49" ca="1">MAX(_xlfn._xlws.FILTER(INDIRECT("TabReg["&amp;TabCalc[[#This Row],[Ticker]]&amp;"]"), INDIRECT("TabReg["&amp;TabCalc[[#This Row],[Ticker]]&amp;"2]")&lt;0))</f>
        <v>45629</v>
      </c>
      <c r="CL49" s="177" cm="1">
        <f t="array" aca="1" ref="CL49" ca="1">MAX(_xlfn._xlws.FILTER(INDIRECT("TabReg["&amp;TabCalc[[#This Row],[Ticker]]&amp;"1]"), INDIRECT("TabReg["&amp;TabCalc[[#This Row],[Ticker]]&amp;"2]")&lt;0))</f>
        <v>10000</v>
      </c>
      <c r="CM49" s="173" cm="1">
        <f t="array" aca="1" ref="CM49" ca="1">MAX(_xlfn._xlws.FILTER(INDIRECT("TabReg["&amp;TabCalc[[#This Row],[Ticker]]&amp;"2]"), INDIRECT("TabReg["&amp;TabCalc[[#This Row],[Ticker]]&amp;"2]")&lt;0))</f>
        <v>-19.13</v>
      </c>
      <c r="CN49" s="167" cm="1">
        <f t="array" aca="1" ref="CN49" ca="1">IFERROR(_xlfn.XLOOKUP(TabCalc[[#This Row],[BS2P]],INDIRECT("TabReg["&amp;TabCalc[[#This Row],[Ticker]]&amp;"2]"),INDIRECT("TabReg["&amp;TabCalc[[#This Row],[Ticker]]&amp;"]")),0)</f>
        <v>40544</v>
      </c>
      <c r="CO49" s="178" cm="1">
        <f t="array" aca="1" ref="CO49" ca="1">IFERROR(_xlfn.XLOOKUP(TabCalc[[#This Row],[BS2P]],INDIRECT("TabReg["&amp;TabCalc[[#This Row],[Ticker]]&amp;"2]"),INDIRECT("TabReg["&amp;TabCalc[[#This Row],[Ticker]]&amp;"1]")),0)</f>
        <v>9990</v>
      </c>
      <c r="CP49" s="173">
        <f ca="1">_xlfn.MAXIFS(INDIRECT("TabReg["&amp;TabCalc[[#This Row],[Ticker]]&amp;"2]"), INDIRECT("TabReg["&amp;TabCalc[[#This Row],[Ticker]]&amp;"2]"), "&lt;" &amp; MAX(INDIRECT("TabReg["&amp;TabCalc[[#This Row],[Ticker]]&amp;"2]")))</f>
        <v>27.082000000000001</v>
      </c>
      <c r="CQ49" s="167" cm="1">
        <f t="array" aca="1" ref="CQ49" ca="1">IFERROR(_xlfn.XLOOKUP(TabCalc[[#This Row],[WB2P]],INDIRECT("TabReg["&amp;TabCalc[[#This Row],[Ticker]]&amp;"2]"),INDIRECT("TabReg["&amp;TabCalc[[#This Row],[Ticker]]&amp;"]")),0)</f>
        <v>45629</v>
      </c>
      <c r="CR49" s="178" cm="1">
        <f t="array" aca="1" ref="CR49" ca="1">IFERROR(_xlfn.XLOOKUP(TabCalc[[#This Row],[WB2P]],INDIRECT("TabReg["&amp;TabCalc[[#This Row],[Ticker]]&amp;"2]"),INDIRECT("TabReg["&amp;TabCalc[[#This Row],[Ticker]]&amp;"1]")),0)</f>
        <v>3000</v>
      </c>
      <c r="CS49" s="173">
        <f ca="1">_xlfn.MINIFS(INDIRECT("TabReg["&amp;TabCalc[[#This Row],[Ticker]]&amp;"2]"), INDIRECT("TabReg["&amp;TabCalc[[#This Row],[Ticker]]&amp;"2]"), "&gt;" &amp; MIN(INDIRECT("TabReg["&amp;TabCalc[[#This Row],[Ticker]]&amp;"2]")))</f>
        <v>-24.15</v>
      </c>
      <c r="CT49" s="405">
        <f ca="1">IF(TabCalc[[#This Row],[M]]&lt;TabCalc[[#This Row],[L_Sp]],DesiredBuyGain/(TabCalc[[#This Row],[L_Sp]]-TabCalc[[#This Row],[M]]),0)</f>
        <v>2024.2914979757095</v>
      </c>
      <c r="CU49" s="406">
        <f ca="1">IF(TabCalc[[#This Row],[ntoBuy]]*TabCalc[[#This Row],[M]]&lt;=0,0,TabCalc[[#This Row],[ntoBuy]]*TabCalc[[#This Row],[M]])</f>
        <v>55890.688259109338</v>
      </c>
      <c r="CV49" s="406">
        <f ca="1">IF(TabCalc[[#This Row],[M]]&gt;ABS(TabCalc[[#This Row],[L_Bp]]),MIN(TabCalc[[#This Row],[NAfter]],DesiredSaleGain/(TabCalc[[#This Row],[M]]+TabCalc[[#This Row],[L_Bp]])),0)/TabCalc[[#This Row],[Scale]]</f>
        <v>1445.0867052023118</v>
      </c>
      <c r="CW49" s="407">
        <f ca="1">TabCalc[[#This Row],[ntoSell]]*TabCalc[[#This Row],[M]]</f>
        <v>39898.843930635827</v>
      </c>
      <c r="CX49" s="400">
        <f ca="1">_xlfn.LET(_xlpm.nToSell,IF(TabCalc[[#This Row],[M]]-TabCalc[[#This Row],[A]]&lt;=0,"",INT(DesiredSaleGain/(TabCalc[[#This Row],[M]]-IF(TabCalc[[#This Row],[E]]&gt;0,0,TabCalc[[#This Row],[A]])))),IF(_xlpm.nToSell&lt;=TabCalc[[#This Row],[NAfter]],_xlpm.nToSell,0))</f>
        <v>1445</v>
      </c>
      <c r="CY49" s="338">
        <f ca="1">IFERROR(TabCalc[[#This Row],[NMA]]*TabCalc[[#This Row],[M]],"")</f>
        <v>39896.449999999997</v>
      </c>
      <c r="CZ49" s="337" cm="1">
        <f t="array" aca="1" ref="CZ49" ca="1">_xlfn.IFS(TabCalc[[#This Row],[M]]&gt;= TabCalc[[#This Row],[L_Sp]],(TabCalc[[#This Row],[M]]-TabCalc[[#This Row],[A]])*TabCalc[[#This Row],[NAfter]]*TabCalc[[#This Row],[Scale]],           TabCalc[[#This Row],[M]]&lt; TabCalc[[#This Row],[L_Sp]],(TabCalc[[#This Row],[M]]-TabCalc[[#This Row],[A]])*TabCalc[[#This Row],[NAfter]]*TabCalc[[#This Row],[Scale]],               TRUE,"")</f>
        <v>5190.0000000000009</v>
      </c>
      <c r="DA49" s="90">
        <f ca="1">IFERROR((TabCalc[[#This Row],[M]]+TabCalc[[#This Row],[L_Bp]])/ABS(TabCalc[[#This Row],[L_Bp]])/(TODAY()-TabCalc[[#This Row],[L_Bdate]])*360,"")</f>
        <v>0.15772978517294439</v>
      </c>
      <c r="DB49" s="312">
        <f ca="1">MEDIAN(DataShift!F749:Z749)</f>
        <v>-8.9289999999999994E-3</v>
      </c>
      <c r="DC49" s="312" t="e" cm="1">
        <f t="array" aca="1" ref="DC4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9" s="88" t="s">
        <v>45</v>
      </c>
      <c r="DN49" s="81">
        <v>2000</v>
      </c>
      <c r="DO49" s="317">
        <v>-30.32</v>
      </c>
    </row>
    <row r="50" spans="1:119">
      <c r="A50" s="120" t="str">
        <f ca="1">_xlfn.XLOOKUP(TabCalc[[#This Row],[Ticker]],[1]!RTData[Ticker symbol],[1]!RTData[Currency])</f>
        <v>CHF</v>
      </c>
      <c r="B50" s="121">
        <f ca="1">IF(TabCalc[[#This Row],[Cur]]="GBP",0.01,1)</f>
        <v>1</v>
      </c>
      <c r="C50" s="82">
        <f ca="1">_xlfn.XLOOKUP(TabCalc[[#This Row],[Ticker]],DM$3:DM$96,DN$3:DN$96)</f>
        <v>20000</v>
      </c>
      <c r="D50" s="1254">
        <f ca="1">_xlfn.XLOOKUP(TabCalc[[#This Row],[Ticker]],DM$3:DM$96,DO$3:DO$96)</f>
        <v>-56.301814499999999</v>
      </c>
      <c r="E50" s="121">
        <f t="shared" ca="1" si="2"/>
        <v>-1126036.29</v>
      </c>
      <c r="F50" s="82">
        <f ca="1">TabCalc[[#This Row],[NAfter]]*TabCalc[[#This Row],[M]]*TabCalc[[#This Row],[Scale]]</f>
        <v>980800</v>
      </c>
      <c r="G50" s="82">
        <f ca="1">IFERROR(TabCalc[[#This Row],[SB]]-TabCalc[[#This Row],[SST]],TabCalc[[#This Row],[SB]])</f>
        <v>16000</v>
      </c>
      <c r="H50" s="535" t="str">
        <f ca="1">[1]!RTData[[#This Row],[Ticker symbol]]</f>
        <v>VONN</v>
      </c>
      <c r="I50" s="385">
        <f ca="1">[1]!RTData[[#This Row],[M-Price]]</f>
        <v>61.3</v>
      </c>
      <c r="J50" s="384">
        <v>59.721249999999998</v>
      </c>
      <c r="K50" s="383">
        <f>[1]!RTData[[#This Row],[1YT]]</f>
        <v>63.33</v>
      </c>
      <c r="L50" s="384">
        <f ca="1">IF(OR(TabCalc[[#This Row],[NAfter]]=0,TabCalc[[#This Row],[EfCost]]&gt;0),0,TabCalc[[#This Row],[EfCost]]/TabCalc[[#This Row],[NAfter]]/TabCalc[[#This Row],[Scale]])</f>
        <v>-50.812230625000005</v>
      </c>
      <c r="M50" s="744">
        <f ca="1">[1]!RTData[[#This Row],[Change%]]</f>
        <v>3.2729999999999999E-3</v>
      </c>
      <c r="N50" s="1172">
        <v>0</v>
      </c>
      <c r="O50" s="966">
        <f>TabCalc[[#This Row],[Up20]]-1+TabCalc[[#This Row],[Up20]]</f>
        <v>-1</v>
      </c>
      <c r="P50" s="966">
        <f>TabCalc[[#This Row],[Up20]]-TabCalc[[#This Row],[Up150]]</f>
        <v>-0.59756097560975607</v>
      </c>
      <c r="Q50" s="966">
        <v>0.59756097560975607</v>
      </c>
      <c r="R50" s="966">
        <f>TabCalc[[#This Row],[Up150]]-1+TabCalc[[#This Row],[Up150]]</f>
        <v>0.19512195121951215</v>
      </c>
      <c r="S50" s="966">
        <f ca="1">IFERROR(SUMPRODUCT(DataShift!F1542:Z1542,DataShift!AB749:AV749)/SQRT(SUMPRODUCT(DataShift!F1542:Z1542,DataShift!F1542:Z1542)*SUMPRODUCT(DataShift!AB749:AV749,DataShift!AB749:AV749)),0)</f>
        <v>0</v>
      </c>
      <c r="T50" s="966">
        <f ca="1">IFERROR(SUMPRODUCT(DataShift!F1542:Z1542,DataShift!#REF!)/SQRT(SUMPRODUCT(DataShift!F1542:Z1542,DataShift!F1542:Z1542)*SUMPRODUCT(DataShift!#REF!,DataShift!#REF!)),0)</f>
        <v>0</v>
      </c>
      <c r="U50" s="1107">
        <v>13000</v>
      </c>
      <c r="V50" s="1107">
        <v>3000</v>
      </c>
      <c r="W50" s="1107">
        <v>0</v>
      </c>
      <c r="X50" s="966" t="str">
        <f ca="1">IF(TabCalc[[#This Row],[EfCost]]+TabCalc[[#This Row],[M_V]]&lt;TabCalc[[#This Row],[NoT_GL]],"Pile","")</f>
        <v/>
      </c>
      <c r="Y5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0" s="213">
        <f ca="1">MIN(TabCalc[[#This Row],[L_Bn]],TabCalc[[#This Row],[NAfter]])*(TabCalc[[#This Row],[M]]+TabCalc[[#This Row],[L_Bp]])*TabCalc[[#This Row],[Scale]]</f>
        <v>2409.9999999999964</v>
      </c>
      <c r="AA50" s="210" cm="1">
        <f t="array" aca="1" ref="AA50" ca="1">_xlfn.XLOOKUP(TabCalc[[#This Row],[L_Bp]],INDIRECT("TabReg["&amp;TabCalc[[#This Row],[Ticker]]&amp;"2]"),INDIRECT("TabReg["&amp;TabCalc[[#This Row],[Ticker]]&amp;"]"))</f>
        <v>45947</v>
      </c>
      <c r="AB50" s="181" cm="1">
        <f t="array" aca="1" ref="AB50" ca="1">_xlfn.XLOOKUP(TabCalc[[#This Row],[L_Bp]],INDIRECT("TabReg["&amp;TabCalc[[#This Row],[Ticker]]&amp;"2]"),INDIRECT("TabReg["&amp;TabCalc[[#This Row],[Ticker]]&amp;"1]"))</f>
        <v>1000</v>
      </c>
      <c r="AC50" s="192" cm="1">
        <f t="array" aca="1" ref="AC50" ca="1">IFERROR(INDEX(INDIRECT("TabReg["&amp;TabCalc[[#This Row],[Ticker]]&amp;"2]"),    _xlfn.XMATCH(    MAX(    _xlfn._xlws.FILTER(INDIRECT("TabReg["&amp;TabCalc[[#This Row],[Ticker]]&amp;"]"), INDIRECT("TabReg["&amp;TabCalc[[#This Row],[Ticker]]&amp;"2]")&lt;0)     ), INDIRECT("TabReg["&amp;TabCalc[[#This Row],[Ticker]]&amp;"]"),      0)), "")</f>
        <v>-58.89</v>
      </c>
      <c r="AD50" s="213">
        <f ca="1">IFERROR(MIN(TabCalc[[#This Row],[L_B1n]],TabCalc[[#This Row],[NAfter]])*(TabCalc[[#This Row],[M]]+TabCalc[[#This Row],[L_B1p]])*TabCalc[[#This Row],[Scale]],"")</f>
        <v>1500</v>
      </c>
      <c r="AE50" s="210" cm="1">
        <f t="array" aca="1" ref="AE5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45946</v>
      </c>
      <c r="AF50" s="181" cm="1">
        <f t="array" aca="1" ref="AF50" ca="1">IFERROR(_xlfn.XLOOKUP(TabCalc[[#This Row],[L_B1D]],INDIRECT("TabReg["&amp;TabCalc[[#This Row],[Ticker]]&amp;"]"),INDIRECT("TabReg["&amp;TabCalc[[#This Row],[Ticker]]&amp;"1]")),0)</f>
        <v>1000</v>
      </c>
      <c r="AG50" s="192" cm="1">
        <f t="array" aca="1" ref="AG50" ca="1">IFERROR(_xlfn.XLOOKUP(TabCalc[[#This Row],[L_B1D]],INDIRECT("TabReg["&amp;TabCalc[[#This Row],[Ticker]]&amp;"]"),INDIRECT("TabReg["&amp;TabCalc[[#This Row],[Ticker]]&amp;"2]")),0)</f>
        <v>-59.8</v>
      </c>
      <c r="AH50" s="302">
        <f ca="1">IFERROR(TabCalc[[#This Row],[L_Sn]]*(TabCalc[[#This Row],[L_Sp]]-TabCalc[[#This Row],[M]])*TabCalc[[#This Row],[Scale]],"")</f>
        <v>505</v>
      </c>
      <c r="AI50" s="210" cm="1">
        <f t="array" aca="1" ref="AI50" ca="1">IFERROR(_xlfn.XLOOKUP(TabCalc[[#This Row],[L_Sp]],INDIRECT("TabReg["&amp;TabCalc[[#This Row],[Ticker]]&amp;"2]"),INDIRECT("TabReg["&amp;TabCalc[[#This Row],[Ticker]]&amp;"]")),0)</f>
        <v>45904</v>
      </c>
      <c r="AJ50" s="181" cm="1">
        <f t="array" aca="1" ref="AJ50" ca="1">IFERROR(_xlfn.XLOOKUP(TabCalc[[#This Row],[L_Sp]],INDIRECT("TabReg["&amp;TabCalc[[#This Row],[Ticker]]&amp;"2]"),INDIRECT("TabReg["&amp;TabCalc[[#This Row],[Ticker]]&amp;"1]")),0)</f>
        <v>1010</v>
      </c>
      <c r="AK50" s="192" cm="1">
        <f t="array" aca="1" ref="AK50" ca="1">IFERROR(INDEX(INDIRECT("TabReg["&amp;TabCalc[[#This Row],[Ticker]]&amp;"2]"), _xlfn.XMATCH(MAX(_xlfn._xlws.FILTER(INDIRECT("TabReg["&amp;TabCalc[[#This Row],[Ticker]]&amp;"]"), INDIRECT("TabReg["&amp;TabCalc[[#This Row],[Ticker]]&amp;"2]")&gt;0)), INDIRECT("TabReg["&amp;TabCalc[[#This Row],[Ticker]]&amp;"]"), 0)), 0)</f>
        <v>61.8</v>
      </c>
      <c r="AL50" s="214">
        <f ca="1">IFERROR(TabCalc[[#This Row],[L_S1n]]*(TabCalc[[#This Row],[L_S1p]]-TabCalc[[#This Row],[M]])*TabCalc[[#This Row],[Scale]],0)</f>
        <v>-1099.9999999999943</v>
      </c>
      <c r="AM50" s="210" cm="1">
        <f t="array" aca="1" ref="AM5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45933</v>
      </c>
      <c r="AN50" s="181" cm="1">
        <f t="array" aca="1" ref="AN50" ca="1">IFERROR(_xlfn.XLOOKUP(TabCalc[[#This Row],[L_S1D]],INDIRECT("TabReg["&amp;TabCalc[[#This Row],[Ticker]]&amp;"]"),INDIRECT("TabReg["&amp;TabCalc[[#This Row],[Ticker]]&amp;"1]")),0)</f>
        <v>1000</v>
      </c>
      <c r="AO50" s="384" cm="1">
        <f t="array" aca="1" ref="AO50" ca="1">IFERROR(_xlfn.XLOOKUP(TabCalc[[#This Row],[L_S1D]],INDIRECT("TabReg["&amp;TabCalc[[#This Row],[Ticker]]&amp;"]"),INDIRECT("TabReg["&amp;TabCalc[[#This Row],[Ticker]]&amp;"2]")),0)</f>
        <v>60.2</v>
      </c>
      <c r="AP50" s="336">
        <f ca="1">_xlfn.LET(_xlpm.MVOpen,[1]!RTData[[#This Row],[Open]]*TabCalc[[#This Row],[NAfter]],_xlpm.MVNow,TabCalc[[#This Row],[M]]*TabCalc[[#This Row],[NAfter]],_xlpm.MVNow-_xlpm.MVOpen)*TabCalc[[#This Row],[Scale]]</f>
        <v>3200</v>
      </c>
      <c r="AQ50" s="336" t="e">
        <f ca="1">_xlfn.LET(_xlpm.MVToday,DataShift!AV550,         _xlpm.MVY,DataShift!#REF!,        _xlpm.MVYY, DataShift!#REF!,                                IF(_xlpm.MVToday=_xlpm.MVY,_xlpm.MVY-_xlpm.MVYY,_xlpm.MVToday-_xlpm.MVY))</f>
        <v>#REF!</v>
      </c>
      <c r="AR50" s="336" t="e">
        <f ca="1">_xlfn.LET(_xlpm.MVToday,DataShift!AV550,         _xlpm.MVY,DataShift!#REF!,        _xlpm.MVYY, DataShift!#REF!,         _xlpm.MVYYY, DataShift!#REF!,                      IF(_xlpm.MVToday=_xlpm.MVY,      _xlpm.MVYY-_xlpm.MVYYY,          _xlpm.MVY-_xlpm.MVYY))</f>
        <v>#REF!</v>
      </c>
      <c r="AS50" s="1078">
        <f ca="1">TabCalc[[#This Row],[Y]]/TabCalc[[#This Row],[M]]</f>
        <v>1.0331158238172919</v>
      </c>
      <c r="AT50" s="299" t="str" cm="1">
        <f t="array" aca="1" ref="AT50" ca="1">IFERROR(_xlfn.IFS(          TabCalc[[#This Row],[E]]&gt;0, "Free Trade",      TabCalc[[#This Row],[A]]&lt;MIN(TabCalc[[#This Row],[L_Sp]],TabCalc[[#This Row],[M]]), "Buy",            TabCalc[[#This Row],[M]]&lt;TabCalc[[#This Row],[L_Sp]],       "Refill",       TabCalc[[#This Row],[M]]&gt;TabCalc[[#This Row],[L_Sp]],"S_more"),"")</f>
        <v>Buy</v>
      </c>
      <c r="AU50" s="299" t="str">
        <f ca="1">IF(           AND(TabCalc[[#This Row],[E]]&lt;=0,          TabCalc[[#This Row],[A]]&gt;MIN(TabCalc[[#This Row],[M]],TabCalc[[#This Row],[L_Sp]]),             TabCalc[[#This Row],[L_Sp]]&lt;=TabCalc[[#This Row],[M]]),                       "S_more","")</f>
        <v/>
      </c>
      <c r="AV50" s="82" t="str" cm="1">
        <f t="array" aca="1" ref="AV50" ca="1">IFERROR(_xlfn.IFS(TabCalc[[#This Row],[E]]&gt;0,"Free trade",                 TabCalc[[#This Row],[A]]&lt;MAX(ABS(TabCalc[[#This Row],[L_Bp]]),TabCalc[[#This Row],[A]]),"Sell",             TabCalc[[#This Row],[M]]&gt;ABS(TabCalc[[#This Row],[L_Bp]]),"Resell",             TabCalc[[#This Row],[M]]&lt;ABS(TabCalc[[#This Row],[L_Bp]]),"B_more"),"")</f>
        <v>Resell</v>
      </c>
      <c r="AW50" s="82">
        <f ca="1">TabCalc[[#This Row],[NAfter]]-TabCalc[[#This Row],[Nbegin]]</f>
        <v>-4000</v>
      </c>
      <c r="AX50" s="307">
        <f ca="1">IFERROR((TabCalc[[#This Row],[M]]-TabCalc[[#This Row],[Y]])*(TabCalc[[#This Row],[M]]-TabCalc[[#This Row],[Y]])*(TabCalc[[#This Row],[M]]-TabCalc[[#This Row],[Y]])/(TabCalc[[#This Row],[Y]]*TabCalc[[#This Row],[M]]),"")</f>
        <v>-2.154855492952453E-3</v>
      </c>
      <c r="AY50" s="82">
        <f t="shared" ca="1" si="3"/>
        <v>4000</v>
      </c>
      <c r="AZ50" s="90">
        <f ca="1">[1]!RTData[[#This Row],[V/VA]]</f>
        <v>0.96146169650719104</v>
      </c>
      <c r="BA50" s="90" t="str" cm="1">
        <f t="array" aca="1" ref="BA50" ca="1">IFERROR(_xlfn.IFS(TabCalc[[#This Row],[Cur]]="USD",Timer!F$27,TabCalc[[#This Row],[Cur]]="EUR",Timer!F$18,TabCalc[[#This Row],[Cur]]="GBP",Timer!F$12,TabCalc[[#This Row],[Cur]]="CAD",Timer!F$27,TabCalc[[#This Row],[Cur]]="JPY",Timer!F$31,TabCalc[[#This Row],[Cur]]="CHF",Timer!F$18),"Timing")</f>
        <v>None-Working Day</v>
      </c>
      <c r="BB50" s="90">
        <f ca="1">IF(ISNUMBER(TabCalc[[#This Row],[TimeEX]]),TabCalc[[#This Row],[V/VA]]/TabCalc[[#This Row],[TimeEX]],TabCalc[[#This Row],[V/VA]])</f>
        <v>0.96146169650719104</v>
      </c>
      <c r="BC50" s="87" cm="1">
        <f t="array" aca="1" ref="BC50" ca="1">INDEX(TabReg[], 1, _xlfn.XMATCH(TabCalc[[#This Row],[Ticker]]&amp;1, TabReg[#Headers], 0))</f>
        <v>20000</v>
      </c>
      <c r="BD50" s="161">
        <f ca="1">TabCalc[[#This Row],[Nbegin]]*TabCalc[[#This Row],[M]]*TabCalc[[#This Row],[Scale]]+TabCalc[[#This Row],[ValueBegin]]</f>
        <v>99963.709999999963</v>
      </c>
      <c r="BE50" s="336" t="str" cm="1">
        <f t="array" aca="1" ref="BE50" ca="1">_xlfn.IFS(TabCalc[[#This Row],[Cost+Gain]]&gt;0,"Free",             TabCalc[[#This Row],[GL]]&gt;0,"Gainer",                TRUE,"Looser")</f>
        <v>Gainer</v>
      </c>
      <c r="BF50" s="161">
        <f ca="1">TabCalc[[#This Row],[Tot_Paid]]-TabCalc[[#This Row],[ValueBegin]]</f>
        <v>-2686910.4528539996</v>
      </c>
      <c r="BG50" s="337">
        <f ca="1">IF(TabCalc[[#This Row],[EfCost]]&gt;TabCalc[[#This Row],[ValueBegin]],       0,        TabCalc[[#This Row],[EfCost]]-TabCalc[[#This Row],[ValueBegin]]*(1+Commission))</f>
        <v>0</v>
      </c>
      <c r="BH50" s="338">
        <f ca="1">TabCalc[[#This Row],[M_V]]+TabCalc[[#This Row],[ValueBegin]]</f>
        <v>-145236.29000000004</v>
      </c>
      <c r="BI50" s="161" cm="1">
        <f t="array" aca="1" ref="BI50" ca="1">SUMPRODUCT(_xlfn._xlws.FILTER(INDIRECT("TabReg["&amp;TabCalc[[#This Row],[Ticker]]&amp;"1]") * INDIRECT("TabReg["&amp;TabCalc[[#This Row],[Ticker]]&amp;"2]"), INDIRECT("TabReg["&amp;TabCalc[[#This Row],[Ticker]]&amp;"2]")&lt;0))*(1+Commission)*TabCalc[[#This Row],[Scale]]</f>
        <v>-3812946.7428539996</v>
      </c>
      <c r="BJ50" s="161" cm="1">
        <f t="array" aca="1" ref="BJ50" ca="1">SUMPRODUCT(IF(INDIRECT("TabReg["&amp;TabCalc[[#This Row],[Ticker]]&amp;"2]") ="", 0, INDIRECT("TabReg["&amp;TabCalc[[#This Row],[Ticker]]&amp;"1]") * INDIRECT("TabReg["&amp;TabCalc[[#This Row],[Ticker]]&amp;"2]") ))*TabCalc[[#This Row],[Scale]]</f>
        <v>-812995.69000000006</v>
      </c>
      <c r="BK50" s="161" cm="1">
        <f t="array" aca="1" ref="BK5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2982288.9359399998</v>
      </c>
      <c r="BL50" s="161">
        <f ca="1">TabCalc[[#This Row],[M_V]]+TabCalc[[#This Row],[EfCost]]</f>
        <v>167804.30999999994</v>
      </c>
      <c r="BM50" s="161">
        <f ca="1">IF(        OR( TabCalc[[#This Row],[GL]]&gt;ABS(TabCalc[[#This Row],[EfCost]]),TabCalc[[#This Row],[NAfter]]=0),             TabCalc[[#This Row],[GL]],     0)</f>
        <v>0</v>
      </c>
      <c r="BN50" s="161" cm="1">
        <f t="array" aca="1" ref="BN50" ca="1">SUMPRODUCT(_xlfn._xlws.FILTER(IF(INDIRECT("TabReg["&amp;TabCalc[[#This Row],[Ticker]]&amp;"2]") ="", 0, INDIRECT("TabReg["&amp;TabCalc[[#This Row],[Ticker]]&amp;"1]")  ),  INDIRECT("TabReg["&amp;TabCalc[[#This Row],[Ticker]]&amp;"2]") &lt; 0))</f>
        <v>67000</v>
      </c>
      <c r="BO50" s="161">
        <f ca="1">TabCalc[[#This Row],[SB]]-TabCalc[[#This Row],[Nbegin]]</f>
        <v>47000</v>
      </c>
      <c r="BP50" s="161" cm="1">
        <f t="array" aca="1" ref="BP50" ca="1">IFERROR(SUMPRODUCT(_xlfn._xlws.FILTER(IF(INDIRECT("TabReg["&amp;TabCalc[[#This Row],[Ticker]]&amp;"2]") ="", 0, INDIRECT("TabReg["&amp;TabCalc[[#This Row],[Ticker]]&amp;"1]")  ),  INDIRECT("TabReg["&amp;TabCalc[[#This Row],[Ticker]]&amp;"2]") &gt; 0)),0)</f>
        <v>51000</v>
      </c>
      <c r="BQ5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84.45</v>
      </c>
      <c r="BR50" s="176" t="str">
        <f ca="1">IF(TabCalc[[#This Row],[EfCost]]+TabCalc[[#This Row],[M_V]]&lt;TabCalc[[#This Row],[NoT_GL]],"Pile","")</f>
        <v/>
      </c>
      <c r="BS50" s="167">
        <f ca="1">[1]!RTData[[#This Row],[Last trade time]]</f>
        <v>45954.652777777781</v>
      </c>
      <c r="BT50" s="177">
        <f ca="1">(TabCalc[[#This Row],[ValueBegin]]+(TabCalc[[#This Row],[M]]-TabCalc[[#This Row],[A]])*TabCalc[[#This Row],[NAfter]])*TabCalc[[#This Row],[Scale]]</f>
        <v>-1100776.29</v>
      </c>
      <c r="BU50" s="189" cm="1">
        <f t="array" aca="1" ref="BU50" ca="1">_xlfn.XLOOKUP(TabCalc[[#This Row],[Ticker]],TabReg[[#Headers],[AAPL]:[UnknownX28]],Reg!B$72:KF$72)+3</f>
        <v>44</v>
      </c>
      <c r="BV50" s="190" cm="1">
        <f t="array" aca="1" ref="BV50" ca="1">_xlfn.XLOOKUP(TabCalc[[#This Row],[Ticker]],TabReg[[#Headers],[AAPL]:[UnknownX28]],Reg!B$73:KF$73)+2</f>
        <v>147</v>
      </c>
      <c r="BW50" s="191">
        <f ca="1">IFERROR(MAX(TabCalc[[#This Row],[Max_SD]],TabCalc[[#This Row],[Max_PD]]),0)</f>
        <v>45947</v>
      </c>
      <c r="BX50" s="191" t="str" cm="1">
        <f t="array" aca="1" ref="BX50" ca="1">_xlfn.IFS(TabCalc[[#This Row],[L_TP]]&lt;0,"Purchase",TabCalc[[#This Row],[L_TP]]&gt;0,"Sale")</f>
        <v>Purchase</v>
      </c>
      <c r="BY50" s="190" cm="1">
        <f t="array" aca="1" ref="BY50" ca="1">INDEX(Reg!$A$1:$KF$73,TabCalc[[#This Row],[L_I1]],TabCalc[[#This Row],[L_I2]])</f>
        <v>1000</v>
      </c>
      <c r="BZ50" s="192" cm="1">
        <f t="array" aca="1" ref="BZ50" ca="1">INDEX(Reg!$A$1:$KF$73,TabCalc[[#This Row],[L_I1]],TabCalc[[#This Row],[L_I2]]+1)</f>
        <v>-58.89</v>
      </c>
      <c r="CA50" s="161">
        <f ca="1">TabCalc[[#This Row],[NAfter]]*(TabCalc[[#This Row],[M]]-IF(TabCalc[[#This Row],[E]]&gt;0,0,TabCalc[[#This Row],[A]]))</f>
        <v>25259.999999999993</v>
      </c>
      <c r="CB50" s="167" cm="1">
        <f t="array" aca="1" ref="CB50" ca="1">IFERROR(MIN(_xlfn._xlws.FILTER(INDIRECT("TabReg["&amp;TabCalc[[#This Row],[Ticker]]&amp;"]"), INDIRECT("TabReg["&amp;TabCalc[[#This Row],[Ticker]]&amp;"2]")&gt;0)),0)</f>
        <v>45343</v>
      </c>
      <c r="CC50" s="178" cm="1">
        <f t="array" aca="1" ref="CC50" ca="1">IFERROR(MIN(_xlfn._xlws.FILTER(INDIRECT("TabReg["&amp;TabCalc[[#This Row],[Ticker]]&amp;"1]"), INDIRECT("TabReg["&amp;TabCalc[[#This Row],[Ticker]]&amp;"2]")&gt;0)),0)</f>
        <v>834</v>
      </c>
      <c r="CD50" s="173" cm="1">
        <f t="array" aca="1" ref="CD50" ca="1">IFERROR(MIN(_xlfn._xlws.FILTER(INDIRECT("TabReg["&amp;TabCalc[[#This Row],[Ticker]]&amp;"2]"), INDIRECT("TabReg["&amp;TabCalc[[#This Row],[Ticker]]&amp;"2]")&gt;0)),0)</f>
        <v>53.5</v>
      </c>
      <c r="CE50" s="167" cm="1">
        <f t="array" aca="1" ref="CE50" ca="1">IFERROR(MAX(_xlfn._xlws.FILTER(INDIRECT("TabReg["&amp;TabCalc[[#This Row],[Ticker]]&amp;"]"), INDIRECT("TabReg["&amp;TabCalc[[#This Row],[Ticker]]&amp;"2]")&gt;0)),0)</f>
        <v>45939</v>
      </c>
      <c r="CF50" s="178" cm="1">
        <f t="array" aca="1" ref="CF50" ca="1">IFERROR(MAX(_xlfn._xlws.FILTER(INDIRECT("TabReg["&amp;TabCalc[[#This Row],[Ticker]]&amp;"1]"), INDIRECT("TabReg["&amp;TabCalc[[#This Row],[Ticker]]&amp;"2]")&gt;0)),0)</f>
        <v>6000</v>
      </c>
      <c r="CG50" s="173" cm="1">
        <f t="array" aca="1" ref="CG50" ca="1">IFERROR(MAX(_xlfn._xlws.FILTER(INDIRECT("TabReg["&amp;TabCalc[[#This Row],[Ticker]]&amp;"2]"), INDIRECT("TabReg["&amp;TabCalc[[#This Row],[Ticker]]&amp;"2]")&gt;0)),0)</f>
        <v>63.3</v>
      </c>
      <c r="CH50" s="167" cm="1">
        <f t="array" aca="1" ref="CH50" ca="1">MIN(_xlfn._xlws.FILTER(INDIRECT("TabReg["&amp;TabCalc[[#This Row],[Ticker]]&amp;"]"), INDIRECT("TabReg["&amp;TabCalc[[#This Row],[Ticker]]&amp;"2]")&lt;0))</f>
        <v>40544</v>
      </c>
      <c r="CI50" s="177" cm="1">
        <f t="array" aca="1" ref="CI50" ca="1">MIN(_xlfn._xlws.FILTER(INDIRECT("TabReg["&amp;TabCalc[[#This Row],[Ticker]]&amp;"1]"), INDIRECT("TabReg["&amp;TabCalc[[#This Row],[Ticker]]&amp;"2]")&lt;0))</f>
        <v>1000</v>
      </c>
      <c r="CJ50" s="173" cm="1">
        <f t="array" aca="1" ref="CJ50" ca="1">MIN(_xlfn._xlws.FILTER(INDIRECT("TabReg["&amp;TabCalc[[#This Row],[Ticker]]&amp;"2]"), INDIRECT("TabReg["&amp;TabCalc[[#This Row],[Ticker]]&amp;"2]")&lt;0))</f>
        <v>-61.496499999999997</v>
      </c>
      <c r="CK50" s="167" cm="1">
        <f t="array" aca="1" ref="CK50" ca="1">MAX(_xlfn._xlws.FILTER(INDIRECT("TabReg["&amp;TabCalc[[#This Row],[Ticker]]&amp;"]"), INDIRECT("TabReg["&amp;TabCalc[[#This Row],[Ticker]]&amp;"2]")&lt;0))</f>
        <v>45947</v>
      </c>
      <c r="CL50" s="177" cm="1">
        <f t="array" aca="1" ref="CL50" ca="1">MAX(_xlfn._xlws.FILTER(INDIRECT("TabReg["&amp;TabCalc[[#This Row],[Ticker]]&amp;"1]"), INDIRECT("TabReg["&amp;TabCalc[[#This Row],[Ticker]]&amp;"2]")&lt;0))</f>
        <v>20000</v>
      </c>
      <c r="CM50" s="173" cm="1">
        <f t="array" aca="1" ref="CM50" ca="1">MAX(_xlfn._xlws.FILTER(INDIRECT("TabReg["&amp;TabCalc[[#This Row],[Ticker]]&amp;"2]"), INDIRECT("TabReg["&amp;TabCalc[[#This Row],[Ticker]]&amp;"2]")&lt;0))</f>
        <v>-49.1</v>
      </c>
      <c r="CN50" s="167" cm="1">
        <f t="array" aca="1" ref="CN50" ca="1">IFERROR(_xlfn.XLOOKUP(TabCalc[[#This Row],[BS2P]],INDIRECT("TabReg["&amp;TabCalc[[#This Row],[Ticker]]&amp;"2]"),INDIRECT("TabReg["&amp;TabCalc[[#This Row],[Ticker]]&amp;"]")),0)</f>
        <v>45735</v>
      </c>
      <c r="CO50" s="178" cm="1">
        <f t="array" aca="1" ref="CO50" ca="1">IFERROR(_xlfn.XLOOKUP(TabCalc[[#This Row],[BS2P]],INDIRECT("TabReg["&amp;TabCalc[[#This Row],[Ticker]]&amp;"2]"),INDIRECT("TabReg["&amp;TabCalc[[#This Row],[Ticker]]&amp;"1]")),0)</f>
        <v>1000</v>
      </c>
      <c r="CP50" s="173">
        <f ca="1">_xlfn.MAXIFS(INDIRECT("TabReg["&amp;TabCalc[[#This Row],[Ticker]]&amp;"2]"), INDIRECT("TabReg["&amp;TabCalc[[#This Row],[Ticker]]&amp;"2]"), "&lt;" &amp; MAX(INDIRECT("TabReg["&amp;TabCalc[[#This Row],[Ticker]]&amp;"2]")))</f>
        <v>63.1</v>
      </c>
      <c r="CQ50" s="167" cm="1">
        <f t="array" aca="1" ref="CQ50" ca="1">IFERROR(_xlfn.XLOOKUP(TabCalc[[#This Row],[WB2P]],INDIRECT("TabReg["&amp;TabCalc[[#This Row],[Ticker]]&amp;"2]"),INDIRECT("TabReg["&amp;TabCalc[[#This Row],[Ticker]]&amp;"]")),0)</f>
        <v>45862</v>
      </c>
      <c r="CR50" s="178" cm="1">
        <f t="array" aca="1" ref="CR50" ca="1">IFERROR(_xlfn.XLOOKUP(TabCalc[[#This Row],[WB2P]],INDIRECT("TabReg["&amp;TabCalc[[#This Row],[Ticker]]&amp;"2]"),INDIRECT("TabReg["&amp;TabCalc[[#This Row],[Ticker]]&amp;"1]")),0)</f>
        <v>6000</v>
      </c>
      <c r="CS50" s="173">
        <f ca="1">_xlfn.MINIFS(INDIRECT("TabReg["&amp;TabCalc[[#This Row],[Ticker]]&amp;"2]"), INDIRECT("TabReg["&amp;TabCalc[[#This Row],[Ticker]]&amp;"2]"), "&gt;" &amp; MIN(INDIRECT("TabReg["&amp;TabCalc[[#This Row],[Ticker]]&amp;"2]")))</f>
        <v>-61.05</v>
      </c>
      <c r="CT50" s="405">
        <f ca="1">IF(TabCalc[[#This Row],[M]]&lt;TabCalc[[#This Row],[L_Sp]],DesiredBuyGain/(TabCalc[[#This Row],[L_Sp]]-TabCalc[[#This Row],[M]]),0)</f>
        <v>10000</v>
      </c>
      <c r="CU50" s="406">
        <f ca="1">IF(TabCalc[[#This Row],[ntoBuy]]*TabCalc[[#This Row],[M]]&lt;=0,0,TabCalc[[#This Row],[ntoBuy]]*TabCalc[[#This Row],[M]])</f>
        <v>613000</v>
      </c>
      <c r="CV50" s="406">
        <f ca="1">IF(TabCalc[[#This Row],[M]]&gt;ABS(TabCalc[[#This Row],[L_Bp]]),MIN(TabCalc[[#This Row],[NAfter]],DesiredSaleGain/(TabCalc[[#This Row],[M]]+TabCalc[[#This Row],[L_Bp]])),0)/TabCalc[[#This Row],[Scale]]</f>
        <v>2074.6887966805007</v>
      </c>
      <c r="CW50" s="407">
        <f ca="1">TabCalc[[#This Row],[ntoSell]]*TabCalc[[#This Row],[M]]</f>
        <v>127178.42323651469</v>
      </c>
      <c r="CX50" s="400">
        <f ca="1">_xlfn.LET(_xlpm.nToSell,IF(TabCalc[[#This Row],[M]]-TabCalc[[#This Row],[A]]&lt;=0,"",INT(DesiredSaleGain/(TabCalc[[#This Row],[M]]-IF(TabCalc[[#This Row],[E]]&gt;0,0,TabCalc[[#This Row],[A]])))),IF(_xlpm.nToSell&lt;=TabCalc[[#This Row],[NAfter]],_xlpm.nToSell,0))</f>
        <v>3167</v>
      </c>
      <c r="CY50" s="338">
        <f ca="1">IFERROR(TabCalc[[#This Row],[NMA]]*TabCalc[[#This Row],[M]],"")</f>
        <v>194137.09999999998</v>
      </c>
      <c r="CZ50" s="337" cm="1">
        <f t="array" aca="1" ref="CZ50" ca="1">_xlfn.IFS(TabCalc[[#This Row],[M]]&gt;= TabCalc[[#This Row],[L_Sp]],(TabCalc[[#This Row],[M]]-TabCalc[[#This Row],[A]])*TabCalc[[#This Row],[NAfter]]*TabCalc[[#This Row],[Scale]],           TabCalc[[#This Row],[M]]&lt; TabCalc[[#This Row],[L_Sp]],(TabCalc[[#This Row],[M]]-TabCalc[[#This Row],[A]])*TabCalc[[#This Row],[NAfter]]*TabCalc[[#This Row],[Scale]],               TRUE,"")</f>
        <v>25259.999999999993</v>
      </c>
      <c r="DA50" s="90">
        <f ca="1">IFERROR((TabCalc[[#This Row],[M]]+TabCalc[[#This Row],[L_Bp]])/ABS(TabCalc[[#This Row],[L_Bp]])/(TODAY()-TabCalc[[#This Row],[L_Bdate]])*360,"")</f>
        <v>1.6369502462217669</v>
      </c>
      <c r="DB50" s="312" t="e">
        <f>MEDIAN(DataShift!#REF!)</f>
        <v>#REF!</v>
      </c>
      <c r="DC50" s="312" t="e" cm="1">
        <f t="array" aca="1" ref="DC5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0" s="88" t="s">
        <v>46</v>
      </c>
      <c r="DN50" s="81">
        <v>190</v>
      </c>
      <c r="DO50" s="317">
        <v>-109.65132</v>
      </c>
    </row>
    <row r="51" spans="1:119">
      <c r="A51" s="120" t="str">
        <f ca="1">_xlfn.XLOOKUP(TabCalc[[#This Row],[Ticker]],[1]!RTData[Ticker symbol],[1]!RTData[Currency])</f>
        <v>USD</v>
      </c>
      <c r="B51" s="121">
        <f ca="1">IF(TabCalc[[#This Row],[Cur]]="GBP",0.01,1)</f>
        <v>1</v>
      </c>
      <c r="C51" s="82">
        <f ca="1">_xlfn.XLOOKUP(TabCalc[[#This Row],[Ticker]],DM$3:DM$96,DN$3:DN$96)</f>
        <v>5000</v>
      </c>
      <c r="D51" s="1254">
        <f ca="1">_xlfn.XLOOKUP(TabCalc[[#This Row],[Ticker]],DM$3:DM$96,DO$3:DO$96)</f>
        <v>-30.288789999999999</v>
      </c>
      <c r="E51" s="121">
        <f t="shared" ca="1" si="2"/>
        <v>-151443.94999999998</v>
      </c>
      <c r="F51" s="82">
        <f ca="1">TabCalc[[#This Row],[NAfter]]*TabCalc[[#This Row],[M]]*TabCalc[[#This Row],[Scale]]</f>
        <v>51750</v>
      </c>
      <c r="G51" s="82">
        <f ca="1">IFERROR(TabCalc[[#This Row],[SB]]-TabCalc[[#This Row],[SST]],TabCalc[[#This Row],[SB]])</f>
        <v>5000</v>
      </c>
      <c r="H51" s="535" t="str">
        <f ca="1">[1]!RTData[[#This Row],[Ticker symbol]]</f>
        <v>VTRS</v>
      </c>
      <c r="I51" s="385">
        <f ca="1">[1]!RTData[[#This Row],[M-Price]]</f>
        <v>10.35</v>
      </c>
      <c r="J51" s="384">
        <v>9.4600000000000009</v>
      </c>
      <c r="K51" s="383">
        <f>[1]!RTData[[#This Row],[1YT]]</f>
        <v>11.428570000000001</v>
      </c>
      <c r="L51" s="384">
        <f ca="1">IF(OR(TabCalc[[#This Row],[NAfter]]=0,TabCalc[[#This Row],[EfCost]]&gt;0),0,TabCalc[[#This Row],[EfCost]]/TabCalc[[#This Row],[NAfter]]/TabCalc[[#This Row],[Scale]])</f>
        <v>-26.608789999999992</v>
      </c>
      <c r="M51" s="744">
        <f ca="1">[1]!RTData[[#This Row],[Change%]]</f>
        <v>3.8800000000000002E-3</v>
      </c>
      <c r="N51" s="1172">
        <v>0.5</v>
      </c>
      <c r="O51" s="966">
        <f>TabCalc[[#This Row],[Up20]]-1+TabCalc[[#This Row],[Up20]]</f>
        <v>0</v>
      </c>
      <c r="P51" s="966">
        <f>TabCalc[[#This Row],[Up20]]-TabCalc[[#This Row],[Up150]]</f>
        <v>-4.7826086956521685E-2</v>
      </c>
      <c r="Q51" s="966">
        <v>0.54782608695652169</v>
      </c>
      <c r="R51" s="966">
        <f>TabCalc[[#This Row],[Up150]]-1+TabCalc[[#This Row],[Up150]]</f>
        <v>9.565217391304337E-2</v>
      </c>
      <c r="S51" s="966">
        <f ca="1">IFERROR(SUMPRODUCT(DataShift!F1543:Z1543,DataShift!AB750:AV750)/SQRT(SUMPRODUCT(DataShift!F1543:Z1543,DataShift!F1543:Z1543)*SUMPRODUCT(DataShift!AB750:AV750,DataShift!AB750:AV750)),0)</f>
        <v>-0.78899891297959135</v>
      </c>
      <c r="T51" s="966">
        <f ca="1">IFERROR(SUMPRODUCT(DataShift!F1543:Z1543,DataShift!F750:Z750)/SQRT(SUMPRODUCT(DataShift!F1543:Z1543,DataShift!F1543:Z1543)*SUMPRODUCT(DataShift!F750:Z750,DataShift!F750:Z750)),0)</f>
        <v>0.13473249194326695</v>
      </c>
      <c r="U51" s="1107">
        <v>5000</v>
      </c>
      <c r="V51" s="1107">
        <v>0</v>
      </c>
      <c r="W51" s="1107">
        <v>0</v>
      </c>
      <c r="X51" s="966" t="str">
        <f ca="1">IF(TabCalc[[#This Row],[EfCost]]+TabCalc[[#This Row],[M_V]]&lt;TabCalc[[#This Row],[NoT_GL]],"Pile","")</f>
        <v/>
      </c>
      <c r="Y5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1" s="213">
        <f ca="1">MIN(TabCalc[[#This Row],[L_Bn]],TabCalc[[#This Row],[NAfter]])*(TabCalc[[#This Row],[M]]+TabCalc[[#This Row],[L_Bp]])*TabCalc[[#This Row],[Scale]]</f>
        <v>4449.9999999999936</v>
      </c>
      <c r="AA51" s="210" cm="1">
        <f t="array" aca="1" ref="AA51" ca="1">_xlfn.XLOOKUP(TabCalc[[#This Row],[L_Bp]],INDIRECT("TabReg["&amp;TabCalc[[#This Row],[Ticker]]&amp;"2]"),INDIRECT("TabReg["&amp;TabCalc[[#This Row],[Ticker]]&amp;"]"))</f>
        <v>45925</v>
      </c>
      <c r="AB51" s="181" cm="1">
        <f t="array" aca="1" ref="AB51" ca="1">_xlfn.XLOOKUP(TabCalc[[#This Row],[L_Bp]],INDIRECT("TabReg["&amp;TabCalc[[#This Row],[Ticker]]&amp;"2]"),INDIRECT("TabReg["&amp;TabCalc[[#This Row],[Ticker]]&amp;"1]"))</f>
        <v>5000</v>
      </c>
      <c r="AC51" s="192" cm="1">
        <f t="array" aca="1" ref="AC51" ca="1">IFERROR(INDEX(INDIRECT("TabReg["&amp;TabCalc[[#This Row],[Ticker]]&amp;"2]"),    _xlfn.XMATCH(    MAX(    _xlfn._xlws.FILTER(INDIRECT("TabReg["&amp;TabCalc[[#This Row],[Ticker]]&amp;"]"), INDIRECT("TabReg["&amp;TabCalc[[#This Row],[Ticker]]&amp;"2]")&lt;0)     ), INDIRECT("TabReg["&amp;TabCalc[[#This Row],[Ticker]]&amp;"]"),      0)), "")</f>
        <v>-9.4600000000000009</v>
      </c>
      <c r="AD51" s="213">
        <f ca="1">IFERROR(MIN(TabCalc[[#This Row],[L_B1n]],TabCalc[[#This Row],[NAfter]])*(TabCalc[[#This Row],[M]]+TabCalc[[#This Row],[L_B1p]])*TabCalc[[#This Row],[Scale]],"")</f>
        <v>10599.999999999996</v>
      </c>
      <c r="AE51" s="210" cm="1">
        <f t="array" aca="1" ref="AE5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F51" s="181" cm="1">
        <f t="array" aca="1" ref="AF51" ca="1">IFERROR(_xlfn.XLOOKUP(TabCalc[[#This Row],[L_B1D]],INDIRECT("TabReg["&amp;TabCalc[[#This Row],[Ticker]]&amp;"]"),INDIRECT("TabReg["&amp;TabCalc[[#This Row],[Ticker]]&amp;"1]")),0)</f>
        <v>5000</v>
      </c>
      <c r="AG51" s="192" cm="1">
        <f t="array" aca="1" ref="AG51" ca="1">IFERROR(_xlfn.XLOOKUP(TabCalc[[#This Row],[L_B1D]],INDIRECT("TabReg["&amp;TabCalc[[#This Row],[Ticker]]&amp;"]"),INDIRECT("TabReg["&amp;TabCalc[[#This Row],[Ticker]]&amp;"2]")),0)</f>
        <v>-8.23</v>
      </c>
      <c r="AH51" s="214">
        <f ca="1">IFERROR(TabCalc[[#This Row],[L_Sn]]*(TabCalc[[#This Row],[L_Sp]]-TabCalc[[#This Row],[M]])*TabCalc[[#This Row],[Scale]],"")</f>
        <v>-1399.9999999999968</v>
      </c>
      <c r="AI51" s="210" cm="1">
        <f t="array" aca="1" ref="AI51" ca="1">IFERROR(_xlfn.XLOOKUP(TabCalc[[#This Row],[L_Sp]],INDIRECT("TabReg["&amp;TabCalc[[#This Row],[Ticker]]&amp;"2]"),INDIRECT("TabReg["&amp;TabCalc[[#This Row],[Ticker]]&amp;"]")),0)</f>
        <v>45946</v>
      </c>
      <c r="AJ51" s="181" cm="1">
        <f t="array" aca="1" ref="AJ51" ca="1">IFERROR(_xlfn.XLOOKUP(TabCalc[[#This Row],[L_Sp]],INDIRECT("TabReg["&amp;TabCalc[[#This Row],[Ticker]]&amp;"2]"),INDIRECT("TabReg["&amp;TabCalc[[#This Row],[Ticker]]&amp;"1]")),0)</f>
        <v>5000</v>
      </c>
      <c r="AK51" s="192" cm="1">
        <f t="array" aca="1" ref="AK51" ca="1">IFERROR(INDEX(INDIRECT("TabReg["&amp;TabCalc[[#This Row],[Ticker]]&amp;"2]"), _xlfn.XMATCH(MAX(_xlfn._xlws.FILTER(INDIRECT("TabReg["&amp;TabCalc[[#This Row],[Ticker]]&amp;"]"), INDIRECT("TabReg["&amp;TabCalc[[#This Row],[Ticker]]&amp;"2]")&gt;0)), INDIRECT("TabReg["&amp;TabCalc[[#This Row],[Ticker]]&amp;"]"), 0)), 0)</f>
        <v>10.07</v>
      </c>
      <c r="AL51" s="214">
        <f ca="1">IFERROR(TabCalc[[#This Row],[L_S1n]]*(TabCalc[[#This Row],[L_S1p]]-TabCalc[[#This Row],[M]])*TabCalc[[#This Row],[Scale]],0)</f>
        <v>1150.000000000002</v>
      </c>
      <c r="AM51" s="210" cm="1">
        <f t="array" aca="1" ref="AM5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45894</v>
      </c>
      <c r="AN51" s="181" cm="1">
        <f t="array" aca="1" ref="AN51" ca="1">IFERROR(_xlfn.XLOOKUP(TabCalc[[#This Row],[L_S1D]],INDIRECT("TabReg["&amp;TabCalc[[#This Row],[Ticker]]&amp;"]"),INDIRECT("TabReg["&amp;TabCalc[[#This Row],[Ticker]]&amp;"1]")),0)</f>
        <v>5000</v>
      </c>
      <c r="AO51" s="384" cm="1">
        <f t="array" aca="1" ref="AO51" ca="1">IFERROR(_xlfn.XLOOKUP(TabCalc[[#This Row],[L_S1D]],INDIRECT("TabReg["&amp;TabCalc[[#This Row],[Ticker]]&amp;"]"),INDIRECT("TabReg["&amp;TabCalc[[#This Row],[Ticker]]&amp;"2]")),0)</f>
        <v>10.58</v>
      </c>
      <c r="AP51" s="336">
        <f ca="1">_xlfn.LET(_xlpm.MVOpen,[1]!RTData[[#This Row],[Open]]*TabCalc[[#This Row],[NAfter]],_xlpm.MVNow,TabCalc[[#This Row],[M]]*TabCalc[[#This Row],[NAfter]],_xlpm.MVNow-_xlpm.MVOpen)*TabCalc[[#This Row],[Scale]]</f>
        <v>-50</v>
      </c>
      <c r="AQ51" s="336">
        <f ca="1">_xlfn.LET(_xlpm.MVToday,DataShift!AV551,         _xlpm.MVY,DataShift!AU551,        _xlpm.MVYY, DataShift!AT551,                                IF(_xlpm.MVToday=_xlpm.MVY,_xlpm.MVY-_xlpm.MVYY,_xlpm.MVToday-_xlpm.MVY))</f>
        <v>300</v>
      </c>
      <c r="AR51" s="336">
        <f ca="1">_xlfn.LET(_xlpm.MVToday,DataShift!AV551,         _xlpm.MVY,DataShift!AU551,        _xlpm.MVYY, DataShift!AT551,         _xlpm.MVYYY, DataShift!AS551,                      IF(_xlpm.MVToday=_xlpm.MVY,      _xlpm.MVYY-_xlpm.MVYYY,          _xlpm.MVY-_xlpm.MVYY))</f>
        <v>345</v>
      </c>
      <c r="AS51" s="1078">
        <f ca="1">TabCalc[[#This Row],[Y]]/TabCalc[[#This Row],[M]]</f>
        <v>1.1042096618357489</v>
      </c>
      <c r="AT51" s="299" t="str" cm="1">
        <f t="array" aca="1" ref="AT51" ca="1">IFERROR(_xlfn.IFS(          TabCalc[[#This Row],[E]]&gt;0, "Free Trade",      TabCalc[[#This Row],[A]]&lt;MIN(TabCalc[[#This Row],[L_Sp]],TabCalc[[#This Row],[M]]), "Buy",            TabCalc[[#This Row],[M]]&lt;TabCalc[[#This Row],[L_Sp]],       "Refill",       TabCalc[[#This Row],[M]]&gt;TabCalc[[#This Row],[L_Sp]],"S_more"),"")</f>
        <v>Buy</v>
      </c>
      <c r="AU51" s="299" t="str">
        <f ca="1">IF(           AND(TabCalc[[#This Row],[E]]&lt;=0,          TabCalc[[#This Row],[A]]&gt;MIN(TabCalc[[#This Row],[M]],TabCalc[[#This Row],[L_Sp]]),             TabCalc[[#This Row],[L_Sp]]&lt;=TabCalc[[#This Row],[M]]),                       "S_more","")</f>
        <v/>
      </c>
      <c r="AV51" s="82" t="str" cm="1">
        <f t="array" aca="1" ref="AV51" ca="1">IFERROR(_xlfn.IFS(TabCalc[[#This Row],[E]]&gt;0,"Free trade",                 TabCalc[[#This Row],[A]]&lt;MAX(ABS(TabCalc[[#This Row],[L_Bp]]),TabCalc[[#This Row],[A]]),"Sell",             TabCalc[[#This Row],[M]]&gt;ABS(TabCalc[[#This Row],[L_Bp]]),"Resell",             TabCalc[[#This Row],[M]]&lt;ABS(TabCalc[[#This Row],[L_Bp]]),"B_more"),"")</f>
        <v>Resell</v>
      </c>
      <c r="AW51" s="82">
        <f ca="1">TabCalc[[#This Row],[NAfter]]-TabCalc[[#This Row],[Nbegin]]</f>
        <v>0</v>
      </c>
      <c r="AX51" s="307">
        <f ca="1">IFERROR((TabCalc[[#This Row],[M]]-TabCalc[[#This Row],[Y]])*(TabCalc[[#This Row],[M]]-TabCalc[[#This Row],[Y]])*(TabCalc[[#This Row],[M]]-TabCalc[[#This Row],[Y]])/(TabCalc[[#This Row],[Y]]*TabCalc[[#This Row],[M]]),"")</f>
        <v>-1.0607493313693395E-2</v>
      </c>
      <c r="AY51" s="82">
        <f t="shared" ca="1" si="3"/>
        <v>0</v>
      </c>
      <c r="AZ51" s="90">
        <f ca="1">[1]!RTData[[#This Row],[V/VA]]</f>
        <v>0.56862767858430829</v>
      </c>
      <c r="BA51" s="90" t="str" cm="1">
        <f t="array" aca="1" ref="BA51" ca="1">IFERROR(_xlfn.IFS(TabCalc[[#This Row],[Cur]]="USD",Timer!F$27,TabCalc[[#This Row],[Cur]]="EUR",Timer!F$18,TabCalc[[#This Row],[Cur]]="GBP",Timer!F$12,TabCalc[[#This Row],[Cur]]="CAD",Timer!F$27,TabCalc[[#This Row],[Cur]]="JPY",Timer!F$31,TabCalc[[#This Row],[Cur]]="CHF",Timer!F$18),"Timing")</f>
        <v>None-Working Day</v>
      </c>
      <c r="BB51" s="90">
        <f ca="1">IF(ISNUMBER(TabCalc[[#This Row],[TimeEX]]),TabCalc[[#This Row],[V/VA]]/TabCalc[[#This Row],[TimeEX]],TabCalc[[#This Row],[V/VA]])</f>
        <v>0.56862767858430829</v>
      </c>
      <c r="BC51" s="87" cm="1">
        <f t="array" aca="1" ref="BC51" ca="1">INDEX(TabReg[], 1, _xlfn.XMATCH(TabCalc[[#This Row],[Ticker]]&amp;1, TabReg[#Headers], 0))</f>
        <v>5000</v>
      </c>
      <c r="BD51" s="161">
        <f ca="1">TabCalc[[#This Row],[Nbegin]]*TabCalc[[#This Row],[M]]*TabCalc[[#This Row],[Scale]]+TabCalc[[#This Row],[ValueBegin]]</f>
        <v>-99693.949999999983</v>
      </c>
      <c r="BE51" s="336" t="str" cm="1">
        <f t="array" aca="1" ref="BE51" ca="1">_xlfn.IFS(TabCalc[[#This Row],[Cost+Gain]]&gt;0,"Free",             TabCalc[[#This Row],[GL]]&gt;0,"Gainer",                TRUE,"Looser")</f>
        <v>Looser</v>
      </c>
      <c r="BF51" s="161">
        <f ca="1">TabCalc[[#This Row],[Tot_Paid]]-TabCalc[[#This Row],[ValueBegin]]</f>
        <v>-202668.30426999994</v>
      </c>
      <c r="BG51" s="337">
        <f ca="1">IF(TabCalc[[#This Row],[EfCost]]&gt;TabCalc[[#This Row],[ValueBegin]],       0,        TabCalc[[#This Row],[EfCost]]-TabCalc[[#This Row],[ValueBegin]]*(1+Commission))</f>
        <v>0</v>
      </c>
      <c r="BH51" s="338">
        <f ca="1">TabCalc[[#This Row],[M_V]]+TabCalc[[#This Row],[ValueBegin]]</f>
        <v>-99693.949999999983</v>
      </c>
      <c r="BI51" s="161" cm="1">
        <f t="array" aca="1" ref="BI51" ca="1">SUMPRODUCT(_xlfn._xlws.FILTER(INDIRECT("TabReg["&amp;TabCalc[[#This Row],[Ticker]]&amp;"1]") * INDIRECT("TabReg["&amp;TabCalc[[#This Row],[Ticker]]&amp;"2]"), INDIRECT("TabReg["&amp;TabCalc[[#This Row],[Ticker]]&amp;"2]")&lt;0))*(1+Commission)*TabCalc[[#This Row],[Scale]]</f>
        <v>-354112.25426999992</v>
      </c>
      <c r="BJ51" s="161" cm="1">
        <f t="array" aca="1" ref="BJ51" ca="1">SUMPRODUCT(IF(INDIRECT("TabReg["&amp;TabCalc[[#This Row],[Ticker]]&amp;"2]") ="", 0, INDIRECT("TabReg["&amp;TabCalc[[#This Row],[Ticker]]&amp;"1]") * INDIRECT("TabReg["&amp;TabCalc[[#This Row],[Ticker]]&amp;"2]") ))*TabCalc[[#This Row],[Scale]]</f>
        <v>-133043.94999999995</v>
      </c>
      <c r="BK51" s="161" cm="1">
        <f t="array" aca="1" ref="BK5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219577.61</v>
      </c>
      <c r="BL51" s="161">
        <f ca="1">TabCalc[[#This Row],[M_V]]+TabCalc[[#This Row],[EfCost]]</f>
        <v>-81293.949999999953</v>
      </c>
      <c r="BM51" s="161">
        <f ca="1">IF(        OR( TabCalc[[#This Row],[GL]]&gt;ABS(TabCalc[[#This Row],[EfCost]]),TabCalc[[#This Row],[NAfter]]=0),             TabCalc[[#This Row],[GL]],     0)</f>
        <v>0</v>
      </c>
      <c r="BN51" s="161" cm="1">
        <f t="array" aca="1" ref="BN51" ca="1">SUMPRODUCT(_xlfn._xlws.FILTER(IF(INDIRECT("TabReg["&amp;TabCalc[[#This Row],[Ticker]]&amp;"2]") ="", 0, INDIRECT("TabReg["&amp;TabCalc[[#This Row],[Ticker]]&amp;"1]")  ),  INDIRECT("TabReg["&amp;TabCalc[[#This Row],[Ticker]]&amp;"2]") &lt; 0))</f>
        <v>25000</v>
      </c>
      <c r="BO51" s="161">
        <f ca="1">TabCalc[[#This Row],[SB]]-TabCalc[[#This Row],[Nbegin]]</f>
        <v>20000</v>
      </c>
      <c r="BP51" s="161" cm="1">
        <f t="array" aca="1" ref="BP51" ca="1">IFERROR(SUMPRODUCT(_xlfn._xlws.FILTER(IF(INDIRECT("TabReg["&amp;TabCalc[[#This Row],[Ticker]]&amp;"2]") ="", 0, INDIRECT("TabReg["&amp;TabCalc[[#This Row],[Ticker]]&amp;"1]")  ),  INDIRECT("TabReg["&amp;TabCalc[[#This Row],[Ticker]]&amp;"2]") &gt; 0)),0)</f>
        <v>20000</v>
      </c>
      <c r="BQ5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1" s="176" t="str">
        <f ca="1">IF(TabCalc[[#This Row],[EfCost]]+TabCalc[[#This Row],[M_V]]&lt;TabCalc[[#This Row],[NoT_GL]],"Pile","")</f>
        <v/>
      </c>
      <c r="BS51" s="167">
        <f ca="1">[1]!RTData[[#This Row],[Last trade time]]</f>
        <v>45954.955811678126</v>
      </c>
      <c r="BT51" s="177">
        <f ca="1">(TabCalc[[#This Row],[ValueBegin]]+(TabCalc[[#This Row],[M]]-TabCalc[[#This Row],[A]])*TabCalc[[#This Row],[NAfter]])*TabCalc[[#This Row],[Scale]]</f>
        <v>-146993.94999999998</v>
      </c>
      <c r="BU51" s="189" cm="1">
        <f t="array" aca="1" ref="BU51" ca="1">_xlfn.XLOOKUP(TabCalc[[#This Row],[Ticker]],TabReg[[#Headers],[AAPL]:[UnknownX28]],Reg!B$72:KF$72)+3</f>
        <v>10</v>
      </c>
      <c r="BV51" s="190" cm="1">
        <f t="array" aca="1" ref="BV51" ca="1">_xlfn.XLOOKUP(TabCalc[[#This Row],[Ticker]],TabReg[[#Headers],[AAPL]:[UnknownX28]],Reg!B$73:KF$73)+2</f>
        <v>150</v>
      </c>
      <c r="BW51" s="191">
        <f ca="1">IFERROR(MAX(TabCalc[[#This Row],[Max_SD]],TabCalc[[#This Row],[Max_PD]]),0)</f>
        <v>45946</v>
      </c>
      <c r="BX51" s="191" t="str" cm="1">
        <f t="array" aca="1" ref="BX51" ca="1">_xlfn.IFS(TabCalc[[#This Row],[L_TP]]&lt;0,"Purchase",TabCalc[[#This Row],[L_TP]]&gt;0,"Sale")</f>
        <v>Sale</v>
      </c>
      <c r="BY51" s="190" cm="1">
        <f t="array" aca="1" ref="BY51" ca="1">INDEX(Reg!$A$1:$KF$73,TabCalc[[#This Row],[L_I1]],TabCalc[[#This Row],[L_I2]])</f>
        <v>5000</v>
      </c>
      <c r="BZ51" s="192" cm="1">
        <f t="array" aca="1" ref="BZ51" ca="1">INDEX(Reg!$A$1:$KF$73,TabCalc[[#This Row],[L_I1]],TabCalc[[#This Row],[L_I2]]+1)</f>
        <v>10.07</v>
      </c>
      <c r="CA51" s="161">
        <f ca="1">TabCalc[[#This Row],[NAfter]]*(TabCalc[[#This Row],[M]]-IF(TabCalc[[#This Row],[E]]&gt;0,0,TabCalc[[#This Row],[A]]))</f>
        <v>4449.9999999999936</v>
      </c>
      <c r="CB51" s="167" cm="1">
        <f t="array" aca="1" ref="CB51" ca="1">IFERROR(MIN(_xlfn._xlws.FILTER(INDIRECT("TabReg["&amp;TabCalc[[#This Row],[Ticker]]&amp;"]"), INDIRECT("TabReg["&amp;TabCalc[[#This Row],[Ticker]]&amp;"2]")&gt;0)),0)</f>
        <v>45497</v>
      </c>
      <c r="CC51" s="178" cm="1">
        <f t="array" aca="1" ref="CC51" ca="1">IFERROR(MIN(_xlfn._xlws.FILTER(INDIRECT("TabReg["&amp;TabCalc[[#This Row],[Ticker]]&amp;"1]"), INDIRECT("TabReg["&amp;TabCalc[[#This Row],[Ticker]]&amp;"2]")&gt;0)),0)</f>
        <v>5000</v>
      </c>
      <c r="CD51" s="173" cm="1">
        <f t="array" aca="1" ref="CD51" ca="1">IFERROR(MIN(_xlfn._xlws.FILTER(INDIRECT("TabReg["&amp;TabCalc[[#This Row],[Ticker]]&amp;"2]"), INDIRECT("TabReg["&amp;TabCalc[[#This Row],[Ticker]]&amp;"2]")&gt;0)),0)</f>
        <v>10.07</v>
      </c>
      <c r="CE51" s="167" cm="1">
        <f t="array" aca="1" ref="CE51" ca="1">IFERROR(MAX(_xlfn._xlws.FILTER(INDIRECT("TabReg["&amp;TabCalc[[#This Row],[Ticker]]&amp;"]"), INDIRECT("TabReg["&amp;TabCalc[[#This Row],[Ticker]]&amp;"2]")&gt;0)),0)</f>
        <v>45946</v>
      </c>
      <c r="CF51" s="178" cm="1">
        <f t="array" aca="1" ref="CF51" ca="1">IFERROR(MAX(_xlfn._xlws.FILTER(INDIRECT("TabReg["&amp;TabCalc[[#This Row],[Ticker]]&amp;"1]"), INDIRECT("TabReg["&amp;TabCalc[[#This Row],[Ticker]]&amp;"2]")&gt;0)),0)</f>
        <v>10000</v>
      </c>
      <c r="CG51" s="173" cm="1">
        <f t="array" aca="1" ref="CG51" ca="1">IFERROR(MAX(_xlfn._xlws.FILTER(INDIRECT("TabReg["&amp;TabCalc[[#This Row],[Ticker]]&amp;"2]"), INDIRECT("TabReg["&amp;TabCalc[[#This Row],[Ticker]]&amp;"2]")&gt;0)),0)</f>
        <v>11.69</v>
      </c>
      <c r="CH51" s="167" cm="1">
        <f t="array" aca="1" ref="CH51" ca="1">MIN(_xlfn._xlws.FILTER(INDIRECT("TabReg["&amp;TabCalc[[#This Row],[Ticker]]&amp;"]"), INDIRECT("TabReg["&amp;TabCalc[[#This Row],[Ticker]]&amp;"2]")&lt;0))</f>
        <v>40544</v>
      </c>
      <c r="CI51" s="177" cm="1">
        <f t="array" aca="1" ref="CI51" ca="1">MIN(_xlfn._xlws.FILTER(INDIRECT("TabReg["&amp;TabCalc[[#This Row],[Ticker]]&amp;"1]"), INDIRECT("TabReg["&amp;TabCalc[[#This Row],[Ticker]]&amp;"2]")&lt;0))</f>
        <v>5000</v>
      </c>
      <c r="CJ51" s="173" cm="1">
        <f t="array" aca="1" ref="CJ51" ca="1">MIN(_xlfn._xlws.FILTER(INDIRECT("TabReg["&amp;TabCalc[[#This Row],[Ticker]]&amp;"2]"), INDIRECT("TabReg["&amp;TabCalc[[#This Row],[Ticker]]&amp;"2]")&lt;0))</f>
        <v>-30.288789999999999</v>
      </c>
      <c r="CK51" s="167" cm="1">
        <f t="array" aca="1" ref="CK51" ca="1">MAX(_xlfn._xlws.FILTER(INDIRECT("TabReg["&amp;TabCalc[[#This Row],[Ticker]]&amp;"]"), INDIRECT("TabReg["&amp;TabCalc[[#This Row],[Ticker]]&amp;"2]")&lt;0))</f>
        <v>45925</v>
      </c>
      <c r="CL51" s="177" cm="1">
        <f t="array" aca="1" ref="CL51" ca="1">MAX(_xlfn._xlws.FILTER(INDIRECT("TabReg["&amp;TabCalc[[#This Row],[Ticker]]&amp;"1]"), INDIRECT("TabReg["&amp;TabCalc[[#This Row],[Ticker]]&amp;"2]")&lt;0))</f>
        <v>10000</v>
      </c>
      <c r="CM51" s="173" cm="1">
        <f t="array" aca="1" ref="CM51" ca="1">MAX(_xlfn._xlws.FILTER(INDIRECT("TabReg["&amp;TabCalc[[#This Row],[Ticker]]&amp;"2]"), INDIRECT("TabReg["&amp;TabCalc[[#This Row],[Ticker]]&amp;"2]")&lt;0))</f>
        <v>-8.23</v>
      </c>
      <c r="CN51" s="167" cm="1">
        <f t="array" aca="1" ref="CN51" ca="1">IFERROR(_xlfn.XLOOKUP(TabCalc[[#This Row],[BS2P]],INDIRECT("TabReg["&amp;TabCalc[[#This Row],[Ticker]]&amp;"2]"),INDIRECT("TabReg["&amp;TabCalc[[#This Row],[Ticker]]&amp;"]")),0)</f>
        <v>45894</v>
      </c>
      <c r="CO51" s="178" cm="1">
        <f t="array" aca="1" ref="CO51" ca="1">IFERROR(_xlfn.XLOOKUP(TabCalc[[#This Row],[BS2P]],INDIRECT("TabReg["&amp;TabCalc[[#This Row],[Ticker]]&amp;"2]"),INDIRECT("TabReg["&amp;TabCalc[[#This Row],[Ticker]]&amp;"1]")),0)</f>
        <v>5000</v>
      </c>
      <c r="CP51" s="173">
        <f ca="1">_xlfn.MAXIFS(INDIRECT("TabReg["&amp;TabCalc[[#This Row],[Ticker]]&amp;"2]"), INDIRECT("TabReg["&amp;TabCalc[[#This Row],[Ticker]]&amp;"2]"), "&lt;" &amp; MAX(INDIRECT("TabReg["&amp;TabCalc[[#This Row],[Ticker]]&amp;"2]")))</f>
        <v>10.58</v>
      </c>
      <c r="CQ51" s="167" cm="1">
        <f t="array" aca="1" ref="CQ51" ca="1">IFERROR(_xlfn.XLOOKUP(TabCalc[[#This Row],[WB2P]],INDIRECT("TabReg["&amp;TabCalc[[#This Row],[Ticker]]&amp;"2]"),INDIRECT("TabReg["&amp;TabCalc[[#This Row],[Ticker]]&amp;"]")),0)</f>
        <v>45485</v>
      </c>
      <c r="CR51" s="178" cm="1">
        <f t="array" aca="1" ref="CR51" ca="1">IFERROR(_xlfn.XLOOKUP(TabCalc[[#This Row],[WB2P]],INDIRECT("TabReg["&amp;TabCalc[[#This Row],[Ticker]]&amp;"2]"),INDIRECT("TabReg["&amp;TabCalc[[#This Row],[Ticker]]&amp;"1]")),0)</f>
        <v>10000</v>
      </c>
      <c r="CS51" s="173">
        <f ca="1">_xlfn.MINIFS(INDIRECT("TabReg["&amp;TabCalc[[#This Row],[Ticker]]&amp;"2]"), INDIRECT("TabReg["&amp;TabCalc[[#This Row],[Ticker]]&amp;"2]"), "&gt;" &amp; MIN(INDIRECT("TabReg["&amp;TabCalc[[#This Row],[Ticker]]&amp;"2]")))</f>
        <v>-11.33</v>
      </c>
      <c r="CT51" s="405">
        <f ca="1">IF(TabCalc[[#This Row],[M]]&lt;TabCalc[[#This Row],[L_Sp]],DesiredBuyGain/(TabCalc[[#This Row],[L_Sp]]-TabCalc[[#This Row],[M]]),0)</f>
        <v>0</v>
      </c>
      <c r="CU51" s="406">
        <f ca="1">IF(TabCalc[[#This Row],[ntoBuy]]*TabCalc[[#This Row],[M]]&lt;=0,0,TabCalc[[#This Row],[ntoBuy]]*TabCalc[[#This Row],[M]])</f>
        <v>0</v>
      </c>
      <c r="CV51" s="406">
        <f ca="1">IF(TabCalc[[#This Row],[M]]&gt;ABS(TabCalc[[#This Row],[L_Bp]]),MIN(TabCalc[[#This Row],[NAfter]],DesiredSaleGain/(TabCalc[[#This Row],[M]]+TabCalc[[#This Row],[L_Bp]])),0)/TabCalc[[#This Row],[Scale]]</f>
        <v>5000</v>
      </c>
      <c r="CW51" s="407">
        <f ca="1">TabCalc[[#This Row],[ntoSell]]*TabCalc[[#This Row],[M]]</f>
        <v>51750</v>
      </c>
      <c r="CX51" s="400">
        <f ca="1">_xlfn.LET(_xlpm.nToSell,IF(TabCalc[[#This Row],[M]]-TabCalc[[#This Row],[A]]&lt;=0,"",INT(DesiredSaleGain/(TabCalc[[#This Row],[M]]-IF(TabCalc[[#This Row],[E]]&gt;0,0,TabCalc[[#This Row],[A]])))),IF(_xlpm.nToSell&lt;=TabCalc[[#This Row],[NAfter]],_xlpm.nToSell,0))</f>
        <v>0</v>
      </c>
      <c r="CY51" s="338">
        <f ca="1">IFERROR(TabCalc[[#This Row],[NMA]]*TabCalc[[#This Row],[M]],"")</f>
        <v>0</v>
      </c>
      <c r="CZ51" s="337" cm="1">
        <f t="array" aca="1" ref="CZ51" ca="1">_xlfn.IFS(TabCalc[[#This Row],[M]]&gt;= TabCalc[[#This Row],[L_Sp]],(TabCalc[[#This Row],[M]]-TabCalc[[#This Row],[A]])*TabCalc[[#This Row],[NAfter]]*TabCalc[[#This Row],[Scale]],           TabCalc[[#This Row],[M]]&lt; TabCalc[[#This Row],[L_Sp]],(TabCalc[[#This Row],[M]]-TabCalc[[#This Row],[A]])*TabCalc[[#This Row],[NAfter]]*TabCalc[[#This Row],[Scale]],               TRUE,"")</f>
        <v>4449.9999999999936</v>
      </c>
      <c r="DA51" s="90">
        <f ca="1">IFERROR((TabCalc[[#This Row],[M]]+TabCalc[[#This Row],[L_Bp]])/ABS(TabCalc[[#This Row],[L_Bp]])/(TODAY()-TabCalc[[#This Row],[L_Bdate]])*360,"")</f>
        <v>1.0925458637386603</v>
      </c>
      <c r="DB51" s="312">
        <f ca="1">MEDIAN(DataShift!F750:Z750)</f>
        <v>4.5519999999999996E-3</v>
      </c>
      <c r="DC51" s="312" t="e" cm="1">
        <f t="array" aca="1" ref="DC5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1" s="88" t="s">
        <v>47</v>
      </c>
      <c r="DN51" s="81">
        <v>10000</v>
      </c>
      <c r="DO51" s="317">
        <v>-19.13</v>
      </c>
    </row>
    <row r="52" spans="1:119">
      <c r="A52" s="120" t="str">
        <f ca="1">_xlfn.XLOOKUP(TabCalc[[#This Row],[Ticker]],[1]!RTData[Ticker symbol],[1]!RTData[Currency])</f>
        <v>USD</v>
      </c>
      <c r="B52" s="121">
        <f ca="1">IF(TabCalc[[#This Row],[Cur]]="GBP",0.01,1)</f>
        <v>1</v>
      </c>
      <c r="C52" s="82">
        <f ca="1">_xlfn.XLOOKUP(TabCalc[[#This Row],[Ticker]],DM$3:DM$96,DN$3:DN$96)</f>
        <v>750</v>
      </c>
      <c r="D52" s="1254">
        <f ca="1">_xlfn.XLOOKUP(TabCalc[[#This Row],[Ticker]],DM$3:DM$96,DO$3:DO$96)</f>
        <v>-49.343906666666669</v>
      </c>
      <c r="E52" s="121">
        <f t="shared" ca="1" si="2"/>
        <v>-37007.93</v>
      </c>
      <c r="F52" s="82">
        <f ca="1">TabCalc[[#This Row],[NAfter]]*TabCalc[[#This Row],[M]]*TabCalc[[#This Row],[Scale]]</f>
        <v>35940</v>
      </c>
      <c r="G52" s="82">
        <f ca="1">IFERROR(TabCalc[[#This Row],[SB]]-TabCalc[[#This Row],[SST]],TabCalc[[#This Row],[SB]])</f>
        <v>3000</v>
      </c>
      <c r="H52" s="535" t="str">
        <f ca="1">[1]!RTData[[#This Row],[Ticker symbol]]</f>
        <v>WBA</v>
      </c>
      <c r="I52" s="385">
        <f ca="1">[1]!RTData[[#This Row],[M-Price]]</f>
        <v>11.98</v>
      </c>
      <c r="J52" s="384">
        <v>10.059900000000001</v>
      </c>
      <c r="K52" s="383">
        <f>[1]!RTData[[#This Row],[1YT]]</f>
        <v>12.11429</v>
      </c>
      <c r="L52" s="384">
        <f ca="1">IF(OR(TabCalc[[#This Row],[NAfter]]=0,TabCalc[[#This Row],[EfCost]]&gt;0),0,TabCalc[[#This Row],[EfCost]]/TabCalc[[#This Row],[NAfter]]/TabCalc[[#This Row],[Scale]])</f>
        <v>-19.200585</v>
      </c>
      <c r="M52" s="744">
        <f ca="1">[1]!RTData[[#This Row],[Change%]]</f>
        <v>0</v>
      </c>
      <c r="N52" s="1172">
        <v>0.22222222222222221</v>
      </c>
      <c r="O52" s="966">
        <f>TabCalc[[#This Row],[Up20]]-1+TabCalc[[#This Row],[Up20]]</f>
        <v>-0.55555555555555558</v>
      </c>
      <c r="P52" s="966">
        <f>TabCalc[[#This Row],[Up20]]-TabCalc[[#This Row],[Up150]]</f>
        <v>-0.34115805946791866</v>
      </c>
      <c r="Q52" s="966">
        <v>0.56338028169014087</v>
      </c>
      <c r="R52" s="966">
        <f>TabCalc[[#This Row],[Up150]]-1+TabCalc[[#This Row],[Up150]]</f>
        <v>0.12676056338028174</v>
      </c>
      <c r="S52" s="966">
        <f ca="1">IFERROR(SUMPRODUCT(DataShift!F1544:Z1544,DataShift!AB751:AV751)/SQRT(SUMPRODUCT(DataShift!F1544:Z1544,DataShift!F1544:Z1544)*SUMPRODUCT(DataShift!AB751:AV751,DataShift!AB751:AV751)),0)</f>
        <v>-0.81012238517399437</v>
      </c>
      <c r="T52" s="966">
        <f ca="1">IFERROR(SUMPRODUCT(DataShift!F1544:Z1544,DataShift!F751:Z751)/SQRT(SUMPRODUCT(DataShift!F1544:Z1544,DataShift!F1544:Z1544)*SUMPRODUCT(DataShift!F751:Z751,DataShift!F751:Z751)),0)</f>
        <v>0.14903375099801255</v>
      </c>
      <c r="U52" s="1107">
        <v>3000</v>
      </c>
      <c r="V52" s="1107">
        <v>0</v>
      </c>
      <c r="W52" s="1107">
        <v>0</v>
      </c>
      <c r="X52" s="966" t="str">
        <f ca="1">IF(TabCalc[[#This Row],[EfCost]]+TabCalc[[#This Row],[M_V]]&lt;TabCalc[[#This Row],[NoT_GL]],"Pile","")</f>
        <v/>
      </c>
      <c r="Y5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2" s="213">
        <f ca="1">MIN(TabCalc[[#This Row],[L_Bn]],TabCalc[[#This Row],[NAfter]])*(TabCalc[[#This Row],[M]]+TabCalc[[#This Row],[L_Bp]])*TabCalc[[#This Row],[Scale]]</f>
        <v>5760.2999999999993</v>
      </c>
      <c r="AA52" s="210" cm="1">
        <f t="array" aca="1" ref="AA52" ca="1">_xlfn.XLOOKUP(TabCalc[[#This Row],[L_Bp]],INDIRECT("TabReg["&amp;TabCalc[[#This Row],[Ticker]]&amp;"2]"),INDIRECT("TabReg["&amp;TabCalc[[#This Row],[Ticker]]&amp;"]"))</f>
        <v>45694</v>
      </c>
      <c r="AB52" s="181" cm="1">
        <f t="array" aca="1" ref="AB52" ca="1">_xlfn.XLOOKUP(TabCalc[[#This Row],[L_Bp]],INDIRECT("TabReg["&amp;TabCalc[[#This Row],[Ticker]]&amp;"2]"),INDIRECT("TabReg["&amp;TabCalc[[#This Row],[Ticker]]&amp;"1]"))</f>
        <v>6500</v>
      </c>
      <c r="AC52" s="192" cm="1">
        <f t="array" aca="1" ref="AC52" ca="1">IFERROR(INDEX(INDIRECT("TabReg["&amp;TabCalc[[#This Row],[Ticker]]&amp;"2]"),    _xlfn.XMATCH(    MAX(    _xlfn._xlws.FILTER(INDIRECT("TabReg["&amp;TabCalc[[#This Row],[Ticker]]&amp;"]"), INDIRECT("TabReg["&amp;TabCalc[[#This Row],[Ticker]]&amp;"2]")&lt;0)     ), INDIRECT("TabReg["&amp;TabCalc[[#This Row],[Ticker]]&amp;"]"),      0)), "")</f>
        <v>-10.059900000000001</v>
      </c>
      <c r="AD52" s="213">
        <f ca="1">IFERROR(MIN(TabCalc[[#This Row],[L_B1n]],TabCalc[[#This Row],[NAfter]])*(TabCalc[[#This Row],[M]]+TabCalc[[#This Row],[L_B1p]])*TabCalc[[#This Row],[Scale]],"")</f>
        <v>2250</v>
      </c>
      <c r="AE52" s="210" cm="1">
        <f t="array" aca="1" ref="AE5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45577</v>
      </c>
      <c r="AF52" s="181" cm="1">
        <f t="array" aca="1" ref="AF52" ca="1">IFERROR(_xlfn.XLOOKUP(TabCalc[[#This Row],[L_B1D]],INDIRECT("TabReg["&amp;TabCalc[[#This Row],[Ticker]]&amp;"]"),INDIRECT("TabReg["&amp;TabCalc[[#This Row],[Ticker]]&amp;"1]")),0)</f>
        <v>1500</v>
      </c>
      <c r="AG52" s="192" cm="1">
        <f t="array" aca="1" ref="AG52" ca="1">IFERROR(_xlfn.XLOOKUP(TabCalc[[#This Row],[L_B1D]],INDIRECT("TabReg["&amp;TabCalc[[#This Row],[Ticker]]&amp;"]"),INDIRECT("TabReg["&amp;TabCalc[[#This Row],[Ticker]]&amp;"2]")),0)</f>
        <v>-10.48</v>
      </c>
      <c r="AH52" s="214">
        <f ca="1">IFERROR(TabCalc[[#This Row],[L_Sn]]*(TabCalc[[#This Row],[L_Sp]]-TabCalc[[#This Row],[M]])*TabCalc[[#This Row],[Scale]],"")</f>
        <v>-2915.6000000000049</v>
      </c>
      <c r="AI52" s="210" cm="1">
        <f t="array" aca="1" ref="AI52" ca="1">IFERROR(_xlfn.XLOOKUP(TabCalc[[#This Row],[L_Sp]],INDIRECT("TabReg["&amp;TabCalc[[#This Row],[Ticker]]&amp;"2]"),INDIRECT("TabReg["&amp;TabCalc[[#This Row],[Ticker]]&amp;"]")),0)</f>
        <v>45796</v>
      </c>
      <c r="AJ52" s="181" cm="1">
        <f t="array" aca="1" ref="AJ52" ca="1">IFERROR(_xlfn.XLOOKUP(TabCalc[[#This Row],[L_Sp]],INDIRECT("TabReg["&amp;TabCalc[[#This Row],[Ticker]]&amp;"2]"),INDIRECT("TabReg["&amp;TabCalc[[#This Row],[Ticker]]&amp;"1]")),0)</f>
        <v>4000</v>
      </c>
      <c r="AK52" s="192" cm="1">
        <f t="array" aca="1" ref="AK52" ca="1">IFERROR(INDEX(INDIRECT("TabReg["&amp;TabCalc[[#This Row],[Ticker]]&amp;"2]"), _xlfn.XMATCH(MAX(_xlfn._xlws.FILTER(INDIRECT("TabReg["&amp;TabCalc[[#This Row],[Ticker]]&amp;"]"), INDIRECT("TabReg["&amp;TabCalc[[#This Row],[Ticker]]&amp;"2]")&gt;0)), INDIRECT("TabReg["&amp;TabCalc[[#This Row],[Ticker]]&amp;"]"), 0)), 0)</f>
        <v>11.251099999999999</v>
      </c>
      <c r="AL52" s="214">
        <f ca="1">IFERROR(TabCalc[[#This Row],[L_S1n]]*(TabCalc[[#This Row],[L_S1p]]-TabCalc[[#This Row],[M]])*TabCalc[[#This Row],[Scale]],0)</f>
        <v>-3644.9999999999995</v>
      </c>
      <c r="AM52" s="210" cm="1">
        <f t="array" aca="1" ref="AM5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N52" s="181" cm="1">
        <f t="array" aca="1" ref="AN52" ca="1">IFERROR(_xlfn.XLOOKUP(TabCalc[[#This Row],[L_S1D]],INDIRECT("TabReg["&amp;TabCalc[[#This Row],[Ticker]]&amp;"]"),INDIRECT("TabReg["&amp;TabCalc[[#This Row],[Ticker]]&amp;"1]")),0)</f>
        <v>3000</v>
      </c>
      <c r="AO52" s="384" cm="1">
        <f t="array" aca="1" ref="AO52" ca="1">IFERROR(_xlfn.XLOOKUP(TabCalc[[#This Row],[L_S1D]],INDIRECT("TabReg["&amp;TabCalc[[#This Row],[Ticker]]&amp;"]"),INDIRECT("TabReg["&amp;TabCalc[[#This Row],[Ticker]]&amp;"2]")),0)</f>
        <v>10.765000000000001</v>
      </c>
      <c r="AP52" s="336">
        <f ca="1">_xlfn.LET(_xlpm.MVOpen,[1]!RTData[[#This Row],[Open]]*TabCalc[[#This Row],[NAfter]],_xlpm.MVNow,TabCalc[[#This Row],[M]]*TabCalc[[#This Row],[NAfter]],_xlpm.MVNow-_xlpm.MVOpen)*TabCalc[[#This Row],[Scale]]</f>
        <v>195</v>
      </c>
      <c r="AQ52" s="336">
        <f ca="1">_xlfn.LET(_xlpm.MVToday,DataShift!AV552,         _xlpm.MVY,DataShift!AU552,        _xlpm.MVYY, DataShift!AT552,                                IF(_xlpm.MVToday=_xlpm.MVY,_xlpm.MVY-_xlpm.MVYY,_xlpm.MVToday-_xlpm.MVY))</f>
        <v>3200</v>
      </c>
      <c r="AR52" s="336">
        <f ca="1">_xlfn.LET(_xlpm.MVToday,DataShift!AV552,         _xlpm.MVY,DataShift!AU552,        _xlpm.MVYY, DataShift!AT552,         _xlpm.MVYYY, DataShift!AS552,                      IF(_xlpm.MVToday=_xlpm.MVY,      _xlpm.MVYY-_xlpm.MVYYY,          _xlpm.MVY-_xlpm.MVYY))</f>
        <v>12800</v>
      </c>
      <c r="AS52" s="1078">
        <f ca="1">TabCalc[[#This Row],[Y]]/TabCalc[[#This Row],[M]]</f>
        <v>1.0112095158597663</v>
      </c>
      <c r="AT52" s="299" t="str" cm="1">
        <f t="array" aca="1" ref="AT52" ca="1">IFERROR(_xlfn.IFS(          TabCalc[[#This Row],[E]]&gt;0, "Free Trade",      TabCalc[[#This Row],[A]]&lt;MIN(TabCalc[[#This Row],[L_Sp]],TabCalc[[#This Row],[M]]), "Buy",            TabCalc[[#This Row],[M]]&lt;TabCalc[[#This Row],[L_Sp]],       "Refill",       TabCalc[[#This Row],[M]]&gt;TabCalc[[#This Row],[L_Sp]],"S_more"),"")</f>
        <v>Buy</v>
      </c>
      <c r="AU52" s="299" t="str">
        <f ca="1">IF(           AND(TabCalc[[#This Row],[E]]&lt;=0,          TabCalc[[#This Row],[A]]&gt;MIN(TabCalc[[#This Row],[M]],TabCalc[[#This Row],[L_Sp]]),             TabCalc[[#This Row],[L_Sp]]&lt;=TabCalc[[#This Row],[M]]),                       "S_more","")</f>
        <v/>
      </c>
      <c r="AV52" s="82" t="str" cm="1">
        <f t="array" aca="1" ref="AV52" ca="1">IFERROR(_xlfn.IFS(TabCalc[[#This Row],[E]]&gt;0,"Free trade",                 TabCalc[[#This Row],[A]]&lt;MAX(ABS(TabCalc[[#This Row],[L_Bp]]),TabCalc[[#This Row],[A]]),"Sell",             TabCalc[[#This Row],[M]]&gt;ABS(TabCalc[[#This Row],[L_Bp]]),"Resell",             TabCalc[[#This Row],[M]]&lt;ABS(TabCalc[[#This Row],[L_Bp]]),"B_more"),"")</f>
        <v>Resell</v>
      </c>
      <c r="AW52" s="82">
        <f ca="1">TabCalc[[#This Row],[NAfter]]-TabCalc[[#This Row],[Nbegin]]</f>
        <v>2250</v>
      </c>
      <c r="AX52" s="307">
        <f ca="1">IFERROR((TabCalc[[#This Row],[M]]-TabCalc[[#This Row],[Y]])*(TabCalc[[#This Row],[M]]-TabCalc[[#This Row],[Y]])*(TabCalc[[#This Row],[M]]-TabCalc[[#This Row],[Y]])/(TabCalc[[#This Row],[Y]]*TabCalc[[#This Row],[M]]),"")</f>
        <v>-1.6686922062363388E-5</v>
      </c>
      <c r="AY52" s="82">
        <f t="shared" ca="1" si="3"/>
        <v>0</v>
      </c>
      <c r="AZ52" s="90">
        <f ca="1">[1]!RTData[[#This Row],[V/VA]]</f>
        <v>14.986033366586197</v>
      </c>
      <c r="BA52" s="90" t="str" cm="1">
        <f t="array" aca="1" ref="BA52" ca="1">IFERROR(_xlfn.IFS(TabCalc[[#This Row],[Cur]]="USD",Timer!F$27,TabCalc[[#This Row],[Cur]]="EUR",Timer!F$18,TabCalc[[#This Row],[Cur]]="GBP",Timer!F$12,TabCalc[[#This Row],[Cur]]="CAD",Timer!F$27,TabCalc[[#This Row],[Cur]]="JPY",Timer!F$31,TabCalc[[#This Row],[Cur]]="CHF",Timer!F$18),"Timing")</f>
        <v>None-Working Day</v>
      </c>
      <c r="BB52" s="90">
        <f ca="1">IF(ISNUMBER(TabCalc[[#This Row],[TimeEX]]),TabCalc[[#This Row],[V/VA]]/TabCalc[[#This Row],[TimeEX]],TabCalc[[#This Row],[V/VA]])</f>
        <v>14.986033366586197</v>
      </c>
      <c r="BC52" s="87" cm="1">
        <f t="array" aca="1" ref="BC52" ca="1">INDEX(TabReg[], 1, _xlfn.XMATCH(TabCalc[[#This Row],[Ticker]]&amp;1, TabReg[#Headers], 0))</f>
        <v>750</v>
      </c>
      <c r="BD52" s="161">
        <f ca="1">TabCalc[[#This Row],[Nbegin]]*TabCalc[[#This Row],[M]]*TabCalc[[#This Row],[Scale]]+TabCalc[[#This Row],[ValueBegin]]</f>
        <v>-28022.93</v>
      </c>
      <c r="BE52" s="336" t="str" cm="1">
        <f t="array" aca="1" ref="BE52" ca="1">_xlfn.IFS(TabCalc[[#This Row],[Cost+Gain]]&gt;0,"Free",             TabCalc[[#This Row],[GL]]&gt;0,"Gainer",                TRUE,"Looser")</f>
        <v>Looser</v>
      </c>
      <c r="BF52" s="161">
        <f ca="1">TabCalc[[#This Row],[Tot_Paid]]-TabCalc[[#This Row],[ValueBegin]]</f>
        <v>-150346.583503</v>
      </c>
      <c r="BG52" s="337">
        <f ca="1">IF(TabCalc[[#This Row],[EfCost]]&gt;TabCalc[[#This Row],[ValueBegin]],       0,        TabCalc[[#This Row],[EfCost]]-TabCalc[[#This Row],[ValueBegin]]*(1+Commission))</f>
        <v>-20497.604382000005</v>
      </c>
      <c r="BH52" s="338">
        <f ca="1">TabCalc[[#This Row],[M_V]]+TabCalc[[#This Row],[ValueBegin]]</f>
        <v>-1067.9300000000003</v>
      </c>
      <c r="BI52" s="161" cm="1">
        <f t="array" aca="1" ref="BI52" ca="1">SUMPRODUCT(_xlfn._xlws.FILTER(INDIRECT("TabReg["&amp;TabCalc[[#This Row],[Ticker]]&amp;"1]") * INDIRECT("TabReg["&amp;TabCalc[[#This Row],[Ticker]]&amp;"2]"), INDIRECT("TabReg["&amp;TabCalc[[#This Row],[Ticker]]&amp;"2]")&lt;0))*(1+Commission)*TabCalc[[#This Row],[Scale]]</f>
        <v>-187354.51350299999</v>
      </c>
      <c r="BJ52" s="161" cm="1">
        <f t="array" aca="1" ref="BJ52" ca="1">SUMPRODUCT(IF(INDIRECT("TabReg["&amp;TabCalc[[#This Row],[Ticker]]&amp;"2]") ="", 0, INDIRECT("TabReg["&amp;TabCalc[[#This Row],[Ticker]]&amp;"1]") * INDIRECT("TabReg["&amp;TabCalc[[#This Row],[Ticker]]&amp;"2]") ))*TabCalc[[#This Row],[Scale]]</f>
        <v>-57601.755000000005</v>
      </c>
      <c r="BK52" s="161" cm="1">
        <f t="array" aca="1" ref="BK5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128930.80605999999</v>
      </c>
      <c r="BL52" s="161">
        <f ca="1">TabCalc[[#This Row],[M_V]]+TabCalc[[#This Row],[EfCost]]</f>
        <v>-21661.755000000005</v>
      </c>
      <c r="BM52" s="161">
        <f ca="1">IF(        OR( TabCalc[[#This Row],[GL]]&gt;ABS(TabCalc[[#This Row],[EfCost]]),TabCalc[[#This Row],[NAfter]]=0),             TabCalc[[#This Row],[GL]],     0)</f>
        <v>0</v>
      </c>
      <c r="BN52" s="161" cm="1">
        <f t="array" aca="1" ref="BN52" ca="1">SUMPRODUCT(_xlfn._xlws.FILTER(IF(INDIRECT("TabReg["&amp;TabCalc[[#This Row],[Ticker]]&amp;"2]") ="", 0, INDIRECT("TabReg["&amp;TabCalc[[#This Row],[Ticker]]&amp;"1]")  ),  INDIRECT("TabReg["&amp;TabCalc[[#This Row],[Ticker]]&amp;"2]") &lt; 0))</f>
        <v>13750</v>
      </c>
      <c r="BO52" s="161">
        <f ca="1">TabCalc[[#This Row],[SB]]-TabCalc[[#This Row],[Nbegin]]</f>
        <v>13000</v>
      </c>
      <c r="BP52" s="161" cm="1">
        <f t="array" aca="1" ref="BP52" ca="1">IFERROR(SUMPRODUCT(_xlfn._xlws.FILTER(IF(INDIRECT("TabReg["&amp;TabCalc[[#This Row],[Ticker]]&amp;"2]") ="", 0, INDIRECT("TabReg["&amp;TabCalc[[#This Row],[Ticker]]&amp;"1]")  ),  INDIRECT("TabReg["&amp;TabCalc[[#This Row],[Ticker]]&amp;"2]") &gt; 0)),0)</f>
        <v>10750</v>
      </c>
      <c r="BQ5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2" s="176" t="str">
        <f ca="1">IF(TabCalc[[#This Row],[EfCost]]+TabCalc[[#This Row],[M_V]]&lt;TabCalc[[#This Row],[NoT_GL]],"Pile","")</f>
        <v/>
      </c>
      <c r="BS52" s="167">
        <f ca="1">[1]!RTData[[#This Row],[Last trade time]]</f>
        <v>45896.992190289064</v>
      </c>
      <c r="BT52" s="177">
        <f ca="1">(TabCalc[[#This Row],[ValueBegin]]+(TabCalc[[#This Row],[M]]-TabCalc[[#This Row],[A]])*TabCalc[[#This Row],[NAfter]])*TabCalc[[#This Row],[Scale]]</f>
        <v>-31247.63</v>
      </c>
      <c r="BU52" s="189" cm="1">
        <f t="array" aca="1" ref="BU52" ca="1">_xlfn.XLOOKUP(TabCalc[[#This Row],[Ticker]],TabReg[[#Headers],[AAPL]:[UnknownX28]],Reg!B$72:KF$72)+3</f>
        <v>14</v>
      </c>
      <c r="BV52" s="190" cm="1">
        <f t="array" aca="1" ref="BV52" ca="1">_xlfn.XLOOKUP(TabCalc[[#This Row],[Ticker]],TabReg[[#Headers],[AAPL]:[UnknownX28]],Reg!B$73:KF$73)+2</f>
        <v>153</v>
      </c>
      <c r="BW52" s="191">
        <f ca="1">IFERROR(MAX(TabCalc[[#This Row],[Max_SD]],TabCalc[[#This Row],[Max_PD]]),0)</f>
        <v>45796</v>
      </c>
      <c r="BX52" s="191" t="str" cm="1">
        <f t="array" aca="1" ref="BX52" ca="1">_xlfn.IFS(TabCalc[[#This Row],[L_TP]]&lt;0,"Purchase",TabCalc[[#This Row],[L_TP]]&gt;0,"Sale")</f>
        <v>Sale</v>
      </c>
      <c r="BY52" s="190" cm="1">
        <f t="array" aca="1" ref="BY52" ca="1">INDEX(Reg!$A$1:$KF$73,TabCalc[[#This Row],[L_I1]],TabCalc[[#This Row],[L_I2]])</f>
        <v>4000</v>
      </c>
      <c r="BZ52" s="192" cm="1">
        <f t="array" aca="1" ref="BZ52" ca="1">INDEX(Reg!$A$1:$KF$73,TabCalc[[#This Row],[L_I1]],TabCalc[[#This Row],[L_I2]]+1)</f>
        <v>11.251099999999999</v>
      </c>
      <c r="CA52" s="161">
        <f ca="1">TabCalc[[#This Row],[NAfter]]*(TabCalc[[#This Row],[M]]-IF(TabCalc[[#This Row],[E]]&gt;0,0,TabCalc[[#This Row],[A]]))</f>
        <v>5760.2999999999993</v>
      </c>
      <c r="CB52" s="167" cm="1">
        <f t="array" aca="1" ref="CB52" ca="1">IFERROR(MIN(_xlfn._xlws.FILTER(INDIRECT("TabReg["&amp;TabCalc[[#This Row],[Ticker]]&amp;"]"), INDIRECT("TabReg["&amp;TabCalc[[#This Row],[Ticker]]&amp;"2]")&gt;0)),0)</f>
        <v>45379</v>
      </c>
      <c r="CC52" s="178" cm="1">
        <f t="array" aca="1" ref="CC52" ca="1">IFERROR(MIN(_xlfn._xlws.FILTER(INDIRECT("TabReg["&amp;TabCalc[[#This Row],[Ticker]]&amp;"1]"), INDIRECT("TabReg["&amp;TabCalc[[#This Row],[Ticker]]&amp;"2]")&gt;0)),0)</f>
        <v>750</v>
      </c>
      <c r="CD52" s="173" cm="1">
        <f t="array" aca="1" ref="CD52" ca="1">IFERROR(MIN(_xlfn._xlws.FILTER(INDIRECT("TabReg["&amp;TabCalc[[#This Row],[Ticker]]&amp;"2]"), INDIRECT("TabReg["&amp;TabCalc[[#This Row],[Ticker]]&amp;"2]")&gt;0)),0)</f>
        <v>10.765000000000001</v>
      </c>
      <c r="CE52" s="167" cm="1">
        <f t="array" aca="1" ref="CE52" ca="1">IFERROR(MAX(_xlfn._xlws.FILTER(INDIRECT("TabReg["&amp;TabCalc[[#This Row],[Ticker]]&amp;"]"), INDIRECT("TabReg["&amp;TabCalc[[#This Row],[Ticker]]&amp;"2]")&gt;0)),0)</f>
        <v>45796</v>
      </c>
      <c r="CF52" s="178" cm="1">
        <f t="array" aca="1" ref="CF52" ca="1">IFERROR(MAX(_xlfn._xlws.FILTER(INDIRECT("TabReg["&amp;TabCalc[[#This Row],[Ticker]]&amp;"1]"), INDIRECT("TabReg["&amp;TabCalc[[#This Row],[Ticker]]&amp;"2]")&gt;0)),0)</f>
        <v>4000</v>
      </c>
      <c r="CG52" s="173" cm="1">
        <f t="array" aca="1" ref="CG52" ca="1">IFERROR(MAX(_xlfn._xlws.FILTER(INDIRECT("TabReg["&amp;TabCalc[[#This Row],[Ticker]]&amp;"2]"), INDIRECT("TabReg["&amp;TabCalc[[#This Row],[Ticker]]&amp;"2]")&gt;0)),0)</f>
        <v>21.31</v>
      </c>
      <c r="CH52" s="167" cm="1">
        <f t="array" aca="1" ref="CH52" ca="1">MIN(_xlfn._xlws.FILTER(INDIRECT("TabReg["&amp;TabCalc[[#This Row],[Ticker]]&amp;"]"), INDIRECT("TabReg["&amp;TabCalc[[#This Row],[Ticker]]&amp;"2]")&lt;0))</f>
        <v>40544</v>
      </c>
      <c r="CI52" s="177" cm="1">
        <f t="array" aca="1" ref="CI52" ca="1">MIN(_xlfn._xlws.FILTER(INDIRECT("TabReg["&amp;TabCalc[[#This Row],[Ticker]]&amp;"1]"), INDIRECT("TabReg["&amp;TabCalc[[#This Row],[Ticker]]&amp;"2]")&lt;0))</f>
        <v>750</v>
      </c>
      <c r="CJ52" s="173" cm="1">
        <f t="array" aca="1" ref="CJ52" ca="1">MIN(_xlfn._xlws.FILTER(INDIRECT("TabReg["&amp;TabCalc[[#This Row],[Ticker]]&amp;"2]"), INDIRECT("TabReg["&amp;TabCalc[[#This Row],[Ticker]]&amp;"2]")&lt;0))</f>
        <v>-49.343906666666669</v>
      </c>
      <c r="CK52" s="167" cm="1">
        <f t="array" aca="1" ref="CK52" ca="1">MAX(_xlfn._xlws.FILTER(INDIRECT("TabReg["&amp;TabCalc[[#This Row],[Ticker]]&amp;"]"), INDIRECT("TabReg["&amp;TabCalc[[#This Row],[Ticker]]&amp;"2]")&lt;0))</f>
        <v>45694</v>
      </c>
      <c r="CL52" s="177" cm="1">
        <f t="array" aca="1" ref="CL52" ca="1">MAX(_xlfn._xlws.FILTER(INDIRECT("TabReg["&amp;TabCalc[[#This Row],[Ticker]]&amp;"1]"), INDIRECT("TabReg["&amp;TabCalc[[#This Row],[Ticker]]&amp;"2]")&lt;0))</f>
        <v>6500</v>
      </c>
      <c r="CM52" s="173" cm="1">
        <f t="array" aca="1" ref="CM52" ca="1">MAX(_xlfn._xlws.FILTER(INDIRECT("TabReg["&amp;TabCalc[[#This Row],[Ticker]]&amp;"2]"), INDIRECT("TabReg["&amp;TabCalc[[#This Row],[Ticker]]&amp;"2]")&lt;0))</f>
        <v>-10.059900000000001</v>
      </c>
      <c r="CN52" s="167" cm="1">
        <f t="array" aca="1" ref="CN52" ca="1">IFERROR(_xlfn.XLOOKUP(TabCalc[[#This Row],[BS2P]],INDIRECT("TabReg["&amp;TabCalc[[#This Row],[Ticker]]&amp;"2]"),INDIRECT("TabReg["&amp;TabCalc[[#This Row],[Ticker]]&amp;"]")),0)</f>
        <v>45673</v>
      </c>
      <c r="CO52" s="178" cm="1">
        <f t="array" aca="1" ref="CO52" ca="1">IFERROR(_xlfn.XLOOKUP(TabCalc[[#This Row],[BS2P]],INDIRECT("TabReg["&amp;TabCalc[[#This Row],[Ticker]]&amp;"2]"),INDIRECT("TabReg["&amp;TabCalc[[#This Row],[Ticker]]&amp;"1]")),0)</f>
        <v>1500</v>
      </c>
      <c r="CP52" s="173">
        <f ca="1">_xlfn.MAXIFS(INDIRECT("TabReg["&amp;TabCalc[[#This Row],[Ticker]]&amp;"2]"), INDIRECT("TabReg["&amp;TabCalc[[#This Row],[Ticker]]&amp;"2]"), "&lt;" &amp; MAX(INDIRECT("TabReg["&amp;TabCalc[[#This Row],[Ticker]]&amp;"2]")))</f>
        <v>12.46</v>
      </c>
      <c r="CQ52" s="167" cm="1">
        <f t="array" aca="1" ref="CQ52" ca="1">IFERROR(_xlfn.XLOOKUP(TabCalc[[#This Row],[WB2P]],INDIRECT("TabReg["&amp;TabCalc[[#This Row],[Ticker]]&amp;"2]"),INDIRECT("TabReg["&amp;TabCalc[[#This Row],[Ticker]]&amp;"]")),0)</f>
        <v>45376</v>
      </c>
      <c r="CR52" s="178" cm="1">
        <f t="array" aca="1" ref="CR52" ca="1">IFERROR(_xlfn.XLOOKUP(TabCalc[[#This Row],[WB2P]],INDIRECT("TabReg["&amp;TabCalc[[#This Row],[Ticker]]&amp;"2]"),INDIRECT("TabReg["&amp;TabCalc[[#This Row],[Ticker]]&amp;"1]")),0)</f>
        <v>750</v>
      </c>
      <c r="CS52" s="173">
        <f ca="1">_xlfn.MINIFS(INDIRECT("TabReg["&amp;TabCalc[[#This Row],[Ticker]]&amp;"2]"), INDIRECT("TabReg["&amp;TabCalc[[#This Row],[Ticker]]&amp;"2]"), "&gt;" &amp; MIN(INDIRECT("TabReg["&amp;TabCalc[[#This Row],[Ticker]]&amp;"2]")))</f>
        <v>-20.667000000000002</v>
      </c>
      <c r="CT52" s="405">
        <f ca="1">IF(TabCalc[[#This Row],[M]]&lt;TabCalc[[#This Row],[L_Sp]],DesiredBuyGain/(TabCalc[[#This Row],[L_Sp]]-TabCalc[[#This Row],[M]]),0)</f>
        <v>0</v>
      </c>
      <c r="CU52" s="406">
        <f ca="1">IF(TabCalc[[#This Row],[ntoBuy]]*TabCalc[[#This Row],[M]]&lt;=0,0,TabCalc[[#This Row],[ntoBuy]]*TabCalc[[#This Row],[M]])</f>
        <v>0</v>
      </c>
      <c r="CV52" s="406">
        <f ca="1">IF(TabCalc[[#This Row],[M]]&gt;ABS(TabCalc[[#This Row],[L_Bp]]),MIN(TabCalc[[#This Row],[NAfter]],DesiredSaleGain/(TabCalc[[#This Row],[M]]+TabCalc[[#This Row],[L_Bp]])),0)/TabCalc[[#This Row],[Scale]]</f>
        <v>2604.031040049998</v>
      </c>
      <c r="CW52" s="407">
        <f ca="1">TabCalc[[#This Row],[ntoSell]]*TabCalc[[#This Row],[M]]</f>
        <v>31196.291859798977</v>
      </c>
      <c r="CX52" s="400">
        <f ca="1">_xlfn.LET(_xlpm.nToSell,IF(TabCalc[[#This Row],[M]]-TabCalc[[#This Row],[A]]&lt;=0,"",INT(DesiredSaleGain/(TabCalc[[#This Row],[M]]-IF(TabCalc[[#This Row],[E]]&gt;0,0,TabCalc[[#This Row],[A]])))),IF(_xlpm.nToSell&lt;=TabCalc[[#This Row],[NAfter]],_xlpm.nToSell,0))</f>
        <v>2604</v>
      </c>
      <c r="CY52" s="338">
        <f ca="1">IFERROR(TabCalc[[#This Row],[NMA]]*TabCalc[[#This Row],[M]],"")</f>
        <v>31195.920000000002</v>
      </c>
      <c r="CZ52" s="337" cm="1">
        <f t="array" aca="1" ref="CZ52" ca="1">_xlfn.IFS(TabCalc[[#This Row],[M]]&gt;= TabCalc[[#This Row],[L_Sp]],(TabCalc[[#This Row],[M]]-TabCalc[[#This Row],[A]])*TabCalc[[#This Row],[NAfter]]*TabCalc[[#This Row],[Scale]],           TabCalc[[#This Row],[M]]&lt; TabCalc[[#This Row],[L_Sp]],(TabCalc[[#This Row],[M]]-TabCalc[[#This Row],[A]])*TabCalc[[#This Row],[NAfter]]*TabCalc[[#This Row],[Scale]],               TRUE,"")</f>
        <v>5760.2999999999993</v>
      </c>
      <c r="DA52" s="90">
        <f ca="1">IFERROR((TabCalc[[#This Row],[M]]+TabCalc[[#This Row],[L_Bp]])/ABS(TabCalc[[#This Row],[L_Bp]])/(TODAY()-TabCalc[[#This Row],[L_Bdate]])*360,"")</f>
        <v>0.26225959935103232</v>
      </c>
      <c r="DB52" s="312">
        <f ca="1">MEDIAN(DataShift!F751:Z751)</f>
        <v>3.2729999999999999E-3</v>
      </c>
      <c r="DC52" s="312" t="e" cm="1">
        <f t="array" aca="1" ref="DC5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2" s="88" t="s">
        <v>48</v>
      </c>
      <c r="DN52" s="81">
        <v>20000</v>
      </c>
      <c r="DO52" s="317">
        <v>-56.301814499999999</v>
      </c>
    </row>
    <row r="53" spans="1:119">
      <c r="A53" s="120" t="str">
        <f ca="1">_xlfn.XLOOKUP(TabCalc[[#This Row],[Ticker]],[1]!RTData[Ticker symbol],[1]!RTData[Currency])</f>
        <v>USD</v>
      </c>
      <c r="B53" s="121">
        <f ca="1">IF(TabCalc[[#This Row],[Cur]]="GBP",0.01,1)</f>
        <v>1</v>
      </c>
      <c r="C53" s="82">
        <f ca="1">_xlfn.XLOOKUP(TabCalc[[#This Row],[Ticker]],DM$3:DM$96,DN$3:DN$96)</f>
        <v>200</v>
      </c>
      <c r="D53" s="1254">
        <f ca="1">_xlfn.XLOOKUP(TabCalc[[#This Row],[Ticker]],DM$3:DM$96,DO$3:DO$96)</f>
        <v>-99.51</v>
      </c>
      <c r="E53" s="121">
        <f t="shared" ca="1" si="2"/>
        <v>-19902</v>
      </c>
      <c r="F53" s="82">
        <f ca="1">TabCalc[[#This Row],[NAfter]]*TabCalc[[#This Row],[M]]*TabCalc[[#This Row],[Scale]]</f>
        <v>57695</v>
      </c>
      <c r="G53" s="82">
        <f ca="1">IFERROR(TabCalc[[#This Row],[SB]]-TabCalc[[#This Row],[SST]],TabCalc[[#This Row],[SB]])</f>
        <v>500</v>
      </c>
      <c r="H53" s="535" t="str">
        <f ca="1">[1]!RTData[[#This Row],[Ticker symbol]]</f>
        <v>XOM</v>
      </c>
      <c r="I53" s="385">
        <f ca="1">[1]!RTData[[#This Row],[M-Price]]</f>
        <v>115.39</v>
      </c>
      <c r="J53" s="384">
        <v>112.93</v>
      </c>
      <c r="K53" s="383">
        <f>[1]!RTData[[#This Row],[1YT]]</f>
        <v>124.4512</v>
      </c>
      <c r="L53" s="384">
        <f ca="1">IF(OR(TabCalc[[#This Row],[NAfter]]=0,TabCalc[[#This Row],[EfCost]]&gt;0),0,TabCalc[[#This Row],[EfCost]]/TabCalc[[#This Row],[NAfter]]/TabCalc[[#This Row],[Scale]])</f>
        <v>-96.541799999999995</v>
      </c>
      <c r="M53" s="744">
        <f ca="1">[1]!RTData[[#This Row],[Change%]]</f>
        <v>-5.0870000000000004E-3</v>
      </c>
      <c r="N53" s="1172">
        <v>0.375</v>
      </c>
      <c r="O53" s="966">
        <f>TabCalc[[#This Row],[Up20]]-1+TabCalc[[#This Row],[Up20]]</f>
        <v>-0.25</v>
      </c>
      <c r="P53" s="966">
        <f>TabCalc[[#This Row],[Up20]]-TabCalc[[#This Row],[Up150]]</f>
        <v>-0.1686893203883495</v>
      </c>
      <c r="Q53" s="966">
        <v>0.5436893203883495</v>
      </c>
      <c r="R53" s="966">
        <f>TabCalc[[#This Row],[Up150]]-1+TabCalc[[#This Row],[Up150]]</f>
        <v>8.737864077669899E-2</v>
      </c>
      <c r="S53" s="966">
        <f ca="1">IFERROR(SUMPRODUCT(DataShift!F1545:Z1545,DataShift!AB752:AV752)/SQRT(SUMPRODUCT(DataShift!F1545:Z1545,DataShift!F1545:Z1545)*SUMPRODUCT(DataShift!AB752:AV752,DataShift!AB752:AV752)),0)</f>
        <v>-0.54112990877509115</v>
      </c>
      <c r="T53" s="966">
        <f ca="1">IFERROR(SUMPRODUCT(DataShift!F1545:Z1545,DataShift!F752:Z752)/SQRT(SUMPRODUCT(DataShift!F1545:Z1545,DataShift!F1545:Z1545)*SUMPRODUCT(DataShift!F752:Z752,DataShift!F752:Z752)),0)</f>
        <v>-0.32015843926423532</v>
      </c>
      <c r="U53" s="1107">
        <v>200</v>
      </c>
      <c r="V53" s="1107">
        <v>300</v>
      </c>
      <c r="W53" s="1107">
        <v>0</v>
      </c>
      <c r="X53" s="966" t="str">
        <f ca="1">IF(TabCalc[[#This Row],[EfCost]]+TabCalc[[#This Row],[M_V]]&lt;TabCalc[[#This Row],[NoT_GL]],"Pile","")</f>
        <v/>
      </c>
      <c r="Y5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3" s="213">
        <f ca="1">MIN(TabCalc[[#This Row],[L_Bn]],TabCalc[[#This Row],[NAfter]])*(TabCalc[[#This Row],[M]]+TabCalc[[#This Row],[L_Bp]])*TabCalc[[#This Row],[Scale]]</f>
        <v>-629.99999999999829</v>
      </c>
      <c r="AA53" s="210" cm="1">
        <f t="array" aca="1" ref="AA53" ca="1">_xlfn.XLOOKUP(TabCalc[[#This Row],[L_Bp]],INDIRECT("TabReg["&amp;TabCalc[[#This Row],[Ticker]]&amp;"2]"),INDIRECT("TabReg["&amp;TabCalc[[#This Row],[Ticker]]&amp;"]"))</f>
        <v>45926</v>
      </c>
      <c r="AB53" s="181" cm="1">
        <f t="array" aca="1" ref="AB53" ca="1">_xlfn.XLOOKUP(TabCalc[[#This Row],[L_Bp]],INDIRECT("TabReg["&amp;TabCalc[[#This Row],[Ticker]]&amp;"2]"),INDIRECT("TabReg["&amp;TabCalc[[#This Row],[Ticker]]&amp;"1]"))</f>
        <v>300</v>
      </c>
      <c r="AC53" s="192" cm="1">
        <f t="array" aca="1" ref="AC53" ca="1">IFERROR(INDEX(INDIRECT("TabReg["&amp;TabCalc[[#This Row],[Ticker]]&amp;"2]"),    _xlfn.XMATCH(    MAX(    _xlfn._xlws.FILTER(INDIRECT("TabReg["&amp;TabCalc[[#This Row],[Ticker]]&amp;"]"), INDIRECT("TabReg["&amp;TabCalc[[#This Row],[Ticker]]&amp;"2]")&lt;0)     ), INDIRECT("TabReg["&amp;TabCalc[[#This Row],[Ticker]]&amp;"]"),      0)), "")</f>
        <v>-117.49</v>
      </c>
      <c r="AD53" s="213">
        <f ca="1">IFERROR(MIN(TabCalc[[#This Row],[L_B1n]],TabCalc[[#This Row],[NAfter]])*(TabCalc[[#This Row],[M]]+TabCalc[[#This Row],[L_B1p]])*TabCalc[[#This Row],[Scale]],"")</f>
        <v>4649.9999999999982</v>
      </c>
      <c r="AE53" s="210" cm="1">
        <f t="array" aca="1" ref="AE5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53" s="181" cm="1">
        <f t="array" aca="1" ref="AF53" ca="1">IFERROR(_xlfn.XLOOKUP(TabCalc[[#This Row],[L_B1D]],INDIRECT("TabReg["&amp;TabCalc[[#This Row],[Ticker]]&amp;"]"),INDIRECT("TabReg["&amp;TabCalc[[#This Row],[Ticker]]&amp;"1]")),0)</f>
        <v>1800</v>
      </c>
      <c r="AG53" s="192" cm="1">
        <f t="array" aca="1" ref="AG53" ca="1">IFERROR(_xlfn.XLOOKUP(TabCalc[[#This Row],[L_B1D]],INDIRECT("TabReg["&amp;TabCalc[[#This Row],[Ticker]]&amp;"]"),INDIRECT("TabReg["&amp;TabCalc[[#This Row],[Ticker]]&amp;"2]")),0)</f>
        <v>-106.09</v>
      </c>
      <c r="AH53" s="302">
        <f ca="1">IFERROR(TabCalc[[#This Row],[L_Sn]]*(TabCalc[[#This Row],[L_Sp]]-TabCalc[[#This Row],[M]])*TabCalc[[#This Row],[Scale]],"")</f>
        <v>-14435.999999999993</v>
      </c>
      <c r="AI53" s="210" cm="1">
        <f t="array" aca="1" ref="AI53" ca="1">IFERROR(_xlfn.XLOOKUP(TabCalc[[#This Row],[L_Sp]],INDIRECT("TabReg["&amp;TabCalc[[#This Row],[Ticker]]&amp;"2]"),INDIRECT("TabReg["&amp;TabCalc[[#This Row],[Ticker]]&amp;"]")),0)</f>
        <v>45657</v>
      </c>
      <c r="AJ53" s="181" cm="1">
        <f t="array" aca="1" ref="AJ53" ca="1">IFERROR(_xlfn.XLOOKUP(TabCalc[[#This Row],[L_Sp]],INDIRECT("TabReg["&amp;TabCalc[[#This Row],[Ticker]]&amp;"2]"),INDIRECT("TabReg["&amp;TabCalc[[#This Row],[Ticker]]&amp;"1]")),0)</f>
        <v>1800</v>
      </c>
      <c r="AK53" s="192" cm="1">
        <f t="array" aca="1" ref="AK53" ca="1">IFERROR(INDEX(INDIRECT("TabReg["&amp;TabCalc[[#This Row],[Ticker]]&amp;"2]"), _xlfn.XMATCH(MAX(_xlfn._xlws.FILTER(INDIRECT("TabReg["&amp;TabCalc[[#This Row],[Ticker]]&amp;"]"), INDIRECT("TabReg["&amp;TabCalc[[#This Row],[Ticker]]&amp;"2]")&gt;0)), INDIRECT("TabReg["&amp;TabCalc[[#This Row],[Ticker]]&amp;"]"), 0)), 0)</f>
        <v>107.37</v>
      </c>
      <c r="AL53" s="214">
        <f ca="1">IFERROR(TabCalc[[#This Row],[L_S1n]]*(TabCalc[[#This Row],[L_S1p]]-TabCalc[[#This Row],[M]])*TabCalc[[#This Row],[Scale]],0)</f>
        <v>-2268.0000000000091</v>
      </c>
      <c r="AM53" s="210" cm="1">
        <f t="array" aca="1" ref="AM5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45552</v>
      </c>
      <c r="AN53" s="181" cm="1">
        <f t="array" aca="1" ref="AN53" ca="1">IFERROR(_xlfn.XLOOKUP(TabCalc[[#This Row],[L_S1D]],INDIRECT("TabReg["&amp;TabCalc[[#This Row],[Ticker]]&amp;"]"),INDIRECT("TabReg["&amp;TabCalc[[#This Row],[Ticker]]&amp;"1]")),0)</f>
        <v>1800</v>
      </c>
      <c r="AO53" s="384" cm="1">
        <f t="array" aca="1" ref="AO53" ca="1">IFERROR(_xlfn.XLOOKUP(TabCalc[[#This Row],[L_S1D]],INDIRECT("TabReg["&amp;TabCalc[[#This Row],[Ticker]]&amp;"]"),INDIRECT("TabReg["&amp;TabCalc[[#This Row],[Ticker]]&amp;"2]")),0)</f>
        <v>114.13</v>
      </c>
      <c r="AP53" s="336">
        <f ca="1">_xlfn.LET(_xlpm.MVOpen,[1]!RTData[[#This Row],[Open]]*TabCalc[[#This Row],[NAfter]],_xlpm.MVNow,TabCalc[[#This Row],[M]]*TabCalc[[#This Row],[NAfter]],_xlpm.MVNow-_xlpm.MVOpen)*TabCalc[[#This Row],[Scale]]</f>
        <v>-480</v>
      </c>
      <c r="AQ53" s="336">
        <f ca="1">_xlfn.LET(_xlpm.MVToday,DataShift!AV553,         _xlpm.MVY,DataShift!AU553,        _xlpm.MVYY, DataShift!AT553,                                IF(_xlpm.MVToday=_xlpm.MVY,_xlpm.MVY-_xlpm.MVYY,_xlpm.MVToday-_xlpm.MVY))</f>
        <v>200</v>
      </c>
      <c r="AR53" s="336">
        <f ca="1">_xlfn.LET(_xlpm.MVToday,DataShift!AV553,         _xlpm.MVY,DataShift!AU553,        _xlpm.MVYY, DataShift!AT553,         _xlpm.MVYYY, DataShift!AS553,                      IF(_xlpm.MVToday=_xlpm.MVY,      _xlpm.MVYY-_xlpm.MVYYY,          _xlpm.MVY-_xlpm.MVYY))</f>
        <v>-500</v>
      </c>
      <c r="AS53" s="1078">
        <f ca="1">TabCalc[[#This Row],[Y]]/TabCalc[[#This Row],[M]]</f>
        <v>1.0785267354190138</v>
      </c>
      <c r="AT53" s="299" t="str" cm="1">
        <f t="array" aca="1" ref="AT53" ca="1">IFERROR(_xlfn.IFS(          TabCalc[[#This Row],[E]]&gt;0, "Free Trade",      TabCalc[[#This Row],[A]]&lt;MIN(TabCalc[[#This Row],[L_Sp]],TabCalc[[#This Row],[M]]), "Buy",            TabCalc[[#This Row],[M]]&lt;TabCalc[[#This Row],[L_Sp]],       "Refill",       TabCalc[[#This Row],[M]]&gt;TabCalc[[#This Row],[L_Sp]],"S_more"),"")</f>
        <v>S_more</v>
      </c>
      <c r="AU53" s="299" t="str">
        <f ca="1">IF(           AND(TabCalc[[#This Row],[E]]&lt;=0,          TabCalc[[#This Row],[A]]&gt;MIN(TabCalc[[#This Row],[M]],TabCalc[[#This Row],[L_Sp]]),             TabCalc[[#This Row],[L_Sp]]&lt;=TabCalc[[#This Row],[M]]),                       "S_more","")</f>
        <v>S_more</v>
      </c>
      <c r="AV53" s="82" t="str" cm="1">
        <f t="array" aca="1" ref="AV53" ca="1">IFERROR(_xlfn.IFS(TabCalc[[#This Row],[E]]&gt;0,"Free trade",                 TabCalc[[#This Row],[A]]&lt;MAX(ABS(TabCalc[[#This Row],[L_Bp]]),TabCalc[[#This Row],[A]]),"Sell",             TabCalc[[#This Row],[M]]&gt;ABS(TabCalc[[#This Row],[L_Bp]]),"Resell",             TabCalc[[#This Row],[M]]&lt;ABS(TabCalc[[#This Row],[L_Bp]]),"B_more"),"")</f>
        <v>Sell</v>
      </c>
      <c r="AW53" s="82">
        <f ca="1">TabCalc[[#This Row],[NAfter]]-TabCalc[[#This Row],[Nbegin]]</f>
        <v>300</v>
      </c>
      <c r="AX53" s="307">
        <f ca="1">IFERROR((TabCalc[[#This Row],[M]]-TabCalc[[#This Row],[Y]])*(TabCalc[[#This Row],[M]]-TabCalc[[#This Row],[Y]])*(TabCalc[[#This Row],[M]]-TabCalc[[#This Row],[Y]])/(TabCalc[[#This Row],[Y]]*TabCalc[[#This Row],[M]]),"")</f>
        <v>-5.1807172111266168E-2</v>
      </c>
      <c r="AY53" s="82">
        <f t="shared" ca="1" si="3"/>
        <v>0</v>
      </c>
      <c r="AZ53" s="90">
        <f ca="1">[1]!RTData[[#This Row],[V/VA]]</f>
        <v>0.66203170146144197</v>
      </c>
      <c r="BA53" s="90" t="str" cm="1">
        <f t="array" aca="1" ref="BA53" ca="1">IFERROR(_xlfn.IFS(TabCalc[[#This Row],[Cur]]="USD",Timer!F$27,TabCalc[[#This Row],[Cur]]="EUR",Timer!F$18,TabCalc[[#This Row],[Cur]]="GBP",Timer!F$12,TabCalc[[#This Row],[Cur]]="CAD",Timer!F$27,TabCalc[[#This Row],[Cur]]="JPY",Timer!F$31,TabCalc[[#This Row],[Cur]]="CHF",Timer!F$18),"Timing")</f>
        <v>None-Working Day</v>
      </c>
      <c r="BB53" s="90">
        <f ca="1">IF(ISNUMBER(TabCalc[[#This Row],[TimeEX]]),TabCalc[[#This Row],[V/VA]]/TabCalc[[#This Row],[TimeEX]],TabCalc[[#This Row],[V/VA]])</f>
        <v>0.66203170146144197</v>
      </c>
      <c r="BC53" s="87" cm="1">
        <f t="array" aca="1" ref="BC53" ca="1">INDEX(TabReg[], 1, _xlfn.XMATCH(TabCalc[[#This Row],[Ticker]]&amp;1, TabReg[#Headers], 0))</f>
        <v>200</v>
      </c>
      <c r="BD53" s="161">
        <f ca="1">TabCalc[[#This Row],[Nbegin]]*TabCalc[[#This Row],[M]]*TabCalc[[#This Row],[Scale]]+TabCalc[[#This Row],[ValueBegin]]</f>
        <v>3176</v>
      </c>
      <c r="BE53" s="336" t="str" cm="1">
        <f t="array" aca="1" ref="BE53" ca="1">_xlfn.IFS(TabCalc[[#This Row],[Cost+Gain]]&gt;0,"Free",             TabCalc[[#This Row],[GL]]&gt;0,"Gainer",                TRUE,"Looser")</f>
        <v>Gainer</v>
      </c>
      <c r="BF53" s="161">
        <f ca="1">TabCalc[[#This Row],[Tot_Paid]]-TabCalc[[#This Row],[ValueBegin]]</f>
        <v>-659573.75561999995</v>
      </c>
      <c r="BG53" s="337">
        <f ca="1">IF(TabCalc[[#This Row],[EfCost]]&gt;TabCalc[[#This Row],[ValueBegin]],       0,        TabCalc[[#This Row],[EfCost]]-TabCalc[[#This Row],[ValueBegin]]*(1+Commission))</f>
        <v>-28317.154799999997</v>
      </c>
      <c r="BH53" s="338">
        <f ca="1">TabCalc[[#This Row],[M_V]]+TabCalc[[#This Row],[ValueBegin]]</f>
        <v>37793</v>
      </c>
      <c r="BI53" s="161" cm="1">
        <f t="array" aca="1" ref="BI53" ca="1">SUMPRODUCT(_xlfn._xlws.FILTER(INDIRECT("TabReg["&amp;TabCalc[[#This Row],[Ticker]]&amp;"1]") * INDIRECT("TabReg["&amp;TabCalc[[#This Row],[Ticker]]&amp;"2]"), INDIRECT("TabReg["&amp;TabCalc[[#This Row],[Ticker]]&amp;"2]")&lt;0))*(1+Commission)*TabCalc[[#This Row],[Scale]]</f>
        <v>-679475.75561999995</v>
      </c>
      <c r="BJ53" s="161" cm="1">
        <f t="array" aca="1" ref="BJ53" ca="1">SUMPRODUCT(IF(INDIRECT("TabReg["&amp;TabCalc[[#This Row],[Ticker]]&amp;"2]") ="", 0, INDIRECT("TabReg["&amp;TabCalc[[#This Row],[Ticker]]&amp;"1]") * INDIRECT("TabReg["&amp;TabCalc[[#This Row],[Ticker]]&amp;"2]") ))*TabCalc[[#This Row],[Scale]]</f>
        <v>-48270.899999999994</v>
      </c>
      <c r="BK53" s="161" cm="1">
        <f t="array" aca="1" ref="BK5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627806.24872000003</v>
      </c>
      <c r="BL53" s="161">
        <f ca="1">TabCalc[[#This Row],[M_V]]+TabCalc[[#This Row],[EfCost]]</f>
        <v>9424.1000000000058</v>
      </c>
      <c r="BM53" s="161">
        <f ca="1">IF(        OR( TabCalc[[#This Row],[GL]]&gt;ABS(TabCalc[[#This Row],[EfCost]]),TabCalc[[#This Row],[NAfter]]=0),             TabCalc[[#This Row],[GL]],     0)</f>
        <v>0</v>
      </c>
      <c r="BN53" s="161" cm="1">
        <f t="array" aca="1" ref="BN53" ca="1">SUMPRODUCT(_xlfn._xlws.FILTER(IF(INDIRECT("TabReg["&amp;TabCalc[[#This Row],[Ticker]]&amp;"2]") ="", 0, INDIRECT("TabReg["&amp;TabCalc[[#This Row],[Ticker]]&amp;"1]")  ),  INDIRECT("TabReg["&amp;TabCalc[[#This Row],[Ticker]]&amp;"2]") &lt; 0))</f>
        <v>6090</v>
      </c>
      <c r="BO53" s="161">
        <f ca="1">TabCalc[[#This Row],[SB]]-TabCalc[[#This Row],[Nbegin]]</f>
        <v>5890</v>
      </c>
      <c r="BP53" s="161" cm="1">
        <f t="array" aca="1" ref="BP53" ca="1">IFERROR(SUMPRODUCT(_xlfn._xlws.FILTER(IF(INDIRECT("TabReg["&amp;TabCalc[[#This Row],[Ticker]]&amp;"2]") ="", 0, INDIRECT("TabReg["&amp;TabCalc[[#This Row],[Ticker]]&amp;"1]")  ),  INDIRECT("TabReg["&amp;TabCalc[[#This Row],[Ticker]]&amp;"2]") &gt; 0)),0)</f>
        <v>5590</v>
      </c>
      <c r="BQ5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3" s="176" t="str">
        <f ca="1">IF(TabCalc[[#This Row],[EfCost]]+TabCalc[[#This Row],[M_V]]&lt;TabCalc[[#This Row],[NoT_GL]],"Pile","")</f>
        <v/>
      </c>
      <c r="BS53" s="167">
        <f ca="1">[1]!RTData[[#This Row],[Last trade time]]</f>
        <v>45954.999659142966</v>
      </c>
      <c r="BT53" s="177">
        <f ca="1">(TabCalc[[#This Row],[ValueBegin]]+(TabCalc[[#This Row],[M]]-TabCalc[[#This Row],[A]])*TabCalc[[#This Row],[NAfter]])*TabCalc[[#This Row],[Scale]]</f>
        <v>-18672.000000000004</v>
      </c>
      <c r="BU53" s="189" cm="1">
        <f t="array" aca="1" ref="BU53" ca="1">_xlfn.XLOOKUP(TabCalc[[#This Row],[Ticker]],TabReg[[#Headers],[AAPL]:[UnknownX28]],Reg!B$72:KF$72)+3</f>
        <v>13</v>
      </c>
      <c r="BV53" s="190" cm="1">
        <f t="array" aca="1" ref="BV53" ca="1">_xlfn.XLOOKUP(TabCalc[[#This Row],[Ticker]],TabReg[[#Headers],[AAPL]:[UnknownX28]],Reg!B$73:KF$73)+2</f>
        <v>156</v>
      </c>
      <c r="BW53" s="191">
        <f ca="1">IFERROR(MAX(TabCalc[[#This Row],[Max_SD]],TabCalc[[#This Row],[Max_PD]]),0)</f>
        <v>45926</v>
      </c>
      <c r="BX53" s="191" t="str" cm="1">
        <f t="array" aca="1" ref="BX53" ca="1">_xlfn.IFS(TabCalc[[#This Row],[L_TP]]&lt;0,"Purchase",TabCalc[[#This Row],[L_TP]]&gt;0,"Sale")</f>
        <v>Purchase</v>
      </c>
      <c r="BY53" s="190" cm="1">
        <f t="array" aca="1" ref="BY53" ca="1">INDEX(Reg!$A$1:$KF$73,TabCalc[[#This Row],[L_I1]],TabCalc[[#This Row],[L_I2]])</f>
        <v>300</v>
      </c>
      <c r="BZ53" s="192" cm="1">
        <f t="array" aca="1" ref="BZ53" ca="1">INDEX(Reg!$A$1:$KF$73,TabCalc[[#This Row],[L_I1]],TabCalc[[#This Row],[L_I2]]+1)</f>
        <v>-117.49</v>
      </c>
      <c r="CA53" s="161">
        <f ca="1">TabCalc[[#This Row],[NAfter]]*(TabCalc[[#This Row],[M]]-IF(TabCalc[[#This Row],[E]]&gt;0,0,TabCalc[[#This Row],[A]]))</f>
        <v>1229.9999999999968</v>
      </c>
      <c r="CB53" s="167" cm="1">
        <f t="array" aca="1" ref="CB53" ca="1">IFERROR(MIN(_xlfn._xlws.FILTER(INDIRECT("TabReg["&amp;TabCalc[[#This Row],[Ticker]]&amp;"]"), INDIRECT("TabReg["&amp;TabCalc[[#This Row],[Ticker]]&amp;"2]")&gt;0)),0)</f>
        <v>45344</v>
      </c>
      <c r="CC53" s="178" cm="1">
        <f t="array" aca="1" ref="CC53" ca="1">IFERROR(MIN(_xlfn._xlws.FILTER(INDIRECT("TabReg["&amp;TabCalc[[#This Row],[Ticker]]&amp;"1]"), INDIRECT("TabReg["&amp;TabCalc[[#This Row],[Ticker]]&amp;"2]")&gt;0)),0)</f>
        <v>190</v>
      </c>
      <c r="CD53" s="173" cm="1">
        <f t="array" aca="1" ref="CD53" ca="1">IFERROR(MIN(_xlfn._xlws.FILTER(INDIRECT("TabReg["&amp;TabCalc[[#This Row],[Ticker]]&amp;"2]"), INDIRECT("TabReg["&amp;TabCalc[[#This Row],[Ticker]]&amp;"2]")&gt;0)),0)</f>
        <v>104.12</v>
      </c>
      <c r="CE53" s="167" cm="1">
        <f t="array" aca="1" ref="CE53" ca="1">IFERROR(MAX(_xlfn._xlws.FILTER(INDIRECT("TabReg["&amp;TabCalc[[#This Row],[Ticker]]&amp;"]"), INDIRECT("TabReg["&amp;TabCalc[[#This Row],[Ticker]]&amp;"2]")&gt;0)),0)</f>
        <v>45657</v>
      </c>
      <c r="CF53" s="178" cm="1">
        <f t="array" aca="1" ref="CF53" ca="1">IFERROR(MAX(_xlfn._xlws.FILTER(INDIRECT("TabReg["&amp;TabCalc[[#This Row],[Ticker]]&amp;"1]"), INDIRECT("TabReg["&amp;TabCalc[[#This Row],[Ticker]]&amp;"2]")&gt;0)),0)</f>
        <v>1800</v>
      </c>
      <c r="CG53" s="173" cm="1">
        <f t="array" aca="1" ref="CG53" ca="1">IFERROR(MAX(_xlfn._xlws.FILTER(INDIRECT("TabReg["&amp;TabCalc[[#This Row],[Ticker]]&amp;"2]"), INDIRECT("TabReg["&amp;TabCalc[[#This Row],[Ticker]]&amp;"2]")&gt;0)),0)</f>
        <v>117.2</v>
      </c>
      <c r="CH53" s="167" cm="1">
        <f t="array" aca="1" ref="CH53" ca="1">MIN(_xlfn._xlws.FILTER(INDIRECT("TabReg["&amp;TabCalc[[#This Row],[Ticker]]&amp;"]"), INDIRECT("TabReg["&amp;TabCalc[[#This Row],[Ticker]]&amp;"2]")&lt;0))</f>
        <v>40544</v>
      </c>
      <c r="CI53" s="177" cm="1">
        <f t="array" aca="1" ref="CI53" ca="1">MIN(_xlfn._xlws.FILTER(INDIRECT("TabReg["&amp;TabCalc[[#This Row],[Ticker]]&amp;"1]"), INDIRECT("TabReg["&amp;TabCalc[[#This Row],[Ticker]]&amp;"2]")&lt;0))</f>
        <v>200</v>
      </c>
      <c r="CJ53" s="173" cm="1">
        <f t="array" aca="1" ref="CJ53" ca="1">MIN(_xlfn._xlws.FILTER(INDIRECT("TabReg["&amp;TabCalc[[#This Row],[Ticker]]&amp;"2]"), INDIRECT("TabReg["&amp;TabCalc[[#This Row],[Ticker]]&amp;"2]")&lt;0))</f>
        <v>-121.512</v>
      </c>
      <c r="CK53" s="167" cm="1">
        <f t="array" aca="1" ref="CK53" ca="1">MAX(_xlfn._xlws.FILTER(INDIRECT("TabReg["&amp;TabCalc[[#This Row],[Ticker]]&amp;"]"), INDIRECT("TabReg["&amp;TabCalc[[#This Row],[Ticker]]&amp;"2]")&lt;0))</f>
        <v>45926</v>
      </c>
      <c r="CL53" s="177" cm="1">
        <f t="array" aca="1" ref="CL53" ca="1">MAX(_xlfn._xlws.FILTER(INDIRECT("TabReg["&amp;TabCalc[[#This Row],[Ticker]]&amp;"1]"), INDIRECT("TabReg["&amp;TabCalc[[#This Row],[Ticker]]&amp;"2]")&lt;0))</f>
        <v>1800</v>
      </c>
      <c r="CM53" s="173" cm="1">
        <f t="array" aca="1" ref="CM53" ca="1">MAX(_xlfn._xlws.FILTER(INDIRECT("TabReg["&amp;TabCalc[[#This Row],[Ticker]]&amp;"2]"), INDIRECT("TabReg["&amp;TabCalc[[#This Row],[Ticker]]&amp;"2]")&lt;0))</f>
        <v>-99.51</v>
      </c>
      <c r="CN53" s="167" cm="1">
        <f t="array" aca="1" ref="CN53" ca="1">IFERROR(_xlfn.XLOOKUP(TabCalc[[#This Row],[BS2P]],INDIRECT("TabReg["&amp;TabCalc[[#This Row],[Ticker]]&amp;"2]"),INDIRECT("TabReg["&amp;TabCalc[[#This Row],[Ticker]]&amp;"]")),0)</f>
        <v>45552</v>
      </c>
      <c r="CO53" s="178" cm="1">
        <f t="array" aca="1" ref="CO53" ca="1">IFERROR(_xlfn.XLOOKUP(TabCalc[[#This Row],[BS2P]],INDIRECT("TabReg["&amp;TabCalc[[#This Row],[Ticker]]&amp;"2]"),INDIRECT("TabReg["&amp;TabCalc[[#This Row],[Ticker]]&amp;"1]")),0)</f>
        <v>1800</v>
      </c>
      <c r="CP53" s="173">
        <f ca="1">_xlfn.MAXIFS(INDIRECT("TabReg["&amp;TabCalc[[#This Row],[Ticker]]&amp;"2]"), INDIRECT("TabReg["&amp;TabCalc[[#This Row],[Ticker]]&amp;"2]"), "&lt;" &amp; MAX(INDIRECT("TabReg["&amp;TabCalc[[#This Row],[Ticker]]&amp;"2]")))</f>
        <v>114.13</v>
      </c>
      <c r="CQ53" s="167" cm="1">
        <f t="array" aca="1" ref="CQ53" ca="1">IFERROR(_xlfn.XLOOKUP(TabCalc[[#This Row],[WB2P]],INDIRECT("TabReg["&amp;TabCalc[[#This Row],[Ticker]]&amp;"2]"),INDIRECT("TabReg["&amp;TabCalc[[#This Row],[Ticker]]&amp;"]")),0)</f>
        <v>45926</v>
      </c>
      <c r="CR53" s="178" cm="1">
        <f t="array" aca="1" ref="CR53" ca="1">IFERROR(_xlfn.XLOOKUP(TabCalc[[#This Row],[WB2P]],INDIRECT("TabReg["&amp;TabCalc[[#This Row],[Ticker]]&amp;"2]"),INDIRECT("TabReg["&amp;TabCalc[[#This Row],[Ticker]]&amp;"1]")),0)</f>
        <v>300</v>
      </c>
      <c r="CS53" s="173">
        <f ca="1">_xlfn.MINIFS(INDIRECT("TabReg["&amp;TabCalc[[#This Row],[Ticker]]&amp;"2]"), INDIRECT("TabReg["&amp;TabCalc[[#This Row],[Ticker]]&amp;"2]"), "&gt;" &amp; MIN(INDIRECT("TabReg["&amp;TabCalc[[#This Row],[Ticker]]&amp;"2]")))</f>
        <v>-117.49</v>
      </c>
      <c r="CT53" s="405">
        <f ca="1">IF(TabCalc[[#This Row],[M]]&lt;TabCalc[[#This Row],[L_Sp]],DesiredBuyGain/(TabCalc[[#This Row],[L_Sp]]-TabCalc[[#This Row],[M]]),0)</f>
        <v>0</v>
      </c>
      <c r="CU53" s="406">
        <f ca="1">IF(TabCalc[[#This Row],[ntoBuy]]*TabCalc[[#This Row],[M]]&lt;=0,0,TabCalc[[#This Row],[ntoBuy]]*TabCalc[[#This Row],[M]])</f>
        <v>0</v>
      </c>
      <c r="CV53" s="406">
        <f ca="1">IF(TabCalc[[#This Row],[M]]&gt;ABS(TabCalc[[#This Row],[L_Bp]]),MIN(TabCalc[[#This Row],[NAfter]],DesiredSaleGain/(TabCalc[[#This Row],[M]]+TabCalc[[#This Row],[L_Bp]])),0)/TabCalc[[#This Row],[Scale]]</f>
        <v>0</v>
      </c>
      <c r="CW53" s="407">
        <f ca="1">TabCalc[[#This Row],[ntoSell]]*TabCalc[[#This Row],[M]]</f>
        <v>0</v>
      </c>
      <c r="CX53" s="400">
        <f ca="1">_xlfn.LET(_xlpm.nToSell,IF(TabCalc[[#This Row],[M]]-TabCalc[[#This Row],[A]]&lt;=0,"",INT(DesiredSaleGain/(TabCalc[[#This Row],[M]]-IF(TabCalc[[#This Row],[E]]&gt;0,0,TabCalc[[#This Row],[A]])))),IF(_xlpm.nToSell&lt;=TabCalc[[#This Row],[NAfter]],_xlpm.nToSell,0))</f>
        <v>0</v>
      </c>
      <c r="CY53" s="338">
        <f ca="1">IFERROR(TabCalc[[#This Row],[NMA]]*TabCalc[[#This Row],[M]],"")</f>
        <v>0</v>
      </c>
      <c r="CZ53" s="337" cm="1">
        <f t="array" aca="1" ref="CZ53" ca="1">_xlfn.IFS(TabCalc[[#This Row],[M]]&gt;= TabCalc[[#This Row],[L_Sp]],(TabCalc[[#This Row],[M]]-TabCalc[[#This Row],[A]])*TabCalc[[#This Row],[NAfter]]*TabCalc[[#This Row],[Scale]],           TabCalc[[#This Row],[M]]&lt; TabCalc[[#This Row],[L_Sp]],(TabCalc[[#This Row],[M]]-TabCalc[[#This Row],[A]])*TabCalc[[#This Row],[NAfter]]*TabCalc[[#This Row],[Scale]],               TRUE,"")</f>
        <v>1229.9999999999968</v>
      </c>
      <c r="DA53" s="90">
        <f ca="1">IFERROR((TabCalc[[#This Row],[M]]+TabCalc[[#This Row],[L_Bp]])/ABS(TabCalc[[#This Row],[L_Bp]])/(TODAY()-TabCalc[[#This Row],[L_Bdate]])*360,"")</f>
        <v>-0.21448633926291541</v>
      </c>
      <c r="DB53" s="312">
        <f ca="1">MEDIAN(DataShift!F752:Z752)</f>
        <v>3.8800000000000002E-3</v>
      </c>
      <c r="DC53" s="312" t="str" cm="1">
        <f t="array" aca="1" ref="DC5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53" s="88" t="s">
        <v>49</v>
      </c>
      <c r="DN53" s="81">
        <v>5000</v>
      </c>
      <c r="DO53" s="317">
        <v>-30.288789999999999</v>
      </c>
    </row>
    <row r="54" spans="1:119">
      <c r="A54" s="120" t="str">
        <f ca="1">_xlfn.XLOOKUP(TabCalc[[#This Row],[Ticker]],[1]!RTData[Ticker symbol],[1]!RTData[Currency])</f>
        <v>USD</v>
      </c>
      <c r="B54" s="121">
        <f ca="1">IF(TabCalc[[#This Row],[Cur]]="GBP",0.01,1)</f>
        <v>1</v>
      </c>
      <c r="C54" s="82">
        <f ca="1">_xlfn.XLOOKUP(TabCalc[[#This Row],[Ticker]],DM$3:DM$96,DN$3:DN$96)</f>
        <v>800</v>
      </c>
      <c r="D54" s="1254">
        <f ca="1">_xlfn.XLOOKUP(TabCalc[[#This Row],[Ticker]],DM$3:DM$96,DO$3:DO$96)</f>
        <v>-69.207787499999995</v>
      </c>
      <c r="E54" s="121">
        <f t="shared" ca="1" si="2"/>
        <v>-55366.229999999996</v>
      </c>
      <c r="F54" s="82">
        <f ca="1">TabCalc[[#This Row],[NAfter]]*TabCalc[[#This Row],[M]]*TabCalc[[#This Row],[Scale]]</f>
        <v>66700</v>
      </c>
      <c r="G54" s="82">
        <f ca="1">IFERROR(TabCalc[[#This Row],[SB]]-TabCalc[[#This Row],[SST]],TabCalc[[#This Row],[SB]])</f>
        <v>10000</v>
      </c>
      <c r="H54" s="535" t="str">
        <f ca="1">[1]!RTData[[#This Row],[Ticker symbol]]</f>
        <v>XPER</v>
      </c>
      <c r="I54" s="385">
        <f ca="1">[1]!RTData[[#This Row],[M-Price]]</f>
        <v>6.67</v>
      </c>
      <c r="J54" s="384">
        <v>8.2667999999999999</v>
      </c>
      <c r="K54" s="383">
        <f>[1]!RTData[[#This Row],[1YT]]</f>
        <v>11.4</v>
      </c>
      <c r="L54" s="384">
        <f ca="1">IF(OR(TabCalc[[#This Row],[NAfter]]=0,TabCalc[[#This Row],[EfCost]]&gt;0),0,TabCalc[[#This Row],[EfCost]]/TabCalc[[#This Row],[NAfter]]/TabCalc[[#This Row],[Scale]])</f>
        <v>-12.249063</v>
      </c>
      <c r="M54" s="744">
        <f ca="1">[1]!RTData[[#This Row],[Change%]]</f>
        <v>9.077E-3</v>
      </c>
      <c r="N54" s="1172">
        <v>0.5714285714285714</v>
      </c>
      <c r="O54" s="966">
        <f>TabCalc[[#This Row],[Up20]]-1+TabCalc[[#This Row],[Up20]]</f>
        <v>0.14285714285714279</v>
      </c>
      <c r="P54" s="966">
        <f>TabCalc[[#This Row],[Up20]]-TabCalc[[#This Row],[Up150]]</f>
        <v>9.3951093951093911E-2</v>
      </c>
      <c r="Q54" s="966">
        <v>0.47747747747747749</v>
      </c>
      <c r="R54" s="966">
        <f>TabCalc[[#This Row],[Up150]]-1+TabCalc[[#This Row],[Up150]]</f>
        <v>-4.5045045045045029E-2</v>
      </c>
      <c r="S54" s="966">
        <f ca="1">IFERROR(SUMPRODUCT(DataShift!F1546:Z1546,DataShift!AB753:AV753)/SQRT(SUMPRODUCT(DataShift!F1546:Z1546,DataShift!F1546:Z1546)*SUMPRODUCT(DataShift!AB753:AV753,DataShift!AB753:AV753)),0)</f>
        <v>-0.88864030309852293</v>
      </c>
      <c r="T54" s="966">
        <f ca="1">IFERROR(SUMPRODUCT(DataShift!F1546:Z1546,DataShift!F753:Z753)/SQRT(SUMPRODUCT(DataShift!F1546:Z1546,DataShift!F1546:Z1546)*SUMPRODUCT(DataShift!F753:Z753,DataShift!F753:Z753)),0)</f>
        <v>0</v>
      </c>
      <c r="U54" s="1107">
        <v>0</v>
      </c>
      <c r="V54" s="1107">
        <v>10000</v>
      </c>
      <c r="W54" s="1107">
        <v>0</v>
      </c>
      <c r="X54" s="966" t="str">
        <f ca="1">IF(TabCalc[[#This Row],[EfCost]]+TabCalc[[#This Row],[M_V]]&lt;TabCalc[[#This Row],[NoT_GL]],"Pile","")</f>
        <v>Pile</v>
      </c>
      <c r="Y5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4" s="213">
        <f ca="1">MIN(TabCalc[[#This Row],[L_Bn]],TabCalc[[#This Row],[NAfter]])*(TabCalc[[#This Row],[M]]+TabCalc[[#This Row],[L_Bp]])*TabCalc[[#This Row],[Scale]]</f>
        <v>49.999999999998934</v>
      </c>
      <c r="AA54" s="210" cm="1">
        <f t="array" aca="1" ref="AA54" ca="1">_xlfn.XLOOKUP(TabCalc[[#This Row],[L_Bp]],INDIRECT("TabReg["&amp;TabCalc[[#This Row],[Ticker]]&amp;"2]"),INDIRECT("TabReg["&amp;TabCalc[[#This Row],[Ticker]]&amp;"]"))</f>
        <v>45939</v>
      </c>
      <c r="AB54" s="181" cm="1">
        <f t="array" aca="1" ref="AB54" ca="1">_xlfn.XLOOKUP(TabCalc[[#This Row],[L_Bp]],INDIRECT("TabReg["&amp;TabCalc[[#This Row],[Ticker]]&amp;"2]"),INDIRECT("TabReg["&amp;TabCalc[[#This Row],[Ticker]]&amp;"1]"))</f>
        <v>5000</v>
      </c>
      <c r="AC54" s="192" cm="1">
        <f t="array" aca="1" ref="AC54" ca="1">IFERROR(INDEX(INDIRECT("TabReg["&amp;TabCalc[[#This Row],[Ticker]]&amp;"2]"),    _xlfn.XMATCH(    MAX(    _xlfn._xlws.FILTER(INDIRECT("TabReg["&amp;TabCalc[[#This Row],[Ticker]]&amp;"]"), INDIRECT("TabReg["&amp;TabCalc[[#This Row],[Ticker]]&amp;"2]")&lt;0)     ), INDIRECT("TabReg["&amp;TabCalc[[#This Row],[Ticker]]&amp;"]"),      0)), "")</f>
        <v>-6.66</v>
      </c>
      <c r="AD54" s="213">
        <f ca="1">IFERROR(MIN(TabCalc[[#This Row],[L_B1n]],TabCalc[[#This Row],[NAfter]])*(TabCalc[[#This Row],[M]]+TabCalc[[#This Row],[L_B1p]])*TabCalc[[#This Row],[Scale]],"")</f>
        <v>-13482.000000000004</v>
      </c>
      <c r="AE54" s="210" cm="1">
        <f t="array" aca="1" ref="AE5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45666</v>
      </c>
      <c r="AF54" s="181" cm="1">
        <f t="array" aca="1" ref="AF54" ca="1">IFERROR(_xlfn.XLOOKUP(TabCalc[[#This Row],[L_B1D]],INDIRECT("TabReg["&amp;TabCalc[[#This Row],[Ticker]]&amp;"]"),INDIRECT("TabReg["&amp;TabCalc[[#This Row],[Ticker]]&amp;"1]")),0)</f>
        <v>4200</v>
      </c>
      <c r="AG54" s="192" cm="1">
        <f t="array" aca="1" ref="AG54" ca="1">IFERROR(_xlfn.XLOOKUP(TabCalc[[#This Row],[L_B1D]],INDIRECT("TabReg["&amp;TabCalc[[#This Row],[Ticker]]&amp;"]"),INDIRECT("TabReg["&amp;TabCalc[[#This Row],[Ticker]]&amp;"2]")),0)</f>
        <v>-9.8800000000000008</v>
      </c>
      <c r="AH54" s="302">
        <f ca="1">IFERROR(TabCalc[[#This Row],[L_Sn]]*(TabCalc[[#This Row],[L_Sp]]-TabCalc[[#This Row],[M]])*TabCalc[[#This Row],[Scale]],"")</f>
        <v>27936.000000000007</v>
      </c>
      <c r="AI54" s="210" cm="1">
        <f t="array" aca="1" ref="AI54" ca="1">IFERROR(_xlfn.XLOOKUP(TabCalc[[#This Row],[L_Sp]],INDIRECT("TabReg["&amp;TabCalc[[#This Row],[Ticker]]&amp;"2]"),INDIRECT("TabReg["&amp;TabCalc[[#This Row],[Ticker]]&amp;"]")),0)</f>
        <v>45644</v>
      </c>
      <c r="AJ54" s="181" cm="1">
        <f t="array" aca="1" ref="AJ54" ca="1">IFERROR(_xlfn.XLOOKUP(TabCalc[[#This Row],[L_Sp]],INDIRECT("TabReg["&amp;TabCalc[[#This Row],[Ticker]]&amp;"2]"),INDIRECT("TabReg["&amp;TabCalc[[#This Row],[Ticker]]&amp;"1]")),0)</f>
        <v>7200</v>
      </c>
      <c r="AK54" s="192" cm="1">
        <f t="array" aca="1" ref="AK54" ca="1">IFERROR(INDEX(INDIRECT("TabReg["&amp;TabCalc[[#This Row],[Ticker]]&amp;"2]"), _xlfn.XMATCH(MAX(_xlfn._xlws.FILTER(INDIRECT("TabReg["&amp;TabCalc[[#This Row],[Ticker]]&amp;"]"), INDIRECT("TabReg["&amp;TabCalc[[#This Row],[Ticker]]&amp;"2]")&gt;0)), INDIRECT("TabReg["&amp;TabCalc[[#This Row],[Ticker]]&amp;"]"), 0)), 0)</f>
        <v>10.55</v>
      </c>
      <c r="AL54" s="214">
        <f ca="1">IFERROR(TabCalc[[#This Row],[L_S1n]]*(TabCalc[[#This Row],[L_S1p]]-TabCalc[[#This Row],[M]])*TabCalc[[#This Row],[Scale]],0)</f>
        <v>5880.0000000000027</v>
      </c>
      <c r="AM54" s="210" cm="1">
        <f t="array" aca="1" ref="AM5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45538</v>
      </c>
      <c r="AN54" s="181" cm="1">
        <f t="array" aca="1" ref="AN54" ca="1">IFERROR(_xlfn.XLOOKUP(TabCalc[[#This Row],[L_S1D]],INDIRECT("TabReg["&amp;TabCalc[[#This Row],[Ticker]]&amp;"]"),INDIRECT("TabReg["&amp;TabCalc[[#This Row],[Ticker]]&amp;"1]")),0)</f>
        <v>3000</v>
      </c>
      <c r="AO54" s="384" cm="1">
        <f t="array" aca="1" ref="AO54" ca="1">IFERROR(_xlfn.XLOOKUP(TabCalc[[#This Row],[L_S1D]],INDIRECT("TabReg["&amp;TabCalc[[#This Row],[Ticker]]&amp;"]"),INDIRECT("TabReg["&amp;TabCalc[[#This Row],[Ticker]]&amp;"2]")),0)</f>
        <v>8.6300000000000008</v>
      </c>
      <c r="AP54" s="336">
        <f ca="1">_xlfn.LET(_xlpm.MVOpen,[1]!RTData[[#This Row],[Open]]*TabCalc[[#This Row],[NAfter]],_xlpm.MVNow,TabCalc[[#This Row],[M]]*TabCalc[[#This Row],[NAfter]],_xlpm.MVNow-_xlpm.MVOpen)*TabCalc[[#This Row],[Scale]]</f>
        <v>-200</v>
      </c>
      <c r="AQ54" s="336">
        <f ca="1">_xlfn.LET(_xlpm.MVToday,DataShift!AV554,         _xlpm.MVY,DataShift!AU554,        _xlpm.MVYY, DataShift!AT554,                                IF(_xlpm.MVToday=_xlpm.MVY,_xlpm.MVY-_xlpm.MVYY,_xlpm.MVToday-_xlpm.MVY))</f>
        <v>0</v>
      </c>
      <c r="AR54" s="336">
        <f ca="1">_xlfn.LET(_xlpm.MVToday,DataShift!AV554,         _xlpm.MVY,DataShift!AU554,        _xlpm.MVYY, DataShift!AT554,         _xlpm.MVYYY, DataShift!AS554,                      IF(_xlpm.MVToday=_xlpm.MVY,      _xlpm.MVYY-_xlpm.MVYYY,          _xlpm.MVY-_xlpm.MVYY))</f>
        <v>0</v>
      </c>
      <c r="AS54" s="1078">
        <f ca="1">TabCalc[[#This Row],[Y]]/TabCalc[[#This Row],[M]]</f>
        <v>1.7091454272863569</v>
      </c>
      <c r="AT54" s="299" t="str" cm="1">
        <f t="array" aca="1" ref="AT54" ca="1">IFERROR(_xlfn.IFS(          TabCalc[[#This Row],[E]]&gt;0, "Free Trade",      TabCalc[[#This Row],[A]]&lt;MIN(TabCalc[[#This Row],[L_Sp]],TabCalc[[#This Row],[M]]), "Buy",            TabCalc[[#This Row],[M]]&lt;TabCalc[[#This Row],[L_Sp]],       "Refill",       TabCalc[[#This Row],[M]]&gt;TabCalc[[#This Row],[L_Sp]],"S_more"),"")</f>
        <v>Refill</v>
      </c>
      <c r="AU54" s="299" t="str">
        <f ca="1">IF(           AND(TabCalc[[#This Row],[E]]&lt;=0,          TabCalc[[#This Row],[A]]&gt;MIN(TabCalc[[#This Row],[M]],TabCalc[[#This Row],[L_Sp]]),             TabCalc[[#This Row],[L_Sp]]&lt;=TabCalc[[#This Row],[M]]),                       "S_more","")</f>
        <v/>
      </c>
      <c r="AV54" s="82" t="str" cm="1">
        <f t="array" aca="1" ref="AV54" ca="1">IFERROR(_xlfn.IFS(TabCalc[[#This Row],[E]]&gt;0,"Free trade",                 TabCalc[[#This Row],[A]]&lt;MAX(ABS(TabCalc[[#This Row],[L_Bp]]),TabCalc[[#This Row],[A]]),"Sell",             TabCalc[[#This Row],[M]]&gt;ABS(TabCalc[[#This Row],[L_Bp]]),"Resell",             TabCalc[[#This Row],[M]]&lt;ABS(TabCalc[[#This Row],[L_Bp]]),"B_more"),"")</f>
        <v>Resell</v>
      </c>
      <c r="AW54" s="82">
        <f ca="1">TabCalc[[#This Row],[NAfter]]-TabCalc[[#This Row],[Nbegin]]</f>
        <v>9200</v>
      </c>
      <c r="AX54" s="307">
        <f ca="1">IFERROR((TabCalc[[#This Row],[M]]-TabCalc[[#This Row],[Y]])*(TabCalc[[#This Row],[M]]-TabCalc[[#This Row],[Y]])*(TabCalc[[#This Row],[M]]-TabCalc[[#This Row],[Y]])/(TabCalc[[#This Row],[Y]]*TabCalc[[#This Row],[M]]),"")</f>
        <v>-1.39172278334517</v>
      </c>
      <c r="AY54" s="82">
        <f t="shared" ca="1" si="3"/>
        <v>0</v>
      </c>
      <c r="AZ54" s="90">
        <f ca="1">[1]!RTData[[#This Row],[V/VA]]</f>
        <v>0.37629953188296483</v>
      </c>
      <c r="BA54" s="90" t="str" cm="1">
        <f t="array" aca="1" ref="BA54" ca="1">IFERROR(_xlfn.IFS(TabCalc[[#This Row],[Cur]]="USD",Timer!F$27,TabCalc[[#This Row],[Cur]]="EUR",Timer!F$18,TabCalc[[#This Row],[Cur]]="GBP",Timer!F$12,TabCalc[[#This Row],[Cur]]="CAD",Timer!F$27,TabCalc[[#This Row],[Cur]]="JPY",Timer!F$31,TabCalc[[#This Row],[Cur]]="CHF",Timer!F$18),"Timing")</f>
        <v>None-Working Day</v>
      </c>
      <c r="BB54" s="90">
        <f ca="1">IF(ISNUMBER(TabCalc[[#This Row],[TimeEX]]),TabCalc[[#This Row],[V/VA]]/TabCalc[[#This Row],[TimeEX]],TabCalc[[#This Row],[V/VA]])</f>
        <v>0.37629953188296483</v>
      </c>
      <c r="BC54" s="87" cm="1">
        <f t="array" aca="1" ref="BC54" ca="1">INDEX(TabReg[], 1, _xlfn.XMATCH(TabCalc[[#This Row],[Ticker]]&amp;1, TabReg[#Headers], 0))</f>
        <v>800</v>
      </c>
      <c r="BD54" s="161">
        <f ca="1">TabCalc[[#This Row],[Nbegin]]*TabCalc[[#This Row],[M]]*TabCalc[[#This Row],[Scale]]+TabCalc[[#This Row],[ValueBegin]]</f>
        <v>-50030.229999999996</v>
      </c>
      <c r="BE54" s="336" t="str" cm="1">
        <f t="array" aca="1" ref="BE54" ca="1">_xlfn.IFS(TabCalc[[#This Row],[Cost+Gain]]&gt;0,"Free",             TabCalc[[#This Row],[GL]]&gt;0,"Gainer",                TRUE,"Looser")</f>
        <v>Looser</v>
      </c>
      <c r="BF54" s="161">
        <f ca="1">TabCalc[[#This Row],[Tot_Paid]]-TabCalc[[#This Row],[ValueBegin]]</f>
        <v>-208794.13585799997</v>
      </c>
      <c r="BG54" s="337">
        <f ca="1">IF(TabCalc[[#This Row],[EfCost]]&gt;TabCalc[[#This Row],[ValueBegin]],       0,        TabCalc[[#This Row],[EfCost]]-TabCalc[[#This Row],[ValueBegin]]*(1+Commission))</f>
        <v>-66980.447801999995</v>
      </c>
      <c r="BH54" s="338">
        <f ca="1">TabCalc[[#This Row],[M_V]]+TabCalc[[#This Row],[ValueBegin]]</f>
        <v>11333.770000000004</v>
      </c>
      <c r="BI54" s="161" cm="1">
        <f t="array" aca="1" ref="BI54" ca="1">SUMPRODUCT(_xlfn._xlws.FILTER(INDIRECT("TabReg["&amp;TabCalc[[#This Row],[Ticker]]&amp;"1]") * INDIRECT("TabReg["&amp;TabCalc[[#This Row],[Ticker]]&amp;"2]"), INDIRECT("TabReg["&amp;TabCalc[[#This Row],[Ticker]]&amp;"2]")&lt;0))*(1+Commission)*TabCalc[[#This Row],[Scale]]</f>
        <v>-264160.36585799995</v>
      </c>
      <c r="BJ54" s="161" cm="1">
        <f t="array" aca="1" ref="BJ54" ca="1">SUMPRODUCT(IF(INDIRECT("TabReg["&amp;TabCalc[[#This Row],[Ticker]]&amp;"2]") ="", 0, INDIRECT("TabReg["&amp;TabCalc[[#This Row],[Ticker]]&amp;"1]") * INDIRECT("TabReg["&amp;TabCalc[[#This Row],[Ticker]]&amp;"2]") ))*TabCalc[[#This Row],[Scale]]</f>
        <v>-122490.62999999999</v>
      </c>
      <c r="BK54" s="161" cm="1">
        <f t="array" aca="1" ref="BK5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140618.13978</v>
      </c>
      <c r="BL54" s="161">
        <f ca="1">TabCalc[[#This Row],[M_V]]+TabCalc[[#This Row],[EfCost]]</f>
        <v>-55790.62999999999</v>
      </c>
      <c r="BM54" s="161">
        <f ca="1">IF(        OR( TabCalc[[#This Row],[GL]]&gt;ABS(TabCalc[[#This Row],[EfCost]]),TabCalc[[#This Row],[NAfter]]=0),             TabCalc[[#This Row],[GL]],     0)</f>
        <v>0</v>
      </c>
      <c r="BN54" s="161" cm="1">
        <f t="array" aca="1" ref="BN54" ca="1">SUMPRODUCT(_xlfn._xlws.FILTER(IF(INDIRECT("TabReg["&amp;TabCalc[[#This Row],[Ticker]]&amp;"2]") ="", 0, INDIRECT("TabReg["&amp;TabCalc[[#This Row],[Ticker]]&amp;"1]")  ),  INDIRECT("TabReg["&amp;TabCalc[[#This Row],[Ticker]]&amp;"2]") &lt; 0))</f>
        <v>24400</v>
      </c>
      <c r="BO54" s="161">
        <f ca="1">TabCalc[[#This Row],[SB]]-TabCalc[[#This Row],[Nbegin]]</f>
        <v>23600</v>
      </c>
      <c r="BP54" s="161" cm="1">
        <f t="array" aca="1" ref="BP54" ca="1">IFERROR(SUMPRODUCT(_xlfn._xlws.FILTER(IF(INDIRECT("TabReg["&amp;TabCalc[[#This Row],[Ticker]]&amp;"2]") ="", 0, INDIRECT("TabReg["&amp;TabCalc[[#This Row],[Ticker]]&amp;"1]")  ),  INDIRECT("TabReg["&amp;TabCalc[[#This Row],[Ticker]]&amp;"2]") &gt; 0)),0)</f>
        <v>14400</v>
      </c>
      <c r="BQ5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17.09</v>
      </c>
      <c r="BR54" s="176" t="str">
        <f ca="1">IF(TabCalc[[#This Row],[EfCost]]+TabCalc[[#This Row],[M_V]]&lt;TabCalc[[#This Row],[NoT_GL]],"Pile","")</f>
        <v>Pile</v>
      </c>
      <c r="BS54" s="167">
        <f ca="1">[1]!RTData[[#This Row],[Last trade time]]</f>
        <v>45954.958333356248</v>
      </c>
      <c r="BT54" s="177">
        <f ca="1">(TabCalc[[#This Row],[ValueBegin]]+(TabCalc[[#This Row],[M]]-TabCalc[[#This Row],[A]])*TabCalc[[#This Row],[NAfter]])*TabCalc[[#This Row],[Scale]]</f>
        <v>-71334.23</v>
      </c>
      <c r="BU54" s="189" cm="1">
        <f t="array" aca="1" ref="BU54" ca="1">_xlfn.XLOOKUP(TabCalc[[#This Row],[Ticker]],TabReg[[#Headers],[AAPL]:[UnknownX28]],Reg!B$72:KF$72)+3</f>
        <v>15</v>
      </c>
      <c r="BV54" s="190" cm="1">
        <f t="array" aca="1" ref="BV54" ca="1">_xlfn.XLOOKUP(TabCalc[[#This Row],[Ticker]],TabReg[[#Headers],[AAPL]:[UnknownX28]],Reg!B$73:KF$73)+2</f>
        <v>159</v>
      </c>
      <c r="BW54" s="191">
        <f ca="1">IFERROR(MAX(TabCalc[[#This Row],[Max_SD]],TabCalc[[#This Row],[Max_PD]]),0)</f>
        <v>45939</v>
      </c>
      <c r="BX54" s="191" t="str" cm="1">
        <f t="array" aca="1" ref="BX54" ca="1">_xlfn.IFS(TabCalc[[#This Row],[L_TP]]&lt;0,"Purchase",TabCalc[[#This Row],[L_TP]]&gt;0,"Sale")</f>
        <v>Purchase</v>
      </c>
      <c r="BY54" s="190" cm="1">
        <f t="array" aca="1" ref="BY54" ca="1">INDEX(Reg!$A$1:$KF$73,TabCalc[[#This Row],[L_I1]],TabCalc[[#This Row],[L_I2]])</f>
        <v>5000</v>
      </c>
      <c r="BZ54" s="192" cm="1">
        <f t="array" aca="1" ref="BZ54" ca="1">INDEX(Reg!$A$1:$KF$73,TabCalc[[#This Row],[L_I1]],TabCalc[[#This Row],[L_I2]]+1)</f>
        <v>-6.66</v>
      </c>
      <c r="CA54" s="161">
        <f ca="1">TabCalc[[#This Row],[NAfter]]*(TabCalc[[#This Row],[M]]-IF(TabCalc[[#This Row],[E]]&gt;0,0,TabCalc[[#This Row],[A]]))</f>
        <v>-15968</v>
      </c>
      <c r="CB54" s="167" cm="1">
        <f t="array" aca="1" ref="CB54" ca="1">IFERROR(MIN(_xlfn._xlws.FILTER(INDIRECT("TabReg["&amp;TabCalc[[#This Row],[Ticker]]&amp;"]"), INDIRECT("TabReg["&amp;TabCalc[[#This Row],[Ticker]]&amp;"2]")&gt;0)),0)</f>
        <v>45379</v>
      </c>
      <c r="CC54" s="178" cm="1">
        <f t="array" aca="1" ref="CC54" ca="1">IFERROR(MIN(_xlfn._xlws.FILTER(INDIRECT("TabReg["&amp;TabCalc[[#This Row],[Ticker]]&amp;"1]"), INDIRECT("TabReg["&amp;TabCalc[[#This Row],[Ticker]]&amp;"2]")&gt;0)),0)</f>
        <v>1200</v>
      </c>
      <c r="CD54" s="173" cm="1">
        <f t="array" aca="1" ref="CD54" ca="1">IFERROR(MIN(_xlfn._xlws.FILTER(INDIRECT("TabReg["&amp;TabCalc[[#This Row],[Ticker]]&amp;"2]"), INDIRECT("TabReg["&amp;TabCalc[[#This Row],[Ticker]]&amp;"2]")&gt;0)),0)</f>
        <v>8.2768999999999995</v>
      </c>
      <c r="CE54" s="167" cm="1">
        <f t="array" aca="1" ref="CE54" ca="1">IFERROR(MAX(_xlfn._xlws.FILTER(INDIRECT("TabReg["&amp;TabCalc[[#This Row],[Ticker]]&amp;"]"), INDIRECT("TabReg["&amp;TabCalc[[#This Row],[Ticker]]&amp;"2]")&gt;0)),0)</f>
        <v>45644</v>
      </c>
      <c r="CF54" s="178" cm="1">
        <f t="array" aca="1" ref="CF54" ca="1">IFERROR(MAX(_xlfn._xlws.FILTER(INDIRECT("TabReg["&amp;TabCalc[[#This Row],[Ticker]]&amp;"1]"), INDIRECT("TabReg["&amp;TabCalc[[#This Row],[Ticker]]&amp;"2]")&gt;0)),0)</f>
        <v>7200</v>
      </c>
      <c r="CG54" s="173" cm="1">
        <f t="array" aca="1" ref="CG54" ca="1">IFERROR(MAX(_xlfn._xlws.FILTER(INDIRECT("TabReg["&amp;TabCalc[[#This Row],[Ticker]]&amp;"2]"), INDIRECT("TabReg["&amp;TabCalc[[#This Row],[Ticker]]&amp;"2]")&gt;0)),0)</f>
        <v>11.92</v>
      </c>
      <c r="CH54" s="167" cm="1">
        <f t="array" aca="1" ref="CH54" ca="1">MIN(_xlfn._xlws.FILTER(INDIRECT("TabReg["&amp;TabCalc[[#This Row],[Ticker]]&amp;"]"), INDIRECT("TabReg["&amp;TabCalc[[#This Row],[Ticker]]&amp;"2]")&lt;0))</f>
        <v>40544</v>
      </c>
      <c r="CI54" s="177" cm="1">
        <f t="array" aca="1" ref="CI54" ca="1">MIN(_xlfn._xlws.FILTER(INDIRECT("TabReg["&amp;TabCalc[[#This Row],[Ticker]]&amp;"1]"), INDIRECT("TabReg["&amp;TabCalc[[#This Row],[Ticker]]&amp;"2]")&lt;0))</f>
        <v>800</v>
      </c>
      <c r="CJ54" s="173" cm="1">
        <f t="array" aca="1" ref="CJ54" ca="1">MIN(_xlfn._xlws.FILTER(INDIRECT("TabReg["&amp;TabCalc[[#This Row],[Ticker]]&amp;"2]"), INDIRECT("TabReg["&amp;TabCalc[[#This Row],[Ticker]]&amp;"2]")&lt;0))</f>
        <v>-69.207787499999995</v>
      </c>
      <c r="CK54" s="167" cm="1">
        <f t="array" aca="1" ref="CK54" ca="1">MAX(_xlfn._xlws.FILTER(INDIRECT("TabReg["&amp;TabCalc[[#This Row],[Ticker]]&amp;"]"), INDIRECT("TabReg["&amp;TabCalc[[#This Row],[Ticker]]&amp;"2]")&lt;0))</f>
        <v>45939</v>
      </c>
      <c r="CL54" s="177" cm="1">
        <f t="array" aca="1" ref="CL54" ca="1">MAX(_xlfn._xlws.FILTER(INDIRECT("TabReg["&amp;TabCalc[[#This Row],[Ticker]]&amp;"1]"), INDIRECT("TabReg["&amp;TabCalc[[#This Row],[Ticker]]&amp;"2]")&lt;0))</f>
        <v>6000</v>
      </c>
      <c r="CM54" s="173" cm="1">
        <f t="array" aca="1" ref="CM54" ca="1">MAX(_xlfn._xlws.FILTER(INDIRECT("TabReg["&amp;TabCalc[[#This Row],[Ticker]]&amp;"2]"), INDIRECT("TabReg["&amp;TabCalc[[#This Row],[Ticker]]&amp;"2]")&lt;0))</f>
        <v>-6.66</v>
      </c>
      <c r="CN54" s="167" cm="1">
        <f t="array" aca="1" ref="CN54" ca="1">IFERROR(_xlfn.XLOOKUP(TabCalc[[#This Row],[BS2P]],INDIRECT("TabReg["&amp;TabCalc[[#This Row],[Ticker]]&amp;"2]"),INDIRECT("TabReg["&amp;TabCalc[[#This Row],[Ticker]]&amp;"]")),0)</f>
        <v>45644</v>
      </c>
      <c r="CO54" s="178" cm="1">
        <f t="array" aca="1" ref="CO54" ca="1">IFERROR(_xlfn.XLOOKUP(TabCalc[[#This Row],[BS2P]],INDIRECT("TabReg["&amp;TabCalc[[#This Row],[Ticker]]&amp;"2]"),INDIRECT("TabReg["&amp;TabCalc[[#This Row],[Ticker]]&amp;"1]")),0)</f>
        <v>7200</v>
      </c>
      <c r="CP54" s="173">
        <f ca="1">_xlfn.MAXIFS(INDIRECT("TabReg["&amp;TabCalc[[#This Row],[Ticker]]&amp;"2]"), INDIRECT("TabReg["&amp;TabCalc[[#This Row],[Ticker]]&amp;"2]"), "&lt;" &amp; MAX(INDIRECT("TabReg["&amp;TabCalc[[#This Row],[Ticker]]&amp;"2]")))</f>
        <v>10.55</v>
      </c>
      <c r="CQ54" s="167" cm="1">
        <f t="array" aca="1" ref="CQ54" ca="1">IFERROR(_xlfn.XLOOKUP(TabCalc[[#This Row],[WB2P]],INDIRECT("TabReg["&amp;TabCalc[[#This Row],[Ticker]]&amp;"2]"),INDIRECT("TabReg["&amp;TabCalc[[#This Row],[Ticker]]&amp;"]")),0)</f>
        <v>45376</v>
      </c>
      <c r="CR54" s="178" cm="1">
        <f t="array" aca="1" ref="CR54" ca="1">IFERROR(_xlfn.XLOOKUP(TabCalc[[#This Row],[WB2P]],INDIRECT("TabReg["&amp;TabCalc[[#This Row],[Ticker]]&amp;"2]"),INDIRECT("TabReg["&amp;TabCalc[[#This Row],[Ticker]]&amp;"1]")),0)</f>
        <v>1200</v>
      </c>
      <c r="CS54" s="173">
        <f ca="1">_xlfn.MINIFS(INDIRECT("TabReg["&amp;TabCalc[[#This Row],[Ticker]]&amp;"2]"), INDIRECT("TabReg["&amp;TabCalc[[#This Row],[Ticker]]&amp;"2]"), "&gt;" &amp; MIN(INDIRECT("TabReg["&amp;TabCalc[[#This Row],[Ticker]]&amp;"2]")))</f>
        <v>-10.897</v>
      </c>
      <c r="CT54" s="405">
        <f ca="1">IF(TabCalc[[#This Row],[M]]&lt;TabCalc[[#This Row],[L_Sp]],DesiredBuyGain/(TabCalc[[#This Row],[L_Sp]]-TabCalc[[#This Row],[M]]),0)</f>
        <v>1288.6597938144328</v>
      </c>
      <c r="CU54" s="406">
        <f ca="1">IF(TabCalc[[#This Row],[ntoBuy]]*TabCalc[[#This Row],[M]]&lt;=0,0,TabCalc[[#This Row],[ntoBuy]]*TabCalc[[#This Row],[M]])</f>
        <v>8595.3608247422671</v>
      </c>
      <c r="CV54" s="406">
        <f ca="1">IF(TabCalc[[#This Row],[M]]&gt;ABS(TabCalc[[#This Row],[L_Bp]]),MIN(TabCalc[[#This Row],[NAfter]],DesiredSaleGain/(TabCalc[[#This Row],[M]]+TabCalc[[#This Row],[L_Bp]])),0)/TabCalc[[#This Row],[Scale]]</f>
        <v>10000</v>
      </c>
      <c r="CW54" s="407">
        <f ca="1">TabCalc[[#This Row],[ntoSell]]*TabCalc[[#This Row],[M]]</f>
        <v>66700</v>
      </c>
      <c r="CX54" s="400">
        <f ca="1">_xlfn.LET(_xlpm.nToSell,IF(TabCalc[[#This Row],[M]]-TabCalc[[#This Row],[A]]&lt;=0,"",INT(DesiredSaleGain/(TabCalc[[#This Row],[M]]-IF(TabCalc[[#This Row],[E]]&gt;0,0,TabCalc[[#This Row],[A]])))),IF(_xlpm.nToSell&lt;=TabCalc[[#This Row],[NAfter]],_xlpm.nToSell,0))</f>
        <v>0</v>
      </c>
      <c r="CY54" s="338">
        <f ca="1">IFERROR(TabCalc[[#This Row],[NMA]]*TabCalc[[#This Row],[M]],"")</f>
        <v>0</v>
      </c>
      <c r="CZ54" s="337" cm="1">
        <f t="array" aca="1" ref="CZ54" ca="1">_xlfn.IFS(TabCalc[[#This Row],[M]]&gt;= TabCalc[[#This Row],[L_Sp]],(TabCalc[[#This Row],[M]]-TabCalc[[#This Row],[A]])*TabCalc[[#This Row],[NAfter]]*TabCalc[[#This Row],[Scale]],           TabCalc[[#This Row],[M]]&lt; TabCalc[[#This Row],[L_Sp]],(TabCalc[[#This Row],[M]]-TabCalc[[#This Row],[A]])*TabCalc[[#This Row],[NAfter]]*TabCalc[[#This Row],[Scale]],               TRUE,"")</f>
        <v>-15968</v>
      </c>
      <c r="DA54" s="90">
        <f ca="1">IFERROR((TabCalc[[#This Row],[M]]+TabCalc[[#This Row],[L_Bp]])/ABS(TabCalc[[#This Row],[L_Bp]])/(TODAY()-TabCalc[[#This Row],[L_Bdate]])*360,"")</f>
        <v>3.1796502384736997E-2</v>
      </c>
      <c r="DB54" s="312">
        <f ca="1">MEDIAN(DataShift!F753:Z753)</f>
        <v>0</v>
      </c>
      <c r="DC54" s="312" t="str" cm="1">
        <f t="array" aca="1" ref="DC5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54" s="88" t="s">
        <v>50</v>
      </c>
      <c r="DN54" s="81">
        <v>750</v>
      </c>
      <c r="DO54" s="317">
        <v>-49.343906666666669</v>
      </c>
    </row>
    <row r="55" spans="1:119">
      <c r="A55" s="120" t="str">
        <f ca="1">_xlfn.XLOOKUP(TabCalc[[#This Row],[Ticker]],[1]!RTData[Ticker symbol],[1]!RTData[Currency])</f>
        <v>EUR</v>
      </c>
      <c r="B55" s="121">
        <f ca="1">IF(TabCalc[[#This Row],[Cur]]="GBP",0.01,1)</f>
        <v>1</v>
      </c>
      <c r="C55" s="82">
        <f ca="1">_xlfn.XLOOKUP(TabCalc[[#This Row],[Ticker]],DM$3:DM$96,DN$3:DN$96)</f>
        <v>395031</v>
      </c>
      <c r="D55" s="1254">
        <f ca="1">_xlfn.XLOOKUP(TabCalc[[#This Row],[Ticker]],DM$3:DM$96,DO$3:DO$96)</f>
        <v>-1.17</v>
      </c>
      <c r="E55" s="121">
        <f t="shared" ca="1" si="2"/>
        <v>-462186.26999999996</v>
      </c>
      <c r="F55" s="82">
        <f ca="1">TabCalc[[#This Row],[NAfter]]*TabCalc[[#This Row],[M]]*TabCalc[[#This Row],[Scale]]</f>
        <v>417130</v>
      </c>
      <c r="G55" s="82">
        <f ca="1">IFERROR(TabCalc[[#This Row],[SB]]-TabCalc[[#This Row],[SST]],TabCalc[[#This Row],[SB]])</f>
        <v>505000</v>
      </c>
      <c r="H55" s="535" t="str">
        <f ca="1">[1]!RTData[[#This Row],[Ticker symbol]]</f>
        <v>MVEALDNE</v>
      </c>
      <c r="I55" s="385">
        <f ca="1">[1]!RTData[[#This Row],[M-Price]]</f>
        <v>0.82599999999999996</v>
      </c>
      <c r="J55" s="384">
        <v>1.2642075189584159</v>
      </c>
      <c r="K55" s="383">
        <f>[1]!RTData[[#This Row],[1YT]]</f>
        <v>1.5333300000000001</v>
      </c>
      <c r="L55" s="384">
        <f ca="1">IF(OR(TabCalc[[#This Row],[NAfter]]=0,TabCalc[[#This Row],[EfCost]]&gt;0),0,TabCalc[[#This Row],[EfCost]]/TabCalc[[#This Row],[NAfter]]/TabCalc[[#This Row],[Scale]])</f>
        <v>-1.2642075189584159</v>
      </c>
      <c r="M55" s="744">
        <f ca="1">[1]!RTData[[#This Row],[Change%]]</f>
        <v>-1.4319999999999999E-2</v>
      </c>
      <c r="N55" s="1172">
        <v>0</v>
      </c>
      <c r="O55" s="966">
        <f>TabCalc[[#This Row],[Up20]]-1+TabCalc[[#This Row],[Up20]]</f>
        <v>-1</v>
      </c>
      <c r="P55" s="966">
        <f>TabCalc[[#This Row],[Up20]]-TabCalc[[#This Row],[Up150]]</f>
        <v>-0.45945945945945948</v>
      </c>
      <c r="Q55" s="966">
        <v>0.45945945945945948</v>
      </c>
      <c r="R55" s="966">
        <f>TabCalc[[#This Row],[Up150]]-1+TabCalc[[#This Row],[Up150]]</f>
        <v>-8.1081081081081086E-2</v>
      </c>
      <c r="S55" s="966">
        <f ca="1">IFERROR(SUMPRODUCT(DataShift!F1547:Z1547,DataShift!AB754:AV754)/SQRT(SUMPRODUCT(DataShift!F1547:Z1547,DataShift!F1547:Z1547)*SUMPRODUCT(DataShift!AB754:AV754,DataShift!AB754:AV754)),0)</f>
        <v>-0.18107277555814863</v>
      </c>
      <c r="T55" s="966">
        <f ca="1">IFERROR(SUMPRODUCT(DataShift!F1547:Z1547,DataShift!F754:Z754)/SQRT(SUMPRODUCT(DataShift!F1547:Z1547,DataShift!F1547:Z1547)*SUMPRODUCT(DataShift!F754:Z754,DataShift!F754:Z754)),0)</f>
        <v>-9.5137176922460306E-2</v>
      </c>
      <c r="U55" s="1107">
        <v>0</v>
      </c>
      <c r="V55" s="1107">
        <v>505000</v>
      </c>
      <c r="W55" s="1107">
        <v>0</v>
      </c>
      <c r="X55" s="966" t="str">
        <f ca="1">IF(TabCalc[[#This Row],[EfCost]]+TabCalc[[#This Row],[M_V]]&lt;TabCalc[[#This Row],[NoT_GL]],"Pile","")</f>
        <v>Pile</v>
      </c>
      <c r="Y5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5" s="213">
        <f ca="1">MIN(TabCalc[[#This Row],[L_Bn]],TabCalc[[#This Row],[NAfter]])*(TabCalc[[#This Row],[M]]+TabCalc[[#This Row],[L_Bp]])*TabCalc[[#This Row],[Scale]]</f>
        <v>-2645.7300000000018</v>
      </c>
      <c r="AA55" s="210" cm="1">
        <f t="array" aca="1" ref="AA55" ca="1">_xlfn.XLOOKUP(TabCalc[[#This Row],[L_Bp]],INDIRECT("TabReg["&amp;TabCalc[[#This Row],[Ticker]]&amp;"2]"),INDIRECT("TabReg["&amp;TabCalc[[#This Row],[Ticker]]&amp;"]"))</f>
        <v>45862</v>
      </c>
      <c r="AB55" s="181" cm="1">
        <f t="array" aca="1" ref="AB55" ca="1">_xlfn.XLOOKUP(TabCalc[[#This Row],[L_Bp]],INDIRECT("TabReg["&amp;TabCalc[[#This Row],[Ticker]]&amp;"2]"),INDIRECT("TabReg["&amp;TabCalc[[#This Row],[Ticker]]&amp;"1]"))</f>
        <v>20000</v>
      </c>
      <c r="AC55" s="192" cm="1">
        <f t="array" aca="1" ref="AC55" ca="1">IFERROR(INDEX(INDIRECT("TabReg["&amp;TabCalc[[#This Row],[Ticker]]&amp;"2]"),    _xlfn.XMATCH(    MAX(    _xlfn._xlws.FILTER(INDIRECT("TabReg["&amp;TabCalc[[#This Row],[Ticker]]&amp;"]"), INDIRECT("TabReg["&amp;TabCalc[[#This Row],[Ticker]]&amp;"2]")&lt;0)     ), INDIRECT("TabReg["&amp;TabCalc[[#This Row],[Ticker]]&amp;"]"),      0)), "")</f>
        <v>-0.95828650000000004</v>
      </c>
      <c r="AD55" s="213">
        <f ca="1">IFERROR(MIN(TabCalc[[#This Row],[L_B1n]],TabCalc[[#This Row],[NAfter]])*(TabCalc[[#This Row],[M]]+TabCalc[[#This Row],[L_B1p]])*TabCalc[[#This Row],[Scale]],"")</f>
        <v>-3680.0000000000009</v>
      </c>
      <c r="AE55" s="210" cm="1">
        <f t="array" aca="1" ref="AE5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55" s="181" cm="1">
        <f t="array" aca="1" ref="AF55" ca="1">IFERROR(_xlfn.XLOOKUP(TabCalc[[#This Row],[L_B1D]],INDIRECT("TabReg["&amp;TabCalc[[#This Row],[Ticker]]&amp;"]"),INDIRECT("TabReg["&amp;TabCalc[[#This Row],[Ticker]]&amp;"1]")),0)</f>
        <v>20000</v>
      </c>
      <c r="AG55" s="192" cm="1">
        <f t="array" aca="1" ref="AG55" ca="1">IFERROR(_xlfn.XLOOKUP(TabCalc[[#This Row],[L_B1D]],INDIRECT("TabReg["&amp;TabCalc[[#This Row],[Ticker]]&amp;"]"),INDIRECT("TabReg["&amp;TabCalc[[#This Row],[Ticker]]&amp;"2]")),0)</f>
        <v>-1.01</v>
      </c>
      <c r="AH55" s="302">
        <f ca="1">IFERROR(TabCalc[[#This Row],[L_Sn]]*(TabCalc[[#This Row],[L_Sp]]-TabCalc[[#This Row],[M]])*TabCalc[[#This Row],[Scale]],"")</f>
        <v>0</v>
      </c>
      <c r="AI55" s="210" cm="1">
        <f t="array" aca="1" ref="AI55" ca="1">IFERROR(_xlfn.XLOOKUP(TabCalc[[#This Row],[L_Sp]],INDIRECT("TabReg["&amp;TabCalc[[#This Row],[Ticker]]&amp;"2]"),INDIRECT("TabReg["&amp;TabCalc[[#This Row],[Ticker]]&amp;"]")),0)</f>
        <v>0</v>
      </c>
      <c r="AJ55" s="181" cm="1">
        <f t="array" aca="1" ref="AJ55" ca="1">IFERROR(_xlfn.XLOOKUP(TabCalc[[#This Row],[L_Sp]],INDIRECT("TabReg["&amp;TabCalc[[#This Row],[Ticker]]&amp;"2]"),INDIRECT("TabReg["&amp;TabCalc[[#This Row],[Ticker]]&amp;"1]")),0)</f>
        <v>0</v>
      </c>
      <c r="AK55" s="192" cm="1">
        <f t="array" aca="1" ref="AK55" ca="1">IFERROR(INDEX(INDIRECT("TabReg["&amp;TabCalc[[#This Row],[Ticker]]&amp;"2]"), _xlfn.XMATCH(MAX(_xlfn._xlws.FILTER(INDIRECT("TabReg["&amp;TabCalc[[#This Row],[Ticker]]&amp;"]"), INDIRECT("TabReg["&amp;TabCalc[[#This Row],[Ticker]]&amp;"2]")&gt;0)), INDIRECT("TabReg["&amp;TabCalc[[#This Row],[Ticker]]&amp;"]"), 0)), 0)</f>
        <v>0</v>
      </c>
      <c r="AL55" s="214">
        <f ca="1">IFERROR(TabCalc[[#This Row],[L_S1n]]*(TabCalc[[#This Row],[L_S1p]]-TabCalc[[#This Row],[M]])*TabCalc[[#This Row],[Scale]],0)</f>
        <v>0</v>
      </c>
      <c r="AM55" s="210" t="str" cm="1">
        <f t="array" aca="1" ref="AM5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55" s="181" cm="1">
        <f t="array" aca="1" ref="AN55" ca="1">IFERROR(_xlfn.XLOOKUP(TabCalc[[#This Row],[L_S1D]],INDIRECT("TabReg["&amp;TabCalc[[#This Row],[Ticker]]&amp;"]"),INDIRECT("TabReg["&amp;TabCalc[[#This Row],[Ticker]]&amp;"1]")),0)</f>
        <v>0</v>
      </c>
      <c r="AO55" s="384" cm="1">
        <f t="array" aca="1" ref="AO55" ca="1">IFERROR(_xlfn.XLOOKUP(TabCalc[[#This Row],[L_S1D]],INDIRECT("TabReg["&amp;TabCalc[[#This Row],[Ticker]]&amp;"]"),INDIRECT("TabReg["&amp;TabCalc[[#This Row],[Ticker]]&amp;"2]")),0)</f>
        <v>0</v>
      </c>
      <c r="AP55" s="336">
        <f ca="1">_xlfn.LET(_xlpm.MVOpen,[1]!RTData[[#This Row],[Open]]*TabCalc[[#This Row],[NAfter]],_xlpm.MVNow,TabCalc[[#This Row],[M]]*TabCalc[[#This Row],[NAfter]],_xlpm.MVNow-_xlpm.MVOpen)*TabCalc[[#This Row],[Scale]]</f>
        <v>3030</v>
      </c>
      <c r="AQ55" s="336">
        <f ca="1">_xlfn.LET(_xlpm.MVToday,DataShift!AV555,         _xlpm.MVY,DataShift!AU555,        _xlpm.MVYY, DataShift!AT555,                                IF(_xlpm.MVToday=_xlpm.MVY,_xlpm.MVY-_xlpm.MVYY,_xlpm.MVToday-_xlpm.MVY))</f>
        <v>-5</v>
      </c>
      <c r="AR55" s="336">
        <f ca="1">_xlfn.LET(_xlpm.MVToday,DataShift!AV555,         _xlpm.MVY,DataShift!AU555,        _xlpm.MVYY, DataShift!AT555,         _xlpm.MVYYY, DataShift!AS555,                      IF(_xlpm.MVToday=_xlpm.MVY,      _xlpm.MVYY-_xlpm.MVYYY,          _xlpm.MVY-_xlpm.MVYY))</f>
        <v>-275</v>
      </c>
      <c r="AS55" s="1078">
        <f ca="1">TabCalc[[#This Row],[Y]]/TabCalc[[#This Row],[M]]</f>
        <v>1.8563317191283295</v>
      </c>
      <c r="AT55" s="299" t="str" cm="1">
        <f t="array" aca="1" ref="AT55" ca="1">IFERROR(_xlfn.IFS(          TabCalc[[#This Row],[E]]&gt;0, "Free Trade",      TabCalc[[#This Row],[A]]&lt;MIN(TabCalc[[#This Row],[L_Sp]],TabCalc[[#This Row],[M]]), "Buy",            TabCalc[[#This Row],[M]]&lt;TabCalc[[#This Row],[L_Sp]],       "Refill",       TabCalc[[#This Row],[M]]&gt;TabCalc[[#This Row],[L_Sp]],"S_more"),"")</f>
        <v>S_more</v>
      </c>
      <c r="AU55" s="299" t="str">
        <f ca="1">IF(           AND(TabCalc[[#This Row],[E]]&lt;=0,          TabCalc[[#This Row],[A]]&gt;MIN(TabCalc[[#This Row],[M]],TabCalc[[#This Row],[L_Sp]]),             TabCalc[[#This Row],[L_Sp]]&lt;=TabCalc[[#This Row],[M]]),                       "S_more","")</f>
        <v>S_more</v>
      </c>
      <c r="AV55" s="82" t="str" cm="1">
        <f t="array" aca="1" ref="AV55" ca="1">IFERROR(_xlfn.IFS(TabCalc[[#This Row],[E]]&gt;0,"Free trade",                 TabCalc[[#This Row],[A]]&lt;MAX(ABS(TabCalc[[#This Row],[L_Bp]]),TabCalc[[#This Row],[A]]),"Sell",             TabCalc[[#This Row],[M]]&gt;ABS(TabCalc[[#This Row],[L_Bp]]),"Resell",             TabCalc[[#This Row],[M]]&lt;ABS(TabCalc[[#This Row],[L_Bp]]),"B_more"),"")</f>
        <v>B_more</v>
      </c>
      <c r="AW55" s="82">
        <f ca="1">TabCalc[[#This Row],[NAfter]]-TabCalc[[#This Row],[Nbegin]]</f>
        <v>109969</v>
      </c>
      <c r="AX55" s="307">
        <f ca="1">IFERROR((TabCalc[[#This Row],[M]]-TabCalc[[#This Row],[Y]])*(TabCalc[[#This Row],[M]]-TabCalc[[#This Row],[Y]])*(TabCalc[[#This Row],[M]]-TabCalc[[#This Row],[Y]])/(TabCalc[[#This Row],[Y]]*TabCalc[[#This Row],[M]]),"")</f>
        <v>-0.27941553888326737</v>
      </c>
      <c r="AY55" s="82">
        <f t="shared" ca="1" si="3"/>
        <v>0</v>
      </c>
      <c r="AZ55" s="90">
        <f ca="1">[1]!RTData[[#This Row],[V/VA]]</f>
        <v>1.7439469320066334</v>
      </c>
      <c r="BA55" s="90" t="str" cm="1">
        <f t="array" aca="1" ref="BA55" ca="1">IFERROR(_xlfn.IFS(TabCalc[[#This Row],[Cur]]="USD",Timer!F$27,TabCalc[[#This Row],[Cur]]="EUR",Timer!F$18,TabCalc[[#This Row],[Cur]]="GBP",Timer!F$12,TabCalc[[#This Row],[Cur]]="CAD",Timer!F$27,TabCalc[[#This Row],[Cur]]="JPY",Timer!F$31,TabCalc[[#This Row],[Cur]]="CHF",Timer!F$18),"Timing")</f>
        <v>None-Working Day</v>
      </c>
      <c r="BB55" s="90">
        <f ca="1">IF(ISNUMBER(TabCalc[[#This Row],[TimeEX]]),TabCalc[[#This Row],[V/VA]]/TabCalc[[#This Row],[TimeEX]],TabCalc[[#This Row],[V/VA]])</f>
        <v>1.7439469320066334</v>
      </c>
      <c r="BC55" s="87" cm="1">
        <f t="array" aca="1" ref="BC55" ca="1">INDEX(TabReg[], 1, _xlfn.XMATCH(TabCalc[[#This Row],[Ticker]]&amp;1, TabReg[#Headers], 0))</f>
        <v>395031</v>
      </c>
      <c r="BD55" s="161">
        <f ca="1">TabCalc[[#This Row],[Nbegin]]*TabCalc[[#This Row],[M]]*TabCalc[[#This Row],[Scale]]+TabCalc[[#This Row],[ValueBegin]]</f>
        <v>-135890.66399999999</v>
      </c>
      <c r="BE55" s="336" t="str" cm="1">
        <f t="array" aca="1" ref="BE55" ca="1">_xlfn.IFS(TabCalc[[#This Row],[Cost+Gain]]&gt;0,"Free",             TabCalc[[#This Row],[GL]]&gt;0,"Gainer",                TRUE,"Looser")</f>
        <v>Looser</v>
      </c>
      <c r="BF55" s="161">
        <f ca="1">TabCalc[[#This Row],[Tot_Paid]]-TabCalc[[#This Row],[ValueBegin]]</f>
        <v>-177898.43154639244</v>
      </c>
      <c r="BG55" s="337">
        <f ca="1">IF(TabCalc[[#This Row],[EfCost]]&gt;TabCalc[[#This Row],[ValueBegin]],       0,        TabCalc[[#This Row],[EfCost]]-TabCalc[[#This Row],[ValueBegin]]*(1+Commission))</f>
        <v>-175036.84277200006</v>
      </c>
      <c r="BH55" s="338">
        <f ca="1">TabCalc[[#This Row],[M_V]]+TabCalc[[#This Row],[ValueBegin]]</f>
        <v>-45056.26999999996</v>
      </c>
      <c r="BI55" s="161" cm="1">
        <f t="array" aca="1" ref="BI55" ca="1">SUMPRODUCT(_xlfn._xlws.FILTER(INDIRECT("TabReg["&amp;TabCalc[[#This Row],[Ticker]]&amp;"1]") * INDIRECT("TabReg["&amp;TabCalc[[#This Row],[Ticker]]&amp;"2]"), INDIRECT("TabReg["&amp;TabCalc[[#This Row],[Ticker]]&amp;"2]")&lt;0))*(1+Commission)*TabCalc[[#This Row],[Scale]]</f>
        <v>-640084.7015463924</v>
      </c>
      <c r="BJ55" s="161" cm="1">
        <f t="array" aca="1" ref="BJ55" ca="1">SUMPRODUCT(IF(INDIRECT("TabReg["&amp;TabCalc[[#This Row],[Ticker]]&amp;"2]") ="", 0, INDIRECT("TabReg["&amp;TabCalc[[#This Row],[Ticker]]&amp;"1]") * INDIRECT("TabReg["&amp;TabCalc[[#This Row],[Ticker]]&amp;"2]") ))*TabCalc[[#This Row],[Scale]]</f>
        <v>-638424.797074</v>
      </c>
      <c r="BK55" s="161" cm="1">
        <f t="array" aca="1" ref="BK5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55" s="161">
        <f ca="1">TabCalc[[#This Row],[M_V]]+TabCalc[[#This Row],[EfCost]]</f>
        <v>-221294.797074</v>
      </c>
      <c r="BM55" s="161">
        <f ca="1">IF(        OR( TabCalc[[#This Row],[GL]]&gt;ABS(TabCalc[[#This Row],[EfCost]]),TabCalc[[#This Row],[NAfter]]=0),             TabCalc[[#This Row],[GL]],     0)</f>
        <v>0</v>
      </c>
      <c r="BN55" s="161" cm="1">
        <f t="array" aca="1" ref="BN55" ca="1">SUMPRODUCT(_xlfn._xlws.FILTER(IF(INDIRECT("TabReg["&amp;TabCalc[[#This Row],[Ticker]]&amp;"2]") ="", 0, INDIRECT("TabReg["&amp;TabCalc[[#This Row],[Ticker]]&amp;"1]")  ),  INDIRECT("TabReg["&amp;TabCalc[[#This Row],[Ticker]]&amp;"2]") &lt; 0))</f>
        <v>505000</v>
      </c>
      <c r="BO55" s="161">
        <f ca="1">TabCalc[[#This Row],[SB]]-TabCalc[[#This Row],[Nbegin]]</f>
        <v>109969</v>
      </c>
      <c r="BP55" s="161" cm="1">
        <f t="array" aca="1" ref="BP55" ca="1">IFERROR(SUMPRODUCT(_xlfn._xlws.FILTER(IF(INDIRECT("TabReg["&amp;TabCalc[[#This Row],[Ticker]]&amp;"2]") ="", 0, INDIRECT("TabReg["&amp;TabCalc[[#This Row],[Ticker]]&amp;"1]")  ),  INDIRECT("TabReg["&amp;TabCalc[[#This Row],[Ticker]]&amp;"2]") &gt; 0)),0)</f>
        <v>0</v>
      </c>
      <c r="BQ5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5" s="176" t="str">
        <f ca="1">IF(TabCalc[[#This Row],[EfCost]]+TabCalc[[#This Row],[M_V]]&lt;TabCalc[[#This Row],[NoT_GL]],"Pile","")</f>
        <v>Pile</v>
      </c>
      <c r="BS55" s="167">
        <f ca="1">[1]!RTData[[#This Row],[Last trade time]]</f>
        <v>45954.666666666664</v>
      </c>
      <c r="BT55" s="177">
        <f ca="1">(TabCalc[[#This Row],[ValueBegin]]+(TabCalc[[#This Row],[M]]-TabCalc[[#This Row],[A]])*TabCalc[[#This Row],[NAfter]])*TabCalc[[#This Row],[Scale]]</f>
        <v>-683481.06707400002</v>
      </c>
      <c r="BU55" s="189" cm="1">
        <f t="array" aca="1" ref="BU55" ca="1">_xlfn.XLOOKUP(TabCalc[[#This Row],[Ticker]],TabReg[[#Headers],[AAPL]:[UnknownX28]],Reg!B$72:KF$72)+3</f>
        <v>13</v>
      </c>
      <c r="BV55" s="190" cm="1">
        <f t="array" aca="1" ref="BV55" ca="1">_xlfn.XLOOKUP(TabCalc[[#This Row],[Ticker]],TabReg[[#Headers],[AAPL]:[UnknownX28]],Reg!B$73:KF$73)+2</f>
        <v>162</v>
      </c>
      <c r="BW55" s="191">
        <f ca="1">IFERROR(MAX(TabCalc[[#This Row],[Max_SD]],TabCalc[[#This Row],[Max_PD]]),0)</f>
        <v>45862</v>
      </c>
      <c r="BX55" s="191" t="str" cm="1">
        <f t="array" aca="1" ref="BX55" ca="1">_xlfn.IFS(TabCalc[[#This Row],[L_TP]]&lt;0,"Purchase",TabCalc[[#This Row],[L_TP]]&gt;0,"Sale")</f>
        <v>Purchase</v>
      </c>
      <c r="BY55" s="190" cm="1">
        <f t="array" aca="1" ref="BY55" ca="1">INDEX(Reg!$A$1:$KF$73,TabCalc[[#This Row],[L_I1]],TabCalc[[#This Row],[L_I2]])</f>
        <v>20000</v>
      </c>
      <c r="BZ55" s="192" cm="1">
        <f t="array" aca="1" ref="BZ55" ca="1">INDEX(Reg!$A$1:$KF$73,TabCalc[[#This Row],[L_I1]],TabCalc[[#This Row],[L_I2]]+1)</f>
        <v>-0.95828650000000004</v>
      </c>
      <c r="CA55" s="161">
        <f ca="1">TabCalc[[#This Row],[NAfter]]*(TabCalc[[#This Row],[M]]-IF(TabCalc[[#This Row],[E]]&gt;0,0,TabCalc[[#This Row],[A]]))</f>
        <v>-221294.79707400003</v>
      </c>
      <c r="CB55" s="167" cm="1">
        <f t="array" aca="1" ref="CB55" ca="1">IFERROR(MIN(_xlfn._xlws.FILTER(INDIRECT("TabReg["&amp;TabCalc[[#This Row],[Ticker]]&amp;"]"), INDIRECT("TabReg["&amp;TabCalc[[#This Row],[Ticker]]&amp;"2]")&gt;0)),0)</f>
        <v>0</v>
      </c>
      <c r="CC55" s="178" cm="1">
        <f t="array" aca="1" ref="CC55" ca="1">IFERROR(MIN(_xlfn._xlws.FILTER(INDIRECT("TabReg["&amp;TabCalc[[#This Row],[Ticker]]&amp;"1]"), INDIRECT("TabReg["&amp;TabCalc[[#This Row],[Ticker]]&amp;"2]")&gt;0)),0)</f>
        <v>0</v>
      </c>
      <c r="CD55" s="173" cm="1">
        <f t="array" aca="1" ref="CD55" ca="1">IFERROR(MIN(_xlfn._xlws.FILTER(INDIRECT("TabReg["&amp;TabCalc[[#This Row],[Ticker]]&amp;"2]"), INDIRECT("TabReg["&amp;TabCalc[[#This Row],[Ticker]]&amp;"2]")&gt;0)),0)</f>
        <v>0</v>
      </c>
      <c r="CE55" s="167" cm="1">
        <f t="array" aca="1" ref="CE55" ca="1">IFERROR(MAX(_xlfn._xlws.FILTER(INDIRECT("TabReg["&amp;TabCalc[[#This Row],[Ticker]]&amp;"]"), INDIRECT("TabReg["&amp;TabCalc[[#This Row],[Ticker]]&amp;"2]")&gt;0)),0)</f>
        <v>0</v>
      </c>
      <c r="CF55" s="178" cm="1">
        <f t="array" aca="1" ref="CF55" ca="1">IFERROR(MAX(_xlfn._xlws.FILTER(INDIRECT("TabReg["&amp;TabCalc[[#This Row],[Ticker]]&amp;"1]"), INDIRECT("TabReg["&amp;TabCalc[[#This Row],[Ticker]]&amp;"2]")&gt;0)),0)</f>
        <v>0</v>
      </c>
      <c r="CG55" s="173" cm="1">
        <f t="array" aca="1" ref="CG55" ca="1">IFERROR(MAX(_xlfn._xlws.FILTER(INDIRECT("TabReg["&amp;TabCalc[[#This Row],[Ticker]]&amp;"2]"), INDIRECT("TabReg["&amp;TabCalc[[#This Row],[Ticker]]&amp;"2]")&gt;0)),0)</f>
        <v>0</v>
      </c>
      <c r="CH55" s="167" cm="1">
        <f t="array" aca="1" ref="CH55" ca="1">MIN(_xlfn._xlws.FILTER(INDIRECT("TabReg["&amp;TabCalc[[#This Row],[Ticker]]&amp;"]"), INDIRECT("TabReg["&amp;TabCalc[[#This Row],[Ticker]]&amp;"2]")&lt;0))</f>
        <v>40544</v>
      </c>
      <c r="CI55" s="177" cm="1">
        <f t="array" aca="1" ref="CI55" ca="1">MIN(_xlfn._xlws.FILTER(INDIRECT("TabReg["&amp;TabCalc[[#This Row],[Ticker]]&amp;"1]"), INDIRECT("TabReg["&amp;TabCalc[[#This Row],[Ticker]]&amp;"2]")&lt;0))</f>
        <v>2942</v>
      </c>
      <c r="CJ55" s="173" cm="1">
        <f t="array" aca="1" ref="CJ55" ca="1">MIN(_xlfn._xlws.FILTER(INDIRECT("TabReg["&amp;TabCalc[[#This Row],[Ticker]]&amp;"2]"), INDIRECT("TabReg["&amp;TabCalc[[#This Row],[Ticker]]&amp;"2]")&lt;0))</f>
        <v>-4.3852000000000002</v>
      </c>
      <c r="CK55" s="167" cm="1">
        <f t="array" aca="1" ref="CK55" ca="1">MAX(_xlfn._xlws.FILTER(INDIRECT("TabReg["&amp;TabCalc[[#This Row],[Ticker]]&amp;"]"), INDIRECT("TabReg["&amp;TabCalc[[#This Row],[Ticker]]&amp;"2]")&lt;0))</f>
        <v>45862</v>
      </c>
      <c r="CL55" s="177" cm="1">
        <f t="array" aca="1" ref="CL55" ca="1">MAX(_xlfn._xlws.FILTER(INDIRECT("TabReg["&amp;TabCalc[[#This Row],[Ticker]]&amp;"1]"), INDIRECT("TabReg["&amp;TabCalc[[#This Row],[Ticker]]&amp;"2]")&lt;0))</f>
        <v>395031</v>
      </c>
      <c r="CM55" s="173" cm="1">
        <f t="array" aca="1" ref="CM55" ca="1">MAX(_xlfn._xlws.FILTER(INDIRECT("TabReg["&amp;TabCalc[[#This Row],[Ticker]]&amp;"2]"), INDIRECT("TabReg["&amp;TabCalc[[#This Row],[Ticker]]&amp;"2]")&lt;0))</f>
        <v>-0.95828650000000004</v>
      </c>
      <c r="CN55" s="167" cm="1">
        <f t="array" aca="1" ref="CN55" ca="1">IFERROR(_xlfn.XLOOKUP(TabCalc[[#This Row],[BS2P]],INDIRECT("TabReg["&amp;TabCalc[[#This Row],[Ticker]]&amp;"2]"),INDIRECT("TabReg["&amp;TabCalc[[#This Row],[Ticker]]&amp;"]")),0)</f>
        <v>45716</v>
      </c>
      <c r="CO55" s="178" cm="1">
        <f t="array" aca="1" ref="CO55" ca="1">IFERROR(_xlfn.XLOOKUP(TabCalc[[#This Row],[BS2P]],INDIRECT("TabReg["&amp;TabCalc[[#This Row],[Ticker]]&amp;"2]"),INDIRECT("TabReg["&amp;TabCalc[[#This Row],[Ticker]]&amp;"1]")),0)</f>
        <v>20000</v>
      </c>
      <c r="CP55" s="173">
        <f ca="1">_xlfn.MAXIFS(INDIRECT("TabReg["&amp;TabCalc[[#This Row],[Ticker]]&amp;"2]"), INDIRECT("TabReg["&amp;TabCalc[[#This Row],[Ticker]]&amp;"2]"), "&lt;" &amp; MAX(INDIRECT("TabReg["&amp;TabCalc[[#This Row],[Ticker]]&amp;"2]")))</f>
        <v>-1.01</v>
      </c>
      <c r="CQ55" s="167" cm="1">
        <f t="array" aca="1" ref="CQ55" ca="1">IFERROR(_xlfn.XLOOKUP(TabCalc[[#This Row],[WB2P]],INDIRECT("TabReg["&amp;TabCalc[[#This Row],[Ticker]]&amp;"2]"),INDIRECT("TabReg["&amp;TabCalc[[#This Row],[Ticker]]&amp;"]")),0)</f>
        <v>45355</v>
      </c>
      <c r="CR55" s="178" cm="1">
        <f t="array" aca="1" ref="CR55" ca="1">IFERROR(_xlfn.XLOOKUP(TabCalc[[#This Row],[WB2P]],INDIRECT("TabReg["&amp;TabCalc[[#This Row],[Ticker]]&amp;"2]"),INDIRECT("TabReg["&amp;TabCalc[[#This Row],[Ticker]]&amp;"1]")),0)</f>
        <v>5000</v>
      </c>
      <c r="CS55" s="173">
        <f ca="1">_xlfn.MINIFS(INDIRECT("TabReg["&amp;TabCalc[[#This Row],[Ticker]]&amp;"2]"), INDIRECT("TabReg["&amp;TabCalc[[#This Row],[Ticker]]&amp;"2]"), "&gt;" &amp; MIN(INDIRECT("TabReg["&amp;TabCalc[[#This Row],[Ticker]]&amp;"2]")))</f>
        <v>-3.41</v>
      </c>
      <c r="CT55" s="405">
        <f ca="1">IF(TabCalc[[#This Row],[M]]&lt;TabCalc[[#This Row],[L_Sp]],DesiredBuyGain/(TabCalc[[#This Row],[L_Sp]]-TabCalc[[#This Row],[M]]),0)</f>
        <v>0</v>
      </c>
      <c r="CU55" s="406">
        <f ca="1">IF(TabCalc[[#This Row],[ntoBuy]]*TabCalc[[#This Row],[M]]&lt;=0,0,TabCalc[[#This Row],[ntoBuy]]*TabCalc[[#This Row],[M]])</f>
        <v>0</v>
      </c>
      <c r="CV55" s="406">
        <f ca="1">IF(TabCalc[[#This Row],[M]]&gt;ABS(TabCalc[[#This Row],[L_Bp]]),MIN(TabCalc[[#This Row],[NAfter]],DesiredSaleGain/(TabCalc[[#This Row],[M]]+TabCalc[[#This Row],[L_Bp]])),0)/TabCalc[[#This Row],[Scale]]</f>
        <v>0</v>
      </c>
      <c r="CW55" s="407">
        <f ca="1">TabCalc[[#This Row],[ntoSell]]*TabCalc[[#This Row],[M]]</f>
        <v>0</v>
      </c>
      <c r="CX55" s="400">
        <f ca="1">_xlfn.LET(_xlpm.nToSell,IF(TabCalc[[#This Row],[M]]-TabCalc[[#This Row],[A]]&lt;=0,"",INT(DesiredSaleGain/(TabCalc[[#This Row],[M]]-IF(TabCalc[[#This Row],[E]]&gt;0,0,TabCalc[[#This Row],[A]])))),IF(_xlpm.nToSell&lt;=TabCalc[[#This Row],[NAfter]],_xlpm.nToSell,0))</f>
        <v>0</v>
      </c>
      <c r="CY55" s="338">
        <f ca="1">IFERROR(TabCalc[[#This Row],[NMA]]*TabCalc[[#This Row],[M]],"")</f>
        <v>0</v>
      </c>
      <c r="CZ55" s="337" cm="1">
        <f t="array" aca="1" ref="CZ55" ca="1">_xlfn.IFS(TabCalc[[#This Row],[M]]&gt;= TabCalc[[#This Row],[L_Sp]],(TabCalc[[#This Row],[M]]-TabCalc[[#This Row],[A]])*TabCalc[[#This Row],[NAfter]]*TabCalc[[#This Row],[Scale]],           TabCalc[[#This Row],[M]]&lt; TabCalc[[#This Row],[L_Sp]],(TabCalc[[#This Row],[M]]-TabCalc[[#This Row],[A]])*TabCalc[[#This Row],[NAfter]]*TabCalc[[#This Row],[Scale]],               TRUE,"")</f>
        <v>-221294.79707400003</v>
      </c>
      <c r="DA55" s="90">
        <f ca="1">IFERROR((TabCalc[[#This Row],[M]]+TabCalc[[#This Row],[L_Bp]])/ABS(TabCalc[[#This Row],[L_Bp]])/(TODAY()-TabCalc[[#This Row],[L_Bdate]])*360,"")</f>
        <v>-0.52868233971382306</v>
      </c>
      <c r="DB55" s="312">
        <f ca="1">MEDIAN(DataShift!F754:Z754)</f>
        <v>-1.7499999999999998E-3</v>
      </c>
      <c r="DC55" s="312" t="e" cm="1">
        <f t="array" aca="1" ref="DC5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5" s="88" t="s">
        <v>51</v>
      </c>
      <c r="DN55" s="81">
        <v>200</v>
      </c>
      <c r="DO55" s="317">
        <v>-99.51</v>
      </c>
    </row>
    <row r="56" spans="1:119">
      <c r="A56" s="120" t="str">
        <f ca="1">_xlfn.XLOOKUP(TabCalc[[#This Row],[Ticker]],[1]!RTData[Ticker symbol],[1]!RTData[Currency])</f>
        <v>USD</v>
      </c>
      <c r="B56" s="121">
        <f ca="1">IF(TabCalc[[#This Row],[Cur]]="GBP",0.01,1)</f>
        <v>1</v>
      </c>
      <c r="C56" s="82">
        <f ca="1">_xlfn.XLOOKUP(TabCalc[[#This Row],[Ticker]],DM$3:DM$96,DN$3:DN$96)</f>
        <v>10000</v>
      </c>
      <c r="D56" s="1254">
        <f ca="1">_xlfn.XLOOKUP(TabCalc[[#This Row],[Ticker]],DM$3:DM$96,DO$3:DO$96)</f>
        <v>-4.33</v>
      </c>
      <c r="E56" s="121">
        <f t="shared" ca="1" si="2"/>
        <v>-43300</v>
      </c>
      <c r="F56" s="82">
        <f ca="1">TabCalc[[#This Row],[NAfter]]*TabCalc[[#This Row],[M]]*TabCalc[[#This Row],[Scale]]</f>
        <v>31300</v>
      </c>
      <c r="G56" s="82">
        <f ca="1">IFERROR(TabCalc[[#This Row],[SB]]-TabCalc[[#This Row],[SST]],TabCalc[[#This Row],[SB]])</f>
        <v>10000</v>
      </c>
      <c r="H56" s="535" t="str">
        <f ca="1">[1]!RTData[[#This Row],[Ticker symbol]]</f>
        <v>MVEDDD</v>
      </c>
      <c r="I56" s="385">
        <f ca="1">[1]!RTData[[#This Row],[M-Price]]</f>
        <v>3.13</v>
      </c>
      <c r="J56" s="384">
        <v>2.4500000000000002</v>
      </c>
      <c r="K56" s="383">
        <f>[1]!RTData[[#This Row],[1YT]]</f>
        <v>3.25</v>
      </c>
      <c r="L56" s="384">
        <f ca="1">IF(OR(TabCalc[[#This Row],[NAfter]]=0,TabCalc[[#This Row],[EfCost]]&gt;0),0,TabCalc[[#This Row],[EfCost]]/TabCalc[[#This Row],[NAfter]]/TabCalc[[#This Row],[Scale]])</f>
        <v>-1.2989585000000003</v>
      </c>
      <c r="M56" s="744">
        <f ca="1">[1]!RTData[[#This Row],[Change%]]</f>
        <v>1.6233999999999998E-2</v>
      </c>
      <c r="N56" s="1172">
        <v>0</v>
      </c>
      <c r="O56" s="966">
        <f>TabCalc[[#This Row],[Up20]]-1+TabCalc[[#This Row],[Up20]]</f>
        <v>-1</v>
      </c>
      <c r="P56" s="966">
        <f>TabCalc[[#This Row],[Up20]]-TabCalc[[#This Row],[Up150]]</f>
        <v>0</v>
      </c>
      <c r="Q56" s="966">
        <v>0</v>
      </c>
      <c r="R56" s="966">
        <f>TabCalc[[#This Row],[Up150]]-1+TabCalc[[#This Row],[Up150]]</f>
        <v>-1</v>
      </c>
      <c r="S56" s="966">
        <f ca="1">IFERROR(SUMPRODUCT(DataShift!F1548:Z1548,DataShift!AB755:AV755)/SQRT(SUMPRODUCT(DataShift!F1548:Z1548,DataShift!F1548:Z1548)*SUMPRODUCT(DataShift!AB755:AV755,DataShift!AB755:AV755)),0)</f>
        <v>-0.76336242224399542</v>
      </c>
      <c r="T56" s="966">
        <f ca="1">IFERROR(SUMPRODUCT(DataShift!F1548:Z1548,DataShift!F755:Z755)/SQRT(SUMPRODUCT(DataShift!F1548:Z1548,DataShift!F1548:Z1548)*SUMPRODUCT(DataShift!F755:Z755,DataShift!F755:Z755)),0)</f>
        <v>-0.20317327560711068</v>
      </c>
      <c r="U56" s="1107">
        <v>10000</v>
      </c>
      <c r="V56" s="1107">
        <v>0</v>
      </c>
      <c r="W56" s="1107">
        <v>0</v>
      </c>
      <c r="X56" s="966" t="str">
        <f ca="1">IF(TabCalc[[#This Row],[EfCost]]+TabCalc[[#This Row],[M_V]]&lt;TabCalc[[#This Row],[NoT_GL]],"Pile","")</f>
        <v/>
      </c>
      <c r="Y5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6" s="213">
        <f ca="1">MIN(TabCalc[[#This Row],[L_Bn]],TabCalc[[#This Row],[NAfter]])*(TabCalc[[#This Row],[M]]+TabCalc[[#This Row],[L_Bp]])*TabCalc[[#This Row],[Scale]]</f>
        <v>6799.9999999999973</v>
      </c>
      <c r="AA56" s="210" cm="1">
        <f t="array" aca="1" ref="AA56" ca="1">_xlfn.XLOOKUP(TabCalc[[#This Row],[L_Bp]],INDIRECT("TabReg["&amp;TabCalc[[#This Row],[Ticker]]&amp;"2]"),INDIRECT("TabReg["&amp;TabCalc[[#This Row],[Ticker]]&amp;"]"))</f>
        <v>45548</v>
      </c>
      <c r="AB56" s="181" cm="1">
        <f t="array" aca="1" ref="AB56" ca="1">_xlfn.XLOOKUP(TabCalc[[#This Row],[L_Bp]],INDIRECT("TabReg["&amp;TabCalc[[#This Row],[Ticker]]&amp;"2]"),INDIRECT("TabReg["&amp;TabCalc[[#This Row],[Ticker]]&amp;"1]"))</f>
        <v>10000</v>
      </c>
      <c r="AC56" s="192" cm="1">
        <f t="array" aca="1" ref="AC56" ca="1">IFERROR(INDEX(INDIRECT("TabReg["&amp;TabCalc[[#This Row],[Ticker]]&amp;"2]"),    _xlfn.XMATCH(    MAX(    _xlfn._xlws.FILTER(INDIRECT("TabReg["&amp;TabCalc[[#This Row],[Ticker]]&amp;"]"), INDIRECT("TabReg["&amp;TabCalc[[#This Row],[Ticker]]&amp;"2]")&lt;0)     ), INDIRECT("TabReg["&amp;TabCalc[[#This Row],[Ticker]]&amp;"]"),      0)), "")</f>
        <v>-2.4500000000000002</v>
      </c>
      <c r="AD56" s="213">
        <f ca="1">IFERROR(MIN(TabCalc[[#This Row],[L_B1n]],TabCalc[[#This Row],[NAfter]])*(TabCalc[[#This Row],[M]]+TabCalc[[#This Row],[L_B1p]])*TabCalc[[#This Row],[Scale]],"")</f>
        <v>-395.08499999999947</v>
      </c>
      <c r="AE56" s="210" cm="1">
        <f t="array" aca="1" ref="AE5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56" s="181" cm="1">
        <f t="array" aca="1" ref="AF56" ca="1">IFERROR(_xlfn.XLOOKUP(TabCalc[[#This Row],[L_B1D]],INDIRECT("TabReg["&amp;TabCalc[[#This Row],[Ticker]]&amp;"]"),INDIRECT("TabReg["&amp;TabCalc[[#This Row],[Ticker]]&amp;"1]")),0)</f>
        <v>5000</v>
      </c>
      <c r="AG56" s="192" cm="1">
        <f t="array" aca="1" ref="AG56" ca="1">IFERROR(_xlfn.XLOOKUP(TabCalc[[#This Row],[L_B1D]],INDIRECT("TabReg["&amp;TabCalc[[#This Row],[Ticker]]&amp;"]"),INDIRECT("TabReg["&amp;TabCalc[[#This Row],[Ticker]]&amp;"2]")),0)</f>
        <v>-3.2090169999999998</v>
      </c>
      <c r="AH56" s="302">
        <f ca="1">IFERROR(TabCalc[[#This Row],[L_Sn]]*(TabCalc[[#This Row],[L_Sp]]-TabCalc[[#This Row],[M]])*TabCalc[[#This Row],[Scale]],"")</f>
        <v>1950.0000000000007</v>
      </c>
      <c r="AI56" s="210" cm="1">
        <f t="array" aca="1" ref="AI56" ca="1">IFERROR(_xlfn.XLOOKUP(TabCalc[[#This Row],[L_Sp]],INDIRECT("TabReg["&amp;TabCalc[[#This Row],[Ticker]]&amp;"2]"),INDIRECT("TabReg["&amp;TabCalc[[#This Row],[Ticker]]&amp;"]")),0)</f>
        <v>45602</v>
      </c>
      <c r="AJ56" s="181" cm="1">
        <f t="array" aca="1" ref="AJ56" ca="1">IFERROR(_xlfn.XLOOKUP(TabCalc[[#This Row],[L_Sp]],INDIRECT("TabReg["&amp;TabCalc[[#This Row],[Ticker]]&amp;"2]"),INDIRECT("TabReg["&amp;TabCalc[[#This Row],[Ticker]]&amp;"1]")),0)</f>
        <v>5000</v>
      </c>
      <c r="AK56" s="192" cm="1">
        <f t="array" aca="1" ref="AK56" ca="1">IFERROR(INDEX(INDIRECT("TabReg["&amp;TabCalc[[#This Row],[Ticker]]&amp;"2]"), _xlfn.XMATCH(MAX(_xlfn._xlws.FILTER(INDIRECT("TabReg["&amp;TabCalc[[#This Row],[Ticker]]&amp;"]"), INDIRECT("TabReg["&amp;TabCalc[[#This Row],[Ticker]]&amp;"2]")&gt;0)), INDIRECT("TabReg["&amp;TabCalc[[#This Row],[Ticker]]&amp;"]"), 0)), 0)</f>
        <v>3.52</v>
      </c>
      <c r="AL56" s="214">
        <f ca="1">IFERROR(TabCalc[[#This Row],[L_S1n]]*(TabCalc[[#This Row],[L_S1p]]-TabCalc[[#This Row],[M]])*TabCalc[[#This Row],[Scale]],0)</f>
        <v>4150.5000000000018</v>
      </c>
      <c r="AM56" s="210" cm="1">
        <f t="array" aca="1" ref="AM5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45497</v>
      </c>
      <c r="AN56" s="181" cm="1">
        <f t="array" aca="1" ref="AN56" ca="1">IFERROR(_xlfn.XLOOKUP(TabCalc[[#This Row],[L_S1D]],INDIRECT("TabReg["&amp;TabCalc[[#This Row],[Ticker]]&amp;"]"),INDIRECT("TabReg["&amp;TabCalc[[#This Row],[Ticker]]&amp;"1]")),0)</f>
        <v>5000</v>
      </c>
      <c r="AO56" s="384" cm="1">
        <f t="array" aca="1" ref="AO56" ca="1">IFERROR(_xlfn.XLOOKUP(TabCalc[[#This Row],[L_S1D]],INDIRECT("TabReg["&amp;TabCalc[[#This Row],[Ticker]]&amp;"]"),INDIRECT("TabReg["&amp;TabCalc[[#This Row],[Ticker]]&amp;"2]")),0)</f>
        <v>3.9601000000000002</v>
      </c>
      <c r="AP56" s="336">
        <f ca="1">_xlfn.LET(_xlpm.MVOpen,[1]!RTData[[#This Row],[Open]]*TabCalc[[#This Row],[NAfter]],_xlpm.MVNow,TabCalc[[#This Row],[M]]*TabCalc[[#This Row],[NAfter]],_xlpm.MVNow-_xlpm.MVOpen)*TabCalc[[#This Row],[Scale]]</f>
        <v>-500</v>
      </c>
      <c r="AQ56" s="336">
        <f ca="1">_xlfn.LET(_xlpm.MVToday,DataShift!AV556,         _xlpm.MVY,DataShift!AU556,        _xlpm.MVYY, DataShift!AT556,                                IF(_xlpm.MVToday=_xlpm.MVY,_xlpm.MVY-_xlpm.MVYY,_xlpm.MVToday-_xlpm.MVY))</f>
        <v>-200</v>
      </c>
      <c r="AR56" s="336">
        <f ca="1">_xlfn.LET(_xlpm.MVToday,DataShift!AV556,         _xlpm.MVY,DataShift!AU556,        _xlpm.MVYY, DataShift!AT556,         _xlpm.MVYYY, DataShift!AS556,                      IF(_xlpm.MVToday=_xlpm.MVY,      _xlpm.MVYY-_xlpm.MVYYY,          _xlpm.MVY-_xlpm.MVYY))</f>
        <v>800</v>
      </c>
      <c r="AS56" s="1078">
        <f ca="1">TabCalc[[#This Row],[Y]]/TabCalc[[#This Row],[M]]</f>
        <v>1.0383386581469649</v>
      </c>
      <c r="AT56" s="299" t="str" cm="1">
        <f t="array" aca="1" ref="AT56" ca="1">IFERROR(_xlfn.IFS(          TabCalc[[#This Row],[E]]&gt;0, "Free Trade",      TabCalc[[#This Row],[A]]&lt;MIN(TabCalc[[#This Row],[L_Sp]],TabCalc[[#This Row],[M]]), "Buy",            TabCalc[[#This Row],[M]]&lt;TabCalc[[#This Row],[L_Sp]],       "Refill",       TabCalc[[#This Row],[M]]&gt;TabCalc[[#This Row],[L_Sp]],"S_more"),"")</f>
        <v>Buy</v>
      </c>
      <c r="AU56" s="299" t="str">
        <f ca="1">IF(           AND(TabCalc[[#This Row],[E]]&lt;=0,          TabCalc[[#This Row],[A]]&gt;MIN(TabCalc[[#This Row],[M]],TabCalc[[#This Row],[L_Sp]]),             TabCalc[[#This Row],[L_Sp]]&lt;=TabCalc[[#This Row],[M]]),                       "S_more","")</f>
        <v/>
      </c>
      <c r="AV56" s="82" t="str" cm="1">
        <f t="array" aca="1" ref="AV56" ca="1">IFERROR(_xlfn.IFS(TabCalc[[#This Row],[E]]&gt;0,"Free trade",                 TabCalc[[#This Row],[A]]&lt;MAX(ABS(TabCalc[[#This Row],[L_Bp]]),TabCalc[[#This Row],[A]]),"Sell",             TabCalc[[#This Row],[M]]&gt;ABS(TabCalc[[#This Row],[L_Bp]]),"Resell",             TabCalc[[#This Row],[M]]&lt;ABS(TabCalc[[#This Row],[L_Bp]]),"B_more"),"")</f>
        <v>Resell</v>
      </c>
      <c r="AW56" s="82">
        <f ca="1">TabCalc[[#This Row],[NAfter]]-TabCalc[[#This Row],[Nbegin]]</f>
        <v>0</v>
      </c>
      <c r="AX56" s="307">
        <f ca="1">IFERROR((TabCalc[[#This Row],[M]]-TabCalc[[#This Row],[Y]])*(TabCalc[[#This Row],[M]]-TabCalc[[#This Row],[Y]])*(TabCalc[[#This Row],[M]]-TabCalc[[#This Row],[Y]])/(TabCalc[[#This Row],[Y]]*TabCalc[[#This Row],[M]]),"")</f>
        <v>-1.6986974686655245E-4</v>
      </c>
      <c r="AY56" s="82">
        <f t="shared" ca="1" si="3"/>
        <v>0</v>
      </c>
      <c r="AZ56" s="90">
        <f ca="1">[1]!RTData[[#This Row],[V/VA]]</f>
        <v>0.66744662603510774</v>
      </c>
      <c r="BA56" s="90" t="str" cm="1">
        <f t="array" aca="1" ref="BA56" ca="1">IFERROR(_xlfn.IFS(TabCalc[[#This Row],[Cur]]="USD",Timer!F$27,TabCalc[[#This Row],[Cur]]="EUR",Timer!F$18,TabCalc[[#This Row],[Cur]]="GBP",Timer!F$12,TabCalc[[#This Row],[Cur]]="CAD",Timer!F$27,TabCalc[[#This Row],[Cur]]="JPY",Timer!F$31,TabCalc[[#This Row],[Cur]]="CHF",Timer!F$18),"Timing")</f>
        <v>None-Working Day</v>
      </c>
      <c r="BB56" s="90">
        <f ca="1">IF(ISNUMBER(TabCalc[[#This Row],[TimeEX]]),TabCalc[[#This Row],[V/VA]]/TabCalc[[#This Row],[TimeEX]],TabCalc[[#This Row],[V/VA]])</f>
        <v>0.66744662603510774</v>
      </c>
      <c r="BC56" s="87" cm="1">
        <f t="array" aca="1" ref="BC56" ca="1">INDEX(TabReg[], 1, _xlfn.XMATCH(TabCalc[[#This Row],[Ticker]]&amp;1, TabReg[#Headers], 0))</f>
        <v>10000</v>
      </c>
      <c r="BD56" s="161">
        <f ca="1">TabCalc[[#This Row],[Nbegin]]*TabCalc[[#This Row],[M]]*TabCalc[[#This Row],[Scale]]+TabCalc[[#This Row],[ValueBegin]]</f>
        <v>-12000</v>
      </c>
      <c r="BE56" s="336" t="str" cm="1">
        <f t="array" aca="1" ref="BE56" ca="1">_xlfn.IFS(TabCalc[[#This Row],[Cost+Gain]]&gt;0,"Free",             TabCalc[[#This Row],[GL]]&gt;0,"Gainer",                TRUE,"Looser")</f>
        <v>Free</v>
      </c>
      <c r="BF56" s="161">
        <f ca="1">TabCalc[[#This Row],[Tot_Paid]]-TabCalc[[#This Row],[ValueBegin]]</f>
        <v>-86295.15862099998</v>
      </c>
      <c r="BG56" s="337">
        <f ca="1">IF(TabCalc[[#This Row],[EfCost]]&gt;TabCalc[[#This Row],[ValueBegin]],       0,        TabCalc[[#This Row],[EfCost]]-TabCalc[[#This Row],[ValueBegin]]*(1+Commission))</f>
        <v>0</v>
      </c>
      <c r="BH56" s="338">
        <f ca="1">TabCalc[[#This Row],[M_V]]+TabCalc[[#This Row],[ValueBegin]]</f>
        <v>-12000</v>
      </c>
      <c r="BI56" s="161" cm="1">
        <f t="array" aca="1" ref="BI56" ca="1">SUMPRODUCT(_xlfn._xlws.FILTER(INDIRECT("TabReg["&amp;TabCalc[[#This Row],[Ticker]]&amp;"1]") * INDIRECT("TabReg["&amp;TabCalc[[#This Row],[Ticker]]&amp;"2]"), INDIRECT("TabReg["&amp;TabCalc[[#This Row],[Ticker]]&amp;"2]")&lt;0))*(1+Commission)*TabCalc[[#This Row],[Scale]]</f>
        <v>-129595.15862099998</v>
      </c>
      <c r="BJ56" s="161" cm="1">
        <f t="array" aca="1" ref="BJ56" ca="1">SUMPRODUCT(IF(INDIRECT("TabReg["&amp;TabCalc[[#This Row],[Ticker]]&amp;"2]") ="", 0, INDIRECT("TabReg["&amp;TabCalc[[#This Row],[Ticker]]&amp;"1]") * INDIRECT("TabReg["&amp;TabCalc[[#This Row],[Ticker]]&amp;"2]") ))*TabCalc[[#This Row],[Scale]]</f>
        <v>-12989.585000000003</v>
      </c>
      <c r="BK56" s="161" cm="1">
        <f t="array" aca="1" ref="BK5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115967.19929999999</v>
      </c>
      <c r="BL56" s="161">
        <f ca="1">TabCalc[[#This Row],[M_V]]+TabCalc[[#This Row],[EfCost]]</f>
        <v>18310.414999999997</v>
      </c>
      <c r="BM56" s="161">
        <f ca="1">IF(        OR( TabCalc[[#This Row],[GL]]&gt;ABS(TabCalc[[#This Row],[EfCost]]),TabCalc[[#This Row],[NAfter]]=0),             TabCalc[[#This Row],[GL]],     0)</f>
        <v>18310.414999999997</v>
      </c>
      <c r="BN56" s="161" cm="1">
        <f t="array" aca="1" ref="BN56" ca="1">SUMPRODUCT(_xlfn._xlws.FILTER(IF(INDIRECT("TabReg["&amp;TabCalc[[#This Row],[Ticker]]&amp;"2]") ="", 0, INDIRECT("TabReg["&amp;TabCalc[[#This Row],[Ticker]]&amp;"1]")  ),  INDIRECT("TabReg["&amp;TabCalc[[#This Row],[Ticker]]&amp;"2]") &lt; 0))</f>
        <v>35000</v>
      </c>
      <c r="BO56" s="161">
        <f ca="1">TabCalc[[#This Row],[SB]]-TabCalc[[#This Row],[Nbegin]]</f>
        <v>25000</v>
      </c>
      <c r="BP56" s="161" cm="1">
        <f t="array" aca="1" ref="BP56" ca="1">IFERROR(SUMPRODUCT(_xlfn._xlws.FILTER(IF(INDIRECT("TabReg["&amp;TabCalc[[#This Row],[Ticker]]&amp;"2]") ="", 0, INDIRECT("TabReg["&amp;TabCalc[[#This Row],[Ticker]]&amp;"1]")  ),  INDIRECT("TabReg["&amp;TabCalc[[#This Row],[Ticker]]&amp;"2]") &gt; 0)),0)</f>
        <v>25000</v>
      </c>
      <c r="BQ5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2.07</v>
      </c>
      <c r="BR56" s="176" t="str">
        <f ca="1">IF(TabCalc[[#This Row],[EfCost]]+TabCalc[[#This Row],[M_V]]&lt;TabCalc[[#This Row],[NoT_GL]],"Pile","")</f>
        <v/>
      </c>
      <c r="BS56" s="167">
        <f ca="1">[1]!RTData[[#This Row],[Last trade time]]</f>
        <v>45954.994127685153</v>
      </c>
      <c r="BT56" s="177">
        <f ca="1">(TabCalc[[#This Row],[ValueBegin]]+(TabCalc[[#This Row],[M]]-TabCalc[[#This Row],[A]])*TabCalc[[#This Row],[NAfter]])*TabCalc[[#This Row],[Scale]]</f>
        <v>-36500</v>
      </c>
      <c r="BU56" s="189" cm="1">
        <f t="array" aca="1" ref="BU56" ca="1">_xlfn.XLOOKUP(TabCalc[[#This Row],[Ticker]],TabReg[[#Headers],[AAPL]:[UnknownX28]],Reg!B$72:KF$72)+3</f>
        <v>12</v>
      </c>
      <c r="BV56" s="190" cm="1">
        <f t="array" aca="1" ref="BV56" ca="1">_xlfn.XLOOKUP(TabCalc[[#This Row],[Ticker]],TabReg[[#Headers],[AAPL]:[UnknownX28]],Reg!B$73:KF$73)+2</f>
        <v>165</v>
      </c>
      <c r="BW56" s="191">
        <f ca="1">IFERROR(MAX(TabCalc[[#This Row],[Max_SD]],TabCalc[[#This Row],[Max_PD]]),0)</f>
        <v>45602</v>
      </c>
      <c r="BX56" s="191" t="str" cm="1">
        <f t="array" aca="1" ref="BX56" ca="1">_xlfn.IFS(TabCalc[[#This Row],[L_TP]]&lt;0,"Purchase",TabCalc[[#This Row],[L_TP]]&gt;0,"Sale")</f>
        <v>Sale</v>
      </c>
      <c r="BY56" s="190" cm="1">
        <f t="array" aca="1" ref="BY56" ca="1">INDEX(Reg!$A$1:$KF$73,TabCalc[[#This Row],[L_I1]],TabCalc[[#This Row],[L_I2]])</f>
        <v>5000</v>
      </c>
      <c r="BZ56" s="192" cm="1">
        <f t="array" aca="1" ref="BZ56" ca="1">INDEX(Reg!$A$1:$KF$73,TabCalc[[#This Row],[L_I1]],TabCalc[[#This Row],[L_I2]]+1)</f>
        <v>3.52</v>
      </c>
      <c r="CA56" s="161">
        <f ca="1">TabCalc[[#This Row],[NAfter]]*(TabCalc[[#This Row],[M]]-IF(TabCalc[[#This Row],[E]]&gt;0,0,TabCalc[[#This Row],[A]]))</f>
        <v>6799.9999999999973</v>
      </c>
      <c r="CB56" s="167" cm="1">
        <f t="array" aca="1" ref="CB56" ca="1">IFERROR(MIN(_xlfn._xlws.FILTER(INDIRECT("TabReg["&amp;TabCalc[[#This Row],[Ticker]]&amp;"]"), INDIRECT("TabReg["&amp;TabCalc[[#This Row],[Ticker]]&amp;"2]")&gt;0)),0)</f>
        <v>45296</v>
      </c>
      <c r="CC56" s="178" cm="1">
        <f t="array" aca="1" ref="CC56" ca="1">IFERROR(MIN(_xlfn._xlws.FILTER(INDIRECT("TabReg["&amp;TabCalc[[#This Row],[Ticker]]&amp;"1]"), INDIRECT("TabReg["&amp;TabCalc[[#This Row],[Ticker]]&amp;"2]")&gt;0)),0)</f>
        <v>5000</v>
      </c>
      <c r="CD56" s="173" cm="1">
        <f t="array" aca="1" ref="CD56" ca="1">IFERROR(MIN(_xlfn._xlws.FILTER(INDIRECT("TabReg["&amp;TabCalc[[#This Row],[Ticker]]&amp;"2]"), INDIRECT("TabReg["&amp;TabCalc[[#This Row],[Ticker]]&amp;"2]")&gt;0)),0)</f>
        <v>3.52</v>
      </c>
      <c r="CE56" s="167" cm="1">
        <f t="array" aca="1" ref="CE56" ca="1">IFERROR(MAX(_xlfn._xlws.FILTER(INDIRECT("TabReg["&amp;TabCalc[[#This Row],[Ticker]]&amp;"]"), INDIRECT("TabReg["&amp;TabCalc[[#This Row],[Ticker]]&amp;"2]")&gt;0)),0)</f>
        <v>45602</v>
      </c>
      <c r="CF56" s="178" cm="1">
        <f t="array" aca="1" ref="CF56" ca="1">IFERROR(MAX(_xlfn._xlws.FILTER(INDIRECT("TabReg["&amp;TabCalc[[#This Row],[Ticker]]&amp;"1]"), INDIRECT("TabReg["&amp;TabCalc[[#This Row],[Ticker]]&amp;"2]")&gt;0)),0)</f>
        <v>10000</v>
      </c>
      <c r="CG56" s="173" cm="1">
        <f t="array" aca="1" ref="CG56" ca="1">IFERROR(MAX(_xlfn._xlws.FILTER(INDIRECT("TabReg["&amp;TabCalc[[#This Row],[Ticker]]&amp;"2]"), INDIRECT("TabReg["&amp;TabCalc[[#This Row],[Ticker]]&amp;"2]")&gt;0)),0)</f>
        <v>5.81</v>
      </c>
      <c r="CH56" s="167" cm="1">
        <f t="array" aca="1" ref="CH56" ca="1">MIN(_xlfn._xlws.FILTER(INDIRECT("TabReg["&amp;TabCalc[[#This Row],[Ticker]]&amp;"]"), INDIRECT("TabReg["&amp;TabCalc[[#This Row],[Ticker]]&amp;"2]")&lt;0))</f>
        <v>40544</v>
      </c>
      <c r="CI56" s="177" cm="1">
        <f t="array" aca="1" ref="CI56" ca="1">MIN(_xlfn._xlws.FILTER(INDIRECT("TabReg["&amp;TabCalc[[#This Row],[Ticker]]&amp;"1]"), INDIRECT("TabReg["&amp;TabCalc[[#This Row],[Ticker]]&amp;"2]")&lt;0))</f>
        <v>5000</v>
      </c>
      <c r="CJ56" s="173" cm="1">
        <f t="array" aca="1" ref="CJ56" ca="1">MIN(_xlfn._xlws.FILTER(INDIRECT("TabReg["&amp;TabCalc[[#This Row],[Ticker]]&amp;"2]"), INDIRECT("TabReg["&amp;TabCalc[[#This Row],[Ticker]]&amp;"2]")&lt;0))</f>
        <v>-5.1596000000000002</v>
      </c>
      <c r="CK56" s="167" cm="1">
        <f t="array" aca="1" ref="CK56" ca="1">MAX(_xlfn._xlws.FILTER(INDIRECT("TabReg["&amp;TabCalc[[#This Row],[Ticker]]&amp;"]"), INDIRECT("TabReg["&amp;TabCalc[[#This Row],[Ticker]]&amp;"2]")&lt;0))</f>
        <v>45548</v>
      </c>
      <c r="CL56" s="177" cm="1">
        <f t="array" aca="1" ref="CL56" ca="1">MAX(_xlfn._xlws.FILTER(INDIRECT("TabReg["&amp;TabCalc[[#This Row],[Ticker]]&amp;"1]"), INDIRECT("TabReg["&amp;TabCalc[[#This Row],[Ticker]]&amp;"2]")&lt;0))</f>
        <v>10000</v>
      </c>
      <c r="CM56" s="173" cm="1">
        <f t="array" aca="1" ref="CM56" ca="1">MAX(_xlfn._xlws.FILTER(INDIRECT("TabReg["&amp;TabCalc[[#This Row],[Ticker]]&amp;"2]"), INDIRECT("TabReg["&amp;TabCalc[[#This Row],[Ticker]]&amp;"2]")&lt;0))</f>
        <v>-2.4500000000000002</v>
      </c>
      <c r="CN56" s="167" cm="1">
        <f t="array" aca="1" ref="CN56" ca="1">IFERROR(_xlfn.XLOOKUP(TabCalc[[#This Row],[BS2P]],INDIRECT("TabReg["&amp;TabCalc[[#This Row],[Ticker]]&amp;"2]"),INDIRECT("TabReg["&amp;TabCalc[[#This Row],[Ticker]]&amp;"]")),0)</f>
        <v>45385</v>
      </c>
      <c r="CO56" s="178" cm="1">
        <f t="array" aca="1" ref="CO56" ca="1">IFERROR(_xlfn.XLOOKUP(TabCalc[[#This Row],[BS2P]],INDIRECT("TabReg["&amp;TabCalc[[#This Row],[Ticker]]&amp;"2]"),INDIRECT("TabReg["&amp;TabCalc[[#This Row],[Ticker]]&amp;"1]")),0)</f>
        <v>5000</v>
      </c>
      <c r="CP56" s="173">
        <f ca="1">_xlfn.MAXIFS(INDIRECT("TabReg["&amp;TabCalc[[#This Row],[Ticker]]&amp;"2]"), INDIRECT("TabReg["&amp;TabCalc[[#This Row],[Ticker]]&amp;"2]"), "&lt;" &amp; MAX(INDIRECT("TabReg["&amp;TabCalc[[#This Row],[Ticker]]&amp;"2]")))</f>
        <v>4.1538000000000004</v>
      </c>
      <c r="CQ56" s="167" cm="1">
        <f t="array" aca="1" ref="CQ56" ca="1">IFERROR(_xlfn.XLOOKUP(TabCalc[[#This Row],[WB2P]],INDIRECT("TabReg["&amp;TabCalc[[#This Row],[Ticker]]&amp;"2]"),INDIRECT("TabReg["&amp;TabCalc[[#This Row],[Ticker]]&amp;"]")),0)</f>
        <v>40544</v>
      </c>
      <c r="CR56" s="178" cm="1">
        <f t="array" aca="1" ref="CR56" ca="1">IFERROR(_xlfn.XLOOKUP(TabCalc[[#This Row],[WB2P]],INDIRECT("TabReg["&amp;TabCalc[[#This Row],[Ticker]]&amp;"2]"),INDIRECT("TabReg["&amp;TabCalc[[#This Row],[Ticker]]&amp;"1]")),0)</f>
        <v>10000</v>
      </c>
      <c r="CS56" s="173">
        <f ca="1">_xlfn.MINIFS(INDIRECT("TabReg["&amp;TabCalc[[#This Row],[Ticker]]&amp;"2]"), INDIRECT("TabReg["&amp;TabCalc[[#This Row],[Ticker]]&amp;"2]"), "&gt;" &amp; MIN(INDIRECT("TabReg["&amp;TabCalc[[#This Row],[Ticker]]&amp;"2]")))</f>
        <v>-4.33</v>
      </c>
      <c r="CT56" s="405">
        <f ca="1">IF(TabCalc[[#This Row],[M]]&lt;TabCalc[[#This Row],[L_Sp]],DesiredBuyGain/(TabCalc[[#This Row],[L_Sp]]-TabCalc[[#This Row],[M]]),0)</f>
        <v>12820.512820512817</v>
      </c>
      <c r="CU56" s="406">
        <f ca="1">IF(TabCalc[[#This Row],[ntoBuy]]*TabCalc[[#This Row],[M]]&lt;=0,0,TabCalc[[#This Row],[ntoBuy]]*TabCalc[[#This Row],[M]])</f>
        <v>40128.205128205118</v>
      </c>
      <c r="CV56" s="406">
        <f ca="1">IF(TabCalc[[#This Row],[M]]&gt;ABS(TabCalc[[#This Row],[L_Bp]]),MIN(TabCalc[[#This Row],[NAfter]],DesiredSaleGain/(TabCalc[[#This Row],[M]]+TabCalc[[#This Row],[L_Bp]])),0)/TabCalc[[#This Row],[Scale]]</f>
        <v>7352.941176470591</v>
      </c>
      <c r="CW56" s="407">
        <f ca="1">TabCalc[[#This Row],[ntoSell]]*TabCalc[[#This Row],[M]]</f>
        <v>23014.705882352948</v>
      </c>
      <c r="CX56" s="400">
        <f ca="1">_xlfn.LET(_xlpm.nToSell,IF(TabCalc[[#This Row],[M]]-TabCalc[[#This Row],[A]]&lt;=0,"",INT(DesiredSaleGain/(TabCalc[[#This Row],[M]]-IF(TabCalc[[#This Row],[E]]&gt;0,0,TabCalc[[#This Row],[A]])))),IF(_xlpm.nToSell&lt;=TabCalc[[#This Row],[NAfter]],_xlpm.nToSell,0))</f>
        <v>7352</v>
      </c>
      <c r="CY56" s="338">
        <f ca="1">IFERROR(TabCalc[[#This Row],[NMA]]*TabCalc[[#This Row],[M]],"")</f>
        <v>23011.759999999998</v>
      </c>
      <c r="CZ56" s="337" cm="1">
        <f t="array" aca="1" ref="CZ56" ca="1">_xlfn.IFS(TabCalc[[#This Row],[M]]&gt;= TabCalc[[#This Row],[L_Sp]],(TabCalc[[#This Row],[M]]-TabCalc[[#This Row],[A]])*TabCalc[[#This Row],[NAfter]]*TabCalc[[#This Row],[Scale]],           TabCalc[[#This Row],[M]]&lt; TabCalc[[#This Row],[L_Sp]],(TabCalc[[#This Row],[M]]-TabCalc[[#This Row],[A]])*TabCalc[[#This Row],[NAfter]]*TabCalc[[#This Row],[Scale]],               TRUE,"")</f>
        <v>6799.9999999999973</v>
      </c>
      <c r="DA56" s="90">
        <f ca="1">IFERROR((TabCalc[[#This Row],[M]]+TabCalc[[#This Row],[L_Bp]])/ABS(TabCalc[[#This Row],[L_Bp]])/(TODAY()-TabCalc[[#This Row],[L_Bdate]])*360,"")</f>
        <v>0.24489795918367338</v>
      </c>
      <c r="DB56" s="312">
        <f ca="1">MEDIAN(DataShift!F755:Z755)</f>
        <v>9.0359999999999989E-3</v>
      </c>
      <c r="DC56" s="312" t="str" cm="1">
        <f t="array" aca="1" ref="DC5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56" s="88" t="s">
        <v>52</v>
      </c>
      <c r="DN56" s="81">
        <v>800</v>
      </c>
      <c r="DO56" s="317">
        <v>-69.207787499999995</v>
      </c>
    </row>
    <row r="57" spans="1:119">
      <c r="A57" s="120" t="str">
        <f ca="1">_xlfn.XLOOKUP(TabCalc[[#This Row],[Ticker]],[1]!RTData[Ticker symbol],[1]!RTData[Currency])</f>
        <v>EUR</v>
      </c>
      <c r="B57" s="121">
        <f ca="1">IF(TabCalc[[#This Row],[Cur]]="GBP",0.01,1)</f>
        <v>1</v>
      </c>
      <c r="C57" s="82">
        <f ca="1">_xlfn.XLOOKUP(TabCalc[[#This Row],[Ticker]],DM$3:DM$96,DN$3:DN$96)</f>
        <v>2000</v>
      </c>
      <c r="D57" s="1254">
        <f ca="1">_xlfn.XLOOKUP(TabCalc[[#This Row],[Ticker]],DM$3:DM$96,DO$3:DO$96)</f>
        <v>-44</v>
      </c>
      <c r="E57" s="121">
        <f t="shared" ca="1" si="2"/>
        <v>-88000</v>
      </c>
      <c r="F57" s="82">
        <f ca="1">TabCalc[[#This Row],[NAfter]]*TabCalc[[#This Row],[M]]*TabCalc[[#This Row],[Scale]]</f>
        <v>308280</v>
      </c>
      <c r="G57" s="82">
        <f ca="1">IFERROR(TabCalc[[#This Row],[SB]]-TabCalc[[#This Row],[SST]],TabCalc[[#This Row],[SB]])</f>
        <v>12000</v>
      </c>
      <c r="H57" s="535" t="str">
        <f ca="1">[1]!RTData[[#This Row],[Ticker symbol]]</f>
        <v>MVEDSY</v>
      </c>
      <c r="I57" s="385">
        <f ca="1">[1]!RTData[[#This Row],[M-Price]]</f>
        <v>25.69</v>
      </c>
      <c r="J57" s="384">
        <v>33.637500000000003</v>
      </c>
      <c r="K57" s="383">
        <f>[1]!RTData[[#This Row],[1YT]]</f>
        <v>35.56</v>
      </c>
      <c r="L57" s="384">
        <f ca="1">IF(OR(TabCalc[[#This Row],[NAfter]]=0,TabCalc[[#This Row],[EfCost]]&gt;0),0,TabCalc[[#This Row],[EfCost]]/TabCalc[[#This Row],[NAfter]]/TabCalc[[#This Row],[Scale]])</f>
        <v>-33.295616333333335</v>
      </c>
      <c r="M57" s="744">
        <f ca="1">[1]!RTData[[#This Row],[Change%]]</f>
        <v>-1.984E-2</v>
      </c>
      <c r="N57" s="1172">
        <v>0</v>
      </c>
      <c r="O57" s="966">
        <f>TabCalc[[#This Row],[Up20]]-1+TabCalc[[#This Row],[Up20]]</f>
        <v>-1</v>
      </c>
      <c r="P57" s="966">
        <f>TabCalc[[#This Row],[Up20]]-TabCalc[[#This Row],[Up150]]</f>
        <v>0</v>
      </c>
      <c r="Q57" s="966">
        <v>0</v>
      </c>
      <c r="R57" s="966">
        <f>TabCalc[[#This Row],[Up150]]-1+TabCalc[[#This Row],[Up150]]</f>
        <v>-1</v>
      </c>
      <c r="S57" s="966">
        <f ca="1">IFERROR(SUMPRODUCT(DataShift!F1549:Z1549,DataShift!AB756:AV756)/SQRT(SUMPRODUCT(DataShift!F1549:Z1549,DataShift!F1549:Z1549)*SUMPRODUCT(DataShift!AB756:AV756,DataShift!AB756:AV756)),0)</f>
        <v>-0.3329930483098309</v>
      </c>
      <c r="T57" s="966">
        <f ca="1">IFERROR(SUMPRODUCT(DataShift!F1549:Z1549,DataShift!F756:Z756)/SQRT(SUMPRODUCT(DataShift!F1549:Z1549,DataShift!F1549:Z1549)*SUMPRODUCT(DataShift!F756:Z756,DataShift!F756:Z756)),0)</f>
        <v>-3.1172548844021167E-2</v>
      </c>
      <c r="U57" s="1107">
        <v>0</v>
      </c>
      <c r="V57" s="1107">
        <v>12000</v>
      </c>
      <c r="W57" s="1107">
        <v>0</v>
      </c>
      <c r="X57" s="966" t="str">
        <f ca="1">IF(TabCalc[[#This Row],[EfCost]]+TabCalc[[#This Row],[M_V]]&lt;TabCalc[[#This Row],[NoT_GL]],"Pile","")</f>
        <v>Pile</v>
      </c>
      <c r="Y5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7" s="213">
        <f ca="1">MIN(TabCalc[[#This Row],[L_Bn]],TabCalc[[#This Row],[NAfter]])*(TabCalc[[#This Row],[M]]+TabCalc[[#This Row],[L_Bp]])*TabCalc[[#This Row],[Scale]]</f>
        <v>-6794.9999999999964</v>
      </c>
      <c r="AA57" s="210" cm="1">
        <f t="array" aca="1" ref="AA57" ca="1">_xlfn.XLOOKUP(TabCalc[[#This Row],[L_Bp]],INDIRECT("TabReg["&amp;TabCalc[[#This Row],[Ticker]]&amp;"2]"),INDIRECT("TabReg["&amp;TabCalc[[#This Row],[Ticker]]&amp;"]"))</f>
        <v>45834</v>
      </c>
      <c r="AB57" s="181" cm="1">
        <f t="array" aca="1" ref="AB57" ca="1">_xlfn.XLOOKUP(TabCalc[[#This Row],[L_Bp]],INDIRECT("TabReg["&amp;TabCalc[[#This Row],[Ticker]]&amp;"2]"),INDIRECT("TabReg["&amp;TabCalc[[#This Row],[Ticker]]&amp;"1]"))</f>
        <v>1500</v>
      </c>
      <c r="AC57" s="192" cm="1">
        <f t="array" aca="1" ref="AC57" ca="1">IFERROR(INDEX(INDIRECT("TabReg["&amp;TabCalc[[#This Row],[Ticker]]&amp;"2]"),    _xlfn.XMATCH(    MAX(    _xlfn._xlws.FILTER(INDIRECT("TabReg["&amp;TabCalc[[#This Row],[Ticker]]&amp;"]"), INDIRECT("TabReg["&amp;TabCalc[[#This Row],[Ticker]]&amp;"2]")&lt;0)     ), INDIRECT("TabReg["&amp;TabCalc[[#This Row],[Ticker]]&amp;"]"),      0)), "")</f>
        <v>-30.22</v>
      </c>
      <c r="AD57" s="213">
        <f ca="1">IFERROR(MIN(TabCalc[[#This Row],[L_B1n]],TabCalc[[#This Row],[NAfter]])*(TabCalc[[#This Row],[M]]+TabCalc[[#This Row],[L_B1p]])*TabCalc[[#This Row],[Scale]],"")</f>
        <v>-2834.9999999999991</v>
      </c>
      <c r="AE57" s="210" cm="1">
        <f t="array" aca="1" ref="AE5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57" s="181" cm="1">
        <f t="array" aca="1" ref="AF57" ca="1">IFERROR(_xlfn.XLOOKUP(TabCalc[[#This Row],[L_B1D]],INDIRECT("TabReg["&amp;TabCalc[[#This Row],[Ticker]]&amp;"]"),INDIRECT("TabReg["&amp;TabCalc[[#This Row],[Ticker]]&amp;"1]")),0)</f>
        <v>500</v>
      </c>
      <c r="AG57" s="192" cm="1">
        <f t="array" aca="1" ref="AG57" ca="1">IFERROR(_xlfn.XLOOKUP(TabCalc[[#This Row],[L_B1D]],INDIRECT("TabReg["&amp;TabCalc[[#This Row],[Ticker]]&amp;"]"),INDIRECT("TabReg["&amp;TabCalc[[#This Row],[Ticker]]&amp;"2]")),0)</f>
        <v>-31.36</v>
      </c>
      <c r="AH57" s="302">
        <f ca="1">IFERROR(TabCalc[[#This Row],[L_Sn]]*(TabCalc[[#This Row],[L_Sp]]-TabCalc[[#This Row],[M]])*TabCalc[[#This Row],[Scale]],"")</f>
        <v>14319.999999999996</v>
      </c>
      <c r="AI57" s="210" cm="1">
        <f t="array" aca="1" ref="AI57" ca="1">IFERROR(_xlfn.XLOOKUP(TabCalc[[#This Row],[L_Sp]],INDIRECT("TabReg["&amp;TabCalc[[#This Row],[Ticker]]&amp;"2]"),INDIRECT("TabReg["&amp;TabCalc[[#This Row],[Ticker]]&amp;"]")),0)</f>
        <v>45700</v>
      </c>
      <c r="AJ57" s="181" cm="1">
        <f t="array" aca="1" ref="AJ57" ca="1">IFERROR(_xlfn.XLOOKUP(TabCalc[[#This Row],[L_Sp]],INDIRECT("TabReg["&amp;TabCalc[[#This Row],[Ticker]]&amp;"2]"),INDIRECT("TabReg["&amp;TabCalc[[#This Row],[Ticker]]&amp;"1]")),0)</f>
        <v>1000</v>
      </c>
      <c r="AK57" s="192" cm="1">
        <f t="array" aca="1" ref="AK57" ca="1">IFERROR(INDEX(INDIRECT("TabReg["&amp;TabCalc[[#This Row],[Ticker]]&amp;"2]"), _xlfn.XMATCH(MAX(_xlfn._xlws.FILTER(INDIRECT("TabReg["&amp;TabCalc[[#This Row],[Ticker]]&amp;"]"), INDIRECT("TabReg["&amp;TabCalc[[#This Row],[Ticker]]&amp;"2]")&gt;0)), INDIRECT("TabReg["&amp;TabCalc[[#This Row],[Ticker]]&amp;"]"), 0)), 0)</f>
        <v>40.01</v>
      </c>
      <c r="AL57" s="214">
        <f ca="1">IFERROR(TabCalc[[#This Row],[L_S1n]]*(TabCalc[[#This Row],[L_S1p]]-TabCalc[[#This Row],[M]])*TabCalc[[#This Row],[Scale]],0)</f>
        <v>14904.999999999998</v>
      </c>
      <c r="AM57" s="210" cm="1">
        <f t="array" aca="1" ref="AM5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45694</v>
      </c>
      <c r="AN57" s="181" cm="1">
        <f t="array" aca="1" ref="AN57" ca="1">IFERROR(_xlfn.XLOOKUP(TabCalc[[#This Row],[L_S1D]],INDIRECT("TabReg["&amp;TabCalc[[#This Row],[Ticker]]&amp;"]"),INDIRECT("TabReg["&amp;TabCalc[[#This Row],[Ticker]]&amp;"1]")),0)</f>
        <v>1000</v>
      </c>
      <c r="AO57" s="384" cm="1">
        <f t="array" aca="1" ref="AO57" ca="1">IFERROR(_xlfn.XLOOKUP(TabCalc[[#This Row],[L_S1D]],INDIRECT("TabReg["&amp;TabCalc[[#This Row],[Ticker]]&amp;"]"),INDIRECT("TabReg["&amp;TabCalc[[#This Row],[Ticker]]&amp;"2]")),0)</f>
        <v>40.594999999999999</v>
      </c>
      <c r="AP57" s="336">
        <f ca="1">_xlfn.LET(_xlpm.MVOpen,[1]!RTData[[#This Row],[Open]]*TabCalc[[#This Row],[NAfter]],_xlpm.MVNow,TabCalc[[#This Row],[M]]*TabCalc[[#This Row],[NAfter]],_xlpm.MVNow-_xlpm.MVOpen)*TabCalc[[#This Row],[Scale]]</f>
        <v>-7320</v>
      </c>
      <c r="AQ57" s="336">
        <f ca="1">_xlfn.LET(_xlpm.MVToday,DataShift!AV557,         _xlpm.MVY,DataShift!AU557,        _xlpm.MVYY, DataShift!AT557,                                IF(_xlpm.MVToday=_xlpm.MVY,_xlpm.MVY-_xlpm.MVYY,_xlpm.MVToday-_xlpm.MVY))</f>
        <v>-6060</v>
      </c>
      <c r="AR57" s="336">
        <f ca="1">_xlfn.LET(_xlpm.MVToday,DataShift!AV557,         _xlpm.MVY,DataShift!AU557,        _xlpm.MVYY, DataShift!AT557,         _xlpm.MVYYY, DataShift!AS557,                      IF(_xlpm.MVToday=_xlpm.MVY,      _xlpm.MVYY-_xlpm.MVYYY,          _xlpm.MVY-_xlpm.MVYY))</f>
        <v>-1010</v>
      </c>
      <c r="AS57" s="1078">
        <f ca="1">TabCalc[[#This Row],[Y]]/TabCalc[[#This Row],[M]]</f>
        <v>1.3841961852861036</v>
      </c>
      <c r="AT57" s="299" t="str" cm="1">
        <f t="array" aca="1" ref="AT57" ca="1">IFERROR(_xlfn.IFS(          TabCalc[[#This Row],[E]]&gt;0, "Free Trade",      TabCalc[[#This Row],[A]]&lt;MIN(TabCalc[[#This Row],[L_Sp]],TabCalc[[#This Row],[M]]), "Buy",            TabCalc[[#This Row],[M]]&lt;TabCalc[[#This Row],[L_Sp]],       "Refill",       TabCalc[[#This Row],[M]]&gt;TabCalc[[#This Row],[L_Sp]],"S_more"),"")</f>
        <v>Refill</v>
      </c>
      <c r="AU57" s="299" t="str">
        <f ca="1">IF(           AND(TabCalc[[#This Row],[E]]&lt;=0,          TabCalc[[#This Row],[A]]&gt;MIN(TabCalc[[#This Row],[M]],TabCalc[[#This Row],[L_Sp]]),             TabCalc[[#This Row],[L_Sp]]&lt;=TabCalc[[#This Row],[M]]),                       "S_more","")</f>
        <v/>
      </c>
      <c r="AV57" s="82" t="str" cm="1">
        <f t="array" aca="1" ref="AV57" ca="1">IFERROR(_xlfn.IFS(TabCalc[[#This Row],[E]]&gt;0,"Free trade",                 TabCalc[[#This Row],[A]]&lt;MAX(ABS(TabCalc[[#This Row],[L_Bp]]),TabCalc[[#This Row],[A]]),"Sell",             TabCalc[[#This Row],[M]]&gt;ABS(TabCalc[[#This Row],[L_Bp]]),"Resell",             TabCalc[[#This Row],[M]]&lt;ABS(TabCalc[[#This Row],[L_Bp]]),"B_more"),"")</f>
        <v>B_more</v>
      </c>
      <c r="AW57" s="82">
        <f ca="1">TabCalc[[#This Row],[NAfter]]-TabCalc[[#This Row],[Nbegin]]</f>
        <v>10000</v>
      </c>
      <c r="AX57" s="307">
        <f ca="1">IFERROR((TabCalc[[#This Row],[M]]-TabCalc[[#This Row],[Y]])*(TabCalc[[#This Row],[M]]-TabCalc[[#This Row],[Y]])*(TabCalc[[#This Row],[M]]-TabCalc[[#This Row],[Y]])/(TabCalc[[#This Row],[Y]]*TabCalc[[#This Row],[M]]),"")</f>
        <v>-1.0525084747580942</v>
      </c>
      <c r="AY57" s="82">
        <f t="shared" ca="1" si="3"/>
        <v>0</v>
      </c>
      <c r="AZ57" s="90">
        <f ca="1">[1]!RTData[[#This Row],[V/VA]]</f>
        <v>2.1661298761699901</v>
      </c>
      <c r="BA57" s="90" t="str" cm="1">
        <f t="array" aca="1" ref="BA57" ca="1">IFERROR(_xlfn.IFS(TabCalc[[#This Row],[Cur]]="USD",Timer!F$27,TabCalc[[#This Row],[Cur]]="EUR",Timer!F$18,TabCalc[[#This Row],[Cur]]="GBP",Timer!F$12,TabCalc[[#This Row],[Cur]]="CAD",Timer!F$27,TabCalc[[#This Row],[Cur]]="JPY",Timer!F$31,TabCalc[[#This Row],[Cur]]="CHF",Timer!F$18),"Timing")</f>
        <v>None-Working Day</v>
      </c>
      <c r="BB57" s="90">
        <f ca="1">IF(ISNUMBER(TabCalc[[#This Row],[TimeEX]]),TabCalc[[#This Row],[V/VA]]/TabCalc[[#This Row],[TimeEX]],TabCalc[[#This Row],[V/VA]])</f>
        <v>2.1661298761699901</v>
      </c>
      <c r="BC57" s="87" cm="1">
        <f t="array" aca="1" ref="BC57" ca="1">INDEX(TabReg[], 1, _xlfn.XMATCH(TabCalc[[#This Row],[Ticker]]&amp;1, TabReg[#Headers], 0))</f>
        <v>2000</v>
      </c>
      <c r="BD57" s="161">
        <f ca="1">TabCalc[[#This Row],[Nbegin]]*TabCalc[[#This Row],[M]]*TabCalc[[#This Row],[Scale]]+TabCalc[[#This Row],[ValueBegin]]</f>
        <v>-36620</v>
      </c>
      <c r="BE57" s="336" t="str" cm="1">
        <f t="array" aca="1" ref="BE57" ca="1">_xlfn.IFS(TabCalc[[#This Row],[Cost+Gain]]&gt;0,"Free",             TabCalc[[#This Row],[GL]]&gt;0,"Gainer",                TRUE,"Looser")</f>
        <v>Looser</v>
      </c>
      <c r="BF57" s="161">
        <f ca="1">TabCalc[[#This Row],[Tot_Paid]]-TabCalc[[#This Row],[ValueBegin]]</f>
        <v>-788693.29148000001</v>
      </c>
      <c r="BG57" s="337">
        <f ca="1">IF(TabCalc[[#This Row],[EfCost]]&gt;TabCalc[[#This Row],[ValueBegin]],       0,        TabCalc[[#This Row],[EfCost]]-TabCalc[[#This Row],[ValueBegin]]*(1+Commission))</f>
        <v>-311318.59600000002</v>
      </c>
      <c r="BH57" s="338">
        <f ca="1">TabCalc[[#This Row],[M_V]]+TabCalc[[#This Row],[ValueBegin]]</f>
        <v>220280</v>
      </c>
      <c r="BI57" s="161" cm="1">
        <f t="array" aca="1" ref="BI57" ca="1">SUMPRODUCT(_xlfn._xlws.FILTER(INDIRECT("TabReg["&amp;TabCalc[[#This Row],[Ticker]]&amp;"1]") * INDIRECT("TabReg["&amp;TabCalc[[#This Row],[Ticker]]&amp;"2]"), INDIRECT("TabReg["&amp;TabCalc[[#This Row],[Ticker]]&amp;"2]")&lt;0))*(1+Commission)*TabCalc[[#This Row],[Scale]]</f>
        <v>-876693.29148000001</v>
      </c>
      <c r="BJ57" s="161" cm="1">
        <f t="array" aca="1" ref="BJ57" ca="1">SUMPRODUCT(IF(INDIRECT("TabReg["&amp;TabCalc[[#This Row],[Ticker]]&amp;"2]") ="", 0, INDIRECT("TabReg["&amp;TabCalc[[#This Row],[Ticker]]&amp;"1]") * INDIRECT("TabReg["&amp;TabCalc[[#This Row],[Ticker]]&amp;"2]") ))*TabCalc[[#This Row],[Scale]]</f>
        <v>-399547.39600000001</v>
      </c>
      <c r="BK57" s="161" cm="1">
        <f t="array" aca="1" ref="BK5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473637.73574959993</v>
      </c>
      <c r="BL57" s="161">
        <f ca="1">TabCalc[[#This Row],[M_V]]+TabCalc[[#This Row],[EfCost]]</f>
        <v>-91267.396000000008</v>
      </c>
      <c r="BM57" s="161">
        <f ca="1">IF(        OR( TabCalc[[#This Row],[GL]]&gt;ABS(TabCalc[[#This Row],[EfCost]]),TabCalc[[#This Row],[NAfter]]=0),             TabCalc[[#This Row],[GL]],     0)</f>
        <v>0</v>
      </c>
      <c r="BN57" s="161" cm="1">
        <f t="array" aca="1" ref="BN57" ca="1">SUMPRODUCT(_xlfn._xlws.FILTER(IF(INDIRECT("TabReg["&amp;TabCalc[[#This Row],[Ticker]]&amp;"2]") ="", 0, INDIRECT("TabReg["&amp;TabCalc[[#This Row],[Ticker]]&amp;"1]")  ),  INDIRECT("TabReg["&amp;TabCalc[[#This Row],[Ticker]]&amp;"2]") &lt; 0))</f>
        <v>23560</v>
      </c>
      <c r="BO57" s="161">
        <f ca="1">TabCalc[[#This Row],[SB]]-TabCalc[[#This Row],[Nbegin]]</f>
        <v>21560</v>
      </c>
      <c r="BP57" s="161" cm="1">
        <f t="array" aca="1" ref="BP57" ca="1">IFERROR(SUMPRODUCT(_xlfn._xlws.FILTER(IF(INDIRECT("TabReg["&amp;TabCalc[[#This Row],[Ticker]]&amp;"2]") ="", 0, INDIRECT("TabReg["&amp;TabCalc[[#This Row],[Ticker]]&amp;"1]")  ),  INDIRECT("TabReg["&amp;TabCalc[[#This Row],[Ticker]]&amp;"2]") &gt; 0)),0)</f>
        <v>11560</v>
      </c>
      <c r="BQ5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46.79</v>
      </c>
      <c r="BR57" s="176" t="str">
        <f ca="1">IF(TabCalc[[#This Row],[EfCost]]+TabCalc[[#This Row],[M_V]]&lt;TabCalc[[#This Row],[NoT_GL]],"Pile","")</f>
        <v>Pile</v>
      </c>
      <c r="BS57" s="167">
        <f ca="1">[1]!RTData[[#This Row],[Last trade time]]</f>
        <v>45954.666666666664</v>
      </c>
      <c r="BT57" s="177">
        <f ca="1">(TabCalc[[#This Row],[ValueBegin]]+(TabCalc[[#This Row],[M]]-TabCalc[[#This Row],[A]])*TabCalc[[#This Row],[NAfter]])*TabCalc[[#This Row],[Scale]]</f>
        <v>-183370</v>
      </c>
      <c r="BU57" s="189" cm="1">
        <f t="array" aca="1" ref="BU57" ca="1">_xlfn.XLOOKUP(TabCalc[[#This Row],[Ticker]],TabReg[[#Headers],[AAPL]:[UnknownX28]],Reg!B$72:KF$72)+3</f>
        <v>22</v>
      </c>
      <c r="BV57" s="190" cm="1">
        <f t="array" aca="1" ref="BV57" ca="1">_xlfn.XLOOKUP(TabCalc[[#This Row],[Ticker]],TabReg[[#Headers],[AAPL]:[UnknownX28]],Reg!B$73:KF$73)+2</f>
        <v>168</v>
      </c>
      <c r="BW57" s="191">
        <f ca="1">IFERROR(MAX(TabCalc[[#This Row],[Max_SD]],TabCalc[[#This Row],[Max_PD]]),0)</f>
        <v>45834</v>
      </c>
      <c r="BX57" s="191" t="str" cm="1">
        <f t="array" aca="1" ref="BX57" ca="1">_xlfn.IFS(TabCalc[[#This Row],[L_TP]]&lt;0,"Purchase",TabCalc[[#This Row],[L_TP]]&gt;0,"Sale")</f>
        <v>Purchase</v>
      </c>
      <c r="BY57" s="190" cm="1">
        <f t="array" aca="1" ref="BY57" ca="1">INDEX(Reg!$A$1:$KF$73,TabCalc[[#This Row],[L_I1]],TabCalc[[#This Row],[L_I2]])</f>
        <v>1500</v>
      </c>
      <c r="BZ57" s="192" cm="1">
        <f t="array" aca="1" ref="BZ57" ca="1">INDEX(Reg!$A$1:$KF$73,TabCalc[[#This Row],[L_I1]],TabCalc[[#This Row],[L_I2]]+1)</f>
        <v>-30.22</v>
      </c>
      <c r="CA57" s="161">
        <f ca="1">TabCalc[[#This Row],[NAfter]]*(TabCalc[[#This Row],[M]]-IF(TabCalc[[#This Row],[E]]&gt;0,0,TabCalc[[#This Row],[A]]))</f>
        <v>-95370.000000000015</v>
      </c>
      <c r="CB57" s="167" cm="1">
        <f t="array" aca="1" ref="CB57" ca="1">IFERROR(MIN(_xlfn._xlws.FILTER(INDIRECT("TabReg["&amp;TabCalc[[#This Row],[Ticker]]&amp;"]"), INDIRECT("TabReg["&amp;TabCalc[[#This Row],[Ticker]]&amp;"2]")&gt;0)),0)</f>
        <v>45349</v>
      </c>
      <c r="CC57" s="178" cm="1">
        <f t="array" aca="1" ref="CC57" ca="1">IFERROR(MIN(_xlfn._xlws.FILTER(INDIRECT("TabReg["&amp;TabCalc[[#This Row],[Ticker]]&amp;"1]"), INDIRECT("TabReg["&amp;TabCalc[[#This Row],[Ticker]]&amp;"2]")&gt;0)),0)</f>
        <v>780</v>
      </c>
      <c r="CD57" s="173" cm="1">
        <f t="array" aca="1" ref="CD57" ca="1">IFERROR(MIN(_xlfn._xlws.FILTER(INDIRECT("TabReg["&amp;TabCalc[[#This Row],[Ticker]]&amp;"2]"), INDIRECT("TabReg["&amp;TabCalc[[#This Row],[Ticker]]&amp;"2]")&gt;0)),0)</f>
        <v>39.549999999999997</v>
      </c>
      <c r="CE57" s="167" cm="1">
        <f t="array" aca="1" ref="CE57" ca="1">IFERROR(MAX(_xlfn._xlws.FILTER(INDIRECT("TabReg["&amp;TabCalc[[#This Row],[Ticker]]&amp;"]"), INDIRECT("TabReg["&amp;TabCalc[[#This Row],[Ticker]]&amp;"2]")&gt;0)),0)</f>
        <v>45700</v>
      </c>
      <c r="CF57" s="178" cm="1">
        <f t="array" aca="1" ref="CF57" ca="1">IFERROR(MAX(_xlfn._xlws.FILTER(INDIRECT("TabReg["&amp;TabCalc[[#This Row],[Ticker]]&amp;"1]"), INDIRECT("TabReg["&amp;TabCalc[[#This Row],[Ticker]]&amp;"2]")&gt;0)),0)</f>
        <v>2780</v>
      </c>
      <c r="CG57" s="173" cm="1">
        <f t="array" aca="1" ref="CG57" ca="1">IFERROR(MAX(_xlfn._xlws.FILTER(INDIRECT("TabReg["&amp;TabCalc[[#This Row],[Ticker]]&amp;"2]"), INDIRECT("TabReg["&amp;TabCalc[[#This Row],[Ticker]]&amp;"2]")&gt;0)),0)</f>
        <v>43.2425</v>
      </c>
      <c r="CH57" s="167" cm="1">
        <f t="array" aca="1" ref="CH57" ca="1">MIN(_xlfn._xlws.FILTER(INDIRECT("TabReg["&amp;TabCalc[[#This Row],[Ticker]]&amp;"]"), INDIRECT("TabReg["&amp;TabCalc[[#This Row],[Ticker]]&amp;"2]")&lt;0))</f>
        <v>40544</v>
      </c>
      <c r="CI57" s="177" cm="1">
        <f t="array" aca="1" ref="CI57" ca="1">MIN(_xlfn._xlws.FILTER(INDIRECT("TabReg["&amp;TabCalc[[#This Row],[Ticker]]&amp;"1]"), INDIRECT("TabReg["&amp;TabCalc[[#This Row],[Ticker]]&amp;"2]")&lt;0))</f>
        <v>400</v>
      </c>
      <c r="CJ57" s="173" cm="1">
        <f t="array" aca="1" ref="CJ57" ca="1">MIN(_xlfn._xlws.FILTER(INDIRECT("TabReg["&amp;TabCalc[[#This Row],[Ticker]]&amp;"2]"), INDIRECT("TabReg["&amp;TabCalc[[#This Row],[Ticker]]&amp;"2]")&lt;0))</f>
        <v>-44</v>
      </c>
      <c r="CK57" s="167" cm="1">
        <f t="array" aca="1" ref="CK57" ca="1">MAX(_xlfn._xlws.FILTER(INDIRECT("TabReg["&amp;TabCalc[[#This Row],[Ticker]]&amp;"]"), INDIRECT("TabReg["&amp;TabCalc[[#This Row],[Ticker]]&amp;"2]")&lt;0))</f>
        <v>45834</v>
      </c>
      <c r="CL57" s="177" cm="1">
        <f t="array" aca="1" ref="CL57" ca="1">MAX(_xlfn._xlws.FILTER(INDIRECT("TabReg["&amp;TabCalc[[#This Row],[Ticker]]&amp;"1]"), INDIRECT("TabReg["&amp;TabCalc[[#This Row],[Ticker]]&amp;"2]")&lt;0))</f>
        <v>6000</v>
      </c>
      <c r="CM57" s="173" cm="1">
        <f t="array" aca="1" ref="CM57" ca="1">MAX(_xlfn._xlws.FILTER(INDIRECT("TabReg["&amp;TabCalc[[#This Row],[Ticker]]&amp;"2]"), INDIRECT("TabReg["&amp;TabCalc[[#This Row],[Ticker]]&amp;"2]")&lt;0))</f>
        <v>-30.22</v>
      </c>
      <c r="CN57" s="167" cm="1">
        <f t="array" aca="1" ref="CN57" ca="1">IFERROR(_xlfn.XLOOKUP(TabCalc[[#This Row],[BS2P]],INDIRECT("TabReg["&amp;TabCalc[[#This Row],[Ticker]]&amp;"2]"),INDIRECT("TabReg["&amp;TabCalc[[#This Row],[Ticker]]&amp;"]")),0)</f>
        <v>45372</v>
      </c>
      <c r="CO57" s="178" cm="1">
        <f t="array" aca="1" ref="CO57" ca="1">IFERROR(_xlfn.XLOOKUP(TabCalc[[#This Row],[BS2P]],INDIRECT("TabReg["&amp;TabCalc[[#This Row],[Ticker]]&amp;"2]"),INDIRECT("TabReg["&amp;TabCalc[[#This Row],[Ticker]]&amp;"1]")),0)</f>
        <v>780</v>
      </c>
      <c r="CP57" s="173">
        <f ca="1">_xlfn.MAXIFS(INDIRECT("TabReg["&amp;TabCalc[[#This Row],[Ticker]]&amp;"2]"), INDIRECT("TabReg["&amp;TabCalc[[#This Row],[Ticker]]&amp;"2]"), "&lt;" &amp; MAX(INDIRECT("TabReg["&amp;TabCalc[[#This Row],[Ticker]]&amp;"2]")))</f>
        <v>41.293500000000002</v>
      </c>
      <c r="CQ57" s="167" cm="1">
        <f t="array" aca="1" ref="CQ57" ca="1">IFERROR(_xlfn.XLOOKUP(TabCalc[[#This Row],[WB2P]],INDIRECT("TabReg["&amp;TabCalc[[#This Row],[Ticker]]&amp;"2]"),INDIRECT("TabReg["&amp;TabCalc[[#This Row],[Ticker]]&amp;"]")),0)</f>
        <v>40544</v>
      </c>
      <c r="CR57" s="178" cm="1">
        <f t="array" aca="1" ref="CR57" ca="1">IFERROR(_xlfn.XLOOKUP(TabCalc[[#This Row],[WB2P]],INDIRECT("TabReg["&amp;TabCalc[[#This Row],[Ticker]]&amp;"2]"),INDIRECT("TabReg["&amp;TabCalc[[#This Row],[Ticker]]&amp;"1]")),0)</f>
        <v>2000</v>
      </c>
      <c r="CS57" s="173">
        <f ca="1">_xlfn.MINIFS(INDIRECT("TabReg["&amp;TabCalc[[#This Row],[Ticker]]&amp;"2]"), INDIRECT("TabReg["&amp;TabCalc[[#This Row],[Ticker]]&amp;"2]"), "&gt;" &amp; MIN(INDIRECT("TabReg["&amp;TabCalc[[#This Row],[Ticker]]&amp;"2]")))</f>
        <v>-43.025399999999998</v>
      </c>
      <c r="CT57" s="405">
        <f ca="1">IF(TabCalc[[#This Row],[M]]&lt;TabCalc[[#This Row],[L_Sp]],DesiredBuyGain/(TabCalc[[#This Row],[L_Sp]]-TabCalc[[#This Row],[M]]),0)</f>
        <v>349.16201117318445</v>
      </c>
      <c r="CU57" s="406">
        <f ca="1">IF(TabCalc[[#This Row],[ntoBuy]]*TabCalc[[#This Row],[M]]&lt;=0,0,TabCalc[[#This Row],[ntoBuy]]*TabCalc[[#This Row],[M]])</f>
        <v>8969.9720670391089</v>
      </c>
      <c r="CV57" s="406">
        <f ca="1">IF(TabCalc[[#This Row],[M]]&gt;ABS(TabCalc[[#This Row],[L_Bp]]),MIN(TabCalc[[#This Row],[NAfter]],DesiredSaleGain/(TabCalc[[#This Row],[M]]+TabCalc[[#This Row],[L_Bp]])),0)/TabCalc[[#This Row],[Scale]]</f>
        <v>0</v>
      </c>
      <c r="CW57" s="407">
        <f ca="1">TabCalc[[#This Row],[ntoSell]]*TabCalc[[#This Row],[M]]</f>
        <v>0</v>
      </c>
      <c r="CX57" s="400">
        <f ca="1">_xlfn.LET(_xlpm.nToSell,IF(TabCalc[[#This Row],[M]]-TabCalc[[#This Row],[A]]&lt;=0,"",INT(DesiredSaleGain/(TabCalc[[#This Row],[M]]-IF(TabCalc[[#This Row],[E]]&gt;0,0,TabCalc[[#This Row],[A]])))),IF(_xlpm.nToSell&lt;=TabCalc[[#This Row],[NAfter]],_xlpm.nToSell,0))</f>
        <v>0</v>
      </c>
      <c r="CY57" s="338">
        <f ca="1">IFERROR(TabCalc[[#This Row],[NMA]]*TabCalc[[#This Row],[M]],"")</f>
        <v>0</v>
      </c>
      <c r="CZ57" s="337" cm="1">
        <f t="array" aca="1" ref="CZ57" ca="1">_xlfn.IFS(TabCalc[[#This Row],[M]]&gt;= TabCalc[[#This Row],[L_Sp]],(TabCalc[[#This Row],[M]]-TabCalc[[#This Row],[A]])*TabCalc[[#This Row],[NAfter]]*TabCalc[[#This Row],[Scale]],           TabCalc[[#This Row],[M]]&lt; TabCalc[[#This Row],[L_Sp]],(TabCalc[[#This Row],[M]]-TabCalc[[#This Row],[A]])*TabCalc[[#This Row],[NAfter]]*TabCalc[[#This Row],[Scale]],               TRUE,"")</f>
        <v>-95370.000000000015</v>
      </c>
      <c r="DA57" s="90">
        <f ca="1">IFERROR((TabCalc[[#This Row],[M]]+TabCalc[[#This Row],[L_Bp]])/ABS(TabCalc[[#This Row],[L_Bp]])/(TODAY()-TabCalc[[#This Row],[L_Bdate]])*360,"")</f>
        <v>-0.44233001703355695</v>
      </c>
      <c r="DB57" s="312">
        <f ca="1">MEDIAN(DataShift!F756:Z756)</f>
        <v>0</v>
      </c>
      <c r="DC57" s="312" t="e" cm="1">
        <f t="array" aca="1" ref="DC5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7" s="88" t="s">
        <v>53</v>
      </c>
      <c r="DN57" s="81">
        <v>30000</v>
      </c>
      <c r="DO57" s="317">
        <v>-1.19</v>
      </c>
    </row>
    <row r="58" spans="1:119">
      <c r="A58" s="120" t="str">
        <f ca="1">_xlfn.XLOOKUP(TabCalc[[#This Row],[Ticker]],[1]!RTData[Ticker symbol],[1]!RTData[Currency])</f>
        <v>EUR</v>
      </c>
      <c r="B58" s="121">
        <f ca="1">IF(TabCalc[[#This Row],[Cur]]="GBP",0.01,1)</f>
        <v>1</v>
      </c>
      <c r="C58" s="82">
        <f ca="1">_xlfn.XLOOKUP(TabCalc[[#This Row],[Ticker]],DM$3:DM$96,DN$3:DN$96)</f>
        <v>20000</v>
      </c>
      <c r="D58" s="1254">
        <f ca="1">_xlfn.XLOOKUP(TabCalc[[#This Row],[Ticker]],DM$3:DM$96,DO$3:DO$96)</f>
        <v>-11.0603</v>
      </c>
      <c r="E58" s="121">
        <f t="shared" ca="1" si="2"/>
        <v>-221206</v>
      </c>
      <c r="F58" s="82">
        <f ca="1">TabCalc[[#This Row],[NAfter]]*TabCalc[[#This Row],[M]]*TabCalc[[#This Row],[Scale]]</f>
        <v>160.85000000000002</v>
      </c>
      <c r="G58" s="82">
        <f ca="1">IFERROR(TabCalc[[#This Row],[SB]]-TabCalc[[#This Row],[SST]],TabCalc[[#This Row],[SB]])</f>
        <v>10</v>
      </c>
      <c r="H58" s="535" t="str">
        <f ca="1">[1]!RTData[[#This Row],[Ticker symbol]]</f>
        <v>MVEEOAN</v>
      </c>
      <c r="I58" s="385">
        <f ca="1">[1]!RTData[[#This Row],[M-Price]]</f>
        <v>16.085000000000001</v>
      </c>
      <c r="J58" s="384">
        <v>11.06</v>
      </c>
      <c r="K58" s="383">
        <f>[1]!RTData[[#This Row],[1YT]]</f>
        <v>16.882349999999999</v>
      </c>
      <c r="L58" s="384">
        <f ca="1">IF(OR(TabCalc[[#This Row],[NAfter]]=0,TabCalc[[#This Row],[EfCost]]&gt;0),0,TabCalc[[#This Row],[EfCost]]/TabCalc[[#This Row],[NAfter]]/TabCalc[[#This Row],[Scale]])</f>
        <v>0</v>
      </c>
      <c r="M58" s="744">
        <f ca="1">[1]!RTData[[#This Row],[Change%]]</f>
        <v>3.1180000000000001E-3</v>
      </c>
      <c r="N58" s="1172">
        <v>0</v>
      </c>
      <c r="O58" s="966">
        <f>TabCalc[[#This Row],[Up20]]-1+TabCalc[[#This Row],[Up20]]</f>
        <v>-1</v>
      </c>
      <c r="P58" s="966">
        <f>TabCalc[[#This Row],[Up20]]-TabCalc[[#This Row],[Up150]]</f>
        <v>0</v>
      </c>
      <c r="Q58" s="966">
        <v>0</v>
      </c>
      <c r="R58" s="966">
        <f>TabCalc[[#This Row],[Up150]]-1+TabCalc[[#This Row],[Up150]]</f>
        <v>-1</v>
      </c>
      <c r="S58" s="966">
        <f ca="1">IFERROR(SUMPRODUCT(DataShift!F1550:Z1550,DataShift!AB757:AV757)/SQRT(SUMPRODUCT(DataShift!F1550:Z1550,DataShift!F1550:Z1550)*SUMPRODUCT(DataShift!AB757:AV757,DataShift!AB757:AV757)),0)</f>
        <v>-0.55532677639323791</v>
      </c>
      <c r="T58" s="966">
        <f ca="1">IFERROR(SUMPRODUCT(DataShift!F1550:Z1550,DataShift!F757:Z757)/SQRT(SUMPRODUCT(DataShift!F1550:Z1550,DataShift!F1550:Z1550)*SUMPRODUCT(DataShift!F757:Z757,DataShift!F757:Z757)),0)</f>
        <v>0.2206242822932829</v>
      </c>
      <c r="U58" s="1107">
        <v>10</v>
      </c>
      <c r="V58" s="1107">
        <v>0</v>
      </c>
      <c r="W58" s="1107">
        <v>0</v>
      </c>
      <c r="X58" s="966" t="str">
        <f ca="1">IF(TabCalc[[#This Row],[EfCost]]+TabCalc[[#This Row],[M_V]]&lt;TabCalc[[#This Row],[NoT_GL]],"Pile","")</f>
        <v>Pile</v>
      </c>
      <c r="Y5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8" s="213">
        <f ca="1">MIN(TabCalc[[#This Row],[L_Bn]],TabCalc[[#This Row],[NAfter]])*(TabCalc[[#This Row],[M]]+TabCalc[[#This Row],[L_Bp]])*TabCalc[[#This Row],[Scale]]</f>
        <v>50.25</v>
      </c>
      <c r="AA58" s="210" cm="1">
        <f t="array" aca="1" ref="AA58" ca="1">_xlfn.XLOOKUP(TabCalc[[#This Row],[L_Bp]],INDIRECT("TabReg["&amp;TabCalc[[#This Row],[Ticker]]&amp;"2]"),INDIRECT("TabReg["&amp;TabCalc[[#This Row],[Ticker]]&amp;"]"))</f>
        <v>45678</v>
      </c>
      <c r="AB58" s="181" cm="1">
        <f t="array" aca="1" ref="AB58" ca="1">_xlfn.XLOOKUP(TabCalc[[#This Row],[L_Bp]],INDIRECT("TabReg["&amp;TabCalc[[#This Row],[Ticker]]&amp;"2]"),INDIRECT("TabReg["&amp;TabCalc[[#This Row],[Ticker]]&amp;"1]"))</f>
        <v>6000</v>
      </c>
      <c r="AC58" s="192" cm="1">
        <f t="array" aca="1" ref="AC58" ca="1">IFERROR(INDEX(INDIRECT("TabReg["&amp;TabCalc[[#This Row],[Ticker]]&amp;"2]"),    _xlfn.XMATCH(    MAX(    _xlfn._xlws.FILTER(INDIRECT("TabReg["&amp;TabCalc[[#This Row],[Ticker]]&amp;"]"), INDIRECT("TabReg["&amp;TabCalc[[#This Row],[Ticker]]&amp;"2]")&lt;0)     ), INDIRECT("TabReg["&amp;TabCalc[[#This Row],[Ticker]]&amp;"]"),      0)), "")</f>
        <v>-11.06</v>
      </c>
      <c r="AD58" s="213">
        <f ca="1">IFERROR(MIN(TabCalc[[#This Row],[L_B1n]],TabCalc[[#This Row],[NAfter]])*(TabCalc[[#This Row],[M]]+TabCalc[[#This Row],[L_B1p]])*TabCalc[[#This Row],[Scale]],"")</f>
        <v>54.200000000000017</v>
      </c>
      <c r="AE58" s="210" cm="1">
        <f t="array" aca="1" ref="AE5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45569</v>
      </c>
      <c r="AF58" s="181" cm="1">
        <f t="array" aca="1" ref="AF58" ca="1">IFERROR(_xlfn.XLOOKUP(TabCalc[[#This Row],[L_B1D]],INDIRECT("TabReg["&amp;TabCalc[[#This Row],[Ticker]]&amp;"]"),INDIRECT("TabReg["&amp;TabCalc[[#This Row],[Ticker]]&amp;"1]")),0)</f>
        <v>30000</v>
      </c>
      <c r="AG58" s="192" cm="1">
        <f t="array" aca="1" ref="AG58" ca="1">IFERROR(_xlfn.XLOOKUP(TabCalc[[#This Row],[L_B1D]],INDIRECT("TabReg["&amp;TabCalc[[#This Row],[Ticker]]&amp;"]"),INDIRECT("TabReg["&amp;TabCalc[[#This Row],[Ticker]]&amp;"2]")),0)</f>
        <v>-10.664999999999999</v>
      </c>
      <c r="AH58" s="302">
        <f ca="1">IFERROR(TabCalc[[#This Row],[L_Sn]]*(TabCalc[[#This Row],[L_Sp]]-TabCalc[[#This Row],[M]])*TabCalc[[#This Row],[Scale]],"")</f>
        <v>-10539.750000000002</v>
      </c>
      <c r="AI58" s="210" cm="1">
        <f t="array" aca="1" ref="AI58" ca="1">IFERROR(_xlfn.XLOOKUP(TabCalc[[#This Row],[L_Sp]],INDIRECT("TabReg["&amp;TabCalc[[#This Row],[Ticker]]&amp;"2]"),INDIRECT("TabReg["&amp;TabCalc[[#This Row],[Ticker]]&amp;"]")),0)</f>
        <v>45714</v>
      </c>
      <c r="AJ58" s="181" cm="1">
        <f t="array" aca="1" ref="AJ58" ca="1">IFERROR(_xlfn.XLOOKUP(TabCalc[[#This Row],[L_Sp]],INDIRECT("TabReg["&amp;TabCalc[[#This Row],[Ticker]]&amp;"2]"),INDIRECT("TabReg["&amp;TabCalc[[#This Row],[Ticker]]&amp;"1]")),0)</f>
        <v>2990</v>
      </c>
      <c r="AK58" s="192" cm="1">
        <f t="array" aca="1" ref="AK58" ca="1">IFERROR(INDEX(INDIRECT("TabReg["&amp;TabCalc[[#This Row],[Ticker]]&amp;"2]"), _xlfn.XMATCH(MAX(_xlfn._xlws.FILTER(INDIRECT("TabReg["&amp;TabCalc[[#This Row],[Ticker]]&amp;"]"), INDIRECT("TabReg["&amp;TabCalc[[#This Row],[Ticker]]&amp;"2]")&gt;0)), INDIRECT("TabReg["&amp;TabCalc[[#This Row],[Ticker]]&amp;"]"), 0)), 0)</f>
        <v>12.56</v>
      </c>
      <c r="AL58" s="214">
        <f ca="1">IFERROR(TabCalc[[#This Row],[L_S1n]]*(TabCalc[[#This Row],[L_S1p]]-TabCalc[[#This Row],[M]])*TabCalc[[#This Row],[Scale]],0)</f>
        <v>-13301.070000000002</v>
      </c>
      <c r="AM58" s="210" cm="1">
        <f t="array" aca="1" ref="AM5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45709</v>
      </c>
      <c r="AN58" s="181" cm="1">
        <f t="array" aca="1" ref="AN58" ca="1">IFERROR(_xlfn.XLOOKUP(TabCalc[[#This Row],[L_S1D]],INDIRECT("TabReg["&amp;TabCalc[[#This Row],[Ticker]]&amp;"]"),INDIRECT("TabReg["&amp;TabCalc[[#This Row],[Ticker]]&amp;"1]")),0)</f>
        <v>3000</v>
      </c>
      <c r="AO58" s="384" cm="1">
        <f t="array" aca="1" ref="AO58" ca="1">IFERROR(_xlfn.XLOOKUP(TabCalc[[#This Row],[L_S1D]],INDIRECT("TabReg["&amp;TabCalc[[#This Row],[Ticker]]&amp;"]"),INDIRECT("TabReg["&amp;TabCalc[[#This Row],[Ticker]]&amp;"2]")),0)</f>
        <v>11.65131</v>
      </c>
      <c r="AP58" s="336">
        <f ca="1">_xlfn.LET(_xlpm.MVOpen,[1]!RTData[[#This Row],[Open]]*TabCalc[[#This Row],[NAfter]],_xlpm.MVNow,TabCalc[[#This Row],[M]]*TabCalc[[#This Row],[NAfter]],_xlpm.MVNow-_xlpm.MVOpen)*TabCalc[[#This Row],[Scale]]</f>
        <v>1.1500000000000057</v>
      </c>
      <c r="AQ58" s="336">
        <f ca="1">_xlfn.LET(_xlpm.MVToday,DataShift!AV558,         _xlpm.MVY,DataShift!AU558,        _xlpm.MVYY, DataShift!AT558,                                IF(_xlpm.MVToday=_xlpm.MVY,_xlpm.MVY-_xlpm.MVYY,_xlpm.MVToday-_xlpm.MVY))</f>
        <v>50</v>
      </c>
      <c r="AR58" s="336">
        <f ca="1">_xlfn.LET(_xlpm.MVToday,DataShift!AV558,         _xlpm.MVY,DataShift!AU558,        _xlpm.MVYY, DataShift!AT558,         _xlpm.MVYYY, DataShift!AS558,                      IF(_xlpm.MVToday=_xlpm.MVY,      _xlpm.MVYY-_xlpm.MVYYY,          _xlpm.MVY-_xlpm.MVYY))</f>
        <v>500</v>
      </c>
      <c r="AS58" s="1078">
        <f ca="1">TabCalc[[#This Row],[Y]]/TabCalc[[#This Row],[M]]</f>
        <v>1.0495710289089213</v>
      </c>
      <c r="AT58" s="299" t="str" cm="1">
        <f t="array" aca="1" ref="AT58" ca="1">IFERROR(_xlfn.IFS(          TabCalc[[#This Row],[E]]&gt;0, "Free Trade",      TabCalc[[#This Row],[A]]&lt;MIN(TabCalc[[#This Row],[L_Sp]],TabCalc[[#This Row],[M]]), "Buy",            TabCalc[[#This Row],[M]]&lt;TabCalc[[#This Row],[L_Sp]],       "Refill",       TabCalc[[#This Row],[M]]&gt;TabCalc[[#This Row],[L_Sp]],"S_more"),"")</f>
        <v>Buy</v>
      </c>
      <c r="AU58" s="299" t="str">
        <f ca="1">IF(           AND(TabCalc[[#This Row],[E]]&lt;=0,          TabCalc[[#This Row],[A]]&gt;MIN(TabCalc[[#This Row],[M]],TabCalc[[#This Row],[L_Sp]]),             TabCalc[[#This Row],[L_Sp]]&lt;=TabCalc[[#This Row],[M]]),                       "S_more","")</f>
        <v/>
      </c>
      <c r="AV58" s="82" t="str" cm="1">
        <f t="array" aca="1" ref="AV58" ca="1">IFERROR(_xlfn.IFS(TabCalc[[#This Row],[E]]&gt;0,"Free trade",                 TabCalc[[#This Row],[A]]&lt;MAX(ABS(TabCalc[[#This Row],[L_Bp]]),TabCalc[[#This Row],[A]]),"Sell",             TabCalc[[#This Row],[M]]&gt;ABS(TabCalc[[#This Row],[L_Bp]]),"Resell",             TabCalc[[#This Row],[M]]&lt;ABS(TabCalc[[#This Row],[L_Bp]]),"B_more"),"")</f>
        <v>Resell</v>
      </c>
      <c r="AW58" s="82">
        <f ca="1">TabCalc[[#This Row],[NAfter]]-TabCalc[[#This Row],[Nbegin]]</f>
        <v>-19990</v>
      </c>
      <c r="AX58" s="307">
        <f ca="1">IFERROR((TabCalc[[#This Row],[M]]-TabCalc[[#This Row],[Y]])*(TabCalc[[#This Row],[M]]-TabCalc[[#This Row],[Y]])*(TabCalc[[#This Row],[M]]-TabCalc[[#This Row],[Y]])/(TabCalc[[#This Row],[Y]]*TabCalc[[#This Row],[M]]),"")</f>
        <v>-1.8667795331625112E-3</v>
      </c>
      <c r="AY58" s="82">
        <f t="shared" ca="1" si="3"/>
        <v>19990</v>
      </c>
      <c r="AZ58" s="90">
        <f ca="1">[1]!RTData[[#This Row],[V/VA]]</f>
        <v>1.1313503925264488</v>
      </c>
      <c r="BA58" s="90" t="str" cm="1">
        <f t="array" aca="1" ref="BA58" ca="1">IFERROR(_xlfn.IFS(TabCalc[[#This Row],[Cur]]="USD",Timer!F$27,TabCalc[[#This Row],[Cur]]="EUR",Timer!F$18,TabCalc[[#This Row],[Cur]]="GBP",Timer!F$12,TabCalc[[#This Row],[Cur]]="CAD",Timer!F$27,TabCalc[[#This Row],[Cur]]="JPY",Timer!F$31,TabCalc[[#This Row],[Cur]]="CHF",Timer!F$18),"Timing")</f>
        <v>None-Working Day</v>
      </c>
      <c r="BB58" s="90">
        <f ca="1">IF(ISNUMBER(TabCalc[[#This Row],[TimeEX]]),TabCalc[[#This Row],[V/VA]]/TabCalc[[#This Row],[TimeEX]],TabCalc[[#This Row],[V/VA]])</f>
        <v>1.1313503925264488</v>
      </c>
      <c r="BC58" s="87" cm="1">
        <f t="array" aca="1" ref="BC58" ca="1">INDEX(TabReg[], 1, _xlfn.XMATCH(TabCalc[[#This Row],[Ticker]]&amp;1, TabReg[#Headers], 0))</f>
        <v>20000</v>
      </c>
      <c r="BD58" s="161">
        <f ca="1">TabCalc[[#This Row],[Nbegin]]*TabCalc[[#This Row],[M]]*TabCalc[[#This Row],[Scale]]+TabCalc[[#This Row],[ValueBegin]]</f>
        <v>100494</v>
      </c>
      <c r="BE58" s="336" t="str" cm="1">
        <f t="array" aca="1" ref="BE58" ca="1">_xlfn.IFS(TabCalc[[#This Row],[Cost+Gain]]&gt;0,"Free",             TabCalc[[#This Row],[GL]]&gt;0,"Gainer",                TRUE,"Looser")</f>
        <v>Free</v>
      </c>
      <c r="BF58" s="161">
        <f ca="1">TabCalc[[#This Row],[Tot_Paid]]-TabCalc[[#This Row],[ValueBegin]]</f>
        <v>-514167.01159999997</v>
      </c>
      <c r="BG58" s="337">
        <f ca="1">IF(TabCalc[[#This Row],[EfCost]]&gt;TabCalc[[#This Row],[ValueBegin]],       0,        TabCalc[[#This Row],[EfCost]]-TabCalc[[#This Row],[ValueBegin]]*(1+Commission))</f>
        <v>0</v>
      </c>
      <c r="BH58" s="338">
        <f ca="1">TabCalc[[#This Row],[M_V]]+TabCalc[[#This Row],[ValueBegin]]</f>
        <v>-221045.15</v>
      </c>
      <c r="BI58" s="161" cm="1">
        <f t="array" aca="1" ref="BI58" ca="1">SUMPRODUCT(_xlfn._xlws.FILTER(INDIRECT("TabReg["&amp;TabCalc[[#This Row],[Ticker]]&amp;"1]") * INDIRECT("TabReg["&amp;TabCalc[[#This Row],[Ticker]]&amp;"2]"), INDIRECT("TabReg["&amp;TabCalc[[#This Row],[Ticker]]&amp;"2]")&lt;0))*(1+Commission)*TabCalc[[#This Row],[Scale]]</f>
        <v>-735373.01159999997</v>
      </c>
      <c r="BJ58" s="161" cm="1">
        <f t="array" aca="1" ref="BJ58" ca="1">SUMPRODUCT(IF(INDIRECT("TabReg["&amp;TabCalc[[#This Row],[Ticker]]&amp;"2]") ="", 0, INDIRECT("TabReg["&amp;TabCalc[[#This Row],[Ticker]]&amp;"1]") * INDIRECT("TabReg["&amp;TabCalc[[#This Row],[Ticker]]&amp;"2]") ))*TabCalc[[#This Row],[Scale]]</f>
        <v>17959.885000000017</v>
      </c>
      <c r="BK58" s="161" cm="1">
        <f t="array" aca="1" ref="BK5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749472.17769900011</v>
      </c>
      <c r="BL58" s="161">
        <f ca="1">TabCalc[[#This Row],[M_V]]+TabCalc[[#This Row],[EfCost]]</f>
        <v>18120.735000000015</v>
      </c>
      <c r="BM58" s="161">
        <f ca="1">IF(        OR( TabCalc[[#This Row],[GL]]&gt;ABS(TabCalc[[#This Row],[EfCost]]),TabCalc[[#This Row],[NAfter]]=0),             TabCalc[[#This Row],[GL]],     0)</f>
        <v>18120.735000000015</v>
      </c>
      <c r="BN58" s="161" cm="1">
        <f t="array" aca="1" ref="BN58" ca="1">SUMPRODUCT(_xlfn._xlws.FILTER(IF(INDIRECT("TabReg["&amp;TabCalc[[#This Row],[Ticker]]&amp;"2]") ="", 0, INDIRECT("TabReg["&amp;TabCalc[[#This Row],[Ticker]]&amp;"1]")  ),  INDIRECT("TabReg["&amp;TabCalc[[#This Row],[Ticker]]&amp;"2]") &lt; 0))</f>
        <v>66000</v>
      </c>
      <c r="BO58" s="161">
        <f ca="1">TabCalc[[#This Row],[SB]]-TabCalc[[#This Row],[Nbegin]]</f>
        <v>46000</v>
      </c>
      <c r="BP58" s="161" cm="1">
        <f t="array" aca="1" ref="BP58" ca="1">IFERROR(SUMPRODUCT(_xlfn._xlws.FILTER(IF(INDIRECT("TabReg["&amp;TabCalc[[#This Row],[Ticker]]&amp;"2]") ="", 0, INDIRECT("TabReg["&amp;TabCalc[[#This Row],[Ticker]]&amp;"1]")  ),  INDIRECT("TabReg["&amp;TabCalc[[#This Row],[Ticker]]&amp;"2]") &gt; 0)),0)</f>
        <v>65990</v>
      </c>
      <c r="BQ5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8" s="176" t="str">
        <f ca="1">IF(TabCalc[[#This Row],[EfCost]]+TabCalc[[#This Row],[M_V]]&lt;TabCalc[[#This Row],[NoT_GL]],"Pile","")</f>
        <v>Pile</v>
      </c>
      <c r="BS58" s="167">
        <f ca="1">[1]!RTData[[#This Row],[Last trade time]]</f>
        <v>45954.770833333336</v>
      </c>
      <c r="BT58" s="177">
        <f ca="1">(TabCalc[[#This Row],[ValueBegin]]+(TabCalc[[#This Row],[M]]-TabCalc[[#This Row],[A]])*TabCalc[[#This Row],[NAfter]])*TabCalc[[#This Row],[Scale]]</f>
        <v>-221155.75</v>
      </c>
      <c r="BU58" s="189" cm="1">
        <f t="array" aca="1" ref="BU58" ca="1">_xlfn.XLOOKUP(TabCalc[[#This Row],[Ticker]],TabReg[[#Headers],[AAPL]:[UnknownX28]],Reg!B$72:KF$72)+3</f>
        <v>15</v>
      </c>
      <c r="BV58" s="190" cm="1">
        <f t="array" aca="1" ref="BV58" ca="1">_xlfn.XLOOKUP(TabCalc[[#This Row],[Ticker]],TabReg[[#Headers],[AAPL]:[UnknownX28]],Reg!B$73:KF$73)+2</f>
        <v>171</v>
      </c>
      <c r="BW58" s="191">
        <f ca="1">IFERROR(MAX(TabCalc[[#This Row],[Max_SD]],TabCalc[[#This Row],[Max_PD]]),0)</f>
        <v>45714</v>
      </c>
      <c r="BX58" s="191" t="str" cm="1">
        <f t="array" aca="1" ref="BX58" ca="1">_xlfn.IFS(TabCalc[[#This Row],[L_TP]]&lt;0,"Purchase",TabCalc[[#This Row],[L_TP]]&gt;0,"Sale")</f>
        <v>Sale</v>
      </c>
      <c r="BY58" s="190" cm="1">
        <f t="array" aca="1" ref="BY58" ca="1">INDEX(Reg!$A$1:$KF$73,TabCalc[[#This Row],[L_I1]],TabCalc[[#This Row],[L_I2]])</f>
        <v>2990</v>
      </c>
      <c r="BZ58" s="192" cm="1">
        <f t="array" aca="1" ref="BZ58" ca="1">INDEX(Reg!$A$1:$KF$73,TabCalc[[#This Row],[L_I1]],TabCalc[[#This Row],[L_I2]]+1)</f>
        <v>12.56</v>
      </c>
      <c r="CA58" s="161">
        <f ca="1">TabCalc[[#This Row],[NAfter]]*(TabCalc[[#This Row],[M]]-IF(TabCalc[[#This Row],[E]]&gt;0,0,TabCalc[[#This Row],[A]]))</f>
        <v>50.25</v>
      </c>
      <c r="CB58" s="167" cm="1">
        <f t="array" aca="1" ref="CB58" ca="1">IFERROR(MIN(_xlfn._xlws.FILTER(INDIRECT("TabReg["&amp;TabCalc[[#This Row],[Ticker]]&amp;"]"), INDIRECT("TabReg["&amp;TabCalc[[#This Row],[Ticker]]&amp;"2]")&gt;0)),0)</f>
        <v>45212</v>
      </c>
      <c r="CC58" s="178" cm="1">
        <f t="array" aca="1" ref="CC58" ca="1">IFERROR(MIN(_xlfn._xlws.FILTER(INDIRECT("TabReg["&amp;TabCalc[[#This Row],[Ticker]]&amp;"1]"), INDIRECT("TabReg["&amp;TabCalc[[#This Row],[Ticker]]&amp;"2]")&gt;0)),0)</f>
        <v>10</v>
      </c>
      <c r="CD58" s="173" cm="1">
        <f t="array" aca="1" ref="CD58" ca="1">IFERROR(MIN(_xlfn._xlws.FILTER(INDIRECT("TabReg["&amp;TabCalc[[#This Row],[Ticker]]&amp;"2]"), INDIRECT("TabReg["&amp;TabCalc[[#This Row],[Ticker]]&amp;"2]")&gt;0)),0)</f>
        <v>11.0504</v>
      </c>
      <c r="CE58" s="167" cm="1">
        <f t="array" aca="1" ref="CE58" ca="1">IFERROR(MAX(_xlfn._xlws.FILTER(INDIRECT("TabReg["&amp;TabCalc[[#This Row],[Ticker]]&amp;"]"), INDIRECT("TabReg["&amp;TabCalc[[#This Row],[Ticker]]&amp;"2]")&gt;0)),0)</f>
        <v>45714</v>
      </c>
      <c r="CF58" s="178" cm="1">
        <f t="array" aca="1" ref="CF58" ca="1">IFERROR(MAX(_xlfn._xlws.FILTER(INDIRECT("TabReg["&amp;TabCalc[[#This Row],[Ticker]]&amp;"1]"), INDIRECT("TabReg["&amp;TabCalc[[#This Row],[Ticker]]&amp;"2]")&gt;0)),0)</f>
        <v>20000</v>
      </c>
      <c r="CG58" s="173" cm="1">
        <f t="array" aca="1" ref="CG58" ca="1">IFERROR(MAX(_xlfn._xlws.FILTER(INDIRECT("TabReg["&amp;TabCalc[[#This Row],[Ticker]]&amp;"2]"), INDIRECT("TabReg["&amp;TabCalc[[#This Row],[Ticker]]&amp;"2]")&gt;0)),0)</f>
        <v>12.56</v>
      </c>
      <c r="CH58" s="167" cm="1">
        <f t="array" aca="1" ref="CH58" ca="1">MIN(_xlfn._xlws.FILTER(INDIRECT("TabReg["&amp;TabCalc[[#This Row],[Ticker]]&amp;"]"), INDIRECT("TabReg["&amp;TabCalc[[#This Row],[Ticker]]&amp;"2]")&lt;0))</f>
        <v>40544</v>
      </c>
      <c r="CI58" s="177" cm="1">
        <f t="array" aca="1" ref="CI58" ca="1">MIN(_xlfn._xlws.FILTER(INDIRECT("TabReg["&amp;TabCalc[[#This Row],[Ticker]]&amp;"1]"), INDIRECT("TabReg["&amp;TabCalc[[#This Row],[Ticker]]&amp;"2]")&lt;0))</f>
        <v>6000</v>
      </c>
      <c r="CJ58" s="173" cm="1">
        <f t="array" aca="1" ref="CJ58" ca="1">MIN(_xlfn._xlws.FILTER(INDIRECT("TabReg["&amp;TabCalc[[#This Row],[Ticker]]&amp;"2]"), INDIRECT("TabReg["&amp;TabCalc[[#This Row],[Ticker]]&amp;"2]")&lt;0))</f>
        <v>-12.595000000000001</v>
      </c>
      <c r="CK58" s="167" cm="1">
        <f t="array" aca="1" ref="CK58" ca="1">MAX(_xlfn._xlws.FILTER(INDIRECT("TabReg["&amp;TabCalc[[#This Row],[Ticker]]&amp;"]"), INDIRECT("TabReg["&amp;TabCalc[[#This Row],[Ticker]]&amp;"2]")&lt;0))</f>
        <v>45678</v>
      </c>
      <c r="CL58" s="177" cm="1">
        <f t="array" aca="1" ref="CL58" ca="1">MAX(_xlfn._xlws.FILTER(INDIRECT("TabReg["&amp;TabCalc[[#This Row],[Ticker]]&amp;"1]"), INDIRECT("TabReg["&amp;TabCalc[[#This Row],[Ticker]]&amp;"2]")&lt;0))</f>
        <v>30000</v>
      </c>
      <c r="CM58" s="173" cm="1">
        <f t="array" aca="1" ref="CM58" ca="1">MAX(_xlfn._xlws.FILTER(INDIRECT("TabReg["&amp;TabCalc[[#This Row],[Ticker]]&amp;"2]"), INDIRECT("TabReg["&amp;TabCalc[[#This Row],[Ticker]]&amp;"2]")&lt;0))</f>
        <v>-10.664999999999999</v>
      </c>
      <c r="CN58" s="167" cm="1">
        <f t="array" aca="1" ref="CN58" ca="1">IFERROR(_xlfn.XLOOKUP(TabCalc[[#This Row],[BS2P]],INDIRECT("TabReg["&amp;TabCalc[[#This Row],[Ticker]]&amp;"2]"),INDIRECT("TabReg["&amp;TabCalc[[#This Row],[Ticker]]&amp;"]")),0)</f>
        <v>45495</v>
      </c>
      <c r="CO58" s="178" cm="1">
        <f t="array" aca="1" ref="CO58" ca="1">IFERROR(_xlfn.XLOOKUP(TabCalc[[#This Row],[BS2P]],INDIRECT("TabReg["&amp;TabCalc[[#This Row],[Ticker]]&amp;"2]"),INDIRECT("TabReg["&amp;TabCalc[[#This Row],[Ticker]]&amp;"1]")),0)</f>
        <v>10</v>
      </c>
      <c r="CP58" s="173">
        <f ca="1">_xlfn.MAXIFS(INDIRECT("TabReg["&amp;TabCalc[[#This Row],[Ticker]]&amp;"2]"), INDIRECT("TabReg["&amp;TabCalc[[#This Row],[Ticker]]&amp;"2]"), "&lt;" &amp; MAX(INDIRECT("TabReg["&amp;TabCalc[[#This Row],[Ticker]]&amp;"2]")))</f>
        <v>12.49</v>
      </c>
      <c r="CQ58" s="167" cm="1">
        <f t="array" aca="1" ref="CQ58" ca="1">IFERROR(_xlfn.XLOOKUP(TabCalc[[#This Row],[WB2P]],INDIRECT("TabReg["&amp;TabCalc[[#This Row],[Ticker]]&amp;"2]"),INDIRECT("TabReg["&amp;TabCalc[[#This Row],[Ticker]]&amp;"]")),0)</f>
        <v>40544</v>
      </c>
      <c r="CR58" s="178" cm="1">
        <f t="array" aca="1" ref="CR58" ca="1">IFERROR(_xlfn.XLOOKUP(TabCalc[[#This Row],[WB2P]],INDIRECT("TabReg["&amp;TabCalc[[#This Row],[Ticker]]&amp;"2]"),INDIRECT("TabReg["&amp;TabCalc[[#This Row],[Ticker]]&amp;"1]")),0)</f>
        <v>20000</v>
      </c>
      <c r="CS58" s="173">
        <f ca="1">_xlfn.MINIFS(INDIRECT("TabReg["&amp;TabCalc[[#This Row],[Ticker]]&amp;"2]"), INDIRECT("TabReg["&amp;TabCalc[[#This Row],[Ticker]]&amp;"2]"), "&gt;" &amp; MIN(INDIRECT("TabReg["&amp;TabCalc[[#This Row],[Ticker]]&amp;"2]")))</f>
        <v>-11.0603</v>
      </c>
      <c r="CT58" s="405">
        <f ca="1">IF(TabCalc[[#This Row],[M]]&lt;TabCalc[[#This Row],[L_Sp]],DesiredBuyGain/(TabCalc[[#This Row],[L_Sp]]-TabCalc[[#This Row],[M]]),0)</f>
        <v>0</v>
      </c>
      <c r="CU58" s="406">
        <f ca="1">IF(TabCalc[[#This Row],[ntoBuy]]*TabCalc[[#This Row],[M]]&lt;=0,0,TabCalc[[#This Row],[ntoBuy]]*TabCalc[[#This Row],[M]])</f>
        <v>0</v>
      </c>
      <c r="CV58" s="406">
        <f ca="1">IF(TabCalc[[#This Row],[M]]&gt;ABS(TabCalc[[#This Row],[L_Bp]]),MIN(TabCalc[[#This Row],[NAfter]],DesiredSaleGain/(TabCalc[[#This Row],[M]]+TabCalc[[#This Row],[L_Bp]])),0)/TabCalc[[#This Row],[Scale]]</f>
        <v>10</v>
      </c>
      <c r="CW58" s="407">
        <f ca="1">TabCalc[[#This Row],[ntoSell]]*TabCalc[[#This Row],[M]]</f>
        <v>160.85000000000002</v>
      </c>
      <c r="CX58" s="400">
        <f ca="1">_xlfn.LET(_xlpm.nToSell,IF(TabCalc[[#This Row],[M]]-TabCalc[[#This Row],[A]]&lt;=0,"",INT(DesiredSaleGain/(TabCalc[[#This Row],[M]]-IF(TabCalc[[#This Row],[E]]&gt;0,0,TabCalc[[#This Row],[A]])))),IF(_xlpm.nToSell&lt;=TabCalc[[#This Row],[NAfter]],_xlpm.nToSell,0))</f>
        <v>0</v>
      </c>
      <c r="CY58" s="338">
        <f ca="1">IFERROR(TabCalc[[#This Row],[NMA]]*TabCalc[[#This Row],[M]],"")</f>
        <v>0</v>
      </c>
      <c r="CZ58" s="337" cm="1">
        <f t="array" aca="1" ref="CZ58" ca="1">_xlfn.IFS(TabCalc[[#This Row],[M]]&gt;= TabCalc[[#This Row],[L_Sp]],(TabCalc[[#This Row],[M]]-TabCalc[[#This Row],[A]])*TabCalc[[#This Row],[NAfter]]*TabCalc[[#This Row],[Scale]],           TabCalc[[#This Row],[M]]&lt; TabCalc[[#This Row],[L_Sp]],(TabCalc[[#This Row],[M]]-TabCalc[[#This Row],[A]])*TabCalc[[#This Row],[NAfter]]*TabCalc[[#This Row],[Scale]],               TRUE,"")</f>
        <v>50.25</v>
      </c>
      <c r="DA58" s="90">
        <f ca="1">IFERROR((TabCalc[[#This Row],[M]]+TabCalc[[#This Row],[L_Bp]])/ABS(TabCalc[[#This Row],[L_Bp]])/(TODAY()-TabCalc[[#This Row],[L_Bdate]])*360,"")</f>
        <v>0.58835391000039028</v>
      </c>
      <c r="DB58" s="312">
        <f ca="1">MEDIAN(DataShift!F757:Z757)</f>
        <v>-9.6460000000000001E-3</v>
      </c>
      <c r="DC58" s="312" t="str" cm="1">
        <f t="array" aca="1" ref="DC5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58" s="88" t="s">
        <v>54</v>
      </c>
      <c r="DN58" s="81">
        <v>395031</v>
      </c>
      <c r="DO58" s="317">
        <v>-1.17</v>
      </c>
    </row>
    <row r="59" spans="1:119">
      <c r="A59" s="120" t="str">
        <f ca="1">_xlfn.XLOOKUP(TabCalc[[#This Row],[Ticker]],[1]!RTData[Ticker symbol],[1]!RTData[Currency])</f>
        <v>EUR</v>
      </c>
      <c r="B59" s="121">
        <f ca="1">IF(TabCalc[[#This Row],[Cur]]="GBP",0.01,1)</f>
        <v>1</v>
      </c>
      <c r="C59" s="82">
        <f ca="1">_xlfn.XLOOKUP(TabCalc[[#This Row],[Ticker]],DM$3:DM$96,DN$3:DN$96)</f>
        <v>10000</v>
      </c>
      <c r="D59" s="1254">
        <f ca="1">_xlfn.XLOOKUP(TabCalc[[#This Row],[Ticker]],DM$3:DM$96,DO$3:DO$96)</f>
        <v>-15.592599999999999</v>
      </c>
      <c r="E59" s="121">
        <f t="shared" ca="1" si="2"/>
        <v>-155926</v>
      </c>
      <c r="F59" s="82">
        <f ca="1">TabCalc[[#This Row],[NAfter]]*TabCalc[[#This Row],[M]]*TabCalc[[#This Row],[Scale]]</f>
        <v>570096</v>
      </c>
      <c r="G59" s="82">
        <f ca="1">IFERROR(TabCalc[[#This Row],[SB]]-TabCalc[[#This Row],[SST]],TabCalc[[#This Row],[SB]])</f>
        <v>36000</v>
      </c>
      <c r="H59" s="535" t="str">
        <f ca="1">[1]!RTData[[#This Row],[Ticker symbol]]</f>
        <v>MVEENI</v>
      </c>
      <c r="I59" s="385">
        <f ca="1">[1]!RTData[[#This Row],[M-Price]]</f>
        <v>15.836</v>
      </c>
      <c r="J59" s="384">
        <v>13.428522222222222</v>
      </c>
      <c r="K59" s="383">
        <f>[1]!RTData[[#This Row],[1YT]]</f>
        <v>15.23</v>
      </c>
      <c r="L59" s="384">
        <f ca="1">IF(OR(TabCalc[[#This Row],[NAfter]]=0,TabCalc[[#This Row],[EfCost]]&gt;0),0,TabCalc[[#This Row],[EfCost]]/TabCalc[[#This Row],[NAfter]]/TabCalc[[#This Row],[Scale]])</f>
        <v>-13.857478388888891</v>
      </c>
      <c r="M59" s="744">
        <f ca="1">[1]!RTData[[#This Row],[Change%]]</f>
        <v>1.6040000000000002E-2</v>
      </c>
      <c r="N59" s="1172">
        <v>0.125</v>
      </c>
      <c r="O59" s="966">
        <f>TabCalc[[#This Row],[Up20]]-1+TabCalc[[#This Row],[Up20]]</f>
        <v>-0.75</v>
      </c>
      <c r="P59" s="966">
        <f>TabCalc[[#This Row],[Up20]]-TabCalc[[#This Row],[Up150]]</f>
        <v>-0.48419540229885061</v>
      </c>
      <c r="Q59" s="966">
        <v>0.60919540229885061</v>
      </c>
      <c r="R59" s="966">
        <f>TabCalc[[#This Row],[Up150]]-1+TabCalc[[#This Row],[Up150]]</f>
        <v>0.21839080459770122</v>
      </c>
      <c r="S59" s="966">
        <f ca="1">IFERROR(SUMPRODUCT(DataShift!F1551:Z1551,DataShift!AB758:AV758)/SQRT(SUMPRODUCT(DataShift!F1551:Z1551,DataShift!F1551:Z1551)*SUMPRODUCT(DataShift!AB758:AV758,DataShift!AB758:AV758)),0)</f>
        <v>-0.40700706622708999</v>
      </c>
      <c r="T59" s="966">
        <f ca="1">IFERROR(SUMPRODUCT(DataShift!F1551:Z1551,DataShift!F758:Z758)/SQRT(SUMPRODUCT(DataShift!F1551:Z1551,DataShift!F1551:Z1551)*SUMPRODUCT(DataShift!F758:Z758,DataShift!F758:Z758)),0)</f>
        <v>9.3376091448661228E-2</v>
      </c>
      <c r="U59" s="1107">
        <v>36000</v>
      </c>
      <c r="V59" s="1107">
        <v>0</v>
      </c>
      <c r="W59" s="1107">
        <v>0</v>
      </c>
      <c r="X59" s="966" t="str">
        <f ca="1">IF(TabCalc[[#This Row],[EfCost]]+TabCalc[[#This Row],[M_V]]&lt;TabCalc[[#This Row],[NoT_GL]],"Pile","")</f>
        <v/>
      </c>
      <c r="Y5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9" s="213">
        <f ca="1">MIN(TabCalc[[#This Row],[L_Bn]],TabCalc[[#This Row],[NAfter]])*(TabCalc[[#This Row],[M]]+TabCalc[[#This Row],[L_Bp]])*TabCalc[[#This Row],[Scale]]</f>
        <v>23007.999999999996</v>
      </c>
      <c r="AA59" s="210" cm="1">
        <f t="array" aca="1" ref="AA59" ca="1">_xlfn.XLOOKUP(TabCalc[[#This Row],[L_Bp]],INDIRECT("TabReg["&amp;TabCalc[[#This Row],[Ticker]]&amp;"2]"),INDIRECT("TabReg["&amp;TabCalc[[#This Row],[Ticker]]&amp;"]"))</f>
        <v>45807</v>
      </c>
      <c r="AB59" s="181" cm="1">
        <f t="array" aca="1" ref="AB59" ca="1">_xlfn.XLOOKUP(TabCalc[[#This Row],[L_Bp]],INDIRECT("TabReg["&amp;TabCalc[[#This Row],[Ticker]]&amp;"2]"),INDIRECT("TabReg["&amp;TabCalc[[#This Row],[Ticker]]&amp;"1]"))</f>
        <v>8000</v>
      </c>
      <c r="AC59" s="192" cm="1">
        <f t="array" aca="1" ref="AC59" ca="1">IFERROR(INDEX(INDIRECT("TabReg["&amp;TabCalc[[#This Row],[Ticker]]&amp;"2]"),    _xlfn.XMATCH(    MAX(    _xlfn._xlws.FILTER(INDIRECT("TabReg["&amp;TabCalc[[#This Row],[Ticker]]&amp;"]"), INDIRECT("TabReg["&amp;TabCalc[[#This Row],[Ticker]]&amp;"2]")&lt;0)     ), INDIRECT("TabReg["&amp;TabCalc[[#This Row],[Ticker]]&amp;"]"),      0)), "")</f>
        <v>-12.96</v>
      </c>
      <c r="AD59" s="213">
        <f ca="1">IFERROR(MIN(TabCalc[[#This Row],[L_B1n]],TabCalc[[#This Row],[NAfter]])*(TabCalc[[#This Row],[M]]+TabCalc[[#This Row],[L_B1p]])*TabCalc[[#This Row],[Scale]],"")</f>
        <v>6492.0000000000009</v>
      </c>
      <c r="AE59" s="210" cm="1">
        <f t="array" aca="1" ref="AE5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45782</v>
      </c>
      <c r="AF59" s="181" cm="1">
        <f t="array" aca="1" ref="AF59" ca="1">IFERROR(_xlfn.XLOOKUP(TabCalc[[#This Row],[L_B1D]],INDIRECT("TabReg["&amp;TabCalc[[#This Row],[Ticker]]&amp;"]"),INDIRECT("TabReg["&amp;TabCalc[[#This Row],[Ticker]]&amp;"1]")),0)</f>
        <v>2000</v>
      </c>
      <c r="AG59" s="192" cm="1">
        <f t="array" aca="1" ref="AG59" ca="1">IFERROR(_xlfn.XLOOKUP(TabCalc[[#This Row],[L_B1D]],INDIRECT("TabReg["&amp;TabCalc[[#This Row],[Ticker]]&amp;"]"),INDIRECT("TabReg["&amp;TabCalc[[#This Row],[Ticker]]&amp;"2]")),0)</f>
        <v>-12.59</v>
      </c>
      <c r="AH59" s="302">
        <f ca="1">IFERROR(TabCalc[[#This Row],[L_Sn]]*(TabCalc[[#This Row],[L_Sp]]-TabCalc[[#This Row],[M]])*TabCalc[[#This Row],[Scale]],"")</f>
        <v>-2864.0000000000045</v>
      </c>
      <c r="AI59" s="210" cm="1">
        <f t="array" aca="1" ref="AI59" ca="1">IFERROR(_xlfn.XLOOKUP(TabCalc[[#This Row],[L_Sp]],INDIRECT("TabReg["&amp;TabCalc[[#This Row],[Ticker]]&amp;"2]"),INDIRECT("TabReg["&amp;TabCalc[[#This Row],[Ticker]]&amp;"]")),0)</f>
        <v>45936</v>
      </c>
      <c r="AJ59" s="181" cm="1">
        <f t="array" aca="1" ref="AJ59" ca="1">IFERROR(_xlfn.XLOOKUP(TabCalc[[#This Row],[L_Sp]],INDIRECT("TabReg["&amp;TabCalc[[#This Row],[Ticker]]&amp;"2]"),INDIRECT("TabReg["&amp;TabCalc[[#This Row],[Ticker]]&amp;"1]")),0)</f>
        <v>4000</v>
      </c>
      <c r="AK59" s="192" cm="1">
        <f t="array" aca="1" ref="AK59" ca="1">IFERROR(INDEX(INDIRECT("TabReg["&amp;TabCalc[[#This Row],[Ticker]]&amp;"2]"), _xlfn.XMATCH(MAX(_xlfn._xlws.FILTER(INDIRECT("TabReg["&amp;TabCalc[[#This Row],[Ticker]]&amp;"]"), INDIRECT("TabReg["&amp;TabCalc[[#This Row],[Ticker]]&amp;"2]")&gt;0)), INDIRECT("TabReg["&amp;TabCalc[[#This Row],[Ticker]]&amp;"]"), 0)), 0)</f>
        <v>15.12</v>
      </c>
      <c r="AL59" s="214">
        <f ca="1">IFERROR(TabCalc[[#This Row],[L_S1n]]*(TabCalc[[#This Row],[L_S1p]]-TabCalc[[#This Row],[M]])*TabCalc[[#This Row],[Scale]],0)</f>
        <v>-11168.000000000007</v>
      </c>
      <c r="AM59" s="210" cm="1">
        <f t="array" aca="1" ref="AM5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45862</v>
      </c>
      <c r="AN59" s="181" cm="1">
        <f t="array" aca="1" ref="AN59" ca="1">IFERROR(_xlfn.XLOOKUP(TabCalc[[#This Row],[L_S1D]],INDIRECT("TabReg["&amp;TabCalc[[#This Row],[Ticker]]&amp;"]"),INDIRECT("TabReg["&amp;TabCalc[[#This Row],[Ticker]]&amp;"1]")),0)</f>
        <v>8000</v>
      </c>
      <c r="AO59" s="384" cm="1">
        <f t="array" aca="1" ref="AO59" ca="1">IFERROR(_xlfn.XLOOKUP(TabCalc[[#This Row],[L_S1D]],INDIRECT("TabReg["&amp;TabCalc[[#This Row],[Ticker]]&amp;"]"),INDIRECT("TabReg["&amp;TabCalc[[#This Row],[Ticker]]&amp;"2]")),0)</f>
        <v>14.44</v>
      </c>
      <c r="AP59" s="336">
        <f ca="1">_xlfn.LET(_xlpm.MVOpen,[1]!RTData[[#This Row],[Open]]*TabCalc[[#This Row],[NAfter]],_xlpm.MVNow,TabCalc[[#This Row],[M]]*TabCalc[[#This Row],[NAfter]],_xlpm.MVNow-_xlpm.MVOpen)*TabCalc[[#This Row],[Scale]]</f>
        <v>216</v>
      </c>
      <c r="AQ59" s="336">
        <f ca="1">_xlfn.LET(_xlpm.MVToday,DataShift!AV559,         _xlpm.MVY,DataShift!AU559,        _xlpm.MVYY, DataShift!AT559,                                IF(_xlpm.MVToday=_xlpm.MVY,_xlpm.MVY-_xlpm.MVYY,_xlpm.MVToday-_xlpm.MVY))</f>
        <v>-6240</v>
      </c>
      <c r="AR59" s="336">
        <f ca="1">_xlfn.LET(_xlpm.MVToday,DataShift!AV559,         _xlpm.MVY,DataShift!AU559,        _xlpm.MVYY, DataShift!AT559,         _xlpm.MVYYY, DataShift!AS559,                      IF(_xlpm.MVToday=_xlpm.MVY,      _xlpm.MVYY-_xlpm.MVYYY,          _xlpm.MVY-_xlpm.MVYY))</f>
        <v>-46920</v>
      </c>
      <c r="AS59" s="1078">
        <f ca="1">TabCalc[[#This Row],[Y]]/TabCalc[[#This Row],[M]]</f>
        <v>0.96173276079818137</v>
      </c>
      <c r="AT59" s="299" t="str" cm="1">
        <f t="array" aca="1" ref="AT59" ca="1">IFERROR(_xlfn.IFS(          TabCalc[[#This Row],[E]]&gt;0, "Free Trade",      TabCalc[[#This Row],[A]]&lt;MIN(TabCalc[[#This Row],[L_Sp]],TabCalc[[#This Row],[M]]), "Buy",            TabCalc[[#This Row],[M]]&lt;TabCalc[[#This Row],[L_Sp]],       "Refill",       TabCalc[[#This Row],[M]]&gt;TabCalc[[#This Row],[L_Sp]],"S_more"),"")</f>
        <v>Buy</v>
      </c>
      <c r="AU59" s="299" t="str">
        <f ca="1">IF(           AND(TabCalc[[#This Row],[E]]&lt;=0,          TabCalc[[#This Row],[A]]&gt;MIN(TabCalc[[#This Row],[M]],TabCalc[[#This Row],[L_Sp]]),             TabCalc[[#This Row],[L_Sp]]&lt;=TabCalc[[#This Row],[M]]),                       "S_more","")</f>
        <v/>
      </c>
      <c r="AV59" s="82" t="str" cm="1">
        <f t="array" aca="1" ref="AV59" ca="1">IFERROR(_xlfn.IFS(TabCalc[[#This Row],[E]]&gt;0,"Free trade",                 TabCalc[[#This Row],[A]]&lt;MAX(ABS(TabCalc[[#This Row],[L_Bp]]),TabCalc[[#This Row],[A]]),"Sell",             TabCalc[[#This Row],[M]]&gt;ABS(TabCalc[[#This Row],[L_Bp]]),"Resell",             TabCalc[[#This Row],[M]]&lt;ABS(TabCalc[[#This Row],[L_Bp]]),"B_more"),"")</f>
        <v>Resell</v>
      </c>
      <c r="AW59" s="82">
        <f ca="1">TabCalc[[#This Row],[NAfter]]-TabCalc[[#This Row],[Nbegin]]</f>
        <v>26000</v>
      </c>
      <c r="AX59" s="307">
        <f ca="1">IFERROR((TabCalc[[#This Row],[M]]-TabCalc[[#This Row],[Y]])*(TabCalc[[#This Row],[M]]-TabCalc[[#This Row],[Y]])*(TabCalc[[#This Row],[M]]-TabCalc[[#This Row],[Y]])/(TabCalc[[#This Row],[Y]]*TabCalc[[#This Row],[M]]),"")</f>
        <v>9.2272540088765987E-4</v>
      </c>
      <c r="AY59" s="82">
        <f t="shared" ca="1" si="3"/>
        <v>0</v>
      </c>
      <c r="AZ59" s="90">
        <f ca="1">[1]!RTData[[#This Row],[V/VA]]</f>
        <v>1.9476811966291017</v>
      </c>
      <c r="BA59" s="90" t="str" cm="1">
        <f t="array" aca="1" ref="BA59" ca="1">IFERROR(_xlfn.IFS(TabCalc[[#This Row],[Cur]]="USD",Timer!F$27,TabCalc[[#This Row],[Cur]]="EUR",Timer!F$18,TabCalc[[#This Row],[Cur]]="GBP",Timer!F$12,TabCalc[[#This Row],[Cur]]="CAD",Timer!F$27,TabCalc[[#This Row],[Cur]]="JPY",Timer!F$31,TabCalc[[#This Row],[Cur]]="CHF",Timer!F$18),"Timing")</f>
        <v>None-Working Day</v>
      </c>
      <c r="BB59" s="90">
        <f ca="1">IF(ISNUMBER(TabCalc[[#This Row],[TimeEX]]),TabCalc[[#This Row],[V/VA]]/TabCalc[[#This Row],[TimeEX]],TabCalc[[#This Row],[V/VA]])</f>
        <v>1.9476811966291017</v>
      </c>
      <c r="BC59" s="87" cm="1">
        <f t="array" aca="1" ref="BC59" ca="1">INDEX(TabReg[], 1, _xlfn.XMATCH(TabCalc[[#This Row],[Ticker]]&amp;1, TabReg[#Headers], 0))</f>
        <v>10000</v>
      </c>
      <c r="BD59" s="161">
        <f ca="1">TabCalc[[#This Row],[Nbegin]]*TabCalc[[#This Row],[M]]*TabCalc[[#This Row],[Scale]]+TabCalc[[#This Row],[ValueBegin]]</f>
        <v>2434</v>
      </c>
      <c r="BE59" s="336" t="str" cm="1">
        <f t="array" aca="1" ref="BE59" ca="1">_xlfn.IFS(TabCalc[[#This Row],[Cost+Gain]]&gt;0,"Free",             TabCalc[[#This Row],[GL]]&gt;0,"Gainer",                TRUE,"Looser")</f>
        <v>Gainer</v>
      </c>
      <c r="BF59" s="161">
        <f ca="1">TabCalc[[#This Row],[Tot_Paid]]-TabCalc[[#This Row],[ValueBegin]]</f>
        <v>-607270.96628000005</v>
      </c>
      <c r="BG59" s="337">
        <f ca="1">IF(TabCalc[[#This Row],[EfCost]]&gt;TabCalc[[#This Row],[ValueBegin]],       0,        TabCalc[[#This Row],[EfCost]]-TabCalc[[#This Row],[ValueBegin]]*(1+Commission))</f>
        <v>-342537.81440000009</v>
      </c>
      <c r="BH59" s="338">
        <f ca="1">TabCalc[[#This Row],[M_V]]+TabCalc[[#This Row],[ValueBegin]]</f>
        <v>414170</v>
      </c>
      <c r="BI59" s="161" cm="1">
        <f t="array" aca="1" ref="BI59" ca="1">SUMPRODUCT(_xlfn._xlws.FILTER(INDIRECT("TabReg["&amp;TabCalc[[#This Row],[Ticker]]&amp;"1]") * INDIRECT("TabReg["&amp;TabCalc[[#This Row],[Ticker]]&amp;"2]"), INDIRECT("TabReg["&amp;TabCalc[[#This Row],[Ticker]]&amp;"2]")&lt;0))*(1+Commission)*TabCalc[[#This Row],[Scale]]</f>
        <v>-763196.96628000005</v>
      </c>
      <c r="BJ59" s="161" cm="1">
        <f t="array" aca="1" ref="BJ59" ca="1">SUMPRODUCT(IF(INDIRECT("TabReg["&amp;TabCalc[[#This Row],[Ticker]]&amp;"2]") ="", 0, INDIRECT("TabReg["&amp;TabCalc[[#This Row],[Ticker]]&amp;"1]") * INDIRECT("TabReg["&amp;TabCalc[[#This Row],[Ticker]]&amp;"2]") ))*TabCalc[[#This Row],[Scale]]</f>
        <v>-498869.22200000007</v>
      </c>
      <c r="BK59" s="161" cm="1">
        <f t="array" aca="1" ref="BK5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261666.47169719997</v>
      </c>
      <c r="BL59" s="161">
        <f ca="1">TabCalc[[#This Row],[M_V]]+TabCalc[[#This Row],[EfCost]]</f>
        <v>71226.777999999933</v>
      </c>
      <c r="BM59" s="161">
        <f ca="1">IF(        OR( TabCalc[[#This Row],[GL]]&gt;ABS(TabCalc[[#This Row],[EfCost]]),TabCalc[[#This Row],[NAfter]]=0),             TabCalc[[#This Row],[GL]],     0)</f>
        <v>0</v>
      </c>
      <c r="BN59" s="161" cm="1">
        <f t="array" aca="1" ref="BN59" ca="1">SUMPRODUCT(_xlfn._xlws.FILTER(IF(INDIRECT("TabReg["&amp;TabCalc[[#This Row],[Ticker]]&amp;"2]") ="", 0, INDIRECT("TabReg["&amp;TabCalc[[#This Row],[Ticker]]&amp;"1]")  ),  INDIRECT("TabReg["&amp;TabCalc[[#This Row],[Ticker]]&amp;"2]") &lt; 0))</f>
        <v>54000</v>
      </c>
      <c r="BO59" s="161">
        <f ca="1">TabCalc[[#This Row],[SB]]-TabCalc[[#This Row],[Nbegin]]</f>
        <v>44000</v>
      </c>
      <c r="BP59" s="161" cm="1">
        <f t="array" aca="1" ref="BP59" ca="1">IFERROR(SUMPRODUCT(_xlfn._xlws.FILTER(IF(INDIRECT("TabReg["&amp;TabCalc[[#This Row],[Ticker]]&amp;"2]") ="", 0, INDIRECT("TabReg["&amp;TabCalc[[#This Row],[Ticker]]&amp;"1]")  ),  INDIRECT("TabReg["&amp;TabCalc[[#This Row],[Ticker]]&amp;"2]") &gt; 0)),0)</f>
        <v>18000</v>
      </c>
      <c r="BQ59"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9" s="176" t="str">
        <f ca="1">IF(TabCalc[[#This Row],[EfCost]]+TabCalc[[#This Row],[M_V]]&lt;TabCalc[[#This Row],[NoT_GL]],"Pile","")</f>
        <v/>
      </c>
      <c r="BS59" s="167">
        <f ca="1">[1]!RTData[[#This Row],[Last trade time]]</f>
        <v>45954.666666666664</v>
      </c>
      <c r="BT59" s="177">
        <f ca="1">(TabCalc[[#This Row],[ValueBegin]]+(TabCalc[[#This Row],[M]]-TabCalc[[#This Row],[A]])*TabCalc[[#This Row],[NAfter]])*TabCalc[[#This Row],[Scale]]</f>
        <v>-69256.799999999988</v>
      </c>
      <c r="BU59" s="189" cm="1">
        <f t="array" aca="1" ref="BU59" ca="1">_xlfn.XLOOKUP(TabCalc[[#This Row],[Ticker]],TabReg[[#Headers],[AAPL]:[UnknownX28]],Reg!B$72:KF$72)+3</f>
        <v>17</v>
      </c>
      <c r="BV59" s="190" cm="1">
        <f t="array" aca="1" ref="BV59" ca="1">_xlfn.XLOOKUP(TabCalc[[#This Row],[Ticker]],TabReg[[#Headers],[AAPL]:[UnknownX28]],Reg!B$73:KF$73)+2</f>
        <v>174</v>
      </c>
      <c r="BW59" s="191">
        <f ca="1">IFERROR(MAX(TabCalc[[#This Row],[Max_SD]],TabCalc[[#This Row],[Max_PD]]),0)</f>
        <v>45936</v>
      </c>
      <c r="BX59" s="191" t="str" cm="1">
        <f t="array" aca="1" ref="BX59" ca="1">_xlfn.IFS(TabCalc[[#This Row],[L_TP]]&lt;0,"Purchase",TabCalc[[#This Row],[L_TP]]&gt;0,"Sale")</f>
        <v>Sale</v>
      </c>
      <c r="BY59" s="190" cm="1">
        <f t="array" aca="1" ref="BY59" ca="1">INDEX(Reg!$A$1:$KF$73,TabCalc[[#This Row],[L_I1]],TabCalc[[#This Row],[L_I2]])</f>
        <v>4000</v>
      </c>
      <c r="BZ59" s="192" cm="1">
        <f t="array" aca="1" ref="BZ59" ca="1">INDEX(Reg!$A$1:$KF$73,TabCalc[[#This Row],[L_I1]],TabCalc[[#This Row],[L_I2]]+1)</f>
        <v>15.12</v>
      </c>
      <c r="CA59" s="161">
        <f ca="1">TabCalc[[#This Row],[NAfter]]*(TabCalc[[#This Row],[M]]-IF(TabCalc[[#This Row],[E]]&gt;0,0,TabCalc[[#This Row],[A]]))</f>
        <v>86669.200000000012</v>
      </c>
      <c r="CB59" s="167" cm="1">
        <f t="array" aca="1" ref="CB59" ca="1">IFERROR(MIN(_xlfn._xlws.FILTER(INDIRECT("TabReg["&amp;TabCalc[[#This Row],[Ticker]]&amp;"]"), INDIRECT("TabReg["&amp;TabCalc[[#This Row],[Ticker]]&amp;"2]")&gt;0)),0)</f>
        <v>45475</v>
      </c>
      <c r="CC59" s="178" cm="1">
        <f t="array" aca="1" ref="CC59" ca="1">IFERROR(MIN(_xlfn._xlws.FILTER(INDIRECT("TabReg["&amp;TabCalc[[#This Row],[Ticker]]&amp;"1]"), INDIRECT("TabReg["&amp;TabCalc[[#This Row],[Ticker]]&amp;"2]")&gt;0)),0)</f>
        <v>2000</v>
      </c>
      <c r="CD59" s="173" cm="1">
        <f t="array" aca="1" ref="CD59" ca="1">IFERROR(MIN(_xlfn._xlws.FILTER(INDIRECT("TabReg["&amp;TabCalc[[#This Row],[Ticker]]&amp;"2]"), INDIRECT("TabReg["&amp;TabCalc[[#This Row],[Ticker]]&amp;"2]")&gt;0)),0)</f>
        <v>14.263983</v>
      </c>
      <c r="CE59" s="167" cm="1">
        <f t="array" aca="1" ref="CE59" ca="1">IFERROR(MAX(_xlfn._xlws.FILTER(INDIRECT("TabReg["&amp;TabCalc[[#This Row],[Ticker]]&amp;"]"), INDIRECT("TabReg["&amp;TabCalc[[#This Row],[Ticker]]&amp;"2]")&gt;0)),0)</f>
        <v>45936</v>
      </c>
      <c r="CF59" s="178" cm="1">
        <f t="array" aca="1" ref="CF59" ca="1">IFERROR(MAX(_xlfn._xlws.FILTER(INDIRECT("TabReg["&amp;TabCalc[[#This Row],[Ticker]]&amp;"1]"), INDIRECT("TabReg["&amp;TabCalc[[#This Row],[Ticker]]&amp;"2]")&gt;0)),0)</f>
        <v>8000</v>
      </c>
      <c r="CG59" s="173" cm="1">
        <f t="array" aca="1" ref="CG59" ca="1">IFERROR(MAX(_xlfn._xlws.FILTER(INDIRECT("TabReg["&amp;TabCalc[[#This Row],[Ticker]]&amp;"2]"), INDIRECT("TabReg["&amp;TabCalc[[#This Row],[Ticker]]&amp;"2]")&gt;0)),0)</f>
        <v>15.12</v>
      </c>
      <c r="CH59" s="167" cm="1">
        <f t="array" aca="1" ref="CH59" ca="1">MIN(_xlfn._xlws.FILTER(INDIRECT("TabReg["&amp;TabCalc[[#This Row],[Ticker]]&amp;"]"), INDIRECT("TabReg["&amp;TabCalc[[#This Row],[Ticker]]&amp;"2]")&lt;0))</f>
        <v>40544</v>
      </c>
      <c r="CI59" s="177" cm="1">
        <f t="array" aca="1" ref="CI59" ca="1">MIN(_xlfn._xlws.FILTER(INDIRECT("TabReg["&amp;TabCalc[[#This Row],[Ticker]]&amp;"1]"), INDIRECT("TabReg["&amp;TabCalc[[#This Row],[Ticker]]&amp;"2]")&lt;0))</f>
        <v>2000</v>
      </c>
      <c r="CJ59" s="173" cm="1">
        <f t="array" aca="1" ref="CJ59" ca="1">MIN(_xlfn._xlws.FILTER(INDIRECT("TabReg["&amp;TabCalc[[#This Row],[Ticker]]&amp;"2]"), INDIRECT("TabReg["&amp;TabCalc[[#This Row],[Ticker]]&amp;"2]")&lt;0))</f>
        <v>-15.667999999999999</v>
      </c>
      <c r="CK59" s="167" cm="1">
        <f t="array" aca="1" ref="CK59" ca="1">MAX(_xlfn._xlws.FILTER(INDIRECT("TabReg["&amp;TabCalc[[#This Row],[Ticker]]&amp;"]"), INDIRECT("TabReg["&amp;TabCalc[[#This Row],[Ticker]]&amp;"2]")&lt;0))</f>
        <v>45807</v>
      </c>
      <c r="CL59" s="177" cm="1">
        <f t="array" aca="1" ref="CL59" ca="1">MAX(_xlfn._xlws.FILTER(INDIRECT("TabReg["&amp;TabCalc[[#This Row],[Ticker]]&amp;"1]"), INDIRECT("TabReg["&amp;TabCalc[[#This Row],[Ticker]]&amp;"2]")&lt;0))</f>
        <v>10000</v>
      </c>
      <c r="CM59" s="173" cm="1">
        <f t="array" aca="1" ref="CM59" ca="1">MAX(_xlfn._xlws.FILTER(INDIRECT("TabReg["&amp;TabCalc[[#This Row],[Ticker]]&amp;"2]"), INDIRECT("TabReg["&amp;TabCalc[[#This Row],[Ticker]]&amp;"2]")&lt;0))</f>
        <v>-12.59</v>
      </c>
      <c r="CN59" s="167" cm="1">
        <f t="array" aca="1" ref="CN59" ca="1">IFERROR(_xlfn.XLOOKUP(TabCalc[[#This Row],[BS2P]],INDIRECT("TabReg["&amp;TabCalc[[#This Row],[Ticker]]&amp;"2]"),INDIRECT("TabReg["&amp;TabCalc[[#This Row],[Ticker]]&amp;"]")),0)</f>
        <v>45475</v>
      </c>
      <c r="CO59" s="178" cm="1">
        <f t="array" aca="1" ref="CO59" ca="1">IFERROR(_xlfn.XLOOKUP(TabCalc[[#This Row],[BS2P]],INDIRECT("TabReg["&amp;TabCalc[[#This Row],[Ticker]]&amp;"2]"),INDIRECT("TabReg["&amp;TabCalc[[#This Row],[Ticker]]&amp;"1]")),0)</f>
        <v>2000</v>
      </c>
      <c r="CP59" s="173">
        <f ca="1">_xlfn.MAXIFS(INDIRECT("TabReg["&amp;TabCalc[[#This Row],[Ticker]]&amp;"2]"), INDIRECT("TabReg["&amp;TabCalc[[#This Row],[Ticker]]&amp;"2]"), "&lt;" &amp; MAX(INDIRECT("TabReg["&amp;TabCalc[[#This Row],[Ticker]]&amp;"2]")))</f>
        <v>14.646323000000001</v>
      </c>
      <c r="CQ59" s="167" cm="1">
        <f t="array" aca="1" ref="CQ59" ca="1">IFERROR(_xlfn.XLOOKUP(TabCalc[[#This Row],[WB2P]],INDIRECT("TabReg["&amp;TabCalc[[#This Row],[Ticker]]&amp;"2]"),INDIRECT("TabReg["&amp;TabCalc[[#This Row],[Ticker]]&amp;"]")),0)</f>
        <v>40544</v>
      </c>
      <c r="CR59" s="178" cm="1">
        <f t="array" aca="1" ref="CR59" ca="1">IFERROR(_xlfn.XLOOKUP(TabCalc[[#This Row],[WB2P]],INDIRECT("TabReg["&amp;TabCalc[[#This Row],[Ticker]]&amp;"2]"),INDIRECT("TabReg["&amp;TabCalc[[#This Row],[Ticker]]&amp;"1]")),0)</f>
        <v>10000</v>
      </c>
      <c r="CS59" s="173">
        <f ca="1">_xlfn.MINIFS(INDIRECT("TabReg["&amp;TabCalc[[#This Row],[Ticker]]&amp;"2]"), INDIRECT("TabReg["&amp;TabCalc[[#This Row],[Ticker]]&amp;"2]"), "&gt;" &amp; MIN(INDIRECT("TabReg["&amp;TabCalc[[#This Row],[Ticker]]&amp;"2]")))</f>
        <v>-15.592599999999999</v>
      </c>
      <c r="CT59" s="405">
        <f ca="1">IF(TabCalc[[#This Row],[M]]&lt;TabCalc[[#This Row],[L_Sp]],DesiredBuyGain/(TabCalc[[#This Row],[L_Sp]]-TabCalc[[#This Row],[M]]),0)</f>
        <v>0</v>
      </c>
      <c r="CU59" s="406">
        <f ca="1">IF(TabCalc[[#This Row],[ntoBuy]]*TabCalc[[#This Row],[M]]&lt;=0,0,TabCalc[[#This Row],[ntoBuy]]*TabCalc[[#This Row],[M]])</f>
        <v>0</v>
      </c>
      <c r="CV59" s="406">
        <f ca="1">IF(TabCalc[[#This Row],[M]]&gt;ABS(TabCalc[[#This Row],[L_Bp]]),MIN(TabCalc[[#This Row],[NAfter]],DesiredSaleGain/(TabCalc[[#This Row],[M]]+TabCalc[[#This Row],[L_Bp]])),0)/TabCalc[[#This Row],[Scale]]</f>
        <v>1738.5257301808069</v>
      </c>
      <c r="CW59" s="407">
        <f ca="1">TabCalc[[#This Row],[ntoSell]]*TabCalc[[#This Row],[M]]</f>
        <v>27531.293463143258</v>
      </c>
      <c r="CX59" s="400">
        <f ca="1">_xlfn.LET(_xlpm.nToSell,IF(TabCalc[[#This Row],[M]]-TabCalc[[#This Row],[A]]&lt;=0,"",INT(DesiredSaleGain/(TabCalc[[#This Row],[M]]-IF(TabCalc[[#This Row],[E]]&gt;0,0,TabCalc[[#This Row],[A]])))),IF(_xlpm.nToSell&lt;=TabCalc[[#This Row],[NAfter]],_xlpm.nToSell,0))</f>
        <v>2076</v>
      </c>
      <c r="CY59" s="338">
        <f ca="1">IFERROR(TabCalc[[#This Row],[NMA]]*TabCalc[[#This Row],[M]],"")</f>
        <v>32875.536</v>
      </c>
      <c r="CZ59" s="337" cm="1">
        <f t="array" aca="1" ref="CZ59" ca="1">_xlfn.IFS(TabCalc[[#This Row],[M]]&gt;= TabCalc[[#This Row],[L_Sp]],(TabCalc[[#This Row],[M]]-TabCalc[[#This Row],[A]])*TabCalc[[#This Row],[NAfter]]*TabCalc[[#This Row],[Scale]],           TabCalc[[#This Row],[M]]&lt; TabCalc[[#This Row],[L_Sp]],(TabCalc[[#This Row],[M]]-TabCalc[[#This Row],[A]])*TabCalc[[#This Row],[NAfter]]*TabCalc[[#This Row],[Scale]],               TRUE,"")</f>
        <v>86669.200000000012</v>
      </c>
      <c r="DA59" s="90">
        <f ca="1">IFERROR((TabCalc[[#This Row],[M]]+TabCalc[[#This Row],[L_Bp]])/ABS(TabCalc[[#This Row],[L_Bp]])/(TODAY()-TabCalc[[#This Row],[L_Bdate]])*360,"")</f>
        <v>0.53616703952274403</v>
      </c>
      <c r="DB59" s="312">
        <f ca="1">MEDIAN(DataShift!F758:Z758)</f>
        <v>-1.702E-3</v>
      </c>
      <c r="DC59" s="312" t="e" cm="1">
        <f t="array" aca="1" ref="DC5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9" s="88" t="s">
        <v>55</v>
      </c>
      <c r="DN59" s="81">
        <v>10000</v>
      </c>
      <c r="DO59" s="317">
        <v>-4.33</v>
      </c>
    </row>
    <row r="60" spans="1:119">
      <c r="A60" s="120" t="str">
        <f ca="1">_xlfn.XLOOKUP(TabCalc[[#This Row],[Ticker]],[1]!RTData[Ticker symbol],[1]!RTData[Currency])</f>
        <v>USD</v>
      </c>
      <c r="B60" s="121">
        <f ca="1">IF(TabCalc[[#This Row],[Cur]]="GBP",0.01,1)</f>
        <v>1</v>
      </c>
      <c r="C60" s="82">
        <f ca="1">_xlfn.XLOOKUP(TabCalc[[#This Row],[Ticker]],DM$3:DM$96,DN$3:DN$96)</f>
        <v>2000</v>
      </c>
      <c r="D60" s="1254">
        <f ca="1">_xlfn.XLOOKUP(TabCalc[[#This Row],[Ticker]],DM$3:DM$96,DO$3:DO$96)</f>
        <v>-6.93</v>
      </c>
      <c r="E60" s="121">
        <f t="shared" ca="1" si="2"/>
        <v>-13860</v>
      </c>
      <c r="F60" s="82">
        <f ca="1">TabCalc[[#This Row],[NAfter]]*TabCalc[[#This Row],[M]]*TabCalc[[#This Row],[Scale]]</f>
        <v>2414.4</v>
      </c>
      <c r="G60" s="82">
        <f ca="1">IFERROR(TabCalc[[#This Row],[SB]]-TabCalc[[#This Row],[SST]],TabCalc[[#This Row],[SB]])</f>
        <v>12000</v>
      </c>
      <c r="H60" s="535" t="str">
        <f ca="1">[1]!RTData[[#This Row],[Ticker symbol]]</f>
        <v>MVEEPIX</v>
      </c>
      <c r="I60" s="385">
        <f ca="1">[1]!RTData[[#This Row],[M-Price]]</f>
        <v>0.20119999999999999</v>
      </c>
      <c r="J60" s="384">
        <v>2.5883333333333334</v>
      </c>
      <c r="K60" s="383">
        <f>[1]!RTData[[#This Row],[1YT]]</f>
        <v>0</v>
      </c>
      <c r="L60" s="384">
        <f ca="1">IF(OR(TabCalc[[#This Row],[NAfter]]=0,TabCalc[[#This Row],[EfCost]]&gt;0),0,TabCalc[[#This Row],[EfCost]]/TabCalc[[#This Row],[NAfter]]/TabCalc[[#This Row],[Scale]])</f>
        <v>-2.5883333333333334</v>
      </c>
      <c r="M60" s="744">
        <f ca="1">[1]!RTData[[#This Row],[Change%]]</f>
        <v>0</v>
      </c>
      <c r="N60" s="1172">
        <v>0</v>
      </c>
      <c r="O60" s="966">
        <f>TabCalc[[#This Row],[Up20]]-1+TabCalc[[#This Row],[Up20]]</f>
        <v>-1</v>
      </c>
      <c r="P60" s="966">
        <f>TabCalc[[#This Row],[Up20]]-TabCalc[[#This Row],[Up150]]</f>
        <v>-0.50413223140495866</v>
      </c>
      <c r="Q60" s="966">
        <v>0.50413223140495866</v>
      </c>
      <c r="R60" s="966">
        <f>TabCalc[[#This Row],[Up150]]-1+TabCalc[[#This Row],[Up150]]</f>
        <v>8.2644628099173278E-3</v>
      </c>
      <c r="S60" s="966">
        <f ca="1">IFERROR(SUMPRODUCT(DataShift!F1552:Z1552,DataShift!AB759:AV759)/SQRT(SUMPRODUCT(DataShift!F1552:Z1552,DataShift!F1552:Z1552)*SUMPRODUCT(DataShift!AB759:AV759,DataShift!AB759:AV759)),0)</f>
        <v>-0.29318935928620804</v>
      </c>
      <c r="T60" s="966">
        <f ca="1">IFERROR(SUMPRODUCT(DataShift!F1552:Z1552,DataShift!F759:Z759)/SQRT(SUMPRODUCT(DataShift!F1552:Z1552,DataShift!F1552:Z1552)*SUMPRODUCT(DataShift!F759:Z759,DataShift!F759:Z759)),0)</f>
        <v>-0.1065468291176238</v>
      </c>
      <c r="U60" s="1107">
        <v>0</v>
      </c>
      <c r="V60" s="1107">
        <v>12000</v>
      </c>
      <c r="W60" s="1107">
        <v>0</v>
      </c>
      <c r="X60" s="966" t="str">
        <f ca="1">IF(TabCalc[[#This Row],[EfCost]]+TabCalc[[#This Row],[M_V]]&lt;TabCalc[[#This Row],[NoT_GL]],"Pile","")</f>
        <v>Pile</v>
      </c>
      <c r="Y6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-154,374 = $ -31,061</v>
      </c>
      <c r="Z60" s="213">
        <f ca="1">MIN(TabCalc[[#This Row],[L_Bn]],TabCalc[[#This Row],[NAfter]])*(TabCalc[[#This Row],[M]]+TabCalc[[#This Row],[L_Bp]])*TabCalc[[#This Row],[Scale]]</f>
        <v>-15188</v>
      </c>
      <c r="AA60" s="210" cm="1">
        <f t="array" aca="1" ref="AA60" ca="1">_xlfn.XLOOKUP(TabCalc[[#This Row],[L_Bp]],INDIRECT("TabReg["&amp;TabCalc[[#This Row],[Ticker]]&amp;"2]"),INDIRECT("TabReg["&amp;TabCalc[[#This Row],[Ticker]]&amp;"]"))</f>
        <v>45680</v>
      </c>
      <c r="AB60" s="181" cm="1">
        <f t="array" aca="1" ref="AB60" ca="1">_xlfn.XLOOKUP(TabCalc[[#This Row],[L_Bp]],INDIRECT("TabReg["&amp;TabCalc[[#This Row],[Ticker]]&amp;"2]"),INDIRECT("TabReg["&amp;TabCalc[[#This Row],[Ticker]]&amp;"1]"))</f>
        <v>10000</v>
      </c>
      <c r="AC60" s="192" cm="1">
        <f t="array" aca="1" ref="AC60" ca="1">IFERROR(INDEX(INDIRECT("TabReg["&amp;TabCalc[[#This Row],[Ticker]]&amp;"2]"),    _xlfn.XMATCH(    MAX(    _xlfn._xlws.FILTER(INDIRECT("TabReg["&amp;TabCalc[[#This Row],[Ticker]]&amp;"]"), INDIRECT("TabReg["&amp;TabCalc[[#This Row],[Ticker]]&amp;"2]")&lt;0)     ), INDIRECT("TabReg["&amp;TabCalc[[#This Row],[Ticker]]&amp;"]"),      0)), "")</f>
        <v>-1.72</v>
      </c>
      <c r="AD60" s="213">
        <f ca="1">IFERROR(MIN(TabCalc[[#This Row],[L_B1n]],TabCalc[[#This Row],[NAfter]])*(TabCalc[[#This Row],[M]]+TabCalc[[#This Row],[L_B1p]])*TabCalc[[#This Row],[Scale]],"")</f>
        <v>-13457.599999999999</v>
      </c>
      <c r="AE60" s="210" cm="1">
        <f t="array" aca="1" ref="AE6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40544</v>
      </c>
      <c r="AF60" s="181" cm="1">
        <f t="array" aca="1" ref="AF60" ca="1">IFERROR(_xlfn.XLOOKUP(TabCalc[[#This Row],[L_B1D]],INDIRECT("TabReg["&amp;TabCalc[[#This Row],[Ticker]]&amp;"]"),INDIRECT("TabReg["&amp;TabCalc[[#This Row],[Ticker]]&amp;"1]")),0)</f>
        <v>2000</v>
      </c>
      <c r="AG60" s="192" cm="1">
        <f t="array" aca="1" ref="AG60" ca="1">IFERROR(_xlfn.XLOOKUP(TabCalc[[#This Row],[L_B1D]],INDIRECT("TabReg["&amp;TabCalc[[#This Row],[Ticker]]&amp;"]"),INDIRECT("TabReg["&amp;TabCalc[[#This Row],[Ticker]]&amp;"2]")),0)</f>
        <v>-6.93</v>
      </c>
      <c r="AH60" s="302">
        <f ca="1">IFERROR(TabCalc[[#This Row],[L_Sn]]*(TabCalc[[#This Row],[L_Sp]]-TabCalc[[#This Row],[M]])*TabCalc[[#This Row],[Scale]],"")</f>
        <v>0</v>
      </c>
      <c r="AI60" s="210" cm="1">
        <f t="array" aca="1" ref="AI60" ca="1">IFERROR(_xlfn.XLOOKUP(TabCalc[[#This Row],[L_Sp]],INDIRECT("TabReg["&amp;TabCalc[[#This Row],[Ticker]]&amp;"2]"),INDIRECT("TabReg["&amp;TabCalc[[#This Row],[Ticker]]&amp;"]")),0)</f>
        <v>0</v>
      </c>
      <c r="AJ60" s="181" cm="1">
        <f t="array" aca="1" ref="AJ60" ca="1">IFERROR(_xlfn.XLOOKUP(TabCalc[[#This Row],[L_Sp]],INDIRECT("TabReg["&amp;TabCalc[[#This Row],[Ticker]]&amp;"2]"),INDIRECT("TabReg["&amp;TabCalc[[#This Row],[Ticker]]&amp;"1]")),0)</f>
        <v>0</v>
      </c>
      <c r="AK60" s="192" cm="1">
        <f t="array" aca="1" ref="AK60" ca="1">IFERROR(INDEX(INDIRECT("TabReg["&amp;TabCalc[[#This Row],[Ticker]]&amp;"2]"), _xlfn.XMATCH(MAX(_xlfn._xlws.FILTER(INDIRECT("TabReg["&amp;TabCalc[[#This Row],[Ticker]]&amp;"]"), INDIRECT("TabReg["&amp;TabCalc[[#This Row],[Ticker]]&amp;"2]")&gt;0)), INDIRECT("TabReg["&amp;TabCalc[[#This Row],[Ticker]]&amp;"]"), 0)), 0)</f>
        <v>0</v>
      </c>
      <c r="AL60" s="214">
        <f ca="1">IFERROR(TabCalc[[#This Row],[L_S1n]]*(TabCalc[[#This Row],[L_S1p]]-TabCalc[[#This Row],[M]])*TabCalc[[#This Row],[Scale]],0)</f>
        <v>0</v>
      </c>
      <c r="AM60" s="210" t="str" cm="1">
        <f t="array" aca="1" ref="AM6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60" s="181" cm="1">
        <f t="array" aca="1" ref="AN60" ca="1">IFERROR(_xlfn.XLOOKUP(TabCalc[[#This Row],[L_S1D]],INDIRECT("TabReg["&amp;TabCalc[[#This Row],[Ticker]]&amp;"]"),INDIRECT("TabReg["&amp;TabCalc[[#This Row],[Ticker]]&amp;"1]")),0)</f>
        <v>0</v>
      </c>
      <c r="AO60" s="384" cm="1">
        <f t="array" aca="1" ref="AO60" ca="1">IFERROR(_xlfn.XLOOKUP(TabCalc[[#This Row],[L_S1D]],INDIRECT("TabReg["&amp;TabCalc[[#This Row],[Ticker]]&amp;"]"),INDIRECT("TabReg["&amp;TabCalc[[#This Row],[Ticker]]&amp;"2]")),0)</f>
        <v>0</v>
      </c>
      <c r="AP60" s="336">
        <f ca="1">_xlfn.LET(_xlpm.MVOpen,[1]!RTData[[#This Row],[Open]]*TabCalc[[#This Row],[NAfter]],_xlpm.MVNow,TabCalc[[#This Row],[M]]*TabCalc[[#This Row],[NAfter]],_xlpm.MVNow-_xlpm.MVOpen)*TabCalc[[#This Row],[Scale]]</f>
        <v>14.400000000000091</v>
      </c>
      <c r="AQ60" s="336">
        <f ca="1">_xlfn.LET(_xlpm.MVToday,DataShift!AV560,         _xlpm.MVY,DataShift!AU560,        _xlpm.MVYY, DataShift!AT560,                                IF(_xlpm.MVToday=_xlpm.MVY,_xlpm.MVY-_xlpm.MVYY,_xlpm.MVToday-_xlpm.MVY))</f>
        <v>0.25000000000002842</v>
      </c>
      <c r="AR60" s="336">
        <f ca="1">_xlfn.LET(_xlpm.MVToday,DataShift!AV560,         _xlpm.MVY,DataShift!AU560,        _xlpm.MVYY, DataShift!AT560,         _xlpm.MVYYY, DataShift!AS560,                      IF(_xlpm.MVToday=_xlpm.MVY,      _xlpm.MVYY-_xlpm.MVYYY,          _xlpm.MVY-_xlpm.MVYY))</f>
        <v>0.79999999999998295</v>
      </c>
      <c r="AS60" s="1078">
        <f ca="1">TabCalc[[#This Row],[Y]]/TabCalc[[#This Row],[M]]</f>
        <v>0</v>
      </c>
      <c r="AT60" s="299" t="str" cm="1">
        <f t="array" aca="1" ref="AT60" ca="1">IFERROR(_xlfn.IFS(          TabCalc[[#This Row],[E]]&gt;0, "Free Trade",      TabCalc[[#This Row],[A]]&lt;MIN(TabCalc[[#This Row],[L_Sp]],TabCalc[[#This Row],[M]]), "Buy",            TabCalc[[#This Row],[M]]&lt;TabCalc[[#This Row],[L_Sp]],       "Refill",       TabCalc[[#This Row],[M]]&gt;TabCalc[[#This Row],[L_Sp]],"S_more"),"")</f>
        <v>S_more</v>
      </c>
      <c r="AU60" s="299" t="str">
        <f ca="1">IF(           AND(TabCalc[[#This Row],[E]]&lt;=0,          TabCalc[[#This Row],[A]]&gt;MIN(TabCalc[[#This Row],[M]],TabCalc[[#This Row],[L_Sp]]),             TabCalc[[#This Row],[L_Sp]]&lt;=TabCalc[[#This Row],[M]]),                       "S_more","")</f>
        <v>S_more</v>
      </c>
      <c r="AV60" s="82" t="str" cm="1">
        <f t="array" aca="1" ref="AV60" ca="1">IFERROR(_xlfn.IFS(TabCalc[[#This Row],[E]]&gt;0,"Free trade",                 TabCalc[[#This Row],[A]]&lt;MAX(ABS(TabCalc[[#This Row],[L_Bp]]),TabCalc[[#This Row],[A]]),"Sell",             TabCalc[[#This Row],[M]]&gt;ABS(TabCalc[[#This Row],[L_Bp]]),"Resell",             TabCalc[[#This Row],[M]]&lt;ABS(TabCalc[[#This Row],[L_Bp]]),"B_more"),"")</f>
        <v>B_more</v>
      </c>
      <c r="AW60" s="82">
        <f ca="1">TabCalc[[#This Row],[NAfter]]-TabCalc[[#This Row],[Nbegin]]</f>
        <v>10000</v>
      </c>
      <c r="AX60" s="307" t="str">
        <f ca="1">IFERROR((TabCalc[[#This Row],[M]]-TabCalc[[#This Row],[Y]])*(TabCalc[[#This Row],[M]]-TabCalc[[#This Row],[Y]])*(TabCalc[[#This Row],[M]]-TabCalc[[#This Row],[Y]])/(TabCalc[[#This Row],[Y]]*TabCalc[[#This Row],[M]]),"")</f>
        <v/>
      </c>
      <c r="AY60" s="82">
        <f t="shared" ca="1" si="3"/>
        <v>0</v>
      </c>
      <c r="AZ60" s="90">
        <f ca="1">[1]!RTData[[#This Row],[V/VA]]</f>
        <v>1.8522760022071003</v>
      </c>
      <c r="BA60" s="90" t="str" cm="1">
        <f t="array" aca="1" ref="BA60" ca="1">IFERROR(_xlfn.IFS(TabCalc[[#This Row],[Cur]]="USD",Timer!F$27,TabCalc[[#This Row],[Cur]]="EUR",Timer!F$18,TabCalc[[#This Row],[Cur]]="GBP",Timer!F$12,TabCalc[[#This Row],[Cur]]="CAD",Timer!F$27,TabCalc[[#This Row],[Cur]]="JPY",Timer!F$31,TabCalc[[#This Row],[Cur]]="CHF",Timer!F$18),"Timing")</f>
        <v>None-Working Day</v>
      </c>
      <c r="BB60" s="90">
        <f ca="1">IF(ISNUMBER(TabCalc[[#This Row],[TimeEX]]),TabCalc[[#This Row],[V/VA]]/TabCalc[[#This Row],[TimeEX]],TabCalc[[#This Row],[V/VA]])</f>
        <v>1.8522760022071003</v>
      </c>
      <c r="BC60" s="87" cm="1">
        <f t="array" aca="1" ref="BC60" ca="1">INDEX(TabReg[], 1, _xlfn.XMATCH(TabCalc[[#This Row],[Ticker]]&amp;1, TabReg[#Headers], 0))</f>
        <v>2000</v>
      </c>
      <c r="BD60" s="161">
        <f ca="1">TabCalc[[#This Row],[Nbegin]]*TabCalc[[#This Row],[M]]*TabCalc[[#This Row],[Scale]]+TabCalc[[#This Row],[ValueBegin]]</f>
        <v>-13457.6</v>
      </c>
      <c r="BE60" s="336" t="str" cm="1">
        <f t="array" aca="1" ref="BE60" ca="1">_xlfn.IFS(TabCalc[[#This Row],[Cost+Gain]]&gt;0,"Free",             TabCalc[[#This Row],[GL]]&gt;0,"Gainer",                TRUE,"Looser")</f>
        <v>Looser</v>
      </c>
      <c r="BF60" s="161">
        <f ca="1">TabCalc[[#This Row],[Tot_Paid]]-TabCalc[[#This Row],[ValueBegin]]</f>
        <v>-17280.755999999998</v>
      </c>
      <c r="BG60" s="337">
        <f ca="1">IF(TabCalc[[#This Row],[EfCost]]&gt;TabCalc[[#This Row],[ValueBegin]],       0,        TabCalc[[#This Row],[EfCost]]-TabCalc[[#This Row],[ValueBegin]]*(1+Commission))</f>
        <v>-17163.964</v>
      </c>
      <c r="BH60" s="338">
        <f ca="1">TabCalc[[#This Row],[M_V]]+TabCalc[[#This Row],[ValueBegin]]</f>
        <v>-11445.6</v>
      </c>
      <c r="BI60" s="161" cm="1">
        <f t="array" aca="1" ref="BI60" ca="1">SUMPRODUCT(_xlfn._xlws.FILTER(INDIRECT("TabReg["&amp;TabCalc[[#This Row],[Ticker]]&amp;"1]") * INDIRECT("TabReg["&amp;TabCalc[[#This Row],[Ticker]]&amp;"2]"), INDIRECT("TabReg["&amp;TabCalc[[#This Row],[Ticker]]&amp;"2]")&lt;0))*(1+Commission)*TabCalc[[#This Row],[Scale]]</f>
        <v>-31140.755999999998</v>
      </c>
      <c r="BJ60" s="161" cm="1">
        <f t="array" aca="1" ref="BJ60" ca="1">SUMPRODUCT(IF(INDIRECT("TabReg["&amp;TabCalc[[#This Row],[Ticker]]&amp;"2]") ="", 0, INDIRECT("TabReg["&amp;TabCalc[[#This Row],[Ticker]]&amp;"1]") * INDIRECT("TabReg["&amp;TabCalc[[#This Row],[Ticker]]&amp;"2]") ))*TabCalc[[#This Row],[Scale]]</f>
        <v>-31060</v>
      </c>
      <c r="BK60" s="161" cm="1">
        <f t="array" aca="1" ref="BK6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60" s="161">
        <f ca="1">TabCalc[[#This Row],[M_V]]+TabCalc[[#This Row],[EfCost]]</f>
        <v>-28645.599999999999</v>
      </c>
      <c r="BM60" s="161">
        <f ca="1">IF(        OR( TabCalc[[#This Row],[GL]]&gt;ABS(TabCalc[[#This Row],[EfCost]]),TabCalc[[#This Row],[NAfter]]=0),             TabCalc[[#This Row],[GL]],     0)</f>
        <v>0</v>
      </c>
      <c r="BN60" s="161" cm="1">
        <f t="array" aca="1" ref="BN60" ca="1">SUMPRODUCT(_xlfn._xlws.FILTER(IF(INDIRECT("TabReg["&amp;TabCalc[[#This Row],[Ticker]]&amp;"2]") ="", 0, INDIRECT("TabReg["&amp;TabCalc[[#This Row],[Ticker]]&amp;"1]")  ),  INDIRECT("TabReg["&amp;TabCalc[[#This Row],[Ticker]]&amp;"2]") &lt; 0))</f>
        <v>12000</v>
      </c>
      <c r="BO60" s="161">
        <f ca="1">TabCalc[[#This Row],[SB]]-TabCalc[[#This Row],[Nbegin]]</f>
        <v>10000</v>
      </c>
      <c r="BP60" s="161" cm="1">
        <f t="array" aca="1" ref="BP60" ca="1">IFERROR(SUMPRODUCT(_xlfn._xlws.FILTER(IF(INDIRECT("TabReg["&amp;TabCalc[[#This Row],[Ticker]]&amp;"2]") ="", 0, INDIRECT("TabReg["&amp;TabCalc[[#This Row],[Ticker]]&amp;"1]")  ),  INDIRECT("TabReg["&amp;TabCalc[[#This Row],[Ticker]]&amp;"2]") &gt; 0)),0)</f>
        <v>0</v>
      </c>
      <c r="BQ60"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0" s="176" t="str">
        <f ca="1">IF(TabCalc[[#This Row],[EfCost]]+TabCalc[[#This Row],[M_V]]&lt;TabCalc[[#This Row],[NoT_GL]],"Pile","")</f>
        <v>Pile</v>
      </c>
      <c r="BS60" s="167">
        <f ca="1">[1]!RTData[[#This Row],[Last trade time]]</f>
        <v>45938.992447279685</v>
      </c>
      <c r="BT60" s="177">
        <f ca="1">(TabCalc[[#This Row],[ValueBegin]]+(TabCalc[[#This Row],[M]]-TabCalc[[#This Row],[A]])*TabCalc[[#This Row],[NAfter]])*TabCalc[[#This Row],[Scale]]</f>
        <v>-42505.599999999999</v>
      </c>
      <c r="BU60" s="189" cm="1">
        <f t="array" aca="1" ref="BU60" ca="1">_xlfn.XLOOKUP(TabCalc[[#This Row],[Ticker]],TabReg[[#Headers],[AAPL]:[UnknownX28]],Reg!B$72:KF$72)+3</f>
        <v>5</v>
      </c>
      <c r="BV60" s="190" cm="1">
        <f t="array" aca="1" ref="BV60" ca="1">_xlfn.XLOOKUP(TabCalc[[#This Row],[Ticker]],TabReg[[#Headers],[AAPL]:[UnknownX28]],Reg!B$73:KF$73)+2</f>
        <v>177</v>
      </c>
      <c r="BW60" s="191">
        <f ca="1">IFERROR(MAX(TabCalc[[#This Row],[Max_SD]],TabCalc[[#This Row],[Max_PD]]),0)</f>
        <v>45680</v>
      </c>
      <c r="BX60" s="191" t="str" cm="1">
        <f t="array" aca="1" ref="BX60" ca="1">_xlfn.IFS(TabCalc[[#This Row],[L_TP]]&lt;0,"Purchase",TabCalc[[#This Row],[L_TP]]&gt;0,"Sale")</f>
        <v>Purchase</v>
      </c>
      <c r="BY60" s="190" cm="1">
        <f t="array" aca="1" ref="BY60" ca="1">INDEX(Reg!$A$1:$KF$73,TabCalc[[#This Row],[L_I1]],TabCalc[[#This Row],[L_I2]])</f>
        <v>10000</v>
      </c>
      <c r="BZ60" s="192" cm="1">
        <f t="array" aca="1" ref="BZ60" ca="1">INDEX(Reg!$A$1:$KF$73,TabCalc[[#This Row],[L_I1]],TabCalc[[#This Row],[L_I2]]+1)</f>
        <v>-1.72</v>
      </c>
      <c r="CA60" s="161">
        <f ca="1">TabCalc[[#This Row],[NAfter]]*(TabCalc[[#This Row],[M]]-IF(TabCalc[[#This Row],[E]]&gt;0,0,TabCalc[[#This Row],[A]]))</f>
        <v>-28645.599999999999</v>
      </c>
      <c r="CB60" s="167" cm="1">
        <f t="array" aca="1" ref="CB60" ca="1">IFERROR(MIN(_xlfn._xlws.FILTER(INDIRECT("TabReg["&amp;TabCalc[[#This Row],[Ticker]]&amp;"]"), INDIRECT("TabReg["&amp;TabCalc[[#This Row],[Ticker]]&amp;"2]")&gt;0)),0)</f>
        <v>0</v>
      </c>
      <c r="CC60" s="178" cm="1">
        <f t="array" aca="1" ref="CC60" ca="1">IFERROR(MIN(_xlfn._xlws.FILTER(INDIRECT("TabReg["&amp;TabCalc[[#This Row],[Ticker]]&amp;"1]"), INDIRECT("TabReg["&amp;TabCalc[[#This Row],[Ticker]]&amp;"2]")&gt;0)),0)</f>
        <v>0</v>
      </c>
      <c r="CD60" s="173" cm="1">
        <f t="array" aca="1" ref="CD60" ca="1">IFERROR(MIN(_xlfn._xlws.FILTER(INDIRECT("TabReg["&amp;TabCalc[[#This Row],[Ticker]]&amp;"2]"), INDIRECT("TabReg["&amp;TabCalc[[#This Row],[Ticker]]&amp;"2]")&gt;0)),0)</f>
        <v>0</v>
      </c>
      <c r="CE60" s="167" cm="1">
        <f t="array" aca="1" ref="CE60" ca="1">IFERROR(MAX(_xlfn._xlws.FILTER(INDIRECT("TabReg["&amp;TabCalc[[#This Row],[Ticker]]&amp;"]"), INDIRECT("TabReg["&amp;TabCalc[[#This Row],[Ticker]]&amp;"2]")&gt;0)),0)</f>
        <v>0</v>
      </c>
      <c r="CF60" s="178" cm="1">
        <f t="array" aca="1" ref="CF60" ca="1">IFERROR(MAX(_xlfn._xlws.FILTER(INDIRECT("TabReg["&amp;TabCalc[[#This Row],[Ticker]]&amp;"1]"), INDIRECT("TabReg["&amp;TabCalc[[#This Row],[Ticker]]&amp;"2]")&gt;0)),0)</f>
        <v>0</v>
      </c>
      <c r="CG60" s="173" cm="1">
        <f t="array" aca="1" ref="CG60" ca="1">IFERROR(MAX(_xlfn._xlws.FILTER(INDIRECT("TabReg["&amp;TabCalc[[#This Row],[Ticker]]&amp;"2]"), INDIRECT("TabReg["&amp;TabCalc[[#This Row],[Ticker]]&amp;"2]")&gt;0)),0)</f>
        <v>0</v>
      </c>
      <c r="CH60" s="167" cm="1">
        <f t="array" aca="1" ref="CH60" ca="1">MIN(_xlfn._xlws.FILTER(INDIRECT("TabReg["&amp;TabCalc[[#This Row],[Ticker]]&amp;"]"), INDIRECT("TabReg["&amp;TabCalc[[#This Row],[Ticker]]&amp;"2]")&lt;0))</f>
        <v>40544</v>
      </c>
      <c r="CI60" s="177" cm="1">
        <f t="array" aca="1" ref="CI60" ca="1">MIN(_xlfn._xlws.FILTER(INDIRECT("TabReg["&amp;TabCalc[[#This Row],[Ticker]]&amp;"1]"), INDIRECT("TabReg["&amp;TabCalc[[#This Row],[Ticker]]&amp;"2]")&lt;0))</f>
        <v>2000</v>
      </c>
      <c r="CJ60" s="173" cm="1">
        <f t="array" aca="1" ref="CJ60" ca="1">MIN(_xlfn._xlws.FILTER(INDIRECT("TabReg["&amp;TabCalc[[#This Row],[Ticker]]&amp;"2]"), INDIRECT("TabReg["&amp;TabCalc[[#This Row],[Ticker]]&amp;"2]")&lt;0))</f>
        <v>-6.93</v>
      </c>
      <c r="CK60" s="167" cm="1">
        <f t="array" aca="1" ref="CK60" ca="1">MAX(_xlfn._xlws.FILTER(INDIRECT("TabReg["&amp;TabCalc[[#This Row],[Ticker]]&amp;"]"), INDIRECT("TabReg["&amp;TabCalc[[#This Row],[Ticker]]&amp;"2]")&lt;0))</f>
        <v>45680</v>
      </c>
      <c r="CL60" s="177" cm="1">
        <f t="array" aca="1" ref="CL60" ca="1">MAX(_xlfn._xlws.FILTER(INDIRECT("TabReg["&amp;TabCalc[[#This Row],[Ticker]]&amp;"1]"), INDIRECT("TabReg["&amp;TabCalc[[#This Row],[Ticker]]&amp;"2]")&lt;0))</f>
        <v>10000</v>
      </c>
      <c r="CM60" s="173" cm="1">
        <f t="array" aca="1" ref="CM60" ca="1">MAX(_xlfn._xlws.FILTER(INDIRECT("TabReg["&amp;TabCalc[[#This Row],[Ticker]]&amp;"2]"), INDIRECT("TabReg["&amp;TabCalc[[#This Row],[Ticker]]&amp;"2]")&lt;0))</f>
        <v>-1.72</v>
      </c>
      <c r="CN60" s="167" cm="1">
        <f t="array" aca="1" ref="CN60" ca="1">IFERROR(_xlfn.XLOOKUP(TabCalc[[#This Row],[BS2P]],INDIRECT("TabReg["&amp;TabCalc[[#This Row],[Ticker]]&amp;"2]"),INDIRECT("TabReg["&amp;TabCalc[[#This Row],[Ticker]]&amp;"]")),0)</f>
        <v>40544</v>
      </c>
      <c r="CO60" s="178" cm="1">
        <f t="array" aca="1" ref="CO60" ca="1">IFERROR(_xlfn.XLOOKUP(TabCalc[[#This Row],[BS2P]],INDIRECT("TabReg["&amp;TabCalc[[#This Row],[Ticker]]&amp;"2]"),INDIRECT("TabReg["&amp;TabCalc[[#This Row],[Ticker]]&amp;"1]")),0)</f>
        <v>2000</v>
      </c>
      <c r="CP60" s="173">
        <f ca="1">_xlfn.MAXIFS(INDIRECT("TabReg["&amp;TabCalc[[#This Row],[Ticker]]&amp;"2]"), INDIRECT("TabReg["&amp;TabCalc[[#This Row],[Ticker]]&amp;"2]"), "&lt;" &amp; MAX(INDIRECT("TabReg["&amp;TabCalc[[#This Row],[Ticker]]&amp;"2]")))</f>
        <v>-6.93</v>
      </c>
      <c r="CQ60" s="167" cm="1">
        <f t="array" aca="1" ref="CQ60" ca="1">IFERROR(_xlfn.XLOOKUP(TabCalc[[#This Row],[WB2P]],INDIRECT("TabReg["&amp;TabCalc[[#This Row],[Ticker]]&amp;"2]"),INDIRECT("TabReg["&amp;TabCalc[[#This Row],[Ticker]]&amp;"]")),0)</f>
        <v>45680</v>
      </c>
      <c r="CR60" s="178" cm="1">
        <f t="array" aca="1" ref="CR60" ca="1">IFERROR(_xlfn.XLOOKUP(TabCalc[[#This Row],[WB2P]],INDIRECT("TabReg["&amp;TabCalc[[#This Row],[Ticker]]&amp;"2]"),INDIRECT("TabReg["&amp;TabCalc[[#This Row],[Ticker]]&amp;"1]")),0)</f>
        <v>10000</v>
      </c>
      <c r="CS60" s="173">
        <f ca="1">_xlfn.MINIFS(INDIRECT("TabReg["&amp;TabCalc[[#This Row],[Ticker]]&amp;"2]"), INDIRECT("TabReg["&amp;TabCalc[[#This Row],[Ticker]]&amp;"2]"), "&gt;" &amp; MIN(INDIRECT("TabReg["&amp;TabCalc[[#This Row],[Ticker]]&amp;"2]")))</f>
        <v>-1.72</v>
      </c>
      <c r="CT60" s="405">
        <f ca="1">IF(TabCalc[[#This Row],[M]]&lt;TabCalc[[#This Row],[L_Sp]],DesiredBuyGain/(TabCalc[[#This Row],[L_Sp]]-TabCalc[[#This Row],[M]]),0)</f>
        <v>0</v>
      </c>
      <c r="CU60" s="406">
        <f ca="1">IF(TabCalc[[#This Row],[ntoBuy]]*TabCalc[[#This Row],[M]]&lt;=0,0,TabCalc[[#This Row],[ntoBuy]]*TabCalc[[#This Row],[M]])</f>
        <v>0</v>
      </c>
      <c r="CV60" s="406">
        <f ca="1">IF(TabCalc[[#This Row],[M]]&gt;ABS(TabCalc[[#This Row],[L_Bp]]),MIN(TabCalc[[#This Row],[NAfter]],DesiredSaleGain/(TabCalc[[#This Row],[M]]+TabCalc[[#This Row],[L_Bp]])),0)/TabCalc[[#This Row],[Scale]]</f>
        <v>0</v>
      </c>
      <c r="CW60" s="407">
        <f ca="1">TabCalc[[#This Row],[ntoSell]]*TabCalc[[#This Row],[M]]</f>
        <v>0</v>
      </c>
      <c r="CX60" s="400">
        <f ca="1">_xlfn.LET(_xlpm.nToSell,IF(TabCalc[[#This Row],[M]]-TabCalc[[#This Row],[A]]&lt;=0,"",INT(DesiredSaleGain/(TabCalc[[#This Row],[M]]-IF(TabCalc[[#This Row],[E]]&gt;0,0,TabCalc[[#This Row],[A]])))),IF(_xlpm.nToSell&lt;=TabCalc[[#This Row],[NAfter]],_xlpm.nToSell,0))</f>
        <v>0</v>
      </c>
      <c r="CY60" s="338">
        <f ca="1">IFERROR(TabCalc[[#This Row],[NMA]]*TabCalc[[#This Row],[M]],"")</f>
        <v>0</v>
      </c>
      <c r="CZ60" s="337" cm="1">
        <f t="array" aca="1" ref="CZ60" ca="1">_xlfn.IFS(TabCalc[[#This Row],[M]]&gt;= TabCalc[[#This Row],[L_Sp]],(TabCalc[[#This Row],[M]]-TabCalc[[#This Row],[A]])*TabCalc[[#This Row],[NAfter]]*TabCalc[[#This Row],[Scale]],           TabCalc[[#This Row],[M]]&lt; TabCalc[[#This Row],[L_Sp]],(TabCalc[[#This Row],[M]]-TabCalc[[#This Row],[A]])*TabCalc[[#This Row],[NAfter]]*TabCalc[[#This Row],[Scale]],               TRUE,"")</f>
        <v>-28645.599999999999</v>
      </c>
      <c r="DA60" s="90">
        <f ca="1">IFERROR((TabCalc[[#This Row],[M]]+TabCalc[[#This Row],[L_Bp]])/ABS(TabCalc[[#This Row],[L_Bp]])/(TODAY()-TabCalc[[#This Row],[L_Bdate]])*360,"")</f>
        <v>-1.1517694641051566</v>
      </c>
      <c r="DB60" s="312">
        <f ca="1">MEDIAN(DataShift!F759:Z759)</f>
        <v>1.2310000000000001E-3</v>
      </c>
      <c r="DC60" s="312" t="e" cm="1">
        <f t="array" aca="1" ref="DC6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0" s="88" t="s">
        <v>56</v>
      </c>
      <c r="DN60" s="81">
        <v>2000</v>
      </c>
      <c r="DO60" s="317">
        <v>-44</v>
      </c>
    </row>
    <row r="61" spans="1:119">
      <c r="A61" s="120" t="str">
        <f ca="1">_xlfn.XLOOKUP(TabCalc[[#This Row],[Ticker]],[1]!RTData[Ticker symbol],[1]!RTData[Currency])</f>
        <v>EUR</v>
      </c>
      <c r="B61" s="121">
        <f ca="1">IF(TabCalc[[#This Row],[Cur]]="GBP",0.01,1)</f>
        <v>1</v>
      </c>
      <c r="C61" s="82">
        <f ca="1">_xlfn.XLOOKUP(TabCalc[[#This Row],[Ticker]],DM$3:DM$96,DN$3:DN$96)</f>
        <v>10000</v>
      </c>
      <c r="D61" s="1254">
        <f ca="1">_xlfn.XLOOKUP(TabCalc[[#This Row],[Ticker]],DM$3:DM$96,DO$3:DO$96)</f>
        <v>-24.316700000000001</v>
      </c>
      <c r="E61" s="121">
        <f t="shared" ca="1" si="2"/>
        <v>-243167</v>
      </c>
      <c r="F61" s="82">
        <f ca="1">TabCalc[[#This Row],[NAfter]]*TabCalc[[#This Row],[M]]*TabCalc[[#This Row],[Scale]]</f>
        <v>375760</v>
      </c>
      <c r="G61" s="82">
        <f ca="1">IFERROR(TabCalc[[#This Row],[SB]]-TabCalc[[#This Row],[SST]],TabCalc[[#This Row],[SB]])</f>
        <v>7000</v>
      </c>
      <c r="H61" s="535" t="str">
        <f ca="1">[1]!RTData[[#This Row],[Ticker symbol]]</f>
        <v>MVEGLE</v>
      </c>
      <c r="I61" s="385">
        <f ca="1">[1]!RTData[[#This Row],[M-Price]]</f>
        <v>53.68</v>
      </c>
      <c r="J61" s="384">
        <v>55.660714285714285</v>
      </c>
      <c r="K61" s="383">
        <f>[1]!RTData[[#This Row],[1YT]]</f>
        <v>60.69</v>
      </c>
      <c r="L61" s="384">
        <f ca="1">IF(OR(TabCalc[[#This Row],[NAfter]]=0,TabCalc[[#This Row],[EfCost]]&gt;0),0,TabCalc[[#This Row],[EfCost]]/TabCalc[[#This Row],[NAfter]]/TabCalc[[#This Row],[Scale]])</f>
        <v>-42.370135714285716</v>
      </c>
      <c r="M61" s="744">
        <f ca="1">[1]!RTData[[#This Row],[Change%]]</f>
        <v>1.8659999999999998E-3</v>
      </c>
      <c r="N61" s="1172">
        <v>0.5</v>
      </c>
      <c r="O61" s="966">
        <f>TabCalc[[#This Row],[Up20]]-1+TabCalc[[#This Row],[Up20]]</f>
        <v>0</v>
      </c>
      <c r="P61" s="966">
        <f>TabCalc[[#This Row],[Up20]]-TabCalc[[#This Row],[Up150]]</f>
        <v>-8.536585365853655E-2</v>
      </c>
      <c r="Q61" s="966">
        <v>0.58536585365853655</v>
      </c>
      <c r="R61" s="966">
        <f>TabCalc[[#This Row],[Up150]]-1+TabCalc[[#This Row],[Up150]]</f>
        <v>0.1707317073170731</v>
      </c>
      <c r="S61" s="966">
        <f ca="1">IFERROR(SUMPRODUCT(DataShift!F1553:Z1553,DataShift!AB760:AV760)/SQRT(SUMPRODUCT(DataShift!F1553:Z1553,DataShift!F1553:Z1553)*SUMPRODUCT(DataShift!AB760:AV760,DataShift!AB760:AV760)),0)</f>
        <v>-0.58490282661326665</v>
      </c>
      <c r="T61" s="966">
        <f ca="1">IFERROR(SUMPRODUCT(DataShift!F1553:Z1553,DataShift!F760:Z760)/SQRT(SUMPRODUCT(DataShift!F1553:Z1553,DataShift!F1553:Z1553)*SUMPRODUCT(DataShift!F760:Z760,DataShift!F760:Z760)),0)</f>
        <v>-1.2866419574107923E-2</v>
      </c>
      <c r="U61" s="1107">
        <v>10</v>
      </c>
      <c r="V61" s="1107">
        <v>6990</v>
      </c>
      <c r="W61" s="1107">
        <v>0</v>
      </c>
      <c r="X61" s="966" t="str">
        <f ca="1">IF(TabCalc[[#This Row],[EfCost]]+TabCalc[[#This Row],[M_V]]&lt;TabCalc[[#This Row],[NoT_GL]],"Pile","")</f>
        <v>Pile</v>
      </c>
      <c r="Y6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1" s="213">
        <f ca="1">MIN(TabCalc[[#This Row],[L_Bn]],TabCalc[[#This Row],[NAfter]])*(TabCalc[[#This Row],[M]]+TabCalc[[#This Row],[L_Bp]])*TabCalc[[#This Row],[Scale]]</f>
        <v>-340.00000000000341</v>
      </c>
      <c r="AA61" s="210" cm="1">
        <f t="array" aca="1" ref="AA61" ca="1">_xlfn.XLOOKUP(TabCalc[[#This Row],[L_Bp]],INDIRECT("TabReg["&amp;TabCalc[[#This Row],[Ticker]]&amp;"2]"),INDIRECT("TabReg["&amp;TabCalc[[#This Row],[Ticker]]&amp;"]"))</f>
        <v>45947</v>
      </c>
      <c r="AB61" s="181" cm="1">
        <f t="array" aca="1" ref="AB61" ca="1">_xlfn.XLOOKUP(TabCalc[[#This Row],[L_Bp]],INDIRECT("TabReg["&amp;TabCalc[[#This Row],[Ticker]]&amp;"2]"),INDIRECT("TabReg["&amp;TabCalc[[#This Row],[Ticker]]&amp;"1]"))</f>
        <v>1000</v>
      </c>
      <c r="AC61" s="192" cm="1">
        <f t="array" aca="1" ref="AC61" ca="1">IFERROR(INDEX(INDIRECT("TabReg["&amp;TabCalc[[#This Row],[Ticker]]&amp;"2]"),    _xlfn.XMATCH(    MAX(    _xlfn._xlws.FILTER(INDIRECT("TabReg["&amp;TabCalc[[#This Row],[Ticker]]&amp;"]"), INDIRECT("TabReg["&amp;TabCalc[[#This Row],[Ticker]]&amp;"2]")&lt;0)     ), INDIRECT("TabReg["&amp;TabCalc[[#This Row],[Ticker]]&amp;"]"),      0)), "")</f>
        <v>-54.02</v>
      </c>
      <c r="AD61" s="213">
        <f ca="1">IFERROR(MIN(TabCalc[[#This Row],[L_B1n]],TabCalc[[#This Row],[NAfter]])*(TabCalc[[#This Row],[M]]+TabCalc[[#This Row],[L_B1p]])*TabCalc[[#This Row],[Scale]],"")</f>
        <v>-2000</v>
      </c>
      <c r="AE61" s="210" cm="1">
        <f t="array" aca="1" ref="AE6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45939</v>
      </c>
      <c r="AF61" s="181" cm="1">
        <f t="array" aca="1" ref="AF61" ca="1">IFERROR(_xlfn.XLOOKUP(TabCalc[[#This Row],[L_B1D]],INDIRECT("TabReg["&amp;TabCalc[[#This Row],[Ticker]]&amp;"]"),INDIRECT("TabReg["&amp;TabCalc[[#This Row],[Ticker]]&amp;"1]")),0)</f>
        <v>2000</v>
      </c>
      <c r="AG61" s="192" cm="1">
        <f t="array" aca="1" ref="AG61" ca="1">IFERROR(_xlfn.XLOOKUP(TabCalc[[#This Row],[L_B1D]],INDIRECT("TabReg["&amp;TabCalc[[#This Row],[Ticker]]&amp;"]"),INDIRECT("TabReg["&amp;TabCalc[[#This Row],[Ticker]]&amp;"2]")),0)</f>
        <v>-54.68</v>
      </c>
      <c r="AH61" s="302">
        <f ca="1">IFERROR(TabCalc[[#This Row],[L_Sn]]*(TabCalc[[#This Row],[L_Sp]]-TabCalc[[#This Row],[M]])*TabCalc[[#This Row],[Scale]],"")</f>
        <v>-6210.0000000000009</v>
      </c>
      <c r="AI61" s="210" cm="1">
        <f t="array" aca="1" ref="AI61" ca="1">IFERROR(_xlfn.XLOOKUP(TabCalc[[#This Row],[L_Sp]],INDIRECT("TabReg["&amp;TabCalc[[#This Row],[Ticker]]&amp;"2]"),INDIRECT("TabReg["&amp;TabCalc[[#This Row],[Ticker]]&amp;"]")),0)</f>
        <v>45789</v>
      </c>
      <c r="AJ61" s="181" cm="1">
        <f t="array" aca="1" ref="AJ61" ca="1">IFERROR(_xlfn.XLOOKUP(TabCalc[[#This Row],[L_Sp]],INDIRECT("TabReg["&amp;TabCalc[[#This Row],[Ticker]]&amp;"2]"),INDIRECT("TabReg["&amp;TabCalc[[#This Row],[Ticker]]&amp;"1]")),0)</f>
        <v>1000</v>
      </c>
      <c r="AK61" s="192" cm="1">
        <f t="array" aca="1" ref="AK61" ca="1">IFERROR(INDEX(INDIRECT("TabReg["&amp;TabCalc[[#This Row],[Ticker]]&amp;"2]"), _xlfn.XMATCH(MAX(_xlfn._xlws.FILTER(INDIRECT("TabReg["&amp;TabCalc[[#This Row],[Ticker]]&amp;"]"), INDIRECT("TabReg["&amp;TabCalc[[#This Row],[Ticker]]&amp;"2]")&gt;0)), INDIRECT("TabReg["&amp;TabCalc[[#This Row],[Ticker]]&amp;"]"), 0)), 0)</f>
        <v>47.47</v>
      </c>
      <c r="AL61" s="214">
        <f ca="1">IFERROR(TabCalc[[#This Row],[L_S1n]]*(TabCalc[[#This Row],[L_S1p]]-TabCalc[[#This Row],[M]])*TabCalc[[#This Row],[Scale]],0)</f>
        <v>-7920.0000000000018</v>
      </c>
      <c r="AM61" s="210" cm="1">
        <f t="array" aca="1" ref="AM6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45785</v>
      </c>
      <c r="AN61" s="181" cm="1">
        <f t="array" aca="1" ref="AN61" ca="1">IFERROR(_xlfn.XLOOKUP(TabCalc[[#This Row],[L_S1D]],INDIRECT("TabReg["&amp;TabCalc[[#This Row],[Ticker]]&amp;"]"),INDIRECT("TabReg["&amp;TabCalc[[#This Row],[Ticker]]&amp;"1]")),0)</f>
        <v>1000</v>
      </c>
      <c r="AO61" s="384" cm="1">
        <f t="array" aca="1" ref="AO61" ca="1">IFERROR(_xlfn.XLOOKUP(TabCalc[[#This Row],[L_S1D]],INDIRECT("TabReg["&amp;TabCalc[[#This Row],[Ticker]]&amp;"]"),INDIRECT("TabReg["&amp;TabCalc[[#This Row],[Ticker]]&amp;"2]")),0)</f>
        <v>45.76</v>
      </c>
      <c r="AP61" s="336">
        <f ca="1">_xlfn.LET(_xlpm.MVOpen,[1]!RTData[[#This Row],[Open]]*TabCalc[[#This Row],[NAfter]],_xlpm.MVNow,TabCalc[[#This Row],[M]]*TabCalc[[#This Row],[NAfter]],_xlpm.MVNow-_xlpm.MVOpen)*TabCalc[[#This Row],[Scale]]</f>
        <v>-1820</v>
      </c>
      <c r="AQ61" s="336">
        <f ca="1">_xlfn.LET(_xlpm.MVToday,DataShift!AV561,         _xlpm.MVY,DataShift!AU561,        _xlpm.MVYY, DataShift!AT561,                                IF(_xlpm.MVToday=_xlpm.MVY,_xlpm.MVY-_xlpm.MVYY,_xlpm.MVToday-_xlpm.MVY))</f>
        <v>9000</v>
      </c>
      <c r="AR61" s="336">
        <f ca="1">_xlfn.LET(_xlpm.MVToday,DataShift!AV561,         _xlpm.MVY,DataShift!AU561,        _xlpm.MVYY, DataShift!AT561,         _xlpm.MVYYY, DataShift!AS561,                      IF(_xlpm.MVToday=_xlpm.MVY,      _xlpm.MVYY-_xlpm.MVYYY,          _xlpm.MVY-_xlpm.MVYY))</f>
        <v>16560</v>
      </c>
      <c r="AS61" s="1078">
        <f ca="1">TabCalc[[#This Row],[Y]]/TabCalc[[#This Row],[M]]</f>
        <v>1.1305886736214605</v>
      </c>
      <c r="AT61" s="299" t="str" cm="1">
        <f t="array" aca="1" ref="AT61" ca="1">IFERROR(_xlfn.IFS(          TabCalc[[#This Row],[E]]&gt;0, "Free Trade",      TabCalc[[#This Row],[A]]&lt;MIN(TabCalc[[#This Row],[L_Sp]],TabCalc[[#This Row],[M]]), "Buy",            TabCalc[[#This Row],[M]]&lt;TabCalc[[#This Row],[L_Sp]],       "Refill",       TabCalc[[#This Row],[M]]&gt;TabCalc[[#This Row],[L_Sp]],"S_more"),"")</f>
        <v>S_more</v>
      </c>
      <c r="AU61" s="299" t="str">
        <f ca="1">IF(           AND(TabCalc[[#This Row],[E]]&lt;=0,          TabCalc[[#This Row],[A]]&gt;MIN(TabCalc[[#This Row],[M]],TabCalc[[#This Row],[L_Sp]]),             TabCalc[[#This Row],[L_Sp]]&lt;=TabCalc[[#This Row],[M]]),                       "S_more","")</f>
        <v>S_more</v>
      </c>
      <c r="AV61" s="82" t="str" cm="1">
        <f t="array" aca="1" ref="AV61" ca="1">IFERROR(_xlfn.IFS(TabCalc[[#This Row],[E]]&gt;0,"Free trade",                 TabCalc[[#This Row],[A]]&lt;MAX(ABS(TabCalc[[#This Row],[L_Bp]]),TabCalc[[#This Row],[A]]),"Sell",             TabCalc[[#This Row],[M]]&gt;ABS(TabCalc[[#This Row],[L_Bp]]),"Resell",             TabCalc[[#This Row],[M]]&lt;ABS(TabCalc[[#This Row],[L_Bp]]),"B_more"),"")</f>
        <v>B_more</v>
      </c>
      <c r="AW61" s="82">
        <f ca="1">TabCalc[[#This Row],[NAfter]]-TabCalc[[#This Row],[Nbegin]]</f>
        <v>-3000</v>
      </c>
      <c r="AX61" s="307">
        <f ca="1">IFERROR((TabCalc[[#This Row],[M]]-TabCalc[[#This Row],[Y]])*(TabCalc[[#This Row],[M]]-TabCalc[[#This Row],[Y]])*(TabCalc[[#This Row],[M]]-TabCalc[[#This Row],[Y]])/(TabCalc[[#This Row],[Y]]*TabCalc[[#This Row],[M]]),"")</f>
        <v>-0.10573637305364848</v>
      </c>
      <c r="AY61" s="82">
        <f t="shared" ca="1" si="3"/>
        <v>3000</v>
      </c>
      <c r="AZ61" s="90">
        <f ca="1">[1]!RTData[[#This Row],[V/VA]]</f>
        <v>0.79786255716959531</v>
      </c>
      <c r="BA61" s="90" t="str" cm="1">
        <f t="array" aca="1" ref="BA61" ca="1">IFERROR(_xlfn.IFS(TabCalc[[#This Row],[Cur]]="USD",Timer!F$27,TabCalc[[#This Row],[Cur]]="EUR",Timer!F$18,TabCalc[[#This Row],[Cur]]="GBP",Timer!F$12,TabCalc[[#This Row],[Cur]]="CAD",Timer!F$27,TabCalc[[#This Row],[Cur]]="JPY",Timer!F$31,TabCalc[[#This Row],[Cur]]="CHF",Timer!F$18),"Timing")</f>
        <v>None-Working Day</v>
      </c>
      <c r="BB61" s="90">
        <f ca="1">IF(ISNUMBER(TabCalc[[#This Row],[TimeEX]]),TabCalc[[#This Row],[V/VA]]/TabCalc[[#This Row],[TimeEX]],TabCalc[[#This Row],[V/VA]])</f>
        <v>0.79786255716959531</v>
      </c>
      <c r="BC61" s="87" cm="1">
        <f t="array" aca="1" ref="BC61" ca="1">INDEX(TabReg[], 1, _xlfn.XMATCH(TabCalc[[#This Row],[Ticker]]&amp;1, TabReg[#Headers], 0))</f>
        <v>10000</v>
      </c>
      <c r="BD61" s="161">
        <f ca="1">TabCalc[[#This Row],[Nbegin]]*TabCalc[[#This Row],[M]]*TabCalc[[#This Row],[Scale]]+TabCalc[[#This Row],[ValueBegin]]</f>
        <v>293633</v>
      </c>
      <c r="BE61" s="336" t="str" cm="1">
        <f t="array" aca="1" ref="BE61" ca="1">_xlfn.IFS(TabCalc[[#This Row],[Cost+Gain]]&gt;0,"Free",             TabCalc[[#This Row],[GL]]&gt;0,"Gainer",                TRUE,"Looser")</f>
        <v>Gainer</v>
      </c>
      <c r="BF61" s="161">
        <f ca="1">TabCalc[[#This Row],[Tot_Paid]]-TabCalc[[#This Row],[ValueBegin]]</f>
        <v>-1319330.1575199999</v>
      </c>
      <c r="BG61" s="337">
        <f ca="1">IF(TabCalc[[#This Row],[EfCost]]&gt;TabCalc[[#This Row],[ValueBegin]],       0,        TabCalc[[#This Row],[EfCost]]-TabCalc[[#This Row],[ValueBegin]]*(1+Commission))</f>
        <v>-52791.715800000035</v>
      </c>
      <c r="BH61" s="338">
        <f ca="1">TabCalc[[#This Row],[M_V]]+TabCalc[[#This Row],[ValueBegin]]</f>
        <v>132593</v>
      </c>
      <c r="BI61" s="161" cm="1">
        <f t="array" aca="1" ref="BI61" ca="1">SUMPRODUCT(_xlfn._xlws.FILTER(INDIRECT("TabReg["&amp;TabCalc[[#This Row],[Ticker]]&amp;"1]") * INDIRECT("TabReg["&amp;TabCalc[[#This Row],[Ticker]]&amp;"2]"), INDIRECT("TabReg["&amp;TabCalc[[#This Row],[Ticker]]&amp;"2]")&lt;0))*(1+Commission)*TabCalc[[#This Row],[Scale]]</f>
        <v>-1562497.1575199999</v>
      </c>
      <c r="BJ61" s="161" cm="1">
        <f t="array" aca="1" ref="BJ61" ca="1">SUMPRODUCT(IF(INDIRECT("TabReg["&amp;TabCalc[[#This Row],[Ticker]]&amp;"2]") ="", 0, INDIRECT("TabReg["&amp;TabCalc[[#This Row],[Ticker]]&amp;"1]") * INDIRECT("TabReg["&amp;TabCalc[[#This Row],[Ticker]]&amp;"2]") ))*TabCalc[[#This Row],[Scale]]</f>
        <v>-296590.95</v>
      </c>
      <c r="BK61" s="161" cm="1">
        <f t="array" aca="1" ref="BK6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1258573.4289499999</v>
      </c>
      <c r="BL61" s="161">
        <f ca="1">TabCalc[[#This Row],[M_V]]+TabCalc[[#This Row],[EfCost]]</f>
        <v>79169.049999999988</v>
      </c>
      <c r="BM61" s="161">
        <f ca="1">IF(        OR( TabCalc[[#This Row],[GL]]&gt;ABS(TabCalc[[#This Row],[EfCost]]),TabCalc[[#This Row],[NAfter]]=0),             TabCalc[[#This Row],[GL]],     0)</f>
        <v>0</v>
      </c>
      <c r="BN61" s="161" cm="1">
        <f t="array" aca="1" ref="BN61" ca="1">SUMPRODUCT(_xlfn._xlws.FILTER(IF(INDIRECT("TabReg["&amp;TabCalc[[#This Row],[Ticker]]&amp;"2]") ="", 0, INDIRECT("TabReg["&amp;TabCalc[[#This Row],[Ticker]]&amp;"1]")  ),  INDIRECT("TabReg["&amp;TabCalc[[#This Row],[Ticker]]&amp;"2]") &lt; 0))</f>
        <v>49990</v>
      </c>
      <c r="BO61" s="161">
        <f ca="1">TabCalc[[#This Row],[SB]]-TabCalc[[#This Row],[Nbegin]]</f>
        <v>39990</v>
      </c>
      <c r="BP61" s="161" cm="1">
        <f t="array" aca="1" ref="BP61" ca="1">IFERROR(SUMPRODUCT(_xlfn._xlws.FILTER(IF(INDIRECT("TabReg["&amp;TabCalc[[#This Row],[Ticker]]&amp;"2]") ="", 0, INDIRECT("TabReg["&amp;TabCalc[[#This Row],[Ticker]]&amp;"1]")  ),  INDIRECT("TabReg["&amp;TabCalc[[#This Row],[Ticker]]&amp;"2]") &gt; 0)),0)</f>
        <v>42990</v>
      </c>
      <c r="BQ6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1" s="176" t="str">
        <f ca="1">IF(TabCalc[[#This Row],[EfCost]]+TabCalc[[#This Row],[M_V]]&lt;TabCalc[[#This Row],[NoT_GL]],"Pile","")</f>
        <v>Pile</v>
      </c>
      <c r="BS61" s="167">
        <f ca="1">[1]!RTData[[#This Row],[Last trade time]]</f>
        <v>45954.666666666664</v>
      </c>
      <c r="BT61" s="177">
        <f ca="1">(TabCalc[[#This Row],[ValueBegin]]+(TabCalc[[#This Row],[M]]-TabCalc[[#This Row],[A]])*TabCalc[[#This Row],[NAfter]])*TabCalc[[#This Row],[Scale]]</f>
        <v>-257032</v>
      </c>
      <c r="BU61" s="189" cm="1">
        <f t="array" aca="1" ref="BU61" ca="1">_xlfn.XLOOKUP(TabCalc[[#This Row],[Ticker]],TabReg[[#Headers],[AAPL]:[UnknownX28]],Reg!B$72:KF$72)+3</f>
        <v>38</v>
      </c>
      <c r="BV61" s="190" cm="1">
        <f t="array" aca="1" ref="BV61" ca="1">_xlfn.XLOOKUP(TabCalc[[#This Row],[Ticker]],TabReg[[#Headers],[AAPL]:[UnknownX28]],Reg!B$73:KF$73)+2</f>
        <v>180</v>
      </c>
      <c r="BW61" s="191">
        <f ca="1">IFERROR(MAX(TabCalc[[#This Row],[Max_SD]],TabCalc[[#This Row],[Max_PD]]),0)</f>
        <v>45947</v>
      </c>
      <c r="BX61" s="191" t="str" cm="1">
        <f t="array" aca="1" ref="BX61" ca="1">_xlfn.IFS(TabCalc[[#This Row],[L_TP]]&lt;0,"Purchase",TabCalc[[#This Row],[L_TP]]&gt;0,"Sale")</f>
        <v>Purchase</v>
      </c>
      <c r="BY61" s="190" cm="1">
        <f t="array" aca="1" ref="BY61" ca="1">INDEX(Reg!$A$1:$KF$73,TabCalc[[#This Row],[L_I1]],TabCalc[[#This Row],[L_I2]])</f>
        <v>1000</v>
      </c>
      <c r="BZ61" s="192" cm="1">
        <f t="array" aca="1" ref="BZ61" ca="1">INDEX(Reg!$A$1:$KF$73,TabCalc[[#This Row],[L_I1]],TabCalc[[#This Row],[L_I2]]+1)</f>
        <v>-54.02</v>
      </c>
      <c r="CA61" s="161">
        <f ca="1">TabCalc[[#This Row],[NAfter]]*(TabCalc[[#This Row],[M]]-IF(TabCalc[[#This Row],[E]]&gt;0,0,TabCalc[[#This Row],[A]]))</f>
        <v>-13864.999999999995</v>
      </c>
      <c r="CB61" s="167" cm="1">
        <f t="array" aca="1" ref="CB61" ca="1">IFERROR(MIN(_xlfn._xlws.FILTER(INDIRECT("TabReg["&amp;TabCalc[[#This Row],[Ticker]]&amp;"]"), INDIRECT("TabReg["&amp;TabCalc[[#This Row],[Ticker]]&amp;"2]")&gt;0)),0)</f>
        <v>45366</v>
      </c>
      <c r="CC61" s="178" cm="1">
        <f t="array" aca="1" ref="CC61" ca="1">IFERROR(MIN(_xlfn._xlws.FILTER(INDIRECT("TabReg["&amp;TabCalc[[#This Row],[Ticker]]&amp;"1]"), INDIRECT("TabReg["&amp;TabCalc[[#This Row],[Ticker]]&amp;"2]")&gt;0)),0)</f>
        <v>990</v>
      </c>
      <c r="CD61" s="173" cm="1">
        <f t="array" aca="1" ref="CD61" ca="1">IFERROR(MIN(_xlfn._xlws.FILTER(INDIRECT("TabReg["&amp;TabCalc[[#This Row],[Ticker]]&amp;"2]"), INDIRECT("TabReg["&amp;TabCalc[[#This Row],[Ticker]]&amp;"2]")&gt;0)),0)</f>
        <v>23.055</v>
      </c>
      <c r="CE61" s="167" cm="1">
        <f t="array" aca="1" ref="CE61" ca="1">IFERROR(MAX(_xlfn._xlws.FILTER(INDIRECT("TabReg["&amp;TabCalc[[#This Row],[Ticker]]&amp;"]"), INDIRECT("TabReg["&amp;TabCalc[[#This Row],[Ticker]]&amp;"2]")&gt;0)),0)</f>
        <v>45789</v>
      </c>
      <c r="CF61" s="178" cm="1">
        <f t="array" aca="1" ref="CF61" ca="1">IFERROR(MAX(_xlfn._xlws.FILTER(INDIRECT("TabReg["&amp;TabCalc[[#This Row],[Ticker]]&amp;"1]"), INDIRECT("TabReg["&amp;TabCalc[[#This Row],[Ticker]]&amp;"2]")&gt;0)),0)</f>
        <v>5000</v>
      </c>
      <c r="CG61" s="173" cm="1">
        <f t="array" aca="1" ref="CG61" ca="1">IFERROR(MAX(_xlfn._xlws.FILTER(INDIRECT("TabReg["&amp;TabCalc[[#This Row],[Ticker]]&amp;"2]"), INDIRECT("TabReg["&amp;TabCalc[[#This Row],[Ticker]]&amp;"2]")&gt;0)),0)</f>
        <v>47.47</v>
      </c>
      <c r="CH61" s="167" cm="1">
        <f t="array" aca="1" ref="CH61" ca="1">MIN(_xlfn._xlws.FILTER(INDIRECT("TabReg["&amp;TabCalc[[#This Row],[Ticker]]&amp;"]"), INDIRECT("TabReg["&amp;TabCalc[[#This Row],[Ticker]]&amp;"2]")&lt;0))</f>
        <v>40544</v>
      </c>
      <c r="CI61" s="177" cm="1">
        <f t="array" aca="1" ref="CI61" ca="1">MIN(_xlfn._xlws.FILTER(INDIRECT("TabReg["&amp;TabCalc[[#This Row],[Ticker]]&amp;"1]"), INDIRECT("TabReg["&amp;TabCalc[[#This Row],[Ticker]]&amp;"2]")&lt;0))</f>
        <v>1000</v>
      </c>
      <c r="CJ61" s="173" cm="1">
        <f t="array" aca="1" ref="CJ61" ca="1">MIN(_xlfn._xlws.FILTER(INDIRECT("TabReg["&amp;TabCalc[[#This Row],[Ticker]]&amp;"2]"), INDIRECT("TabReg["&amp;TabCalc[[#This Row],[Ticker]]&amp;"2]")&lt;0))</f>
        <v>-59.09</v>
      </c>
      <c r="CK61" s="167" cm="1">
        <f t="array" aca="1" ref="CK61" ca="1">MAX(_xlfn._xlws.FILTER(INDIRECT("TabReg["&amp;TabCalc[[#This Row],[Ticker]]&amp;"]"), INDIRECT("TabReg["&amp;TabCalc[[#This Row],[Ticker]]&amp;"2]")&lt;0))</f>
        <v>45947</v>
      </c>
      <c r="CL61" s="177" cm="1">
        <f t="array" aca="1" ref="CL61" ca="1">MAX(_xlfn._xlws.FILTER(INDIRECT("TabReg["&amp;TabCalc[[#This Row],[Ticker]]&amp;"1]"), INDIRECT("TabReg["&amp;TabCalc[[#This Row],[Ticker]]&amp;"2]")&lt;0))</f>
        <v>10000</v>
      </c>
      <c r="CM61" s="173" cm="1">
        <f t="array" aca="1" ref="CM61" ca="1">MAX(_xlfn._xlws.FILTER(INDIRECT("TabReg["&amp;TabCalc[[#This Row],[Ticker]]&amp;"2]"), INDIRECT("TabReg["&amp;TabCalc[[#This Row],[Ticker]]&amp;"2]")&lt;0))</f>
        <v>-20.664300000000001</v>
      </c>
      <c r="CN61" s="167" cm="1">
        <f t="array" aca="1" ref="CN61" ca="1">IFERROR(_xlfn.XLOOKUP(TabCalc[[#This Row],[BS2P]],INDIRECT("TabReg["&amp;TabCalc[[#This Row],[Ticker]]&amp;"2]"),INDIRECT("TabReg["&amp;TabCalc[[#This Row],[Ticker]]&amp;"]")),0)</f>
        <v>45785</v>
      </c>
      <c r="CO61" s="178" cm="1">
        <f t="array" aca="1" ref="CO61" ca="1">IFERROR(_xlfn.XLOOKUP(TabCalc[[#This Row],[BS2P]],INDIRECT("TabReg["&amp;TabCalc[[#This Row],[Ticker]]&amp;"2]"),INDIRECT("TabReg["&amp;TabCalc[[#This Row],[Ticker]]&amp;"1]")),0)</f>
        <v>1000</v>
      </c>
      <c r="CP61" s="173">
        <f ca="1">_xlfn.MAXIFS(INDIRECT("TabReg["&amp;TabCalc[[#This Row],[Ticker]]&amp;"2]"), INDIRECT("TabReg["&amp;TabCalc[[#This Row],[Ticker]]&amp;"2]"), "&lt;" &amp; MAX(INDIRECT("TabReg["&amp;TabCalc[[#This Row],[Ticker]]&amp;"2]")))</f>
        <v>45.76</v>
      </c>
      <c r="CQ61" s="167" cm="1">
        <f t="array" aca="1" ref="CQ61" ca="1">IFERROR(_xlfn.XLOOKUP(TabCalc[[#This Row],[WB2P]],INDIRECT("TabReg["&amp;TabCalc[[#This Row],[Ticker]]&amp;"2]"),INDIRECT("TabReg["&amp;TabCalc[[#This Row],[Ticker]]&amp;"]")),0)</f>
        <v>45939</v>
      </c>
      <c r="CR61" s="178" cm="1">
        <f t="array" aca="1" ref="CR61" ca="1">IFERROR(_xlfn.XLOOKUP(TabCalc[[#This Row],[WB2P]],INDIRECT("TabReg["&amp;TabCalc[[#This Row],[Ticker]]&amp;"2]"),INDIRECT("TabReg["&amp;TabCalc[[#This Row],[Ticker]]&amp;"1]")),0)</f>
        <v>2000</v>
      </c>
      <c r="CS61" s="173">
        <f ca="1">_xlfn.MINIFS(INDIRECT("TabReg["&amp;TabCalc[[#This Row],[Ticker]]&amp;"2]"), INDIRECT("TabReg["&amp;TabCalc[[#This Row],[Ticker]]&amp;"2]"), "&gt;" &amp; MIN(INDIRECT("TabReg["&amp;TabCalc[[#This Row],[Ticker]]&amp;"2]")))</f>
        <v>-54.68</v>
      </c>
      <c r="CT61" s="405">
        <f ca="1">IF(TabCalc[[#This Row],[M]]&lt;TabCalc[[#This Row],[L_Sp]],DesiredBuyGain/(TabCalc[[#This Row],[L_Sp]]-TabCalc[[#This Row],[M]]),0)</f>
        <v>0</v>
      </c>
      <c r="CU61" s="406">
        <f ca="1">IF(TabCalc[[#This Row],[ntoBuy]]*TabCalc[[#This Row],[M]]&lt;=0,0,TabCalc[[#This Row],[ntoBuy]]*TabCalc[[#This Row],[M]])</f>
        <v>0</v>
      </c>
      <c r="CV61" s="406">
        <f ca="1">IF(TabCalc[[#This Row],[M]]&gt;ABS(TabCalc[[#This Row],[L_Bp]]),MIN(TabCalc[[#This Row],[NAfter]],DesiredSaleGain/(TabCalc[[#This Row],[M]]+TabCalc[[#This Row],[L_Bp]])),0)/TabCalc[[#This Row],[Scale]]</f>
        <v>0</v>
      </c>
      <c r="CW61" s="407">
        <f ca="1">TabCalc[[#This Row],[ntoSell]]*TabCalc[[#This Row],[M]]</f>
        <v>0</v>
      </c>
      <c r="CX61" s="400">
        <f ca="1">_xlfn.LET(_xlpm.nToSell,IF(TabCalc[[#This Row],[M]]-TabCalc[[#This Row],[A]]&lt;=0,"",INT(DesiredSaleGain/(TabCalc[[#This Row],[M]]-IF(TabCalc[[#This Row],[E]]&gt;0,0,TabCalc[[#This Row],[A]])))),IF(_xlpm.nToSell&lt;=TabCalc[[#This Row],[NAfter]],_xlpm.nToSell,0))</f>
        <v>0</v>
      </c>
      <c r="CY61" s="338">
        <f ca="1">IFERROR(TabCalc[[#This Row],[NMA]]*TabCalc[[#This Row],[M]],"")</f>
        <v>0</v>
      </c>
      <c r="CZ61" s="337" cm="1">
        <f t="array" aca="1" ref="CZ61" ca="1">_xlfn.IFS(TabCalc[[#This Row],[M]]&gt;= TabCalc[[#This Row],[L_Sp]],(TabCalc[[#This Row],[M]]-TabCalc[[#This Row],[A]])*TabCalc[[#This Row],[NAfter]]*TabCalc[[#This Row],[Scale]],           TabCalc[[#This Row],[M]]&lt; TabCalc[[#This Row],[L_Sp]],(TabCalc[[#This Row],[M]]-TabCalc[[#This Row],[A]])*TabCalc[[#This Row],[NAfter]]*TabCalc[[#This Row],[Scale]],               TRUE,"")</f>
        <v>-13864.999999999995</v>
      </c>
      <c r="DA61" s="90">
        <f ca="1">IFERROR((TabCalc[[#This Row],[M]]+TabCalc[[#This Row],[L_Bp]])/ABS(TabCalc[[#This Row],[L_Bp]])/(TODAY()-TabCalc[[#This Row],[L_Bdate]])*360,"")</f>
        <v>-0.25175860792299398</v>
      </c>
      <c r="DB61" s="312">
        <f ca="1">MEDIAN(DataShift!F760:Z760)</f>
        <v>2.9889999999999999E-3</v>
      </c>
      <c r="DC61" s="312" t="e" cm="1">
        <f t="array" aca="1" ref="DC6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1" s="88" t="s">
        <v>57</v>
      </c>
      <c r="DN61" s="82">
        <v>20000</v>
      </c>
      <c r="DO61" s="317">
        <v>-11.0603</v>
      </c>
    </row>
    <row r="62" spans="1:119">
      <c r="A62" s="120" t="str">
        <f ca="1">_xlfn.XLOOKUP(TabCalc[[#This Row],[Ticker]],[1]!RTData[Ticker symbol],[1]!RTData[Currency])</f>
        <v>EUR</v>
      </c>
      <c r="B62" s="121">
        <f ca="1">IF(TabCalc[[#This Row],[Cur]]="GBP",0.01,1)</f>
        <v>1</v>
      </c>
      <c r="C62" s="82">
        <f ca="1">_xlfn.XLOOKUP(TabCalc[[#This Row],[Ticker]],DM$3:DM$96,DN$3:DN$96)</f>
        <v>7300</v>
      </c>
      <c r="D62" s="1254">
        <f ca="1">_xlfn.XLOOKUP(TabCalc[[#This Row],[Ticker]],DM$3:DM$96,DO$3:DO$96)</f>
        <v>-10.784000000000001</v>
      </c>
      <c r="E62" s="121">
        <f t="shared" ca="1" si="2"/>
        <v>-78723.200000000012</v>
      </c>
      <c r="F62" s="82">
        <f ca="1">TabCalc[[#This Row],[NAfter]]*TabCalc[[#This Row],[M]]*TabCalc[[#This Row],[Scale]]</f>
        <v>275616</v>
      </c>
      <c r="G62" s="82">
        <f ca="1">IFERROR(TabCalc[[#This Row],[SB]]-TabCalc[[#This Row],[SST]],TabCalc[[#This Row],[SB]])</f>
        <v>19800</v>
      </c>
      <c r="H62" s="535" t="str">
        <f ca="1">[1]!RTData[[#This Row],[Ticker symbol]]</f>
        <v>MVEORA</v>
      </c>
      <c r="I62" s="385">
        <f ca="1">[1]!RTData[[#This Row],[M-Price]]</f>
        <v>13.92</v>
      </c>
      <c r="J62" s="384">
        <v>12.114848484848485</v>
      </c>
      <c r="K62" s="383">
        <f>[1]!RTData[[#This Row],[1YT]]</f>
        <v>14.92</v>
      </c>
      <c r="L62" s="384">
        <f ca="1">IF(OR(TabCalc[[#This Row],[NAfter]]=0,TabCalc[[#This Row],[EfCost]]&gt;0),0,TabCalc[[#This Row],[EfCost]]/TabCalc[[#This Row],[NAfter]]/TabCalc[[#This Row],[Scale]])</f>
        <v>-9.0087348484848491</v>
      </c>
      <c r="M62" s="744">
        <f ca="1">[1]!RTData[[#This Row],[Change%]]</f>
        <v>-1.6254000000000001E-2</v>
      </c>
      <c r="N62" s="1172">
        <v>0</v>
      </c>
      <c r="O62" s="966">
        <f>TabCalc[[#This Row],[Up20]]-1+TabCalc[[#This Row],[Up20]]</f>
        <v>-1</v>
      </c>
      <c r="P62" s="966">
        <f>TabCalc[[#This Row],[Up20]]-TabCalc[[#This Row],[Up150]]</f>
        <v>0</v>
      </c>
      <c r="Q62" s="966">
        <v>0</v>
      </c>
      <c r="R62" s="966">
        <f>TabCalc[[#This Row],[Up150]]-1+TabCalc[[#This Row],[Up150]]</f>
        <v>-1</v>
      </c>
      <c r="S62" s="966">
        <f ca="1">IFERROR(SUMPRODUCT(DataShift!F1554:Z1554,DataShift!AB761:AV761)/SQRT(SUMPRODUCT(DataShift!F1554:Z1554,DataShift!F1554:Z1554)*SUMPRODUCT(DataShift!AB761:AV761,DataShift!AB761:AV761)),0)</f>
        <v>-0.86033225958079718</v>
      </c>
      <c r="T62" s="966">
        <f ca="1">IFERROR(SUMPRODUCT(DataShift!F1554:Z1554,DataShift!F761:Z761)/SQRT(SUMPRODUCT(DataShift!F1554:Z1554,DataShift!F1554:Z1554)*SUMPRODUCT(DataShift!F761:Z761,DataShift!F761:Z761)),0)</f>
        <v>4.8664009500491712E-2</v>
      </c>
      <c r="U62" s="1107">
        <v>16800</v>
      </c>
      <c r="V62" s="1107">
        <v>3000</v>
      </c>
      <c r="W62" s="1107">
        <v>0</v>
      </c>
      <c r="X62" s="966" t="str">
        <f ca="1">IF(TabCalc[[#This Row],[EfCost]]+TabCalc[[#This Row],[M_V]]&lt;TabCalc[[#This Row],[NoT_GL]],"Pile","")</f>
        <v/>
      </c>
      <c r="Y6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2" s="213">
        <f ca="1">MIN(TabCalc[[#This Row],[L_Bn]],TabCalc[[#This Row],[NAfter]])*(TabCalc[[#This Row],[M]]+TabCalc[[#This Row],[L_Bp]])*TabCalc[[#This Row],[Scale]]</f>
        <v>-1289.9999999999991</v>
      </c>
      <c r="AA62" s="210" cm="1">
        <f t="array" aca="1" ref="AA62" ca="1">_xlfn.XLOOKUP(TabCalc[[#This Row],[L_Bp]],INDIRECT("TabReg["&amp;TabCalc[[#This Row],[Ticker]]&amp;"2]"),INDIRECT("TabReg["&amp;TabCalc[[#This Row],[Ticker]]&amp;"]"))</f>
        <v>45884</v>
      </c>
      <c r="AB62" s="181" cm="1">
        <f t="array" aca="1" ref="AB62" ca="1">_xlfn.XLOOKUP(TabCalc[[#This Row],[L_Bp]],INDIRECT("TabReg["&amp;TabCalc[[#This Row],[Ticker]]&amp;"2]"),INDIRECT("TabReg["&amp;TabCalc[[#This Row],[Ticker]]&amp;"1]"))</f>
        <v>3000</v>
      </c>
      <c r="AC62" s="192" cm="1">
        <f t="array" aca="1" ref="AC62" ca="1">IFERROR(INDEX(INDIRECT("TabReg["&amp;TabCalc[[#This Row],[Ticker]]&amp;"2]"),    _xlfn.XMATCH(    MAX(    _xlfn._xlws.FILTER(INDIRECT("TabReg["&amp;TabCalc[[#This Row],[Ticker]]&amp;"]"), INDIRECT("TabReg["&amp;TabCalc[[#This Row],[Ticker]]&amp;"2]")&lt;0)     ), INDIRECT("TabReg["&amp;TabCalc[[#This Row],[Ticker]]&amp;"]"),      0)), "")</f>
        <v>-14.35</v>
      </c>
      <c r="AD62" s="213">
        <f ca="1">IFERROR(MIN(TabCalc[[#This Row],[L_B1n]],TabCalc[[#This Row],[NAfter]])*(TabCalc[[#This Row],[M]]+TabCalc[[#This Row],[L_B1p]])*TabCalc[[#This Row],[Scale]],"")</f>
        <v>4380.0000000000027</v>
      </c>
      <c r="AE62" s="210" cm="1">
        <f t="array" aca="1" ref="AE6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F62" s="181" cm="1">
        <f t="array" aca="1" ref="AF62" ca="1">IFERROR(_xlfn.XLOOKUP(TabCalc[[#This Row],[L_B1D]],INDIRECT("TabReg["&amp;TabCalc[[#This Row],[Ticker]]&amp;"]"),INDIRECT("TabReg["&amp;TabCalc[[#This Row],[Ticker]]&amp;"1]")),0)</f>
        <v>6000</v>
      </c>
      <c r="AG62" s="192" cm="1">
        <f t="array" aca="1" ref="AG62" ca="1">IFERROR(_xlfn.XLOOKUP(TabCalc[[#This Row],[L_B1D]],INDIRECT("TabReg["&amp;TabCalc[[#This Row],[Ticker]]&amp;"]"),INDIRECT("TabReg["&amp;TabCalc[[#This Row],[Ticker]]&amp;"2]")),0)</f>
        <v>-13.19</v>
      </c>
      <c r="AH62" s="302">
        <f ca="1">IFERROR(TabCalc[[#This Row],[L_Sn]]*(TabCalc[[#This Row],[L_Sp]]-TabCalc[[#This Row],[M]])*TabCalc[[#This Row],[Scale]],"")</f>
        <v>-210.00000000000085</v>
      </c>
      <c r="AI62" s="210" cm="1">
        <f t="array" aca="1" ref="AI62" ca="1">IFERROR(_xlfn.XLOOKUP(TabCalc[[#This Row],[L_Sp]],INDIRECT("TabReg["&amp;TabCalc[[#This Row],[Ticker]]&amp;"2]"),INDIRECT("TabReg["&amp;TabCalc[[#This Row],[Ticker]]&amp;"]")),0)</f>
        <v>45919</v>
      </c>
      <c r="AJ62" s="181" cm="1">
        <f t="array" aca="1" ref="AJ62" ca="1">IFERROR(_xlfn.XLOOKUP(TabCalc[[#This Row],[L_Sp]],INDIRECT("TabReg["&amp;TabCalc[[#This Row],[Ticker]]&amp;"2]"),INDIRECT("TabReg["&amp;TabCalc[[#This Row],[Ticker]]&amp;"1]")),0)</f>
        <v>1200</v>
      </c>
      <c r="AK62" s="192" cm="1">
        <f t="array" aca="1" ref="AK62" ca="1">IFERROR(INDEX(INDIRECT("TabReg["&amp;TabCalc[[#This Row],[Ticker]]&amp;"2]"), _xlfn.XMATCH(MAX(_xlfn._xlws.FILTER(INDIRECT("TabReg["&amp;TabCalc[[#This Row],[Ticker]]&amp;"]"), INDIRECT("TabReg["&amp;TabCalc[[#This Row],[Ticker]]&amp;"2]")&gt;0)), INDIRECT("TabReg["&amp;TabCalc[[#This Row],[Ticker]]&amp;"]"), 0)), 0)</f>
        <v>13.744999999999999</v>
      </c>
      <c r="AL62" s="214">
        <f ca="1">IFERROR(TabCalc[[#This Row],[L_S1n]]*(TabCalc[[#This Row],[L_S1p]]-TabCalc[[#This Row],[M]])*TabCalc[[#This Row],[Scale]],0)</f>
        <v>19.999999999999574</v>
      </c>
      <c r="AM62" s="210" cm="1">
        <f t="array" aca="1" ref="AM6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45877</v>
      </c>
      <c r="AN62" s="181" cm="1">
        <f t="array" aca="1" ref="AN62" ca="1">IFERROR(_xlfn.XLOOKUP(TabCalc[[#This Row],[L_S1D]],INDIRECT("TabReg["&amp;TabCalc[[#This Row],[Ticker]]&amp;"]"),INDIRECT("TabReg["&amp;TabCalc[[#This Row],[Ticker]]&amp;"1]")),0)</f>
        <v>2000</v>
      </c>
      <c r="AO62" s="384" cm="1">
        <f t="array" aca="1" ref="AO62" ca="1">IFERROR(_xlfn.XLOOKUP(TabCalc[[#This Row],[L_S1D]],INDIRECT("TabReg["&amp;TabCalc[[#This Row],[Ticker]]&amp;"]"),INDIRECT("TabReg["&amp;TabCalc[[#This Row],[Ticker]]&amp;"2]")),0)</f>
        <v>13.93</v>
      </c>
      <c r="AP62" s="336">
        <f ca="1">_xlfn.LET(_xlpm.MVOpen,[1]!RTData[[#This Row],[Open]]*TabCalc[[#This Row],[NAfter]],_xlpm.MVNow,TabCalc[[#This Row],[M]]*TabCalc[[#This Row],[NAfter]],_xlpm.MVNow-_xlpm.MVOpen)*TabCalc[[#This Row],[Scale]]</f>
        <v>-4158</v>
      </c>
      <c r="AQ62" s="336">
        <f ca="1">_xlfn.LET(_xlpm.MVToday,DataShift!AV562,         _xlpm.MVY,DataShift!AU562,        _xlpm.MVYY, DataShift!AT562,                                IF(_xlpm.MVToday=_xlpm.MVY,_xlpm.MVY-_xlpm.MVYY,_xlpm.MVToday-_xlpm.MVY))</f>
        <v>0</v>
      </c>
      <c r="AR62" s="336">
        <f ca="1">_xlfn.LET(_xlpm.MVToday,DataShift!AV562,         _xlpm.MVY,DataShift!AU562,        _xlpm.MVYY, DataShift!AT562,         _xlpm.MVYYY, DataShift!AS562,                      IF(_xlpm.MVToday=_xlpm.MVY,      _xlpm.MVYY-_xlpm.MVYYY,          _xlpm.MVY-_xlpm.MVYY))</f>
        <v>0</v>
      </c>
      <c r="AS62" s="1078">
        <f ca="1">TabCalc[[#This Row],[Y]]/TabCalc[[#This Row],[M]]</f>
        <v>1.0718390804597702</v>
      </c>
      <c r="AT62" s="299" t="str" cm="1">
        <f t="array" aca="1" ref="AT62" ca="1">IFERROR(_xlfn.IFS(          TabCalc[[#This Row],[E]]&gt;0, "Free Trade",      TabCalc[[#This Row],[A]]&lt;MIN(TabCalc[[#This Row],[L_Sp]],TabCalc[[#This Row],[M]]), "Buy",            TabCalc[[#This Row],[M]]&lt;TabCalc[[#This Row],[L_Sp]],       "Refill",       TabCalc[[#This Row],[M]]&gt;TabCalc[[#This Row],[L_Sp]],"S_more"),"")</f>
        <v>Buy</v>
      </c>
      <c r="AU62" s="299" t="str">
        <f ca="1">IF(           AND(TabCalc[[#This Row],[E]]&lt;=0,          TabCalc[[#This Row],[A]]&gt;MIN(TabCalc[[#This Row],[M]],TabCalc[[#This Row],[L_Sp]]),             TabCalc[[#This Row],[L_Sp]]&lt;=TabCalc[[#This Row],[M]]),                       "S_more","")</f>
        <v/>
      </c>
      <c r="AV62" s="82" t="str" cm="1">
        <f t="array" aca="1" ref="AV62" ca="1">IFERROR(_xlfn.IFS(TabCalc[[#This Row],[E]]&gt;0,"Free trade",                 TabCalc[[#This Row],[A]]&lt;MAX(ABS(TabCalc[[#This Row],[L_Bp]]),TabCalc[[#This Row],[A]]),"Sell",             TabCalc[[#This Row],[M]]&gt;ABS(TabCalc[[#This Row],[L_Bp]]),"Resell",             TabCalc[[#This Row],[M]]&lt;ABS(TabCalc[[#This Row],[L_Bp]]),"B_more"),"")</f>
        <v>Sell</v>
      </c>
      <c r="AW62" s="82">
        <f ca="1">TabCalc[[#This Row],[NAfter]]-TabCalc[[#This Row],[Nbegin]]</f>
        <v>12500</v>
      </c>
      <c r="AX62" s="307">
        <f ca="1">IFERROR((TabCalc[[#This Row],[M]]-TabCalc[[#This Row],[Y]])*(TabCalc[[#This Row],[M]]-TabCalc[[#This Row],[Y]])*(TabCalc[[#This Row],[M]]-TabCalc[[#This Row],[Y]])/(TabCalc[[#This Row],[Y]]*TabCalc[[#This Row],[M]]),"")</f>
        <v>-4.8149517734430375E-3</v>
      </c>
      <c r="AY62" s="82">
        <f t="shared" ca="1" si="3"/>
        <v>0</v>
      </c>
      <c r="AZ62" s="90">
        <f ca="1">[1]!RTData[[#This Row],[V/VA]]</f>
        <v>0.95426628132187385</v>
      </c>
      <c r="BA62" s="90" t="str" cm="1">
        <f t="array" aca="1" ref="BA62" ca="1">IFERROR(_xlfn.IFS(TabCalc[[#This Row],[Cur]]="USD",Timer!F$27,TabCalc[[#This Row],[Cur]]="EUR",Timer!F$18,TabCalc[[#This Row],[Cur]]="GBP",Timer!F$12,TabCalc[[#This Row],[Cur]]="CAD",Timer!F$27,TabCalc[[#This Row],[Cur]]="JPY",Timer!F$31,TabCalc[[#This Row],[Cur]]="CHF",Timer!F$18),"Timing")</f>
        <v>None-Working Day</v>
      </c>
      <c r="BB62" s="90">
        <f ca="1">IF(ISNUMBER(TabCalc[[#This Row],[TimeEX]]),TabCalc[[#This Row],[V/VA]]/TabCalc[[#This Row],[TimeEX]],TabCalc[[#This Row],[V/VA]])</f>
        <v>0.95426628132187385</v>
      </c>
      <c r="BC62" s="87" cm="1">
        <f t="array" aca="1" ref="BC62" ca="1">INDEX(TabReg[], 1, _xlfn.XMATCH(TabCalc[[#This Row],[Ticker]]&amp;1, TabReg[#Headers], 0))</f>
        <v>7300</v>
      </c>
      <c r="BD62" s="161">
        <f ca="1">TabCalc[[#This Row],[Nbegin]]*TabCalc[[#This Row],[M]]*TabCalc[[#This Row],[Scale]]+TabCalc[[#This Row],[ValueBegin]]</f>
        <v>22892.799999999988</v>
      </c>
      <c r="BE62" s="336" t="str" cm="1">
        <f t="array" aca="1" ref="BE62" ca="1">_xlfn.IFS(TabCalc[[#This Row],[Cost+Gain]]&gt;0,"Free",             TabCalc[[#This Row],[GL]]&gt;0,"Gainer",                TRUE,"Looser")</f>
        <v>Gainer</v>
      </c>
      <c r="BF62" s="161">
        <f ca="1">TabCalc[[#This Row],[Tot_Paid]]-TabCalc[[#This Row],[ValueBegin]]</f>
        <v>-617402.08213</v>
      </c>
      <c r="BG62" s="337">
        <f ca="1">IF(TabCalc[[#This Row],[EfCost]]&gt;TabCalc[[#This Row],[ValueBegin]],       0,        TabCalc[[#This Row],[EfCost]]-TabCalc[[#This Row],[ValueBegin]]*(1+Commission))</f>
        <v>-99445.069680000001</v>
      </c>
      <c r="BH62" s="338">
        <f ca="1">TabCalc[[#This Row],[M_V]]+TabCalc[[#This Row],[ValueBegin]]</f>
        <v>196892.79999999999</v>
      </c>
      <c r="BI62" s="161" cm="1">
        <f t="array" aca="1" ref="BI62" ca="1">SUMPRODUCT(_xlfn._xlws.FILTER(INDIRECT("TabReg["&amp;TabCalc[[#This Row],[Ticker]]&amp;"1]") * INDIRECT("TabReg["&amp;TabCalc[[#This Row],[Ticker]]&amp;"2]"), INDIRECT("TabReg["&amp;TabCalc[[#This Row],[Ticker]]&amp;"2]")&lt;0))*(1+Commission)*TabCalc[[#This Row],[Scale]]</f>
        <v>-696125.28212999995</v>
      </c>
      <c r="BJ62" s="161" cm="1">
        <f t="array" aca="1" ref="BJ62" ca="1">SUMPRODUCT(IF(INDIRECT("TabReg["&amp;TabCalc[[#This Row],[Ticker]]&amp;"2]") ="", 0, INDIRECT("TabReg["&amp;TabCalc[[#This Row],[Ticker]]&amp;"1]") * INDIRECT("TabReg["&amp;TabCalc[[#This Row],[Ticker]]&amp;"2]") ))*TabCalc[[#This Row],[Scale]]</f>
        <v>-178372.95</v>
      </c>
      <c r="BK62" s="161" cm="1">
        <f t="array" aca="1" ref="BK6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514605.63753999997</v>
      </c>
      <c r="BL62" s="161">
        <f ca="1">TabCalc[[#This Row],[M_V]]+TabCalc[[#This Row],[EfCost]]</f>
        <v>97243.049999999988</v>
      </c>
      <c r="BM62" s="161">
        <f ca="1">IF(        OR( TabCalc[[#This Row],[GL]]&gt;ABS(TabCalc[[#This Row],[EfCost]]),TabCalc[[#This Row],[NAfter]]=0),             TabCalc[[#This Row],[GL]],     0)</f>
        <v>0</v>
      </c>
      <c r="BN62" s="161" cm="1">
        <f t="array" aca="1" ref="BN62" ca="1">SUMPRODUCT(_xlfn._xlws.FILTER(IF(INDIRECT("TabReg["&amp;TabCalc[[#This Row],[Ticker]]&amp;"2]") ="", 0, INDIRECT("TabReg["&amp;TabCalc[[#This Row],[Ticker]]&amp;"1]")  ),  INDIRECT("TabReg["&amp;TabCalc[[#This Row],[Ticker]]&amp;"2]") &lt; 0))</f>
        <v>63600</v>
      </c>
      <c r="BO62" s="161">
        <f ca="1">TabCalc[[#This Row],[SB]]-TabCalc[[#This Row],[Nbegin]]</f>
        <v>56300</v>
      </c>
      <c r="BP62" s="161" cm="1">
        <f t="array" aca="1" ref="BP62" ca="1">IFERROR(SUMPRODUCT(_xlfn._xlws.FILTER(IF(INDIRECT("TabReg["&amp;TabCalc[[#This Row],[Ticker]]&amp;"2]") ="", 0, INDIRECT("TabReg["&amp;TabCalc[[#This Row],[Ticker]]&amp;"1]")  ),  INDIRECT("TabReg["&amp;TabCalc[[#This Row],[Ticker]]&amp;"2]") &gt; 0)),0)</f>
        <v>43800</v>
      </c>
      <c r="BQ6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2" s="176" t="str">
        <f ca="1">IF(TabCalc[[#This Row],[EfCost]]+TabCalc[[#This Row],[M_V]]&lt;TabCalc[[#This Row],[NoT_GL]],"Pile","")</f>
        <v/>
      </c>
      <c r="BS62" s="167">
        <f ca="1">[1]!RTData[[#This Row],[Last trade time]]</f>
        <v>45954.666666666664</v>
      </c>
      <c r="BT62" s="177">
        <f ca="1">(TabCalc[[#This Row],[ValueBegin]]+(TabCalc[[#This Row],[M]]-TabCalc[[#This Row],[A]])*TabCalc[[#This Row],[NAfter]])*TabCalc[[#This Row],[Scale]]</f>
        <v>-42981.200000000019</v>
      </c>
      <c r="BU62" s="189" cm="1">
        <f t="array" aca="1" ref="BU62" ca="1">_xlfn.XLOOKUP(TabCalc[[#This Row],[Ticker]],TabReg[[#Headers],[AAPL]:[UnknownX28]],Reg!B$72:KF$72)+3</f>
        <v>27</v>
      </c>
      <c r="BV62" s="190" cm="1">
        <f t="array" aca="1" ref="BV62" ca="1">_xlfn.XLOOKUP(TabCalc[[#This Row],[Ticker]],TabReg[[#Headers],[AAPL]:[UnknownX28]],Reg!B$73:KF$73)+2</f>
        <v>183</v>
      </c>
      <c r="BW62" s="191">
        <f ca="1">IFERROR(MAX(TabCalc[[#This Row],[Max_SD]],TabCalc[[#This Row],[Max_PD]]),0)</f>
        <v>45919</v>
      </c>
      <c r="BX62" s="191" t="str" cm="1">
        <f t="array" aca="1" ref="BX62" ca="1">_xlfn.IFS(TabCalc[[#This Row],[L_TP]]&lt;0,"Purchase",TabCalc[[#This Row],[L_TP]]&gt;0,"Sale")</f>
        <v>Sale</v>
      </c>
      <c r="BY62" s="190" cm="1">
        <f t="array" aca="1" ref="BY62" ca="1">INDEX(Reg!$A$1:$KF$73,TabCalc[[#This Row],[L_I1]],TabCalc[[#This Row],[L_I2]])</f>
        <v>1200</v>
      </c>
      <c r="BZ62" s="192" cm="1">
        <f t="array" aca="1" ref="BZ62" ca="1">INDEX(Reg!$A$1:$KF$73,TabCalc[[#This Row],[L_I1]],TabCalc[[#This Row],[L_I2]]+1)</f>
        <v>13.744999999999999</v>
      </c>
      <c r="CA62" s="161">
        <f ca="1">TabCalc[[#This Row],[NAfter]]*(TabCalc[[#This Row],[M]]-IF(TabCalc[[#This Row],[E]]&gt;0,0,TabCalc[[#This Row],[A]]))</f>
        <v>35741.999999999993</v>
      </c>
      <c r="CB62" s="167" cm="1">
        <f t="array" aca="1" ref="CB62" ca="1">IFERROR(MIN(_xlfn._xlws.FILTER(INDIRECT("TabReg["&amp;TabCalc[[#This Row],[Ticker]]&amp;"]"), INDIRECT("TabReg["&amp;TabCalc[[#This Row],[Ticker]]&amp;"2]")&gt;0)),0)</f>
        <v>45349</v>
      </c>
      <c r="CC62" s="178" cm="1">
        <f t="array" aca="1" ref="CC62" ca="1">IFERROR(MIN(_xlfn._xlws.FILTER(INDIRECT("TabReg["&amp;TabCalc[[#This Row],[Ticker]]&amp;"1]"), INDIRECT("TabReg["&amp;TabCalc[[#This Row],[Ticker]]&amp;"2]")&gt;0)),0)</f>
        <v>500</v>
      </c>
      <c r="CD62" s="173" cm="1">
        <f t="array" aca="1" ref="CD62" ca="1">IFERROR(MIN(_xlfn._xlws.FILTER(INDIRECT("TabReg["&amp;TabCalc[[#This Row],[Ticker]]&amp;"2]"), INDIRECT("TabReg["&amp;TabCalc[[#This Row],[Ticker]]&amp;"2]")&gt;0)),0)</f>
        <v>9.7119999999999997</v>
      </c>
      <c r="CE62" s="167" cm="1">
        <f t="array" aca="1" ref="CE62" ca="1">IFERROR(MAX(_xlfn._xlws.FILTER(INDIRECT("TabReg["&amp;TabCalc[[#This Row],[Ticker]]&amp;"]"), INDIRECT("TabReg["&amp;TabCalc[[#This Row],[Ticker]]&amp;"2]")&gt;0)),0)</f>
        <v>45919</v>
      </c>
      <c r="CF62" s="178" cm="1">
        <f t="array" aca="1" ref="CF62" ca="1">IFERROR(MAX(_xlfn._xlws.FILTER(INDIRECT("TabReg["&amp;TabCalc[[#This Row],[Ticker]]&amp;"1]"), INDIRECT("TabReg["&amp;TabCalc[[#This Row],[Ticker]]&amp;"2]")&gt;0)),0)</f>
        <v>7300</v>
      </c>
      <c r="CG62" s="173" cm="1">
        <f t="array" aca="1" ref="CG62" ca="1">IFERROR(MAX(_xlfn._xlws.FILTER(INDIRECT("TabReg["&amp;TabCalc[[#This Row],[Ticker]]&amp;"2]"), INDIRECT("TabReg["&amp;TabCalc[[#This Row],[Ticker]]&amp;"2]")&gt;0)),0)</f>
        <v>13.93</v>
      </c>
      <c r="CH62" s="167" cm="1">
        <f t="array" aca="1" ref="CH62" ca="1">MIN(_xlfn._xlws.FILTER(INDIRECT("TabReg["&amp;TabCalc[[#This Row],[Ticker]]&amp;"]"), INDIRECT("TabReg["&amp;TabCalc[[#This Row],[Ticker]]&amp;"2]")&lt;0))</f>
        <v>40544</v>
      </c>
      <c r="CI62" s="177" cm="1">
        <f t="array" aca="1" ref="CI62" ca="1">MIN(_xlfn._xlws.FILTER(INDIRECT("TabReg["&amp;TabCalc[[#This Row],[Ticker]]&amp;"1]"), INDIRECT("TabReg["&amp;TabCalc[[#This Row],[Ticker]]&amp;"2]")&lt;0))</f>
        <v>2300</v>
      </c>
      <c r="CJ62" s="173" cm="1">
        <f t="array" aca="1" ref="CJ62" ca="1">MIN(_xlfn._xlws.FILTER(INDIRECT("TabReg["&amp;TabCalc[[#This Row],[Ticker]]&amp;"2]"), INDIRECT("TabReg["&amp;TabCalc[[#This Row],[Ticker]]&amp;"2]")&lt;0))</f>
        <v>-14.35</v>
      </c>
      <c r="CK62" s="167" cm="1">
        <f t="array" aca="1" ref="CK62" ca="1">MAX(_xlfn._xlws.FILTER(INDIRECT("TabReg["&amp;TabCalc[[#This Row],[Ticker]]&amp;"]"), INDIRECT("TabReg["&amp;TabCalc[[#This Row],[Ticker]]&amp;"2]")&lt;0))</f>
        <v>45884</v>
      </c>
      <c r="CL62" s="177" cm="1">
        <f t="array" aca="1" ref="CL62" ca="1">MAX(_xlfn._xlws.FILTER(INDIRECT("TabReg["&amp;TabCalc[[#This Row],[Ticker]]&amp;"1]"), INDIRECT("TabReg["&amp;TabCalc[[#This Row],[Ticker]]&amp;"2]")&lt;0))</f>
        <v>7700</v>
      </c>
      <c r="CM62" s="173" cm="1">
        <f t="array" aca="1" ref="CM62" ca="1">MAX(_xlfn._xlws.FILTER(INDIRECT("TabReg["&amp;TabCalc[[#This Row],[Ticker]]&amp;"2]"), INDIRECT("TabReg["&amp;TabCalc[[#This Row],[Ticker]]&amp;"2]")&lt;0))</f>
        <v>-9.5829000000000004</v>
      </c>
      <c r="CN62" s="167" cm="1">
        <f t="array" aca="1" ref="CN62" ca="1">IFERROR(_xlfn.XLOOKUP(TabCalc[[#This Row],[BS2P]],INDIRECT("TabReg["&amp;TabCalc[[#This Row],[Ticker]]&amp;"2]"),INDIRECT("TabReg["&amp;TabCalc[[#This Row],[Ticker]]&amp;"]")),0)</f>
        <v>45919</v>
      </c>
      <c r="CO62" s="178" cm="1">
        <f t="array" aca="1" ref="CO62" ca="1">IFERROR(_xlfn.XLOOKUP(TabCalc[[#This Row],[BS2P]],INDIRECT("TabReg["&amp;TabCalc[[#This Row],[Ticker]]&amp;"2]"),INDIRECT("TabReg["&amp;TabCalc[[#This Row],[Ticker]]&amp;"1]")),0)</f>
        <v>1200</v>
      </c>
      <c r="CP62" s="173">
        <f ca="1">_xlfn.MAXIFS(INDIRECT("TabReg["&amp;TabCalc[[#This Row],[Ticker]]&amp;"2]"), INDIRECT("TabReg["&amp;TabCalc[[#This Row],[Ticker]]&amp;"2]"), "&lt;" &amp; MAX(INDIRECT("TabReg["&amp;TabCalc[[#This Row],[Ticker]]&amp;"2]")))</f>
        <v>13.744999999999999</v>
      </c>
      <c r="CQ62" s="167" cm="1">
        <f t="array" aca="1" ref="CQ62" ca="1">IFERROR(_xlfn.XLOOKUP(TabCalc[[#This Row],[WB2P]],INDIRECT("TabReg["&amp;TabCalc[[#This Row],[Ticker]]&amp;"2]"),INDIRECT("TabReg["&amp;TabCalc[[#This Row],[Ticker]]&amp;"]")),0)</f>
        <v>45807</v>
      </c>
      <c r="CR62" s="178" cm="1">
        <f t="array" aca="1" ref="CR62" ca="1">IFERROR(_xlfn.XLOOKUP(TabCalc[[#This Row],[WB2P]],INDIRECT("TabReg["&amp;TabCalc[[#This Row],[Ticker]]&amp;"2]"),INDIRECT("TabReg["&amp;TabCalc[[#This Row],[Ticker]]&amp;"1]")),0)</f>
        <v>6000</v>
      </c>
      <c r="CS62" s="173">
        <f ca="1">_xlfn.MINIFS(INDIRECT("TabReg["&amp;TabCalc[[#This Row],[Ticker]]&amp;"2]"), INDIRECT("TabReg["&amp;TabCalc[[#This Row],[Ticker]]&amp;"2]"), "&gt;" &amp; MIN(INDIRECT("TabReg["&amp;TabCalc[[#This Row],[Ticker]]&amp;"2]")))</f>
        <v>-13.19</v>
      </c>
      <c r="CT62" s="405">
        <f ca="1">IF(TabCalc[[#This Row],[M]]&lt;TabCalc[[#This Row],[L_Sp]],DesiredBuyGain/(TabCalc[[#This Row],[L_Sp]]-TabCalc[[#This Row],[M]]),0)</f>
        <v>0</v>
      </c>
      <c r="CU62" s="406">
        <f ca="1">IF(TabCalc[[#This Row],[ntoBuy]]*TabCalc[[#This Row],[M]]&lt;=0,0,TabCalc[[#This Row],[ntoBuy]]*TabCalc[[#This Row],[M]])</f>
        <v>0</v>
      </c>
      <c r="CV62" s="406">
        <f ca="1">IF(TabCalc[[#This Row],[M]]&gt;ABS(TabCalc[[#This Row],[L_Bp]]),MIN(TabCalc[[#This Row],[NAfter]],DesiredSaleGain/(TabCalc[[#This Row],[M]]+TabCalc[[#This Row],[L_Bp]])),0)/TabCalc[[#This Row],[Scale]]</f>
        <v>0</v>
      </c>
      <c r="CW62" s="407">
        <f ca="1">TabCalc[[#This Row],[ntoSell]]*TabCalc[[#This Row],[M]]</f>
        <v>0</v>
      </c>
      <c r="CX62" s="400">
        <f ca="1">_xlfn.LET(_xlpm.nToSell,IF(TabCalc[[#This Row],[M]]-TabCalc[[#This Row],[A]]&lt;=0,"",INT(DesiredSaleGain/(TabCalc[[#This Row],[M]]-IF(TabCalc[[#This Row],[E]]&gt;0,0,TabCalc[[#This Row],[A]])))),IF(_xlpm.nToSell&lt;=TabCalc[[#This Row],[NAfter]],_xlpm.nToSell,0))</f>
        <v>2769</v>
      </c>
      <c r="CY62" s="338">
        <f ca="1">IFERROR(TabCalc[[#This Row],[NMA]]*TabCalc[[#This Row],[M]],"")</f>
        <v>38544.480000000003</v>
      </c>
      <c r="CZ62" s="337" cm="1">
        <f t="array" aca="1" ref="CZ62" ca="1">_xlfn.IFS(TabCalc[[#This Row],[M]]&gt;= TabCalc[[#This Row],[L_Sp]],(TabCalc[[#This Row],[M]]-TabCalc[[#This Row],[A]])*TabCalc[[#This Row],[NAfter]]*TabCalc[[#This Row],[Scale]],           TabCalc[[#This Row],[M]]&lt; TabCalc[[#This Row],[L_Sp]],(TabCalc[[#This Row],[M]]-TabCalc[[#This Row],[A]])*TabCalc[[#This Row],[NAfter]]*TabCalc[[#This Row],[Scale]],               TRUE,"")</f>
        <v>35741.999999999993</v>
      </c>
      <c r="DA62" s="90">
        <f ca="1">IFERROR((TabCalc[[#This Row],[M]]+TabCalc[[#This Row],[L_Bp]])/ABS(TabCalc[[#This Row],[L_Bp]])/(TODAY()-TabCalc[[#This Row],[L_Bdate]])*360,"")</f>
        <v>-0.14982578397212534</v>
      </c>
      <c r="DB62" s="312">
        <f ca="1">MEDIAN(DataShift!F761:Z761)</f>
        <v>0</v>
      </c>
      <c r="DC62" s="312" t="e" cm="1">
        <f t="array" aca="1" ref="DC6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2" s="88" t="s">
        <v>58</v>
      </c>
      <c r="DN62" s="82">
        <v>10000</v>
      </c>
      <c r="DO62" s="317">
        <v>-15.592599999999999</v>
      </c>
    </row>
    <row r="63" spans="1:119">
      <c r="A63" s="120" t="str">
        <f ca="1">_xlfn.XLOOKUP(TabCalc[[#This Row],[Ticker]],[1]!RTData[Ticker symbol],[1]!RTData[Currency])</f>
        <v>EUR</v>
      </c>
      <c r="B63" s="121">
        <f ca="1">IF(TabCalc[[#This Row],[Cur]]="GBP",0.01,1)</f>
        <v>1</v>
      </c>
      <c r="C63" s="82">
        <f ca="1">_xlfn.XLOOKUP(TabCalc[[#This Row],[Ticker]],DM$3:DM$96,DN$3:DN$96)</f>
        <v>10000</v>
      </c>
      <c r="D63" s="1254">
        <f ca="1">_xlfn.XLOOKUP(TabCalc[[#This Row],[Ticker]],DM$3:DM$96,DO$3:DO$96)</f>
        <v>-35.880000000000003</v>
      </c>
      <c r="E63" s="121">
        <f t="shared" ca="1" si="2"/>
        <v>-358800</v>
      </c>
      <c r="F63" s="82">
        <f ca="1">TabCalc[[#This Row],[NAfter]]*TabCalc[[#This Row],[M]]*TabCalc[[#This Row],[Scale]]</f>
        <v>40.57</v>
      </c>
      <c r="G63" s="82">
        <f ca="1">IFERROR(TabCalc[[#This Row],[SB]]-TabCalc[[#This Row],[SST]],TabCalc[[#This Row],[SB]])</f>
        <v>1</v>
      </c>
      <c r="H63" s="535" t="str">
        <f ca="1">[1]!RTData[[#This Row],[Ticker symbol]]</f>
        <v>MVERWE</v>
      </c>
      <c r="I63" s="385">
        <f ca="1">[1]!RTData[[#This Row],[M-Price]]</f>
        <v>40.57</v>
      </c>
      <c r="J63" s="384">
        <v>33.094999999999999</v>
      </c>
      <c r="K63" s="383">
        <f>[1]!RTData[[#This Row],[1YT]]</f>
        <v>43.982349999999997</v>
      </c>
      <c r="L63" s="384">
        <f ca="1">IF(OR(TabCalc[[#This Row],[NAfter]]=0,TabCalc[[#This Row],[EfCost]]&gt;0),0,TabCalc[[#This Row],[EfCost]]/TabCalc[[#This Row],[NAfter]]/TabCalc[[#This Row],[Scale]])</f>
        <v>0</v>
      </c>
      <c r="M63" s="744">
        <f ca="1">[1]!RTData[[#This Row],[Change%]]</f>
        <v>3.215E-3</v>
      </c>
      <c r="N63" s="1172">
        <v>0</v>
      </c>
      <c r="O63" s="966">
        <f>TabCalc[[#This Row],[Up20]]-1+TabCalc[[#This Row],[Up20]]</f>
        <v>-1</v>
      </c>
      <c r="P63" s="966">
        <f>TabCalc[[#This Row],[Up20]]-TabCalc[[#This Row],[Up150]]</f>
        <v>0</v>
      </c>
      <c r="Q63" s="966">
        <v>0</v>
      </c>
      <c r="R63" s="966">
        <f>TabCalc[[#This Row],[Up150]]-1+TabCalc[[#This Row],[Up150]]</f>
        <v>-1</v>
      </c>
      <c r="S63" s="966">
        <f ca="1">IFERROR(SUMPRODUCT(DataShift!F1555:Z1555,DataShift!AB762:AV762)/SQRT(SUMPRODUCT(DataShift!F1555:Z1555,DataShift!F1555:Z1555)*SUMPRODUCT(DataShift!AB762:AV762,DataShift!AB762:AV762)),0)</f>
        <v>-0.68581936424969014</v>
      </c>
      <c r="T63" s="966">
        <f ca="1">IFERROR(SUMPRODUCT(DataShift!F1555:Z1555,DataShift!F762:Z762)/SQRT(SUMPRODUCT(DataShift!F1555:Z1555,DataShift!F1555:Z1555)*SUMPRODUCT(DataShift!F762:Z762,DataShift!F762:Z762)),0)</f>
        <v>8.5060786637806293E-2</v>
      </c>
      <c r="U63" s="1107">
        <v>1</v>
      </c>
      <c r="V63" s="1107">
        <v>0</v>
      </c>
      <c r="W63" s="1107">
        <v>0</v>
      </c>
      <c r="X63" s="966" t="str">
        <f ca="1">IF(TabCalc[[#This Row],[EfCost]]+TabCalc[[#This Row],[M_V]]&lt;TabCalc[[#This Row],[NoT_GL]],"Pile","")</f>
        <v>Pile</v>
      </c>
      <c r="Y6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3" s="213">
        <f ca="1">MIN(TabCalc[[#This Row],[L_Bn]],TabCalc[[#This Row],[NAfter]])*(TabCalc[[#This Row],[M]]+TabCalc[[#This Row],[L_Bp]])*TabCalc[[#This Row],[Scale]]</f>
        <v>7.4750000000000014</v>
      </c>
      <c r="AA63" s="210" cm="1">
        <f t="array" aca="1" ref="AA63" ca="1">_xlfn.XLOOKUP(TabCalc[[#This Row],[L_Bp]],INDIRECT("TabReg["&amp;TabCalc[[#This Row],[Ticker]]&amp;"2]"),INDIRECT("TabReg["&amp;TabCalc[[#This Row],[Ticker]]&amp;"]"))</f>
        <v>45779</v>
      </c>
      <c r="AB63" s="181" cm="1">
        <f t="array" aca="1" ref="AB63" ca="1">_xlfn.XLOOKUP(TabCalc[[#This Row],[L_Bp]],INDIRECT("TabReg["&amp;TabCalc[[#This Row],[Ticker]]&amp;"2]"),INDIRECT("TabReg["&amp;TabCalc[[#This Row],[Ticker]]&amp;"1]"))</f>
        <v>3000</v>
      </c>
      <c r="AC63" s="192" cm="1">
        <f t="array" aca="1" ref="AC63" ca="1">IFERROR(INDEX(INDIRECT("TabReg["&amp;TabCalc[[#This Row],[Ticker]]&amp;"2]"),    _xlfn.XMATCH(    MAX(    _xlfn._xlws.FILTER(INDIRECT("TabReg["&amp;TabCalc[[#This Row],[Ticker]]&amp;"]"), INDIRECT("TabReg["&amp;TabCalc[[#This Row],[Ticker]]&amp;"2]")&lt;0)     ), INDIRECT("TabReg["&amp;TabCalc[[#This Row],[Ticker]]&amp;"]"),      0)), "")</f>
        <v>-33.094999999999999</v>
      </c>
      <c r="AD63" s="213">
        <f ca="1">IFERROR(MIN(TabCalc[[#This Row],[L_B1n]],TabCalc[[#This Row],[NAfter]])*(TabCalc[[#This Row],[M]]+TabCalc[[#This Row],[L_B1p]])*TabCalc[[#This Row],[Scale]],"")</f>
        <v>12.36</v>
      </c>
      <c r="AE63" s="210" cm="1">
        <f t="array" aca="1" ref="AE6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45646</v>
      </c>
      <c r="AF63" s="181" cm="1">
        <f t="array" aca="1" ref="AF63" ca="1">IFERROR(_xlfn.XLOOKUP(TabCalc[[#This Row],[L_B1D]],INDIRECT("TabReg["&amp;TabCalc[[#This Row],[Ticker]]&amp;"]"),INDIRECT("TabReg["&amp;TabCalc[[#This Row],[Ticker]]&amp;"1]")),0)</f>
        <v>4000</v>
      </c>
      <c r="AG63" s="192" cm="1">
        <f t="array" aca="1" ref="AG63" ca="1">IFERROR(_xlfn.XLOOKUP(TabCalc[[#This Row],[L_B1D]],INDIRECT("TabReg["&amp;TabCalc[[#This Row],[Ticker]]&amp;"]"),INDIRECT("TabReg["&amp;TabCalc[[#This Row],[Ticker]]&amp;"2]")),0)</f>
        <v>-28.21</v>
      </c>
      <c r="AH63" s="302">
        <f ca="1">IFERROR(TabCalc[[#This Row],[L_Sn]]*(TabCalc[[#This Row],[L_Sp]]-TabCalc[[#This Row],[M]])*TabCalc[[#This Row],[Scale]],"")</f>
        <v>-28832.790000000005</v>
      </c>
      <c r="AI63" s="210" cm="1">
        <f t="array" aca="1" ref="AI63" ca="1">IFERROR(_xlfn.XLOOKUP(TabCalc[[#This Row],[L_Sp]],INDIRECT("TabReg["&amp;TabCalc[[#This Row],[Ticker]]&amp;"2]"),INDIRECT("TabReg["&amp;TabCalc[[#This Row],[Ticker]]&amp;"]")),0)</f>
        <v>45811</v>
      </c>
      <c r="AJ63" s="181" cm="1">
        <f t="array" aca="1" ref="AJ63" ca="1">IFERROR(_xlfn.XLOOKUP(TabCalc[[#This Row],[L_Sp]],INDIRECT("TabReg["&amp;TabCalc[[#This Row],[Ticker]]&amp;"2]"),INDIRECT("TabReg["&amp;TabCalc[[#This Row],[Ticker]]&amp;"1]")),0)</f>
        <v>3999</v>
      </c>
      <c r="AK63" s="192" cm="1">
        <f t="array" aca="1" ref="AK63" ca="1">IFERROR(INDEX(INDIRECT("TabReg["&amp;TabCalc[[#This Row],[Ticker]]&amp;"2]"), _xlfn.XMATCH(MAX(_xlfn._xlws.FILTER(INDIRECT("TabReg["&amp;TabCalc[[#This Row],[Ticker]]&amp;"]"), INDIRECT("TabReg["&amp;TabCalc[[#This Row],[Ticker]]&amp;"2]")&gt;0)), INDIRECT("TabReg["&amp;TabCalc[[#This Row],[Ticker]]&amp;"]"), 0)), 0)</f>
        <v>33.36</v>
      </c>
      <c r="AL63" s="214">
        <f ca="1">IFERROR(TabCalc[[#This Row],[L_S1n]]*(TabCalc[[#This Row],[L_S1p]]-TabCalc[[#This Row],[M]])*TabCalc[[#This Row],[Scale]],0)</f>
        <v>-45120.000000000007</v>
      </c>
      <c r="AM63" s="210" cm="1">
        <f t="array" aca="1" ref="AM6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45686</v>
      </c>
      <c r="AN63" s="181" cm="1">
        <f t="array" aca="1" ref="AN63" ca="1">IFERROR(_xlfn.XLOOKUP(TabCalc[[#This Row],[L_S1D]],INDIRECT("TabReg["&amp;TabCalc[[#This Row],[Ticker]]&amp;"]"),INDIRECT("TabReg["&amp;TabCalc[[#This Row],[Ticker]]&amp;"1]")),0)</f>
        <v>4000</v>
      </c>
      <c r="AO63" s="384" cm="1">
        <f t="array" aca="1" ref="AO63" ca="1">IFERROR(_xlfn.XLOOKUP(TabCalc[[#This Row],[L_S1D]],INDIRECT("TabReg["&amp;TabCalc[[#This Row],[Ticker]]&amp;"]"),INDIRECT("TabReg["&amp;TabCalc[[#This Row],[Ticker]]&amp;"2]")),0)</f>
        <v>29.29</v>
      </c>
      <c r="AP63" s="336">
        <f ca="1">_xlfn.LET(_xlpm.MVOpen,[1]!RTData[[#This Row],[Open]]*TabCalc[[#This Row],[NAfter]],_xlpm.MVNow,TabCalc[[#This Row],[M]]*TabCalc[[#This Row],[NAfter]],_xlpm.MVNow-_xlpm.MVOpen)*TabCalc[[#This Row],[Scale]]</f>
        <v>0.24000000000000199</v>
      </c>
      <c r="AQ63" s="336">
        <f ca="1">_xlfn.LET(_xlpm.MVToday,DataShift!AV563,         _xlpm.MVY,DataShift!AU563,        _xlpm.MVYY, DataShift!AT563,                                IF(_xlpm.MVToday=_xlpm.MVY,_xlpm.MVY-_xlpm.MVYY,_xlpm.MVToday-_xlpm.MVY))</f>
        <v>700</v>
      </c>
      <c r="AR63" s="336">
        <f ca="1">_xlfn.LET(_xlpm.MVToday,DataShift!AV563,         _xlpm.MVY,DataShift!AU563,        _xlpm.MVYY, DataShift!AT563,         _xlpm.MVYYY, DataShift!AS563,                      IF(_xlpm.MVToday=_xlpm.MVY,      _xlpm.MVYY-_xlpm.MVYYY,          _xlpm.MVY-_xlpm.MVYY))</f>
        <v>4900</v>
      </c>
      <c r="AS63" s="1078">
        <f ca="1">TabCalc[[#This Row],[Y]]/TabCalc[[#This Row],[M]]</f>
        <v>1.0841101799359132</v>
      </c>
      <c r="AT63" s="299" t="str" cm="1">
        <f t="array" aca="1" ref="AT63" ca="1">IFERROR(_xlfn.IFS(          TabCalc[[#This Row],[E]]&gt;0, "Free Trade",      TabCalc[[#This Row],[A]]&lt;MIN(TabCalc[[#This Row],[L_Sp]],TabCalc[[#This Row],[M]]), "Buy",            TabCalc[[#This Row],[M]]&lt;TabCalc[[#This Row],[L_Sp]],       "Refill",       TabCalc[[#This Row],[M]]&gt;TabCalc[[#This Row],[L_Sp]],"S_more"),"")</f>
        <v>Buy</v>
      </c>
      <c r="AU63" s="299" t="str">
        <f ca="1">IF(           AND(TabCalc[[#This Row],[E]]&lt;=0,          TabCalc[[#This Row],[A]]&gt;MIN(TabCalc[[#This Row],[M]],TabCalc[[#This Row],[L_Sp]]),             TabCalc[[#This Row],[L_Sp]]&lt;=TabCalc[[#This Row],[M]]),                       "S_more","")</f>
        <v/>
      </c>
      <c r="AV63" s="82" t="str" cm="1">
        <f t="array" aca="1" ref="AV63" ca="1">IFERROR(_xlfn.IFS(TabCalc[[#This Row],[E]]&gt;0,"Free trade",                 TabCalc[[#This Row],[A]]&lt;MAX(ABS(TabCalc[[#This Row],[L_Bp]]),TabCalc[[#This Row],[A]]),"Sell",             TabCalc[[#This Row],[M]]&gt;ABS(TabCalc[[#This Row],[L_Bp]]),"Resell",             TabCalc[[#This Row],[M]]&lt;ABS(TabCalc[[#This Row],[L_Bp]]),"B_more"),"")</f>
        <v>Resell</v>
      </c>
      <c r="AW63" s="82">
        <f ca="1">TabCalc[[#This Row],[NAfter]]-TabCalc[[#This Row],[Nbegin]]</f>
        <v>-9999</v>
      </c>
      <c r="AX63" s="307">
        <f ca="1">IFERROR((TabCalc[[#This Row],[M]]-TabCalc[[#This Row],[Y]])*(TabCalc[[#This Row],[M]]-TabCalc[[#This Row],[Y]])*(TabCalc[[#This Row],[M]]-TabCalc[[#This Row],[Y]])/(TabCalc[[#This Row],[Y]]*TabCalc[[#This Row],[M]]),"")</f>
        <v>-2.2267797915870604E-2</v>
      </c>
      <c r="AY63" s="82">
        <f t="shared" ca="1" si="3"/>
        <v>9999</v>
      </c>
      <c r="AZ63" s="90">
        <f ca="1">[1]!RTData[[#This Row],[V/VA]]</f>
        <v>0.73562425007112731</v>
      </c>
      <c r="BA63" s="90" t="str" cm="1">
        <f t="array" aca="1" ref="BA63" ca="1">IFERROR(_xlfn.IFS(TabCalc[[#This Row],[Cur]]="USD",Timer!F$27,TabCalc[[#This Row],[Cur]]="EUR",Timer!F$18,TabCalc[[#This Row],[Cur]]="GBP",Timer!F$12,TabCalc[[#This Row],[Cur]]="CAD",Timer!F$27,TabCalc[[#This Row],[Cur]]="JPY",Timer!F$31,TabCalc[[#This Row],[Cur]]="CHF",Timer!F$18),"Timing")</f>
        <v>None-Working Day</v>
      </c>
      <c r="BB63" s="90">
        <f ca="1">IF(ISNUMBER(TabCalc[[#This Row],[TimeEX]]),TabCalc[[#This Row],[V/VA]]/TabCalc[[#This Row],[TimeEX]],TabCalc[[#This Row],[V/VA]])</f>
        <v>0.73562425007112731</v>
      </c>
      <c r="BC63" s="87" cm="1">
        <f t="array" aca="1" ref="BC63" ca="1">INDEX(TabReg[], 1, _xlfn.XMATCH(TabCalc[[#This Row],[Ticker]]&amp;1, TabReg[#Headers], 0))</f>
        <v>10000</v>
      </c>
      <c r="BD63" s="161">
        <f ca="1">TabCalc[[#This Row],[Nbegin]]*TabCalc[[#This Row],[M]]*TabCalc[[#This Row],[Scale]]+TabCalc[[#This Row],[ValueBegin]]</f>
        <v>46900</v>
      </c>
      <c r="BE63" s="336" t="str" cm="1">
        <f t="array" aca="1" ref="BE63" ca="1">_xlfn.IFS(TabCalc[[#This Row],[Cost+Gain]]&gt;0,"Free",             TabCalc[[#This Row],[GL]]&gt;0,"Gainer",                TRUE,"Looser")</f>
        <v>Free</v>
      </c>
      <c r="BF63" s="161">
        <f ca="1">TabCalc[[#This Row],[Tot_Paid]]-TabCalc[[#This Row],[ValueBegin]]</f>
        <v>-1559010.8774999999</v>
      </c>
      <c r="BG63" s="337">
        <f ca="1">IF(TabCalc[[#This Row],[EfCost]]&gt;TabCalc[[#This Row],[ValueBegin]],       0,        TabCalc[[#This Row],[EfCost]]-TabCalc[[#This Row],[ValueBegin]]*(1+Commission))</f>
        <v>0</v>
      </c>
      <c r="BH63" s="338">
        <f ca="1">TabCalc[[#This Row],[M_V]]+TabCalc[[#This Row],[ValueBegin]]</f>
        <v>-358759.43</v>
      </c>
      <c r="BI63" s="161" cm="1">
        <f t="array" aca="1" ref="BI63" ca="1">SUMPRODUCT(_xlfn._xlws.FILTER(INDIRECT("TabReg["&amp;TabCalc[[#This Row],[Ticker]]&amp;"1]") * INDIRECT("TabReg["&amp;TabCalc[[#This Row],[Ticker]]&amp;"2]"), INDIRECT("TabReg["&amp;TabCalc[[#This Row],[Ticker]]&amp;"2]")&lt;0))*(1+Commission)*TabCalc[[#This Row],[Scale]]</f>
        <v>-1917810.8774999999</v>
      </c>
      <c r="BJ63" s="161" cm="1">
        <f t="array" aca="1" ref="BJ63" ca="1">SUMPRODUCT(IF(INDIRECT("TabReg["&amp;TabCalc[[#This Row],[Ticker]]&amp;"2]") ="", 0, INDIRECT("TabReg["&amp;TabCalc[[#This Row],[Ticker]]&amp;"1]") * INDIRECT("TabReg["&amp;TabCalc[[#This Row],[Ticker]]&amp;"2]") ))*TabCalc[[#This Row],[Scale]]</f>
        <v>37515.139999999985</v>
      </c>
      <c r="BK63" s="161" cm="1">
        <f t="array" aca="1" ref="BK6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1945281.7231359999</v>
      </c>
      <c r="BL63" s="161">
        <f ca="1">TabCalc[[#This Row],[M_V]]+TabCalc[[#This Row],[EfCost]]</f>
        <v>37555.709999999985</v>
      </c>
      <c r="BM63" s="161">
        <f ca="1">IF(        OR( TabCalc[[#This Row],[GL]]&gt;ABS(TabCalc[[#This Row],[EfCost]]),TabCalc[[#This Row],[NAfter]]=0),             TabCalc[[#This Row],[GL]],     0)</f>
        <v>37555.709999999985</v>
      </c>
      <c r="BN63" s="161" cm="1">
        <f t="array" aca="1" ref="BN63" ca="1">SUMPRODUCT(_xlfn._xlws.FILTER(IF(INDIRECT("TabReg["&amp;TabCalc[[#This Row],[Ticker]]&amp;"2]") ="", 0, INDIRECT("TabReg["&amp;TabCalc[[#This Row],[Ticker]]&amp;"1]")  ),  INDIRECT("TabReg["&amp;TabCalc[[#This Row],[Ticker]]&amp;"2]") &lt; 0))</f>
        <v>56000</v>
      </c>
      <c r="BO63" s="161">
        <f ca="1">TabCalc[[#This Row],[SB]]-TabCalc[[#This Row],[Nbegin]]</f>
        <v>46000</v>
      </c>
      <c r="BP63" s="161" cm="1">
        <f t="array" aca="1" ref="BP63" ca="1">IFERROR(SUMPRODUCT(_xlfn._xlws.FILTER(IF(INDIRECT("TabReg["&amp;TabCalc[[#This Row],[Ticker]]&amp;"2]") ="", 0, INDIRECT("TabReg["&amp;TabCalc[[#This Row],[Ticker]]&amp;"1]")  ),  INDIRECT("TabReg["&amp;TabCalc[[#This Row],[Ticker]]&amp;"2]") &gt; 0)),0)</f>
        <v>55999</v>
      </c>
      <c r="BQ6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3" s="176" t="str">
        <f ca="1">IF(TabCalc[[#This Row],[EfCost]]+TabCalc[[#This Row],[M_V]]&lt;TabCalc[[#This Row],[NoT_GL]],"Pile","")</f>
        <v>Pile</v>
      </c>
      <c r="BS63" s="167">
        <f ca="1">[1]!RTData[[#This Row],[Last trade time]]</f>
        <v>45954.770833333336</v>
      </c>
      <c r="BT63" s="177">
        <f ca="1">(TabCalc[[#This Row],[ValueBegin]]+(TabCalc[[#This Row],[M]]-TabCalc[[#This Row],[A]])*TabCalc[[#This Row],[NAfter]])*TabCalc[[#This Row],[Scale]]</f>
        <v>-358792.52500000002</v>
      </c>
      <c r="BU63" s="189" cm="1">
        <f t="array" aca="1" ref="BU63" ca="1">_xlfn.XLOOKUP(TabCalc[[#This Row],[Ticker]],TabReg[[#Headers],[AAPL]:[UnknownX28]],Reg!B$72:KF$72)+3</f>
        <v>20</v>
      </c>
      <c r="BV63" s="190" cm="1">
        <f t="array" aca="1" ref="BV63" ca="1">_xlfn.XLOOKUP(TabCalc[[#This Row],[Ticker]],TabReg[[#Headers],[AAPL]:[UnknownX28]],Reg!B$73:KF$73)+2</f>
        <v>186</v>
      </c>
      <c r="BW63" s="191">
        <f ca="1">IFERROR(MAX(TabCalc[[#This Row],[Max_SD]],TabCalc[[#This Row],[Max_PD]]),0)</f>
        <v>45811</v>
      </c>
      <c r="BX63" s="191" t="str" cm="1">
        <f t="array" aca="1" ref="BX63" ca="1">_xlfn.IFS(TabCalc[[#This Row],[L_TP]]&lt;0,"Purchase",TabCalc[[#This Row],[L_TP]]&gt;0,"Sale")</f>
        <v>Sale</v>
      </c>
      <c r="BY63" s="190" cm="1">
        <f t="array" aca="1" ref="BY63" ca="1">INDEX(Reg!$A$1:$KF$73,TabCalc[[#This Row],[L_I1]],TabCalc[[#This Row],[L_I2]])</f>
        <v>3999</v>
      </c>
      <c r="BZ63" s="192" cm="1">
        <f t="array" aca="1" ref="BZ63" ca="1">INDEX(Reg!$A$1:$KF$73,TabCalc[[#This Row],[L_I1]],TabCalc[[#This Row],[L_I2]]+1)</f>
        <v>33.36</v>
      </c>
      <c r="CA63" s="161">
        <f ca="1">TabCalc[[#This Row],[NAfter]]*(TabCalc[[#This Row],[M]]-IF(TabCalc[[#This Row],[E]]&gt;0,0,TabCalc[[#This Row],[A]]))</f>
        <v>7.4750000000000014</v>
      </c>
      <c r="CB63" s="167" cm="1">
        <f t="array" aca="1" ref="CB63" ca="1">IFERROR(MIN(_xlfn._xlws.FILTER(INDIRECT("TabReg["&amp;TabCalc[[#This Row],[Ticker]]&amp;"]"), INDIRECT("TabReg["&amp;TabCalc[[#This Row],[Ticker]]&amp;"2]")&gt;0)),0)</f>
        <v>45230</v>
      </c>
      <c r="CC63" s="178" cm="1">
        <f t="array" aca="1" ref="CC63" ca="1">IFERROR(MIN(_xlfn._xlws.FILTER(INDIRECT("TabReg["&amp;TabCalc[[#This Row],[Ticker]]&amp;"1]"), INDIRECT("TabReg["&amp;TabCalc[[#This Row],[Ticker]]&amp;"2]")&gt;0)),0)</f>
        <v>3999</v>
      </c>
      <c r="CD63" s="173" cm="1">
        <f t="array" aca="1" ref="CD63" ca="1">IFERROR(MIN(_xlfn._xlws.FILTER(INDIRECT("TabReg["&amp;TabCalc[[#This Row],[Ticker]]&amp;"2]"), INDIRECT("TabReg["&amp;TabCalc[[#This Row],[Ticker]]&amp;"2]")&gt;0)),0)</f>
        <v>29.29</v>
      </c>
      <c r="CE63" s="167" cm="1">
        <f t="array" aca="1" ref="CE63" ca="1">IFERROR(MAX(_xlfn._xlws.FILTER(INDIRECT("TabReg["&amp;TabCalc[[#This Row],[Ticker]]&amp;"]"), INDIRECT("TabReg["&amp;TabCalc[[#This Row],[Ticker]]&amp;"2]")&gt;0)),0)</f>
        <v>45811</v>
      </c>
      <c r="CF63" s="178" cm="1">
        <f t="array" aca="1" ref="CF63" ca="1">IFERROR(MAX(_xlfn._xlws.FILTER(INDIRECT("TabReg["&amp;TabCalc[[#This Row],[Ticker]]&amp;"1]"), INDIRECT("TabReg["&amp;TabCalc[[#This Row],[Ticker]]&amp;"2]")&gt;0)),0)</f>
        <v>10000</v>
      </c>
      <c r="CG63" s="173" cm="1">
        <f t="array" aca="1" ref="CG63" ca="1">IFERROR(MAX(_xlfn._xlws.FILTER(INDIRECT("TabReg["&amp;TabCalc[[#This Row],[Ticker]]&amp;"2]"), INDIRECT("TabReg["&amp;TabCalc[[#This Row],[Ticker]]&amp;"2]")&gt;0)),0)</f>
        <v>37.65</v>
      </c>
      <c r="CH63" s="167" cm="1">
        <f t="array" aca="1" ref="CH63" ca="1">MIN(_xlfn._xlws.FILTER(INDIRECT("TabReg["&amp;TabCalc[[#This Row],[Ticker]]&amp;"]"), INDIRECT("TabReg["&amp;TabCalc[[#This Row],[Ticker]]&amp;"2]")&lt;0))</f>
        <v>40544</v>
      </c>
      <c r="CI63" s="177" cm="1">
        <f t="array" aca="1" ref="CI63" ca="1">MIN(_xlfn._xlws.FILTER(INDIRECT("TabReg["&amp;TabCalc[[#This Row],[Ticker]]&amp;"1]"), INDIRECT("TabReg["&amp;TabCalc[[#This Row],[Ticker]]&amp;"2]")&lt;0))</f>
        <v>3000</v>
      </c>
      <c r="CJ63" s="173" cm="1">
        <f t="array" aca="1" ref="CJ63" ca="1">MIN(_xlfn._xlws.FILTER(INDIRECT("TabReg["&amp;TabCalc[[#This Row],[Ticker]]&amp;"2]"), INDIRECT("TabReg["&amp;TabCalc[[#This Row],[Ticker]]&amp;"2]")&lt;0))</f>
        <v>-36.9176</v>
      </c>
      <c r="CK63" s="167" cm="1">
        <f t="array" aca="1" ref="CK63" ca="1">MAX(_xlfn._xlws.FILTER(INDIRECT("TabReg["&amp;TabCalc[[#This Row],[Ticker]]&amp;"]"), INDIRECT("TabReg["&amp;TabCalc[[#This Row],[Ticker]]&amp;"2]")&lt;0))</f>
        <v>45779</v>
      </c>
      <c r="CL63" s="177" cm="1">
        <f t="array" aca="1" ref="CL63" ca="1">MAX(_xlfn._xlws.FILTER(INDIRECT("TabReg["&amp;TabCalc[[#This Row],[Ticker]]&amp;"1]"), INDIRECT("TabReg["&amp;TabCalc[[#This Row],[Ticker]]&amp;"2]")&lt;0))</f>
        <v>10000</v>
      </c>
      <c r="CM63" s="173" cm="1">
        <f t="array" aca="1" ref="CM63" ca="1">MAX(_xlfn._xlws.FILTER(INDIRECT("TabReg["&amp;TabCalc[[#This Row],[Ticker]]&amp;"2]"), INDIRECT("TabReg["&amp;TabCalc[[#This Row],[Ticker]]&amp;"2]")&lt;0))</f>
        <v>-28.21</v>
      </c>
      <c r="CN63" s="167" cm="1">
        <f t="array" aca="1" ref="CN63" ca="1">IFERROR(_xlfn.XLOOKUP(TabCalc[[#This Row],[BS2P]],INDIRECT("TabReg["&amp;TabCalc[[#This Row],[Ticker]]&amp;"2]"),INDIRECT("TabReg["&amp;TabCalc[[#This Row],[Ticker]]&amp;"]")),0)</f>
        <v>45230</v>
      </c>
      <c r="CO63" s="178" cm="1">
        <f t="array" aca="1" ref="CO63" ca="1">IFERROR(_xlfn.XLOOKUP(TabCalc[[#This Row],[BS2P]],INDIRECT("TabReg["&amp;TabCalc[[#This Row],[Ticker]]&amp;"2]"),INDIRECT("TabReg["&amp;TabCalc[[#This Row],[Ticker]]&amp;"1]")),0)</f>
        <v>10000</v>
      </c>
      <c r="CP63" s="173">
        <f ca="1">_xlfn.MAXIFS(INDIRECT("TabReg["&amp;TabCalc[[#This Row],[Ticker]]&amp;"2]"), INDIRECT("TabReg["&amp;TabCalc[[#This Row],[Ticker]]&amp;"2]"), "&lt;" &amp; MAX(INDIRECT("TabReg["&amp;TabCalc[[#This Row],[Ticker]]&amp;"2]")))</f>
        <v>36.92</v>
      </c>
      <c r="CQ63" s="167" cm="1">
        <f t="array" aca="1" ref="CQ63" ca="1">IFERROR(_xlfn.XLOOKUP(TabCalc[[#This Row],[WB2P]],INDIRECT("TabReg["&amp;TabCalc[[#This Row],[Ticker]]&amp;"2]"),INDIRECT("TabReg["&amp;TabCalc[[#This Row],[Ticker]]&amp;"]")),0)</f>
        <v>40544</v>
      </c>
      <c r="CR63" s="178" cm="1">
        <f t="array" aca="1" ref="CR63" ca="1">IFERROR(_xlfn.XLOOKUP(TabCalc[[#This Row],[WB2P]],INDIRECT("TabReg["&amp;TabCalc[[#This Row],[Ticker]]&amp;"2]"),INDIRECT("TabReg["&amp;TabCalc[[#This Row],[Ticker]]&amp;"1]")),0)</f>
        <v>10000</v>
      </c>
      <c r="CS63" s="173">
        <f ca="1">_xlfn.MINIFS(INDIRECT("TabReg["&amp;TabCalc[[#This Row],[Ticker]]&amp;"2]"), INDIRECT("TabReg["&amp;TabCalc[[#This Row],[Ticker]]&amp;"2]"), "&gt;" &amp; MIN(INDIRECT("TabReg["&amp;TabCalc[[#This Row],[Ticker]]&amp;"2]")))</f>
        <v>-35.880000000000003</v>
      </c>
      <c r="CT63" s="405">
        <f ca="1">IF(TabCalc[[#This Row],[M]]&lt;TabCalc[[#This Row],[L_Sp]],DesiredBuyGain/(TabCalc[[#This Row],[L_Sp]]-TabCalc[[#This Row],[M]]),0)</f>
        <v>0</v>
      </c>
      <c r="CU63" s="406">
        <f ca="1">IF(TabCalc[[#This Row],[ntoBuy]]*TabCalc[[#This Row],[M]]&lt;=0,0,TabCalc[[#This Row],[ntoBuy]]*TabCalc[[#This Row],[M]])</f>
        <v>0</v>
      </c>
      <c r="CV63" s="406">
        <f ca="1">IF(TabCalc[[#This Row],[M]]&gt;ABS(TabCalc[[#This Row],[L_Bp]]),MIN(TabCalc[[#This Row],[NAfter]],DesiredSaleGain/(TabCalc[[#This Row],[M]]+TabCalc[[#This Row],[L_Bp]])),0)/TabCalc[[#This Row],[Scale]]</f>
        <v>1</v>
      </c>
      <c r="CW63" s="407">
        <f ca="1">TabCalc[[#This Row],[ntoSell]]*TabCalc[[#This Row],[M]]</f>
        <v>40.57</v>
      </c>
      <c r="CX63" s="400">
        <f ca="1">_xlfn.LET(_xlpm.nToSell,IF(TabCalc[[#This Row],[M]]-TabCalc[[#This Row],[A]]&lt;=0,"",INT(DesiredSaleGain/(TabCalc[[#This Row],[M]]-IF(TabCalc[[#This Row],[E]]&gt;0,0,TabCalc[[#This Row],[A]])))),IF(_xlpm.nToSell&lt;=TabCalc[[#This Row],[NAfter]],_xlpm.nToSell,0))</f>
        <v>0</v>
      </c>
      <c r="CY63" s="338">
        <f ca="1">IFERROR(TabCalc[[#This Row],[NMA]]*TabCalc[[#This Row],[M]],"")</f>
        <v>0</v>
      </c>
      <c r="CZ63" s="337" cm="1">
        <f t="array" aca="1" ref="CZ63" ca="1">_xlfn.IFS(TabCalc[[#This Row],[M]]&gt;= TabCalc[[#This Row],[L_Sp]],(TabCalc[[#This Row],[M]]-TabCalc[[#This Row],[A]])*TabCalc[[#This Row],[NAfter]]*TabCalc[[#This Row],[Scale]],           TabCalc[[#This Row],[M]]&lt; TabCalc[[#This Row],[L_Sp]],(TabCalc[[#This Row],[M]]-TabCalc[[#This Row],[A]])*TabCalc[[#This Row],[NAfter]]*TabCalc[[#This Row],[Scale]],               TRUE,"")</f>
        <v>7.4750000000000014</v>
      </c>
      <c r="DA63" s="90">
        <f ca="1">IFERROR((TabCalc[[#This Row],[M]]+TabCalc[[#This Row],[L_Bp]])/ABS(TabCalc[[#This Row],[L_Bp]])/(TODAY()-TabCalc[[#This Row],[L_Bdate]])*360,"")</f>
        <v>0.45938630701037853</v>
      </c>
      <c r="DB63" s="312">
        <f ca="1">MEDIAN(DataShift!F762:Z762)</f>
        <v>-1.103E-3</v>
      </c>
      <c r="DC63" s="312" t="str" cm="1">
        <f t="array" aca="1" ref="DC6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63" s="88" t="s">
        <v>59</v>
      </c>
      <c r="DN63" s="82">
        <v>10000</v>
      </c>
      <c r="DO63" s="317">
        <v>-35.880000000000003</v>
      </c>
    </row>
    <row r="64" spans="1:119">
      <c r="A64" s="120" t="str">
        <f ca="1">_xlfn.XLOOKUP(TabCalc[[#This Row],[Ticker]],[1]!RTData[Ticker symbol],[1]!RTData[Currency])</f>
        <v>EUR</v>
      </c>
      <c r="B64" s="121">
        <f ca="1">IF(TabCalc[[#This Row],[Cur]]="GBP",0.01,1)</f>
        <v>1</v>
      </c>
      <c r="C64" s="82">
        <f ca="1">_xlfn.XLOOKUP(TabCalc[[#This Row],[Ticker]],DM$3:DM$96,DN$3:DN$96)</f>
        <v>1000</v>
      </c>
      <c r="D64" s="1254">
        <f ca="1">_xlfn.XLOOKUP(TabCalc[[#This Row],[Ticker]],DM$3:DM$96,DO$3:DO$96)</f>
        <v>-144.56</v>
      </c>
      <c r="E64" s="121">
        <f t="shared" ca="1" si="2"/>
        <v>-144560</v>
      </c>
      <c r="F64" s="82">
        <f ca="1">TabCalc[[#This Row],[NAfter]]*TabCalc[[#This Row],[M]]*TabCalc[[#This Row],[Scale]]</f>
        <v>93573.349999999991</v>
      </c>
      <c r="G64" s="82">
        <f ca="1">IFERROR(TabCalc[[#This Row],[SB]]-TabCalc[[#This Row],[SST]],TabCalc[[#This Row],[SB]])</f>
        <v>401</v>
      </c>
      <c r="H64" s="535" t="str">
        <f ca="1">[1]!RTData[[#This Row],[Ticker symbol]]</f>
        <v>MVESAP</v>
      </c>
      <c r="I64" s="385">
        <f ca="1">[1]!RTData[[#This Row],[M-Price]]</f>
        <v>233.35</v>
      </c>
      <c r="J64" s="384">
        <v>255.26902743142145</v>
      </c>
      <c r="K64" s="383">
        <f>[1]!RTData[[#This Row],[1YT]]</f>
        <v>287.60270000000003</v>
      </c>
      <c r="L64" s="384">
        <f ca="1">IF(OR(TabCalc[[#This Row],[NAfter]]=0,TabCalc[[#This Row],[EfCost]]&gt;0),0,TabCalc[[#This Row],[EfCost]]/TabCalc[[#This Row],[NAfter]]/TabCalc[[#This Row],[Scale]])</f>
        <v>-90.291428927680997</v>
      </c>
      <c r="M64" s="744">
        <f ca="1">[1]!RTData[[#This Row],[Change%]]</f>
        <v>-3.5743999999999998E-2</v>
      </c>
      <c r="N64" s="1172">
        <v>0.22222222222222221</v>
      </c>
      <c r="O64" s="966">
        <f>TabCalc[[#This Row],[Up20]]-1+TabCalc[[#This Row],[Up20]]</f>
        <v>-0.55555555555555558</v>
      </c>
      <c r="P64" s="966">
        <f>TabCalc[[#This Row],[Up20]]-TabCalc[[#This Row],[Up150]]</f>
        <v>-0.29129129129129128</v>
      </c>
      <c r="Q64" s="966">
        <v>0.51351351351351349</v>
      </c>
      <c r="R64" s="966">
        <f>TabCalc[[#This Row],[Up150]]-1+TabCalc[[#This Row],[Up150]]</f>
        <v>2.7027027027026973E-2</v>
      </c>
      <c r="S64" s="966">
        <f ca="1">IFERROR(SUMPRODUCT(DataShift!F1556:Z1556,DataShift!AB763:AV763)/SQRT(SUMPRODUCT(DataShift!F1556:Z1556,DataShift!F1556:Z1556)*SUMPRODUCT(DataShift!AB763:AV763,DataShift!AB763:AV763)),0)</f>
        <v>0.1619113597168072</v>
      </c>
      <c r="T64" s="966">
        <f ca="1">IFERROR(SUMPRODUCT(DataShift!F1556:Z1556,DataShift!F763:Z763)/SQRT(SUMPRODUCT(DataShift!F1556:Z1556,DataShift!F1556:Z1556)*SUMPRODUCT(DataShift!F763:Z763,DataShift!F763:Z763)),0)</f>
        <v>0.22129372800170169</v>
      </c>
      <c r="U64" s="1107">
        <v>0</v>
      </c>
      <c r="V64" s="1107">
        <v>401</v>
      </c>
      <c r="W64" s="1107">
        <v>0</v>
      </c>
      <c r="X64" s="966" t="str">
        <f ca="1">IF(TabCalc[[#This Row],[EfCost]]+TabCalc[[#This Row],[M_V]]&lt;TabCalc[[#This Row],[NoT_GL]],"Pile","")</f>
        <v>Pile</v>
      </c>
      <c r="Y6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4" s="213">
        <f ca="1">MIN(TabCalc[[#This Row],[L_Bn]],TabCalc[[#This Row],[NAfter]])*(TabCalc[[#This Row],[M]]+TabCalc[[#This Row],[L_Bp]])*TabCalc[[#This Row],[Scale]]</f>
        <v>-3510.0000000000023</v>
      </c>
      <c r="AA64" s="210" cm="1">
        <f t="array" aca="1" ref="AA64" ca="1">_xlfn.XLOOKUP(TabCalc[[#This Row],[L_Bp]],INDIRECT("TabReg["&amp;TabCalc[[#This Row],[Ticker]]&amp;"2]"),INDIRECT("TabReg["&amp;TabCalc[[#This Row],[Ticker]]&amp;"]"))</f>
        <v>45861</v>
      </c>
      <c r="AB64" s="181" cm="1">
        <f t="array" aca="1" ref="AB64" ca="1">_xlfn.XLOOKUP(TabCalc[[#This Row],[L_Bp]],INDIRECT("TabReg["&amp;TabCalc[[#This Row],[Ticker]]&amp;"2]"),INDIRECT("TabReg["&amp;TabCalc[[#This Row],[Ticker]]&amp;"1]"))</f>
        <v>200</v>
      </c>
      <c r="AC64" s="192" cm="1">
        <f t="array" aca="1" ref="AC64" ca="1">IFERROR(INDEX(INDIRECT("TabReg["&amp;TabCalc[[#This Row],[Ticker]]&amp;"2]"),    _xlfn.XMATCH(    MAX(    _xlfn._xlws.FILTER(INDIRECT("TabReg["&amp;TabCalc[[#This Row],[Ticker]]&amp;"]"), INDIRECT("TabReg["&amp;TabCalc[[#This Row],[Ticker]]&amp;"2]")&lt;0)     ), INDIRECT("TabReg["&amp;TabCalc[[#This Row],[Ticker]]&amp;"]"),      0)), "")</f>
        <v>-250.9</v>
      </c>
      <c r="AD64" s="213">
        <f ca="1">IFERROR(MIN(TabCalc[[#This Row],[L_B1n]],TabCalc[[#This Row],[NAfter]])*(TabCalc[[#This Row],[M]]+TabCalc[[#This Row],[L_B1p]])*TabCalc[[#This Row],[Scale]],"")</f>
        <v>-5250.0000000000055</v>
      </c>
      <c r="AE64" s="210" cm="1">
        <f t="array" aca="1" ref="AE6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4" s="181" cm="1">
        <f t="array" aca="1" ref="AF64" ca="1">IFERROR(_xlfn.XLOOKUP(TabCalc[[#This Row],[L_B1D]],INDIRECT("TabReg["&amp;TabCalc[[#This Row],[Ticker]]&amp;"]"),INDIRECT("TabReg["&amp;TabCalc[[#This Row],[Ticker]]&amp;"1]")),0)</f>
        <v>200</v>
      </c>
      <c r="AG64" s="192" cm="1">
        <f t="array" aca="1" ref="AG64" ca="1">IFERROR(_xlfn.XLOOKUP(TabCalc[[#This Row],[L_B1D]],INDIRECT("TabReg["&amp;TabCalc[[#This Row],[Ticker]]&amp;"]"),INDIRECT("TabReg["&amp;TabCalc[[#This Row],[Ticker]]&amp;"2]")),0)</f>
        <v>-259.60000000000002</v>
      </c>
      <c r="AH64" s="302">
        <f ca="1">IFERROR(TabCalc[[#This Row],[L_Sn]]*(TabCalc[[#This Row],[L_Sp]]-TabCalc[[#This Row],[M]])*TabCalc[[#This Row],[Scale]],"")</f>
        <v>17065.000000000011</v>
      </c>
      <c r="AI64" s="210" cm="1">
        <f t="array" aca="1" ref="AI64" ca="1">IFERROR(_xlfn.XLOOKUP(TabCalc[[#This Row],[L_Sp]],INDIRECT("TabReg["&amp;TabCalc[[#This Row],[Ticker]]&amp;"2]"),INDIRECT("TabReg["&amp;TabCalc[[#This Row],[Ticker]]&amp;"]")),0)</f>
        <v>45811</v>
      </c>
      <c r="AJ64" s="181" cm="1">
        <f t="array" aca="1" ref="AJ64" ca="1">IFERROR(_xlfn.XLOOKUP(TabCalc[[#This Row],[L_Sp]],INDIRECT("TabReg["&amp;TabCalc[[#This Row],[Ticker]]&amp;"2]"),INDIRECT("TabReg["&amp;TabCalc[[#This Row],[Ticker]]&amp;"1]")),0)</f>
        <v>500</v>
      </c>
      <c r="AK64" s="192" cm="1">
        <f t="array" aca="1" ref="AK64" ca="1">IFERROR(INDEX(INDIRECT("TabReg["&amp;TabCalc[[#This Row],[Ticker]]&amp;"2]"), _xlfn.XMATCH(MAX(_xlfn._xlws.FILTER(INDIRECT("TabReg["&amp;TabCalc[[#This Row],[Ticker]]&amp;"]"), INDIRECT("TabReg["&amp;TabCalc[[#This Row],[Ticker]]&amp;"2]")&gt;0)), INDIRECT("TabReg["&amp;TabCalc[[#This Row],[Ticker]]&amp;"]"), 0)), 0)</f>
        <v>267.48</v>
      </c>
      <c r="AL64" s="214">
        <f ca="1">IFERROR(TabCalc[[#This Row],[L_S1n]]*(TabCalc[[#This Row],[L_S1p]]-TabCalc[[#This Row],[M]])*TabCalc[[#This Row],[Scale]],0)</f>
        <v>15225.000000000009</v>
      </c>
      <c r="AM64" s="210" cm="1">
        <f t="array" aca="1" ref="AM6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64" s="181" cm="1">
        <f t="array" aca="1" ref="AN64" ca="1">IFERROR(_xlfn.XLOOKUP(TabCalc[[#This Row],[L_S1D]],INDIRECT("TabReg["&amp;TabCalc[[#This Row],[Ticker]]&amp;"]"),INDIRECT("TabReg["&amp;TabCalc[[#This Row],[Ticker]]&amp;"1]")),0)</f>
        <v>500</v>
      </c>
      <c r="AO64" s="384" cm="1">
        <f t="array" aca="1" ref="AO64" ca="1">IFERROR(_xlfn.XLOOKUP(TabCalc[[#This Row],[L_S1D]],INDIRECT("TabReg["&amp;TabCalc[[#This Row],[Ticker]]&amp;"]"),INDIRECT("TabReg["&amp;TabCalc[[#This Row],[Ticker]]&amp;"2]")),0)</f>
        <v>263.8</v>
      </c>
      <c r="AP64" s="336">
        <f ca="1">_xlfn.LET(_xlpm.MVOpen,[1]!RTData[[#This Row],[Open]]*TabCalc[[#This Row],[NAfter]],_xlpm.MVNow,TabCalc[[#This Row],[M]]*TabCalc[[#This Row],[NAfter]],_xlpm.MVNow-_xlpm.MVOpen)*TabCalc[[#This Row],[Scale]]</f>
        <v>-3167.9000000000087</v>
      </c>
      <c r="AQ64" s="336">
        <f ca="1">_xlfn.LET(_xlpm.MVToday,DataShift!AV564,         _xlpm.MVY,DataShift!AU564,        _xlpm.MVYY, DataShift!AT564,                                IF(_xlpm.MVToday=_xlpm.MVY,_xlpm.MVY-_xlpm.MVYY,_xlpm.MVToday-_xlpm.MVY))</f>
        <v>-4554</v>
      </c>
      <c r="AR64" s="336">
        <f ca="1">_xlfn.LET(_xlpm.MVToday,DataShift!AV564,         _xlpm.MVY,DataShift!AU564,        _xlpm.MVYY, DataShift!AT564,         _xlpm.MVYYY, DataShift!AS564,                      IF(_xlpm.MVToday=_xlpm.MVY,      _xlpm.MVYY-_xlpm.MVYYY,          _xlpm.MVY-_xlpm.MVYY))</f>
        <v>1584</v>
      </c>
      <c r="AS64" s="1078">
        <f ca="1">TabCalc[[#This Row],[Y]]/TabCalc[[#This Row],[M]]</f>
        <v>1.2324949646453827</v>
      </c>
      <c r="AT64" s="299" t="str" cm="1">
        <f t="array" aca="1" ref="AT64" ca="1">IFERROR(_xlfn.IFS(          TabCalc[[#This Row],[E]]&gt;0, "Free Trade",      TabCalc[[#This Row],[A]]&lt;MIN(TabCalc[[#This Row],[L_Sp]],TabCalc[[#This Row],[M]]), "Buy",            TabCalc[[#This Row],[M]]&lt;TabCalc[[#This Row],[L_Sp]],       "Refill",       TabCalc[[#This Row],[M]]&gt;TabCalc[[#This Row],[L_Sp]],"S_more"),"")</f>
        <v>Refill</v>
      </c>
      <c r="AU64" s="299" t="str">
        <f ca="1">IF(           AND(TabCalc[[#This Row],[E]]&lt;=0,          TabCalc[[#This Row],[A]]&gt;MIN(TabCalc[[#This Row],[M]],TabCalc[[#This Row],[L_Sp]]),             TabCalc[[#This Row],[L_Sp]]&lt;=TabCalc[[#This Row],[M]]),                       "S_more","")</f>
        <v/>
      </c>
      <c r="AV64" s="82" t="str" cm="1">
        <f t="array" aca="1" ref="AV64" ca="1">IFERROR(_xlfn.IFS(TabCalc[[#This Row],[E]]&gt;0,"Free trade",                 TabCalc[[#This Row],[A]]&lt;MAX(ABS(TabCalc[[#This Row],[L_Bp]]),TabCalc[[#This Row],[A]]),"Sell",             TabCalc[[#This Row],[M]]&gt;ABS(TabCalc[[#This Row],[L_Bp]]),"Resell",             TabCalc[[#This Row],[M]]&lt;ABS(TabCalc[[#This Row],[L_Bp]]),"B_more"),"")</f>
        <v>B_more</v>
      </c>
      <c r="AW64" s="82">
        <f ca="1">TabCalc[[#This Row],[NAfter]]-TabCalc[[#This Row],[Nbegin]]</f>
        <v>-599</v>
      </c>
      <c r="AX64" s="307">
        <f ca="1">IFERROR((TabCalc[[#This Row],[M]]-TabCalc[[#This Row],[Y]])*(TabCalc[[#This Row],[M]]-TabCalc[[#This Row],[Y]])*(TabCalc[[#This Row],[M]]-TabCalc[[#This Row],[Y]])/(TabCalc[[#This Row],[Y]]*TabCalc[[#This Row],[M]]),"")</f>
        <v>-2.3793772554340875</v>
      </c>
      <c r="AY64" s="82">
        <f t="shared" ca="1" si="3"/>
        <v>599</v>
      </c>
      <c r="AZ64" s="90">
        <f ca="1">[1]!RTData[[#This Row],[V/VA]]</f>
        <v>1.4654710415921433</v>
      </c>
      <c r="BA64" s="90" t="str" cm="1">
        <f t="array" aca="1" ref="BA64" ca="1">IFERROR(_xlfn.IFS(TabCalc[[#This Row],[Cur]]="USD",Timer!F$27,TabCalc[[#This Row],[Cur]]="EUR",Timer!F$18,TabCalc[[#This Row],[Cur]]="GBP",Timer!F$12,TabCalc[[#This Row],[Cur]]="CAD",Timer!F$27,TabCalc[[#This Row],[Cur]]="JPY",Timer!F$31,TabCalc[[#This Row],[Cur]]="CHF",Timer!F$18),"Timing")</f>
        <v>None-Working Day</v>
      </c>
      <c r="BB64" s="90">
        <f ca="1">IF(ISNUMBER(TabCalc[[#This Row],[TimeEX]]),TabCalc[[#This Row],[V/VA]]/TabCalc[[#This Row],[TimeEX]],TabCalc[[#This Row],[V/VA]])</f>
        <v>1.4654710415921433</v>
      </c>
      <c r="BC64" s="87" cm="1">
        <f t="array" aca="1" ref="BC64" ca="1">INDEX(TabReg[], 1, _xlfn.XMATCH(TabCalc[[#This Row],[Ticker]]&amp;1, TabReg[#Headers], 0))</f>
        <v>1000</v>
      </c>
      <c r="BD64" s="161">
        <f ca="1">TabCalc[[#This Row],[Nbegin]]*TabCalc[[#This Row],[M]]*TabCalc[[#This Row],[Scale]]+TabCalc[[#This Row],[ValueBegin]]</f>
        <v>88790</v>
      </c>
      <c r="BE64" s="336" t="str" cm="1">
        <f t="array" aca="1" ref="BE64" ca="1">_xlfn.IFS(TabCalc[[#This Row],[Cost+Gain]]&gt;0,"Free",             TabCalc[[#This Row],[GL]]&gt;0,"Gainer",                TRUE,"Looser")</f>
        <v>Free</v>
      </c>
      <c r="BF64" s="161">
        <f ca="1">TabCalc[[#This Row],[Tot_Paid]]-TabCalc[[#This Row],[ValueBegin]]</f>
        <v>-1328630.5655277998</v>
      </c>
      <c r="BG64" s="337">
        <f ca="1">IF(TabCalc[[#This Row],[EfCost]]&gt;TabCalc[[#This Row],[ValueBegin]],       0,        TabCalc[[#This Row],[EfCost]]-TabCalc[[#This Row],[ValueBegin]]*(1+Commission))</f>
        <v>0</v>
      </c>
      <c r="BH64" s="338">
        <f ca="1">TabCalc[[#This Row],[M_V]]+TabCalc[[#This Row],[ValueBegin]]</f>
        <v>-50986.650000000009</v>
      </c>
      <c r="BI64" s="161" cm="1">
        <f t="array" aca="1" ref="BI64" ca="1">SUMPRODUCT(_xlfn._xlws.FILTER(INDIRECT("TabReg["&amp;TabCalc[[#This Row],[Ticker]]&amp;"1]") * INDIRECT("TabReg["&amp;TabCalc[[#This Row],[Ticker]]&amp;"2]"), INDIRECT("TabReg["&amp;TabCalc[[#This Row],[Ticker]]&amp;"2]")&lt;0))*(1+Commission)*TabCalc[[#This Row],[Scale]]</f>
        <v>-1473190.5655277998</v>
      </c>
      <c r="BJ64" s="161" cm="1">
        <f t="array" aca="1" ref="BJ64" ca="1">SUMPRODUCT(IF(INDIRECT("TabReg["&amp;TabCalc[[#This Row],[Ticker]]&amp;"2]") ="", 0, INDIRECT("TabReg["&amp;TabCalc[[#This Row],[Ticker]]&amp;"1]") * INDIRECT("TabReg["&amp;TabCalc[[#This Row],[Ticker]]&amp;"2]") ))*TabCalc[[#This Row],[Scale]]</f>
        <v>-36206.863000000078</v>
      </c>
      <c r="BK64" s="161" cm="1">
        <f t="array" aca="1" ref="BK6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1429437.1153159998</v>
      </c>
      <c r="BL64" s="161">
        <f ca="1">TabCalc[[#This Row],[M_V]]+TabCalc[[#This Row],[EfCost]]</f>
        <v>57366.486999999914</v>
      </c>
      <c r="BM64" s="161">
        <f ca="1">IF(        OR( TabCalc[[#This Row],[GL]]&gt;ABS(TabCalc[[#This Row],[EfCost]]),TabCalc[[#This Row],[NAfter]]=0),             TabCalc[[#This Row],[GL]],     0)</f>
        <v>57366.486999999914</v>
      </c>
      <c r="BN64" s="161" cm="1">
        <f t="array" aca="1" ref="BN64" ca="1">SUMPRODUCT(_xlfn._xlws.FILTER(IF(INDIRECT("TabReg["&amp;TabCalc[[#This Row],[Ticker]]&amp;"2]") ="", 0, INDIRECT("TabReg["&amp;TabCalc[[#This Row],[Ticker]]&amp;"1]")  ),  INDIRECT("TabReg["&amp;TabCalc[[#This Row],[Ticker]]&amp;"2]") &lt; 0))</f>
        <v>7380</v>
      </c>
      <c r="BO64" s="161">
        <f ca="1">TabCalc[[#This Row],[SB]]-TabCalc[[#This Row],[Nbegin]]</f>
        <v>6380</v>
      </c>
      <c r="BP64" s="161" cm="1">
        <f t="array" aca="1" ref="BP64" ca="1">IFERROR(SUMPRODUCT(_xlfn._xlws.FILTER(IF(INDIRECT("TabReg["&amp;TabCalc[[#This Row],[Ticker]]&amp;"2]") ="", 0, INDIRECT("TabReg["&amp;TabCalc[[#This Row],[Ticker]]&amp;"1]")  ),  INDIRECT("TabReg["&amp;TabCalc[[#This Row],[Ticker]]&amp;"2]") &gt; 0)),0)</f>
        <v>6979</v>
      </c>
      <c r="BQ6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143.49</v>
      </c>
      <c r="BR64" s="176" t="str">
        <f ca="1">IF(TabCalc[[#This Row],[EfCost]]+TabCalc[[#This Row],[M_V]]&lt;TabCalc[[#This Row],[NoT_GL]],"Pile","")</f>
        <v>Pile</v>
      </c>
      <c r="BS64" s="167">
        <f ca="1">[1]!RTData[[#This Row],[Last trade time]]</f>
        <v>45954.770833333336</v>
      </c>
      <c r="BT64" s="177">
        <f ca="1">(TabCalc[[#This Row],[ValueBegin]]+(TabCalc[[#This Row],[M]]-TabCalc[[#This Row],[A]])*TabCalc[[#This Row],[NAfter]])*TabCalc[[#This Row],[Scale]]</f>
        <v>-153349.53</v>
      </c>
      <c r="BU64" s="189" cm="1">
        <f t="array" aca="1" ref="BU64" ca="1">_xlfn.XLOOKUP(TabCalc[[#This Row],[Ticker]],TabReg[[#Headers],[AAPL]:[UnknownX28]],Reg!B$72:KF$72)+3</f>
        <v>29</v>
      </c>
      <c r="BV64" s="190" cm="1">
        <f t="array" aca="1" ref="BV64" ca="1">_xlfn.XLOOKUP(TabCalc[[#This Row],[Ticker]],TabReg[[#Headers],[AAPL]:[UnknownX28]],Reg!B$73:KF$73)+2</f>
        <v>189</v>
      </c>
      <c r="BW64" s="191">
        <f ca="1">IFERROR(MAX(TabCalc[[#This Row],[Max_SD]],TabCalc[[#This Row],[Max_PD]]),0)</f>
        <v>45861</v>
      </c>
      <c r="BX64" s="191" t="str" cm="1">
        <f t="array" aca="1" ref="BX64" ca="1">_xlfn.IFS(TabCalc[[#This Row],[L_TP]]&lt;0,"Purchase",TabCalc[[#This Row],[L_TP]]&gt;0,"Sale")</f>
        <v>Purchase</v>
      </c>
      <c r="BY64" s="190" cm="1">
        <f t="array" aca="1" ref="BY64" ca="1">INDEX(Reg!$A$1:$KF$73,TabCalc[[#This Row],[L_I1]],TabCalc[[#This Row],[L_I2]])</f>
        <v>200</v>
      </c>
      <c r="BZ64" s="192" cm="1">
        <f t="array" aca="1" ref="BZ64" ca="1">INDEX(Reg!$A$1:$KF$73,TabCalc[[#This Row],[L_I1]],TabCalc[[#This Row],[L_I2]]+1)</f>
        <v>-250.9</v>
      </c>
      <c r="CA64" s="161">
        <f ca="1">TabCalc[[#This Row],[NAfter]]*(TabCalc[[#This Row],[M]]-IF(TabCalc[[#This Row],[E]]&gt;0,0,TabCalc[[#This Row],[A]]))</f>
        <v>-8789.5300000000025</v>
      </c>
      <c r="CB64" s="167" cm="1">
        <f t="array" aca="1" ref="CB64" ca="1">IFERROR(MIN(_xlfn._xlws.FILTER(INDIRECT("TabReg["&amp;TabCalc[[#This Row],[Ticker]]&amp;"]"), INDIRECT("TabReg["&amp;TabCalc[[#This Row],[Ticker]]&amp;"2]")&gt;0)),0)</f>
        <v>45315</v>
      </c>
      <c r="CC64" s="178" cm="1">
        <f t="array" aca="1" ref="CC64" ca="1">IFERROR(MIN(_xlfn._xlws.FILTER(INDIRECT("TabReg["&amp;TabCalc[[#This Row],[Ticker]]&amp;"1]"), INDIRECT("TabReg["&amp;TabCalc[[#This Row],[Ticker]]&amp;"2]")&gt;0)),0)</f>
        <v>90</v>
      </c>
      <c r="CD64" s="173" cm="1">
        <f t="array" aca="1" ref="CD64" ca="1">IFERROR(MIN(_xlfn._xlws.FILTER(INDIRECT("TabReg["&amp;TabCalc[[#This Row],[Ticker]]&amp;"2]"), INDIRECT("TabReg["&amp;TabCalc[[#This Row],[Ticker]]&amp;"2]")&gt;0)),0)</f>
        <v>160.04</v>
      </c>
      <c r="CE64" s="167" cm="1">
        <f t="array" aca="1" ref="CE64" ca="1">IFERROR(MAX(_xlfn._xlws.FILTER(INDIRECT("TabReg["&amp;TabCalc[[#This Row],[Ticker]]&amp;"]"), INDIRECT("TabReg["&amp;TabCalc[[#This Row],[Ticker]]&amp;"2]")&gt;0)),0)</f>
        <v>45811</v>
      </c>
      <c r="CF64" s="178" cm="1">
        <f t="array" aca="1" ref="CF64" ca="1">IFERROR(MAX(_xlfn._xlws.FILTER(INDIRECT("TabReg["&amp;TabCalc[[#This Row],[Ticker]]&amp;"1]"), INDIRECT("TabReg["&amp;TabCalc[[#This Row],[Ticker]]&amp;"2]")&gt;0)),0)</f>
        <v>1000</v>
      </c>
      <c r="CG64" s="173" cm="1">
        <f t="array" aca="1" ref="CG64" ca="1">IFERROR(MAX(_xlfn._xlws.FILTER(INDIRECT("TabReg["&amp;TabCalc[[#This Row],[Ticker]]&amp;"2]"), INDIRECT("TabReg["&amp;TabCalc[[#This Row],[Ticker]]&amp;"2]")&gt;0)),0)</f>
        <v>275.64999999999998</v>
      </c>
      <c r="CH64" s="167" cm="1">
        <f t="array" aca="1" ref="CH64" ca="1">MIN(_xlfn._xlws.FILTER(INDIRECT("TabReg["&amp;TabCalc[[#This Row],[Ticker]]&amp;"]"), INDIRECT("TabReg["&amp;TabCalc[[#This Row],[Ticker]]&amp;"2]")&lt;0))</f>
        <v>500</v>
      </c>
      <c r="CI64" s="177" cm="1">
        <f t="array" aca="1" ref="CI64" ca="1">MIN(_xlfn._xlws.FILTER(INDIRECT("TabReg["&amp;TabCalc[[#This Row],[Ticker]]&amp;"1]"), INDIRECT("TabReg["&amp;TabCalc[[#This Row],[Ticker]]&amp;"2]")&lt;0))</f>
        <v>200</v>
      </c>
      <c r="CJ64" s="173" cm="1">
        <f t="array" aca="1" ref="CJ64" ca="1">MIN(_xlfn._xlws.FILTER(INDIRECT("TabReg["&amp;TabCalc[[#This Row],[Ticker]]&amp;"2]"), INDIRECT("TabReg["&amp;TabCalc[[#This Row],[Ticker]]&amp;"2]")&lt;0))</f>
        <v>-262.88</v>
      </c>
      <c r="CK64" s="167" cm="1">
        <f t="array" aca="1" ref="CK64" ca="1">MAX(_xlfn._xlws.FILTER(INDIRECT("TabReg["&amp;TabCalc[[#This Row],[Ticker]]&amp;"]"), INDIRECT("TabReg["&amp;TabCalc[[#This Row],[Ticker]]&amp;"2]")&lt;0))</f>
        <v>45861</v>
      </c>
      <c r="CL64" s="177" cm="1">
        <f t="array" aca="1" ref="CL64" ca="1">MAX(_xlfn._xlws.FILTER(INDIRECT("TabReg["&amp;TabCalc[[#This Row],[Ticker]]&amp;"1]"), INDIRECT("TabReg["&amp;TabCalc[[#This Row],[Ticker]]&amp;"2]")&lt;0))</f>
        <v>1500</v>
      </c>
      <c r="CM64" s="173" cm="1">
        <f t="array" aca="1" ref="CM64" ca="1">MAX(_xlfn._xlws.FILTER(INDIRECT("TabReg["&amp;TabCalc[[#This Row],[Ticker]]&amp;"2]"), INDIRECT("TabReg["&amp;TabCalc[[#This Row],[Ticker]]&amp;"2]")&lt;0))</f>
        <v>-144.56</v>
      </c>
      <c r="CN64" s="167" cm="1">
        <f t="array" aca="1" ref="CN64" ca="1">IFERROR(_xlfn.XLOOKUP(TabCalc[[#This Row],[BS2P]],INDIRECT("TabReg["&amp;TabCalc[[#This Row],[Ticker]]&amp;"2]"),INDIRECT("TabReg["&amp;TabCalc[[#This Row],[Ticker]]&amp;"]")),0)</f>
        <v>45811</v>
      </c>
      <c r="CO64" s="178" cm="1">
        <f t="array" aca="1" ref="CO64" ca="1">IFERROR(_xlfn.XLOOKUP(TabCalc[[#This Row],[BS2P]],INDIRECT("TabReg["&amp;TabCalc[[#This Row],[Ticker]]&amp;"2]"),INDIRECT("TabReg["&amp;TabCalc[[#This Row],[Ticker]]&amp;"1]")),0)</f>
        <v>500</v>
      </c>
      <c r="CP64" s="173">
        <f ca="1">_xlfn.MAXIFS(INDIRECT("TabReg["&amp;TabCalc[[#This Row],[Ticker]]&amp;"2]"), INDIRECT("TabReg["&amp;TabCalc[[#This Row],[Ticker]]&amp;"2]"), "&lt;" &amp; MAX(INDIRECT("TabReg["&amp;TabCalc[[#This Row],[Ticker]]&amp;"2]")))</f>
        <v>267.48</v>
      </c>
      <c r="CQ64" s="167" cm="1">
        <f t="array" aca="1" ref="CQ64" ca="1">IFERROR(_xlfn.XLOOKUP(TabCalc[[#This Row],[WB2P]],INDIRECT("TabReg["&amp;TabCalc[[#This Row],[Ticker]]&amp;"2]"),INDIRECT("TabReg["&amp;TabCalc[[#This Row],[Ticker]]&amp;"]")),0)</f>
        <v>45855</v>
      </c>
      <c r="CR64" s="178" cm="1">
        <f t="array" aca="1" ref="CR64" ca="1">IFERROR(_xlfn.XLOOKUP(TabCalc[[#This Row],[WB2P]],INDIRECT("TabReg["&amp;TabCalc[[#This Row],[Ticker]]&amp;"2]"),INDIRECT("TabReg["&amp;TabCalc[[#This Row],[Ticker]]&amp;"1]")),0)</f>
        <v>200</v>
      </c>
      <c r="CS64" s="173">
        <f ca="1">_xlfn.MINIFS(INDIRECT("TabReg["&amp;TabCalc[[#This Row],[Ticker]]&amp;"2]"), INDIRECT("TabReg["&amp;TabCalc[[#This Row],[Ticker]]&amp;"2]"), "&gt;" &amp; MIN(INDIRECT("TabReg["&amp;TabCalc[[#This Row],[Ticker]]&amp;"2]")))</f>
        <v>-259.60000000000002</v>
      </c>
      <c r="CT64" s="405">
        <f ca="1">IF(TabCalc[[#This Row],[M]]&lt;TabCalc[[#This Row],[L_Sp]],DesiredBuyGain/(TabCalc[[#This Row],[L_Sp]]-TabCalc[[#This Row],[M]]),0)</f>
        <v>146.49868151186629</v>
      </c>
      <c r="CU64" s="406">
        <f ca="1">IF(TabCalc[[#This Row],[ntoBuy]]*TabCalc[[#This Row],[M]]&lt;=0,0,TabCalc[[#This Row],[ntoBuy]]*TabCalc[[#This Row],[M]])</f>
        <v>34185.467330793996</v>
      </c>
      <c r="CV64" s="406">
        <f ca="1">IF(TabCalc[[#This Row],[M]]&gt;ABS(TabCalc[[#This Row],[L_Bp]]),MIN(TabCalc[[#This Row],[NAfter]],DesiredSaleGain/(TabCalc[[#This Row],[M]]+TabCalc[[#This Row],[L_Bp]])),0)/TabCalc[[#This Row],[Scale]]</f>
        <v>0</v>
      </c>
      <c r="CW64" s="407">
        <f ca="1">TabCalc[[#This Row],[ntoSell]]*TabCalc[[#This Row],[M]]</f>
        <v>0</v>
      </c>
      <c r="CX64" s="400">
        <f ca="1">_xlfn.LET(_xlpm.nToSell,IF(TabCalc[[#This Row],[M]]-TabCalc[[#This Row],[A]]&lt;=0,"",INT(DesiredSaleGain/(TabCalc[[#This Row],[M]]-IF(TabCalc[[#This Row],[E]]&gt;0,0,TabCalc[[#This Row],[A]])))),IF(_xlpm.nToSell&lt;=TabCalc[[#This Row],[NAfter]],_xlpm.nToSell,0))</f>
        <v>0</v>
      </c>
      <c r="CY64" s="338">
        <f ca="1">IFERROR(TabCalc[[#This Row],[NMA]]*TabCalc[[#This Row],[M]],"")</f>
        <v>0</v>
      </c>
      <c r="CZ64" s="337" cm="1">
        <f t="array" aca="1" ref="CZ64" ca="1">_xlfn.IFS(TabCalc[[#This Row],[M]]&gt;= TabCalc[[#This Row],[L_Sp]],(TabCalc[[#This Row],[M]]-TabCalc[[#This Row],[A]])*TabCalc[[#This Row],[NAfter]]*TabCalc[[#This Row],[Scale]],           TabCalc[[#This Row],[M]]&lt; TabCalc[[#This Row],[L_Sp]],(TabCalc[[#This Row],[M]]-TabCalc[[#This Row],[A]])*TabCalc[[#This Row],[NAfter]]*TabCalc[[#This Row],[Scale]],               TRUE,"")</f>
        <v>-8789.5300000000025</v>
      </c>
      <c r="DA64" s="90">
        <f ca="1">IFERROR((TabCalc[[#This Row],[M]]+TabCalc[[#This Row],[L_Bp]])/ABS(TabCalc[[#This Row],[L_Bp]])/(TODAY()-TabCalc[[#This Row],[L_Bdate]])*360,"")</f>
        <v>-0.26506681210799032</v>
      </c>
      <c r="DB64" s="312">
        <f ca="1">MEDIAN(DataShift!F763:Z763)</f>
        <v>-2.4720000000000002E-3</v>
      </c>
      <c r="DC64" s="312" t="e" cm="1">
        <f t="array" aca="1" ref="DC6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4" s="88" t="s">
        <v>60</v>
      </c>
      <c r="DN64" s="82">
        <v>10000</v>
      </c>
      <c r="DO64" s="317">
        <v>-24.316700000000001</v>
      </c>
    </row>
    <row r="65" spans="1:119">
      <c r="A65" s="120" t="str">
        <f ca="1">_xlfn.XLOOKUP(TabCalc[[#This Row],[Ticker]],[1]!RTData[Ticker symbol],[1]!RTData[Currency])</f>
        <v>EUR</v>
      </c>
      <c r="B65" s="121">
        <f ca="1">IF(TabCalc[[#This Row],[Cur]]="GBP",0.01,1)</f>
        <v>1</v>
      </c>
      <c r="C65" s="82">
        <f ca="1">_xlfn.XLOOKUP(TabCalc[[#This Row],[Ticker]],DM$3:DM$96,DN$3:DN$96)</f>
        <v>45</v>
      </c>
      <c r="D65" s="1254">
        <f ca="1">_xlfn.XLOOKUP(TabCalc[[#This Row],[Ticker]],DM$3:DM$96,DO$3:DO$96)</f>
        <v>-78.742699999999999</v>
      </c>
      <c r="E65" s="121">
        <f t="shared" ca="1" si="2"/>
        <v>-3543.4214999999999</v>
      </c>
      <c r="F65" s="82">
        <f ca="1">TabCalc[[#This Row],[NAfter]]*TabCalc[[#This Row],[M]]*TabCalc[[#This Row],[Scale]]</f>
        <v>16884</v>
      </c>
      <c r="G65" s="82">
        <f ca="1">IFERROR(TabCalc[[#This Row],[SB]]-TabCalc[[#This Row],[SST]],TabCalc[[#This Row],[SB]])</f>
        <v>560</v>
      </c>
      <c r="H65" s="535" t="str">
        <f ca="1">[1]!RTData[[#This Row],[Ticker symbol]]</f>
        <v>MVEUN0</v>
      </c>
      <c r="I65" s="385">
        <f ca="1">[1]!RTData[[#This Row],[M-Price]]</f>
        <v>30.15</v>
      </c>
      <c r="J65" s="384">
        <v>41.94063392857143</v>
      </c>
      <c r="K65" s="383">
        <f>[1]!RTData[[#This Row],[1YT]]</f>
        <v>0</v>
      </c>
      <c r="L65" s="384">
        <f ca="1">IF(OR(TabCalc[[#This Row],[NAfter]]=0,TabCalc[[#This Row],[EfCost]]&gt;0),0,TabCalc[[#This Row],[EfCost]]/TabCalc[[#This Row],[NAfter]]/TabCalc[[#This Row],[Scale]])</f>
        <v>-30.213556250000003</v>
      </c>
      <c r="M65" s="744">
        <f ca="1">[1]!RTData[[#This Row],[Change%]]</f>
        <v>-2.5847999999999999E-2</v>
      </c>
      <c r="N65" s="1172">
        <v>0</v>
      </c>
      <c r="O65" s="966">
        <f>TabCalc[[#This Row],[Up20]]-1+TabCalc[[#This Row],[Up20]]</f>
        <v>-1</v>
      </c>
      <c r="P65" s="966">
        <f>TabCalc[[#This Row],[Up20]]-TabCalc[[#This Row],[Up150]]</f>
        <v>0</v>
      </c>
      <c r="Q65" s="966">
        <v>0</v>
      </c>
      <c r="R65" s="966">
        <f>TabCalc[[#This Row],[Up150]]-1+TabCalc[[#This Row],[Up150]]</f>
        <v>-1</v>
      </c>
      <c r="S65" s="966">
        <f ca="1">IFERROR(SUMPRODUCT(DataShift!F1557:Z1557,DataShift!AB764:AV764)/SQRT(SUMPRODUCT(DataShift!F1557:Z1557,DataShift!F1557:Z1557)*SUMPRODUCT(DataShift!AB764:AV764,DataShift!AB764:AV764)),0)</f>
        <v>-0.59771913166309931</v>
      </c>
      <c r="T65" s="966">
        <f ca="1">IFERROR(SUMPRODUCT(DataShift!F1557:Z1557,DataShift!F764:Z764)/SQRT(SUMPRODUCT(DataShift!F1557:Z1557,DataShift!F1557:Z1557)*SUMPRODUCT(DataShift!F764:Z764,DataShift!F764:Z764)),0)</f>
        <v>-5.50180096918086E-3</v>
      </c>
      <c r="U65" s="1107">
        <v>0</v>
      </c>
      <c r="V65" s="1107">
        <v>560</v>
      </c>
      <c r="W65" s="1107">
        <v>0</v>
      </c>
      <c r="X65" s="966" t="str">
        <f ca="1">IF(TabCalc[[#This Row],[EfCost]]+TabCalc[[#This Row],[M_V]]&lt;TabCalc[[#This Row],[NoT_GL]],"Pile","")</f>
        <v/>
      </c>
      <c r="Y6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-779 = $ -23,487</v>
      </c>
      <c r="Z65" s="213">
        <f ca="1">MIN(TabCalc[[#This Row],[L_Bn]],TabCalc[[#This Row],[NAfter]])*(TabCalc[[#This Row],[M]]+TabCalc[[#This Row],[L_Bp]])*TabCalc[[#This Row],[Scale]]</f>
        <v>-283.72499999999997</v>
      </c>
      <c r="AA65" s="210" cm="1">
        <f t="array" aca="1" ref="AA65" ca="1">_xlfn.XLOOKUP(TabCalc[[#This Row],[L_Bp]],INDIRECT("TabReg["&amp;TabCalc[[#This Row],[Ticker]]&amp;"2]"),INDIRECT("TabReg["&amp;TabCalc[[#This Row],[Ticker]]&amp;"]"))</f>
        <v>45856</v>
      </c>
      <c r="AB65" s="181" cm="1">
        <f t="array" aca="1" ref="AB65" ca="1">_xlfn.XLOOKUP(TabCalc[[#This Row],[L_Bp]],INDIRECT("TabReg["&amp;TabCalc[[#This Row],[Ticker]]&amp;"2]"),INDIRECT("TabReg["&amp;TabCalc[[#This Row],[Ticker]]&amp;"1]"))</f>
        <v>39</v>
      </c>
      <c r="AC65" s="192" cm="1">
        <f t="array" aca="1" ref="AC65" ca="1">IFERROR(INDEX(INDIRECT("TabReg["&amp;TabCalc[[#This Row],[Ticker]]&amp;"2]"),    _xlfn.XMATCH(    MAX(    _xlfn._xlws.FILTER(INDIRECT("TabReg["&amp;TabCalc[[#This Row],[Ticker]]&amp;"]"), INDIRECT("TabReg["&amp;TabCalc[[#This Row],[Ticker]]&amp;"2]")&lt;0)     ), INDIRECT("TabReg["&amp;TabCalc[[#This Row],[Ticker]]&amp;"]"),      0)), "")</f>
        <v>-37.424999999999997</v>
      </c>
      <c r="AD65" s="213">
        <f ca="1">IFERROR(MIN(TabCalc[[#This Row],[L_B1n]],TabCalc[[#This Row],[NAfter]])*(TabCalc[[#This Row],[M]]+TabCalc[[#This Row],[L_B1p]])*TabCalc[[#This Row],[Scale]],"")</f>
        <v>-69.75</v>
      </c>
      <c r="AE65" s="210" cm="1">
        <f t="array" aca="1" ref="AE6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5" s="181" cm="1">
        <f t="array" aca="1" ref="AF65" ca="1">IFERROR(_xlfn.XLOOKUP(TabCalc[[#This Row],[L_B1D]],INDIRECT("TabReg["&amp;TabCalc[[#This Row],[Ticker]]&amp;"]"),INDIRECT("TabReg["&amp;TabCalc[[#This Row],[Ticker]]&amp;"1]")),0)</f>
        <v>9</v>
      </c>
      <c r="AG65" s="192" cm="1">
        <f t="array" aca="1" ref="AG65" ca="1">IFERROR(_xlfn.XLOOKUP(TabCalc[[#This Row],[L_B1D]],INDIRECT("TabReg["&amp;TabCalc[[#This Row],[Ticker]]&amp;"]"),INDIRECT("TabReg["&amp;TabCalc[[#This Row],[Ticker]]&amp;"2]")),0)</f>
        <v>-37.9</v>
      </c>
      <c r="AH65" s="214">
        <f ca="1">IFERROR(TabCalc[[#This Row],[L_Sn]]*(TabCalc[[#This Row],[L_Sp]]-TabCalc[[#This Row],[M]])*TabCalc[[#This Row],[Scale]],"")</f>
        <v>7700.64</v>
      </c>
      <c r="AI65" s="210" cm="1">
        <f t="array" aca="1" ref="AI65" ca="1">IFERROR(_xlfn.XLOOKUP(TabCalc[[#This Row],[L_Sp]],INDIRECT("TabReg["&amp;TabCalc[[#This Row],[Ticker]]&amp;"2]"),INDIRECT("TabReg["&amp;TabCalc[[#This Row],[Ticker]]&amp;"]")),0)</f>
        <v>45702</v>
      </c>
      <c r="AJ65" s="181" cm="1">
        <f t="array" aca="1" ref="AJ65" ca="1">IFERROR(_xlfn.XLOOKUP(TabCalc[[#This Row],[L_Sp]],INDIRECT("TabReg["&amp;TabCalc[[#This Row],[Ticker]]&amp;"2]"),INDIRECT("TabReg["&amp;TabCalc[[#This Row],[Ticker]]&amp;"1]")),0)</f>
        <v>488</v>
      </c>
      <c r="AK65" s="192" cm="1">
        <f t="array" aca="1" ref="AK65" ca="1">IFERROR(INDEX(INDIRECT("TabReg["&amp;TabCalc[[#This Row],[Ticker]]&amp;"2]"), _xlfn.XMATCH(MAX(_xlfn._xlws.FILTER(INDIRECT("TabReg["&amp;TabCalc[[#This Row],[Ticker]]&amp;"]"), INDIRECT("TabReg["&amp;TabCalc[[#This Row],[Ticker]]&amp;"2]")&gt;0)), INDIRECT("TabReg["&amp;TabCalc[[#This Row],[Ticker]]&amp;"]"), 0)), 0)</f>
        <v>45.93</v>
      </c>
      <c r="AL65" s="214">
        <f ca="1">IFERROR(TabCalc[[#This Row],[L_S1n]]*(TabCalc[[#This Row],[L_S1p]]-TabCalc[[#This Row],[M]])*TabCalc[[#This Row],[Scale]],0)</f>
        <v>10461.5</v>
      </c>
      <c r="AM65" s="210" cm="1">
        <f t="array" aca="1" ref="AM6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45569</v>
      </c>
      <c r="AN65" s="181" cm="1">
        <f t="array" aca="1" ref="AN65" ca="1">IFERROR(_xlfn.XLOOKUP(TabCalc[[#This Row],[L_S1D]],INDIRECT("TabReg["&amp;TabCalc[[#This Row],[Ticker]]&amp;"]"),INDIRECT("TabReg["&amp;TabCalc[[#This Row],[Ticker]]&amp;"1]")),0)</f>
        <v>490</v>
      </c>
      <c r="AO65" s="384" cm="1">
        <f t="array" aca="1" ref="AO65" ca="1">IFERROR(_xlfn.XLOOKUP(TabCalc[[#This Row],[L_S1D]],INDIRECT("TabReg["&amp;TabCalc[[#This Row],[Ticker]]&amp;"]"),INDIRECT("TabReg["&amp;TabCalc[[#This Row],[Ticker]]&amp;"2]")),0)</f>
        <v>51.5</v>
      </c>
      <c r="AP65" s="336">
        <f ca="1">_xlfn.LET(_xlpm.MVOpen,[1]!RTData[[#This Row],[Open]]*TabCalc[[#This Row],[NAfter]],_xlpm.MVNow,TabCalc[[#This Row],[M]]*TabCalc[[#This Row],[NAfter]],_xlpm.MVNow-_xlpm.MVOpen)*TabCalc[[#This Row],[Scale]]</f>
        <v>-476</v>
      </c>
      <c r="AQ65" s="336">
        <f ca="1">_xlfn.LET(_xlpm.MVToday,DataShift!AV565,         _xlpm.MVY,DataShift!AU565,        _xlpm.MVYY, DataShift!AT565,                                IF(_xlpm.MVToday=_xlpm.MVY,_xlpm.MVY-_xlpm.MVYY,_xlpm.MVToday-_xlpm.MVY))</f>
        <v>9.0000000000003411E-2</v>
      </c>
      <c r="AR65" s="336">
        <f ca="1">_xlfn.LET(_xlpm.MVToday,DataShift!AV565,         _xlpm.MVY,DataShift!AU565,        _xlpm.MVYY, DataShift!AT565,         _xlpm.MVYYY, DataShift!AS565,                      IF(_xlpm.MVToday=_xlpm.MVY,      _xlpm.MVYY-_xlpm.MVYYY,          _xlpm.MVY-_xlpm.MVYY))</f>
        <v>0.47999999999999687</v>
      </c>
      <c r="AS65" s="1078">
        <f ca="1">TabCalc[[#This Row],[Y]]/TabCalc[[#This Row],[M]]</f>
        <v>0</v>
      </c>
      <c r="AT65" s="299" t="str" cm="1">
        <f t="array" aca="1" ref="AT65" ca="1">IFERROR(_xlfn.IFS(          TabCalc[[#This Row],[E]]&gt;0, "Free Trade",      TabCalc[[#This Row],[A]]&lt;MIN(TabCalc[[#This Row],[L_Sp]],TabCalc[[#This Row],[M]]), "Buy",            TabCalc[[#This Row],[M]]&lt;TabCalc[[#This Row],[L_Sp]],       "Refill",       TabCalc[[#This Row],[M]]&gt;TabCalc[[#This Row],[L_Sp]],"S_more"),"")</f>
        <v>Refill</v>
      </c>
      <c r="AU65" s="299" t="str">
        <f ca="1">IF(           AND(TabCalc[[#This Row],[E]]&lt;=0,          TabCalc[[#This Row],[A]]&gt;MIN(TabCalc[[#This Row],[M]],TabCalc[[#This Row],[L_Sp]]),             TabCalc[[#This Row],[L_Sp]]&lt;=TabCalc[[#This Row],[M]]),                       "S_more","")</f>
        <v/>
      </c>
      <c r="AV65" s="82" t="str" cm="1">
        <f t="array" aca="1" ref="AV65" ca="1">IFERROR(_xlfn.IFS(TabCalc[[#This Row],[E]]&gt;0,"Free trade",                 TabCalc[[#This Row],[A]]&lt;MAX(ABS(TabCalc[[#This Row],[L_Bp]]),TabCalc[[#This Row],[A]]),"Sell",             TabCalc[[#This Row],[M]]&gt;ABS(TabCalc[[#This Row],[L_Bp]]),"Resell",             TabCalc[[#This Row],[M]]&lt;ABS(TabCalc[[#This Row],[L_Bp]]),"B_more"),"")</f>
        <v>B_more</v>
      </c>
      <c r="AW65" s="82">
        <f ca="1">TabCalc[[#This Row],[NAfter]]-TabCalc[[#This Row],[Nbegin]]</f>
        <v>515</v>
      </c>
      <c r="AX65" s="307" t="str">
        <f ca="1">IFERROR((TabCalc[[#This Row],[M]]-TabCalc[[#This Row],[Y]])*(TabCalc[[#This Row],[M]]-TabCalc[[#This Row],[Y]])*(TabCalc[[#This Row],[M]]-TabCalc[[#This Row],[Y]])/(TabCalc[[#This Row],[Y]]*TabCalc[[#This Row],[M]]),"")</f>
        <v/>
      </c>
      <c r="AY65" s="82">
        <f t="shared" ca="1" si="3"/>
        <v>0</v>
      </c>
      <c r="AZ65" s="90">
        <f ca="1">[1]!RTData[[#This Row],[V/VA]]</f>
        <v>3.907563025210084E-2</v>
      </c>
      <c r="BA65" s="90" t="str" cm="1">
        <f t="array" aca="1" ref="BA65" ca="1">IFERROR(_xlfn.IFS(TabCalc[[#This Row],[Cur]]="USD",Timer!F$27,TabCalc[[#This Row],[Cur]]="EUR",Timer!F$18,TabCalc[[#This Row],[Cur]]="GBP",Timer!F$12,TabCalc[[#This Row],[Cur]]="CAD",Timer!F$27,TabCalc[[#This Row],[Cur]]="JPY",Timer!F$31,TabCalc[[#This Row],[Cur]]="CHF",Timer!F$18),"Timing")</f>
        <v>None-Working Day</v>
      </c>
      <c r="BB65" s="90">
        <f ca="1">IF(ISNUMBER(TabCalc[[#This Row],[TimeEX]]),TabCalc[[#This Row],[V/VA]]/TabCalc[[#This Row],[TimeEX]],TabCalc[[#This Row],[V/VA]])</f>
        <v>3.907563025210084E-2</v>
      </c>
      <c r="BC65" s="87" cm="1">
        <f t="array" aca="1" ref="BC65" ca="1">INDEX(TabReg[], 1, _xlfn.XMATCH(TabCalc[[#This Row],[Ticker]]&amp;1, TabReg[#Headers], 0))</f>
        <v>45</v>
      </c>
      <c r="BD65" s="161">
        <f ca="1">TabCalc[[#This Row],[Nbegin]]*TabCalc[[#This Row],[M]]*TabCalc[[#This Row],[Scale]]+TabCalc[[#This Row],[ValueBegin]]</f>
        <v>-2186.6714999999999</v>
      </c>
      <c r="BE65" s="336" t="str" cm="1">
        <f t="array" aca="1" ref="BE65" ca="1">_xlfn.IFS(TabCalc[[#This Row],[Cost+Gain]]&gt;0,"Free",             TabCalc[[#This Row],[GL]]&gt;0,"Gainer",                TRUE,"Looser")</f>
        <v>Looser</v>
      </c>
      <c r="BF65" s="161">
        <f ca="1">TabCalc[[#This Row],[Tot_Paid]]-TabCalc[[#This Row],[ValueBegin]]</f>
        <v>-88438.542921900007</v>
      </c>
      <c r="BG65" s="337">
        <f ca="1">IF(TabCalc[[#This Row],[EfCost]]&gt;TabCalc[[#This Row],[ValueBegin]],       0,        TabCalc[[#This Row],[EfCost]]-TabCalc[[#This Row],[ValueBegin]]*(1+Commission))</f>
        <v>-13366.957104100002</v>
      </c>
      <c r="BH65" s="338">
        <f ca="1">TabCalc[[#This Row],[M_V]]+TabCalc[[#This Row],[ValueBegin]]</f>
        <v>13340.5785</v>
      </c>
      <c r="BI65" s="161" cm="1">
        <f t="array" aca="1" ref="BI65" ca="1">SUMPRODUCT(_xlfn._xlws.FILTER(INDIRECT("TabReg["&amp;TabCalc[[#This Row],[Ticker]]&amp;"1]") * INDIRECT("TabReg["&amp;TabCalc[[#This Row],[Ticker]]&amp;"2]"), INDIRECT("TabReg["&amp;TabCalc[[#This Row],[Ticker]]&amp;"2]")&lt;0))*(1+Commission)*TabCalc[[#This Row],[Scale]]</f>
        <v>-91981.964421900004</v>
      </c>
      <c r="BJ65" s="161" cm="1">
        <f t="array" aca="1" ref="BJ65" ca="1">SUMPRODUCT(IF(INDIRECT("TabReg["&amp;TabCalc[[#This Row],[Ticker]]&amp;"2]") ="", 0, INDIRECT("TabReg["&amp;TabCalc[[#This Row],[Ticker]]&amp;"1]") * INDIRECT("TabReg["&amp;TabCalc[[#This Row],[Ticker]]&amp;"2]") ))*TabCalc[[#This Row],[Scale]]</f>
        <v>-16919.591500000002</v>
      </c>
      <c r="BK65" s="161" cm="1">
        <f t="array" aca="1" ref="BK6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74629.298015999986</v>
      </c>
      <c r="BL65" s="161">
        <f ca="1">TabCalc[[#This Row],[M_V]]+TabCalc[[#This Row],[EfCost]]</f>
        <v>-35.59150000000227</v>
      </c>
      <c r="BM65" s="161">
        <f ca="1">IF(        OR( TabCalc[[#This Row],[GL]]&gt;ABS(TabCalc[[#This Row],[EfCost]]),TabCalc[[#This Row],[NAfter]]=0),             TabCalc[[#This Row],[GL]],     0)</f>
        <v>0</v>
      </c>
      <c r="BN65" s="161" cm="1">
        <f t="array" aca="1" ref="BN65" ca="1">SUMPRODUCT(_xlfn._xlws.FILTER(IF(INDIRECT("TabReg["&amp;TabCalc[[#This Row],[Ticker]]&amp;"2]") ="", 0, INDIRECT("TabReg["&amp;TabCalc[[#This Row],[Ticker]]&amp;"1]")  ),  INDIRECT("TabReg["&amp;TabCalc[[#This Row],[Ticker]]&amp;"2]") &lt; 0))</f>
        <v>2038</v>
      </c>
      <c r="BO65" s="161">
        <f ca="1">TabCalc[[#This Row],[SB]]-TabCalc[[#This Row],[Nbegin]]</f>
        <v>1993</v>
      </c>
      <c r="BP65" s="161" cm="1">
        <f t="array" aca="1" ref="BP65" ca="1">IFERROR(SUMPRODUCT(_xlfn._xlws.FILTER(IF(INDIRECT("TabReg["&amp;TabCalc[[#This Row],[Ticker]]&amp;"2]") ="", 0, INDIRECT("TabReg["&amp;TabCalc[[#This Row],[Ticker]]&amp;"1]")  ),  INDIRECT("TabReg["&amp;TabCalc[[#This Row],[Ticker]]&amp;"2]") &gt; 0)),0)</f>
        <v>1478</v>
      </c>
      <c r="BQ65"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42.87</v>
      </c>
      <c r="BR65" s="176" t="str">
        <f ca="1">IF(TabCalc[[#This Row],[EfCost]]+TabCalc[[#This Row],[M_V]]&lt;TabCalc[[#This Row],[NoT_GL]],"Pile","")</f>
        <v/>
      </c>
      <c r="BS65" s="167">
        <f ca="1">[1]!RTData[[#This Row],[Last trade time]]</f>
        <v>45954.836805555555</v>
      </c>
      <c r="BT65" s="177">
        <f ca="1">(TabCalc[[#This Row],[ValueBegin]]+(TabCalc[[#This Row],[M]]-TabCalc[[#This Row],[A]])*TabCalc[[#This Row],[NAfter]])*TabCalc[[#This Row],[Scale]]</f>
        <v>-10146.176500000001</v>
      </c>
      <c r="BU65" s="189" cm="1">
        <f t="array" aca="1" ref="BU65" ca="1">_xlfn.XLOOKUP(TabCalc[[#This Row],[Ticker]],TabReg[[#Headers],[AAPL]:[UnknownX28]],Reg!B$72:KF$72)+3</f>
        <v>12</v>
      </c>
      <c r="BV65" s="190" cm="1">
        <f t="array" aca="1" ref="BV65" ca="1">_xlfn.XLOOKUP(TabCalc[[#This Row],[Ticker]],TabReg[[#Headers],[AAPL]:[UnknownX28]],Reg!B$73:KF$73)+2</f>
        <v>192</v>
      </c>
      <c r="BW65" s="191">
        <f ca="1">IFERROR(MAX(TabCalc[[#This Row],[Max_SD]],TabCalc[[#This Row],[Max_PD]]),0)</f>
        <v>45856</v>
      </c>
      <c r="BX65" s="191" t="str" cm="1">
        <f t="array" aca="1" ref="BX65" ca="1">_xlfn.IFS(TabCalc[[#This Row],[L_TP]]&lt;0,"Purchase",TabCalc[[#This Row],[L_TP]]&gt;0,"Sale")</f>
        <v>Purchase</v>
      </c>
      <c r="BY65" s="190" cm="1">
        <f t="array" aca="1" ref="BY65" ca="1">INDEX(Reg!$A$1:$KF$73,TabCalc[[#This Row],[L_I1]],TabCalc[[#This Row],[L_I2]])</f>
        <v>39</v>
      </c>
      <c r="BZ65" s="192" cm="1">
        <f t="array" aca="1" ref="BZ65" ca="1">INDEX(Reg!$A$1:$KF$73,TabCalc[[#This Row],[L_I1]],TabCalc[[#This Row],[L_I2]]+1)</f>
        <v>-37.424999999999997</v>
      </c>
      <c r="CA65" s="161">
        <f ca="1">TabCalc[[#This Row],[NAfter]]*(TabCalc[[#This Row],[M]]-IF(TabCalc[[#This Row],[E]]&gt;0,0,TabCalc[[#This Row],[A]]))</f>
        <v>-6602.755000000001</v>
      </c>
      <c r="CB65" s="167" cm="1">
        <f t="array" aca="1" ref="CB65" ca="1">IFERROR(MIN(_xlfn._xlws.FILTER(INDIRECT("TabReg["&amp;TabCalc[[#This Row],[Ticker]]&amp;"]"), INDIRECT("TabReg["&amp;TabCalc[[#This Row],[Ticker]]&amp;"2]")&gt;0)),0)</f>
        <v>45567</v>
      </c>
      <c r="CC65" s="178" cm="1">
        <f t="array" aca="1" ref="CC65" ca="1">IFERROR(MIN(_xlfn._xlws.FILTER(INDIRECT("TabReg["&amp;TabCalc[[#This Row],[Ticker]]&amp;"1]"), INDIRECT("TabReg["&amp;TabCalc[[#This Row],[Ticker]]&amp;"2]")&gt;0)),0)</f>
        <v>488</v>
      </c>
      <c r="CD65" s="173" cm="1">
        <f t="array" aca="1" ref="CD65" ca="1">IFERROR(MIN(_xlfn._xlws.FILTER(INDIRECT("TabReg["&amp;TabCalc[[#This Row],[Ticker]]&amp;"2]"), INDIRECT("TabReg["&amp;TabCalc[[#This Row],[Ticker]]&amp;"2]")&gt;0)),0)</f>
        <v>45.93</v>
      </c>
      <c r="CE65" s="167" cm="1">
        <f t="array" aca="1" ref="CE65" ca="1">IFERROR(MAX(_xlfn._xlws.FILTER(INDIRECT("TabReg["&amp;TabCalc[[#This Row],[Ticker]]&amp;"]"), INDIRECT("TabReg["&amp;TabCalc[[#This Row],[Ticker]]&amp;"2]")&gt;0)),0)</f>
        <v>45702</v>
      </c>
      <c r="CF65" s="178" cm="1">
        <f t="array" aca="1" ref="CF65" ca="1">IFERROR(MAX(_xlfn._xlws.FILTER(INDIRECT("TabReg["&amp;TabCalc[[#This Row],[Ticker]]&amp;"1]"), INDIRECT("TabReg["&amp;TabCalc[[#This Row],[Ticker]]&amp;"2]")&gt;0)),0)</f>
        <v>500</v>
      </c>
      <c r="CG65" s="173" cm="1">
        <f t="array" aca="1" ref="CG65" ca="1">IFERROR(MAX(_xlfn._xlws.FILTER(INDIRECT("TabReg["&amp;TabCalc[[#This Row],[Ticker]]&amp;"2]"), INDIRECT("TabReg["&amp;TabCalc[[#This Row],[Ticker]]&amp;"2]")&gt;0)),0)</f>
        <v>54.35</v>
      </c>
      <c r="CH65" s="167" cm="1">
        <f t="array" aca="1" ref="CH65" ca="1">MIN(_xlfn._xlws.FILTER(INDIRECT("TabReg["&amp;TabCalc[[#This Row],[Ticker]]&amp;"]"), INDIRECT("TabReg["&amp;TabCalc[[#This Row],[Ticker]]&amp;"2]")&lt;0))</f>
        <v>40544</v>
      </c>
      <c r="CI65" s="177" cm="1">
        <f t="array" aca="1" ref="CI65" ca="1">MIN(_xlfn._xlws.FILTER(INDIRECT("TabReg["&amp;TabCalc[[#This Row],[Ticker]]&amp;"1]"), INDIRECT("TabReg["&amp;TabCalc[[#This Row],[Ticker]]&amp;"2]")&lt;0))</f>
        <v>9</v>
      </c>
      <c r="CJ65" s="173" cm="1">
        <f t="array" aca="1" ref="CJ65" ca="1">MIN(_xlfn._xlws.FILTER(INDIRECT("TabReg["&amp;TabCalc[[#This Row],[Ticker]]&amp;"2]"), INDIRECT("TabReg["&amp;TabCalc[[#This Row],[Ticker]]&amp;"2]")&lt;0))</f>
        <v>-78.742699999999999</v>
      </c>
      <c r="CK65" s="167" cm="1">
        <f t="array" aca="1" ref="CK65" ca="1">MAX(_xlfn._xlws.FILTER(INDIRECT("TabReg["&amp;TabCalc[[#This Row],[Ticker]]&amp;"]"), INDIRECT("TabReg["&amp;TabCalc[[#This Row],[Ticker]]&amp;"2]")&lt;0))</f>
        <v>45856</v>
      </c>
      <c r="CL65" s="177" cm="1">
        <f t="array" aca="1" ref="CL65" ca="1">MAX(_xlfn._xlws.FILTER(INDIRECT("TabReg["&amp;TabCalc[[#This Row],[Ticker]]&amp;"1]"), INDIRECT("TabReg["&amp;TabCalc[[#This Row],[Ticker]]&amp;"2]")&lt;0))</f>
        <v>955</v>
      </c>
      <c r="CM65" s="173" cm="1">
        <f t="array" aca="1" ref="CM65" ca="1">MAX(_xlfn._xlws.FILTER(INDIRECT("TabReg["&amp;TabCalc[[#This Row],[Ticker]]&amp;"2]"), INDIRECT("TabReg["&amp;TabCalc[[#This Row],[Ticker]]&amp;"2]")&lt;0))</f>
        <v>-37.424999999999997</v>
      </c>
      <c r="CN65" s="167" cm="1">
        <f t="array" aca="1" ref="CN65" ca="1">IFERROR(_xlfn.XLOOKUP(TabCalc[[#This Row],[BS2P]],INDIRECT("TabReg["&amp;TabCalc[[#This Row],[Ticker]]&amp;"2]"),INDIRECT("TabReg["&amp;TabCalc[[#This Row],[Ticker]]&amp;"]")),0)</f>
        <v>45569</v>
      </c>
      <c r="CO65" s="178" cm="1">
        <f t="array" aca="1" ref="CO65" ca="1">IFERROR(_xlfn.XLOOKUP(TabCalc[[#This Row],[BS2P]],INDIRECT("TabReg["&amp;TabCalc[[#This Row],[Ticker]]&amp;"2]"),INDIRECT("TabReg["&amp;TabCalc[[#This Row],[Ticker]]&amp;"1]")),0)</f>
        <v>490</v>
      </c>
      <c r="CP65" s="173">
        <f ca="1">_xlfn.MAXIFS(INDIRECT("TabReg["&amp;TabCalc[[#This Row],[Ticker]]&amp;"2]"), INDIRECT("TabReg["&amp;TabCalc[[#This Row],[Ticker]]&amp;"2]"), "&lt;" &amp; MAX(INDIRECT("TabReg["&amp;TabCalc[[#This Row],[Ticker]]&amp;"2]")))</f>
        <v>51.5</v>
      </c>
      <c r="CQ65" s="167" cm="1">
        <f t="array" aca="1" ref="CQ65" ca="1">IFERROR(_xlfn.XLOOKUP(TabCalc[[#This Row],[WB2P]],INDIRECT("TabReg["&amp;TabCalc[[#This Row],[Ticker]]&amp;"2]"),INDIRECT("TabReg["&amp;TabCalc[[#This Row],[Ticker]]&amp;"]")),0)</f>
        <v>45606</v>
      </c>
      <c r="CR65" s="178" cm="1">
        <f t="array" aca="1" ref="CR65" ca="1">IFERROR(_xlfn.XLOOKUP(TabCalc[[#This Row],[WB2P]],INDIRECT("TabReg["&amp;TabCalc[[#This Row],[Ticker]]&amp;"2]"),INDIRECT("TabReg["&amp;TabCalc[[#This Row],[Ticker]]&amp;"1]")),0)</f>
        <v>490</v>
      </c>
      <c r="CS65" s="173">
        <f ca="1">_xlfn.MINIFS(INDIRECT("TabReg["&amp;TabCalc[[#This Row],[Ticker]]&amp;"2]"), INDIRECT("TabReg["&amp;TabCalc[[#This Row],[Ticker]]&amp;"2]"), "&gt;" &amp; MIN(INDIRECT("TabReg["&amp;TabCalc[[#This Row],[Ticker]]&amp;"2]")))</f>
        <v>-48.84</v>
      </c>
      <c r="CT65" s="405">
        <f ca="1">IF(TabCalc[[#This Row],[M]]&lt;TabCalc[[#This Row],[L_Sp]],DesiredBuyGain/(TabCalc[[#This Row],[L_Sp]]-TabCalc[[#This Row],[M]]),0)</f>
        <v>316.85678073510769</v>
      </c>
      <c r="CU65" s="406">
        <f ca="1">IF(TabCalc[[#This Row],[ntoBuy]]*TabCalc[[#This Row],[M]]&lt;=0,0,TabCalc[[#This Row],[ntoBuy]]*TabCalc[[#This Row],[M]])</f>
        <v>9553.2319391634956</v>
      </c>
      <c r="CV65" s="406">
        <f ca="1">IF(TabCalc[[#This Row],[M]]&gt;ABS(TabCalc[[#This Row],[L_Bp]]),MIN(TabCalc[[#This Row],[NAfter]],DesiredSaleGain/(TabCalc[[#This Row],[M]]+TabCalc[[#This Row],[L_Bp]])),0)/TabCalc[[#This Row],[Scale]]</f>
        <v>0</v>
      </c>
      <c r="CW65" s="407">
        <f ca="1">TabCalc[[#This Row],[ntoSell]]*TabCalc[[#This Row],[M]]</f>
        <v>0</v>
      </c>
      <c r="CX65" s="400">
        <f ca="1">_xlfn.LET(_xlpm.nToSell,IF(TabCalc[[#This Row],[M]]-TabCalc[[#This Row],[A]]&lt;=0,"",INT(DesiredSaleGain/(TabCalc[[#This Row],[M]]-IF(TabCalc[[#This Row],[E]]&gt;0,0,TabCalc[[#This Row],[A]])))),IF(_xlpm.nToSell&lt;=TabCalc[[#This Row],[NAfter]],_xlpm.nToSell,0))</f>
        <v>0</v>
      </c>
      <c r="CY65" s="338">
        <f ca="1">IFERROR(TabCalc[[#This Row],[NMA]]*TabCalc[[#This Row],[M]],"")</f>
        <v>0</v>
      </c>
      <c r="CZ65" s="337" cm="1">
        <f t="array" aca="1" ref="CZ65" ca="1">_xlfn.IFS(TabCalc[[#This Row],[M]]&gt;= TabCalc[[#This Row],[L_Sp]],(TabCalc[[#This Row],[M]]-TabCalc[[#This Row],[A]])*TabCalc[[#This Row],[NAfter]]*TabCalc[[#This Row],[Scale]],           TabCalc[[#This Row],[M]]&lt; TabCalc[[#This Row],[L_Sp]],(TabCalc[[#This Row],[M]]-TabCalc[[#This Row],[A]])*TabCalc[[#This Row],[NAfter]]*TabCalc[[#This Row],[Scale]],               TRUE,"")</f>
        <v>-6602.755000000001</v>
      </c>
      <c r="DA65" s="90">
        <f ca="1">IFERROR((TabCalc[[#This Row],[M]]+TabCalc[[#This Row],[L_Bp]])/ABS(TabCalc[[#This Row],[L_Bp]])/(TODAY()-TabCalc[[#This Row],[L_Bdate]])*360,"")</f>
        <v>-0.69979959919839674</v>
      </c>
      <c r="DB65" s="312">
        <f ca="1">MEDIAN(DataShift!F764:Z764)</f>
        <v>-1.5079999999999998E-3</v>
      </c>
      <c r="DC65" s="312" t="e" cm="1">
        <f t="array" aca="1" ref="DC6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5" s="88" t="s">
        <v>61</v>
      </c>
      <c r="DN65" s="81">
        <v>45</v>
      </c>
      <c r="DO65" s="317">
        <v>-78.742699999999999</v>
      </c>
    </row>
    <row r="66" spans="1:119">
      <c r="A66" s="120" t="str">
        <f ca="1">_xlfn.XLOOKUP(TabCalc[[#This Row],[Ticker]],[1]!RTData[Ticker symbol],[1]!RTData[Currency])</f>
        <v>USD</v>
      </c>
      <c r="B66" s="121">
        <f ca="1">IF(TabCalc[[#This Row],[Cur]]="GBP",0.01,1)</f>
        <v>1</v>
      </c>
      <c r="C66" s="82">
        <f ca="1">_xlfn.XLOOKUP(TabCalc[[#This Row],[Ticker]],DM$3:DM$96,DN$3:DN$96)</f>
        <v>500</v>
      </c>
      <c r="D66" s="1254">
        <f ca="1">_xlfn.XLOOKUP(TabCalc[[#This Row],[Ticker]],DM$3:DM$96,DO$3:DO$96)</f>
        <v>-68.847200000000043</v>
      </c>
      <c r="E66" s="121">
        <f t="shared" ca="1" si="2"/>
        <v>-34423.60000000002</v>
      </c>
      <c r="F66" s="82">
        <f ca="1">TabCalc[[#This Row],[NAfter]]*TabCalc[[#This Row],[M]]*TabCalc[[#This Row],[Scale]]</f>
        <v>91987</v>
      </c>
      <c r="G66" s="82">
        <f ca="1">IFERROR(TabCalc[[#This Row],[SB]]-TabCalc[[#This Row],[SST]],TabCalc[[#This Row],[SB]])</f>
        <v>350</v>
      </c>
      <c r="H66" s="535" t="str">
        <f ca="1">[1]!RTData[[#This Row],[Ticker symbol]]</f>
        <v>SAFAAPL</v>
      </c>
      <c r="I66" s="385">
        <f ca="1">[1]!RTData[[#This Row],[M-Price]]</f>
        <v>262.82</v>
      </c>
      <c r="J66" s="384">
        <v>199.85416914285713</v>
      </c>
      <c r="K66" s="383">
        <f>[1]!RTData[[#This Row],[1YT]]</f>
        <v>248.17128</v>
      </c>
      <c r="L66" s="384">
        <f ca="1">IF(OR(TabCalc[[#This Row],[NAfter]]=0,TabCalc[[#This Row],[EfCost]]&gt;0),0,TabCalc[[#This Row],[EfCost]]/TabCalc[[#This Row],[NAfter]]/TabCalc[[#This Row],[Scale]])</f>
        <v>0</v>
      </c>
      <c r="M66" s="744">
        <f ca="1">[1]!RTData[[#This Row],[Change%]]</f>
        <v>1.2482E-2</v>
      </c>
      <c r="N66" s="1172">
        <v>0</v>
      </c>
      <c r="O66" s="966">
        <f>TabCalc[[#This Row],[Up20]]-1+TabCalc[[#This Row],[Up20]]</f>
        <v>-1</v>
      </c>
      <c r="P66" s="966">
        <f>TabCalc[[#This Row],[Up20]]-TabCalc[[#This Row],[Up150]]</f>
        <v>-0.5714285714285714</v>
      </c>
      <c r="Q66" s="966">
        <v>0.5714285714285714</v>
      </c>
      <c r="R66" s="966">
        <f>TabCalc[[#This Row],[Up150]]-1+TabCalc[[#This Row],[Up150]]</f>
        <v>0.14285714285714279</v>
      </c>
      <c r="S66" s="966">
        <f ca="1">IFERROR(SUMPRODUCT(DataShift!F1558:Z1558,DataShift!AB765:AV765)/SQRT(SUMPRODUCT(DataShift!F1558:Z1558,DataShift!F1558:Z1558)*SUMPRODUCT(DataShift!AB765:AV765,DataShift!AB765:AV765)),0)</f>
        <v>-0.4614378808079122</v>
      </c>
      <c r="T66" s="966">
        <f ca="1">IFERROR(SUMPRODUCT(DataShift!F1558:Z1558,DataShift!F765:Z765)/SQRT(SUMPRODUCT(DataShift!F1558:Z1558,DataShift!F1558:Z1558)*SUMPRODUCT(DataShift!F765:Z765,DataShift!F765:Z765)),0)</f>
        <v>-1.844891389289471E-2</v>
      </c>
      <c r="U66" s="1107">
        <v>350</v>
      </c>
      <c r="V66" s="1107">
        <v>0</v>
      </c>
      <c r="W66" s="1107">
        <v>0</v>
      </c>
      <c r="X66" s="966" t="str">
        <f ca="1">IF(TabCalc[[#This Row],[EfCost]]+TabCalc[[#This Row],[M_V]]&lt;TabCalc[[#This Row],[NoT_GL]],"Pile","")</f>
        <v/>
      </c>
      <c r="Y6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6" s="213">
        <f ca="1">MIN(TabCalc[[#This Row],[L_Bn]],TabCalc[[#This Row],[NAfter]])*(TabCalc[[#This Row],[M]]+TabCalc[[#This Row],[L_Bp]])*TabCalc[[#This Row],[Scale]]</f>
        <v>18565.799999999996</v>
      </c>
      <c r="AA66" s="210" cm="1">
        <f t="array" aca="1" ref="AA66" ca="1">_xlfn.XLOOKUP(TabCalc[[#This Row],[L_Bp]],INDIRECT("TabReg["&amp;TabCalc[[#This Row],[Ticker]]&amp;"2]"),INDIRECT("TabReg["&amp;TabCalc[[#This Row],[Ticker]]&amp;"]"))</f>
        <v>45819</v>
      </c>
      <c r="AB66" s="181" cm="1">
        <f t="array" aca="1" ref="AB66" ca="1">_xlfn.XLOOKUP(TabCalc[[#This Row],[L_Bp]],INDIRECT("TabReg["&amp;TabCalc[[#This Row],[Ticker]]&amp;"2]"),INDIRECT("TabReg["&amp;TabCalc[[#This Row],[Ticker]]&amp;"1]"))</f>
        <v>290</v>
      </c>
      <c r="AC66" s="192" cm="1">
        <f t="array" aca="1" ref="AC66" ca="1">IFERROR(INDEX(INDIRECT("TabReg["&amp;TabCalc[[#This Row],[Ticker]]&amp;"2]"),    _xlfn.XMATCH(    MAX(    _xlfn._xlws.FILTER(INDIRECT("TabReg["&amp;TabCalc[[#This Row],[Ticker]]&amp;"]"), INDIRECT("TabReg["&amp;TabCalc[[#This Row],[Ticker]]&amp;"2]")&lt;0)     ), INDIRECT("TabReg["&amp;TabCalc[[#This Row],[Ticker]]&amp;"]"),      0)), "")</f>
        <v>-198.8</v>
      </c>
      <c r="AD66" s="213">
        <f ca="1">IFERROR(MIN(TabCalc[[#This Row],[L_B1n]],TabCalc[[#This Row],[NAfter]])*(TabCalc[[#This Row],[M]]+TabCalc[[#This Row],[L_B1p]])*TabCalc[[#This Row],[Scale]],"")</f>
        <v>20254.737999999998</v>
      </c>
      <c r="AE66" s="210" cm="1">
        <f t="array" aca="1" ref="AE6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66" s="181" cm="1">
        <f t="array" aca="1" ref="AF66" ca="1">IFERROR(_xlfn.XLOOKUP(TabCalc[[#This Row],[L_B1D]],INDIRECT("TabReg["&amp;TabCalc[[#This Row],[Ticker]]&amp;"]"),INDIRECT("TabReg["&amp;TabCalc[[#This Row],[Ticker]]&amp;"1]")),0)</f>
        <v>500</v>
      </c>
      <c r="AG66" s="192" cm="1">
        <f t="array" aca="1" ref="AG66" ca="1">IFERROR(_xlfn.XLOOKUP(TabCalc[[#This Row],[L_B1D]],INDIRECT("TabReg["&amp;TabCalc[[#This Row],[Ticker]]&amp;"]"),INDIRECT("TabReg["&amp;TabCalc[[#This Row],[Ticker]]&amp;"2]")),0)</f>
        <v>-204.94932</v>
      </c>
      <c r="AH66" s="302">
        <f ca="1">IFERROR(TabCalc[[#This Row],[L_Sn]]*(TabCalc[[#This Row],[L_Sp]]-TabCalc[[#This Row],[M]])*TabCalc[[#This Row],[Scale]],"")</f>
        <v>-422.99999999999898</v>
      </c>
      <c r="AI66" s="210" cm="1">
        <f t="array" aca="1" ref="AI66" ca="1">IFERROR(_xlfn.XLOOKUP(TabCalc[[#This Row],[L_Sp]],INDIRECT("TabReg["&amp;TabCalc[[#This Row],[Ticker]]&amp;"2]"),INDIRECT("TabReg["&amp;TabCalc[[#This Row],[Ticker]]&amp;"]")),0)</f>
        <v>45937</v>
      </c>
      <c r="AJ66" s="181" cm="1">
        <f t="array" aca="1" ref="AJ66" ca="1">IFERROR(_xlfn.XLOOKUP(TabCalc[[#This Row],[L_Sp]],INDIRECT("TabReg["&amp;TabCalc[[#This Row],[Ticker]]&amp;"2]"),INDIRECT("TabReg["&amp;TabCalc[[#This Row],[Ticker]]&amp;"1]")),0)</f>
        <v>150</v>
      </c>
      <c r="AK66" s="192" cm="1">
        <f t="array" aca="1" ref="AK66" ca="1">IFERROR(INDEX(INDIRECT("TabReg["&amp;TabCalc[[#This Row],[Ticker]]&amp;"2]"), _xlfn.XMATCH(MAX(_xlfn._xlws.FILTER(INDIRECT("TabReg["&amp;TabCalc[[#This Row],[Ticker]]&amp;"]"), INDIRECT("TabReg["&amp;TabCalc[[#This Row],[Ticker]]&amp;"2]")&gt;0)), INDIRECT("TabReg["&amp;TabCalc[[#This Row],[Ticker]]&amp;"]"), 0)), 0)</f>
        <v>260</v>
      </c>
      <c r="AL66" s="214">
        <f ca="1">IFERROR(TabCalc[[#This Row],[L_S1n]]*(TabCalc[[#This Row],[L_S1p]]-TabCalc[[#This Row],[M]])*TabCalc[[#This Row],[Scale]],0)</f>
        <v>-9782.9999999999964</v>
      </c>
      <c r="AM66" s="210" cm="1">
        <f t="array" aca="1" ref="AM6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45911</v>
      </c>
      <c r="AN66" s="181" cm="1">
        <f t="array" aca="1" ref="AN66" ca="1">IFERROR(_xlfn.XLOOKUP(TabCalc[[#This Row],[L_S1D]],INDIRECT("TabReg["&amp;TabCalc[[#This Row],[Ticker]]&amp;"]"),INDIRECT("TabReg["&amp;TabCalc[[#This Row],[Ticker]]&amp;"1]")),0)</f>
        <v>300</v>
      </c>
      <c r="AO66" s="384" cm="1">
        <f t="array" aca="1" ref="AO66" ca="1">IFERROR(_xlfn.XLOOKUP(TabCalc[[#This Row],[L_S1D]],INDIRECT("TabReg["&amp;TabCalc[[#This Row],[Ticker]]&amp;"]"),INDIRECT("TabReg["&amp;TabCalc[[#This Row],[Ticker]]&amp;"2]")),0)</f>
        <v>230.21</v>
      </c>
      <c r="AP66" s="336">
        <f ca="1">_xlfn.LET(_xlpm.MVOpen,[1]!RTData[[#This Row],[Open]]*TabCalc[[#This Row],[NAfter]],_xlpm.MVNow,TabCalc[[#This Row],[M]]*TabCalc[[#This Row],[NAfter]],_xlpm.MVNow-_xlpm.MVOpen)*TabCalc[[#This Row],[Scale]]</f>
        <v>570.5</v>
      </c>
      <c r="AQ66" s="336">
        <f ca="1">_xlfn.LET(_xlpm.MVToday,DataShift!AV566,         _xlpm.MVY,DataShift!AU566,        _xlpm.MVYY, DataShift!AT566,                                IF(_xlpm.MVToday=_xlpm.MVY,_xlpm.MVY-_xlpm.MVYY,_xlpm.MVToday-_xlpm.MVY))</f>
        <v>-3468.6500000000087</v>
      </c>
      <c r="AR66" s="336">
        <f ca="1">_xlfn.LET(_xlpm.MVToday,DataShift!AV566,         _xlpm.MVY,DataShift!AU566,        _xlpm.MVYY, DataShift!AT566,         _xlpm.MVYYY, DataShift!AS566,                      IF(_xlpm.MVToday=_xlpm.MVY,      _xlpm.MVYY-_xlpm.MVYYY,          _xlpm.MVY-_xlpm.MVYY))</f>
        <v>2065.1500000000087</v>
      </c>
      <c r="AS66" s="1078">
        <f ca="1">TabCalc[[#This Row],[Y]]/TabCalc[[#This Row],[M]]</f>
        <v>0.94426329807472797</v>
      </c>
      <c r="AT66" s="299" t="str" cm="1">
        <f t="array" aca="1" ref="AT66" ca="1">IFERROR(_xlfn.IFS(          TabCalc[[#This Row],[E]]&gt;0, "Free Trade",      TabCalc[[#This Row],[A]]&lt;MIN(TabCalc[[#This Row],[L_Sp]],TabCalc[[#This Row],[M]]), "Buy",            TabCalc[[#This Row],[M]]&lt;TabCalc[[#This Row],[L_Sp]],       "Refill",       TabCalc[[#This Row],[M]]&gt;TabCalc[[#This Row],[L_Sp]],"S_more"),"")</f>
        <v>Buy</v>
      </c>
      <c r="AU66" s="299" t="str">
        <f ca="1">IF(           AND(TabCalc[[#This Row],[E]]&lt;=0,          TabCalc[[#This Row],[A]]&gt;MIN(TabCalc[[#This Row],[M]],TabCalc[[#This Row],[L_Sp]]),             TabCalc[[#This Row],[L_Sp]]&lt;=TabCalc[[#This Row],[M]]),                       "S_more","")</f>
        <v/>
      </c>
      <c r="AV66" s="82" t="str" cm="1">
        <f t="array" aca="1" ref="AV66" ca="1">IFERROR(_xlfn.IFS(TabCalc[[#This Row],[E]]&gt;0,"Free trade",                 TabCalc[[#This Row],[A]]&lt;MAX(ABS(TabCalc[[#This Row],[L_Bp]]),TabCalc[[#This Row],[A]]),"Sell",             TabCalc[[#This Row],[M]]&gt;ABS(TabCalc[[#This Row],[L_Bp]]),"Resell",             TabCalc[[#This Row],[M]]&lt;ABS(TabCalc[[#This Row],[L_Bp]]),"B_more"),"")</f>
        <v>Resell</v>
      </c>
      <c r="AW66" s="82">
        <f ca="1">TabCalc[[#This Row],[NAfter]]-TabCalc[[#This Row],[Nbegin]]</f>
        <v>-150</v>
      </c>
      <c r="AX66" s="307">
        <f ca="1">IFERROR((TabCalc[[#This Row],[M]]-TabCalc[[#This Row],[Y]])*(TabCalc[[#This Row],[M]]-TabCalc[[#This Row],[Y]])*(TabCalc[[#This Row],[M]]-TabCalc[[#This Row],[Y]])/(TabCalc[[#This Row],[Y]]*TabCalc[[#This Row],[M]]),"")</f>
        <v>4.8193570388187959E-2</v>
      </c>
      <c r="AY66" s="82">
        <f t="shared" ca="1" si="3"/>
        <v>150</v>
      </c>
      <c r="AZ66" s="90">
        <f ca="1">[1]!RTData[[#This Row],[V/VA]]</f>
        <v>0.72655349107793532</v>
      </c>
      <c r="BA66" s="90" t="str" cm="1">
        <f t="array" aca="1" ref="BA66" ca="1">IFERROR(_xlfn.IFS(TabCalc[[#This Row],[Cur]]="USD",Timer!F$27,TabCalc[[#This Row],[Cur]]="EUR",Timer!F$18,TabCalc[[#This Row],[Cur]]="GBP",Timer!F$12,TabCalc[[#This Row],[Cur]]="CAD",Timer!F$27,TabCalc[[#This Row],[Cur]]="JPY",Timer!F$31,TabCalc[[#This Row],[Cur]]="CHF",Timer!F$18),"Timing")</f>
        <v>None-Working Day</v>
      </c>
      <c r="BB66" s="90">
        <f ca="1">IF(ISNUMBER(TabCalc[[#This Row],[TimeEX]]),TabCalc[[#This Row],[V/VA]]/TabCalc[[#This Row],[TimeEX]],TabCalc[[#This Row],[V/VA]])</f>
        <v>0.72655349107793532</v>
      </c>
      <c r="BC66" s="87" cm="1">
        <f t="array" aca="1" ref="BC66" ca="1">INDEX(TabReg[], 1, _xlfn.XMATCH(TabCalc[[#This Row],[Ticker]]&amp;1, TabReg[#Headers], 0))</f>
        <v>500</v>
      </c>
      <c r="BD66" s="161">
        <f ca="1">TabCalc[[#This Row],[Nbegin]]*TabCalc[[#This Row],[M]]*TabCalc[[#This Row],[Scale]]+TabCalc[[#This Row],[ValueBegin]]</f>
        <v>96986.39999999998</v>
      </c>
      <c r="BE66" s="336" t="str" cm="1">
        <f t="array" aca="1" ref="BE66" ca="1">_xlfn.IFS(TabCalc[[#This Row],[Cost+Gain]]&gt;0,"Free",             TabCalc[[#This Row],[GL]]&gt;0,"Gainer",                TRUE,"Looser")</f>
        <v>Free</v>
      </c>
      <c r="BF66" s="161">
        <f ca="1">TabCalc[[#This Row],[Tot_Paid]]-TabCalc[[#This Row],[ValueBegin]]</f>
        <v>-687122.81567600009</v>
      </c>
      <c r="BG66" s="337">
        <f ca="1">IF(TabCalc[[#This Row],[EfCost]]&gt;TabCalc[[#This Row],[ValueBegin]],       0,        TabCalc[[#This Row],[EfCost]]-TabCalc[[#This Row],[ValueBegin]]*(1+Commission))</f>
        <v>0</v>
      </c>
      <c r="BH66" s="338">
        <f ca="1">TabCalc[[#This Row],[M_V]]+TabCalc[[#This Row],[ValueBegin]]</f>
        <v>57563.39999999998</v>
      </c>
      <c r="BI66" s="161" cm="1">
        <f t="array" aca="1" ref="BI66" ca="1">SUMPRODUCT(_xlfn._xlws.FILTER(INDIRECT("TabReg["&amp;TabCalc[[#This Row],[Ticker]]&amp;"1]") * INDIRECT("TabReg["&amp;TabCalc[[#This Row],[Ticker]]&amp;"2]"), INDIRECT("TabReg["&amp;TabCalc[[#This Row],[Ticker]]&amp;"2]")&lt;0))*(1+Commission)*TabCalc[[#This Row],[Scale]]</f>
        <v>-721546.41567600006</v>
      </c>
      <c r="BJ66" s="161" cm="1">
        <f t="array" aca="1" ref="BJ66" ca="1">SUMPRODUCT(IF(INDIRECT("TabReg["&amp;TabCalc[[#This Row],[Ticker]]&amp;"2]") ="", 0, INDIRECT("TabReg["&amp;TabCalc[[#This Row],[Ticker]]&amp;"1]") * INDIRECT("TabReg["&amp;TabCalc[[#This Row],[Ticker]]&amp;"2]") ))*TabCalc[[#This Row],[Scale]]</f>
        <v>32554.839999999967</v>
      </c>
      <c r="BK66" s="161" cm="1">
        <f t="array" aca="1" ref="BK6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750274.30173999991</v>
      </c>
      <c r="BL66" s="161">
        <f ca="1">TabCalc[[#This Row],[M_V]]+TabCalc[[#This Row],[EfCost]]</f>
        <v>124541.83999999997</v>
      </c>
      <c r="BM66" s="161">
        <f ca="1">IF(        OR( TabCalc[[#This Row],[GL]]&gt;ABS(TabCalc[[#This Row],[EfCost]]),TabCalc[[#This Row],[NAfter]]=0),             TabCalc[[#This Row],[GL]],     0)</f>
        <v>124541.83999999997</v>
      </c>
      <c r="BN66" s="161" cm="1">
        <f t="array" aca="1" ref="BN66" ca="1">SUMPRODUCT(_xlfn._xlws.FILTER(IF(INDIRECT("TabReg["&amp;TabCalc[[#This Row],[Ticker]]&amp;"2]") ="", 0, INDIRECT("TabReg["&amp;TabCalc[[#This Row],[Ticker]]&amp;"1]")  ),  INDIRECT("TabReg["&amp;TabCalc[[#This Row],[Ticker]]&amp;"2]") &lt; 0))</f>
        <v>3890</v>
      </c>
      <c r="BO66" s="161">
        <f ca="1">TabCalc[[#This Row],[SB]]-TabCalc[[#This Row],[Nbegin]]</f>
        <v>3390</v>
      </c>
      <c r="BP66" s="161" cm="1">
        <f t="array" aca="1" ref="BP66" ca="1">IFERROR(SUMPRODUCT(_xlfn._xlws.FILTER(IF(INDIRECT("TabReg["&amp;TabCalc[[#This Row],[Ticker]]&amp;"2]") ="", 0, INDIRECT("TabReg["&amp;TabCalc[[#This Row],[Ticker]]&amp;"1]")  ),  INDIRECT("TabReg["&amp;TabCalc[[#This Row],[Ticker]]&amp;"2]") &gt; 0)),0)</f>
        <v>3540</v>
      </c>
      <c r="BQ66"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6" s="176" t="str">
        <f ca="1">IF(TabCalc[[#This Row],[EfCost]]+TabCalc[[#This Row],[M_V]]&lt;TabCalc[[#This Row],[NoT_GL]],"Pile","")</f>
        <v/>
      </c>
      <c r="BS66" s="167">
        <f ca="1">[1]!RTData[[#This Row],[Last trade time]]</f>
        <v>45954.999963008595</v>
      </c>
      <c r="BT66" s="177">
        <f ca="1">(TabCalc[[#This Row],[ValueBegin]]+(TabCalc[[#This Row],[M]]-TabCalc[[#This Row],[A]])*TabCalc[[#This Row],[NAfter]])*TabCalc[[#This Row],[Scale]]</f>
        <v>-12385.559200000018</v>
      </c>
      <c r="BU66" s="189" cm="1">
        <f t="array" aca="1" ref="BU66" ca="1">_xlfn.XLOOKUP(TabCalc[[#This Row],[Ticker]],TabReg[[#Headers],[AAPL]:[UnknownX28]],Reg!B$72:KF$72)+3</f>
        <v>21</v>
      </c>
      <c r="BV66" s="190" cm="1">
        <f t="array" aca="1" ref="BV66" ca="1">_xlfn.XLOOKUP(TabCalc[[#This Row],[Ticker]],TabReg[[#Headers],[AAPL]:[UnknownX28]],Reg!B$73:KF$73)+2</f>
        <v>195</v>
      </c>
      <c r="BW66" s="191">
        <f ca="1">IFERROR(MAX(TabCalc[[#This Row],[Max_SD]],TabCalc[[#This Row],[Max_PD]]),0)</f>
        <v>45937</v>
      </c>
      <c r="BX66" s="191" t="str" cm="1">
        <f t="array" aca="1" ref="BX66" ca="1">_xlfn.IFS(TabCalc[[#This Row],[L_TP]]&lt;0,"Purchase",TabCalc[[#This Row],[L_TP]]&gt;0,"Sale")</f>
        <v>Sale</v>
      </c>
      <c r="BY66" s="190" cm="1">
        <f t="array" aca="1" ref="BY66" ca="1">INDEX(Reg!$A$1:$KF$73,TabCalc[[#This Row],[L_I1]],TabCalc[[#This Row],[L_I2]])</f>
        <v>150</v>
      </c>
      <c r="BZ66" s="192" cm="1">
        <f t="array" aca="1" ref="BZ66" ca="1">INDEX(Reg!$A$1:$KF$73,TabCalc[[#This Row],[L_I1]],TabCalc[[#This Row],[L_I2]]+1)</f>
        <v>260</v>
      </c>
      <c r="CA66" s="161">
        <f ca="1">TabCalc[[#This Row],[NAfter]]*(TabCalc[[#This Row],[M]]-IF(TabCalc[[#This Row],[E]]&gt;0,0,TabCalc[[#This Row],[A]]))</f>
        <v>22038.040800000002</v>
      </c>
      <c r="CB66" s="167" cm="1">
        <f t="array" aca="1" ref="CB66" ca="1">IFERROR(MIN(_xlfn._xlws.FILTER(INDIRECT("TabReg["&amp;TabCalc[[#This Row],[Ticker]]&amp;"]"), INDIRECT("TabReg["&amp;TabCalc[[#This Row],[Ticker]]&amp;"2]")&gt;0)),0)</f>
        <v>45377</v>
      </c>
      <c r="CC66" s="178" cm="1">
        <f t="array" aca="1" ref="CC66" ca="1">IFERROR(MIN(_xlfn._xlws.FILTER(INDIRECT("TabReg["&amp;TabCalc[[#This Row],[Ticker]]&amp;"1]"), INDIRECT("TabReg["&amp;TabCalc[[#This Row],[Ticker]]&amp;"2]")&gt;0)),0)</f>
        <v>150</v>
      </c>
      <c r="CD66" s="173" cm="1">
        <f t="array" aca="1" ref="CD66" ca="1">IFERROR(MIN(_xlfn._xlws.FILTER(INDIRECT("TabReg["&amp;TabCalc[[#This Row],[Ticker]]&amp;"2]"), INDIRECT("TabReg["&amp;TabCalc[[#This Row],[Ticker]]&amp;"2]")&gt;0)),0)</f>
        <v>170.71</v>
      </c>
      <c r="CE66" s="167" cm="1">
        <f t="array" aca="1" ref="CE66" ca="1">IFERROR(MAX(_xlfn._xlws.FILTER(INDIRECT("TabReg["&amp;TabCalc[[#This Row],[Ticker]]&amp;"]"), INDIRECT("TabReg["&amp;TabCalc[[#This Row],[Ticker]]&amp;"2]")&gt;0)),0)</f>
        <v>45937</v>
      </c>
      <c r="CF66" s="178" cm="1">
        <f t="array" aca="1" ref="CF66" ca="1">IFERROR(MAX(_xlfn._xlws.FILTER(INDIRECT("TabReg["&amp;TabCalc[[#This Row],[Ticker]]&amp;"1]"), INDIRECT("TabReg["&amp;TabCalc[[#This Row],[Ticker]]&amp;"2]")&gt;0)),0)</f>
        <v>1000</v>
      </c>
      <c r="CG66" s="173" cm="1">
        <f t="array" aca="1" ref="CG66" ca="1">IFERROR(MAX(_xlfn._xlws.FILTER(INDIRECT("TabReg["&amp;TabCalc[[#This Row],[Ticker]]&amp;"2]"), INDIRECT("TabReg["&amp;TabCalc[[#This Row],[Ticker]]&amp;"2]")&gt;0)),0)</f>
        <v>260</v>
      </c>
      <c r="CH66" s="167" cm="1">
        <f t="array" aca="1" ref="CH66" ca="1">MIN(_xlfn._xlws.FILTER(INDIRECT("TabReg["&amp;TabCalc[[#This Row],[Ticker]]&amp;"]"), INDIRECT("TabReg["&amp;TabCalc[[#This Row],[Ticker]]&amp;"2]")&lt;0))</f>
        <v>40544</v>
      </c>
      <c r="CI66" s="177" cm="1">
        <f t="array" aca="1" ref="CI66" ca="1">MIN(_xlfn._xlws.FILTER(INDIRECT("TabReg["&amp;TabCalc[[#This Row],[Ticker]]&amp;"1]"), INDIRECT("TabReg["&amp;TabCalc[[#This Row],[Ticker]]&amp;"2]")&lt;0))</f>
        <v>200</v>
      </c>
      <c r="CJ66" s="173" cm="1">
        <f t="array" aca="1" ref="CJ66" ca="1">MIN(_xlfn._xlws.FILTER(INDIRECT("TabReg["&amp;TabCalc[[#This Row],[Ticker]]&amp;"2]"), INDIRECT("TabReg["&amp;TabCalc[[#This Row],[Ticker]]&amp;"2]")&lt;0))</f>
        <v>-222.018</v>
      </c>
      <c r="CK66" s="167" cm="1">
        <f t="array" aca="1" ref="CK66" ca="1">MAX(_xlfn._xlws.FILTER(INDIRECT("TabReg["&amp;TabCalc[[#This Row],[Ticker]]&amp;"]"), INDIRECT("TabReg["&amp;TabCalc[[#This Row],[Ticker]]&amp;"2]")&lt;0))</f>
        <v>45819</v>
      </c>
      <c r="CL66" s="177" cm="1">
        <f t="array" aca="1" ref="CL66" ca="1">MAX(_xlfn._xlws.FILTER(INDIRECT("TabReg["&amp;TabCalc[[#This Row],[Ticker]]&amp;"1]"), INDIRECT("TabReg["&amp;TabCalc[[#This Row],[Ticker]]&amp;"2]")&lt;0))</f>
        <v>1100</v>
      </c>
      <c r="CM66" s="173" cm="1">
        <f t="array" aca="1" ref="CM66" ca="1">MAX(_xlfn._xlws.FILTER(INDIRECT("TabReg["&amp;TabCalc[[#This Row],[Ticker]]&amp;"2]"), INDIRECT("TabReg["&amp;TabCalc[[#This Row],[Ticker]]&amp;"2]")&lt;0))</f>
        <v>-68.847200000000043</v>
      </c>
      <c r="CN66" s="167" cm="1">
        <f t="array" aca="1" ref="CN66" ca="1">IFERROR(_xlfn.XLOOKUP(TabCalc[[#This Row],[BS2P]],INDIRECT("TabReg["&amp;TabCalc[[#This Row],[Ticker]]&amp;"2]"),INDIRECT("TabReg["&amp;TabCalc[[#This Row],[Ticker]]&amp;"]")),0)</f>
        <v>45707</v>
      </c>
      <c r="CO66" s="178" cm="1">
        <f t="array" aca="1" ref="CO66" ca="1">IFERROR(_xlfn.XLOOKUP(TabCalc[[#This Row],[BS2P]],INDIRECT("TabReg["&amp;TabCalc[[#This Row],[Ticker]]&amp;"2]"),INDIRECT("TabReg["&amp;TabCalc[[#This Row],[Ticker]]&amp;"1]")),0)</f>
        <v>240</v>
      </c>
      <c r="CP66" s="173">
        <f ca="1">_xlfn.MAXIFS(INDIRECT("TabReg["&amp;TabCalc[[#This Row],[Ticker]]&amp;"2]"), INDIRECT("TabReg["&amp;TabCalc[[#This Row],[Ticker]]&amp;"2]"), "&lt;" &amp; MAX(INDIRECT("TabReg["&amp;TabCalc[[#This Row],[Ticker]]&amp;"2]")))</f>
        <v>244.79</v>
      </c>
      <c r="CQ66" s="167" cm="1">
        <f t="array" aca="1" ref="CQ66" ca="1">IFERROR(_xlfn.XLOOKUP(TabCalc[[#This Row],[WB2P]],INDIRECT("TabReg["&amp;TabCalc[[#This Row],[Ticker]]&amp;"2]"),INDIRECT("TabReg["&amp;TabCalc[[#This Row],[Ticker]]&amp;"]")),0)</f>
        <v>45503</v>
      </c>
      <c r="CR66" s="178" cm="1">
        <f t="array" aca="1" ref="CR66" ca="1">IFERROR(_xlfn.XLOOKUP(TabCalc[[#This Row],[WB2P]],INDIRECT("TabReg["&amp;TabCalc[[#This Row],[Ticker]]&amp;"2]"),INDIRECT("TabReg["&amp;TabCalc[[#This Row],[Ticker]]&amp;"1]")),0)</f>
        <v>200</v>
      </c>
      <c r="CS66" s="173">
        <f ca="1">_xlfn.MINIFS(INDIRECT("TabReg["&amp;TabCalc[[#This Row],[Ticker]]&amp;"2]"), INDIRECT("TabReg["&amp;TabCalc[[#This Row],[Ticker]]&amp;"2]"), "&gt;" &amp; MIN(INDIRECT("TabReg["&amp;TabCalc[[#This Row],[Ticker]]&amp;"2]")))</f>
        <v>-217.45</v>
      </c>
      <c r="CT66" s="405">
        <f ca="1">IF(TabCalc[[#This Row],[M]]&lt;TabCalc[[#This Row],[L_Sp]],DesiredBuyGain/(TabCalc[[#This Row],[L_Sp]]-TabCalc[[#This Row],[M]]),0)</f>
        <v>0</v>
      </c>
      <c r="CU66" s="406">
        <f ca="1">IF(TabCalc[[#This Row],[ntoBuy]]*TabCalc[[#This Row],[M]]&lt;=0,0,TabCalc[[#This Row],[ntoBuy]]*TabCalc[[#This Row],[M]])</f>
        <v>0</v>
      </c>
      <c r="CV66" s="406">
        <f ca="1">IF(TabCalc[[#This Row],[M]]&gt;ABS(TabCalc[[#This Row],[L_Bp]]),MIN(TabCalc[[#This Row],[NAfter]],DesiredSaleGain/(TabCalc[[#This Row],[M]]+TabCalc[[#This Row],[L_Bp]])),0)/TabCalc[[#This Row],[Scale]]</f>
        <v>78.100593564511115</v>
      </c>
      <c r="CW66" s="407">
        <f ca="1">TabCalc[[#This Row],[ntoSell]]*TabCalc[[#This Row],[M]]</f>
        <v>20526.398000624809</v>
      </c>
      <c r="CX66" s="400">
        <f ca="1">_xlfn.LET(_xlpm.nToSell,IF(TabCalc[[#This Row],[M]]-TabCalc[[#This Row],[A]]&lt;=0,"",INT(DesiredSaleGain/(TabCalc[[#This Row],[M]]-IF(TabCalc[[#This Row],[E]]&gt;0,0,TabCalc[[#This Row],[A]])))),IF(_xlpm.nToSell&lt;=TabCalc[[#This Row],[NAfter]],_xlpm.nToSell,0))</f>
        <v>79</v>
      </c>
      <c r="CY66" s="338">
        <f ca="1">IFERROR(TabCalc[[#This Row],[NMA]]*TabCalc[[#This Row],[M]],"")</f>
        <v>20762.78</v>
      </c>
      <c r="CZ66" s="337" cm="1">
        <f t="array" aca="1" ref="CZ66" ca="1">_xlfn.IFS(TabCalc[[#This Row],[M]]&gt;= TabCalc[[#This Row],[L_Sp]],(TabCalc[[#This Row],[M]]-TabCalc[[#This Row],[A]])*TabCalc[[#This Row],[NAfter]]*TabCalc[[#This Row],[Scale]],           TabCalc[[#This Row],[M]]&lt; TabCalc[[#This Row],[L_Sp]],(TabCalc[[#This Row],[M]]-TabCalc[[#This Row],[A]])*TabCalc[[#This Row],[NAfter]]*TabCalc[[#This Row],[Scale]],               TRUE,"")</f>
        <v>22038.040800000002</v>
      </c>
      <c r="DA66" s="90">
        <f ca="1">IFERROR((TabCalc[[#This Row],[M]]+TabCalc[[#This Row],[L_Bp]])/ABS(TabCalc[[#This Row],[L_Bp]])/(TODAY()-TabCalc[[#This Row],[L_Bdate]])*360,"")</f>
        <v>0.84621598202352766</v>
      </c>
      <c r="DB66" s="312">
        <f ca="1">MEDIAN(DataShift!F765:Z765)</f>
        <v>2.5300000000000001E-3</v>
      </c>
      <c r="DC66" s="312" t="e" cm="1">
        <f t="array" aca="1" ref="DC6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6" s="88" t="s">
        <v>62</v>
      </c>
      <c r="DN66" s="82">
        <v>1000</v>
      </c>
      <c r="DO66" s="83">
        <v>-144.56</v>
      </c>
    </row>
    <row r="67" spans="1:119">
      <c r="A67" s="120" t="str">
        <f ca="1">_xlfn.XLOOKUP(TabCalc[[#This Row],[Ticker]],[1]!RTData[Ticker symbol],[1]!RTData[Currency])</f>
        <v>USD</v>
      </c>
      <c r="B67" s="121">
        <f ca="1">IF(TabCalc[[#This Row],[Cur]]="GBP",0.01,1)</f>
        <v>1</v>
      </c>
      <c r="C67" s="82">
        <f ca="1">_xlfn.XLOOKUP(TabCalc[[#This Row],[Ticker]],DM$3:DM$96,DN$3:DN$96)</f>
        <v>2000</v>
      </c>
      <c r="D67" s="1254">
        <f ca="1">_xlfn.XLOOKUP(TabCalc[[#This Row],[Ticker]],DM$3:DM$96,DO$3:DO$96)</f>
        <v>-157.13999999999999</v>
      </c>
      <c r="E67" s="121">
        <f t="shared" ca="1" si="2"/>
        <v>-314280</v>
      </c>
      <c r="F67" s="82">
        <f ca="1">TabCalc[[#This Row],[NAfter]]*TabCalc[[#This Row],[M]]*TabCalc[[#This Row],[Scale]]</f>
        <v>336315</v>
      </c>
      <c r="G67" s="82">
        <f ca="1">IFERROR(TabCalc[[#This Row],[SB]]-TabCalc[[#This Row],[SST]],TabCalc[[#This Row],[SB]])</f>
        <v>1500</v>
      </c>
      <c r="H67" s="535" t="str">
        <f ca="1">[1]!RTData[[#This Row],[Ticker symbol]]</f>
        <v>SAFAMZN</v>
      </c>
      <c r="I67" s="385">
        <f ca="1">[1]!RTData[[#This Row],[M-Price]]</f>
        <v>224.21</v>
      </c>
      <c r="J67" s="384">
        <v>204.7</v>
      </c>
      <c r="K67" s="383">
        <f>[1]!RTData[[#This Row],[1YT]]</f>
        <v>266.56450000000001</v>
      </c>
      <c r="L67" s="384">
        <f ca="1">IF(OR(TabCalc[[#This Row],[NAfter]]=0,TabCalc[[#This Row],[EfCost]]&gt;0),0,TabCalc[[#This Row],[EfCost]]/TabCalc[[#This Row],[NAfter]]/TabCalc[[#This Row],[Scale]])</f>
        <v>-114.43410599999999</v>
      </c>
      <c r="M67" s="744">
        <f ca="1">[1]!RTData[[#This Row],[Change%]]</f>
        <v>1.4112E-2</v>
      </c>
      <c r="N67" s="1172">
        <v>0.16666666666666666</v>
      </c>
      <c r="O67" s="966">
        <f>TabCalc[[#This Row],[Up20]]-1+TabCalc[[#This Row],[Up20]]</f>
        <v>-0.66666666666666674</v>
      </c>
      <c r="P67" s="966">
        <f>TabCalc[[#This Row],[Up20]]-TabCalc[[#This Row],[Up150]]</f>
        <v>-0.34226190476190477</v>
      </c>
      <c r="Q67" s="966">
        <v>0.5089285714285714</v>
      </c>
      <c r="R67" s="966">
        <f>TabCalc[[#This Row],[Up150]]-1+TabCalc[[#This Row],[Up150]]</f>
        <v>1.7857142857142794E-2</v>
      </c>
      <c r="S67" s="966">
        <f ca="1">IFERROR(SUMPRODUCT(DataShift!F1559:Z1559,DataShift!AB766:AV766)/SQRT(SUMPRODUCT(DataShift!F1559:Z1559,DataShift!F1559:Z1559)*SUMPRODUCT(DataShift!AB766:AV766,DataShift!AB766:AV766)),0)</f>
        <v>-0.69402675274315218</v>
      </c>
      <c r="T67" s="966">
        <f ca="1">IFERROR(SUMPRODUCT(DataShift!F1559:Z1559,DataShift!F766:Z766)/SQRT(SUMPRODUCT(DataShift!F1559:Z1559,DataShift!F1559:Z1559)*SUMPRODUCT(DataShift!F766:Z766,DataShift!F766:Z766)),0)</f>
        <v>0.28296521914609057</v>
      </c>
      <c r="U67" s="1107">
        <v>1250</v>
      </c>
      <c r="V67" s="1107">
        <v>250</v>
      </c>
      <c r="W67" s="1107">
        <v>0</v>
      </c>
      <c r="X67" s="966" t="str">
        <f ca="1">IF(TabCalc[[#This Row],[EfCost]]+TabCalc[[#This Row],[M_V]]&lt;TabCalc[[#This Row],[NoT_GL]],"Pile","")</f>
        <v/>
      </c>
      <c r="Y6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7" s="213">
        <f ca="1">MIN(TabCalc[[#This Row],[L_Bn]],TabCalc[[#This Row],[NAfter]])*(TabCalc[[#This Row],[M]]+TabCalc[[#This Row],[L_Bp]])*TabCalc[[#This Row],[Scale]]</f>
        <v>5480.0000000000036</v>
      </c>
      <c r="AA67" s="210" cm="1">
        <f t="array" aca="1" ref="AA67" ca="1">_xlfn.XLOOKUP(TabCalc[[#This Row],[L_Bp]],INDIRECT("TabReg["&amp;TabCalc[[#This Row],[Ticker]]&amp;"2]"),INDIRECT("TabReg["&amp;TabCalc[[#This Row],[Ticker]]&amp;"]"))</f>
        <v>45819</v>
      </c>
      <c r="AB67" s="181" cm="1">
        <f t="array" aca="1" ref="AB67" ca="1">_xlfn.XLOOKUP(TabCalc[[#This Row],[L_Bp]],INDIRECT("TabReg["&amp;TabCalc[[#This Row],[Ticker]]&amp;"2]"),INDIRECT("TabReg["&amp;TabCalc[[#This Row],[Ticker]]&amp;"1]"))</f>
        <v>500</v>
      </c>
      <c r="AC67" s="192" cm="1">
        <f t="array" aca="1" ref="AC67" ca="1">IFERROR(INDEX(INDIRECT("TabReg["&amp;TabCalc[[#This Row],[Ticker]]&amp;"2]"),    _xlfn.XMATCH(    MAX(    _xlfn._xlws.FILTER(INDIRECT("TabReg["&amp;TabCalc[[#This Row],[Ticker]]&amp;"]"), INDIRECT("TabReg["&amp;TabCalc[[#This Row],[Ticker]]&amp;"2]")&lt;0)     ), INDIRECT("TabReg["&amp;TabCalc[[#This Row],[Ticker]]&amp;"]"),      0)), "")</f>
        <v>-213.25</v>
      </c>
      <c r="AD67" s="213">
        <f ca="1">IFERROR(MIN(TabCalc[[#This Row],[L_B1n]],TabCalc[[#This Row],[NAfter]])*(TabCalc[[#This Row],[M]]+TabCalc[[#This Row],[L_B1p]])*TabCalc[[#This Row],[Scale]],"")</f>
        <v>7680</v>
      </c>
      <c r="AE67" s="210" cm="1">
        <f t="array" aca="1" ref="AE6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45726</v>
      </c>
      <c r="AF67" s="181" cm="1">
        <f t="array" aca="1" ref="AF67" ca="1">IFERROR(_xlfn.XLOOKUP(TabCalc[[#This Row],[L_B1D]],INDIRECT("TabReg["&amp;TabCalc[[#This Row],[Ticker]]&amp;"]"),INDIRECT("TabReg["&amp;TabCalc[[#This Row],[Ticker]]&amp;"1]")),0)</f>
        <v>250</v>
      </c>
      <c r="AG67" s="192" cm="1">
        <f t="array" aca="1" ref="AG67" ca="1">IFERROR(_xlfn.XLOOKUP(TabCalc[[#This Row],[L_B1D]],INDIRECT("TabReg["&amp;TabCalc[[#This Row],[Ticker]]&amp;"]"),INDIRECT("TabReg["&amp;TabCalc[[#This Row],[Ticker]]&amp;"2]")),0)</f>
        <v>-193.49</v>
      </c>
      <c r="AH67" s="302">
        <f ca="1">IFERROR(TabCalc[[#This Row],[L_Sn]]*(TabCalc[[#This Row],[L_Sp]]-TabCalc[[#This Row],[M]])*TabCalc[[#This Row],[Scale]],"")</f>
        <v>-1280.0000000000011</v>
      </c>
      <c r="AI67" s="210" cm="1">
        <f t="array" aca="1" ref="AI67" ca="1">IFERROR(_xlfn.XLOOKUP(TabCalc[[#This Row],[L_Sp]],INDIRECT("TabReg["&amp;TabCalc[[#This Row],[Ticker]]&amp;"2]"),INDIRECT("TabReg["&amp;TabCalc[[#This Row],[Ticker]]&amp;"]")),0)</f>
        <v>45951</v>
      </c>
      <c r="AJ67" s="181" cm="1">
        <f t="array" aca="1" ref="AJ67" ca="1">IFERROR(_xlfn.XLOOKUP(TabCalc[[#This Row],[L_Sp]],INDIRECT("TabReg["&amp;TabCalc[[#This Row],[Ticker]]&amp;"2]"),INDIRECT("TabReg["&amp;TabCalc[[#This Row],[Ticker]]&amp;"1]")),0)</f>
        <v>500</v>
      </c>
      <c r="AK67" s="192" cm="1">
        <f t="array" aca="1" ref="AK67" ca="1">IFERROR(INDEX(INDIRECT("TabReg["&amp;TabCalc[[#This Row],[Ticker]]&amp;"2]"), _xlfn.XMATCH(MAX(_xlfn._xlws.FILTER(INDIRECT("TabReg["&amp;TabCalc[[#This Row],[Ticker]]&amp;"]"), INDIRECT("TabReg["&amp;TabCalc[[#This Row],[Ticker]]&amp;"2]")&gt;0)), INDIRECT("TabReg["&amp;TabCalc[[#This Row],[Ticker]]&amp;"]"), 0)), 0)</f>
        <v>221.65</v>
      </c>
      <c r="AL67" s="214">
        <f ca="1">IFERROR(TabCalc[[#This Row],[L_S1n]]*(TabCalc[[#This Row],[L_S1p]]-TabCalc[[#This Row],[M]])*TabCalc[[#This Row],[Scale]],0)</f>
        <v>4254.9999999999955</v>
      </c>
      <c r="AM67" s="210" cm="1">
        <f t="array" aca="1" ref="AM6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N67" s="181" cm="1">
        <f t="array" aca="1" ref="AN67" ca="1">IFERROR(_xlfn.XLOOKUP(TabCalc[[#This Row],[L_S1D]],INDIRECT("TabReg["&amp;TabCalc[[#This Row],[Ticker]]&amp;"]"),INDIRECT("TabReg["&amp;TabCalc[[#This Row],[Ticker]]&amp;"1]")),0)</f>
        <v>500</v>
      </c>
      <c r="AO67" s="384" cm="1">
        <f t="array" aca="1" ref="AO67" ca="1">IFERROR(_xlfn.XLOOKUP(TabCalc[[#This Row],[L_S1D]],INDIRECT("TabReg["&amp;TabCalc[[#This Row],[Ticker]]&amp;"]"),INDIRECT("TabReg["&amp;TabCalc[[#This Row],[Ticker]]&amp;"2]")),0)</f>
        <v>232.72</v>
      </c>
      <c r="AP67" s="336">
        <f ca="1">_xlfn.LET(_xlpm.MVOpen,[1]!RTData[[#This Row],[Open]]*TabCalc[[#This Row],[NAfter]],_xlpm.MVNow,TabCalc[[#This Row],[M]]*TabCalc[[#This Row],[NAfter]],_xlpm.MVNow-_xlpm.MVOpen)*TabCalc[[#This Row],[Scale]]</f>
        <v>3360</v>
      </c>
      <c r="AQ67" s="336">
        <f ca="1">_xlfn.LET(_xlpm.MVToday,DataShift!AV567,         _xlpm.MVY,DataShift!AU567,        _xlpm.MVYY, DataShift!AT567,                                IF(_xlpm.MVToday=_xlpm.MVY,_xlpm.MVY-_xlpm.MVYY,_xlpm.MVToday-_xlpm.MVY))</f>
        <v>-448</v>
      </c>
      <c r="AR67" s="336">
        <f ca="1">_xlfn.LET(_xlpm.MVToday,DataShift!AV567,         _xlpm.MVY,DataShift!AU567,        _xlpm.MVYY, DataShift!AT567,         _xlpm.MVYYY, DataShift!AS567,                      IF(_xlpm.MVToday=_xlpm.MVY,      _xlpm.MVYY-_xlpm.MVYYY,          _xlpm.MVY-_xlpm.MVYY))</f>
        <v>-476</v>
      </c>
      <c r="AS67" s="1078">
        <f ca="1">TabCalc[[#This Row],[Y]]/TabCalc[[#This Row],[M]]</f>
        <v>1.188905490388475</v>
      </c>
      <c r="AT67" s="299" t="str" cm="1">
        <f t="array" aca="1" ref="AT67" ca="1">IFERROR(_xlfn.IFS(          TabCalc[[#This Row],[E]]&gt;0, "Free Trade",      TabCalc[[#This Row],[A]]&lt;MIN(TabCalc[[#This Row],[L_Sp]],TabCalc[[#This Row],[M]]), "Buy",            TabCalc[[#This Row],[M]]&lt;TabCalc[[#This Row],[L_Sp]],       "Refill",       TabCalc[[#This Row],[M]]&gt;TabCalc[[#This Row],[L_Sp]],"S_more"),"")</f>
        <v>Buy</v>
      </c>
      <c r="AU67" s="299" t="str">
        <f ca="1">IF(           AND(TabCalc[[#This Row],[E]]&lt;=0,          TabCalc[[#This Row],[A]]&gt;MIN(TabCalc[[#This Row],[M]],TabCalc[[#This Row],[L_Sp]]),             TabCalc[[#This Row],[L_Sp]]&lt;=TabCalc[[#This Row],[M]]),                       "S_more","")</f>
        <v/>
      </c>
      <c r="AV67" s="82" t="str" cm="1">
        <f t="array" aca="1" ref="AV67" ca="1">IFERROR(_xlfn.IFS(TabCalc[[#This Row],[E]]&gt;0,"Free trade",                 TabCalc[[#This Row],[A]]&lt;MAX(ABS(TabCalc[[#This Row],[L_Bp]]),TabCalc[[#This Row],[A]]),"Sell",             TabCalc[[#This Row],[M]]&gt;ABS(TabCalc[[#This Row],[L_Bp]]),"Resell",             TabCalc[[#This Row],[M]]&lt;ABS(TabCalc[[#This Row],[L_Bp]]),"B_more"),"")</f>
        <v>Sell</v>
      </c>
      <c r="AW67" s="82">
        <f ca="1">TabCalc[[#This Row],[NAfter]]-TabCalc[[#This Row],[Nbegin]]</f>
        <v>-500</v>
      </c>
      <c r="AX67" s="307">
        <f ca="1">IFERROR((TabCalc[[#This Row],[M]]-TabCalc[[#This Row],[Y]])*(TabCalc[[#This Row],[M]]-TabCalc[[#This Row],[Y]])*(TabCalc[[#This Row],[M]]-TabCalc[[#This Row],[Y]])/(TabCalc[[#This Row],[Y]]*TabCalc[[#This Row],[M]]),"")</f>
        <v>-1.271280506362481</v>
      </c>
      <c r="AY67" s="82">
        <f t="shared" ca="1" si="3"/>
        <v>500</v>
      </c>
      <c r="AZ67" s="90">
        <f ca="1">[1]!RTData[[#This Row],[V/VA]]</f>
        <v>0.80389560397611193</v>
      </c>
      <c r="BA67" s="90" t="str" cm="1">
        <f t="array" aca="1" ref="BA67" ca="1">IFERROR(_xlfn.IFS(TabCalc[[#This Row],[Cur]]="USD",Timer!F$27,TabCalc[[#This Row],[Cur]]="EUR",Timer!F$18,TabCalc[[#This Row],[Cur]]="GBP",Timer!F$12,TabCalc[[#This Row],[Cur]]="CAD",Timer!F$27,TabCalc[[#This Row],[Cur]]="JPY",Timer!F$31,TabCalc[[#This Row],[Cur]]="CHF",Timer!F$18),"Timing")</f>
        <v>None-Working Day</v>
      </c>
      <c r="BB67" s="90">
        <f ca="1">IF(ISNUMBER(TabCalc[[#This Row],[TimeEX]]),TabCalc[[#This Row],[V/VA]]/TabCalc[[#This Row],[TimeEX]],TabCalc[[#This Row],[V/VA]])</f>
        <v>0.80389560397611193</v>
      </c>
      <c r="BC67" s="87" cm="1">
        <f t="array" aca="1" ref="BC67" ca="1">INDEX(TabReg[], 1, _xlfn.XMATCH(TabCalc[[#This Row],[Ticker]]&amp;1, TabReg[#Headers], 0))</f>
        <v>2000</v>
      </c>
      <c r="BD67" s="161">
        <f ca="1">TabCalc[[#This Row],[Nbegin]]*TabCalc[[#This Row],[M]]*TabCalc[[#This Row],[Scale]]+TabCalc[[#This Row],[ValueBegin]]</f>
        <v>134140</v>
      </c>
      <c r="BE67" s="336" t="str" cm="1">
        <f t="array" aca="1" ref="BE67" ca="1">_xlfn.IFS(TabCalc[[#This Row],[Cost+Gain]]&gt;0,"Free",             TabCalc[[#This Row],[GL]]&gt;0,"Gainer",                TRUE,"Looser")</f>
        <v>Gainer</v>
      </c>
      <c r="BF67" s="161">
        <f ca="1">TabCalc[[#This Row],[Tot_Paid]]-TabCalc[[#This Row],[ValueBegin]]</f>
        <v>-1825111.8530334001</v>
      </c>
      <c r="BG67" s="337">
        <f ca="1">IF(TabCalc[[#This Row],[EfCost]]&gt;TabCalc[[#This Row],[ValueBegin]],       0,        TabCalc[[#This Row],[EfCost]]-TabCalc[[#This Row],[ValueBegin]]*(1+Commission))</f>
        <v>0</v>
      </c>
      <c r="BH67" s="338">
        <f ca="1">TabCalc[[#This Row],[M_V]]+TabCalc[[#This Row],[ValueBegin]]</f>
        <v>22035</v>
      </c>
      <c r="BI67" s="161" cm="1">
        <f t="array" aca="1" ref="BI67" ca="1">SUMPRODUCT(_xlfn._xlws.FILTER(INDIRECT("TabReg["&amp;TabCalc[[#This Row],[Ticker]]&amp;"1]") * INDIRECT("TabReg["&amp;TabCalc[[#This Row],[Ticker]]&amp;"2]"), INDIRECT("TabReg["&amp;TabCalc[[#This Row],[Ticker]]&amp;"2]")&lt;0))*(1+Commission)*TabCalc[[#This Row],[Scale]]</f>
        <v>-2139391.8530334001</v>
      </c>
      <c r="BJ67" s="161" cm="1">
        <f t="array" aca="1" ref="BJ67" ca="1">SUMPRODUCT(IF(INDIRECT("TabReg["&amp;TabCalc[[#This Row],[Ticker]]&amp;"2]") ="", 0, INDIRECT("TabReg["&amp;TabCalc[[#This Row],[Ticker]]&amp;"1]") * INDIRECT("TabReg["&amp;TabCalc[[#This Row],[Ticker]]&amp;"2]") ))*TabCalc[[#This Row],[Scale]]</f>
        <v>-171651.15899999999</v>
      </c>
      <c r="BK67" s="161" cm="1">
        <f t="array" aca="1" ref="BK6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1957090.9989799999</v>
      </c>
      <c r="BL67" s="161">
        <f ca="1">TabCalc[[#This Row],[M_V]]+TabCalc[[#This Row],[EfCost]]</f>
        <v>164663.84100000001</v>
      </c>
      <c r="BM67" s="161">
        <f ca="1">IF(        OR( TabCalc[[#This Row],[GL]]&gt;ABS(TabCalc[[#This Row],[EfCost]]),TabCalc[[#This Row],[NAfter]]=0),             TabCalc[[#This Row],[GL]],     0)</f>
        <v>0</v>
      </c>
      <c r="BN67" s="161" cm="1">
        <f t="array" aca="1" ref="BN67" ca="1">SUMPRODUCT(_xlfn._xlws.FILTER(IF(INDIRECT("TabReg["&amp;TabCalc[[#This Row],[Ticker]]&amp;"2]") ="", 0, INDIRECT("TabReg["&amp;TabCalc[[#This Row],[Ticker]]&amp;"1]")  ),  INDIRECT("TabReg["&amp;TabCalc[[#This Row],[Ticker]]&amp;"2]") &lt; 0))</f>
        <v>11790</v>
      </c>
      <c r="BO67" s="161">
        <f ca="1">TabCalc[[#This Row],[SB]]-TabCalc[[#This Row],[Nbegin]]</f>
        <v>9790</v>
      </c>
      <c r="BP67" s="161" cm="1">
        <f t="array" aca="1" ref="BP67" ca="1">IFERROR(SUMPRODUCT(_xlfn._xlws.FILTER(IF(INDIRECT("TabReg["&amp;TabCalc[[#This Row],[Ticker]]&amp;"2]") ="", 0, INDIRECT("TabReg["&amp;TabCalc[[#This Row],[Ticker]]&amp;"1]")  ),  INDIRECT("TabReg["&amp;TabCalc[[#This Row],[Ticker]]&amp;"2]") &gt; 0)),0)</f>
        <v>10290</v>
      </c>
      <c r="BQ67"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7" s="176" t="str">
        <f ca="1">IF(TabCalc[[#This Row],[EfCost]]+TabCalc[[#This Row],[M_V]]&lt;TabCalc[[#This Row],[NoT_GL]],"Pile","")</f>
        <v/>
      </c>
      <c r="BS67" s="167">
        <f ca="1">[1]!RTData[[#This Row],[Last trade time]]</f>
        <v>45954.999975635939</v>
      </c>
      <c r="BT67" s="177">
        <f ca="1">(TabCalc[[#This Row],[ValueBegin]]+(TabCalc[[#This Row],[M]]-TabCalc[[#This Row],[A]])*TabCalc[[#This Row],[NAfter]])*TabCalc[[#This Row],[Scale]]</f>
        <v>-285015</v>
      </c>
      <c r="BU67" s="189" cm="1">
        <f t="array" aca="1" ref="BU67" ca="1">_xlfn.XLOOKUP(TabCalc[[#This Row],[Ticker]],TabReg[[#Headers],[AAPL]:[UnknownX28]],Reg!B$72:KF$72)+3</f>
        <v>27</v>
      </c>
      <c r="BV67" s="190" cm="1">
        <f t="array" aca="1" ref="BV67" ca="1">_xlfn.XLOOKUP(TabCalc[[#This Row],[Ticker]],TabReg[[#Headers],[AAPL]:[UnknownX28]],Reg!B$73:KF$73)+2</f>
        <v>198</v>
      </c>
      <c r="BW67" s="191">
        <f ca="1">IFERROR(MAX(TabCalc[[#This Row],[Max_SD]],TabCalc[[#This Row],[Max_PD]]),0)</f>
        <v>45951</v>
      </c>
      <c r="BX67" s="191" t="str" cm="1">
        <f t="array" aca="1" ref="BX67" ca="1">_xlfn.IFS(TabCalc[[#This Row],[L_TP]]&lt;0,"Purchase",TabCalc[[#This Row],[L_TP]]&gt;0,"Sale")</f>
        <v>Sale</v>
      </c>
      <c r="BY67" s="190" cm="1">
        <f t="array" aca="1" ref="BY67" ca="1">INDEX(Reg!$A$1:$KF$73,TabCalc[[#This Row],[L_I1]],TabCalc[[#This Row],[L_I2]])</f>
        <v>500</v>
      </c>
      <c r="BZ67" s="192" cm="1">
        <f t="array" aca="1" ref="BZ67" ca="1">INDEX(Reg!$A$1:$KF$73,TabCalc[[#This Row],[L_I1]],TabCalc[[#This Row],[L_I2]]+1)</f>
        <v>221.65</v>
      </c>
      <c r="CA67" s="161">
        <f ca="1">TabCalc[[#This Row],[NAfter]]*(TabCalc[[#This Row],[M]]-IF(TabCalc[[#This Row],[E]]&gt;0,0,TabCalc[[#This Row],[A]]))</f>
        <v>29265.000000000029</v>
      </c>
      <c r="CB67" s="167" cm="1">
        <f t="array" aca="1" ref="CB67" ca="1">IFERROR(MIN(_xlfn._xlws.FILTER(INDIRECT("TabReg["&amp;TabCalc[[#This Row],[Ticker]]&amp;"]"), INDIRECT("TabReg["&amp;TabCalc[[#This Row],[Ticker]]&amp;"2]")&gt;0)),0)</f>
        <v>45348</v>
      </c>
      <c r="CC67" s="178" cm="1">
        <f t="array" aca="1" ref="CC67" ca="1">IFERROR(MIN(_xlfn._xlws.FILTER(INDIRECT("TabReg["&amp;TabCalc[[#This Row],[Ticker]]&amp;"1]"), INDIRECT("TabReg["&amp;TabCalc[[#This Row],[Ticker]]&amp;"2]")&gt;0)),0)</f>
        <v>300</v>
      </c>
      <c r="CD67" s="173" cm="1">
        <f t="array" aca="1" ref="CD67" ca="1">IFERROR(MIN(_xlfn._xlws.FILTER(INDIRECT("TabReg["&amp;TabCalc[[#This Row],[Ticker]]&amp;"2]"), INDIRECT("TabReg["&amp;TabCalc[[#This Row],[Ticker]]&amp;"2]")&gt;0)),0)</f>
        <v>175.36</v>
      </c>
      <c r="CE67" s="167" cm="1">
        <f t="array" aca="1" ref="CE67" ca="1">IFERROR(MAX(_xlfn._xlws.FILTER(INDIRECT("TabReg["&amp;TabCalc[[#This Row],[Ticker]]&amp;"]"), INDIRECT("TabReg["&amp;TabCalc[[#This Row],[Ticker]]&amp;"2]")&gt;0)),0)</f>
        <v>45951</v>
      </c>
      <c r="CF67" s="178" cm="1">
        <f t="array" aca="1" ref="CF67" ca="1">IFERROR(MAX(_xlfn._xlws.FILTER(INDIRECT("TabReg["&amp;TabCalc[[#This Row],[Ticker]]&amp;"1]"), INDIRECT("TabReg["&amp;TabCalc[[#This Row],[Ticker]]&amp;"2]")&gt;0)),0)</f>
        <v>2500</v>
      </c>
      <c r="CG67" s="173" cm="1">
        <f t="array" aca="1" ref="CG67" ca="1">IFERROR(MAX(_xlfn._xlws.FILTER(INDIRECT("TabReg["&amp;TabCalc[[#This Row],[Ticker]]&amp;"2]"), INDIRECT("TabReg["&amp;TabCalc[[#This Row],[Ticker]]&amp;"2]")&gt;0)),0)</f>
        <v>232.72</v>
      </c>
      <c r="CH67" s="167" cm="1">
        <f t="array" aca="1" ref="CH67" ca="1">MIN(_xlfn._xlws.FILTER(INDIRECT("TabReg["&amp;TabCalc[[#This Row],[Ticker]]&amp;"]"), INDIRECT("TabReg["&amp;TabCalc[[#This Row],[Ticker]]&amp;"2]")&lt;0))</f>
        <v>40544</v>
      </c>
      <c r="CI67" s="177" cm="1">
        <f t="array" aca="1" ref="CI67" ca="1">MIN(_xlfn._xlws.FILTER(INDIRECT("TabReg["&amp;TabCalc[[#This Row],[Ticker]]&amp;"1]"), INDIRECT("TabReg["&amp;TabCalc[[#This Row],[Ticker]]&amp;"2]")&lt;0))</f>
        <v>250</v>
      </c>
      <c r="CJ67" s="173" cm="1">
        <f t="array" aca="1" ref="CJ67" ca="1">MIN(_xlfn._xlws.FILTER(INDIRECT("TabReg["&amp;TabCalc[[#This Row],[Ticker]]&amp;"2]"), INDIRECT("TabReg["&amp;TabCalc[[#This Row],[Ticker]]&amp;"2]")&lt;0))</f>
        <v>-236.91</v>
      </c>
      <c r="CK67" s="167" cm="1">
        <f t="array" aca="1" ref="CK67" ca="1">MAX(_xlfn._xlws.FILTER(INDIRECT("TabReg["&amp;TabCalc[[#This Row],[Ticker]]&amp;"]"), INDIRECT("TabReg["&amp;TabCalc[[#This Row],[Ticker]]&amp;"2]")&lt;0))</f>
        <v>45819</v>
      </c>
      <c r="CL67" s="177" cm="1">
        <f t="array" aca="1" ref="CL67" ca="1">MAX(_xlfn._xlws.FILTER(INDIRECT("TabReg["&amp;TabCalc[[#This Row],[Ticker]]&amp;"1]"), INDIRECT("TabReg["&amp;TabCalc[[#This Row],[Ticker]]&amp;"2]")&lt;0))</f>
        <v>2990</v>
      </c>
      <c r="CM67" s="173" cm="1">
        <f t="array" aca="1" ref="CM67" ca="1">MAX(_xlfn._xlws.FILTER(INDIRECT("TabReg["&amp;TabCalc[[#This Row],[Ticker]]&amp;"2]"), INDIRECT("TabReg["&amp;TabCalc[[#This Row],[Ticker]]&amp;"2]")&lt;0))</f>
        <v>-157.13999999999999</v>
      </c>
      <c r="CN67" s="167" cm="1">
        <f t="array" aca="1" ref="CN67" ca="1">IFERROR(_xlfn.XLOOKUP(TabCalc[[#This Row],[BS2P]],INDIRECT("TabReg["&amp;TabCalc[[#This Row],[Ticker]]&amp;"2]"),INDIRECT("TabReg["&amp;TabCalc[[#This Row],[Ticker]]&amp;"]")),0)</f>
        <v>45674</v>
      </c>
      <c r="CO67" s="178" cm="1">
        <f t="array" aca="1" ref="CO67" ca="1">IFERROR(_xlfn.XLOOKUP(TabCalc[[#This Row],[BS2P]],INDIRECT("TabReg["&amp;TabCalc[[#This Row],[Ticker]]&amp;"2]"),INDIRECT("TabReg["&amp;TabCalc[[#This Row],[Ticker]]&amp;"1]")),0)</f>
        <v>500</v>
      </c>
      <c r="CP67" s="173">
        <f ca="1">_xlfn.MAXIFS(INDIRECT("TabReg["&amp;TabCalc[[#This Row],[Ticker]]&amp;"2]"), INDIRECT("TabReg["&amp;TabCalc[[#This Row],[Ticker]]&amp;"2]"), "&lt;" &amp; MAX(INDIRECT("TabReg["&amp;TabCalc[[#This Row],[Ticker]]&amp;"2]")))</f>
        <v>224</v>
      </c>
      <c r="CQ67" s="167" cm="1">
        <f t="array" aca="1" ref="CQ67" ca="1">IFERROR(_xlfn.XLOOKUP(TabCalc[[#This Row],[WB2P]],INDIRECT("TabReg["&amp;TabCalc[[#This Row],[Ticker]]&amp;"2]"),INDIRECT("TabReg["&amp;TabCalc[[#This Row],[Ticker]]&amp;"]")),0)</f>
        <v>45819</v>
      </c>
      <c r="CR67" s="178" cm="1">
        <f t="array" aca="1" ref="CR67" ca="1">IFERROR(_xlfn.XLOOKUP(TabCalc[[#This Row],[WB2P]],INDIRECT("TabReg["&amp;TabCalc[[#This Row],[Ticker]]&amp;"2]"),INDIRECT("TabReg["&amp;TabCalc[[#This Row],[Ticker]]&amp;"1]")),0)</f>
        <v>500</v>
      </c>
      <c r="CS67" s="173">
        <f ca="1">_xlfn.MINIFS(INDIRECT("TabReg["&amp;TabCalc[[#This Row],[Ticker]]&amp;"2]"), INDIRECT("TabReg["&amp;TabCalc[[#This Row],[Ticker]]&amp;"2]"), "&gt;" &amp; MIN(INDIRECT("TabReg["&amp;TabCalc[[#This Row],[Ticker]]&amp;"2]")))</f>
        <v>-213.25</v>
      </c>
      <c r="CT67" s="405">
        <f ca="1">IF(TabCalc[[#This Row],[M]]&lt;TabCalc[[#This Row],[L_Sp]],DesiredBuyGain/(TabCalc[[#This Row],[L_Sp]]-TabCalc[[#This Row],[M]]),0)</f>
        <v>0</v>
      </c>
      <c r="CU67" s="406">
        <f ca="1">IF(TabCalc[[#This Row],[ntoBuy]]*TabCalc[[#This Row],[M]]&lt;=0,0,TabCalc[[#This Row],[ntoBuy]]*TabCalc[[#This Row],[M]])</f>
        <v>0</v>
      </c>
      <c r="CV67" s="406">
        <f ca="1">IF(TabCalc[[#This Row],[M]]&gt;ABS(TabCalc[[#This Row],[L_Bp]]),MIN(TabCalc[[#This Row],[NAfter]],DesiredSaleGain/(TabCalc[[#This Row],[M]]+TabCalc[[#This Row],[L_Bp]])),0)/TabCalc[[#This Row],[Scale]]</f>
        <v>456.20437956204347</v>
      </c>
      <c r="CW67" s="407">
        <f ca="1">TabCalc[[#This Row],[ntoSell]]*TabCalc[[#This Row],[M]]</f>
        <v>102285.58394160577</v>
      </c>
      <c r="CX67" s="400">
        <f ca="1">_xlfn.LET(_xlpm.nToSell,IF(TabCalc[[#This Row],[M]]-TabCalc[[#This Row],[A]]&lt;=0,"",INT(DesiredSaleGain/(TabCalc[[#This Row],[M]]-IF(TabCalc[[#This Row],[E]]&gt;0,0,TabCalc[[#This Row],[A]])))),IF(_xlpm.nToSell&lt;=TabCalc[[#This Row],[NAfter]],_xlpm.nToSell,0))</f>
        <v>256</v>
      </c>
      <c r="CY67" s="338">
        <f ca="1">IFERROR(TabCalc[[#This Row],[NMA]]*TabCalc[[#This Row],[M]],"")</f>
        <v>57397.760000000002</v>
      </c>
      <c r="CZ67" s="337" cm="1">
        <f t="array" aca="1" ref="CZ67" ca="1">_xlfn.IFS(TabCalc[[#This Row],[M]]&gt;= TabCalc[[#This Row],[L_Sp]],(TabCalc[[#This Row],[M]]-TabCalc[[#This Row],[A]])*TabCalc[[#This Row],[NAfter]]*TabCalc[[#This Row],[Scale]],           TabCalc[[#This Row],[M]]&lt; TabCalc[[#This Row],[L_Sp]],(TabCalc[[#This Row],[M]]-TabCalc[[#This Row],[A]])*TabCalc[[#This Row],[NAfter]]*TabCalc[[#This Row],[Scale]],               TRUE,"")</f>
        <v>29265.000000000029</v>
      </c>
      <c r="DA67" s="90">
        <f ca="1">IFERROR((TabCalc[[#This Row],[M]]+TabCalc[[#This Row],[L_Bp]])/ABS(TabCalc[[#This Row],[L_Bp]])/(TODAY()-TabCalc[[#This Row],[L_Bdate]])*360,"")</f>
        <v>0.13505275498241512</v>
      </c>
      <c r="DB67" s="312">
        <f ca="1">MEDIAN(DataShift!F766:Z766)</f>
        <v>-2.9329999999999998E-3</v>
      </c>
      <c r="DC67" s="312" t="e" cm="1">
        <f t="array" aca="1" ref="DC6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7" s="88" t="s">
        <v>63</v>
      </c>
      <c r="DN67" s="81">
        <v>200000</v>
      </c>
      <c r="DO67" s="317">
        <v>-166</v>
      </c>
    </row>
    <row r="68" spans="1:119">
      <c r="A68" s="120" t="str">
        <f ca="1">_xlfn.XLOOKUP(TabCalc[[#This Row],[Ticker]],[1]!RTData[Ticker symbol],[1]!RTData[Currency])</f>
        <v>EUR</v>
      </c>
      <c r="B68" s="121">
        <f ca="1">IF(TabCalc[[#This Row],[Cur]]="GBP",0.01,1)</f>
        <v>1</v>
      </c>
      <c r="C68" s="82">
        <f ca="1">_xlfn.XLOOKUP(TabCalc[[#This Row],[Ticker]],DM$3:DM$96,DN$3:DN$96)</f>
        <v>160</v>
      </c>
      <c r="D68" s="1254">
        <f ca="1">_xlfn.XLOOKUP(TabCalc[[#This Row],[Ticker]],DM$3:DM$96,DO$3:DO$96)</f>
        <v>-623.04</v>
      </c>
      <c r="E68" s="121">
        <f t="shared" ca="1" si="2"/>
        <v>-99686.399999999994</v>
      </c>
      <c r="F68" s="82">
        <f ca="1">TabCalc[[#This Row],[NAfter]]*TabCalc[[#This Row],[M]]*TabCalc[[#This Row],[Scale]]</f>
        <v>223600</v>
      </c>
      <c r="G68" s="82">
        <f ca="1">IFERROR(TabCalc[[#This Row],[SB]]-TabCalc[[#This Row],[SST]],TabCalc[[#This Row],[SB]])</f>
        <v>250</v>
      </c>
      <c r="H68" s="535" t="str">
        <f ca="1">[1]!RTData[[#This Row],[Ticker symbol]]</f>
        <v>SAFASML</v>
      </c>
      <c r="I68" s="385">
        <f ca="1">[1]!RTData[[#This Row],[M-Price]]</f>
        <v>894.4</v>
      </c>
      <c r="J68" s="384">
        <v>654.37295200000005</v>
      </c>
      <c r="K68" s="383">
        <f>[1]!RTData[[#This Row],[1YT]]</f>
        <v>873.90326000000005</v>
      </c>
      <c r="L68" s="384">
        <f ca="1">IF(OR(TabCalc[[#This Row],[NAfter]]=0,TabCalc[[#This Row],[EfCost]]&gt;0),0,TabCalc[[#This Row],[EfCost]]/TabCalc[[#This Row],[NAfter]]/TabCalc[[#This Row],[Scale]])</f>
        <v>-165.77776799999998</v>
      </c>
      <c r="M68" s="744">
        <f ca="1">[1]!RTData[[#This Row],[Change%]]</f>
        <v>7.548E-3</v>
      </c>
      <c r="N68" s="1172">
        <v>0</v>
      </c>
      <c r="O68" s="966">
        <f>TabCalc[[#This Row],[Up20]]-1+TabCalc[[#This Row],[Up20]]</f>
        <v>-1</v>
      </c>
      <c r="P68" s="966">
        <f>TabCalc[[#This Row],[Up20]]-TabCalc[[#This Row],[Up150]]</f>
        <v>0</v>
      </c>
      <c r="Q68" s="966">
        <v>0</v>
      </c>
      <c r="R68" s="966">
        <f>TabCalc[[#This Row],[Up150]]-1+TabCalc[[#This Row],[Up150]]</f>
        <v>-1</v>
      </c>
      <c r="S68" s="966">
        <f ca="1">IFERROR(SUMPRODUCT(DataShift!F1560:Z1560,DataShift!AB767:AV767)/SQRT(SUMPRODUCT(DataShift!F1560:Z1560,DataShift!F1560:Z1560)*SUMPRODUCT(DataShift!AB767:AV767,DataShift!AB767:AV767)),0)</f>
        <v>-9.1661916239863285E-3</v>
      </c>
      <c r="T68" s="966">
        <f ca="1">IFERROR(SUMPRODUCT(DataShift!F1560:Z1560,DataShift!F767:Z767)/SQRT(SUMPRODUCT(DataShift!F1560:Z1560,DataShift!F1560:Z1560)*SUMPRODUCT(DataShift!F767:Z767,DataShift!F767:Z767)),0)</f>
        <v>-7.0691629303658951E-2</v>
      </c>
      <c r="U68" s="1107">
        <v>250</v>
      </c>
      <c r="V68" s="1107">
        <v>0</v>
      </c>
      <c r="W68" s="1107">
        <v>0</v>
      </c>
      <c r="X68" s="966" t="str">
        <f ca="1">IF(TabCalc[[#This Row],[EfCost]]+TabCalc[[#This Row],[M_V]]&lt;TabCalc[[#This Row],[NoT_GL]],"Pile","")</f>
        <v/>
      </c>
      <c r="Y6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8" s="213">
        <f ca="1">MIN(TabCalc[[#This Row],[L_Bn]],TabCalc[[#This Row],[NAfter]])*(TabCalc[[#This Row],[M]]+TabCalc[[#This Row],[L_Bp]])*TabCalc[[#This Row],[Scale]]</f>
        <v>20950.299999999996</v>
      </c>
      <c r="AA68" s="210" cm="1">
        <f t="array" aca="1" ref="AA68" ca="1">_xlfn.XLOOKUP(TabCalc[[#This Row],[L_Bp]],INDIRECT("TabReg["&amp;TabCalc[[#This Row],[Ticker]]&amp;"2]"),INDIRECT("TabReg["&amp;TabCalc[[#This Row],[Ticker]]&amp;"]"))</f>
        <v>45875</v>
      </c>
      <c r="AB68" s="181" cm="1">
        <f t="array" aca="1" ref="AB68" ca="1">_xlfn.XLOOKUP(TabCalc[[#This Row],[L_Bp]],INDIRECT("TabReg["&amp;TabCalc[[#This Row],[Ticker]]&amp;"2]"),INDIRECT("TabReg["&amp;TabCalc[[#This Row],[Ticker]]&amp;"1]"))</f>
        <v>70</v>
      </c>
      <c r="AC68" s="192" cm="1">
        <f t="array" aca="1" ref="AC68" ca="1">IFERROR(INDEX(INDIRECT("TabReg["&amp;TabCalc[[#This Row],[Ticker]]&amp;"2]"),    _xlfn.XMATCH(    MAX(    _xlfn._xlws.FILTER(INDIRECT("TabReg["&amp;TabCalc[[#This Row],[Ticker]]&amp;"]"), INDIRECT("TabReg["&amp;TabCalc[[#This Row],[Ticker]]&amp;"2]")&lt;0)     ), INDIRECT("TabReg["&amp;TabCalc[[#This Row],[Ticker]]&amp;"]"),      0)), "")</f>
        <v>-595.11</v>
      </c>
      <c r="AD68" s="213">
        <f ca="1">IFERROR(MIN(TabCalc[[#This Row],[L_B1n]],TabCalc[[#This Row],[NAfter]])*(TabCalc[[#This Row],[M]]+TabCalc[[#This Row],[L_B1p]])*TabCalc[[#This Row],[Scale]],"")</f>
        <v>11644.999999999998</v>
      </c>
      <c r="AE68" s="210" cm="1">
        <f t="array" aca="1" ref="AE6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45742</v>
      </c>
      <c r="AF68" s="181" cm="1">
        <f t="array" aca="1" ref="AF68" ca="1">IFERROR(_xlfn.XLOOKUP(TabCalc[[#This Row],[L_B1D]],INDIRECT("TabReg["&amp;TabCalc[[#This Row],[Ticker]]&amp;"]"),INDIRECT("TabReg["&amp;TabCalc[[#This Row],[Ticker]]&amp;"1]")),0)</f>
        <v>50</v>
      </c>
      <c r="AG68" s="192" cm="1">
        <f t="array" aca="1" ref="AG68" ca="1">IFERROR(_xlfn.XLOOKUP(TabCalc[[#This Row],[L_B1D]],INDIRECT("TabReg["&amp;TabCalc[[#This Row],[Ticker]]&amp;"]"),INDIRECT("TabReg["&amp;TabCalc[[#This Row],[Ticker]]&amp;"2]")),0)</f>
        <v>-661.5</v>
      </c>
      <c r="AH68" s="214">
        <f ca="1">IFERROR(TabCalc[[#This Row],[L_Sn]]*(TabCalc[[#This Row],[L_Sp]]-TabCalc[[#This Row],[M]])*TabCalc[[#This Row],[Scale]],"")</f>
        <v>-12646.799999999996</v>
      </c>
      <c r="AI68" s="210" cm="1">
        <f t="array" aca="1" ref="AI68" ca="1">IFERROR(_xlfn.XLOOKUP(TabCalc[[#This Row],[L_Sp]],INDIRECT("TabReg["&amp;TabCalc[[#This Row],[Ticker]]&amp;"2]"),INDIRECT("TabReg["&amp;TabCalc[[#This Row],[Ticker]]&amp;"]")),0)</f>
        <v>45905</v>
      </c>
      <c r="AJ68" s="181" cm="1">
        <f t="array" aca="1" ref="AJ68" ca="1">IFERROR(_xlfn.XLOOKUP(TabCalc[[#This Row],[L_Sp]],INDIRECT("TabReg["&amp;TabCalc[[#This Row],[Ticker]]&amp;"2]"),INDIRECT("TabReg["&amp;TabCalc[[#This Row],[Ticker]]&amp;"1]")),0)</f>
        <v>54</v>
      </c>
      <c r="AK68" s="192" cm="1">
        <f t="array" aca="1" ref="AK68" ca="1">IFERROR(INDEX(INDIRECT("TabReg["&amp;TabCalc[[#This Row],[Ticker]]&amp;"2]"), _xlfn.XMATCH(MAX(_xlfn._xlws.FILTER(INDIRECT("TabReg["&amp;TabCalc[[#This Row],[Ticker]]&amp;"]"), INDIRECT("TabReg["&amp;TabCalc[[#This Row],[Ticker]]&amp;"2]")&gt;0)), INDIRECT("TabReg["&amp;TabCalc[[#This Row],[Ticker]]&amp;"]"), 0)), 0)</f>
        <v>660.2</v>
      </c>
      <c r="AL68" s="214">
        <f ca="1">IFERROR(TabCalc[[#This Row],[L_S1n]]*(TabCalc[[#This Row],[L_S1p]]-TabCalc[[#This Row],[M]])*TabCalc[[#This Row],[Scale]],0)</f>
        <v>-18990.84</v>
      </c>
      <c r="AM68" s="210" cm="1">
        <f t="array" aca="1" ref="AM6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45784</v>
      </c>
      <c r="AN68" s="181" cm="1">
        <f t="array" aca="1" ref="AN68" ca="1">IFERROR(_xlfn.XLOOKUP(TabCalc[[#This Row],[L_S1D]],INDIRECT("TabReg["&amp;TabCalc[[#This Row],[Ticker]]&amp;"]"),INDIRECT("TabReg["&amp;TabCalc[[#This Row],[Ticker]]&amp;"1]")),0)</f>
        <v>66</v>
      </c>
      <c r="AO68" s="384" cm="1">
        <f t="array" aca="1" ref="AO68" ca="1">IFERROR(_xlfn.XLOOKUP(TabCalc[[#This Row],[L_S1D]],INDIRECT("TabReg["&amp;TabCalc[[#This Row],[Ticker]]&amp;"]"),INDIRECT("TabReg["&amp;TabCalc[[#This Row],[Ticker]]&amp;"2]")),0)</f>
        <v>606.66</v>
      </c>
      <c r="AP68" s="336">
        <f ca="1">_xlfn.LET(_xlpm.MVOpen,[1]!RTData[[#This Row],[Open]]*TabCalc[[#This Row],[NAfter]],_xlpm.MVNow,TabCalc[[#This Row],[M]]*TabCalc[[#This Row],[NAfter]],_xlpm.MVNow-_xlpm.MVOpen)*TabCalc[[#This Row],[Scale]]</f>
        <v>-1400</v>
      </c>
      <c r="AQ68" s="336">
        <f ca="1">_xlfn.LET(_xlpm.MVToday,DataShift!AV568,         _xlpm.MVY,DataShift!AU568,        _xlpm.MVYY, DataShift!AT568,                                IF(_xlpm.MVToday=_xlpm.MVY,_xlpm.MVY-_xlpm.MVYY,_xlpm.MVToday-_xlpm.MVY))</f>
        <v>1134</v>
      </c>
      <c r="AR68" s="336">
        <f ca="1">_xlfn.LET(_xlpm.MVToday,DataShift!AV568,         _xlpm.MVY,DataShift!AU568,        _xlpm.MVYY, DataShift!AT568,         _xlpm.MVYYY, DataShift!AS568,                      IF(_xlpm.MVToday=_xlpm.MVY,      _xlpm.MVYY-_xlpm.MVYYY,          _xlpm.MVY-_xlpm.MVYY))</f>
        <v>395.5</v>
      </c>
      <c r="AS68" s="1078">
        <f ca="1">TabCalc[[#This Row],[Y]]/TabCalc[[#This Row],[M]]</f>
        <v>0.97708325134168161</v>
      </c>
      <c r="AT68" s="299" t="str" cm="1">
        <f t="array" aca="1" ref="AT68" ca="1">IFERROR(_xlfn.IFS(          TabCalc[[#This Row],[E]]&gt;0, "Free Trade",      TabCalc[[#This Row],[A]]&lt;MIN(TabCalc[[#This Row],[L_Sp]],TabCalc[[#This Row],[M]]), "Buy",            TabCalc[[#This Row],[M]]&lt;TabCalc[[#This Row],[L_Sp]],       "Refill",       TabCalc[[#This Row],[M]]&gt;TabCalc[[#This Row],[L_Sp]],"S_more"),"")</f>
        <v>Buy</v>
      </c>
      <c r="AU68" s="299" t="str">
        <f ca="1">IF(           AND(TabCalc[[#This Row],[E]]&lt;=0,          TabCalc[[#This Row],[A]]&gt;MIN(TabCalc[[#This Row],[M]],TabCalc[[#This Row],[L_Sp]]),             TabCalc[[#This Row],[L_Sp]]&lt;=TabCalc[[#This Row],[M]]),                       "S_more","")</f>
        <v/>
      </c>
      <c r="AV68" s="82" t="str" cm="1">
        <f t="array" aca="1" ref="AV68" ca="1">IFERROR(_xlfn.IFS(TabCalc[[#This Row],[E]]&gt;0,"Free trade",                 TabCalc[[#This Row],[A]]&lt;MAX(ABS(TabCalc[[#This Row],[L_Bp]]),TabCalc[[#This Row],[A]]),"Sell",             TabCalc[[#This Row],[M]]&gt;ABS(TabCalc[[#This Row],[L_Bp]]),"Resell",             TabCalc[[#This Row],[M]]&lt;ABS(TabCalc[[#This Row],[L_Bp]]),"B_more"),"")</f>
        <v>Resell</v>
      </c>
      <c r="AW68" s="82">
        <f ca="1">TabCalc[[#This Row],[NAfter]]-TabCalc[[#This Row],[Nbegin]]</f>
        <v>90</v>
      </c>
      <c r="AX68" s="307">
        <f ca="1">IFERROR((TabCalc[[#This Row],[M]]-TabCalc[[#This Row],[Y]])*(TabCalc[[#This Row],[M]]-TabCalc[[#This Row],[Y]])*(TabCalc[[#This Row],[M]]-TabCalc[[#This Row],[Y]])/(TabCalc[[#This Row],[Y]]*TabCalc[[#This Row],[M]]),"")</f>
        <v>1.1016895410806212E-2</v>
      </c>
      <c r="AY68" s="82">
        <f t="shared" ca="1" si="3"/>
        <v>0</v>
      </c>
      <c r="AZ68" s="90">
        <f ca="1">[1]!RTData[[#This Row],[V/VA]]</f>
        <v>0.67346169889261154</v>
      </c>
      <c r="BA68" s="90" t="str" cm="1">
        <f t="array" aca="1" ref="BA68" ca="1">IFERROR(_xlfn.IFS(TabCalc[[#This Row],[Cur]]="USD",Timer!F$27,TabCalc[[#This Row],[Cur]]="EUR",Timer!F$18,TabCalc[[#This Row],[Cur]]="GBP",Timer!F$12,TabCalc[[#This Row],[Cur]]="CAD",Timer!F$27,TabCalc[[#This Row],[Cur]]="JPY",Timer!F$31,TabCalc[[#This Row],[Cur]]="CHF",Timer!F$18),"Timing")</f>
        <v>None-Working Day</v>
      </c>
      <c r="BB68" s="90">
        <f ca="1">IF(ISNUMBER(TabCalc[[#This Row],[TimeEX]]),TabCalc[[#This Row],[V/VA]]/TabCalc[[#This Row],[TimeEX]],TabCalc[[#This Row],[V/VA]])</f>
        <v>0.67346169889261154</v>
      </c>
      <c r="BC68" s="87" cm="1">
        <f t="array" aca="1" ref="BC68" ca="1">INDEX(TabReg[], 1, _xlfn.XMATCH(TabCalc[[#This Row],[Ticker]]&amp;1, TabReg[#Headers], 0))</f>
        <v>160</v>
      </c>
      <c r="BD68" s="161">
        <f ca="1">TabCalc[[#This Row],[Nbegin]]*TabCalc[[#This Row],[M]]*TabCalc[[#This Row],[Scale]]+TabCalc[[#This Row],[ValueBegin]]</f>
        <v>43417.600000000006</v>
      </c>
      <c r="BE68" s="336" t="str" cm="1">
        <f t="array" aca="1" ref="BE68" ca="1">_xlfn.IFS(TabCalc[[#This Row],[Cost+Gain]]&gt;0,"Free",             TabCalc[[#This Row],[GL]]&gt;0,"Gainer",                TRUE,"Looser")</f>
        <v>Free</v>
      </c>
      <c r="BF68" s="161">
        <f ca="1">TabCalc[[#This Row],[Tot_Paid]]-TabCalc[[#This Row],[ValueBegin]]</f>
        <v>-1667738.5781339998</v>
      </c>
      <c r="BG68" s="337">
        <f ca="1">IF(TabCalc[[#This Row],[EfCost]]&gt;TabCalc[[#This Row],[ValueBegin]],       0,        TabCalc[[#This Row],[EfCost]]-TabCalc[[#This Row],[ValueBegin]]*(1+Commission))</f>
        <v>0</v>
      </c>
      <c r="BH68" s="338">
        <f ca="1">TabCalc[[#This Row],[M_V]]+TabCalc[[#This Row],[ValueBegin]]</f>
        <v>123913.60000000001</v>
      </c>
      <c r="BI68" s="161" cm="1">
        <f t="array" aca="1" ref="BI68" ca="1">SUMPRODUCT(_xlfn._xlws.FILTER(INDIRECT("TabReg["&amp;TabCalc[[#This Row],[Ticker]]&amp;"1]") * INDIRECT("TabReg["&amp;TabCalc[[#This Row],[Ticker]]&amp;"2]"), INDIRECT("TabReg["&amp;TabCalc[[#This Row],[Ticker]]&amp;"2]")&lt;0))*(1+Commission)*TabCalc[[#This Row],[Scale]]</f>
        <v>-1767424.9781339997</v>
      </c>
      <c r="BJ68" s="161" cm="1">
        <f t="array" aca="1" ref="BJ68" ca="1">SUMPRODUCT(IF(INDIRECT("TabReg["&amp;TabCalc[[#This Row],[Ticker]]&amp;"2]") ="", 0, INDIRECT("TabReg["&amp;TabCalc[[#This Row],[Ticker]]&amp;"1]") * INDIRECT("TabReg["&amp;TabCalc[[#This Row],[Ticker]]&amp;"2]") ))*TabCalc[[#This Row],[Scale]]</f>
        <v>-41444.441999999995</v>
      </c>
      <c r="BK68" s="161" cm="1">
        <f t="array" aca="1" ref="BK6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1716921.5154152</v>
      </c>
      <c r="BL68" s="161">
        <f ca="1">TabCalc[[#This Row],[M_V]]+TabCalc[[#This Row],[EfCost]]</f>
        <v>182155.55800000002</v>
      </c>
      <c r="BM68" s="161">
        <f ca="1">IF(        OR( TabCalc[[#This Row],[GL]]&gt;ABS(TabCalc[[#This Row],[EfCost]]),TabCalc[[#This Row],[NAfter]]=0),             TabCalc[[#This Row],[GL]],     0)</f>
        <v>182155.55800000002</v>
      </c>
      <c r="BN68" s="161" cm="1">
        <f t="array" aca="1" ref="BN68" ca="1">SUMPRODUCT(_xlfn._xlws.FILTER(IF(INDIRECT("TabReg["&amp;TabCalc[[#This Row],[Ticker]]&amp;"2]") ="", 0, INDIRECT("TabReg["&amp;TabCalc[[#This Row],[Ticker]]&amp;"1]")  ),  INDIRECT("TabReg["&amp;TabCalc[[#This Row],[Ticker]]&amp;"2]") &lt; 0))</f>
        <v>2210</v>
      </c>
      <c r="BO68" s="161">
        <f ca="1">TabCalc[[#This Row],[SB]]-TabCalc[[#This Row],[Nbegin]]</f>
        <v>2050</v>
      </c>
      <c r="BP68" s="161" cm="1">
        <f t="array" aca="1" ref="BP68" ca="1">IFERROR(SUMPRODUCT(_xlfn._xlws.FILTER(IF(INDIRECT("TabReg["&amp;TabCalc[[#This Row],[Ticker]]&amp;"2]") ="", 0, INDIRECT("TabReg["&amp;TabCalc[[#This Row],[Ticker]]&amp;"1]")  ),  INDIRECT("TabReg["&amp;TabCalc[[#This Row],[Ticker]]&amp;"2]") &gt; 0)),0)</f>
        <v>1960</v>
      </c>
      <c r="BQ6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8" s="176" t="str">
        <f ca="1">IF(TabCalc[[#This Row],[EfCost]]+TabCalc[[#This Row],[M_V]]&lt;TabCalc[[#This Row],[NoT_GL]],"Pile","")</f>
        <v/>
      </c>
      <c r="BS68" s="167">
        <f ca="1">[1]!RTData[[#This Row],[Last trade time]]</f>
        <v>45954.666666666664</v>
      </c>
      <c r="BT68" s="177">
        <f ca="1">(TabCalc[[#This Row],[ValueBegin]]+(TabCalc[[#This Row],[M]]-TabCalc[[#This Row],[A]])*TabCalc[[#This Row],[NAfter]])*TabCalc[[#This Row],[Scale]]</f>
        <v>-39679.638000000014</v>
      </c>
      <c r="BU68" s="189" cm="1">
        <f t="array" aca="1" ref="BU68" ca="1">_xlfn.XLOOKUP(TabCalc[[#This Row],[Ticker]],TabReg[[#Headers],[AAPL]:[UnknownX28]],Reg!B$72:KF$72)+3</f>
        <v>29</v>
      </c>
      <c r="BV68" s="190" cm="1">
        <f t="array" aca="1" ref="BV68" ca="1">_xlfn.XLOOKUP(TabCalc[[#This Row],[Ticker]],TabReg[[#Headers],[AAPL]:[UnknownX28]],Reg!B$73:KF$73)+2</f>
        <v>201</v>
      </c>
      <c r="BW68" s="191">
        <f ca="1">IFERROR(MAX(TabCalc[[#This Row],[Max_SD]],TabCalc[[#This Row],[Max_PD]]),0)</f>
        <v>45905</v>
      </c>
      <c r="BX68" s="191" t="str" cm="1">
        <f t="array" aca="1" ref="BX68" ca="1">_xlfn.IFS(TabCalc[[#This Row],[L_TP]]&lt;0,"Purchase",TabCalc[[#This Row],[L_TP]]&gt;0,"Sale")</f>
        <v>Sale</v>
      </c>
      <c r="BY68" s="190" cm="1">
        <f t="array" aca="1" ref="BY68" ca="1">INDEX(Reg!$A$1:$KF$73,TabCalc[[#This Row],[L_I1]],TabCalc[[#This Row],[L_I2]])</f>
        <v>54</v>
      </c>
      <c r="BZ68" s="192" cm="1">
        <f t="array" aca="1" ref="BZ68" ca="1">INDEX(Reg!$A$1:$KF$73,TabCalc[[#This Row],[L_I1]],TabCalc[[#This Row],[L_I2]]+1)</f>
        <v>660.2</v>
      </c>
      <c r="CA68" s="161">
        <f ca="1">TabCalc[[#This Row],[NAfter]]*(TabCalc[[#This Row],[M]]-IF(TabCalc[[#This Row],[E]]&gt;0,0,TabCalc[[#This Row],[A]]))</f>
        <v>60006.761999999981</v>
      </c>
      <c r="CB68" s="167" cm="1">
        <f t="array" aca="1" ref="CB68" ca="1">IFERROR(MIN(_xlfn._xlws.FILTER(INDIRECT("TabReg["&amp;TabCalc[[#This Row],[Ticker]]&amp;"]"), INDIRECT("TabReg["&amp;TabCalc[[#This Row],[Ticker]]&amp;"2]")&gt;0)),0)</f>
        <v>45330</v>
      </c>
      <c r="CC68" s="178" cm="1">
        <f t="array" aca="1" ref="CC68" ca="1">IFERROR(MIN(_xlfn._xlws.FILTER(INDIRECT("TabReg["&amp;TabCalc[[#This Row],[Ticker]]&amp;"1]"), INDIRECT("TabReg["&amp;TabCalc[[#This Row],[Ticker]]&amp;"2]")&gt;0)),0)</f>
        <v>10</v>
      </c>
      <c r="CD68" s="173" cm="1">
        <f t="array" aca="1" ref="CD68" ca="1">IFERROR(MIN(_xlfn._xlws.FILTER(INDIRECT("TabReg["&amp;TabCalc[[#This Row],[Ticker]]&amp;"2]"), INDIRECT("TabReg["&amp;TabCalc[[#This Row],[Ticker]]&amp;"2]")&gt;0)),0)</f>
        <v>606.66</v>
      </c>
      <c r="CE68" s="167" cm="1">
        <f t="array" aca="1" ref="CE68" ca="1">IFERROR(MAX(_xlfn._xlws.FILTER(INDIRECT("TabReg["&amp;TabCalc[[#This Row],[Ticker]]&amp;"]"), INDIRECT("TabReg["&amp;TabCalc[[#This Row],[Ticker]]&amp;"2]")&gt;0)),0)</f>
        <v>45905</v>
      </c>
      <c r="CF68" s="178" cm="1">
        <f t="array" aca="1" ref="CF68" ca="1">IFERROR(MAX(_xlfn._xlws.FILTER(INDIRECT("TabReg["&amp;TabCalc[[#This Row],[Ticker]]&amp;"1]"), INDIRECT("TabReg["&amp;TabCalc[[#This Row],[Ticker]]&amp;"2]")&gt;0)),0)</f>
        <v>300</v>
      </c>
      <c r="CG68" s="173" cm="1">
        <f t="array" aca="1" ref="CG68" ca="1">IFERROR(MAX(_xlfn._xlws.FILTER(INDIRECT("TabReg["&amp;TabCalc[[#This Row],[Ticker]]&amp;"2]"), INDIRECT("TabReg["&amp;TabCalc[[#This Row],[Ticker]]&amp;"2]")&gt;0)),0)</f>
        <v>989.8</v>
      </c>
      <c r="CH68" s="167" cm="1">
        <f t="array" aca="1" ref="CH68" ca="1">MIN(_xlfn._xlws.FILTER(INDIRECT("TabReg["&amp;TabCalc[[#This Row],[Ticker]]&amp;"]"), INDIRECT("TabReg["&amp;TabCalc[[#This Row],[Ticker]]&amp;"2]")&lt;0))</f>
        <v>40544</v>
      </c>
      <c r="CI68" s="177" cm="1">
        <f t="array" aca="1" ref="CI68" ca="1">MIN(_xlfn._xlws.FILTER(INDIRECT("TabReg["&amp;TabCalc[[#This Row],[Ticker]]&amp;"1]"), INDIRECT("TabReg["&amp;TabCalc[[#This Row],[Ticker]]&amp;"2]")&lt;0))</f>
        <v>50</v>
      </c>
      <c r="CJ68" s="173" cm="1">
        <f t="array" aca="1" ref="CJ68" ca="1">MIN(_xlfn._xlws.FILTER(INDIRECT("TabReg["&amp;TabCalc[[#This Row],[Ticker]]&amp;"2]"), INDIRECT("TabReg["&amp;TabCalc[[#This Row],[Ticker]]&amp;"2]")&lt;0))</f>
        <v>-905.25</v>
      </c>
      <c r="CK68" s="167" cm="1">
        <f t="array" aca="1" ref="CK68" ca="1">MAX(_xlfn._xlws.FILTER(INDIRECT("TabReg["&amp;TabCalc[[#This Row],[Ticker]]&amp;"]"), INDIRECT("TabReg["&amp;TabCalc[[#This Row],[Ticker]]&amp;"2]")&lt;0))</f>
        <v>45875</v>
      </c>
      <c r="CL68" s="177" cm="1">
        <f t="array" aca="1" ref="CL68" ca="1">MAX(_xlfn._xlws.FILTER(INDIRECT("TabReg["&amp;TabCalc[[#This Row],[Ticker]]&amp;"1]"), INDIRECT("TabReg["&amp;TabCalc[[#This Row],[Ticker]]&amp;"2]")&lt;0))</f>
        <v>300</v>
      </c>
      <c r="CM68" s="173" cm="1">
        <f t="array" aca="1" ref="CM68" ca="1">MAX(_xlfn._xlws.FILTER(INDIRECT("TabReg["&amp;TabCalc[[#This Row],[Ticker]]&amp;"2]"), INDIRECT("TabReg["&amp;TabCalc[[#This Row],[Ticker]]&amp;"2]")&lt;0))</f>
        <v>-407.17</v>
      </c>
      <c r="CN68" s="167" cm="1">
        <f t="array" aca="1" ref="CN68" ca="1">IFERROR(_xlfn.XLOOKUP(TabCalc[[#This Row],[BS2P]],INDIRECT("TabReg["&amp;TabCalc[[#This Row],[Ticker]]&amp;"2]"),INDIRECT("TabReg["&amp;TabCalc[[#This Row],[Ticker]]&amp;"]")),0)</f>
        <v>45453</v>
      </c>
      <c r="CO68" s="178" cm="1">
        <f t="array" aca="1" ref="CO68" ca="1">IFERROR(_xlfn.XLOOKUP(TabCalc[[#This Row],[BS2P]],INDIRECT("TabReg["&amp;TabCalc[[#This Row],[Ticker]]&amp;"2]"),INDIRECT("TabReg["&amp;TabCalc[[#This Row],[Ticker]]&amp;"1]")),0)</f>
        <v>240</v>
      </c>
      <c r="CP68" s="173">
        <f ca="1">_xlfn.MAXIFS(INDIRECT("TabReg["&amp;TabCalc[[#This Row],[Ticker]]&amp;"2]"), INDIRECT("TabReg["&amp;TabCalc[[#This Row],[Ticker]]&amp;"2]"), "&lt;" &amp; MAX(INDIRECT("TabReg["&amp;TabCalc[[#This Row],[Ticker]]&amp;"2]")))</f>
        <v>945.78869999999995</v>
      </c>
      <c r="CQ68" s="167" cm="1">
        <f t="array" aca="1" ref="CQ68" ca="1">IFERROR(_xlfn.XLOOKUP(TabCalc[[#This Row],[WB2P]],INDIRECT("TabReg["&amp;TabCalc[[#This Row],[Ticker]]&amp;"2]"),INDIRECT("TabReg["&amp;TabCalc[[#This Row],[Ticker]]&amp;"]")),0)</f>
        <v>45387</v>
      </c>
      <c r="CR68" s="178" cm="1">
        <f t="array" aca="1" ref="CR68" ca="1">IFERROR(_xlfn.XLOOKUP(TabCalc[[#This Row],[WB2P]],INDIRECT("TabReg["&amp;TabCalc[[#This Row],[Ticker]]&amp;"2]"),INDIRECT("TabReg["&amp;TabCalc[[#This Row],[Ticker]]&amp;"1]")),0)</f>
        <v>300</v>
      </c>
      <c r="CS68" s="173">
        <f ca="1">_xlfn.MINIFS(INDIRECT("TabReg["&amp;TabCalc[[#This Row],[Ticker]]&amp;"2]"), INDIRECT("TabReg["&amp;TabCalc[[#This Row],[Ticker]]&amp;"2]"), "&gt;" &amp; MIN(INDIRECT("TabReg["&amp;TabCalc[[#This Row],[Ticker]]&amp;"2]")))</f>
        <v>-903.2</v>
      </c>
      <c r="CT68" s="405">
        <f ca="1">IF(TabCalc[[#This Row],[M]]&lt;TabCalc[[#This Row],[L_Sp]],DesiredBuyGain/(TabCalc[[#This Row],[L_Sp]]-TabCalc[[#This Row],[M]]),0)</f>
        <v>0</v>
      </c>
      <c r="CU68" s="406">
        <f ca="1">IF(TabCalc[[#This Row],[ntoBuy]]*TabCalc[[#This Row],[M]]&lt;=0,0,TabCalc[[#This Row],[ntoBuy]]*TabCalc[[#This Row],[M]])</f>
        <v>0</v>
      </c>
      <c r="CV68" s="406">
        <f ca="1">IF(TabCalc[[#This Row],[M]]&gt;ABS(TabCalc[[#This Row],[L_Bp]]),MIN(TabCalc[[#This Row],[NAfter]],DesiredSaleGain/(TabCalc[[#This Row],[M]]+TabCalc[[#This Row],[L_Bp]])),0)/TabCalc[[#This Row],[Scale]]</f>
        <v>16.706204684419795</v>
      </c>
      <c r="CW68" s="407">
        <f ca="1">TabCalc[[#This Row],[ntoSell]]*TabCalc[[#This Row],[M]]</f>
        <v>14942.029469745064</v>
      </c>
      <c r="CX68" s="400">
        <f ca="1">_xlfn.LET(_xlpm.nToSell,IF(TabCalc[[#This Row],[M]]-TabCalc[[#This Row],[A]]&lt;=0,"",INT(DesiredSaleGain/(TabCalc[[#This Row],[M]]-IF(TabCalc[[#This Row],[E]]&gt;0,0,TabCalc[[#This Row],[A]])))),IF(_xlpm.nToSell&lt;=TabCalc[[#This Row],[NAfter]],_xlpm.nToSell,0))</f>
        <v>20</v>
      </c>
      <c r="CY68" s="338">
        <f ca="1">IFERROR(TabCalc[[#This Row],[NMA]]*TabCalc[[#This Row],[M]],"")</f>
        <v>17888</v>
      </c>
      <c r="CZ68" s="337" cm="1">
        <f t="array" aca="1" ref="CZ68" ca="1">_xlfn.IFS(TabCalc[[#This Row],[M]]&gt;= TabCalc[[#This Row],[L_Sp]],(TabCalc[[#This Row],[M]]-TabCalc[[#This Row],[A]])*TabCalc[[#This Row],[NAfter]]*TabCalc[[#This Row],[Scale]],           TabCalc[[#This Row],[M]]&lt; TabCalc[[#This Row],[L_Sp]],(TabCalc[[#This Row],[M]]-TabCalc[[#This Row],[A]])*TabCalc[[#This Row],[NAfter]]*TabCalc[[#This Row],[Scale]],               TRUE,"")</f>
        <v>60006.761999999981</v>
      </c>
      <c r="DA68" s="90">
        <f ca="1">IFERROR((TabCalc[[#This Row],[M]]+TabCalc[[#This Row],[L_Bp]])/ABS(TabCalc[[#This Row],[L_Bp]])/(TODAY()-TabCalc[[#This Row],[L_Bdate]])*360,"")</f>
        <v>2.2351796773332282</v>
      </c>
      <c r="DB68" s="312">
        <f ca="1">MEDIAN(DataShift!F767:Z767)</f>
        <v>3.2200000000000002E-3</v>
      </c>
      <c r="DC68" s="312" t="e" cm="1">
        <f t="array" aca="1" ref="DC6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8" s="88" t="s">
        <v>64</v>
      </c>
      <c r="DN68" s="81">
        <v>850</v>
      </c>
      <c r="DO68" s="317">
        <v>-49.61</v>
      </c>
    </row>
    <row r="69" spans="1:119">
      <c r="A69" s="120" t="str">
        <f ca="1">_xlfn.XLOOKUP(TabCalc[[#This Row],[Ticker]],[1]!RTData[Ticker symbol],[1]!RTData[Currency])</f>
        <v>USD</v>
      </c>
      <c r="B69" s="121">
        <f ca="1">IF(TabCalc[[#This Row],[Cur]]="GBP",0.01,1)</f>
        <v>1</v>
      </c>
      <c r="C69" s="82">
        <f ca="1">_xlfn.XLOOKUP(TabCalc[[#This Row],[Ticker]],DM$3:DM$96,DN$3:DN$96)</f>
        <v>850</v>
      </c>
      <c r="D69" s="1254">
        <f ca="1">_xlfn.XLOOKUP(TabCalc[[#This Row],[Ticker]],DM$3:DM$96,DO$3:DO$96)</f>
        <v>-49.61</v>
      </c>
      <c r="E69" s="121">
        <f t="shared" ref="E69:E96" ca="1" si="4">SUMPRODUCT(C69,D69,B69)</f>
        <v>-42168.5</v>
      </c>
      <c r="F69" s="82">
        <f ca="1">TabCalc[[#This Row],[NAfter]]*TabCalc[[#This Row],[M]]*TabCalc[[#This Row],[Scale]]</f>
        <v>344300</v>
      </c>
      <c r="G69" s="82">
        <f ca="1">IFERROR(TabCalc[[#This Row],[SB]]-TabCalc[[#This Row],[SST]],TabCalc[[#This Row],[SB]])</f>
        <v>110000</v>
      </c>
      <c r="H69" s="535" t="str">
        <f ca="1">[1]!RTData[[#This Row],[Ticker symbol]]</f>
        <v>SAFDDD</v>
      </c>
      <c r="I69" s="385">
        <f ca="1">[1]!RTData[[#This Row],[M-Price]]</f>
        <v>3.13</v>
      </c>
      <c r="J69" s="384">
        <v>3.2831954545454547</v>
      </c>
      <c r="K69" s="383">
        <f>[1]!RTData[[#This Row],[1YT]]</f>
        <v>3.25</v>
      </c>
      <c r="L69" s="384">
        <f ca="1">IF(OR(TabCalc[[#This Row],[NAfter]]=0,TabCalc[[#This Row],[EfCost]]&gt;0),0,TabCalc[[#This Row],[EfCost]]/TabCalc[[#This Row],[NAfter]]/TabCalc[[#This Row],[Scale]])</f>
        <v>-3.4734356363636363</v>
      </c>
      <c r="M69" s="744">
        <f ca="1">[1]!RTData[[#This Row],[Change%]]</f>
        <v>1.6233999999999998E-2</v>
      </c>
      <c r="N69" s="1172">
        <v>0</v>
      </c>
      <c r="O69" s="966">
        <f>TabCalc[[#This Row],[Up20]]-1+TabCalc[[#This Row],[Up20]]</f>
        <v>-1</v>
      </c>
      <c r="P69" s="966">
        <f>TabCalc[[#This Row],[Up20]]-TabCalc[[#This Row],[Up150]]</f>
        <v>0</v>
      </c>
      <c r="Q69" s="966">
        <v>0</v>
      </c>
      <c r="R69" s="966">
        <f>TabCalc[[#This Row],[Up150]]-1+TabCalc[[#This Row],[Up150]]</f>
        <v>-1</v>
      </c>
      <c r="S69" s="966">
        <f ca="1">IFERROR(SUMPRODUCT(DataShift!F1561:Z1561,DataShift!AB768:AV768)/SQRT(SUMPRODUCT(DataShift!F1561:Z1561,DataShift!F1561:Z1561)*SUMPRODUCT(DataShift!AB768:AV768,DataShift!AB768:AV768)),0)</f>
        <v>-0.4002546532062925</v>
      </c>
      <c r="T69" s="966">
        <f ca="1">IFERROR(SUMPRODUCT(DataShift!F1561:Z1561,DataShift!F768:Z768)/SQRT(SUMPRODUCT(DataShift!F1561:Z1561,DataShift!F1561:Z1561)*SUMPRODUCT(DataShift!F768:Z768,DataShift!F768:Z768)),0)</f>
        <v>-9.6755140150697264E-2</v>
      </c>
      <c r="U69" s="1107">
        <v>46000</v>
      </c>
      <c r="V69" s="1107">
        <v>64000</v>
      </c>
      <c r="W69" s="1107">
        <v>0</v>
      </c>
      <c r="X69" s="966" t="str">
        <f ca="1">IF(TabCalc[[#This Row],[EfCost]]+TabCalc[[#This Row],[M_V]]&lt;TabCalc[[#This Row],[NoT_GL]],"Pile","")</f>
        <v/>
      </c>
      <c r="Y6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30,429 = $ 95,242</v>
      </c>
      <c r="Z69" s="213">
        <f ca="1">MIN(TabCalc[[#This Row],[L_Bn]],TabCalc[[#This Row],[NAfter]])*(TabCalc[[#This Row],[M]]+TabCalc[[#This Row],[L_Bp]])*TabCalc[[#This Row],[Scale]]</f>
        <v>25220.999999999996</v>
      </c>
      <c r="AA69" s="210" cm="1">
        <f t="array" aca="1" ref="AA69" ca="1">_xlfn.XLOOKUP(TabCalc[[#This Row],[L_Bp]],INDIRECT("TabReg["&amp;TabCalc[[#This Row],[Ticker]]&amp;"2]"),INDIRECT("TabReg["&amp;TabCalc[[#This Row],[Ticker]]&amp;"]"))</f>
        <v>45790</v>
      </c>
      <c r="AB69" s="181" cm="1">
        <f t="array" aca="1" ref="AB69" ca="1">_xlfn.XLOOKUP(TabCalc[[#This Row],[L_Bp]],INDIRECT("TabReg["&amp;TabCalc[[#This Row],[Ticker]]&amp;"2]"),INDIRECT("TabReg["&amp;TabCalc[[#This Row],[Ticker]]&amp;"1]"))</f>
        <v>21000</v>
      </c>
      <c r="AC69" s="192" cm="1">
        <f t="array" aca="1" ref="AC69" ca="1">IFERROR(INDEX(INDIRECT("TabReg["&amp;TabCalc[[#This Row],[Ticker]]&amp;"2]"),    _xlfn.XMATCH(    MAX(    _xlfn._xlws.FILTER(INDIRECT("TabReg["&amp;TabCalc[[#This Row],[Ticker]]&amp;"]"), INDIRECT("TabReg["&amp;TabCalc[[#This Row],[Ticker]]&amp;"2]")&lt;0)     ), INDIRECT("TabReg["&amp;TabCalc[[#This Row],[Ticker]]&amp;"]"),      0)), "")</f>
        <v>-1.929</v>
      </c>
      <c r="AD69" s="213">
        <f ca="1">IFERROR(MIN(TabCalc[[#This Row],[L_B1n]],TabCalc[[#This Row],[NAfter]])*(TabCalc[[#This Row],[M]]+TabCalc[[#This Row],[L_B1p]])*TabCalc[[#This Row],[Scale]],"")</f>
        <v>10967.499999999996</v>
      </c>
      <c r="AE69" s="210" cm="1">
        <f t="array" aca="1" ref="AE6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45733</v>
      </c>
      <c r="AF69" s="181" cm="1">
        <f t="array" aca="1" ref="AF69" ca="1">IFERROR(_xlfn.XLOOKUP(TabCalc[[#This Row],[L_B1D]],INDIRECT("TabReg["&amp;TabCalc[[#This Row],[Ticker]]&amp;"]"),INDIRECT("TabReg["&amp;TabCalc[[#This Row],[Ticker]]&amp;"1]")),0)</f>
        <v>25000</v>
      </c>
      <c r="AG69" s="192" cm="1">
        <f t="array" aca="1" ref="AG69" ca="1">IFERROR(_xlfn.XLOOKUP(TabCalc[[#This Row],[L_B1D]],INDIRECT("TabReg["&amp;TabCalc[[#This Row],[Ticker]]&amp;"]"),INDIRECT("TabReg["&amp;TabCalc[[#This Row],[Ticker]]&amp;"2]")),0)</f>
        <v>-2.6913</v>
      </c>
      <c r="AH69" s="302">
        <f ca="1">IFERROR(TabCalc[[#This Row],[L_Sn]]*(TabCalc[[#This Row],[L_Sp]]-TabCalc[[#This Row],[M]])*TabCalc[[#This Row],[Scale]],"")</f>
        <v>330.00000000000273</v>
      </c>
      <c r="AI69" s="210" cm="1">
        <f t="array" aca="1" ref="AI69" ca="1">IFERROR(_xlfn.XLOOKUP(TabCalc[[#This Row],[L_Sp]],INDIRECT("TabReg["&amp;TabCalc[[#This Row],[Ticker]]&amp;"2]"),INDIRECT("TabReg["&amp;TabCalc[[#This Row],[Ticker]]&amp;"]")),0)</f>
        <v>45936</v>
      </c>
      <c r="AJ69" s="181" cm="1">
        <f t="array" aca="1" ref="AJ69" ca="1">IFERROR(_xlfn.XLOOKUP(TabCalc[[#This Row],[L_Sp]],INDIRECT("TabReg["&amp;TabCalc[[#This Row],[Ticker]]&amp;"2]"),INDIRECT("TabReg["&amp;TabCalc[[#This Row],[Ticker]]&amp;"1]")),0)</f>
        <v>11000</v>
      </c>
      <c r="AK69" s="192" cm="1">
        <f t="array" aca="1" ref="AK69" ca="1">IFERROR(INDEX(INDIRECT("TabReg["&amp;TabCalc[[#This Row],[Ticker]]&amp;"2]"), _xlfn.XMATCH(MAX(_xlfn._xlws.FILTER(INDIRECT("TabReg["&amp;TabCalc[[#This Row],[Ticker]]&amp;"]"), INDIRECT("TabReg["&amp;TabCalc[[#This Row],[Ticker]]&amp;"2]")&gt;0)), INDIRECT("TabReg["&amp;TabCalc[[#This Row],[Ticker]]&amp;"]"), 0)), 0)</f>
        <v>3.16</v>
      </c>
      <c r="AL69" s="214">
        <f ca="1">IFERROR(TabCalc[[#This Row],[L_S1n]]*(TabCalc[[#This Row],[L_S1p]]-TabCalc[[#This Row],[M]])*TabCalc[[#This Row],[Scale]],0)</f>
        <v>6755</v>
      </c>
      <c r="AM69" s="210" cm="1">
        <f t="array" aca="1" ref="AM6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N69" s="181" cm="1">
        <f t="array" aca="1" ref="AN69" ca="1">IFERROR(_xlfn.XLOOKUP(TabCalc[[#This Row],[L_S1D]],INDIRECT("TabReg["&amp;TabCalc[[#This Row],[Ticker]]&amp;"]"),INDIRECT("TabReg["&amp;TabCalc[[#This Row],[Ticker]]&amp;"1]")),0)</f>
        <v>5000</v>
      </c>
      <c r="AO69" s="384" cm="1">
        <f t="array" aca="1" ref="AO69" ca="1">IFERROR(_xlfn.XLOOKUP(TabCalc[[#This Row],[L_S1D]],INDIRECT("TabReg["&amp;TabCalc[[#This Row],[Ticker]]&amp;"]"),INDIRECT("TabReg["&amp;TabCalc[[#This Row],[Ticker]]&amp;"2]")),0)</f>
        <v>4.4809999999999999</v>
      </c>
      <c r="AP69" s="336">
        <f ca="1">_xlfn.LET(_xlpm.MVOpen,[1]!RTData[[#This Row],[Open]]*TabCalc[[#This Row],[NAfter]],_xlpm.MVNow,TabCalc[[#This Row],[M]]*TabCalc[[#This Row],[NAfter]],_xlpm.MVNow-_xlpm.MVOpen)*TabCalc[[#This Row],[Scale]]</f>
        <v>-5500</v>
      </c>
      <c r="AQ69" s="336">
        <f ca="1">_xlfn.LET(_xlpm.MVToday,DataShift!AV569,         _xlpm.MVY,DataShift!AU569,        _xlpm.MVYY, DataShift!AT569,                                IF(_xlpm.MVToday=_xlpm.MVY,_xlpm.MVY-_xlpm.MVYY,_xlpm.MVToday-_xlpm.MVY))</f>
        <v>4680</v>
      </c>
      <c r="AR69" s="336">
        <f ca="1">_xlfn.LET(_xlpm.MVToday,DataShift!AV569,         _xlpm.MVY,DataShift!AU569,        _xlpm.MVYY, DataShift!AT569,         _xlpm.MVYYY, DataShift!AS569,                      IF(_xlpm.MVToday=_xlpm.MVY,      _xlpm.MVYY-_xlpm.MVYYY,          _xlpm.MVY-_xlpm.MVYY))</f>
        <v>4710</v>
      </c>
      <c r="AS69" s="1078">
        <f ca="1">TabCalc[[#This Row],[Y]]/TabCalc[[#This Row],[M]]</f>
        <v>1.0383386581469649</v>
      </c>
      <c r="AT69" s="299" t="str" cm="1">
        <f t="array" aca="1" ref="AT69" ca="1">IFERROR(_xlfn.IFS(          TabCalc[[#This Row],[E]]&gt;0, "Free Trade",      TabCalc[[#This Row],[A]]&lt;MIN(TabCalc[[#This Row],[L_Sp]],TabCalc[[#This Row],[M]]), "Buy",            TabCalc[[#This Row],[M]]&lt;TabCalc[[#This Row],[L_Sp]],       "Refill",       TabCalc[[#This Row],[M]]&gt;TabCalc[[#This Row],[L_Sp]],"S_more"),"")</f>
        <v>Refill</v>
      </c>
      <c r="AU69" s="299" t="str">
        <f ca="1">IF(           AND(TabCalc[[#This Row],[E]]&lt;=0,          TabCalc[[#This Row],[A]]&gt;MIN(TabCalc[[#This Row],[M]],TabCalc[[#This Row],[L_Sp]]),             TabCalc[[#This Row],[L_Sp]]&lt;=TabCalc[[#This Row],[M]]),                       "S_more","")</f>
        <v/>
      </c>
      <c r="AV69" s="82" t="str" cm="1">
        <f t="array" aca="1" ref="AV69" ca="1">IFERROR(_xlfn.IFS(TabCalc[[#This Row],[E]]&gt;0,"Free trade",                 TabCalc[[#This Row],[A]]&lt;MAX(ABS(TabCalc[[#This Row],[L_Bp]]),TabCalc[[#This Row],[A]]),"Sell",             TabCalc[[#This Row],[M]]&gt;ABS(TabCalc[[#This Row],[L_Bp]]),"Resell",             TabCalc[[#This Row],[M]]&lt;ABS(TabCalc[[#This Row],[L_Bp]]),"B_more"),"")</f>
        <v>Resell</v>
      </c>
      <c r="AW69" s="82">
        <f ca="1">TabCalc[[#This Row],[NAfter]]-TabCalc[[#This Row],[Nbegin]]</f>
        <v>109150</v>
      </c>
      <c r="AX69" s="307">
        <f ca="1">IFERROR((TabCalc[[#This Row],[M]]-TabCalc[[#This Row],[Y]])*(TabCalc[[#This Row],[M]]-TabCalc[[#This Row],[Y]])*(TabCalc[[#This Row],[M]]-TabCalc[[#This Row],[Y]])/(TabCalc[[#This Row],[Y]]*TabCalc[[#This Row],[M]]),"")</f>
        <v>-1.6986974686655245E-4</v>
      </c>
      <c r="AY69" s="82">
        <f t="shared" ref="AY69:AY96" ca="1" si="5">IF(G69&lt;C69,C69-G69,0)</f>
        <v>0</v>
      </c>
      <c r="AZ69" s="90">
        <f ca="1">[1]!RTData[[#This Row],[V/VA]]</f>
        <v>0.66744662603510774</v>
      </c>
      <c r="BA69" s="90" t="str" cm="1">
        <f t="array" aca="1" ref="BA69" ca="1">IFERROR(_xlfn.IFS(TabCalc[[#This Row],[Cur]]="USD",Timer!F$27,TabCalc[[#This Row],[Cur]]="EUR",Timer!F$18,TabCalc[[#This Row],[Cur]]="GBP",Timer!F$12,TabCalc[[#This Row],[Cur]]="CAD",Timer!F$27,TabCalc[[#This Row],[Cur]]="JPY",Timer!F$31,TabCalc[[#This Row],[Cur]]="CHF",Timer!F$18),"Timing")</f>
        <v>None-Working Day</v>
      </c>
      <c r="BB69" s="90">
        <f ca="1">IF(ISNUMBER(TabCalc[[#This Row],[TimeEX]]),TabCalc[[#This Row],[V/VA]]/TabCalc[[#This Row],[TimeEX]],TabCalc[[#This Row],[V/VA]])</f>
        <v>0.66744662603510774</v>
      </c>
      <c r="BC69" s="87" cm="1">
        <f t="array" aca="1" ref="BC69" ca="1">INDEX(TabReg[], 1, _xlfn.XMATCH(TabCalc[[#This Row],[Ticker]]&amp;1, TabReg[#Headers], 0))</f>
        <v>850</v>
      </c>
      <c r="BD69" s="161">
        <f ca="1">TabCalc[[#This Row],[Nbegin]]*TabCalc[[#This Row],[M]]*TabCalc[[#This Row],[Scale]]+TabCalc[[#This Row],[ValueBegin]]</f>
        <v>-39508</v>
      </c>
      <c r="BE69" s="336" t="str" cm="1">
        <f t="array" aca="1" ref="BE69" ca="1">_xlfn.IFS(TabCalc[[#This Row],[Cost+Gain]]&gt;0,"Free",             TabCalc[[#This Row],[GL]]&gt;0,"Gainer",                TRUE,"Looser")</f>
        <v>Looser</v>
      </c>
      <c r="BF69" s="161">
        <f ca="1">TabCalc[[#This Row],[Tot_Paid]]-TabCalc[[#This Row],[ValueBegin]]</f>
        <v>-576679.2515919999</v>
      </c>
      <c r="BG69" s="337">
        <f ca="1">IF(TabCalc[[#This Row],[EfCost]]&gt;TabCalc[[#This Row],[ValueBegin]],       0,        TabCalc[[#This Row],[EfCost]]-TabCalc[[#This Row],[ValueBegin]]*(1+Commission))</f>
        <v>-339799.7819</v>
      </c>
      <c r="BH69" s="338">
        <f ca="1">TabCalc[[#This Row],[M_V]]+TabCalc[[#This Row],[ValueBegin]]</f>
        <v>302131.5</v>
      </c>
      <c r="BI69" s="161" cm="1">
        <f t="array" aca="1" ref="BI69" ca="1">SUMPRODUCT(_xlfn._xlws.FILTER(INDIRECT("TabReg["&amp;TabCalc[[#This Row],[Ticker]]&amp;"1]") * INDIRECT("TabReg["&amp;TabCalc[[#This Row],[Ticker]]&amp;"2]"), INDIRECT("TabReg["&amp;TabCalc[[#This Row],[Ticker]]&amp;"2]")&lt;0))*(1+Commission)*TabCalc[[#This Row],[Scale]]</f>
        <v>-618847.7515919999</v>
      </c>
      <c r="BJ69" s="161" cm="1">
        <f t="array" aca="1" ref="BJ69" ca="1">SUMPRODUCT(IF(INDIRECT("TabReg["&amp;TabCalc[[#This Row],[Ticker]]&amp;"2]") ="", 0, INDIRECT("TabReg["&amp;TabCalc[[#This Row],[Ticker]]&amp;"1]") * INDIRECT("TabReg["&amp;TabCalc[[#This Row],[Ticker]]&amp;"2]") ))*TabCalc[[#This Row],[Scale]]</f>
        <v>-382077.92</v>
      </c>
      <c r="BK69" s="161" cm="1">
        <f t="array" aca="1" ref="BK6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234553.571</v>
      </c>
      <c r="BL69" s="161">
        <f ca="1">TabCalc[[#This Row],[M_V]]+TabCalc[[#This Row],[EfCost]]</f>
        <v>-37777.919999999984</v>
      </c>
      <c r="BM69" s="161">
        <f ca="1">IF(        OR( TabCalc[[#This Row],[GL]]&gt;ABS(TabCalc[[#This Row],[EfCost]]),TabCalc[[#This Row],[NAfter]]=0),             TabCalc[[#This Row],[GL]],     0)</f>
        <v>0</v>
      </c>
      <c r="BN69" s="161" cm="1">
        <f t="array" aca="1" ref="BN69" ca="1">SUMPRODUCT(_xlfn._xlws.FILTER(IF(INDIRECT("TabReg["&amp;TabCalc[[#This Row],[Ticker]]&amp;"2]") ="", 0, INDIRECT("TabReg["&amp;TabCalc[[#This Row],[Ticker]]&amp;"1]")  ),  INDIRECT("TabReg["&amp;TabCalc[[#This Row],[Ticker]]&amp;"2]") &lt; 0))</f>
        <v>166000</v>
      </c>
      <c r="BO69" s="161">
        <f ca="1">TabCalc[[#This Row],[SB]]-TabCalc[[#This Row],[Nbegin]]</f>
        <v>165150</v>
      </c>
      <c r="BP69" s="161" cm="1">
        <f t="array" aca="1" ref="BP69" ca="1">IFERROR(SUMPRODUCT(_xlfn._xlws.FILTER(IF(INDIRECT("TabReg["&amp;TabCalc[[#This Row],[Ticker]]&amp;"2]") ="", 0, INDIRECT("TabReg["&amp;TabCalc[[#This Row],[Ticker]]&amp;"1]")  ),  INDIRECT("TabReg["&amp;TabCalc[[#This Row],[Ticker]]&amp;"2]") &gt; 0)),0)</f>
        <v>56000</v>
      </c>
      <c r="BQ6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5.77</v>
      </c>
      <c r="BR69" s="176" t="str">
        <f ca="1">IF(TabCalc[[#This Row],[EfCost]]+TabCalc[[#This Row],[M_V]]&lt;TabCalc[[#This Row],[NoT_GL]],"Pile","")</f>
        <v/>
      </c>
      <c r="BS69" s="167">
        <f ca="1">[1]!RTData[[#This Row],[Last trade time]]</f>
        <v>45954.994127685153</v>
      </c>
      <c r="BT69" s="177">
        <f ca="1">(TabCalc[[#This Row],[ValueBegin]]+(TabCalc[[#This Row],[M]]-TabCalc[[#This Row],[A]])*TabCalc[[#This Row],[NAfter]])*TabCalc[[#This Row],[Scale]]</f>
        <v>-59020.000000000029</v>
      </c>
      <c r="BU69" s="189" cm="1">
        <f t="array" aca="1" ref="BU69" ca="1">_xlfn.XLOOKUP(TabCalc[[#This Row],[Ticker]],TabReg[[#Headers],[AAPL]:[UnknownX28]],Reg!B$72:KF$72)+3</f>
        <v>18</v>
      </c>
      <c r="BV69" s="190" cm="1">
        <f t="array" aca="1" ref="BV69" ca="1">_xlfn.XLOOKUP(TabCalc[[#This Row],[Ticker]],TabReg[[#Headers],[AAPL]:[UnknownX28]],Reg!B$73:KF$73)+2</f>
        <v>204</v>
      </c>
      <c r="BW69" s="191">
        <f ca="1">IFERROR(MAX(TabCalc[[#This Row],[Max_SD]],TabCalc[[#This Row],[Max_PD]]),0)</f>
        <v>45936</v>
      </c>
      <c r="BX69" s="191" t="str" cm="1">
        <f t="array" aca="1" ref="BX69" ca="1">_xlfn.IFS(TabCalc[[#This Row],[L_TP]]&lt;0,"Purchase",TabCalc[[#This Row],[L_TP]]&gt;0,"Sale")</f>
        <v>Sale</v>
      </c>
      <c r="BY69" s="190" cm="1">
        <f t="array" aca="1" ref="BY69" ca="1">INDEX(Reg!$A$1:$KF$73,TabCalc[[#This Row],[L_I1]],TabCalc[[#This Row],[L_I2]])</f>
        <v>11000</v>
      </c>
      <c r="BZ69" s="192" cm="1">
        <f t="array" aca="1" ref="BZ69" ca="1">INDEX(Reg!$A$1:$KF$73,TabCalc[[#This Row],[L_I1]],TabCalc[[#This Row],[L_I2]]+1)</f>
        <v>3.16</v>
      </c>
      <c r="CA69" s="161">
        <f ca="1">TabCalc[[#This Row],[NAfter]]*(TabCalc[[#This Row],[M]]-IF(TabCalc[[#This Row],[E]]&gt;0,0,TabCalc[[#This Row],[A]]))</f>
        <v>-16851.500000000029</v>
      </c>
      <c r="CB69" s="167" cm="1">
        <f t="array" aca="1" ref="CB69" ca="1">IFERROR(MIN(_xlfn._xlws.FILTER(INDIRECT("TabReg["&amp;TabCalc[[#This Row],[Ticker]]&amp;"]"), INDIRECT("TabReg["&amp;TabCalc[[#This Row],[Ticker]]&amp;"2]")&gt;0)),0)</f>
        <v>45352</v>
      </c>
      <c r="CC69" s="178" cm="1">
        <f t="array" aca="1" ref="CC69" ca="1">IFERROR(MIN(_xlfn._xlws.FILTER(INDIRECT("TabReg["&amp;TabCalc[[#This Row],[Ticker]]&amp;"1]"), INDIRECT("TabReg["&amp;TabCalc[[#This Row],[Ticker]]&amp;"2]")&gt;0)),0)</f>
        <v>5000</v>
      </c>
      <c r="CD69" s="173" cm="1">
        <f t="array" aca="1" ref="CD69" ca="1">IFERROR(MIN(_xlfn._xlws.FILTER(INDIRECT("TabReg["&amp;TabCalc[[#This Row],[Ticker]]&amp;"2]"), INDIRECT("TabReg["&amp;TabCalc[[#This Row],[Ticker]]&amp;"2]")&gt;0)),0)</f>
        <v>3.16</v>
      </c>
      <c r="CE69" s="167" cm="1">
        <f t="array" aca="1" ref="CE69" ca="1">IFERROR(MAX(_xlfn._xlws.FILTER(INDIRECT("TabReg["&amp;TabCalc[[#This Row],[Ticker]]&amp;"]"), INDIRECT("TabReg["&amp;TabCalc[[#This Row],[Ticker]]&amp;"2]")&gt;0)),0)</f>
        <v>45936</v>
      </c>
      <c r="CF69" s="178" cm="1">
        <f t="array" aca="1" ref="CF69" ca="1">IFERROR(MAX(_xlfn._xlws.FILTER(INDIRECT("TabReg["&amp;TabCalc[[#This Row],[Ticker]]&amp;"1]"), INDIRECT("TabReg["&amp;TabCalc[[#This Row],[Ticker]]&amp;"2]")&gt;0)),0)</f>
        <v>20000</v>
      </c>
      <c r="CG69" s="173" cm="1">
        <f t="array" aca="1" ref="CG69" ca="1">IFERROR(MAX(_xlfn._xlws.FILTER(INDIRECT("TabReg["&amp;TabCalc[[#This Row],[Ticker]]&amp;"2]"), INDIRECT("TabReg["&amp;TabCalc[[#This Row],[Ticker]]&amp;"2]")&gt;0)),0)</f>
        <v>4.5999999999999996</v>
      </c>
      <c r="CH69" s="167" cm="1">
        <f t="array" aca="1" ref="CH69" ca="1">MIN(_xlfn._xlws.FILTER(INDIRECT("TabReg["&amp;TabCalc[[#This Row],[Ticker]]&amp;"]"), INDIRECT("TabReg["&amp;TabCalc[[#This Row],[Ticker]]&amp;"2]")&lt;0))</f>
        <v>40544</v>
      </c>
      <c r="CI69" s="177" cm="1">
        <f t="array" aca="1" ref="CI69" ca="1">MIN(_xlfn._xlws.FILTER(INDIRECT("TabReg["&amp;TabCalc[[#This Row],[Ticker]]&amp;"1]"), INDIRECT("TabReg["&amp;TabCalc[[#This Row],[Ticker]]&amp;"2]")&lt;0))</f>
        <v>850</v>
      </c>
      <c r="CJ69" s="173" cm="1">
        <f t="array" aca="1" ref="CJ69" ca="1">MIN(_xlfn._xlws.FILTER(INDIRECT("TabReg["&amp;TabCalc[[#This Row],[Ticker]]&amp;"2]"), INDIRECT("TabReg["&amp;TabCalc[[#This Row],[Ticker]]&amp;"2]")&lt;0))</f>
        <v>-49.61</v>
      </c>
      <c r="CK69" s="167" cm="1">
        <f t="array" aca="1" ref="CK69" ca="1">MAX(_xlfn._xlws.FILTER(INDIRECT("TabReg["&amp;TabCalc[[#This Row],[Ticker]]&amp;"]"), INDIRECT("TabReg["&amp;TabCalc[[#This Row],[Ticker]]&amp;"2]")&lt;0))</f>
        <v>45790</v>
      </c>
      <c r="CL69" s="177" cm="1">
        <f t="array" aca="1" ref="CL69" ca="1">MAX(_xlfn._xlws.FILTER(INDIRECT("TabReg["&amp;TabCalc[[#This Row],[Ticker]]&amp;"1]"), INDIRECT("TabReg["&amp;TabCalc[[#This Row],[Ticker]]&amp;"2]")&lt;0))</f>
        <v>25000</v>
      </c>
      <c r="CM69" s="173" cm="1">
        <f t="array" aca="1" ref="CM69" ca="1">MAX(_xlfn._xlws.FILTER(INDIRECT("TabReg["&amp;TabCalc[[#This Row],[Ticker]]&amp;"2]"), INDIRECT("TabReg["&amp;TabCalc[[#This Row],[Ticker]]&amp;"2]")&lt;0))</f>
        <v>-1.929</v>
      </c>
      <c r="CN69" s="167" cm="1">
        <f t="array" aca="1" ref="CN69" ca="1">IFERROR(_xlfn.XLOOKUP(TabCalc[[#This Row],[BS2P]],INDIRECT("TabReg["&amp;TabCalc[[#This Row],[Ticker]]&amp;"2]"),INDIRECT("TabReg["&amp;TabCalc[[#This Row],[Ticker]]&amp;"]")),0)</f>
        <v>45706</v>
      </c>
      <c r="CO69" s="178" cm="1">
        <f t="array" aca="1" ref="CO69" ca="1">IFERROR(_xlfn.XLOOKUP(TabCalc[[#This Row],[BS2P]],INDIRECT("TabReg["&amp;TabCalc[[#This Row],[Ticker]]&amp;"2]"),INDIRECT("TabReg["&amp;TabCalc[[#This Row],[Ticker]]&amp;"1]")),0)</f>
        <v>5000</v>
      </c>
      <c r="CP69" s="173">
        <f ca="1">_xlfn.MAXIFS(INDIRECT("TabReg["&amp;TabCalc[[#This Row],[Ticker]]&amp;"2]"), INDIRECT("TabReg["&amp;TabCalc[[#This Row],[Ticker]]&amp;"2]"), "&lt;" &amp; MAX(INDIRECT("TabReg["&amp;TabCalc[[#This Row],[Ticker]]&amp;"2]")))</f>
        <v>4.4809999999999999</v>
      </c>
      <c r="CQ69" s="167" cm="1">
        <f t="array" aca="1" ref="CQ69" ca="1">IFERROR(_xlfn.XLOOKUP(TabCalc[[#This Row],[WB2P]],INDIRECT("TabReg["&amp;TabCalc[[#This Row],[Ticker]]&amp;"2]"),INDIRECT("TabReg["&amp;TabCalc[[#This Row],[Ticker]]&amp;"]")),0)</f>
        <v>45479</v>
      </c>
      <c r="CR69" s="178" cm="1">
        <f t="array" aca="1" ref="CR69" ca="1">IFERROR(_xlfn.XLOOKUP(TabCalc[[#This Row],[WB2P]],INDIRECT("TabReg["&amp;TabCalc[[#This Row],[Ticker]]&amp;"2]"),INDIRECT("TabReg["&amp;TabCalc[[#This Row],[Ticker]]&amp;"1]")),0)</f>
        <v>10000</v>
      </c>
      <c r="CS69" s="173">
        <f ca="1">_xlfn.MINIFS(INDIRECT("TabReg["&amp;TabCalc[[#This Row],[Ticker]]&amp;"2]"), INDIRECT("TabReg["&amp;TabCalc[[#This Row],[Ticker]]&amp;"2]"), "&gt;" &amp; MIN(INDIRECT("TabReg["&amp;TabCalc[[#This Row],[Ticker]]&amp;"2]")))</f>
        <v>-4.1349999999999998</v>
      </c>
      <c r="CT69" s="405">
        <f ca="1">IF(TabCalc[[#This Row],[M]]&lt;TabCalc[[#This Row],[L_Sp]],DesiredBuyGain/(TabCalc[[#This Row],[L_Sp]]-TabCalc[[#This Row],[M]]),0)</f>
        <v>166666.66666666529</v>
      </c>
      <c r="CU69" s="406">
        <f ca="1">IF(TabCalc[[#This Row],[ntoBuy]]*TabCalc[[#This Row],[M]]&lt;=0,0,TabCalc[[#This Row],[ntoBuy]]*TabCalc[[#This Row],[M]])</f>
        <v>521666.66666666232</v>
      </c>
      <c r="CV69" s="406">
        <f ca="1">IF(TabCalc[[#This Row],[M]]&gt;ABS(TabCalc[[#This Row],[L_Bp]]),MIN(TabCalc[[#This Row],[NAfter]],DesiredSaleGain/(TabCalc[[#This Row],[M]]+TabCalc[[#This Row],[L_Bp]])),0)/TabCalc[[#This Row],[Scale]]</f>
        <v>4163.1973355537057</v>
      </c>
      <c r="CW69" s="407">
        <f ca="1">TabCalc[[#This Row],[ntoSell]]*TabCalc[[#This Row],[M]]</f>
        <v>13030.807660283099</v>
      </c>
      <c r="CX69" s="400">
        <f ca="1">_xlfn.LET(_xlpm.nToSell,IF(TabCalc[[#This Row],[M]]-TabCalc[[#This Row],[A]]&lt;=0,"",INT(DesiredSaleGain/(TabCalc[[#This Row],[M]]-IF(TabCalc[[#This Row],[E]]&gt;0,0,TabCalc[[#This Row],[A]])))),IF(_xlpm.nToSell&lt;=TabCalc[[#This Row],[NAfter]],_xlpm.nToSell,0))</f>
        <v>0</v>
      </c>
      <c r="CY69" s="338">
        <f ca="1">IFERROR(TabCalc[[#This Row],[NMA]]*TabCalc[[#This Row],[M]],"")</f>
        <v>0</v>
      </c>
      <c r="CZ69" s="337" cm="1">
        <f t="array" aca="1" ref="CZ69" ca="1">_xlfn.IFS(TabCalc[[#This Row],[M]]&gt;= TabCalc[[#This Row],[L_Sp]],(TabCalc[[#This Row],[M]]-TabCalc[[#This Row],[A]])*TabCalc[[#This Row],[NAfter]]*TabCalc[[#This Row],[Scale]],           TabCalc[[#This Row],[M]]&lt; TabCalc[[#This Row],[L_Sp]],(TabCalc[[#This Row],[M]]-TabCalc[[#This Row],[A]])*TabCalc[[#This Row],[NAfter]]*TabCalc[[#This Row],[Scale]],               TRUE,"")</f>
        <v>-16851.500000000029</v>
      </c>
      <c r="DA69" s="90">
        <f ca="1">IFERROR((TabCalc[[#This Row],[M]]+TabCalc[[#This Row],[L_Bp]])/ABS(TabCalc[[#This Row],[L_Bp]])/(TODAY()-TabCalc[[#This Row],[L_Bdate]])*360,"")</f>
        <v>1.350222039011411</v>
      </c>
      <c r="DB69" s="312">
        <f ca="1">MEDIAN(DataShift!F768:Z768)</f>
        <v>5.6879999999999995E-3</v>
      </c>
      <c r="DC69" s="312" t="str" cm="1">
        <f t="array" aca="1" ref="DC6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69" s="88" t="s">
        <v>65</v>
      </c>
      <c r="DN69" s="81">
        <v>2000</v>
      </c>
      <c r="DO69" s="317">
        <v>-157.13999999999999</v>
      </c>
    </row>
    <row r="70" spans="1:119">
      <c r="A70" s="120" t="str">
        <f ca="1">_xlfn.XLOOKUP(TabCalc[[#This Row],[Ticker]],[1]!RTData[Ticker symbol],[1]!RTData[Currency])</f>
        <v>USD</v>
      </c>
      <c r="B70" s="121">
        <f ca="1">IF(TabCalc[[#This Row],[Cur]]="GBP",0.01,1)</f>
        <v>1</v>
      </c>
      <c r="C70" s="82">
        <f ca="1">_xlfn.XLOOKUP(TabCalc[[#This Row],[Ticker]],DM$3:DM$96,DN$3:DN$96)</f>
        <v>1790</v>
      </c>
      <c r="D70" s="1254">
        <f ca="1">_xlfn.XLOOKUP(TabCalc[[#This Row],[Ticker]],DM$3:DM$96,DO$3:DO$96)</f>
        <v>-104.53</v>
      </c>
      <c r="E70" s="121">
        <f t="shared" ca="1" si="4"/>
        <v>-187108.7</v>
      </c>
      <c r="F70" s="82">
        <f ca="1">TabCalc[[#This Row],[NAfter]]*TabCalc[[#This Row],[M]]*TabCalc[[#This Row],[Scale]]</f>
        <v>134016</v>
      </c>
      <c r="G70" s="82">
        <f ca="1">IFERROR(TabCalc[[#This Row],[SB]]-TabCalc[[#This Row],[SST]],TabCalc[[#This Row],[SB]])</f>
        <v>1200</v>
      </c>
      <c r="H70" s="535" t="str">
        <f ca="1">[1]!RTData[[#This Row],[Ticker symbol]]</f>
        <v>SAFDIS</v>
      </c>
      <c r="I70" s="385">
        <f ca="1">[1]!RTData[[#This Row],[M-Price]]</f>
        <v>111.68</v>
      </c>
      <c r="J70" s="384">
        <v>110.54008333333334</v>
      </c>
      <c r="K70" s="383">
        <f>[1]!RTData[[#This Row],[1YT]]</f>
        <v>133.96896000000001</v>
      </c>
      <c r="L70" s="384">
        <f ca="1">IF(OR(TabCalc[[#This Row],[NAfter]]=0,TabCalc[[#This Row],[EfCost]]&gt;0),0,TabCalc[[#This Row],[EfCost]]/TabCalc[[#This Row],[NAfter]]/TabCalc[[#This Row],[Scale]])</f>
        <v>-80.641566666666677</v>
      </c>
      <c r="M70" s="744">
        <f ca="1">[1]!RTData[[#This Row],[Change%]]</f>
        <v>-1.1944E-2</v>
      </c>
      <c r="N70" s="1172">
        <v>0</v>
      </c>
      <c r="O70" s="966">
        <f>TabCalc[[#This Row],[Up20]]-1+TabCalc[[#This Row],[Up20]]</f>
        <v>-1</v>
      </c>
      <c r="P70" s="966">
        <f>TabCalc[[#This Row],[Up20]]-TabCalc[[#This Row],[Up150]]</f>
        <v>0</v>
      </c>
      <c r="Q70" s="966">
        <v>0</v>
      </c>
      <c r="R70" s="966">
        <f>TabCalc[[#This Row],[Up150]]-1+TabCalc[[#This Row],[Up150]]</f>
        <v>-1</v>
      </c>
      <c r="S70" s="966">
        <f ca="1">IFERROR(SUMPRODUCT(DataShift!F1562:Z1562,DataShift!AB769:AV769)/SQRT(SUMPRODUCT(DataShift!F1562:Z1562,DataShift!F1562:Z1562)*SUMPRODUCT(DataShift!AB769:AV769,DataShift!AB769:AV769)),0)</f>
        <v>-0.28381128579990728</v>
      </c>
      <c r="T70" s="966">
        <f ca="1">IFERROR(SUMPRODUCT(DataShift!F1562:Z1562,DataShift!F769:Z769)/SQRT(SUMPRODUCT(DataShift!F1562:Z1562,DataShift!F1562:Z1562)*SUMPRODUCT(DataShift!F769:Z769,DataShift!F769:Z769)),0)</f>
        <v>-0.11763210455018717</v>
      </c>
      <c r="U70" s="1107">
        <v>670</v>
      </c>
      <c r="V70" s="1107">
        <v>530</v>
      </c>
      <c r="W70" s="1107">
        <v>0</v>
      </c>
      <c r="X70" s="966" t="str">
        <f ca="1">IF(TabCalc[[#This Row],[EfCost]]+TabCalc[[#This Row],[M_V]]&lt;TabCalc[[#This Row],[NoT_GL]],"Pile","")</f>
        <v/>
      </c>
      <c r="Y7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0" s="213">
        <f ca="1">MIN(TabCalc[[#This Row],[L_Bn]],TabCalc[[#This Row],[NAfter]])*(TabCalc[[#This Row],[M]]+TabCalc[[#This Row],[L_Bp]])*TabCalc[[#This Row],[Scale]]</f>
        <v>-688.99999999999852</v>
      </c>
      <c r="AA70" s="210" cm="1">
        <f t="array" aca="1" ref="AA70" ca="1">_xlfn.XLOOKUP(TabCalc[[#This Row],[L_Bp]],INDIRECT("TabReg["&amp;TabCalc[[#This Row],[Ticker]]&amp;"2]"),INDIRECT("TabReg["&amp;TabCalc[[#This Row],[Ticker]]&amp;"]"))</f>
        <v>45936</v>
      </c>
      <c r="AB70" s="181" cm="1">
        <f t="array" aca="1" ref="AB70" ca="1">_xlfn.XLOOKUP(TabCalc[[#This Row],[L_Bp]],INDIRECT("TabReg["&amp;TabCalc[[#This Row],[Ticker]]&amp;"2]"),INDIRECT("TabReg["&amp;TabCalc[[#This Row],[Ticker]]&amp;"1]"))</f>
        <v>530</v>
      </c>
      <c r="AC70" s="192" cm="1">
        <f t="array" aca="1" ref="AC70" ca="1">IFERROR(INDEX(INDIRECT("TabReg["&amp;TabCalc[[#This Row],[Ticker]]&amp;"2]"),    _xlfn.XMATCH(    MAX(    _xlfn._xlws.FILTER(INDIRECT("TabReg["&amp;TabCalc[[#This Row],[Ticker]]&amp;"]"), INDIRECT("TabReg["&amp;TabCalc[[#This Row],[Ticker]]&amp;"2]")&lt;0)     ), INDIRECT("TabReg["&amp;TabCalc[[#This Row],[Ticker]]&amp;"]"),      0)), "")</f>
        <v>-112.98</v>
      </c>
      <c r="AD70" s="213">
        <f ca="1">IFERROR(MIN(TabCalc[[#This Row],[L_B1n]],TabCalc[[#This Row],[NAfter]])*(TabCalc[[#This Row],[M]]+TabCalc[[#This Row],[L_B1p]])*TabCalc[[#This Row],[Scale]],"")</f>
        <v>2149.000000000005</v>
      </c>
      <c r="AE70" s="210" cm="1">
        <f t="array" aca="1" ref="AE7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45667</v>
      </c>
      <c r="AF70" s="181" cm="1">
        <f t="array" aca="1" ref="AF70" ca="1">IFERROR(_xlfn.XLOOKUP(TabCalc[[#This Row],[L_B1D]],INDIRECT("TabReg["&amp;TabCalc[[#This Row],[Ticker]]&amp;"]"),INDIRECT("TabReg["&amp;TabCalc[[#This Row],[Ticker]]&amp;"1]")),0)</f>
        <v>700</v>
      </c>
      <c r="AG70" s="192" cm="1">
        <f t="array" aca="1" ref="AG70" ca="1">IFERROR(_xlfn.XLOOKUP(TabCalc[[#This Row],[L_B1D]],INDIRECT("TabReg["&amp;TabCalc[[#This Row],[Ticker]]&amp;"]"),INDIRECT("TabReg["&amp;TabCalc[[#This Row],[Ticker]]&amp;"2]")),0)</f>
        <v>-108.61</v>
      </c>
      <c r="AH70" s="302">
        <f ca="1">IFERROR(TabCalc[[#This Row],[L_Sn]]*(TabCalc[[#This Row],[L_Sp]]-TabCalc[[#This Row],[M]])*TabCalc[[#This Row],[Scale]],"")</f>
        <v>3725.6999999999975</v>
      </c>
      <c r="AI70" s="210" cm="1">
        <f t="array" aca="1" ref="AI70" ca="1">IFERROR(_xlfn.XLOOKUP(TabCalc[[#This Row],[L_Sp]],INDIRECT("TabReg["&amp;TabCalc[[#This Row],[Ticker]]&amp;"2]"),INDIRECT("TabReg["&amp;TabCalc[[#This Row],[Ticker]]&amp;"]")),0)</f>
        <v>45845</v>
      </c>
      <c r="AJ70" s="181" cm="1">
        <f t="array" aca="1" ref="AJ70" ca="1">IFERROR(_xlfn.XLOOKUP(TabCalc[[#This Row],[L_Sp]],INDIRECT("TabReg["&amp;TabCalc[[#This Row],[Ticker]]&amp;"2]"),INDIRECT("TabReg["&amp;TabCalc[[#This Row],[Ticker]]&amp;"1]")),0)</f>
        <v>330</v>
      </c>
      <c r="AK70" s="192" cm="1">
        <f t="array" aca="1" ref="AK70" ca="1">IFERROR(INDEX(INDIRECT("TabReg["&amp;TabCalc[[#This Row],[Ticker]]&amp;"2]"), _xlfn.XMATCH(MAX(_xlfn._xlws.FILTER(INDIRECT("TabReg["&amp;TabCalc[[#This Row],[Ticker]]&amp;"]"), INDIRECT("TabReg["&amp;TabCalc[[#This Row],[Ticker]]&amp;"2]")&gt;0)), INDIRECT("TabReg["&amp;TabCalc[[#This Row],[Ticker]]&amp;"]"), 0)), 0)</f>
        <v>122.97</v>
      </c>
      <c r="AL70" s="214">
        <f ca="1">IFERROR(TabCalc[[#This Row],[L_S1n]]*(TabCalc[[#This Row],[L_S1p]]-TabCalc[[#This Row],[M]])*TabCalc[[#This Row],[Scale]],0)</f>
        <v>6111.9999999999891</v>
      </c>
      <c r="AM70" s="210" cm="1">
        <f t="array" aca="1" ref="AM7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70" s="181" cm="1">
        <f t="array" aca="1" ref="AN70" ca="1">IFERROR(_xlfn.XLOOKUP(TabCalc[[#This Row],[L_S1D]],INDIRECT("TabReg["&amp;TabCalc[[#This Row],[Ticker]]&amp;"]"),INDIRECT("TabReg["&amp;TabCalc[[#This Row],[Ticker]]&amp;"1]")),0)</f>
        <v>800</v>
      </c>
      <c r="AO70" s="384" cm="1">
        <f t="array" aca="1" ref="AO70" ca="1">IFERROR(_xlfn.XLOOKUP(TabCalc[[#This Row],[L_S1D]],INDIRECT("TabReg["&amp;TabCalc[[#This Row],[Ticker]]&amp;"]"),INDIRECT("TabReg["&amp;TabCalc[[#This Row],[Ticker]]&amp;"2]")),0)</f>
        <v>119.32</v>
      </c>
      <c r="AP70" s="336">
        <f ca="1">_xlfn.LET(_xlpm.MVOpen,[1]!RTData[[#This Row],[Open]]*TabCalc[[#This Row],[NAfter]],_xlpm.MVNow,TabCalc[[#This Row],[M]]*TabCalc[[#This Row],[NAfter]],_xlpm.MVNow-_xlpm.MVOpen)*TabCalc[[#This Row],[Scale]]</f>
        <v>-1860</v>
      </c>
      <c r="AQ70" s="336">
        <f ca="1">_xlfn.LET(_xlpm.MVToday,DataShift!AV570,         _xlpm.MVY,DataShift!AU570,        _xlpm.MVYY, DataShift!AT570,                                IF(_xlpm.MVToday=_xlpm.MVY,_xlpm.MVY-_xlpm.MVYY,_xlpm.MVToday-_xlpm.MVY))</f>
        <v>1675</v>
      </c>
      <c r="AR70" s="336">
        <f ca="1">_xlfn.LET(_xlpm.MVToday,DataShift!AV570,         _xlpm.MVY,DataShift!AU570,        _xlpm.MVYY, DataShift!AT570,         _xlpm.MVYYY, DataShift!AS570,                      IF(_xlpm.MVToday=_xlpm.MVY,      _xlpm.MVYY-_xlpm.MVYYY,          _xlpm.MVY-_xlpm.MVYY))</f>
        <v>4400</v>
      </c>
      <c r="AS70" s="1078">
        <f ca="1">TabCalc[[#This Row],[Y]]/TabCalc[[#This Row],[M]]</f>
        <v>1.1995787965616047</v>
      </c>
      <c r="AT70" s="299" t="str" cm="1">
        <f t="array" aca="1" ref="AT70" ca="1">IFERROR(_xlfn.IFS(          TabCalc[[#This Row],[E]]&gt;0, "Free Trade",      TabCalc[[#This Row],[A]]&lt;MIN(TabCalc[[#This Row],[L_Sp]],TabCalc[[#This Row],[M]]), "Buy",            TabCalc[[#This Row],[M]]&lt;TabCalc[[#This Row],[L_Sp]],       "Refill",       TabCalc[[#This Row],[M]]&gt;TabCalc[[#This Row],[L_Sp]],"S_more"),"")</f>
        <v>Buy</v>
      </c>
      <c r="AU70" s="299" t="str">
        <f ca="1">IF(           AND(TabCalc[[#This Row],[E]]&lt;=0,          TabCalc[[#This Row],[A]]&gt;MIN(TabCalc[[#This Row],[M]],TabCalc[[#This Row],[L_Sp]]),             TabCalc[[#This Row],[L_Sp]]&lt;=TabCalc[[#This Row],[M]]),                       "S_more","")</f>
        <v/>
      </c>
      <c r="AV70" s="82" t="str" cm="1">
        <f t="array" aca="1" ref="AV70" ca="1">IFERROR(_xlfn.IFS(TabCalc[[#This Row],[E]]&gt;0,"Free trade",                 TabCalc[[#This Row],[A]]&lt;MAX(ABS(TabCalc[[#This Row],[L_Bp]]),TabCalc[[#This Row],[A]]),"Sell",             TabCalc[[#This Row],[M]]&gt;ABS(TabCalc[[#This Row],[L_Bp]]),"Resell",             TabCalc[[#This Row],[M]]&lt;ABS(TabCalc[[#This Row],[L_Bp]]),"B_more"),"")</f>
        <v>Sell</v>
      </c>
      <c r="AW70" s="82">
        <f ca="1">TabCalc[[#This Row],[NAfter]]-TabCalc[[#This Row],[Nbegin]]</f>
        <v>-590</v>
      </c>
      <c r="AX70" s="307">
        <f ca="1">IFERROR((TabCalc[[#This Row],[M]]-TabCalc[[#This Row],[Y]])*(TabCalc[[#This Row],[M]]-TabCalc[[#This Row],[Y]])*(TabCalc[[#This Row],[M]]-TabCalc[[#This Row],[Y]])/(TabCalc[[#This Row],[Y]]*TabCalc[[#This Row],[M]]),"")</f>
        <v>-0.74009900995676348</v>
      </c>
      <c r="AY70" s="82">
        <f t="shared" ca="1" si="5"/>
        <v>590</v>
      </c>
      <c r="AZ70" s="90">
        <f ca="1">[1]!RTData[[#This Row],[V/VA]]</f>
        <v>0.69922147030240689</v>
      </c>
      <c r="BA70" s="90" t="str" cm="1">
        <f t="array" aca="1" ref="BA70" ca="1">IFERROR(_xlfn.IFS(TabCalc[[#This Row],[Cur]]="USD",Timer!F$27,TabCalc[[#This Row],[Cur]]="EUR",Timer!F$18,TabCalc[[#This Row],[Cur]]="GBP",Timer!F$12,TabCalc[[#This Row],[Cur]]="CAD",Timer!F$27,TabCalc[[#This Row],[Cur]]="JPY",Timer!F$31,TabCalc[[#This Row],[Cur]]="CHF",Timer!F$18),"Timing")</f>
        <v>None-Working Day</v>
      </c>
      <c r="BB70" s="90">
        <f ca="1">IF(ISNUMBER(TabCalc[[#This Row],[TimeEX]]),TabCalc[[#This Row],[V/VA]]/TabCalc[[#This Row],[TimeEX]],TabCalc[[#This Row],[V/VA]])</f>
        <v>0.69922147030240689</v>
      </c>
      <c r="BC70" s="87" cm="1">
        <f t="array" aca="1" ref="BC70" ca="1">INDEX(TabReg[], 1, _xlfn.XMATCH(TabCalc[[#This Row],[Ticker]]&amp;1, TabReg[#Headers], 0))</f>
        <v>1790</v>
      </c>
      <c r="BD70" s="161">
        <f ca="1">TabCalc[[#This Row],[Nbegin]]*TabCalc[[#This Row],[M]]*TabCalc[[#This Row],[Scale]]+TabCalc[[#This Row],[ValueBegin]]</f>
        <v>12798.5</v>
      </c>
      <c r="BE70" s="336" t="str" cm="1">
        <f t="array" aca="1" ref="BE70" ca="1">_xlfn.IFS(TabCalc[[#This Row],[Cost+Gain]]&gt;0,"Free",             TabCalc[[#This Row],[GL]]&gt;0,"Gainer",                TRUE,"Looser")</f>
        <v>Gainer</v>
      </c>
      <c r="BF70" s="161">
        <f ca="1">TabCalc[[#This Row],[Tot_Paid]]-TabCalc[[#This Row],[ValueBegin]]</f>
        <v>-515495.43345999991</v>
      </c>
      <c r="BG70" s="337">
        <f ca="1">IF(TabCalc[[#This Row],[EfCost]]&gt;TabCalc[[#This Row],[ValueBegin]],       0,        TabCalc[[#This Row],[EfCost]]-TabCalc[[#This Row],[ValueBegin]]*(1+Commission))</f>
        <v>0</v>
      </c>
      <c r="BH70" s="338">
        <f ca="1">TabCalc[[#This Row],[M_V]]+TabCalc[[#This Row],[ValueBegin]]</f>
        <v>-53092.700000000012</v>
      </c>
      <c r="BI70" s="161" cm="1">
        <f t="array" aca="1" ref="BI70" ca="1">SUMPRODUCT(_xlfn._xlws.FILTER(INDIRECT("TabReg["&amp;TabCalc[[#This Row],[Ticker]]&amp;"1]") * INDIRECT("TabReg["&amp;TabCalc[[#This Row],[Ticker]]&amp;"2]"), INDIRECT("TabReg["&amp;TabCalc[[#This Row],[Ticker]]&amp;"2]")&lt;0))*(1+Commission)*TabCalc[[#This Row],[Scale]]</f>
        <v>-702604.13345999992</v>
      </c>
      <c r="BJ70" s="161" cm="1">
        <f t="array" aca="1" ref="BJ70" ca="1">SUMPRODUCT(IF(INDIRECT("TabReg["&amp;TabCalc[[#This Row],[Ticker]]&amp;"2]") ="", 0, INDIRECT("TabReg["&amp;TabCalc[[#This Row],[Ticker]]&amp;"1]") * INDIRECT("TabReg["&amp;TabCalc[[#This Row],[Ticker]]&amp;"2]") ))*TabCalc[[#This Row],[Scale]]</f>
        <v>-96769.880000000019</v>
      </c>
      <c r="BK70" s="161" cm="1">
        <f t="array" aca="1" ref="BK7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602441.78822799993</v>
      </c>
      <c r="BL70" s="161">
        <f ca="1">TabCalc[[#This Row],[M_V]]+TabCalc[[#This Row],[EfCost]]</f>
        <v>37246.119999999981</v>
      </c>
      <c r="BM70" s="161">
        <f ca="1">IF(        OR( TabCalc[[#This Row],[GL]]&gt;ABS(TabCalc[[#This Row],[EfCost]]),TabCalc[[#This Row],[NAfter]]=0),             TabCalc[[#This Row],[GL]],     0)</f>
        <v>0</v>
      </c>
      <c r="BN70" s="161" cm="1">
        <f t="array" aca="1" ref="BN70" ca="1">SUMPRODUCT(_xlfn._xlws.FILTER(IF(INDIRECT("TabReg["&amp;TabCalc[[#This Row],[Ticker]]&amp;"2]") ="", 0, INDIRECT("TabReg["&amp;TabCalc[[#This Row],[Ticker]]&amp;"1]")  ),  INDIRECT("TabReg["&amp;TabCalc[[#This Row],[Ticker]]&amp;"2]") &lt; 0))</f>
        <v>6530</v>
      </c>
      <c r="BO70" s="161">
        <f ca="1">TabCalc[[#This Row],[SB]]-TabCalc[[#This Row],[Nbegin]]</f>
        <v>4740</v>
      </c>
      <c r="BP70" s="161" cm="1">
        <f t="array" aca="1" ref="BP70" ca="1">IFERROR(SUMPRODUCT(_xlfn._xlws.FILTER(IF(INDIRECT("TabReg["&amp;TabCalc[[#This Row],[Ticker]]&amp;"2]") ="", 0, INDIRECT("TabReg["&amp;TabCalc[[#This Row],[Ticker]]&amp;"1]")  ),  INDIRECT("TabReg["&amp;TabCalc[[#This Row],[Ticker]]&amp;"2]") &gt; 0)),0)</f>
        <v>5330</v>
      </c>
      <c r="BQ7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130.02</v>
      </c>
      <c r="BR70" s="176" t="str">
        <f ca="1">IF(TabCalc[[#This Row],[EfCost]]+TabCalc[[#This Row],[M_V]]&lt;TabCalc[[#This Row],[NoT_GL]],"Pile","")</f>
        <v/>
      </c>
      <c r="BS70" s="167">
        <f ca="1">[1]!RTData[[#This Row],[Last trade time]]</f>
        <v>45954.999477950783</v>
      </c>
      <c r="BT70" s="177">
        <f ca="1">(TabCalc[[#This Row],[ValueBegin]]+(TabCalc[[#This Row],[M]]-TabCalc[[#This Row],[A]])*TabCalc[[#This Row],[NAfter]])*TabCalc[[#This Row],[Scale]]</f>
        <v>-185740.80000000002</v>
      </c>
      <c r="BU70" s="189" cm="1">
        <f t="array" aca="1" ref="BU70" ca="1">_xlfn.XLOOKUP(TabCalc[[#This Row],[Ticker]],TabReg[[#Headers],[AAPL]:[UnknownX28]],Reg!B$72:KF$72)+3</f>
        <v>19</v>
      </c>
      <c r="BV70" s="190" cm="1">
        <f t="array" aca="1" ref="BV70" ca="1">_xlfn.XLOOKUP(TabCalc[[#This Row],[Ticker]],TabReg[[#Headers],[AAPL]:[UnknownX28]],Reg!B$73:KF$73)+2</f>
        <v>207</v>
      </c>
      <c r="BW70" s="191">
        <f ca="1">IFERROR(MAX(TabCalc[[#This Row],[Max_SD]],TabCalc[[#This Row],[Max_PD]]),0)</f>
        <v>45936</v>
      </c>
      <c r="BX70" s="191" t="str" cm="1">
        <f t="array" aca="1" ref="BX70" ca="1">_xlfn.IFS(TabCalc[[#This Row],[L_TP]]&lt;0,"Purchase",TabCalc[[#This Row],[L_TP]]&gt;0,"Sale")</f>
        <v>Purchase</v>
      </c>
      <c r="BY70" s="190" cm="1">
        <f t="array" aca="1" ref="BY70" ca="1">INDEX(Reg!$A$1:$KF$73,TabCalc[[#This Row],[L_I1]],TabCalc[[#This Row],[L_I2]])</f>
        <v>530</v>
      </c>
      <c r="BZ70" s="192" cm="1">
        <f t="array" aca="1" ref="BZ70" ca="1">INDEX(Reg!$A$1:$KF$73,TabCalc[[#This Row],[L_I1]],TabCalc[[#This Row],[L_I2]]+1)</f>
        <v>-112.98</v>
      </c>
      <c r="CA70" s="161">
        <f ca="1">TabCalc[[#This Row],[NAfter]]*(TabCalc[[#This Row],[M]]-IF(TabCalc[[#This Row],[E]]&gt;0,0,TabCalc[[#This Row],[A]]))</f>
        <v>1367.8999999999974</v>
      </c>
      <c r="CB70" s="167" cm="1">
        <f t="array" aca="1" ref="CB70" ca="1">IFERROR(MIN(_xlfn._xlws.FILTER(INDIRECT("TabReg["&amp;TabCalc[[#This Row],[Ticker]]&amp;"]"), INDIRECT("TabReg["&amp;TabCalc[[#This Row],[Ticker]]&amp;"2]")&gt;0)),0)</f>
        <v>45350</v>
      </c>
      <c r="CC70" s="178" cm="1">
        <f t="array" aca="1" ref="CC70" ca="1">IFERROR(MIN(_xlfn._xlws.FILTER(INDIRECT("TabReg["&amp;TabCalc[[#This Row],[Ticker]]&amp;"1]"), INDIRECT("TabReg["&amp;TabCalc[[#This Row],[Ticker]]&amp;"2]")&gt;0)),0)</f>
        <v>330</v>
      </c>
      <c r="CD70" s="173" cm="1">
        <f t="array" aca="1" ref="CD70" ca="1">IFERROR(MIN(_xlfn._xlws.FILTER(INDIRECT("TabReg["&amp;TabCalc[[#This Row],[Ticker]]&amp;"2]"), INDIRECT("TabReg["&amp;TabCalc[[#This Row],[Ticker]]&amp;"2]")&gt;0)),0)</f>
        <v>98.98</v>
      </c>
      <c r="CE70" s="167" cm="1">
        <f t="array" aca="1" ref="CE70" ca="1">IFERROR(MAX(_xlfn._xlws.FILTER(INDIRECT("TabReg["&amp;TabCalc[[#This Row],[Ticker]]&amp;"]"), INDIRECT("TabReg["&amp;TabCalc[[#This Row],[Ticker]]&amp;"2]")&gt;0)),0)</f>
        <v>45845</v>
      </c>
      <c r="CF70" s="178" cm="1">
        <f t="array" aca="1" ref="CF70" ca="1">IFERROR(MAX(_xlfn._xlws.FILTER(INDIRECT("TabReg["&amp;TabCalc[[#This Row],[Ticker]]&amp;"1]"), INDIRECT("TabReg["&amp;TabCalc[[#This Row],[Ticker]]&amp;"2]")&gt;0)),0)</f>
        <v>1500</v>
      </c>
      <c r="CG70" s="173" cm="1">
        <f t="array" aca="1" ref="CG70" ca="1">IFERROR(MAX(_xlfn._xlws.FILTER(INDIRECT("TabReg["&amp;TabCalc[[#This Row],[Ticker]]&amp;"2]"), INDIRECT("TabReg["&amp;TabCalc[[#This Row],[Ticker]]&amp;"2]")&gt;0)),0)</f>
        <v>122.97</v>
      </c>
      <c r="CH70" s="167" cm="1">
        <f t="array" aca="1" ref="CH70" ca="1">MIN(_xlfn._xlws.FILTER(INDIRECT("TabReg["&amp;TabCalc[[#This Row],[Ticker]]&amp;"]"), INDIRECT("TabReg["&amp;TabCalc[[#This Row],[Ticker]]&amp;"2]")&lt;0))</f>
        <v>40544</v>
      </c>
      <c r="CI70" s="177" cm="1">
        <f t="array" aca="1" ref="CI70" ca="1">MIN(_xlfn._xlws.FILTER(INDIRECT("TabReg["&amp;TabCalc[[#This Row],[Ticker]]&amp;"1]"), INDIRECT("TabReg["&amp;TabCalc[[#This Row],[Ticker]]&amp;"2]")&lt;0))</f>
        <v>500</v>
      </c>
      <c r="CJ70" s="173" cm="1">
        <f t="array" aca="1" ref="CJ70" ca="1">MIN(_xlfn._xlws.FILTER(INDIRECT("TabReg["&amp;TabCalc[[#This Row],[Ticker]]&amp;"2]"), INDIRECT("TabReg["&amp;TabCalc[[#This Row],[Ticker]]&amp;"2]")&lt;0))</f>
        <v>-116.73</v>
      </c>
      <c r="CK70" s="167" cm="1">
        <f t="array" aca="1" ref="CK70" ca="1">MAX(_xlfn._xlws.FILTER(INDIRECT("TabReg["&amp;TabCalc[[#This Row],[Ticker]]&amp;"]"), INDIRECT("TabReg["&amp;TabCalc[[#This Row],[Ticker]]&amp;"2]")&lt;0))</f>
        <v>45936</v>
      </c>
      <c r="CL70" s="177" cm="1">
        <f t="array" aca="1" ref="CL70" ca="1">MAX(_xlfn._xlws.FILTER(INDIRECT("TabReg["&amp;TabCalc[[#This Row],[Ticker]]&amp;"1]"), INDIRECT("TabReg["&amp;TabCalc[[#This Row],[Ticker]]&amp;"2]")&lt;0))</f>
        <v>1790</v>
      </c>
      <c r="CM70" s="173" cm="1">
        <f t="array" aca="1" ref="CM70" ca="1">MAX(_xlfn._xlws.FILTER(INDIRECT("TabReg["&amp;TabCalc[[#This Row],[Ticker]]&amp;"2]"), INDIRECT("TabReg["&amp;TabCalc[[#This Row],[Ticker]]&amp;"2]")&lt;0))</f>
        <v>-92.95</v>
      </c>
      <c r="CN70" s="167" cm="1">
        <f t="array" aca="1" ref="CN70" ca="1">IFERROR(_xlfn.XLOOKUP(TabCalc[[#This Row],[BS2P]],INDIRECT("TabReg["&amp;TabCalc[[#This Row],[Ticker]]&amp;"2]"),INDIRECT("TabReg["&amp;TabCalc[[#This Row],[Ticker]]&amp;"]")),0)</f>
        <v>45833</v>
      </c>
      <c r="CO70" s="178" cm="1">
        <f t="array" aca="1" ref="CO70" ca="1">IFERROR(_xlfn.XLOOKUP(TabCalc[[#This Row],[BS2P]],INDIRECT("TabReg["&amp;TabCalc[[#This Row],[Ticker]]&amp;"2]"),INDIRECT("TabReg["&amp;TabCalc[[#This Row],[Ticker]]&amp;"1]")),0)</f>
        <v>800</v>
      </c>
      <c r="CP70" s="173">
        <f ca="1">_xlfn.MAXIFS(INDIRECT("TabReg["&amp;TabCalc[[#This Row],[Ticker]]&amp;"2]"), INDIRECT("TabReg["&amp;TabCalc[[#This Row],[Ticker]]&amp;"2]"), "&lt;" &amp; MAX(INDIRECT("TabReg["&amp;TabCalc[[#This Row],[Ticker]]&amp;"2]")))</f>
        <v>119.32</v>
      </c>
      <c r="CQ70" s="167" cm="1">
        <f t="array" aca="1" ref="CQ70" ca="1">IFERROR(_xlfn.XLOOKUP(TabCalc[[#This Row],[WB2P]],INDIRECT("TabReg["&amp;TabCalc[[#This Row],[Ticker]]&amp;"2]"),INDIRECT("TabReg["&amp;TabCalc[[#This Row],[Ticker]]&amp;"]")),0)</f>
        <v>45372</v>
      </c>
      <c r="CR70" s="178" cm="1">
        <f t="array" aca="1" ref="CR70" ca="1">IFERROR(_xlfn.XLOOKUP(TabCalc[[#This Row],[WB2P]],INDIRECT("TabReg["&amp;TabCalc[[#This Row],[Ticker]]&amp;"2]"),INDIRECT("TabReg["&amp;TabCalc[[#This Row],[Ticker]]&amp;"1]")),0)</f>
        <v>710</v>
      </c>
      <c r="CS70" s="173">
        <f ca="1">_xlfn.MINIFS(INDIRECT("TabReg["&amp;TabCalc[[#This Row],[Ticker]]&amp;"2]"), INDIRECT("TabReg["&amp;TabCalc[[#This Row],[Ticker]]&amp;"2]"), "&gt;" &amp; MIN(INDIRECT("TabReg["&amp;TabCalc[[#This Row],[Ticker]]&amp;"2]")))</f>
        <v>-116.3</v>
      </c>
      <c r="CT70" s="405">
        <f ca="1">IF(TabCalc[[#This Row],[M]]&lt;TabCalc[[#This Row],[L_Sp]],DesiredBuyGain/(TabCalc[[#This Row],[L_Sp]]-TabCalc[[#This Row],[M]]),0)</f>
        <v>442.86979627989405</v>
      </c>
      <c r="CU70" s="406">
        <f ca="1">IF(TabCalc[[#This Row],[ntoBuy]]*TabCalc[[#This Row],[M]]&lt;=0,0,TabCalc[[#This Row],[ntoBuy]]*TabCalc[[#This Row],[M]])</f>
        <v>49459.698848538574</v>
      </c>
      <c r="CV70" s="406">
        <f ca="1">IF(TabCalc[[#This Row],[M]]&gt;ABS(TabCalc[[#This Row],[L_Bp]]),MIN(TabCalc[[#This Row],[NAfter]],DesiredSaleGain/(TabCalc[[#This Row],[M]]+TabCalc[[#This Row],[L_Bp]])),0)/TabCalc[[#This Row],[Scale]]</f>
        <v>0</v>
      </c>
      <c r="CW70" s="407">
        <f ca="1">TabCalc[[#This Row],[ntoSell]]*TabCalc[[#This Row],[M]]</f>
        <v>0</v>
      </c>
      <c r="CX70" s="400">
        <f ca="1">_xlfn.LET(_xlpm.nToSell,IF(TabCalc[[#This Row],[M]]-TabCalc[[#This Row],[A]]&lt;=0,"",INT(DesiredSaleGain/(TabCalc[[#This Row],[M]]-IF(TabCalc[[#This Row],[E]]&gt;0,0,TabCalc[[#This Row],[A]])))),IF(_xlpm.nToSell&lt;=TabCalc[[#This Row],[NAfter]],_xlpm.nToSell,0))</f>
        <v>0</v>
      </c>
      <c r="CY70" s="338">
        <f ca="1">IFERROR(TabCalc[[#This Row],[NMA]]*TabCalc[[#This Row],[M]],"")</f>
        <v>0</v>
      </c>
      <c r="CZ70" s="337" cm="1">
        <f t="array" aca="1" ref="CZ70" ca="1">_xlfn.IFS(TabCalc[[#This Row],[M]]&gt;= TabCalc[[#This Row],[L_Sp]],(TabCalc[[#This Row],[M]]-TabCalc[[#This Row],[A]])*TabCalc[[#This Row],[NAfter]]*TabCalc[[#This Row],[Scale]],           TabCalc[[#This Row],[M]]&lt; TabCalc[[#This Row],[L_Sp]],(TabCalc[[#This Row],[M]]-TabCalc[[#This Row],[A]])*TabCalc[[#This Row],[NAfter]]*TabCalc[[#This Row],[Scale]],               TRUE,"")</f>
        <v>1367.8999999999974</v>
      </c>
      <c r="DA70" s="90">
        <f ca="1">IFERROR((TabCalc[[#This Row],[M]]+TabCalc[[#This Row],[L_Bp]])/ABS(TabCalc[[#This Row],[L_Bp]])/(TODAY()-TabCalc[[#This Row],[L_Bdate]])*360,"")</f>
        <v>-0.20711630377057838</v>
      </c>
      <c r="DB70" s="312">
        <f ca="1">MEDIAN(DataShift!F769:Z769)</f>
        <v>5.0400000000000002E-3</v>
      </c>
      <c r="DC70" s="312" t="str" cm="1">
        <f t="array" aca="1" ref="DC7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70" s="88" t="s">
        <v>66</v>
      </c>
      <c r="DN70" s="82">
        <v>500</v>
      </c>
      <c r="DO70" s="317">
        <v>-68.847200000000043</v>
      </c>
    </row>
    <row r="71" spans="1:119">
      <c r="A71" s="120" t="str">
        <f ca="1">_xlfn.XLOOKUP(TabCalc[[#This Row],[Ticker]],[1]!RTData[Ticker symbol],[1]!RTData[Currency])</f>
        <v>USD</v>
      </c>
      <c r="B71" s="121">
        <f ca="1">IF(TabCalc[[#This Row],[Cur]]="GBP",0.01,1)</f>
        <v>1</v>
      </c>
      <c r="C71" s="82">
        <f ca="1">_xlfn.XLOOKUP(TabCalc[[#This Row],[Ticker]],DM$3:DM$96,DN$3:DN$96)</f>
        <v>3900</v>
      </c>
      <c r="D71" s="1254">
        <f ca="1">_xlfn.XLOOKUP(TabCalc[[#This Row],[Ticker]],DM$3:DM$96,DO$3:DO$96)</f>
        <v>-39.32</v>
      </c>
      <c r="E71" s="121">
        <f t="shared" ca="1" si="4"/>
        <v>-153348</v>
      </c>
      <c r="F71" s="82">
        <f ca="1">TabCalc[[#This Row],[NAfter]]*TabCalc[[#This Row],[M]]*TabCalc[[#This Row],[Scale]]</f>
        <v>0</v>
      </c>
      <c r="G71" s="82">
        <f ca="1">IFERROR(TabCalc[[#This Row],[SB]]-TabCalc[[#This Row],[SST]],TabCalc[[#This Row],[SB]])</f>
        <v>0</v>
      </c>
      <c r="H71" s="535" t="str">
        <f ca="1">[1]!RTData[[#This Row],[Ticker symbol]]</f>
        <v>SAFGM</v>
      </c>
      <c r="I71" s="385">
        <f ca="1">[1]!RTData[[#This Row],[M-Price]]</f>
        <v>69.66</v>
      </c>
      <c r="J71" s="384">
        <v>3.3399161570247933</v>
      </c>
      <c r="K71" s="383">
        <f>[1]!RTData[[#This Row],[1YT]]</f>
        <v>63.8</v>
      </c>
      <c r="L71" s="384">
        <f ca="1">IF(OR(TabCalc[[#This Row],[NAfter]]=0,TabCalc[[#This Row],[EfCost]]&gt;0),0,TabCalc[[#This Row],[EfCost]]/TabCalc[[#This Row],[NAfter]]/TabCalc[[#This Row],[Scale]])</f>
        <v>0</v>
      </c>
      <c r="M71" s="744">
        <f ca="1">[1]!RTData[[#This Row],[Change%]]</f>
        <v>4.2034000000000002E-2</v>
      </c>
      <c r="N71" s="1172">
        <v>0.55555555555555558</v>
      </c>
      <c r="O71" s="966">
        <f>TabCalc[[#This Row],[Up20]]-1+TabCalc[[#This Row],[Up20]]</f>
        <v>0.11111111111111116</v>
      </c>
      <c r="P71" s="966">
        <f>TabCalc[[#This Row],[Up20]]-TabCalc[[#This Row],[Up150]]</f>
        <v>0.10779436152570482</v>
      </c>
      <c r="Q71" s="966">
        <v>0.44776119402985076</v>
      </c>
      <c r="R71" s="966">
        <f>TabCalc[[#This Row],[Up150]]-1+TabCalc[[#This Row],[Up150]]</f>
        <v>-0.10447761194029853</v>
      </c>
      <c r="S71" s="966">
        <f ca="1">IFERROR(SUMPRODUCT(DataShift!F1563:Z1563,DataShift!AB770:AV770)/SQRT(SUMPRODUCT(DataShift!F1563:Z1563,DataShift!F1563:Z1563)*SUMPRODUCT(DataShift!AB770:AV770,DataShift!AB770:AV770)),0)</f>
        <v>-0.53398886628887399</v>
      </c>
      <c r="T71" s="966">
        <f ca="1">IFERROR(SUMPRODUCT(DataShift!F1563:Z1563,DataShift!F770:Z770)/SQRT(SUMPRODUCT(DataShift!F1563:Z1563,DataShift!F1563:Z1563)*SUMPRODUCT(DataShift!F770:Z770,DataShift!F770:Z770)),0)</f>
        <v>8.082086996444135E-2</v>
      </c>
      <c r="U71" s="1107">
        <v>46000</v>
      </c>
      <c r="V71" s="1107">
        <v>75000</v>
      </c>
      <c r="W71" s="1107">
        <v>0</v>
      </c>
      <c r="X71" s="966" t="str">
        <f ca="1">IF(TabCalc[[#This Row],[EfCost]]+TabCalc[[#This Row],[M_V]]&lt;TabCalc[[#This Row],[NoT_GL]],"Pile","")</f>
        <v>Pile</v>
      </c>
      <c r="Y7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1" s="213">
        <f ca="1">MIN(TabCalc[[#This Row],[L_Bn]],TabCalc[[#This Row],[NAfter]])*(TabCalc[[#This Row],[M]]+TabCalc[[#This Row],[L_Bp]])*TabCalc[[#This Row],[Scale]]</f>
        <v>0</v>
      </c>
      <c r="AA71" s="210" cm="1">
        <f t="array" aca="1" ref="AA71" ca="1">_xlfn.XLOOKUP(TabCalc[[#This Row],[L_Bp]],INDIRECT("TabReg["&amp;TabCalc[[#This Row],[Ticker]]&amp;"2]"),INDIRECT("TabReg["&amp;TabCalc[[#This Row],[Ticker]]&amp;"]"))</f>
        <v>45503</v>
      </c>
      <c r="AB71" s="181" cm="1">
        <f t="array" aca="1" ref="AB71" ca="1">_xlfn.XLOOKUP(TabCalc[[#This Row],[L_Bp]],INDIRECT("TabReg["&amp;TabCalc[[#This Row],[Ticker]]&amp;"2]"),INDIRECT("TabReg["&amp;TabCalc[[#This Row],[Ticker]]&amp;"1]"))</f>
        <v>2000</v>
      </c>
      <c r="AC71" s="192" cm="1">
        <f t="array" aca="1" ref="AC71" ca="1">IFERROR(INDEX(INDIRECT("TabReg["&amp;TabCalc[[#This Row],[Ticker]]&amp;"2]"),    _xlfn.XMATCH(    MAX(    _xlfn._xlws.FILTER(INDIRECT("TabReg["&amp;TabCalc[[#This Row],[Ticker]]&amp;"]"), INDIRECT("TabReg["&amp;TabCalc[[#This Row],[Ticker]]&amp;"2]")&lt;0)     ), INDIRECT("TabReg["&amp;TabCalc[[#This Row],[Ticker]]&amp;"]"),      0)), "")</f>
        <v>-44.62</v>
      </c>
      <c r="AD71" s="213">
        <f ca="1">IFERROR(MIN(TabCalc[[#This Row],[L_B1n]],TabCalc[[#This Row],[NAfter]])*(TabCalc[[#This Row],[M]]+TabCalc[[#This Row],[L_B1p]])*TabCalc[[#This Row],[Scale]],"")</f>
        <v>0</v>
      </c>
      <c r="AE71" s="210" cm="1">
        <f t="array" aca="1" ref="AE7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71" s="181" cm="1">
        <f t="array" aca="1" ref="AF71" ca="1">IFERROR(_xlfn.XLOOKUP(TabCalc[[#This Row],[L_B1D]],INDIRECT("TabReg["&amp;TabCalc[[#This Row],[Ticker]]&amp;"]"),INDIRECT("TabReg["&amp;TabCalc[[#This Row],[Ticker]]&amp;"1]")),0)</f>
        <v>1250</v>
      </c>
      <c r="AG71" s="192" cm="1">
        <f t="array" aca="1" ref="AG71" ca="1">IFERROR(_xlfn.XLOOKUP(TabCalc[[#This Row],[L_B1D]],INDIRECT("TabReg["&amp;TabCalc[[#This Row],[Ticker]]&amp;"]"),INDIRECT("TabReg["&amp;TabCalc[[#This Row],[Ticker]]&amp;"2]")),0)</f>
        <v>-46.318800000000003</v>
      </c>
      <c r="AH71" s="302">
        <f ca="1">IFERROR(TabCalc[[#This Row],[L_Sn]]*(TabCalc[[#This Row],[L_Sp]]-TabCalc[[#This Row],[M]])*TabCalc[[#This Row],[Scale]],"")</f>
        <v>-42053.19999999999</v>
      </c>
      <c r="AI71" s="210" cm="1">
        <f t="array" aca="1" ref="AI71" ca="1">IFERROR(_xlfn.XLOOKUP(TabCalc[[#This Row],[L_Sp]],INDIRECT("TabReg["&amp;TabCalc[[#This Row],[Ticker]]&amp;"2]"),INDIRECT("TabReg["&amp;TabCalc[[#This Row],[Ticker]]&amp;"]")),0)</f>
        <v>45538</v>
      </c>
      <c r="AJ71" s="181" cm="1">
        <f t="array" aca="1" ref="AJ71" ca="1">IFERROR(_xlfn.XLOOKUP(TabCalc[[#This Row],[L_Sp]],INDIRECT("TabReg["&amp;TabCalc[[#This Row],[Ticker]]&amp;"2]"),INDIRECT("TabReg["&amp;TabCalc[[#This Row],[Ticker]]&amp;"1]")),0)</f>
        <v>2000</v>
      </c>
      <c r="AK71" s="192" cm="1">
        <f t="array" aca="1" ref="AK71" ca="1">IFERROR(INDEX(INDIRECT("TabReg["&amp;TabCalc[[#This Row],[Ticker]]&amp;"2]"), _xlfn.XMATCH(MAX(_xlfn._xlws.FILTER(INDIRECT("TabReg["&amp;TabCalc[[#This Row],[Ticker]]&amp;"]"), INDIRECT("TabReg["&amp;TabCalc[[#This Row],[Ticker]]&amp;"2]")&gt;0)), INDIRECT("TabReg["&amp;TabCalc[[#This Row],[Ticker]]&amp;"]"), 0)), 0)</f>
        <v>48.633400000000002</v>
      </c>
      <c r="AL71" s="214">
        <f ca="1">IFERROR(TabCalc[[#This Row],[L_S1n]]*(TabCalc[[#This Row],[L_S1p]]-TabCalc[[#This Row],[M]])*TabCalc[[#This Row],[Scale]],0)</f>
        <v>-83999.199999999968</v>
      </c>
      <c r="AM71" s="210" cm="1">
        <f t="array" aca="1" ref="AM7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71" s="181" cm="1">
        <f t="array" aca="1" ref="AN71" ca="1">IFERROR(_xlfn.XLOOKUP(TabCalc[[#This Row],[L_S1D]],INDIRECT("TabReg["&amp;TabCalc[[#This Row],[Ticker]]&amp;"]"),INDIRECT("TabReg["&amp;TabCalc[[#This Row],[Ticker]]&amp;"1]")),0)</f>
        <v>4000</v>
      </c>
      <c r="AO71" s="384" cm="1">
        <f t="array" aca="1" ref="AO71" ca="1">IFERROR(_xlfn.XLOOKUP(TabCalc[[#This Row],[L_S1D]],INDIRECT("TabReg["&amp;TabCalc[[#This Row],[Ticker]]&amp;"]"),INDIRECT("TabReg["&amp;TabCalc[[#This Row],[Ticker]]&amp;"2]")),0)</f>
        <v>48.660200000000003</v>
      </c>
      <c r="AP71" s="336">
        <f ca="1">_xlfn.LET(_xlpm.MVOpen,[1]!RTData[[#This Row],[Open]]*TabCalc[[#This Row],[NAfter]],_xlpm.MVNow,TabCalc[[#This Row],[M]]*TabCalc[[#This Row],[NAfter]],_xlpm.MVNow-_xlpm.MVOpen)*TabCalc[[#This Row],[Scale]]</f>
        <v>0</v>
      </c>
      <c r="AQ71" s="336">
        <f ca="1">_xlfn.LET(_xlpm.MVToday,DataShift!AV571,         _xlpm.MVY,DataShift!AU571,        _xlpm.MVYY, DataShift!AT571,                                IF(_xlpm.MVToday=_xlpm.MVY,_xlpm.MVY-_xlpm.MVYY,_xlpm.MVToday-_xlpm.MVY))</f>
        <v>550</v>
      </c>
      <c r="AR71" s="336">
        <f ca="1">_xlfn.LET(_xlpm.MVToday,DataShift!AV571,         _xlpm.MVY,DataShift!AU571,        _xlpm.MVYY, DataShift!AT571,         _xlpm.MVYYY, DataShift!AS571,                      IF(_xlpm.MVToday=_xlpm.MVY,      _xlpm.MVYY-_xlpm.MVYYY,          _xlpm.MVY-_xlpm.MVYY))</f>
        <v>5500</v>
      </c>
      <c r="AS71" s="1078">
        <f ca="1">TabCalc[[#This Row],[Y]]/TabCalc[[#This Row],[M]]</f>
        <v>0.91587711742750499</v>
      </c>
      <c r="AT71" s="299" t="str" cm="1">
        <f t="array" aca="1" ref="AT71" ca="1">IFERROR(_xlfn.IFS(          TabCalc[[#This Row],[E]]&gt;0, "Free Trade",      TabCalc[[#This Row],[A]]&lt;MIN(TabCalc[[#This Row],[L_Sp]],TabCalc[[#This Row],[M]]), "Buy",            TabCalc[[#This Row],[M]]&lt;TabCalc[[#This Row],[L_Sp]],       "Refill",       TabCalc[[#This Row],[M]]&gt;TabCalc[[#This Row],[L_Sp]],"S_more"),"")</f>
        <v>Buy</v>
      </c>
      <c r="AU71" s="299" t="str">
        <f ca="1">IF(           AND(TabCalc[[#This Row],[E]]&lt;=0,          TabCalc[[#This Row],[A]]&gt;MIN(TabCalc[[#This Row],[M]],TabCalc[[#This Row],[L_Sp]]),             TabCalc[[#This Row],[L_Sp]]&lt;=TabCalc[[#This Row],[M]]),                       "S_more","")</f>
        <v/>
      </c>
      <c r="AV71" s="82" t="str" cm="1">
        <f t="array" aca="1" ref="AV71" ca="1">IFERROR(_xlfn.IFS(TabCalc[[#This Row],[E]]&gt;0,"Free trade",                 TabCalc[[#This Row],[A]]&lt;MAX(ABS(TabCalc[[#This Row],[L_Bp]]),TabCalc[[#This Row],[A]]),"Sell",             TabCalc[[#This Row],[M]]&gt;ABS(TabCalc[[#This Row],[L_Bp]]),"Resell",             TabCalc[[#This Row],[M]]&lt;ABS(TabCalc[[#This Row],[L_Bp]]),"B_more"),"")</f>
        <v>Sell</v>
      </c>
      <c r="AW71" s="82">
        <f ca="1">TabCalc[[#This Row],[NAfter]]-TabCalc[[#This Row],[Nbegin]]</f>
        <v>-3900</v>
      </c>
      <c r="AX71" s="307">
        <f ca="1">IFERROR((TabCalc[[#This Row],[M]]-TabCalc[[#This Row],[Y]])*(TabCalc[[#This Row],[M]]-TabCalc[[#This Row],[Y]])*(TabCalc[[#This Row],[M]]-TabCalc[[#This Row],[Y]])/(TabCalc[[#This Row],[Y]]*TabCalc[[#This Row],[M]]),"")</f>
        <v>4.5278152639286008E-2</v>
      </c>
      <c r="AY71" s="82">
        <f t="shared" ca="1" si="5"/>
        <v>3900</v>
      </c>
      <c r="AZ71" s="90">
        <f ca="1">[1]!RTData[[#This Row],[V/VA]]</f>
        <v>1.2198274247603278</v>
      </c>
      <c r="BA71" s="90" t="str" cm="1">
        <f t="array" aca="1" ref="BA71" ca="1">IFERROR(_xlfn.IFS(TabCalc[[#This Row],[Cur]]="USD",Timer!F$27,TabCalc[[#This Row],[Cur]]="EUR",Timer!F$18,TabCalc[[#This Row],[Cur]]="GBP",Timer!F$12,TabCalc[[#This Row],[Cur]]="CAD",Timer!F$27,TabCalc[[#This Row],[Cur]]="JPY",Timer!F$31,TabCalc[[#This Row],[Cur]]="CHF",Timer!F$18),"Timing")</f>
        <v>None-Working Day</v>
      </c>
      <c r="BB71" s="90">
        <f ca="1">IF(ISNUMBER(TabCalc[[#This Row],[TimeEX]]),TabCalc[[#This Row],[V/VA]]/TabCalc[[#This Row],[TimeEX]],TabCalc[[#This Row],[V/VA]])</f>
        <v>1.2198274247603278</v>
      </c>
      <c r="BC71" s="87" cm="1">
        <f t="array" aca="1" ref="BC71" ca="1">INDEX(TabReg[], 1, _xlfn.XMATCH(TabCalc[[#This Row],[Ticker]]&amp;1, TabReg[#Headers], 0))</f>
        <v>3900</v>
      </c>
      <c r="BD71" s="161">
        <f ca="1">TabCalc[[#This Row],[Nbegin]]*TabCalc[[#This Row],[M]]*TabCalc[[#This Row],[Scale]]+TabCalc[[#This Row],[ValueBegin]]</f>
        <v>118326</v>
      </c>
      <c r="BE71" s="336" t="str" cm="1">
        <f t="array" aca="1" ref="BE71" ca="1">_xlfn.IFS(TabCalc[[#This Row],[Cost+Gain]]&gt;0,"Free",             TabCalc[[#This Row],[GL]]&gt;0,"Gainer",                TRUE,"Looser")</f>
        <v>Free</v>
      </c>
      <c r="BF71" s="161">
        <f ca="1">TabCalc[[#This Row],[Tot_Paid]]-TabCalc[[#This Row],[ValueBegin]]</f>
        <v>-888742.55918999983</v>
      </c>
      <c r="BG71" s="337">
        <f ca="1">IF(TabCalc[[#This Row],[EfCost]]&gt;TabCalc[[#This Row],[ValueBegin]],       0,        TabCalc[[#This Row],[EfCost]]-TabCalc[[#This Row],[ValueBegin]]*(1+Commission))</f>
        <v>0</v>
      </c>
      <c r="BH71" s="338">
        <f ca="1">TabCalc[[#This Row],[M_V]]+TabCalc[[#This Row],[ValueBegin]]</f>
        <v>-153348</v>
      </c>
      <c r="BI71" s="161" cm="1">
        <f t="array" aca="1" ref="BI71" ca="1">SUMPRODUCT(_xlfn._xlws.FILTER(INDIRECT("TabReg["&amp;TabCalc[[#This Row],[Ticker]]&amp;"1]") * INDIRECT("TabReg["&amp;TabCalc[[#This Row],[Ticker]]&amp;"2]"), INDIRECT("TabReg["&amp;TabCalc[[#This Row],[Ticker]]&amp;"2]")&lt;0))*(1+Commission)*TabCalc[[#This Row],[Scale]]</f>
        <v>-1042090.5591899998</v>
      </c>
      <c r="BJ71" s="161" cm="1">
        <f t="array" aca="1" ref="BJ71" ca="1">SUMPRODUCT(IF(INDIRECT("TabReg["&amp;TabCalc[[#This Row],[Ticker]]&amp;"2]") ="", 0, INDIRECT("TabReg["&amp;TabCalc[[#This Row],[Ticker]]&amp;"1]") * INDIRECT("TabReg["&amp;TabCalc[[#This Row],[Ticker]]&amp;"2]") ))*TabCalc[[#This Row],[Scale]]</f>
        <v>62342.085000000006</v>
      </c>
      <c r="BK71" s="161" cm="1">
        <f t="array" aca="1" ref="BK7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1098865.736389</v>
      </c>
      <c r="BL71" s="161">
        <f ca="1">TabCalc[[#This Row],[M_V]]+TabCalc[[#This Row],[EfCost]]</f>
        <v>62342.085000000006</v>
      </c>
      <c r="BM71" s="161">
        <f ca="1">IF(        OR( TabCalc[[#This Row],[GL]]&gt;ABS(TabCalc[[#This Row],[EfCost]]),TabCalc[[#This Row],[NAfter]]=0),             TabCalc[[#This Row],[GL]],     0)</f>
        <v>62342.085000000006</v>
      </c>
      <c r="BN71" s="161" cm="1">
        <f t="array" aca="1" ref="BN71" ca="1">SUMPRODUCT(_xlfn._xlws.FILTER(IF(INDIRECT("TabReg["&amp;TabCalc[[#This Row],[Ticker]]&amp;"2]") ="", 0, INDIRECT("TabReg["&amp;TabCalc[[#This Row],[Ticker]]&amp;"1]")  ),  INDIRECT("TabReg["&amp;TabCalc[[#This Row],[Ticker]]&amp;"2]") &lt; 0))</f>
        <v>23990</v>
      </c>
      <c r="BO71" s="161">
        <f ca="1">TabCalc[[#This Row],[SB]]-TabCalc[[#This Row],[Nbegin]]</f>
        <v>20090</v>
      </c>
      <c r="BP71" s="161" cm="1">
        <f t="array" aca="1" ref="BP71" ca="1">IFERROR(SUMPRODUCT(_xlfn._xlws.FILTER(IF(INDIRECT("TabReg["&amp;TabCalc[[#This Row],[Ticker]]&amp;"2]") ="", 0, INDIRECT("TabReg["&amp;TabCalc[[#This Row],[Ticker]]&amp;"1]")  ),  INDIRECT("TabReg["&amp;TabCalc[[#This Row],[Ticker]]&amp;"2]") &gt; 0)),0)</f>
        <v>23990</v>
      </c>
      <c r="BQ7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1" s="176" t="str">
        <f ca="1">IF(TabCalc[[#This Row],[EfCost]]+TabCalc[[#This Row],[M_V]]&lt;TabCalc[[#This Row],[NoT_GL]],"Pile","")</f>
        <v>Pile</v>
      </c>
      <c r="BS71" s="167">
        <f ca="1">[1]!RTData[[#This Row],[Last trade time]]</f>
        <v>45954.999809594534</v>
      </c>
      <c r="BT71" s="177">
        <f ca="1">(TabCalc[[#This Row],[ValueBegin]]+(TabCalc[[#This Row],[M]]-TabCalc[[#This Row],[A]])*TabCalc[[#This Row],[NAfter]])*TabCalc[[#This Row],[Scale]]</f>
        <v>-153348</v>
      </c>
      <c r="BU71" s="189" cm="1">
        <f t="array" aca="1" ref="BU71" ca="1">_xlfn.XLOOKUP(TabCalc[[#This Row],[Ticker]],TabReg[[#Headers],[AAPL]:[UnknownX28]],Reg!B$72:KF$72)+3</f>
        <v>30</v>
      </c>
      <c r="BV71" s="190" cm="1">
        <f t="array" aca="1" ref="BV71" ca="1">_xlfn.XLOOKUP(TabCalc[[#This Row],[Ticker]],TabReg[[#Headers],[AAPL]:[UnknownX28]],Reg!B$73:KF$73)+2</f>
        <v>210</v>
      </c>
      <c r="BW71" s="191">
        <f ca="1">IFERROR(MAX(TabCalc[[#This Row],[Max_SD]],TabCalc[[#This Row],[Max_PD]]),0)</f>
        <v>45538</v>
      </c>
      <c r="BX71" s="191" t="str" cm="1">
        <f t="array" aca="1" ref="BX71" ca="1">_xlfn.IFS(TabCalc[[#This Row],[L_TP]]&lt;0,"Purchase",TabCalc[[#This Row],[L_TP]]&gt;0,"Sale")</f>
        <v>Sale</v>
      </c>
      <c r="BY71" s="190" cm="1">
        <f t="array" aca="1" ref="BY71" ca="1">INDEX(Reg!$A$1:$KF$73,TabCalc[[#This Row],[L_I1]],TabCalc[[#This Row],[L_I2]])</f>
        <v>2000</v>
      </c>
      <c r="BZ71" s="192" cm="1">
        <f t="array" aca="1" ref="BZ71" ca="1">INDEX(Reg!$A$1:$KF$73,TabCalc[[#This Row],[L_I1]],TabCalc[[#This Row],[L_I2]]+1)</f>
        <v>48.633400000000002</v>
      </c>
      <c r="CA71" s="161">
        <f ca="1">TabCalc[[#This Row],[NAfter]]*(TabCalc[[#This Row],[M]]-IF(TabCalc[[#This Row],[E]]&gt;0,0,TabCalc[[#This Row],[A]]))</f>
        <v>0</v>
      </c>
      <c r="CB71" s="167" cm="1">
        <f t="array" aca="1" ref="CB71" ca="1">IFERROR(MIN(_xlfn._xlws.FILTER(INDIRECT("TabReg["&amp;TabCalc[[#This Row],[Ticker]]&amp;"]"), INDIRECT("TabReg["&amp;TabCalc[[#This Row],[Ticker]]&amp;"2]")&gt;0)),0)</f>
        <v>44845</v>
      </c>
      <c r="CC71" s="178" cm="1">
        <f t="array" aca="1" ref="CC71" ca="1">IFERROR(MIN(_xlfn._xlws.FILTER(INDIRECT("TabReg["&amp;TabCalc[[#This Row],[Ticker]]&amp;"1]"), INDIRECT("TabReg["&amp;TabCalc[[#This Row],[Ticker]]&amp;"2]")&gt;0)),0)</f>
        <v>1000</v>
      </c>
      <c r="CD71" s="173" cm="1">
        <f t="array" aca="1" ref="CD71" ca="1">IFERROR(MIN(_xlfn._xlws.FILTER(INDIRECT("TabReg["&amp;TabCalc[[#This Row],[Ticker]]&amp;"2]"), INDIRECT("TabReg["&amp;TabCalc[[#This Row],[Ticker]]&amp;"2]")&gt;0)),0)</f>
        <v>40.11</v>
      </c>
      <c r="CE71" s="167" cm="1">
        <f t="array" aca="1" ref="CE71" ca="1">IFERROR(MAX(_xlfn._xlws.FILTER(INDIRECT("TabReg["&amp;TabCalc[[#This Row],[Ticker]]&amp;"]"), INDIRECT("TabReg["&amp;TabCalc[[#This Row],[Ticker]]&amp;"2]")&gt;0)),0)</f>
        <v>45538</v>
      </c>
      <c r="CF71" s="178" cm="1">
        <f t="array" aca="1" ref="CF71" ca="1">IFERROR(MAX(_xlfn._xlws.FILTER(INDIRECT("TabReg["&amp;TabCalc[[#This Row],[Ticker]]&amp;"1]"), INDIRECT("TabReg["&amp;TabCalc[[#This Row],[Ticker]]&amp;"2]")&gt;0)),0)</f>
        <v>4000</v>
      </c>
      <c r="CG71" s="173" cm="1">
        <f t="array" aca="1" ref="CG71" ca="1">IFERROR(MAX(_xlfn._xlws.FILTER(INDIRECT("TabReg["&amp;TabCalc[[#This Row],[Ticker]]&amp;"2]"), INDIRECT("TabReg["&amp;TabCalc[[#This Row],[Ticker]]&amp;"2]")&gt;0)),0)</f>
        <v>48.79</v>
      </c>
      <c r="CH71" s="167" cm="1">
        <f t="array" aca="1" ref="CH71" ca="1">MIN(_xlfn._xlws.FILTER(INDIRECT("TabReg["&amp;TabCalc[[#This Row],[Ticker]]&amp;"]"), INDIRECT("TabReg["&amp;TabCalc[[#This Row],[Ticker]]&amp;"2]")&lt;0))</f>
        <v>40544</v>
      </c>
      <c r="CI71" s="177" cm="1">
        <f t="array" aca="1" ref="CI71" ca="1">MIN(_xlfn._xlws.FILTER(INDIRECT("TabReg["&amp;TabCalc[[#This Row],[Ticker]]&amp;"1]"), INDIRECT("TabReg["&amp;TabCalc[[#This Row],[Ticker]]&amp;"2]")&lt;0))</f>
        <v>750</v>
      </c>
      <c r="CJ71" s="173" cm="1">
        <f t="array" aca="1" ref="CJ71" ca="1">MIN(_xlfn._xlws.FILTER(INDIRECT("TabReg["&amp;TabCalc[[#This Row],[Ticker]]&amp;"2]"), INDIRECT("TabReg["&amp;TabCalc[[#This Row],[Ticker]]&amp;"2]")&lt;0))</f>
        <v>-47.856999999999999</v>
      </c>
      <c r="CK71" s="167" cm="1">
        <f t="array" aca="1" ref="CK71" ca="1">MAX(_xlfn._xlws.FILTER(INDIRECT("TabReg["&amp;TabCalc[[#This Row],[Ticker]]&amp;"]"), INDIRECT("TabReg["&amp;TabCalc[[#This Row],[Ticker]]&amp;"2]")&lt;0))</f>
        <v>45503</v>
      </c>
      <c r="CL71" s="177" cm="1">
        <f t="array" aca="1" ref="CL71" ca="1">MAX(_xlfn._xlws.FILTER(INDIRECT("TabReg["&amp;TabCalc[[#This Row],[Ticker]]&amp;"1]"), INDIRECT("TabReg["&amp;TabCalc[[#This Row],[Ticker]]&amp;"2]")&lt;0))</f>
        <v>3900</v>
      </c>
      <c r="CM71" s="173" cm="1">
        <f t="array" aca="1" ref="CM71" ca="1">MAX(_xlfn._xlws.FILTER(INDIRECT("TabReg["&amp;TabCalc[[#This Row],[Ticker]]&amp;"2]"), INDIRECT("TabReg["&amp;TabCalc[[#This Row],[Ticker]]&amp;"2]")&lt;0))</f>
        <v>-34.78</v>
      </c>
      <c r="CN71" s="167" cm="1">
        <f t="array" aca="1" ref="CN71" ca="1">IFERROR(_xlfn.XLOOKUP(TabCalc[[#This Row],[BS2P]],INDIRECT("TabReg["&amp;TabCalc[[#This Row],[Ticker]]&amp;"2]"),INDIRECT("TabReg["&amp;TabCalc[[#This Row],[Ticker]]&amp;"]")),0)</f>
        <v>45492</v>
      </c>
      <c r="CO71" s="178" cm="1">
        <f t="array" aca="1" ref="CO71" ca="1">IFERROR(_xlfn.XLOOKUP(TabCalc[[#This Row],[BS2P]],INDIRECT("TabReg["&amp;TabCalc[[#This Row],[Ticker]]&amp;"2]"),INDIRECT("TabReg["&amp;TabCalc[[#This Row],[Ticker]]&amp;"1]")),0)</f>
        <v>4000</v>
      </c>
      <c r="CP71" s="173">
        <f ca="1">_xlfn.MAXIFS(INDIRECT("TabReg["&amp;TabCalc[[#This Row],[Ticker]]&amp;"2]"), INDIRECT("TabReg["&amp;TabCalc[[#This Row],[Ticker]]&amp;"2]"), "&lt;" &amp; MAX(INDIRECT("TabReg["&amp;TabCalc[[#This Row],[Ticker]]&amp;"2]")))</f>
        <v>48.660200000000003</v>
      </c>
      <c r="CQ71" s="167" cm="1">
        <f t="array" aca="1" ref="CQ71" ca="1">IFERROR(_xlfn.XLOOKUP(TabCalc[[#This Row],[WB2P]],INDIRECT("TabReg["&amp;TabCalc[[#This Row],[Ticker]]&amp;"2]"),INDIRECT("TabReg["&amp;TabCalc[[#This Row],[Ticker]]&amp;"]")),0)</f>
        <v>45453</v>
      </c>
      <c r="CR71" s="178" cm="1">
        <f t="array" aca="1" ref="CR71" ca="1">IFERROR(_xlfn.XLOOKUP(TabCalc[[#This Row],[WB2P]],INDIRECT("TabReg["&amp;TabCalc[[#This Row],[Ticker]]&amp;"2]"),INDIRECT("TabReg["&amp;TabCalc[[#This Row],[Ticker]]&amp;"1]")),0)</f>
        <v>1250</v>
      </c>
      <c r="CS71" s="173">
        <f ca="1">_xlfn.MINIFS(INDIRECT("TabReg["&amp;TabCalc[[#This Row],[Ticker]]&amp;"2]"), INDIRECT("TabReg["&amp;TabCalc[[#This Row],[Ticker]]&amp;"2]"), "&gt;" &amp; MIN(INDIRECT("TabReg["&amp;TabCalc[[#This Row],[Ticker]]&amp;"2]")))</f>
        <v>-47.31</v>
      </c>
      <c r="CT71" s="405">
        <f ca="1">IF(TabCalc[[#This Row],[M]]&lt;TabCalc[[#This Row],[L_Sp]],DesiredBuyGain/(TabCalc[[#This Row],[L_Sp]]-TabCalc[[#This Row],[M]]),0)</f>
        <v>0</v>
      </c>
      <c r="CU71" s="406">
        <f ca="1">IF(TabCalc[[#This Row],[ntoBuy]]*TabCalc[[#This Row],[M]]&lt;=0,0,TabCalc[[#This Row],[ntoBuy]]*TabCalc[[#This Row],[M]])</f>
        <v>0</v>
      </c>
      <c r="CV71" s="406">
        <f ca="1">IF(TabCalc[[#This Row],[M]]&gt;ABS(TabCalc[[#This Row],[L_Bp]]),MIN(TabCalc[[#This Row],[NAfter]],DesiredSaleGain/(TabCalc[[#This Row],[M]]+TabCalc[[#This Row],[L_Bp]])),0)/TabCalc[[#This Row],[Scale]]</f>
        <v>0</v>
      </c>
      <c r="CW71" s="407">
        <f ca="1">TabCalc[[#This Row],[ntoSell]]*TabCalc[[#This Row],[M]]</f>
        <v>0</v>
      </c>
      <c r="CX71" s="400">
        <f ca="1">_xlfn.LET(_xlpm.nToSell,IF(TabCalc[[#This Row],[M]]-TabCalc[[#This Row],[A]]&lt;=0,"",INT(DesiredSaleGain/(TabCalc[[#This Row],[M]]-IF(TabCalc[[#This Row],[E]]&gt;0,0,TabCalc[[#This Row],[A]])))),IF(_xlpm.nToSell&lt;=TabCalc[[#This Row],[NAfter]],_xlpm.nToSell,0))</f>
        <v>0</v>
      </c>
      <c r="CY71" s="338">
        <f ca="1">IFERROR(TabCalc[[#This Row],[NMA]]*TabCalc[[#This Row],[M]],"")</f>
        <v>0</v>
      </c>
      <c r="CZ71" s="337" cm="1">
        <f t="array" aca="1" ref="CZ71" ca="1">_xlfn.IFS(TabCalc[[#This Row],[M]]&gt;= TabCalc[[#This Row],[L_Sp]],(TabCalc[[#This Row],[M]]-TabCalc[[#This Row],[A]])*TabCalc[[#This Row],[NAfter]]*TabCalc[[#This Row],[Scale]],           TabCalc[[#This Row],[M]]&lt; TabCalc[[#This Row],[L_Sp]],(TabCalc[[#This Row],[M]]-TabCalc[[#This Row],[A]])*TabCalc[[#This Row],[NAfter]]*TabCalc[[#This Row],[Scale]],               TRUE,"")</f>
        <v>0</v>
      </c>
      <c r="DA71" s="90">
        <f ca="1">IFERROR((TabCalc[[#This Row],[M]]+TabCalc[[#This Row],[L_Bp]])/ABS(TabCalc[[#This Row],[L_Bp]])/(TODAY()-TabCalc[[#This Row],[L_Bdate]])*360,"")</f>
        <v>0.4459735039969604</v>
      </c>
      <c r="DB71" s="312">
        <f ca="1">MEDIAN(DataShift!F770:Z770)</f>
        <v>-9.6460000000000001E-3</v>
      </c>
      <c r="DC71" s="312" t="str" cm="1">
        <f t="array" aca="1" ref="DC7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71" s="88" t="s">
        <v>67</v>
      </c>
      <c r="DN71" s="81">
        <v>3900</v>
      </c>
      <c r="DO71" s="317">
        <v>-39.32</v>
      </c>
    </row>
    <row r="72" spans="1:119">
      <c r="A72" s="120" t="str">
        <f ca="1">_xlfn.XLOOKUP(TabCalc[[#This Row],[Ticker]],[1]!RTData[Ticker symbol],[1]!RTData[Currency])</f>
        <v>GBp</v>
      </c>
      <c r="B72" s="121">
        <f ca="1">IF(TabCalc[[#This Row],[Cur]]="GBP",0.01,1)</f>
        <v>0.01</v>
      </c>
      <c r="C72" s="82">
        <f ca="1">_xlfn.XLOOKUP(TabCalc[[#This Row],[Ticker]],DM$3:DM$96,DN$3:DN$96)</f>
        <v>200000</v>
      </c>
      <c r="D72" s="1254">
        <f ca="1">_xlfn.XLOOKUP(TabCalc[[#This Row],[Ticker]],DM$3:DM$96,DO$3:DO$96)</f>
        <v>-166</v>
      </c>
      <c r="E72" s="121">
        <f t="shared" ca="1" si="4"/>
        <v>-332000</v>
      </c>
      <c r="F72" s="82">
        <f ca="1">TabCalc[[#This Row],[NAfter]]*TabCalc[[#This Row],[M]]*TabCalc[[#This Row],[Scale]]</f>
        <v>0</v>
      </c>
      <c r="G72" s="82">
        <f ca="1">IFERROR(TabCalc[[#This Row],[SB]]-TabCalc[[#This Row],[SST]],TabCalc[[#This Row],[SB]])</f>
        <v>0</v>
      </c>
      <c r="H72" s="535" t="str">
        <f ca="1">[1]!RTData[[#This Row],[Ticker symbol]]</f>
        <v>SAFIAG</v>
      </c>
      <c r="I72" s="385">
        <f ca="1">[1]!RTData[[#This Row],[M-Price]]</f>
        <v>410</v>
      </c>
      <c r="J72" s="384">
        <v>108.61</v>
      </c>
      <c r="K72" s="383">
        <f>[1]!RTData[[#This Row],[1YT]]</f>
        <v>438.45612</v>
      </c>
      <c r="L72" s="384">
        <f ca="1">IF(OR(TabCalc[[#This Row],[NAfter]]=0,TabCalc[[#This Row],[EfCost]]&gt;0),0,TabCalc[[#This Row],[EfCost]]/TabCalc[[#This Row],[NAfter]]/TabCalc[[#This Row],[Scale]])</f>
        <v>0</v>
      </c>
      <c r="M72" s="744">
        <f ca="1">[1]!RTData[[#This Row],[Change%]]</f>
        <v>1.6108999999999998E-2</v>
      </c>
      <c r="N72" s="1172">
        <v>0.42857142857142855</v>
      </c>
      <c r="O72" s="966">
        <f>TabCalc[[#This Row],[Up20]]-1+TabCalc[[#This Row],[Up20]]</f>
        <v>-0.14285714285714285</v>
      </c>
      <c r="P72" s="966">
        <f>TabCalc[[#This Row],[Up20]]-TabCalc[[#This Row],[Up150]]</f>
        <v>-9.9730458221024276E-2</v>
      </c>
      <c r="Q72" s="966">
        <v>0.52830188679245282</v>
      </c>
      <c r="R72" s="966">
        <f>TabCalc[[#This Row],[Up150]]-1+TabCalc[[#This Row],[Up150]]</f>
        <v>5.6603773584905648E-2</v>
      </c>
      <c r="S72" s="966">
        <f ca="1">IFERROR(SUMPRODUCT(DataShift!F1564:Z1564,DataShift!AB771:AV771)/SQRT(SUMPRODUCT(DataShift!F1564:Z1564,DataShift!F1564:Z1564)*SUMPRODUCT(DataShift!AB771:AV771,DataShift!AB771:AV771)),0)</f>
        <v>-0.54465102869348148</v>
      </c>
      <c r="T72" s="966">
        <f ca="1">IFERROR(SUMPRODUCT(DataShift!F1564:Z1564,DataShift!F771:Z771)/SQRT(SUMPRODUCT(DataShift!F1564:Z1564,DataShift!F1564:Z1564)*SUMPRODUCT(DataShift!F771:Z771,DataShift!F771:Z771)),0)</f>
        <v>0.1808667003518197</v>
      </c>
      <c r="U72" s="1107">
        <v>670</v>
      </c>
      <c r="V72" s="1107">
        <v>0</v>
      </c>
      <c r="W72" s="1107">
        <v>0</v>
      </c>
      <c r="X72" s="966" t="str">
        <f ca="1">IF(TabCalc[[#This Row],[EfCost]]+TabCalc[[#This Row],[M_V]]&lt;TabCalc[[#This Row],[NoT_GL]],"Pile","")</f>
        <v>Pile</v>
      </c>
      <c r="Y7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2" s="213">
        <f ca="1">MIN(TabCalc[[#This Row],[L_Bn]],TabCalc[[#This Row],[NAfter]])*(TabCalc[[#This Row],[M]]+TabCalc[[#This Row],[L_Bp]])*TabCalc[[#This Row],[Scale]]</f>
        <v>0</v>
      </c>
      <c r="AA72" s="210" cm="1">
        <f t="array" aca="1" ref="AA72" ca="1">_xlfn.XLOOKUP(TabCalc[[#This Row],[L_Bp]],INDIRECT("TabReg["&amp;TabCalc[[#This Row],[Ticker]]&amp;"2]"),INDIRECT("TabReg["&amp;TabCalc[[#This Row],[Ticker]]&amp;"]"))</f>
        <v>45576</v>
      </c>
      <c r="AB72" s="181" cm="1">
        <f t="array" aca="1" ref="AB72" ca="1">_xlfn.XLOOKUP(TabCalc[[#This Row],[L_Bp]],INDIRECT("TabReg["&amp;TabCalc[[#This Row],[Ticker]]&amp;"2]"),INDIRECT("TabReg["&amp;TabCalc[[#This Row],[Ticker]]&amp;"1]"))</f>
        <v>25000</v>
      </c>
      <c r="AC72" s="192" cm="1">
        <f t="array" aca="1" ref="AC72" ca="1">IFERROR(INDEX(INDIRECT("TabReg["&amp;TabCalc[[#This Row],[Ticker]]&amp;"2]"),    _xlfn.XMATCH(    MAX(    _xlfn._xlws.FILTER(INDIRECT("TabReg["&amp;TabCalc[[#This Row],[Ticker]]&amp;"]"), INDIRECT("TabReg["&amp;TabCalc[[#This Row],[Ticker]]&amp;"2]")&lt;0)     ), INDIRECT("TabReg["&amp;TabCalc[[#This Row],[Ticker]]&amp;"]"),      0)), "")</f>
        <v>-198.16</v>
      </c>
      <c r="AD72" s="213">
        <f ca="1">IFERROR(MIN(TabCalc[[#This Row],[L_B1n]],TabCalc[[#This Row],[NAfter]])*(TabCalc[[#This Row],[M]]+TabCalc[[#This Row],[L_B1p]])*TabCalc[[#This Row],[Scale]],"")</f>
        <v>0</v>
      </c>
      <c r="AE72" s="210" cm="1">
        <f t="array" aca="1" ref="AE7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45496</v>
      </c>
      <c r="AF72" s="181" cm="1">
        <f t="array" aca="1" ref="AF72" ca="1">IFERROR(_xlfn.XLOOKUP(TabCalc[[#This Row],[L_B1D]],INDIRECT("TabReg["&amp;TabCalc[[#This Row],[Ticker]]&amp;"]"),INDIRECT("TabReg["&amp;TabCalc[[#This Row],[Ticker]]&amp;"1]")),0)</f>
        <v>50000</v>
      </c>
      <c r="AG72" s="192" cm="1">
        <f t="array" aca="1" ref="AG72" ca="1">IFERROR(_xlfn.XLOOKUP(TabCalc[[#This Row],[L_B1D]],INDIRECT("TabReg["&amp;TabCalc[[#This Row],[Ticker]]&amp;"]"),INDIRECT("TabReg["&amp;TabCalc[[#This Row],[Ticker]]&amp;"2]")),0)</f>
        <v>-164.36</v>
      </c>
      <c r="AH72" s="302">
        <f ca="1">IFERROR(TabCalc[[#This Row],[L_Sn]]*(TabCalc[[#This Row],[L_Sp]]-TabCalc[[#This Row],[M]])*TabCalc[[#This Row],[Scale]],"")</f>
        <v>-108079.99999999999</v>
      </c>
      <c r="AI72" s="210" cm="1">
        <f t="array" aca="1" ref="AI72" ca="1">IFERROR(_xlfn.XLOOKUP(TabCalc[[#This Row],[L_Sp]],INDIRECT("TabReg["&amp;TabCalc[[#This Row],[Ticker]]&amp;"2]"),INDIRECT("TabReg["&amp;TabCalc[[#This Row],[Ticker]]&amp;"]")),0)</f>
        <v>45646</v>
      </c>
      <c r="AJ72" s="181" cm="1">
        <f t="array" aca="1" ref="AJ72" ca="1">IFERROR(_xlfn.XLOOKUP(TabCalc[[#This Row],[L_Sp]],INDIRECT("TabReg["&amp;TabCalc[[#This Row],[Ticker]]&amp;"2]"),INDIRECT("TabReg["&amp;TabCalc[[#This Row],[Ticker]]&amp;"1]")),0)</f>
        <v>100000</v>
      </c>
      <c r="AK72" s="192" cm="1">
        <f t="array" aca="1" ref="AK72" ca="1">IFERROR(INDEX(INDIRECT("TabReg["&amp;TabCalc[[#This Row],[Ticker]]&amp;"2]"), _xlfn.XMATCH(MAX(_xlfn._xlws.FILTER(INDIRECT("TabReg["&amp;TabCalc[[#This Row],[Ticker]]&amp;"]"), INDIRECT("TabReg["&amp;TabCalc[[#This Row],[Ticker]]&amp;"2]")&gt;0)), INDIRECT("TabReg["&amp;TabCalc[[#This Row],[Ticker]]&amp;"]"), 0)), 0)</f>
        <v>301.92</v>
      </c>
      <c r="AL72" s="214">
        <f ca="1">IFERROR(TabCalc[[#This Row],[L_S1n]]*(TabCalc[[#This Row],[L_S1p]]-TabCalc[[#This Row],[M]])*TabCalc[[#This Row],[Scale]],0)</f>
        <v>-49425</v>
      </c>
      <c r="AM72" s="210" cm="1">
        <f t="array" aca="1" ref="AM7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45583</v>
      </c>
      <c r="AN72" s="181" cm="1">
        <f t="array" aca="1" ref="AN72" ca="1">IFERROR(_xlfn.XLOOKUP(TabCalc[[#This Row],[L_S1D]],INDIRECT("TabReg["&amp;TabCalc[[#This Row],[Ticker]]&amp;"]"),INDIRECT("TabReg["&amp;TabCalc[[#This Row],[Ticker]]&amp;"1]")),0)</f>
        <v>25000</v>
      </c>
      <c r="AO72" s="384" cm="1">
        <f t="array" aca="1" ref="AO72" ca="1">IFERROR(_xlfn.XLOOKUP(TabCalc[[#This Row],[L_S1D]],INDIRECT("TabReg["&amp;TabCalc[[#This Row],[Ticker]]&amp;"]"),INDIRECT("TabReg["&amp;TabCalc[[#This Row],[Ticker]]&amp;"2]")),0)</f>
        <v>212.3</v>
      </c>
      <c r="AP72" s="336">
        <f ca="1">_xlfn.LET(_xlpm.MVOpen,[1]!RTData[[#This Row],[Open]]*TabCalc[[#This Row],[NAfter]],_xlpm.MVNow,TabCalc[[#This Row],[M]]*TabCalc[[#This Row],[NAfter]],_xlpm.MVNow-_xlpm.MVOpen)*TabCalc[[#This Row],[Scale]]</f>
        <v>0</v>
      </c>
      <c r="AQ72" s="336">
        <f ca="1">_xlfn.LET(_xlpm.MVToday,DataShift!AV572,         _xlpm.MVY,DataShift!AU572,        _xlpm.MVYY, DataShift!AT572,                                IF(_xlpm.MVToday=_xlpm.MVY,_xlpm.MVY-_xlpm.MVYY,_xlpm.MVToday-_xlpm.MVY))</f>
        <v>12</v>
      </c>
      <c r="AR72" s="336">
        <f ca="1">_xlfn.LET(_xlpm.MVToday,DataShift!AV572,         _xlpm.MVY,DataShift!AU572,        _xlpm.MVYY, DataShift!AT572,         _xlpm.MVYYY, DataShift!AS572,                      IF(_xlpm.MVToday=_xlpm.MVY,      _xlpm.MVYY-_xlpm.MVYYY,          _xlpm.MVY-_xlpm.MVYY))</f>
        <v>-1620</v>
      </c>
      <c r="AS72" s="1078">
        <f ca="1">TabCalc[[#This Row],[Y]]/TabCalc[[#This Row],[M]]</f>
        <v>1.0694051707317074</v>
      </c>
      <c r="AT72" s="299" t="str" cm="1">
        <f t="array" aca="1" ref="AT72" ca="1">IFERROR(_xlfn.IFS(          TabCalc[[#This Row],[E]]&gt;0, "Free Trade",      TabCalc[[#This Row],[A]]&lt;MIN(TabCalc[[#This Row],[L_Sp]],TabCalc[[#This Row],[M]]), "Buy",            TabCalc[[#This Row],[M]]&lt;TabCalc[[#This Row],[L_Sp]],       "Refill",       TabCalc[[#This Row],[M]]&gt;TabCalc[[#This Row],[L_Sp]],"S_more"),"")</f>
        <v>Buy</v>
      </c>
      <c r="AU72" s="299" t="str">
        <f ca="1">IF(           AND(TabCalc[[#This Row],[E]]&lt;=0,          TabCalc[[#This Row],[A]]&gt;MIN(TabCalc[[#This Row],[M]],TabCalc[[#This Row],[L_Sp]]),             TabCalc[[#This Row],[L_Sp]]&lt;=TabCalc[[#This Row],[M]]),                       "S_more","")</f>
        <v/>
      </c>
      <c r="AV72" s="82" t="str" cm="1">
        <f t="array" aca="1" ref="AV72" ca="1">IFERROR(_xlfn.IFS(TabCalc[[#This Row],[E]]&gt;0,"Free trade",                 TabCalc[[#This Row],[A]]&lt;MAX(ABS(TabCalc[[#This Row],[L_Bp]]),TabCalc[[#This Row],[A]]),"Sell",             TabCalc[[#This Row],[M]]&gt;ABS(TabCalc[[#This Row],[L_Bp]]),"Resell",             TabCalc[[#This Row],[M]]&lt;ABS(TabCalc[[#This Row],[L_Bp]]),"B_more"),"")</f>
        <v>Sell</v>
      </c>
      <c r="AW72" s="82">
        <f ca="1">TabCalc[[#This Row],[NAfter]]-TabCalc[[#This Row],[Nbegin]]</f>
        <v>-200000</v>
      </c>
      <c r="AX72" s="307">
        <f ca="1">IFERROR((TabCalc[[#This Row],[M]]-TabCalc[[#This Row],[Y]])*(TabCalc[[#This Row],[M]]-TabCalc[[#This Row],[Y]])*(TabCalc[[#This Row],[M]]-TabCalc[[#This Row],[Y]])/(TabCalc[[#This Row],[Y]]*TabCalc[[#This Row],[M]]),"")</f>
        <v>-0.12817905273278729</v>
      </c>
      <c r="AY72" s="82">
        <f t="shared" ca="1" si="5"/>
        <v>200000</v>
      </c>
      <c r="AZ72" s="90">
        <f ca="1">[1]!RTData[[#This Row],[V/VA]]</f>
        <v>1.2126103721618735</v>
      </c>
      <c r="BA72" s="90" t="str" cm="1">
        <f t="array" aca="1" ref="BA72" ca="1">IFERROR(_xlfn.IFS(TabCalc[[#This Row],[Cur]]="USD",Timer!F$27,TabCalc[[#This Row],[Cur]]="EUR",Timer!F$18,TabCalc[[#This Row],[Cur]]="GBP",Timer!F$12,TabCalc[[#This Row],[Cur]]="CAD",Timer!F$27,TabCalc[[#This Row],[Cur]]="JPY",Timer!F$31,TabCalc[[#This Row],[Cur]]="CHF",Timer!F$18),"Timing")</f>
        <v>None-Working Day</v>
      </c>
      <c r="BB72" s="90">
        <f ca="1">IF(ISNUMBER(TabCalc[[#This Row],[TimeEX]]),TabCalc[[#This Row],[V/VA]]/TabCalc[[#This Row],[TimeEX]],TabCalc[[#This Row],[V/VA]])</f>
        <v>1.2126103721618735</v>
      </c>
      <c r="BC72" s="87" cm="1">
        <f t="array" aca="1" ref="BC72" ca="1">INDEX(TabReg[], 1, _xlfn.XMATCH(TabCalc[[#This Row],[Ticker]]&amp;1, TabReg[#Headers], 0))</f>
        <v>200000</v>
      </c>
      <c r="BD72" s="161">
        <f ca="1">TabCalc[[#This Row],[Nbegin]]*TabCalc[[#This Row],[M]]*TabCalc[[#This Row],[Scale]]+TabCalc[[#This Row],[ValueBegin]]</f>
        <v>488000</v>
      </c>
      <c r="BE72" s="336" t="str" cm="1">
        <f t="array" aca="1" ref="BE72" ca="1">_xlfn.IFS(TabCalc[[#This Row],[Cost+Gain]]&gt;0,"Free",             TabCalc[[#This Row],[GL]]&gt;0,"Gainer",                TRUE,"Looser")</f>
        <v>Free</v>
      </c>
      <c r="BF72" s="161">
        <f ca="1">TabCalc[[#This Row],[Tot_Paid]]-TabCalc[[#This Row],[ValueBegin]]</f>
        <v>-295948.43199999991</v>
      </c>
      <c r="BG72" s="337">
        <f ca="1">IF(TabCalc[[#This Row],[EfCost]]&gt;TabCalc[[#This Row],[ValueBegin]],       0,        TabCalc[[#This Row],[EfCost]]-TabCalc[[#This Row],[ValueBegin]]*(1+Commission))</f>
        <v>0</v>
      </c>
      <c r="BH72" s="338">
        <f ca="1">TabCalc[[#This Row],[M_V]]+TabCalc[[#This Row],[ValueBegin]]</f>
        <v>-332000</v>
      </c>
      <c r="BI72" s="161" cm="1">
        <f t="array" aca="1" ref="BI72" ca="1">SUMPRODUCT(_xlfn._xlws.FILTER(INDIRECT("TabReg["&amp;TabCalc[[#This Row],[Ticker]]&amp;"1]") * INDIRECT("TabReg["&amp;TabCalc[[#This Row],[Ticker]]&amp;"2]"), INDIRECT("TabReg["&amp;TabCalc[[#This Row],[Ticker]]&amp;"2]")&lt;0))*(1+Commission)*TabCalc[[#This Row],[Scale]]</f>
        <v>-627948.43199999991</v>
      </c>
      <c r="BJ72" s="161" cm="1">
        <f t="array" aca="1" ref="BJ72" ca="1">SUMPRODUCT(IF(INDIRECT("TabReg["&amp;TabCalc[[#This Row],[Ticker]]&amp;"2]") ="", 0, INDIRECT("TabReg["&amp;TabCalc[[#This Row],[Ticker]]&amp;"1]") * INDIRECT("TabReg["&amp;TabCalc[[#This Row],[Ticker]]&amp;"2]") ))*TabCalc[[#This Row],[Scale]]</f>
        <v>177515</v>
      </c>
      <c r="BK72" s="161" cm="1">
        <f t="array" aca="1" ref="BK7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801745.02899999998</v>
      </c>
      <c r="BL72" s="161">
        <f ca="1">TabCalc[[#This Row],[M_V]]+TabCalc[[#This Row],[EfCost]]</f>
        <v>177515</v>
      </c>
      <c r="BM72" s="161">
        <f ca="1">IF(        OR( TabCalc[[#This Row],[GL]]&gt;ABS(TabCalc[[#This Row],[EfCost]]),TabCalc[[#This Row],[NAfter]]=0),             TabCalc[[#This Row],[GL]],     0)</f>
        <v>177515</v>
      </c>
      <c r="BN72" s="161" cm="1">
        <f t="array" aca="1" ref="BN72" ca="1">SUMPRODUCT(_xlfn._xlws.FILTER(IF(INDIRECT("TabReg["&amp;TabCalc[[#This Row],[Ticker]]&amp;"2]") ="", 0, INDIRECT("TabReg["&amp;TabCalc[[#This Row],[Ticker]]&amp;"1]")  ),  INDIRECT("TabReg["&amp;TabCalc[[#This Row],[Ticker]]&amp;"2]") &lt; 0))</f>
        <v>375000</v>
      </c>
      <c r="BO72" s="161">
        <f ca="1">TabCalc[[#This Row],[SB]]-TabCalc[[#This Row],[Nbegin]]</f>
        <v>175000</v>
      </c>
      <c r="BP72" s="161" cm="1">
        <f t="array" aca="1" ref="BP72" ca="1">IFERROR(SUMPRODUCT(_xlfn._xlws.FILTER(IF(INDIRECT("TabReg["&amp;TabCalc[[#This Row],[Ticker]]&amp;"2]") ="", 0, INDIRECT("TabReg["&amp;TabCalc[[#This Row],[Ticker]]&amp;"1]")  ),  INDIRECT("TabReg["&amp;TabCalc[[#This Row],[Ticker]]&amp;"2]") &gt; 0)),0)</f>
        <v>375000</v>
      </c>
      <c r="BQ7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2" s="176" t="str">
        <f ca="1">IF(TabCalc[[#This Row],[EfCost]]+TabCalc[[#This Row],[M_V]]&lt;TabCalc[[#This Row],[NoT_GL]],"Pile","")</f>
        <v>Pile</v>
      </c>
      <c r="BS72" s="167">
        <f ca="1">[1]!RTData[[#This Row],[Last trade time]]</f>
        <v>45954.639900659378</v>
      </c>
      <c r="BT72" s="177">
        <f ca="1">(TabCalc[[#This Row],[ValueBegin]]+(TabCalc[[#This Row],[M]]-TabCalc[[#This Row],[A]])*TabCalc[[#This Row],[NAfter]])*TabCalc[[#This Row],[Scale]]</f>
        <v>-3320</v>
      </c>
      <c r="BU72" s="189" cm="1">
        <f t="array" aca="1" ref="BU72" ca="1">_xlfn.XLOOKUP(TabCalc[[#This Row],[Ticker]],TabReg[[#Headers],[AAPL]:[UnknownX28]],Reg!B$72:KF$72)+3</f>
        <v>13</v>
      </c>
      <c r="BV72" s="190" cm="1">
        <f t="array" aca="1" ref="BV72" ca="1">_xlfn.XLOOKUP(TabCalc[[#This Row],[Ticker]],TabReg[[#Headers],[AAPL]:[UnknownX28]],Reg!B$73:KF$73)+2</f>
        <v>213</v>
      </c>
      <c r="BW72" s="191">
        <f ca="1">IFERROR(MAX(TabCalc[[#This Row],[Max_SD]],TabCalc[[#This Row],[Max_PD]]),0)</f>
        <v>45646</v>
      </c>
      <c r="BX72" s="191" t="str" cm="1">
        <f t="array" aca="1" ref="BX72" ca="1">_xlfn.IFS(TabCalc[[#This Row],[L_TP]]&lt;0,"Purchase",TabCalc[[#This Row],[L_TP]]&gt;0,"Sale")</f>
        <v>Sale</v>
      </c>
      <c r="BY72" s="190" cm="1">
        <f t="array" aca="1" ref="BY72" ca="1">INDEX(Reg!$A$1:$KF$73,TabCalc[[#This Row],[L_I1]],TabCalc[[#This Row],[L_I2]])</f>
        <v>100000</v>
      </c>
      <c r="BZ72" s="192" cm="1">
        <f t="array" aca="1" ref="BZ72" ca="1">INDEX(Reg!$A$1:$KF$73,TabCalc[[#This Row],[L_I1]],TabCalc[[#This Row],[L_I2]]+1)</f>
        <v>301.92</v>
      </c>
      <c r="CA72" s="161">
        <f ca="1">TabCalc[[#This Row],[NAfter]]*(TabCalc[[#This Row],[M]]-IF(TabCalc[[#This Row],[E]]&gt;0,0,TabCalc[[#This Row],[A]]))</f>
        <v>0</v>
      </c>
      <c r="CB72" s="167" cm="1">
        <f t="array" aca="1" ref="CB72" ca="1">IFERROR(MIN(_xlfn._xlws.FILTER(INDIRECT("TabReg["&amp;TabCalc[[#This Row],[Ticker]]&amp;"]"), INDIRECT("TabReg["&amp;TabCalc[[#This Row],[Ticker]]&amp;"2]")&gt;0)),0)</f>
        <v>45387</v>
      </c>
      <c r="CC72" s="178" cm="1">
        <f t="array" aca="1" ref="CC72" ca="1">IFERROR(MIN(_xlfn._xlws.FILTER(INDIRECT("TabReg["&amp;TabCalc[[#This Row],[Ticker]]&amp;"1]"), INDIRECT("TabReg["&amp;TabCalc[[#This Row],[Ticker]]&amp;"2]")&gt;0)),0)</f>
        <v>25000</v>
      </c>
      <c r="CD72" s="173" cm="1">
        <f t="array" aca="1" ref="CD72" ca="1">IFERROR(MIN(_xlfn._xlws.FILTER(INDIRECT("TabReg["&amp;TabCalc[[#This Row],[Ticker]]&amp;"2]"), INDIRECT("TabReg["&amp;TabCalc[[#This Row],[Ticker]]&amp;"2]")&gt;0)),0)</f>
        <v>171.3</v>
      </c>
      <c r="CE72" s="167" cm="1">
        <f t="array" aca="1" ref="CE72" ca="1">IFERROR(MAX(_xlfn._xlws.FILTER(INDIRECT("TabReg["&amp;TabCalc[[#This Row],[Ticker]]&amp;"]"), INDIRECT("TabReg["&amp;TabCalc[[#This Row],[Ticker]]&amp;"2]")&gt;0)),0)</f>
        <v>45646</v>
      </c>
      <c r="CF72" s="178" cm="1">
        <f t="array" aca="1" ref="CF72" ca="1">IFERROR(MAX(_xlfn._xlws.FILTER(INDIRECT("TabReg["&amp;TabCalc[[#This Row],[Ticker]]&amp;"1]"), INDIRECT("TabReg["&amp;TabCalc[[#This Row],[Ticker]]&amp;"2]")&gt;0)),0)</f>
        <v>100000</v>
      </c>
      <c r="CG72" s="173" cm="1">
        <f t="array" aca="1" ref="CG72" ca="1">IFERROR(MAX(_xlfn._xlws.FILTER(INDIRECT("TabReg["&amp;TabCalc[[#This Row],[Ticker]]&amp;"2]"), INDIRECT("TabReg["&amp;TabCalc[[#This Row],[Ticker]]&amp;"2]")&gt;0)),0)</f>
        <v>301.92</v>
      </c>
      <c r="CH72" s="167" cm="1">
        <f t="array" aca="1" ref="CH72" ca="1">MIN(_xlfn._xlws.FILTER(INDIRECT("TabReg["&amp;TabCalc[[#This Row],[Ticker]]&amp;"]"), INDIRECT("TabReg["&amp;TabCalc[[#This Row],[Ticker]]&amp;"2]")&lt;0))</f>
        <v>40544</v>
      </c>
      <c r="CI72" s="177" cm="1">
        <f t="array" aca="1" ref="CI72" ca="1">MIN(_xlfn._xlws.FILTER(INDIRECT("TabReg["&amp;TabCalc[[#This Row],[Ticker]]&amp;"1]"), INDIRECT("TabReg["&amp;TabCalc[[#This Row],[Ticker]]&amp;"2]")&lt;0))</f>
        <v>25000</v>
      </c>
      <c r="CJ72" s="173" cm="1">
        <f t="array" aca="1" ref="CJ72" ca="1">MIN(_xlfn._xlws.FILTER(INDIRECT("TabReg["&amp;TabCalc[[#This Row],[Ticker]]&amp;"2]"), INDIRECT("TabReg["&amp;TabCalc[[#This Row],[Ticker]]&amp;"2]")&lt;0))</f>
        <v>-198.16</v>
      </c>
      <c r="CK72" s="167" cm="1">
        <f t="array" aca="1" ref="CK72" ca="1">MAX(_xlfn._xlws.FILTER(INDIRECT("TabReg["&amp;TabCalc[[#This Row],[Ticker]]&amp;"]"), INDIRECT("TabReg["&amp;TabCalc[[#This Row],[Ticker]]&amp;"2]")&lt;0))</f>
        <v>45576</v>
      </c>
      <c r="CL72" s="177" cm="1">
        <f t="array" aca="1" ref="CL72" ca="1">MAX(_xlfn._xlws.FILTER(INDIRECT("TabReg["&amp;TabCalc[[#This Row],[Ticker]]&amp;"1]"), INDIRECT("TabReg["&amp;TabCalc[[#This Row],[Ticker]]&amp;"2]")&lt;0))</f>
        <v>200000</v>
      </c>
      <c r="CM72" s="173" cm="1">
        <f t="array" aca="1" ref="CM72" ca="1">MAX(_xlfn._xlws.FILTER(INDIRECT("TabReg["&amp;TabCalc[[#This Row],[Ticker]]&amp;"2]"), INDIRECT("TabReg["&amp;TabCalc[[#This Row],[Ticker]]&amp;"2]")&lt;0))</f>
        <v>-162.6</v>
      </c>
      <c r="CN72" s="167" cm="1">
        <f t="array" aca="1" ref="CN72" ca="1">IFERROR(_xlfn.XLOOKUP(TabCalc[[#This Row],[BS2P]],INDIRECT("TabReg["&amp;TabCalc[[#This Row],[Ticker]]&amp;"2]"),INDIRECT("TabReg["&amp;TabCalc[[#This Row],[Ticker]]&amp;"]")),0)</f>
        <v>45583</v>
      </c>
      <c r="CO72" s="178" cm="1">
        <f t="array" aca="1" ref="CO72" ca="1">IFERROR(_xlfn.XLOOKUP(TabCalc[[#This Row],[BS2P]],INDIRECT("TabReg["&amp;TabCalc[[#This Row],[Ticker]]&amp;"2]"),INDIRECT("TabReg["&amp;TabCalc[[#This Row],[Ticker]]&amp;"1]")),0)</f>
        <v>25000</v>
      </c>
      <c r="CP72" s="173">
        <f ca="1">_xlfn.MAXIFS(INDIRECT("TabReg["&amp;TabCalc[[#This Row],[Ticker]]&amp;"2]"), INDIRECT("TabReg["&amp;TabCalc[[#This Row],[Ticker]]&amp;"2]"), "&lt;" &amp; MAX(INDIRECT("TabReg["&amp;TabCalc[[#This Row],[Ticker]]&amp;"2]")))</f>
        <v>212.3</v>
      </c>
      <c r="CQ72" s="167" cm="1">
        <f t="array" aca="1" ref="CQ72" ca="1">IFERROR(_xlfn.XLOOKUP(TabCalc[[#This Row],[WB2P]],INDIRECT("TabReg["&amp;TabCalc[[#This Row],[Ticker]]&amp;"2]"),INDIRECT("TabReg["&amp;TabCalc[[#This Row],[Ticker]]&amp;"]")),0)</f>
        <v>40544</v>
      </c>
      <c r="CR72" s="178" cm="1">
        <f t="array" aca="1" ref="CR72" ca="1">IFERROR(_xlfn.XLOOKUP(TabCalc[[#This Row],[WB2P]],INDIRECT("TabReg["&amp;TabCalc[[#This Row],[Ticker]]&amp;"2]"),INDIRECT("TabReg["&amp;TabCalc[[#This Row],[Ticker]]&amp;"1]")),0)</f>
        <v>200000</v>
      </c>
      <c r="CS72" s="173">
        <f ca="1">_xlfn.MINIFS(INDIRECT("TabReg["&amp;TabCalc[[#This Row],[Ticker]]&amp;"2]"), INDIRECT("TabReg["&amp;TabCalc[[#This Row],[Ticker]]&amp;"2]"), "&gt;" &amp; MIN(INDIRECT("TabReg["&amp;TabCalc[[#This Row],[Ticker]]&amp;"2]")))</f>
        <v>-166</v>
      </c>
      <c r="CT72" s="405">
        <f ca="1">IF(TabCalc[[#This Row],[M]]&lt;TabCalc[[#This Row],[L_Sp]],DesiredBuyGain/(TabCalc[[#This Row],[L_Sp]]-TabCalc[[#This Row],[M]]),0)</f>
        <v>0</v>
      </c>
      <c r="CU72" s="406">
        <f ca="1">IF(TabCalc[[#This Row],[ntoBuy]]*TabCalc[[#This Row],[M]]&lt;=0,0,TabCalc[[#This Row],[ntoBuy]]*TabCalc[[#This Row],[M]])</f>
        <v>0</v>
      </c>
      <c r="CV72" s="406">
        <f ca="1">IF(TabCalc[[#This Row],[M]]&gt;ABS(TabCalc[[#This Row],[L_Bp]]),MIN(TabCalc[[#This Row],[NAfter]],DesiredSaleGain/(TabCalc[[#This Row],[M]]+TabCalc[[#This Row],[L_Bp]])),0)/TabCalc[[#This Row],[Scale]]</f>
        <v>0</v>
      </c>
      <c r="CW72" s="407">
        <f ca="1">TabCalc[[#This Row],[ntoSell]]*TabCalc[[#This Row],[M]]</f>
        <v>0</v>
      </c>
      <c r="CX72" s="400">
        <f ca="1">_xlfn.LET(_xlpm.nToSell,IF(TabCalc[[#This Row],[M]]-TabCalc[[#This Row],[A]]&lt;=0,"",INT(DesiredSaleGain/(TabCalc[[#This Row],[M]]-IF(TabCalc[[#This Row],[E]]&gt;0,0,TabCalc[[#This Row],[A]])))),IF(_xlpm.nToSell&lt;=TabCalc[[#This Row],[NAfter]],_xlpm.nToSell,0))</f>
        <v>0</v>
      </c>
      <c r="CY72" s="338">
        <f ca="1">IFERROR(TabCalc[[#This Row],[NMA]]*TabCalc[[#This Row],[M]],"")</f>
        <v>0</v>
      </c>
      <c r="CZ72" s="337" cm="1">
        <f t="array" aca="1" ref="CZ72" ca="1">_xlfn.IFS(TabCalc[[#This Row],[M]]&gt;= TabCalc[[#This Row],[L_Sp]],(TabCalc[[#This Row],[M]]-TabCalc[[#This Row],[A]])*TabCalc[[#This Row],[NAfter]]*TabCalc[[#This Row],[Scale]],           TabCalc[[#This Row],[M]]&lt; TabCalc[[#This Row],[L_Sp]],(TabCalc[[#This Row],[M]]-TabCalc[[#This Row],[A]])*TabCalc[[#This Row],[NAfter]]*TabCalc[[#This Row],[Scale]],               TRUE,"")</f>
        <v>0</v>
      </c>
      <c r="DA72" s="90">
        <f ca="1">IFERROR((TabCalc[[#This Row],[M]]+TabCalc[[#This Row],[L_Bp]])/ABS(TabCalc[[#This Row],[L_Bp]])/(TODAY()-TabCalc[[#This Row],[L_Bdate]])*360,"")</f>
        <v>1.012770116652147</v>
      </c>
      <c r="DB72" s="312">
        <f ca="1">MEDIAN(DataShift!F771:Z771)</f>
        <v>-2.614E-3</v>
      </c>
      <c r="DC72" s="312" t="e" cm="1">
        <f t="array" aca="1" ref="DC7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2" s="88" t="s">
        <v>68</v>
      </c>
      <c r="DN72" s="81">
        <v>500</v>
      </c>
      <c r="DO72" s="317">
        <v>-126.35</v>
      </c>
    </row>
    <row r="73" spans="1:119">
      <c r="A73" s="120" t="str">
        <f ca="1">_xlfn.XLOOKUP(TabCalc[[#This Row],[Ticker]],[1]!RTData[Ticker symbol],[1]!RTData[Currency])</f>
        <v>USD</v>
      </c>
      <c r="B73" s="121">
        <f ca="1">IF(TabCalc[[#This Row],[Cur]]="GBP",0.01,1)</f>
        <v>1</v>
      </c>
      <c r="C73" s="82">
        <f ca="1">_xlfn.XLOOKUP(TabCalc[[#This Row],[Ticker]],DM$3:DM$96,DN$3:DN$96)</f>
        <v>500</v>
      </c>
      <c r="D73" s="1254">
        <f ca="1">_xlfn.XLOOKUP(TabCalc[[#This Row],[Ticker]],DM$3:DM$96,DO$3:DO$96)</f>
        <v>-126.35</v>
      </c>
      <c r="E73" s="121">
        <f t="shared" ca="1" si="4"/>
        <v>-63175</v>
      </c>
      <c r="F73" s="82">
        <f ca="1">TabCalc[[#This Row],[NAfter]]*TabCalc[[#This Row],[M]]*TabCalc[[#This Row],[Scale]]</f>
        <v>133700</v>
      </c>
      <c r="G73" s="82">
        <f ca="1">IFERROR(TabCalc[[#This Row],[SB]]-TabCalc[[#This Row],[SST]],TabCalc[[#This Row],[SB]])</f>
        <v>5000</v>
      </c>
      <c r="H73" s="535" t="str">
        <f ca="1">[1]!RTData[[#This Row],[Ticker symbol]]</f>
        <v>SAFMRNA</v>
      </c>
      <c r="I73" s="385">
        <f ca="1">[1]!RTData[[#This Row],[M-Price]]</f>
        <v>26.74</v>
      </c>
      <c r="J73" s="384">
        <v>61.734115100000004</v>
      </c>
      <c r="K73" s="383">
        <f>[1]!RTData[[#This Row],[1YT]]</f>
        <v>44.3</v>
      </c>
      <c r="L73" s="384">
        <f ca="1">IF(OR(TabCalc[[#This Row],[NAfter]]=0,TabCalc[[#This Row],[EfCost]]&gt;0),0,TabCalc[[#This Row],[EfCost]]/TabCalc[[#This Row],[NAfter]]/TabCalc[[#This Row],[Scale]])</f>
        <v>-59.683399199999997</v>
      </c>
      <c r="M73" s="744">
        <f ca="1">[1]!RTData[[#This Row],[Change%]]</f>
        <v>1.8667E-2</v>
      </c>
      <c r="N73" s="1172">
        <v>0.42857142857142855</v>
      </c>
      <c r="O73" s="966">
        <f>TabCalc[[#This Row],[Up20]]-1+TabCalc[[#This Row],[Up20]]</f>
        <v>-0.14285714285714285</v>
      </c>
      <c r="P73" s="966">
        <f>TabCalc[[#This Row],[Up20]]-TabCalc[[#This Row],[Up150]]</f>
        <v>-2.4665981500513912E-2</v>
      </c>
      <c r="Q73" s="966">
        <v>0.45323741007194246</v>
      </c>
      <c r="R73" s="966">
        <f>TabCalc[[#This Row],[Up150]]-1+TabCalc[[#This Row],[Up150]]</f>
        <v>-9.3525179856115026E-2</v>
      </c>
      <c r="S73" s="966">
        <f ca="1">IFERROR(SUMPRODUCT(DataShift!F1565:Z1565,DataShift!AB772:AV772)/SQRT(SUMPRODUCT(DataShift!F1565:Z1565,DataShift!F1565:Z1565)*SUMPRODUCT(DataShift!AB772:AV772,DataShift!AB772:AV772)),0)</f>
        <v>8.2744918038844734E-2</v>
      </c>
      <c r="T73" s="966">
        <f ca="1">IFERROR(SUMPRODUCT(DataShift!F1565:Z1565,DataShift!F772:Z772)/SQRT(SUMPRODUCT(DataShift!F1565:Z1565,DataShift!F1565:Z1565)*SUMPRODUCT(DataShift!F772:Z772,DataShift!F772:Z772)),0)</f>
        <v>-0.15136369250071222</v>
      </c>
      <c r="U73" s="1107">
        <v>0</v>
      </c>
      <c r="V73" s="1107">
        <v>5000</v>
      </c>
      <c r="W73" s="1107">
        <v>0</v>
      </c>
      <c r="X73" s="966" t="str">
        <f ca="1">IF(TabCalc[[#This Row],[EfCost]]+TabCalc[[#This Row],[M_V]]&lt;TabCalc[[#This Row],[NoT_GL]],"Pile","")</f>
        <v>Pile</v>
      </c>
      <c r="Y7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4,964 = $ 132,737</v>
      </c>
      <c r="Z73" s="213">
        <f ca="1">MIN(TabCalc[[#This Row],[L_Bn]],TabCalc[[#This Row],[NAfter]])*(TabCalc[[#This Row],[M]]+TabCalc[[#This Row],[L_Bp]])*TabCalc[[#This Row],[Scale]]</f>
        <v>-36217.800000000017</v>
      </c>
      <c r="AA73" s="210" cm="1">
        <f t="array" aca="1" ref="AA73" ca="1">_xlfn.XLOOKUP(TabCalc[[#This Row],[L_Bp]],INDIRECT("TabReg["&amp;TabCalc[[#This Row],[Ticker]]&amp;"2]"),INDIRECT("TabReg["&amp;TabCalc[[#This Row],[Ticker]]&amp;"]"))</f>
        <v>45679</v>
      </c>
      <c r="AB73" s="181" cm="1">
        <f t="array" aca="1" ref="AB73" ca="1">_xlfn.XLOOKUP(TabCalc[[#This Row],[L_Bp]],INDIRECT("TabReg["&amp;TabCalc[[#This Row],[Ticker]]&amp;"2]"),INDIRECT("TabReg["&amp;TabCalc[[#This Row],[Ticker]]&amp;"1]"))</f>
        <v>3000</v>
      </c>
      <c r="AC73" s="192" cm="1">
        <f t="array" aca="1" ref="AC73" ca="1">IFERROR(INDEX(INDIRECT("TabReg["&amp;TabCalc[[#This Row],[Ticker]]&amp;"2]"),    _xlfn.XMATCH(    MAX(    _xlfn._xlws.FILTER(INDIRECT("TabReg["&amp;TabCalc[[#This Row],[Ticker]]&amp;"]"), INDIRECT("TabReg["&amp;TabCalc[[#This Row],[Ticker]]&amp;"2]")&lt;0)     ), INDIRECT("TabReg["&amp;TabCalc[[#This Row],[Ticker]]&amp;"]"),      0)), "")</f>
        <v>-38.812600000000003</v>
      </c>
      <c r="AD73" s="213">
        <f ca="1">IFERROR(MIN(TabCalc[[#This Row],[L_B1n]],TabCalc[[#This Row],[NAfter]])*(TabCalc[[#This Row],[M]]+TabCalc[[#This Row],[L_B1p]])*TabCalc[[#This Row],[Scale]],"")</f>
        <v>-45801.700000000012</v>
      </c>
      <c r="AE73" s="210" cm="1">
        <f t="array" aca="1" ref="AE7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45540</v>
      </c>
      <c r="AF73" s="181" cm="1">
        <f t="array" aca="1" ref="AF73" ca="1">IFERROR(_xlfn.XLOOKUP(TabCalc[[#This Row],[L_B1D]],INDIRECT("TabReg["&amp;TabCalc[[#This Row],[Ticker]]&amp;"]"),INDIRECT("TabReg["&amp;TabCalc[[#This Row],[Ticker]]&amp;"1]")),0)</f>
        <v>1000</v>
      </c>
      <c r="AG73" s="192" cm="1">
        <f t="array" aca="1" ref="AG73" ca="1">IFERROR(_xlfn.XLOOKUP(TabCalc[[#This Row],[L_B1D]],INDIRECT("TabReg["&amp;TabCalc[[#This Row],[Ticker]]&amp;"]"),INDIRECT("TabReg["&amp;TabCalc[[#This Row],[Ticker]]&amp;"2]")),0)</f>
        <v>-72.541700000000006</v>
      </c>
      <c r="AH73" s="302">
        <f ca="1">IFERROR(TabCalc[[#This Row],[L_Sn]]*(TabCalc[[#This Row],[L_Sp]]-TabCalc[[#This Row],[M]])*TabCalc[[#This Row],[Scale]],"")</f>
        <v>19472</v>
      </c>
      <c r="AI73" s="210" cm="1">
        <f t="array" aca="1" ref="AI73" ca="1">IFERROR(_xlfn.XLOOKUP(TabCalc[[#This Row],[L_Sp]],INDIRECT("TabReg["&amp;TabCalc[[#This Row],[Ticker]]&amp;"2]"),INDIRECT("TabReg["&amp;TabCalc[[#This Row],[Ticker]]&amp;"]")),0)</f>
        <v>45491</v>
      </c>
      <c r="AJ73" s="181" cm="1">
        <f t="array" aca="1" ref="AJ73" ca="1">IFERROR(_xlfn.XLOOKUP(TabCalc[[#This Row],[L_Sp]],INDIRECT("TabReg["&amp;TabCalc[[#This Row],[Ticker]]&amp;"2]"),INDIRECT("TabReg["&amp;TabCalc[[#This Row],[Ticker]]&amp;"1]")),0)</f>
        <v>200</v>
      </c>
      <c r="AK73" s="192" cm="1">
        <f t="array" aca="1" ref="AK73" ca="1">IFERROR(INDEX(INDIRECT("TabReg["&amp;TabCalc[[#This Row],[Ticker]]&amp;"2]"), _xlfn.XMATCH(MAX(_xlfn._xlws.FILTER(INDIRECT("TabReg["&amp;TabCalc[[#This Row],[Ticker]]&amp;"]"), INDIRECT("TabReg["&amp;TabCalc[[#This Row],[Ticker]]&amp;"2]")&gt;0)), INDIRECT("TabReg["&amp;TabCalc[[#This Row],[Ticker]]&amp;"]"), 0)), 0)</f>
        <v>124.1</v>
      </c>
      <c r="AL73" s="214">
        <f ca="1">IFERROR(TabCalc[[#This Row],[L_S1n]]*(TabCalc[[#This Row],[L_S1p]]-TabCalc[[#This Row],[M]])*TabCalc[[#This Row],[Scale]],0)</f>
        <v>29911.960000000003</v>
      </c>
      <c r="AM73" s="210" cm="1">
        <f t="array" aca="1" ref="AM7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45426</v>
      </c>
      <c r="AN73" s="181" cm="1">
        <f t="array" aca="1" ref="AN73" ca="1">IFERROR(_xlfn.XLOOKUP(TabCalc[[#This Row],[L_S1D]],INDIRECT("TabReg["&amp;TabCalc[[#This Row],[Ticker]]&amp;"]"),INDIRECT("TabReg["&amp;TabCalc[[#This Row],[Ticker]]&amp;"1]")),0)</f>
        <v>299</v>
      </c>
      <c r="AO73" s="384" cm="1">
        <f t="array" aca="1" ref="AO73" ca="1">IFERROR(_xlfn.XLOOKUP(TabCalc[[#This Row],[L_S1D]],INDIRECT("TabReg["&amp;TabCalc[[#This Row],[Ticker]]&amp;"]"),INDIRECT("TabReg["&amp;TabCalc[[#This Row],[Ticker]]&amp;"2]")),0)</f>
        <v>126.78</v>
      </c>
      <c r="AP73" s="336">
        <f ca="1">_xlfn.LET(_xlpm.MVOpen,[1]!RTData[[#This Row],[Open]]*TabCalc[[#This Row],[NAfter]],_xlpm.MVNow,TabCalc[[#This Row],[M]]*TabCalc[[#This Row],[NAfter]],_xlpm.MVNow-_xlpm.MVOpen)*TabCalc[[#This Row],[Scale]]</f>
        <v>1100</v>
      </c>
      <c r="AQ73" s="336">
        <f ca="1">_xlfn.LET(_xlpm.MVToday,DataShift!AV573,         _xlpm.MVY,DataShift!AU573,        _xlpm.MVYY, DataShift!AT573,                                IF(_xlpm.MVToday=_xlpm.MVY,_xlpm.MVY-_xlpm.MVYY,_xlpm.MVToday-_xlpm.MVY))</f>
        <v>0</v>
      </c>
      <c r="AR73" s="336">
        <f ca="1">_xlfn.LET(_xlpm.MVToday,DataShift!AV573,         _xlpm.MVY,DataShift!AU573,        _xlpm.MVYY, DataShift!AT573,         _xlpm.MVYYY, DataShift!AS573,                      IF(_xlpm.MVToday=_xlpm.MVY,      _xlpm.MVYY-_xlpm.MVYYY,          _xlpm.MVY-_xlpm.MVYY))</f>
        <v>0</v>
      </c>
      <c r="AS73" s="1078">
        <f ca="1">TabCalc[[#This Row],[Y]]/TabCalc[[#This Row],[M]]</f>
        <v>1.6566940912490651</v>
      </c>
      <c r="AT73" s="299" t="str" cm="1">
        <f t="array" aca="1" ref="AT73" ca="1">IFERROR(_xlfn.IFS(          TabCalc[[#This Row],[E]]&gt;0, "Free Trade",      TabCalc[[#This Row],[A]]&lt;MIN(TabCalc[[#This Row],[L_Sp]],TabCalc[[#This Row],[M]]), "Buy",            TabCalc[[#This Row],[M]]&lt;TabCalc[[#This Row],[L_Sp]],       "Refill",       TabCalc[[#This Row],[M]]&gt;TabCalc[[#This Row],[L_Sp]],"S_more"),"")</f>
        <v>Refill</v>
      </c>
      <c r="AU73" s="299" t="str">
        <f ca="1">IF(           AND(TabCalc[[#This Row],[E]]&lt;=0,          TabCalc[[#This Row],[A]]&gt;MIN(TabCalc[[#This Row],[M]],TabCalc[[#This Row],[L_Sp]]),             TabCalc[[#This Row],[L_Sp]]&lt;=TabCalc[[#This Row],[M]]),                       "S_more","")</f>
        <v/>
      </c>
      <c r="AV73" s="82" t="str" cm="1">
        <f t="array" aca="1" ref="AV73" ca="1">IFERROR(_xlfn.IFS(TabCalc[[#This Row],[E]]&gt;0,"Free trade",                 TabCalc[[#This Row],[A]]&lt;MAX(ABS(TabCalc[[#This Row],[L_Bp]]),TabCalc[[#This Row],[A]]),"Sell",             TabCalc[[#This Row],[M]]&gt;ABS(TabCalc[[#This Row],[L_Bp]]),"Resell",             TabCalc[[#This Row],[M]]&lt;ABS(TabCalc[[#This Row],[L_Bp]]),"B_more"),"")</f>
        <v>B_more</v>
      </c>
      <c r="AW73" s="82">
        <f ca="1">TabCalc[[#This Row],[NAfter]]-TabCalc[[#This Row],[Nbegin]]</f>
        <v>4500</v>
      </c>
      <c r="AX73" s="307">
        <f ca="1">IFERROR((TabCalc[[#This Row],[M]]-TabCalc[[#This Row],[Y]])*(TabCalc[[#This Row],[M]]-TabCalc[[#This Row],[Y]])*(TabCalc[[#This Row],[M]]-TabCalc[[#This Row],[Y]])/(TabCalc[[#This Row],[Y]]*TabCalc[[#This Row],[M]]),"")</f>
        <v>-4.570970364229745</v>
      </c>
      <c r="AY73" s="82">
        <f t="shared" ca="1" si="5"/>
        <v>0</v>
      </c>
      <c r="AZ73" s="90">
        <f ca="1">[1]!RTData[[#This Row],[V/VA]]</f>
        <v>0.66029390577287095</v>
      </c>
      <c r="BA73" s="90" t="str" cm="1">
        <f t="array" aca="1" ref="BA73" ca="1">IFERROR(_xlfn.IFS(TabCalc[[#This Row],[Cur]]="USD",Timer!F$27,TabCalc[[#This Row],[Cur]]="EUR",Timer!F$18,TabCalc[[#This Row],[Cur]]="GBP",Timer!F$12,TabCalc[[#This Row],[Cur]]="CAD",Timer!F$27,TabCalc[[#This Row],[Cur]]="JPY",Timer!F$31,TabCalc[[#This Row],[Cur]]="CHF",Timer!F$18),"Timing")</f>
        <v>None-Working Day</v>
      </c>
      <c r="BB73" s="90">
        <f ca="1">IF(ISNUMBER(TabCalc[[#This Row],[TimeEX]]),TabCalc[[#This Row],[V/VA]]/TabCalc[[#This Row],[TimeEX]],TabCalc[[#This Row],[V/VA]])</f>
        <v>0.66029390577287095</v>
      </c>
      <c r="BC73" s="87" cm="1">
        <f t="array" aca="1" ref="BC73" ca="1">INDEX(TabReg[], 1, _xlfn.XMATCH(TabCalc[[#This Row],[Ticker]]&amp;1, TabReg[#Headers], 0))</f>
        <v>500</v>
      </c>
      <c r="BD73" s="161">
        <f ca="1">TabCalc[[#This Row],[Nbegin]]*TabCalc[[#This Row],[M]]*TabCalc[[#This Row],[Scale]]+TabCalc[[#This Row],[ValueBegin]]</f>
        <v>-49805</v>
      </c>
      <c r="BE73" s="336" t="str" cm="1">
        <f t="array" aca="1" ref="BE73" ca="1">_xlfn.IFS(TabCalc[[#This Row],[Cost+Gain]]&gt;0,"Free",             TabCalc[[#This Row],[GL]]&gt;0,"Gainer",                TRUE,"Looser")</f>
        <v>Looser</v>
      </c>
      <c r="BF73" s="161">
        <f ca="1">TabCalc[[#This Row],[Tot_Paid]]-TabCalc[[#This Row],[ValueBegin]]</f>
        <v>-716851.02436159994</v>
      </c>
      <c r="BG73" s="337">
        <f ca="1">IF(TabCalc[[#This Row],[EfCost]]&gt;TabCalc[[#This Row],[ValueBegin]],       0,        TabCalc[[#This Row],[EfCost]]-TabCalc[[#This Row],[ValueBegin]]*(1+Commission))</f>
        <v>-235077.74099999998</v>
      </c>
      <c r="BH73" s="338">
        <f ca="1">TabCalc[[#This Row],[M_V]]+TabCalc[[#This Row],[ValueBegin]]</f>
        <v>70525</v>
      </c>
      <c r="BI73" s="161" cm="1">
        <f t="array" aca="1" ref="BI73" ca="1">SUMPRODUCT(_xlfn._xlws.FILTER(INDIRECT("TabReg["&amp;TabCalc[[#This Row],[Ticker]]&amp;"1]") * INDIRECT("TabReg["&amp;TabCalc[[#This Row],[Ticker]]&amp;"2]"), INDIRECT("TabReg["&amp;TabCalc[[#This Row],[Ticker]]&amp;"2]")&lt;0))*(1+Commission)*TabCalc[[#This Row],[Scale]]</f>
        <v>-780026.02436159994</v>
      </c>
      <c r="BJ73" s="161" cm="1">
        <f t="array" aca="1" ref="BJ73" ca="1">SUMPRODUCT(IF(INDIRECT("TabReg["&amp;TabCalc[[#This Row],[Ticker]]&amp;"2]") ="", 0, INDIRECT("TabReg["&amp;TabCalc[[#This Row],[Ticker]]&amp;"1]") * INDIRECT("TabReg["&amp;TabCalc[[#This Row],[Ticker]]&amp;"2]") ))*TabCalc[[#This Row],[Scale]]</f>
        <v>-298416.99599999998</v>
      </c>
      <c r="BK73" s="161" cm="1">
        <f t="array" aca="1" ref="BK7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478339.29582799994</v>
      </c>
      <c r="BL73" s="161">
        <f ca="1">TabCalc[[#This Row],[M_V]]+TabCalc[[#This Row],[EfCost]]</f>
        <v>-164716.99599999998</v>
      </c>
      <c r="BM73" s="161">
        <f ca="1">IF(        OR( TabCalc[[#This Row],[GL]]&gt;ABS(TabCalc[[#This Row],[EfCost]]),TabCalc[[#This Row],[NAfter]]=0),             TabCalc[[#This Row],[GL]],     0)</f>
        <v>0</v>
      </c>
      <c r="BN73" s="161" cm="1">
        <f t="array" aca="1" ref="BN73" ca="1">SUMPRODUCT(_xlfn._xlws.FILTER(IF(INDIRECT("TabReg["&amp;TabCalc[[#This Row],[Ticker]]&amp;"2]") ="", 0, INDIRECT("TabReg["&amp;TabCalc[[#This Row],[Ticker]]&amp;"1]")  ),  INDIRECT("TabReg["&amp;TabCalc[[#This Row],[Ticker]]&amp;"2]") &lt; 0))</f>
        <v>9699</v>
      </c>
      <c r="BO73" s="161">
        <f ca="1">TabCalc[[#This Row],[SB]]-TabCalc[[#This Row],[Nbegin]]</f>
        <v>9199</v>
      </c>
      <c r="BP73" s="161" cm="1">
        <f t="array" aca="1" ref="BP73" ca="1">IFERROR(SUMPRODUCT(_xlfn._xlws.FILTER(IF(INDIRECT("TabReg["&amp;TabCalc[[#This Row],[Ticker]]&amp;"2]") ="", 0, INDIRECT("TabReg["&amp;TabCalc[[#This Row],[Ticker]]&amp;"1]")  ),  INDIRECT("TabReg["&amp;TabCalc[[#This Row],[Ticker]]&amp;"2]") &gt; 0)),0)</f>
        <v>4699</v>
      </c>
      <c r="BQ73"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44.93</v>
      </c>
      <c r="BR73" s="176" t="str">
        <f ca="1">IF(TabCalc[[#This Row],[EfCost]]+TabCalc[[#This Row],[M_V]]&lt;TabCalc[[#This Row],[NoT_GL]],"Pile","")</f>
        <v>Pile</v>
      </c>
      <c r="BS73" s="167">
        <f ca="1">[1]!RTData[[#This Row],[Last trade time]]</f>
        <v>45954.999891851563</v>
      </c>
      <c r="BT73" s="177">
        <f ca="1">(TabCalc[[#This Row],[ValueBegin]]+(TabCalc[[#This Row],[M]]-TabCalc[[#This Row],[A]])*TabCalc[[#This Row],[NAfter]])*TabCalc[[#This Row],[Scale]]</f>
        <v>-238145.57550000001</v>
      </c>
      <c r="BU73" s="189" cm="1">
        <f t="array" aca="1" ref="BU73" ca="1">_xlfn.XLOOKUP(TabCalc[[#This Row],[Ticker]],TabReg[[#Headers],[AAPL]:[UnknownX28]],Reg!B$72:KF$72)+3</f>
        <v>17</v>
      </c>
      <c r="BV73" s="190" cm="1">
        <f t="array" aca="1" ref="BV73" ca="1">_xlfn.XLOOKUP(TabCalc[[#This Row],[Ticker]],TabReg[[#Headers],[AAPL]:[UnknownX28]],Reg!B$73:KF$73)+2</f>
        <v>216</v>
      </c>
      <c r="BW73" s="191">
        <f ca="1">IFERROR(MAX(TabCalc[[#This Row],[Max_SD]],TabCalc[[#This Row],[Max_PD]]),0)</f>
        <v>45679</v>
      </c>
      <c r="BX73" s="191" t="str" cm="1">
        <f t="array" aca="1" ref="BX73" ca="1">_xlfn.IFS(TabCalc[[#This Row],[L_TP]]&lt;0,"Purchase",TabCalc[[#This Row],[L_TP]]&gt;0,"Sale")</f>
        <v>Purchase</v>
      </c>
      <c r="BY73" s="190" cm="1">
        <f t="array" aca="1" ref="BY73" ca="1">INDEX(Reg!$A$1:$KF$73,TabCalc[[#This Row],[L_I1]],TabCalc[[#This Row],[L_I2]])</f>
        <v>3000</v>
      </c>
      <c r="BZ73" s="192" cm="1">
        <f t="array" aca="1" ref="BZ73" ca="1">INDEX(Reg!$A$1:$KF$73,TabCalc[[#This Row],[L_I1]],TabCalc[[#This Row],[L_I2]]+1)</f>
        <v>-38.812600000000003</v>
      </c>
      <c r="CA73" s="161">
        <f ca="1">TabCalc[[#This Row],[NAfter]]*(TabCalc[[#This Row],[M]]-IF(TabCalc[[#This Row],[E]]&gt;0,0,TabCalc[[#This Row],[A]]))</f>
        <v>-174970.57550000001</v>
      </c>
      <c r="CB73" s="167" cm="1">
        <f t="array" aca="1" ref="CB73" ca="1">IFERROR(MIN(_xlfn._xlws.FILTER(INDIRECT("TabReg["&amp;TabCalc[[#This Row],[Ticker]]&amp;"]"), INDIRECT("TabReg["&amp;TabCalc[[#This Row],[Ticker]]&amp;"2]")&gt;0)),0)</f>
        <v>45352</v>
      </c>
      <c r="CC73" s="178" cm="1">
        <f t="array" aca="1" ref="CC73" ca="1">IFERROR(MIN(_xlfn._xlws.FILTER(INDIRECT("TabReg["&amp;TabCalc[[#This Row],[Ticker]]&amp;"1]"), INDIRECT("TabReg["&amp;TabCalc[[#This Row],[Ticker]]&amp;"2]")&gt;0)),0)</f>
        <v>200</v>
      </c>
      <c r="CD73" s="173" cm="1">
        <f t="array" aca="1" ref="CD73" ca="1">IFERROR(MIN(_xlfn._xlws.FILTER(INDIRECT("TabReg["&amp;TabCalc[[#This Row],[Ticker]]&amp;"2]"), INDIRECT("TabReg["&amp;TabCalc[[#This Row],[Ticker]]&amp;"2]")&gt;0)),0)</f>
        <v>96.67</v>
      </c>
      <c r="CE73" s="167" cm="1">
        <f t="array" aca="1" ref="CE73" ca="1">IFERROR(MAX(_xlfn._xlws.FILTER(INDIRECT("TabReg["&amp;TabCalc[[#This Row],[Ticker]]&amp;"]"), INDIRECT("TabReg["&amp;TabCalc[[#This Row],[Ticker]]&amp;"2]")&gt;0)),0)</f>
        <v>45491</v>
      </c>
      <c r="CF73" s="178" cm="1">
        <f t="array" aca="1" ref="CF73" ca="1">IFERROR(MAX(_xlfn._xlws.FILTER(INDIRECT("TabReg["&amp;TabCalc[[#This Row],[Ticker]]&amp;"1]"), INDIRECT("TabReg["&amp;TabCalc[[#This Row],[Ticker]]&amp;"2]")&gt;0)),0)</f>
        <v>1500</v>
      </c>
      <c r="CG73" s="173" cm="1">
        <f t="array" aca="1" ref="CG73" ca="1">IFERROR(MAX(_xlfn._xlws.FILTER(INDIRECT("TabReg["&amp;TabCalc[[#This Row],[Ticker]]&amp;"2]"), INDIRECT("TabReg["&amp;TabCalc[[#This Row],[Ticker]]&amp;"2]")&gt;0)),0)</f>
        <v>126.78</v>
      </c>
      <c r="CH73" s="167" cm="1">
        <f t="array" aca="1" ref="CH73" ca="1">MIN(_xlfn._xlws.FILTER(INDIRECT("TabReg["&amp;TabCalc[[#This Row],[Ticker]]&amp;"]"), INDIRECT("TabReg["&amp;TabCalc[[#This Row],[Ticker]]&amp;"2]")&lt;0))</f>
        <v>40544</v>
      </c>
      <c r="CI73" s="177" cm="1">
        <f t="array" aca="1" ref="CI73" ca="1">MIN(_xlfn._xlws.FILTER(INDIRECT("TabReg["&amp;TabCalc[[#This Row],[Ticker]]&amp;"1]"), INDIRECT("TabReg["&amp;TabCalc[[#This Row],[Ticker]]&amp;"2]")&lt;0))</f>
        <v>300</v>
      </c>
      <c r="CJ73" s="173" cm="1">
        <f t="array" aca="1" ref="CJ73" ca="1">MIN(_xlfn._xlws.FILTER(INDIRECT("TabReg["&amp;TabCalc[[#This Row],[Ticker]]&amp;"2]"), INDIRECT("TabReg["&amp;TabCalc[[#This Row],[Ticker]]&amp;"2]")&lt;0))</f>
        <v>-126.35</v>
      </c>
      <c r="CK73" s="167" cm="1">
        <f t="array" aca="1" ref="CK73" ca="1">MAX(_xlfn._xlws.FILTER(INDIRECT("TabReg["&amp;TabCalc[[#This Row],[Ticker]]&amp;"]"), INDIRECT("TabReg["&amp;TabCalc[[#This Row],[Ticker]]&amp;"2]")&lt;0))</f>
        <v>45679</v>
      </c>
      <c r="CL73" s="177" cm="1">
        <f t="array" aca="1" ref="CL73" ca="1">MAX(_xlfn._xlws.FILTER(INDIRECT("TabReg["&amp;TabCalc[[#This Row],[Ticker]]&amp;"1]"), INDIRECT("TabReg["&amp;TabCalc[[#This Row],[Ticker]]&amp;"2]")&lt;0))</f>
        <v>3000</v>
      </c>
      <c r="CM73" s="173" cm="1">
        <f t="array" aca="1" ref="CM73" ca="1">MAX(_xlfn._xlws.FILTER(INDIRECT("TabReg["&amp;TabCalc[[#This Row],[Ticker]]&amp;"2]"), INDIRECT("TabReg["&amp;TabCalc[[#This Row],[Ticker]]&amp;"2]")&lt;0))</f>
        <v>-38.812600000000003</v>
      </c>
      <c r="CN73" s="167" cm="1">
        <f t="array" aca="1" ref="CN73" ca="1">IFERROR(_xlfn.XLOOKUP(TabCalc[[#This Row],[BS2P]],INDIRECT("TabReg["&amp;TabCalc[[#This Row],[Ticker]]&amp;"2]"),INDIRECT("TabReg["&amp;TabCalc[[#This Row],[Ticker]]&amp;"]")),0)</f>
        <v>45491</v>
      </c>
      <c r="CO73" s="178" cm="1">
        <f t="array" aca="1" ref="CO73" ca="1">IFERROR(_xlfn.XLOOKUP(TabCalc[[#This Row],[BS2P]],INDIRECT("TabReg["&amp;TabCalc[[#This Row],[Ticker]]&amp;"2]"),INDIRECT("TabReg["&amp;TabCalc[[#This Row],[Ticker]]&amp;"1]")),0)</f>
        <v>200</v>
      </c>
      <c r="CP73" s="173">
        <f ca="1">_xlfn.MAXIFS(INDIRECT("TabReg["&amp;TabCalc[[#This Row],[Ticker]]&amp;"2]"), INDIRECT("TabReg["&amp;TabCalc[[#This Row],[Ticker]]&amp;"2]"), "&lt;" &amp; MAX(INDIRECT("TabReg["&amp;TabCalc[[#This Row],[Ticker]]&amp;"2]")))</f>
        <v>124.1</v>
      </c>
      <c r="CQ73" s="167" cm="1">
        <f t="array" aca="1" ref="CQ73" ca="1">IFERROR(_xlfn.XLOOKUP(TabCalc[[#This Row],[WB2P]],INDIRECT("TabReg["&amp;TabCalc[[#This Row],[Ticker]]&amp;"2]"),INDIRECT("TabReg["&amp;TabCalc[[#This Row],[Ticker]]&amp;"]")),0)</f>
        <v>45502</v>
      </c>
      <c r="CR73" s="178" cm="1">
        <f t="array" aca="1" ref="CR73" ca="1">IFERROR(_xlfn.XLOOKUP(TabCalc[[#This Row],[WB2P]],INDIRECT("TabReg["&amp;TabCalc[[#This Row],[Ticker]]&amp;"2]"),INDIRECT("TabReg["&amp;TabCalc[[#This Row],[Ticker]]&amp;"1]")),0)</f>
        <v>500</v>
      </c>
      <c r="CS73" s="173">
        <f ca="1">_xlfn.MINIFS(INDIRECT("TabReg["&amp;TabCalc[[#This Row],[Ticker]]&amp;"2]"), INDIRECT("TabReg["&amp;TabCalc[[#This Row],[Ticker]]&amp;"2]"), "&gt;" &amp; MIN(INDIRECT("TabReg["&amp;TabCalc[[#This Row],[Ticker]]&amp;"2]")))</f>
        <v>-121.66</v>
      </c>
      <c r="CT73" s="405">
        <f ca="1">IF(TabCalc[[#This Row],[M]]&lt;TabCalc[[#This Row],[L_Sp]],DesiredBuyGain/(TabCalc[[#This Row],[L_Sp]]-TabCalc[[#This Row],[M]]),0)</f>
        <v>51.355792933442892</v>
      </c>
      <c r="CU73" s="406">
        <f ca="1">IF(TabCalc[[#This Row],[ntoBuy]]*TabCalc[[#This Row],[M]]&lt;=0,0,TabCalc[[#This Row],[ntoBuy]]*TabCalc[[#This Row],[M]])</f>
        <v>1373.2539030402629</v>
      </c>
      <c r="CV73" s="406">
        <f ca="1">IF(TabCalc[[#This Row],[M]]&gt;ABS(TabCalc[[#This Row],[L_Bp]]),MIN(TabCalc[[#This Row],[NAfter]],DesiredSaleGain/(TabCalc[[#This Row],[M]]+TabCalc[[#This Row],[L_Bp]])),0)/TabCalc[[#This Row],[Scale]]</f>
        <v>0</v>
      </c>
      <c r="CW73" s="407">
        <f ca="1">TabCalc[[#This Row],[ntoSell]]*TabCalc[[#This Row],[M]]</f>
        <v>0</v>
      </c>
      <c r="CX73" s="400">
        <f ca="1">_xlfn.LET(_xlpm.nToSell,IF(TabCalc[[#This Row],[M]]-TabCalc[[#This Row],[A]]&lt;=0,"",INT(DesiredSaleGain/(TabCalc[[#This Row],[M]]-IF(TabCalc[[#This Row],[E]]&gt;0,0,TabCalc[[#This Row],[A]])))),IF(_xlpm.nToSell&lt;=TabCalc[[#This Row],[NAfter]],_xlpm.nToSell,0))</f>
        <v>0</v>
      </c>
      <c r="CY73" s="338">
        <f ca="1">IFERROR(TabCalc[[#This Row],[NMA]]*TabCalc[[#This Row],[M]],"")</f>
        <v>0</v>
      </c>
      <c r="CZ73" s="337" cm="1">
        <f t="array" aca="1" ref="CZ73" ca="1">_xlfn.IFS(TabCalc[[#This Row],[M]]&gt;= TabCalc[[#This Row],[L_Sp]],(TabCalc[[#This Row],[M]]-TabCalc[[#This Row],[A]])*TabCalc[[#This Row],[NAfter]]*TabCalc[[#This Row],[Scale]],           TabCalc[[#This Row],[M]]&lt; TabCalc[[#This Row],[L_Sp]],(TabCalc[[#This Row],[M]]-TabCalc[[#This Row],[A]])*TabCalc[[#This Row],[NAfter]]*TabCalc[[#This Row],[Scale]],               TRUE,"")</f>
        <v>-174970.57550000001</v>
      </c>
      <c r="DA73" s="90">
        <f ca="1">IFERROR((TabCalc[[#This Row],[M]]+TabCalc[[#This Row],[L_Bp]])/ABS(TabCalc[[#This Row],[L_Bp]])/(TODAY()-TabCalc[[#This Row],[L_Bdate]])*360,"")</f>
        <v>-0.40425072426608433</v>
      </c>
      <c r="DB73" s="312">
        <f ca="1">MEDIAN(DataShift!F772:Z772)</f>
        <v>4.6969999999999998E-3</v>
      </c>
      <c r="DC73" s="312" t="e" cm="1">
        <f t="array" aca="1" ref="DC7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3" s="88" t="s">
        <v>69</v>
      </c>
      <c r="DN73" s="82">
        <v>1790</v>
      </c>
      <c r="DO73" s="317">
        <v>-104.53</v>
      </c>
    </row>
    <row r="74" spans="1:119">
      <c r="A74" s="120" t="str">
        <f ca="1">_xlfn.XLOOKUP(TabCalc[[#This Row],[Ticker]],[1]!RTData[Ticker symbol],[1]!RTData[Currency])</f>
        <v>USD</v>
      </c>
      <c r="B74" s="120">
        <f ca="1">IF(TabCalc[[#This Row],[Cur]]="GBP",0.01,1)</f>
        <v>1</v>
      </c>
      <c r="C74" s="82">
        <f ca="1">_xlfn.XLOOKUP(TabCalc[[#This Row],[Ticker]],DM$3:DM$96,DN$3:DN$96)</f>
        <v>30000</v>
      </c>
      <c r="D74" s="1254">
        <f ca="1">_xlfn.XLOOKUP(TabCalc[[#This Row],[Ticker]],DM$3:DM$96,DO$3:DO$96)</f>
        <v>-7.04</v>
      </c>
      <c r="E74" s="121">
        <f t="shared" ca="1" si="4"/>
        <v>-211200</v>
      </c>
      <c r="F74" s="82">
        <f ca="1">TabCalc[[#This Row],[NAfter]]*TabCalc[[#This Row],[M]]*TabCalc[[#This Row],[Scale]]</f>
        <v>231600</v>
      </c>
      <c r="G74" s="82">
        <f ca="1">IFERROR(TabCalc[[#This Row],[SB]]-TabCalc[[#This Row],[SST]],TabCalc[[#This Row],[SB]])</f>
        <v>120000</v>
      </c>
      <c r="H74" s="535" t="str">
        <f ca="1">[1]!RTData[[#This Row],[Ticker symbol]]</f>
        <v>BLNK</v>
      </c>
      <c r="I74" s="385">
        <f ca="1">[1]!RTData[[#This Row],[M-Price]]</f>
        <v>1.93</v>
      </c>
      <c r="J74" s="384">
        <v>2.1967833333333333</v>
      </c>
      <c r="K74" s="383">
        <f>[1]!RTData[[#This Row],[1YT]]</f>
        <v>2.4</v>
      </c>
      <c r="L74" s="384">
        <f ca="1">IF(OR(TabCalc[[#This Row],[NAfter]]=0,TabCalc[[#This Row],[EfCost]]&gt;0),0,TabCalc[[#This Row],[EfCost]]/TabCalc[[#This Row],[NAfter]]/TabCalc[[#This Row],[Scale]])</f>
        <v>-3.6982574166666669</v>
      </c>
      <c r="M74" s="744">
        <f ca="1">[1]!RTData[[#This Row],[Change%]]</f>
        <v>7.8212000000000004E-2</v>
      </c>
      <c r="N74" s="1172">
        <v>0.5</v>
      </c>
      <c r="O74" s="966">
        <f>TabCalc[[#This Row],[Up20]]-1+TabCalc[[#This Row],[Up20]]</f>
        <v>0</v>
      </c>
      <c r="P74" s="966">
        <f>TabCalc[[#This Row],[Up20]]-TabCalc[[#This Row],[Up150]]</f>
        <v>1.4084507042253502E-2</v>
      </c>
      <c r="Q74" s="966">
        <v>0.4859154929577465</v>
      </c>
      <c r="R74" s="966">
        <f>TabCalc[[#This Row],[Up150]]-1+TabCalc[[#This Row],[Up150]]</f>
        <v>-2.8169014084507005E-2</v>
      </c>
      <c r="S74" s="966">
        <f ca="1">IFERROR(SUMPRODUCT(DataShift!F1566:Z1566,DataShift!AB773:AV773)/SQRT(SUMPRODUCT(DataShift!F1566:Z1566,DataShift!F1566:Z1566)*SUMPRODUCT(DataShift!AB773:AV773,DataShift!AB773:AV773)),0)</f>
        <v>-0.75777301865703695</v>
      </c>
      <c r="T74" s="966">
        <f ca="1">IFERROR(SUMPRODUCT(DataShift!F1566:Z1566,DataShift!F773:Z773)/SQRT(SUMPRODUCT(DataShift!F1566:Z1566,DataShift!F1566:Z1566)*SUMPRODUCT(DataShift!F773:Z773,DataShift!F773:Z773)),0)</f>
        <v>-0.13100031836150908</v>
      </c>
      <c r="U74" s="1107">
        <v>40000</v>
      </c>
      <c r="V74" s="1107">
        <v>80000</v>
      </c>
      <c r="W74" s="1107">
        <v>0</v>
      </c>
      <c r="X74" s="966" t="str">
        <f ca="1">IF(TabCalc[[#This Row],[EfCost]]+TabCalc[[#This Row],[M_V]]&lt;TabCalc[[#This Row],[NoT_GL]],"Pile","")</f>
        <v>Pile</v>
      </c>
      <c r="Y7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4" s="213">
        <f ca="1">MIN(TabCalc[[#This Row],[L_Bn]],TabCalc[[#This Row],[NAfter]])*(TabCalc[[#This Row],[M]]+TabCalc[[#This Row],[L_Bp]])*TabCalc[[#This Row],[Scale]]</f>
        <v>36720</v>
      </c>
      <c r="AA74" s="210" cm="1">
        <f t="array" aca="1" ref="AA74" ca="1">_xlfn.XLOOKUP(TabCalc[[#This Row],[L_Bp]],INDIRECT("TabReg["&amp;TabCalc[[#This Row],[Ticker]]&amp;"2]"),INDIRECT("TabReg["&amp;TabCalc[[#This Row],[Ticker]]&amp;"]"))</f>
        <v>45834</v>
      </c>
      <c r="AB74" s="181" cm="1">
        <f t="array" aca="1" ref="AB74" ca="1">_xlfn.XLOOKUP(TabCalc[[#This Row],[L_Bp]],INDIRECT("TabReg["&amp;TabCalc[[#This Row],[Ticker]]&amp;"2]"),INDIRECT("TabReg["&amp;TabCalc[[#This Row],[Ticker]]&amp;"1]"))</f>
        <v>40000</v>
      </c>
      <c r="AC74" s="192" cm="1">
        <f t="array" aca="1" ref="AC74" ca="1">IFERROR(INDEX(INDIRECT("TabReg["&amp;TabCalc[[#This Row],[Ticker]]&amp;"2]"),    _xlfn.XMATCH(    MAX(    _xlfn._xlws.FILTER(INDIRECT("TabReg["&amp;TabCalc[[#This Row],[Ticker]]&amp;"]"), INDIRECT("TabReg["&amp;TabCalc[[#This Row],[Ticker]]&amp;"2]")&lt;0)     ), INDIRECT("TabReg["&amp;TabCalc[[#This Row],[Ticker]]&amp;"]"),      0)), "")</f>
        <v>-1.012</v>
      </c>
      <c r="AD74" s="213">
        <f ca="1">IFERROR(MIN(TabCalc[[#This Row],[L_B1n]],TabCalc[[#This Row],[NAfter]])*(TabCalc[[#This Row],[M]]+TabCalc[[#This Row],[L_B1p]])*TabCalc[[#This Row],[Scale]],"")</f>
        <v>-200.00000000000017</v>
      </c>
      <c r="AE74" s="210" cm="1">
        <f t="array" aca="1" ref="AE7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45572</v>
      </c>
      <c r="AF74" s="181" cm="1">
        <f t="array" aca="1" ref="AF74" ca="1">IFERROR(_xlfn.XLOOKUP(TabCalc[[#This Row],[L_B1D]],INDIRECT("TabReg["&amp;TabCalc[[#This Row],[Ticker]]&amp;"]"),INDIRECT("TabReg["&amp;TabCalc[[#This Row],[Ticker]]&amp;"1]")),0)</f>
        <v>20000</v>
      </c>
      <c r="AG74" s="192" cm="1">
        <f t="array" aca="1" ref="AG74" ca="1">IFERROR(_xlfn.XLOOKUP(TabCalc[[#This Row],[L_B1D]],INDIRECT("TabReg["&amp;TabCalc[[#This Row],[Ticker]]&amp;"]"),INDIRECT("TabReg["&amp;TabCalc[[#This Row],[Ticker]]&amp;"2]")),0)</f>
        <v>-1.94</v>
      </c>
      <c r="AH74" s="302">
        <f ca="1">IFERROR(TabCalc[[#This Row],[L_Sn]]*(TabCalc[[#This Row],[L_Sp]]-TabCalc[[#This Row],[M]])*TabCalc[[#This Row],[Scale]],"")</f>
        <v>-240.00000000000023</v>
      </c>
      <c r="AI74" s="210" cm="1">
        <f t="array" aca="1" ref="AI74" ca="1">IFERROR(_xlfn.XLOOKUP(TabCalc[[#This Row],[L_Sp]],INDIRECT("TabReg["&amp;TabCalc[[#This Row],[Ticker]]&amp;"2]"),INDIRECT("TabReg["&amp;TabCalc[[#This Row],[Ticker]]&amp;"]")),0)</f>
        <v>45946</v>
      </c>
      <c r="AJ74" s="181" cm="1">
        <f t="array" aca="1" ref="AJ74" ca="1">IFERROR(_xlfn.XLOOKUP(TabCalc[[#This Row],[L_Sp]],INDIRECT("TabReg["&amp;TabCalc[[#This Row],[Ticker]]&amp;"2]"),INDIRECT("TabReg["&amp;TabCalc[[#This Row],[Ticker]]&amp;"1]")),0)</f>
        <v>12000</v>
      </c>
      <c r="AK74" s="192" cm="1">
        <f t="array" aca="1" ref="AK74" ca="1">IFERROR(INDEX(INDIRECT("TabReg["&amp;TabCalc[[#This Row],[Ticker]]&amp;"2]"), _xlfn.XMATCH(MAX(_xlfn._xlws.FILTER(INDIRECT("TabReg["&amp;TabCalc[[#This Row],[Ticker]]&amp;"]"), INDIRECT("TabReg["&amp;TabCalc[[#This Row],[Ticker]]&amp;"2]")&gt;0)), INDIRECT("TabReg["&amp;TabCalc[[#This Row],[Ticker]]&amp;"]"), 0)), 0)</f>
        <v>1.91</v>
      </c>
      <c r="AL74" s="214">
        <f ca="1">IFERROR(TabCalc[[#This Row],[L_S1n]]*(TabCalc[[#This Row],[L_S1p]]-TabCalc[[#This Row],[M]])*TabCalc[[#This Row],[Scale]],0)</f>
        <v>-11479.999999999998</v>
      </c>
      <c r="AM74" s="210" cm="1">
        <f t="array" aca="1" ref="AM7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N74" s="181" cm="1">
        <f t="array" aca="1" ref="AN74" ca="1">IFERROR(_xlfn.XLOOKUP(TabCalc[[#This Row],[L_S1D]],INDIRECT("TabReg["&amp;TabCalc[[#This Row],[Ticker]]&amp;"]"),INDIRECT("TabReg["&amp;TabCalc[[#This Row],[Ticker]]&amp;"1]")),0)</f>
        <v>28000</v>
      </c>
      <c r="AO74" s="384" cm="1">
        <f t="array" aca="1" ref="AO74" ca="1">IFERROR(_xlfn.XLOOKUP(TabCalc[[#This Row],[L_S1D]],INDIRECT("TabReg["&amp;TabCalc[[#This Row],[Ticker]]&amp;"]"),INDIRECT("TabReg["&amp;TabCalc[[#This Row],[Ticker]]&amp;"2]")),0)</f>
        <v>1.52</v>
      </c>
      <c r="AP74" s="336">
        <f ca="1">_xlfn.LET(_xlpm.MVOpen,[1]!RTData[[#This Row],[Open]]*TabCalc[[#This Row],[NAfter]],_xlpm.MVNow,TabCalc[[#This Row],[M]]*TabCalc[[#This Row],[NAfter]],_xlpm.MVNow-_xlpm.MVOpen)*TabCalc[[#This Row],[Scale]]</f>
        <v>12000</v>
      </c>
      <c r="AQ74" s="336">
        <f ca="1">_xlfn.LET(_xlpm.MVToday,DataShift!AV574,         _xlpm.MVY,DataShift!AU574,        _xlpm.MVYY, DataShift!AT574,                                IF(_xlpm.MVToday=_xlpm.MVY,_xlpm.MVY-_xlpm.MVYY,_xlpm.MVToday-_xlpm.MVY))</f>
        <v>0</v>
      </c>
      <c r="AR74" s="336">
        <f ca="1">_xlfn.LET(_xlpm.MVToday,DataShift!AV574,         _xlpm.MVY,DataShift!AU574,        _xlpm.MVYY, DataShift!AT574,         _xlpm.MVYYY, DataShift!AS574,                      IF(_xlpm.MVToday=_xlpm.MVY,      _xlpm.MVYY-_xlpm.MVYYY,          _xlpm.MVY-_xlpm.MVYY))</f>
        <v>0</v>
      </c>
      <c r="AS74" s="1078">
        <f ca="1">TabCalc[[#This Row],[Y]]/TabCalc[[#This Row],[M]]</f>
        <v>1.2435233160621761</v>
      </c>
      <c r="AT74" s="299" t="str" cm="1">
        <f t="array" aca="1" ref="AT74" ca="1">IFERROR(_xlfn.IFS(          TabCalc[[#This Row],[E]]&gt;0, "Free Trade",      TabCalc[[#This Row],[A]]&lt;MIN(TabCalc[[#This Row],[L_Sp]],TabCalc[[#This Row],[M]]), "Buy",            TabCalc[[#This Row],[M]]&lt;TabCalc[[#This Row],[L_Sp]],       "Refill",       TabCalc[[#This Row],[M]]&gt;TabCalc[[#This Row],[L_Sp]],"S_more"),"")</f>
        <v>S_more</v>
      </c>
      <c r="AU74" s="299" t="str">
        <f ca="1">IF(           AND(TabCalc[[#This Row],[E]]&lt;=0,          TabCalc[[#This Row],[A]]&gt;MIN(TabCalc[[#This Row],[M]],TabCalc[[#This Row],[L_Sp]]),             TabCalc[[#This Row],[L_Sp]]&lt;=TabCalc[[#This Row],[M]]),                       "S_more","")</f>
        <v>S_more</v>
      </c>
      <c r="AV74" s="82" t="str" cm="1">
        <f t="array" aca="1" ref="AV74" ca="1">IFERROR(_xlfn.IFS(TabCalc[[#This Row],[E]]&gt;0,"Free trade",                 TabCalc[[#This Row],[A]]&lt;MAX(ABS(TabCalc[[#This Row],[L_Bp]]),TabCalc[[#This Row],[A]]),"Sell",             TabCalc[[#This Row],[M]]&gt;ABS(TabCalc[[#This Row],[L_Bp]]),"Resell",             TabCalc[[#This Row],[M]]&lt;ABS(TabCalc[[#This Row],[L_Bp]]),"B_more"),"")</f>
        <v>Resell</v>
      </c>
      <c r="AW74" s="82">
        <f ca="1">TabCalc[[#This Row],[NAfter]]-TabCalc[[#This Row],[Nbegin]]</f>
        <v>90000</v>
      </c>
      <c r="AX74" s="307">
        <f ca="1">IFERROR((TabCalc[[#This Row],[M]]-TabCalc[[#This Row],[Y]])*(TabCalc[[#This Row],[M]]-TabCalc[[#This Row],[Y]])*(TabCalc[[#This Row],[M]]-TabCalc[[#This Row],[Y]])/(TabCalc[[#This Row],[Y]]*TabCalc[[#This Row],[M]]),"")</f>
        <v>-2.2414291882556128E-2</v>
      </c>
      <c r="AY74" s="82">
        <f t="shared" ca="1" si="5"/>
        <v>0</v>
      </c>
      <c r="AZ74" s="90">
        <f ca="1">[1]!RTData[[#This Row],[V/VA]]</f>
        <v>0.67847351121032862</v>
      </c>
      <c r="BA74" s="90" t="str" cm="1">
        <f t="array" aca="1" ref="BA74" ca="1">IFERROR(_xlfn.IFS(TabCalc[[#This Row],[Cur]]="USD",Timer!F$27,TabCalc[[#This Row],[Cur]]="EUR",Timer!F$18,TabCalc[[#This Row],[Cur]]="GBP",Timer!F$12,TabCalc[[#This Row],[Cur]]="CAD",Timer!F$27,TabCalc[[#This Row],[Cur]]="JPY",Timer!F$31,TabCalc[[#This Row],[Cur]]="CHF",Timer!F$18),"Timing")</f>
        <v>None-Working Day</v>
      </c>
      <c r="BB74" s="90">
        <f ca="1">IF(ISNUMBER(TabCalc[[#This Row],[TimeEX]]),TabCalc[[#This Row],[V/VA]]/TabCalc[[#This Row],[TimeEX]],TabCalc[[#This Row],[V/VA]])</f>
        <v>0.67847351121032862</v>
      </c>
      <c r="BC74" s="87" cm="1">
        <f t="array" aca="1" ref="BC74" ca="1">INDEX(TabReg[], 1, _xlfn.XMATCH(TabCalc[[#This Row],[Ticker]]&amp;1, TabReg[#Headers], 0))</f>
        <v>30000</v>
      </c>
      <c r="BD74" s="161">
        <f ca="1">TabCalc[[#This Row],[Nbegin]]*TabCalc[[#This Row],[M]]*TabCalc[[#This Row],[Scale]]+TabCalc[[#This Row],[ValueBegin]]</f>
        <v>-153300</v>
      </c>
      <c r="BE74" s="336" t="str" cm="1">
        <f t="array" aca="1" ref="BE74" ca="1">_xlfn.IFS(TabCalc[[#This Row],[Cost+Gain]]&gt;0,"Free",             TabCalc[[#This Row],[GL]]&gt;0,"Gainer",                TRUE,"Looser")</f>
        <v>Looser</v>
      </c>
      <c r="BF74" s="161">
        <f ca="1">TabCalc[[#This Row],[Tot_Paid]]-TabCalc[[#This Row],[ValueBegin]]</f>
        <v>-478582.33322999999</v>
      </c>
      <c r="BG74" s="337">
        <f ca="1">IF(TabCalc[[#This Row],[EfCost]]&gt;TabCalc[[#This Row],[ValueBegin]],       0,        TabCalc[[#This Row],[EfCost]]-TabCalc[[#This Row],[ValueBegin]]*(1+Commission))</f>
        <v>-232041.77000000002</v>
      </c>
      <c r="BH74" s="338">
        <f ca="1">TabCalc[[#This Row],[M_V]]+TabCalc[[#This Row],[ValueBegin]]</f>
        <v>20400</v>
      </c>
      <c r="BI74" s="161" cm="1">
        <f t="array" aca="1" ref="BI74" ca="1">SUMPRODUCT(_xlfn._xlws.FILTER(INDIRECT("TabReg["&amp;TabCalc[[#This Row],[Ticker]]&amp;"1]") * INDIRECT("TabReg["&amp;TabCalc[[#This Row],[Ticker]]&amp;"2]"), INDIRECT("TabReg["&amp;TabCalc[[#This Row],[Ticker]]&amp;"2]")&lt;0))*(1+Commission)*TabCalc[[#This Row],[Scale]]</f>
        <v>-689782.33322999999</v>
      </c>
      <c r="BJ74" s="161" cm="1">
        <f t="array" aca="1" ref="BJ74" ca="1">SUMPRODUCT(IF(INDIRECT("TabReg["&amp;TabCalc[[#This Row],[Ticker]]&amp;"2]") ="", 0, INDIRECT("TabReg["&amp;TabCalc[[#This Row],[Ticker]]&amp;"1]") * INDIRECT("TabReg["&amp;TabCalc[[#This Row],[Ticker]]&amp;"2]") ))*TabCalc[[#This Row],[Scale]]</f>
        <v>-443790.89</v>
      </c>
      <c r="BK74" s="161" cm="1">
        <f t="array" aca="1" ref="BK7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243567.73308399998</v>
      </c>
      <c r="BL74" s="161">
        <f ca="1">TabCalc[[#This Row],[M_V]]+TabCalc[[#This Row],[EfCost]]</f>
        <v>-212190.89</v>
      </c>
      <c r="BM74" s="161">
        <f ca="1">IF(        OR( TabCalc[[#This Row],[GL]]&gt;ABS(TabCalc[[#This Row],[EfCost]]),TabCalc[[#This Row],[NAfter]]=0),             TabCalc[[#This Row],[GL]],     0)</f>
        <v>0</v>
      </c>
      <c r="BN74" s="161" cm="1">
        <f t="array" aca="1" ref="BN74" ca="1">SUMPRODUCT(_xlfn._xlws.FILTER(IF(INDIRECT("TabReg["&amp;TabCalc[[#This Row],[Ticker]]&amp;"2]") ="", 0, INDIRECT("TabReg["&amp;TabCalc[[#This Row],[Ticker]]&amp;"1]")  ),  INDIRECT("TabReg["&amp;TabCalc[[#This Row],[Ticker]]&amp;"2]") &lt; 0))</f>
        <v>215000</v>
      </c>
      <c r="BO74" s="161">
        <f ca="1">TabCalc[[#This Row],[SB]]-TabCalc[[#This Row],[Nbegin]]</f>
        <v>185000</v>
      </c>
      <c r="BP74" s="161" cm="1">
        <f t="array" aca="1" ref="BP74" ca="1">IFERROR(SUMPRODUCT(_xlfn._xlws.FILTER(IF(INDIRECT("TabReg["&amp;TabCalc[[#This Row],[Ticker]]&amp;"2]") ="", 0, INDIRECT("TabReg["&amp;TabCalc[[#This Row],[Ticker]]&amp;"1]")  ),  INDIRECT("TabReg["&amp;TabCalc[[#This Row],[Ticker]]&amp;"2]") &gt; 0)),0)</f>
        <v>95000</v>
      </c>
      <c r="BQ74"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4" s="176" t="str">
        <f ca="1">IF(TabCalc[[#This Row],[EfCost]]+TabCalc[[#This Row],[M_V]]&lt;TabCalc[[#This Row],[NoT_GL]],"Pile","")</f>
        <v>Pile</v>
      </c>
      <c r="BS74" s="167">
        <f ca="1">[1]!RTData[[#This Row],[Last trade time]]</f>
        <v>45954.998928159373</v>
      </c>
      <c r="BT74" s="177">
        <f ca="1">(TabCalc[[#This Row],[ValueBegin]]+(TabCalc[[#This Row],[M]]-TabCalc[[#This Row],[A]])*TabCalc[[#This Row],[NAfter]])*TabCalc[[#This Row],[Scale]]</f>
        <v>-243214</v>
      </c>
      <c r="BU74" s="189" cm="1">
        <f t="array" aca="1" ref="BU74" ca="1">_xlfn.XLOOKUP(TabCalc[[#This Row],[Ticker]],TabReg[[#Headers],[AAPL]:[UnknownX28]],Reg!B$72:KF$72)+3</f>
        <v>16</v>
      </c>
      <c r="BV74" s="190" cm="1">
        <f t="array" aca="1" ref="BV74" ca="1">_xlfn.XLOOKUP(TabCalc[[#This Row],[Ticker]],TabReg[[#Headers],[AAPL]:[UnknownX28]],Reg!B$73:KF$73)+2</f>
        <v>219</v>
      </c>
      <c r="BW74" s="191">
        <f ca="1">IFERROR(MAX(TabCalc[[#This Row],[Max_SD]],TabCalc[[#This Row],[Max_PD]]),0)</f>
        <v>45946</v>
      </c>
      <c r="BX74" s="191" t="str" cm="1">
        <f t="array" aca="1" ref="BX74" ca="1">_xlfn.IFS(TabCalc[[#This Row],[L_TP]]&lt;0,"Purchase",TabCalc[[#This Row],[L_TP]]&gt;0,"Sale")</f>
        <v>Sale</v>
      </c>
      <c r="BY74" s="190" cm="1">
        <f t="array" aca="1" ref="BY74" ca="1">INDEX(Reg!$A$1:$KF$73,TabCalc[[#This Row],[L_I1]],TabCalc[[#This Row],[L_I2]])</f>
        <v>12000</v>
      </c>
      <c r="BZ74" s="192" cm="1">
        <f t="array" aca="1" ref="BZ74" ca="1">INDEX(Reg!$A$1:$KF$73,TabCalc[[#This Row],[L_I1]],TabCalc[[#This Row],[L_I2]]+1)</f>
        <v>1.91</v>
      </c>
      <c r="CA74" s="161">
        <f ca="1">TabCalc[[#This Row],[NAfter]]*(TabCalc[[#This Row],[M]]-IF(TabCalc[[#This Row],[E]]&gt;0,0,TabCalc[[#This Row],[A]]))</f>
        <v>-32014.000000000004</v>
      </c>
      <c r="CB74" s="167" cm="1">
        <f t="array" aca="1" ref="CB74" ca="1">IFERROR(MIN(_xlfn._xlws.FILTER(INDIRECT("TabReg["&amp;TabCalc[[#This Row],[Ticker]]&amp;"]"), INDIRECT("TabReg["&amp;TabCalc[[#This Row],[Ticker]]&amp;"2]")&gt;0)),0)</f>
        <v>45365</v>
      </c>
      <c r="CC74" s="178" cm="1">
        <f t="array" aca="1" ref="CC74" ca="1">IFERROR(MIN(_xlfn._xlws.FILTER(INDIRECT("TabReg["&amp;TabCalc[[#This Row],[Ticker]]&amp;"1]"), INDIRECT("TabReg["&amp;TabCalc[[#This Row],[Ticker]]&amp;"2]")&gt;0)),0)</f>
        <v>12000</v>
      </c>
      <c r="CD74" s="173" cm="1">
        <f t="array" aca="1" ref="CD74" ca="1">IFERROR(MIN(_xlfn._xlws.FILTER(INDIRECT("TabReg["&amp;TabCalc[[#This Row],[Ticker]]&amp;"2]"), INDIRECT("TabReg["&amp;TabCalc[[#This Row],[Ticker]]&amp;"2]")&gt;0)),0)</f>
        <v>1.52</v>
      </c>
      <c r="CE74" s="167" cm="1">
        <f t="array" aca="1" ref="CE74" ca="1">IFERROR(MAX(_xlfn._xlws.FILTER(INDIRECT("TabReg["&amp;TabCalc[[#This Row],[Ticker]]&amp;"]"), INDIRECT("TabReg["&amp;TabCalc[[#This Row],[Ticker]]&amp;"2]")&gt;0)),0)</f>
        <v>45946</v>
      </c>
      <c r="CF74" s="178" cm="1">
        <f t="array" aca="1" ref="CF74" ca="1">IFERROR(MAX(_xlfn._xlws.FILTER(INDIRECT("TabReg["&amp;TabCalc[[#This Row],[Ticker]]&amp;"1]"), INDIRECT("TabReg["&amp;TabCalc[[#This Row],[Ticker]]&amp;"2]")&gt;0)),0)</f>
        <v>28000</v>
      </c>
      <c r="CG74" s="173" cm="1">
        <f t="array" aca="1" ref="CG74" ca="1">IFERROR(MAX(_xlfn._xlws.FILTER(INDIRECT("TabReg["&amp;TabCalc[[#This Row],[Ticker]]&amp;"2]"), INDIRECT("TabReg["&amp;TabCalc[[#This Row],[Ticker]]&amp;"2]")&gt;0)),0)</f>
        <v>3.32</v>
      </c>
      <c r="CH74" s="167" cm="1">
        <f t="array" aca="1" ref="CH74" ca="1">MIN(_xlfn._xlws.FILTER(INDIRECT("TabReg["&amp;TabCalc[[#This Row],[Ticker]]&amp;"]"), INDIRECT("TabReg["&amp;TabCalc[[#This Row],[Ticker]]&amp;"2]")&lt;0))</f>
        <v>40544</v>
      </c>
      <c r="CI74" s="177" cm="1">
        <f t="array" aca="1" ref="CI74" ca="1">MIN(_xlfn._xlws.FILTER(INDIRECT("TabReg["&amp;TabCalc[[#This Row],[Ticker]]&amp;"1]"), INDIRECT("TabReg["&amp;TabCalc[[#This Row],[Ticker]]&amp;"2]")&lt;0))</f>
        <v>15000</v>
      </c>
      <c r="CJ74" s="173" cm="1">
        <f t="array" aca="1" ref="CJ74" ca="1">MIN(_xlfn._xlws.FILTER(INDIRECT("TabReg["&amp;TabCalc[[#This Row],[Ticker]]&amp;"2]"), INDIRECT("TabReg["&amp;TabCalc[[#This Row],[Ticker]]&amp;"2]")&lt;0))</f>
        <v>-7.04</v>
      </c>
      <c r="CK74" s="167" cm="1">
        <f t="array" aca="1" ref="CK74" ca="1">MAX(_xlfn._xlws.FILTER(INDIRECT("TabReg["&amp;TabCalc[[#This Row],[Ticker]]&amp;"]"), INDIRECT("TabReg["&amp;TabCalc[[#This Row],[Ticker]]&amp;"2]")&lt;0))</f>
        <v>45834</v>
      </c>
      <c r="CL74" s="177" cm="1">
        <f t="array" aca="1" ref="CL74" ca="1">MAX(_xlfn._xlws.FILTER(INDIRECT("TabReg["&amp;TabCalc[[#This Row],[Ticker]]&amp;"1]"), INDIRECT("TabReg["&amp;TabCalc[[#This Row],[Ticker]]&amp;"2]")&lt;0))</f>
        <v>40000</v>
      </c>
      <c r="CM74" s="173" cm="1">
        <f t="array" aca="1" ref="CM74" ca="1">MAX(_xlfn._xlws.FILTER(INDIRECT("TabReg["&amp;TabCalc[[#This Row],[Ticker]]&amp;"2]"), INDIRECT("TabReg["&amp;TabCalc[[#This Row],[Ticker]]&amp;"2]")&lt;0))</f>
        <v>-1.012</v>
      </c>
      <c r="CN74" s="167" cm="1">
        <f t="array" aca="1" ref="CN74" ca="1">IFERROR(_xlfn.XLOOKUP(TabCalc[[#This Row],[BS2P]],INDIRECT("TabReg["&amp;TabCalc[[#This Row],[Ticker]]&amp;"2]"),INDIRECT("TabReg["&amp;TabCalc[[#This Row],[Ticker]]&amp;"]")),0)</f>
        <v>45365</v>
      </c>
      <c r="CO74" s="178" cm="1">
        <f t="array" aca="1" ref="CO74" ca="1">IFERROR(_xlfn.XLOOKUP(TabCalc[[#This Row],[BS2P]],INDIRECT("TabReg["&amp;TabCalc[[#This Row],[Ticker]]&amp;"2]"),INDIRECT("TabReg["&amp;TabCalc[[#This Row],[Ticker]]&amp;"1]")),0)</f>
        <v>20000</v>
      </c>
      <c r="CP74" s="173">
        <f ca="1">_xlfn.MAXIFS(INDIRECT("TabReg["&amp;TabCalc[[#This Row],[Ticker]]&amp;"2]"), INDIRECT("TabReg["&amp;TabCalc[[#This Row],[Ticker]]&amp;"2]"), "&lt;" &amp; MAX(INDIRECT("TabReg["&amp;TabCalc[[#This Row],[Ticker]]&amp;"2]")))</f>
        <v>3.2706580000000001</v>
      </c>
      <c r="CQ74" s="167" cm="1">
        <f t="array" aca="1" ref="CQ74" ca="1">IFERROR(_xlfn.XLOOKUP(TabCalc[[#This Row],[WB2P]],INDIRECT("TabReg["&amp;TabCalc[[#This Row],[Ticker]]&amp;"2]"),INDIRECT("TabReg["&amp;TabCalc[[#This Row],[Ticker]]&amp;"]")),0)</f>
        <v>40544</v>
      </c>
      <c r="CR74" s="178" cm="1">
        <f t="array" aca="1" ref="CR74" ca="1">IFERROR(_xlfn.XLOOKUP(TabCalc[[#This Row],[WB2P]],INDIRECT("TabReg["&amp;TabCalc[[#This Row],[Ticker]]&amp;"2]"),INDIRECT("TabReg["&amp;TabCalc[[#This Row],[Ticker]]&amp;"1]")),0)</f>
        <v>30000</v>
      </c>
      <c r="CS74" s="173">
        <f ca="1">_xlfn.MINIFS(INDIRECT("TabReg["&amp;TabCalc[[#This Row],[Ticker]]&amp;"2]"), INDIRECT("TabReg["&amp;TabCalc[[#This Row],[Ticker]]&amp;"2]"), "&gt;" &amp; MIN(INDIRECT("TabReg["&amp;TabCalc[[#This Row],[Ticker]]&amp;"2]")))</f>
        <v>-3.4309850000000002</v>
      </c>
      <c r="CT74" s="405">
        <f ca="1">IF(TabCalc[[#This Row],[M]]&lt;TabCalc[[#This Row],[L_Sp]],DesiredBuyGain/(TabCalc[[#This Row],[L_Sp]]-TabCalc[[#This Row],[M]]),0)</f>
        <v>0</v>
      </c>
      <c r="CU74" s="406">
        <f ca="1">IF(TabCalc[[#This Row],[ntoBuy]]*TabCalc[[#This Row],[M]]&lt;=0,0,TabCalc[[#This Row],[ntoBuy]]*TabCalc[[#This Row],[M]])</f>
        <v>0</v>
      </c>
      <c r="CV74" s="406">
        <f ca="1">IF(TabCalc[[#This Row],[M]]&gt;ABS(TabCalc[[#This Row],[L_Bp]]),MIN(TabCalc[[#This Row],[NAfter]],DesiredSaleGain/(TabCalc[[#This Row],[M]]+TabCalc[[#This Row],[L_Bp]])),0)/TabCalc[[#This Row],[Scale]]</f>
        <v>5446.6230936819175</v>
      </c>
      <c r="CW74" s="407">
        <f ca="1">TabCalc[[#This Row],[ntoSell]]*TabCalc[[#This Row],[M]]</f>
        <v>10511.9825708061</v>
      </c>
      <c r="CX74" s="400">
        <f ca="1">_xlfn.LET(_xlpm.nToSell,IF(TabCalc[[#This Row],[M]]-TabCalc[[#This Row],[A]]&lt;=0,"",INT(DesiredSaleGain/(TabCalc[[#This Row],[M]]-IF(TabCalc[[#This Row],[E]]&gt;0,0,TabCalc[[#This Row],[A]])))),IF(_xlpm.nToSell&lt;=TabCalc[[#This Row],[NAfter]],_xlpm.nToSell,0))</f>
        <v>0</v>
      </c>
      <c r="CY74" s="338">
        <f ca="1">IFERROR(TabCalc[[#This Row],[NMA]]*TabCalc[[#This Row],[M]],"")</f>
        <v>0</v>
      </c>
      <c r="CZ74" s="337" cm="1">
        <f t="array" aca="1" ref="CZ74" ca="1">_xlfn.IFS(TabCalc[[#This Row],[M]]&gt;= TabCalc[[#This Row],[L_Sp]],(TabCalc[[#This Row],[M]]-TabCalc[[#This Row],[A]])*TabCalc[[#This Row],[NAfter]]*TabCalc[[#This Row],[Scale]],           TabCalc[[#This Row],[M]]&lt; TabCalc[[#This Row],[L_Sp]],(TabCalc[[#This Row],[M]]-TabCalc[[#This Row],[A]])*TabCalc[[#This Row],[NAfter]]*TabCalc[[#This Row],[Scale]],               TRUE,"")</f>
        <v>-32014.000000000004</v>
      </c>
      <c r="DA74" s="90">
        <f ca="1">IFERROR((TabCalc[[#This Row],[M]]+TabCalc[[#This Row],[L_Bp]])/ABS(TabCalc[[#This Row],[L_Bp]])/(TODAY()-TabCalc[[#This Row],[L_Bdate]])*360,"")</f>
        <v>2.6767316788699538</v>
      </c>
      <c r="DB74" s="312">
        <f ca="1">MEDIAN(DataShift!F773:Z773)</f>
        <v>4.8989999999999997E-3</v>
      </c>
      <c r="DC74" s="312" t="e" cm="1">
        <f t="array" aca="1" ref="DC7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4" s="88" t="s">
        <v>70</v>
      </c>
      <c r="DN74" s="81">
        <v>310</v>
      </c>
      <c r="DO74" s="317">
        <v>-358.7</v>
      </c>
    </row>
    <row r="75" spans="1:119">
      <c r="A75" s="120" t="str">
        <f ca="1">_xlfn.XLOOKUP(TabCalc[[#This Row],[Ticker]],[1]!RTData[Ticker symbol],[1]!RTData[Currency])</f>
        <v>EUR</v>
      </c>
      <c r="B75" s="121">
        <f ca="1">IF(TabCalc[[#This Row],[Cur]]="GBP",0.01,1)</f>
        <v>1</v>
      </c>
      <c r="C75" s="82">
        <f ca="1">_xlfn.XLOOKUP(TabCalc[[#This Row],[Ticker]],DM$3:DM$96,DN$3:DN$96)</f>
        <v>7300</v>
      </c>
      <c r="D75" s="1254">
        <f ca="1">_xlfn.XLOOKUP(TabCalc[[#This Row],[Ticker]],DM$3:DM$96,DO$3:DO$96)</f>
        <v>-13.68</v>
      </c>
      <c r="E75" s="121">
        <f t="shared" ca="1" si="4"/>
        <v>-99864</v>
      </c>
      <c r="F75" s="82">
        <f ca="1">TabCalc[[#This Row],[NAfter]]*TabCalc[[#This Row],[M]]*TabCalc[[#This Row],[Scale]]</f>
        <v>348392</v>
      </c>
      <c r="G75" s="82">
        <f ca="1">IFERROR(TabCalc[[#This Row],[SB]]-TabCalc[[#This Row],[SST]],TabCalc[[#This Row],[SB]])</f>
        <v>22000</v>
      </c>
      <c r="H75" s="535" t="str">
        <f ca="1">[1]!RTData[[#This Row],[Ticker symbol]]</f>
        <v>ENI</v>
      </c>
      <c r="I75" s="385">
        <f ca="1">[1]!RTData[[#This Row],[M-Price]]</f>
        <v>15.836</v>
      </c>
      <c r="J75" s="384">
        <v>14.811613636363637</v>
      </c>
      <c r="K75" s="383">
        <f>[1]!RTData[[#This Row],[1YT]]</f>
        <v>15.23</v>
      </c>
      <c r="L75" s="384">
        <f ca="1">IF(OR(TabCalc[[#This Row],[NAfter]]=0,TabCalc[[#This Row],[EfCost]]&gt;0),0,TabCalc[[#This Row],[EfCost]]/TabCalc[[#This Row],[NAfter]]/TabCalc[[#This Row],[Scale]])</f>
        <v>-14.368293818181815</v>
      </c>
      <c r="M75" s="744">
        <f ca="1">[1]!RTData[[#This Row],[Change%]]</f>
        <v>1.6040000000000002E-2</v>
      </c>
      <c r="N75" s="1172">
        <v>0.125</v>
      </c>
      <c r="O75" s="966">
        <f>TabCalc[[#This Row],[Up20]]-1+TabCalc[[#This Row],[Up20]]</f>
        <v>-0.75</v>
      </c>
      <c r="P75" s="966">
        <f>TabCalc[[#This Row],[Up20]]-TabCalc[[#This Row],[Up150]]</f>
        <v>-0.48419540229885061</v>
      </c>
      <c r="Q75" s="966">
        <v>0.60919540229885061</v>
      </c>
      <c r="R75" s="966">
        <f>TabCalc[[#This Row],[Up150]]-1+TabCalc[[#This Row],[Up150]]</f>
        <v>0.21839080459770122</v>
      </c>
      <c r="S75" s="966">
        <f ca="1">IFERROR(SUMPRODUCT(DataShift!F1567:Z1567,DataShift!AB774:AV774)/SQRT(SUMPRODUCT(DataShift!F1567:Z1567,DataShift!F1567:Z1567)*SUMPRODUCT(DataShift!AB774:AV774,DataShift!AB774:AV774)),0)</f>
        <v>-0.25002664144355752</v>
      </c>
      <c r="T75" s="966">
        <f ca="1">IFERROR(SUMPRODUCT(DataShift!F1567:Z1567,DataShift!F774:Z774)/SQRT(SUMPRODUCT(DataShift!F1567:Z1567,DataShift!F1567:Z1567)*SUMPRODUCT(DataShift!F774:Z774,DataShift!F774:Z774)),0)</f>
        <v>-0.25154730053205177</v>
      </c>
      <c r="U75" s="1107">
        <v>22000</v>
      </c>
      <c r="V75" s="1107">
        <v>0</v>
      </c>
      <c r="W75" s="1107">
        <v>0</v>
      </c>
      <c r="X75" s="966" t="str">
        <f ca="1">IF(TabCalc[[#This Row],[EfCost]]+TabCalc[[#This Row],[M_V]]&lt;TabCalc[[#This Row],[NoT_GL]],"Pile","")</f>
        <v/>
      </c>
      <c r="Y7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5" s="213">
        <f ca="1">MIN(TabCalc[[#This Row],[L_Bn]],TabCalc[[#This Row],[NAfter]])*(TabCalc[[#This Row],[M]]+TabCalc[[#This Row],[L_Bp]])*TabCalc[[#This Row],[Scale]]</f>
        <v>9669.6600000000108</v>
      </c>
      <c r="AA75" s="210" cm="1">
        <f t="array" aca="1" ref="AA75" ca="1">_xlfn.XLOOKUP(TabCalc[[#This Row],[L_Bp]],INDIRECT("TabReg["&amp;TabCalc[[#This Row],[Ticker]]&amp;"2]"),INDIRECT("TabReg["&amp;TabCalc[[#This Row],[Ticker]]&amp;"]"))</f>
        <v>45919</v>
      </c>
      <c r="AB75" s="181" cm="1">
        <f t="array" aca="1" ref="AB75" ca="1">_xlfn.XLOOKUP(TabCalc[[#This Row],[L_Bp]],INDIRECT("TabReg["&amp;TabCalc[[#This Row],[Ticker]]&amp;"2]"),INDIRECT("TabReg["&amp;TabCalc[[#This Row],[Ticker]]&amp;"1]"))</f>
        <v>10010</v>
      </c>
      <c r="AC75" s="192" cm="1">
        <f t="array" aca="1" ref="AC75" ca="1">IFERROR(INDEX(INDIRECT("TabReg["&amp;TabCalc[[#This Row],[Ticker]]&amp;"2]"),    _xlfn.XMATCH(    MAX(    _xlfn._xlws.FILTER(INDIRECT("TabReg["&amp;TabCalc[[#This Row],[Ticker]]&amp;"]"), INDIRECT("TabReg["&amp;TabCalc[[#This Row],[Ticker]]&amp;"2]")&lt;0)     ), INDIRECT("TabReg["&amp;TabCalc[[#This Row],[Ticker]]&amp;"]"),      0)), "")</f>
        <v>-14.87</v>
      </c>
      <c r="AD75" s="213">
        <f ca="1">IFERROR(MIN(TabCalc[[#This Row],[L_B1n]],TabCalc[[#This Row],[NAfter]])*(TabCalc[[#This Row],[M]]+TabCalc[[#This Row],[L_B1p]])*TabCalc[[#This Row],[Scale]],"")</f>
        <v>9150.8400000000038</v>
      </c>
      <c r="AE75" s="210" cm="1">
        <f t="array" aca="1" ref="AE7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45918</v>
      </c>
      <c r="AF75" s="181" cm="1">
        <f t="array" aca="1" ref="AF75" ca="1">IFERROR(_xlfn.XLOOKUP(TabCalc[[#This Row],[L_B1D]],INDIRECT("TabReg["&amp;TabCalc[[#This Row],[Ticker]]&amp;"]"),INDIRECT("TabReg["&amp;TabCalc[[#This Row],[Ticker]]&amp;"1]")),0)</f>
        <v>9990</v>
      </c>
      <c r="AG75" s="192" cm="1">
        <f t="array" aca="1" ref="AG75" ca="1">IFERROR(_xlfn.XLOOKUP(TabCalc[[#This Row],[L_B1D]],INDIRECT("TabReg["&amp;TabCalc[[#This Row],[Ticker]]&amp;"]"),INDIRECT("TabReg["&amp;TabCalc[[#This Row],[Ticker]]&amp;"2]")),0)</f>
        <v>-14.92</v>
      </c>
      <c r="AH75" s="302">
        <f ca="1">IFERROR(TabCalc[[#This Row],[L_Sn]]*(TabCalc[[#This Row],[L_Sp]]-TabCalc[[#This Row],[M]])*TabCalc[[#This Row],[Scale]],"")</f>
        <v>-1251.9999999999989</v>
      </c>
      <c r="AI75" s="210" cm="1">
        <f t="array" aca="1" ref="AI75" ca="1">IFERROR(_xlfn.XLOOKUP(TabCalc[[#This Row],[L_Sp]],INDIRECT("TabReg["&amp;TabCalc[[#This Row],[Ticker]]&amp;"2]"),INDIRECT("TabReg["&amp;TabCalc[[#This Row],[Ticker]]&amp;"]")),0)</f>
        <v>45896</v>
      </c>
      <c r="AJ75" s="181" cm="1">
        <f t="array" aca="1" ref="AJ75" ca="1">IFERROR(_xlfn.XLOOKUP(TabCalc[[#This Row],[L_Sp]],INDIRECT("TabReg["&amp;TabCalc[[#This Row],[Ticker]]&amp;"2]"),INDIRECT("TabReg["&amp;TabCalc[[#This Row],[Ticker]]&amp;"1]")),0)</f>
        <v>2000</v>
      </c>
      <c r="AK75" s="192" cm="1">
        <f t="array" aca="1" ref="AK75" ca="1">IFERROR(INDEX(INDIRECT("TabReg["&amp;TabCalc[[#This Row],[Ticker]]&amp;"2]"), _xlfn.XMATCH(MAX(_xlfn._xlws.FILTER(INDIRECT("TabReg["&amp;TabCalc[[#This Row],[Ticker]]&amp;"]"), INDIRECT("TabReg["&amp;TabCalc[[#This Row],[Ticker]]&amp;"2]")&gt;0)), INDIRECT("TabReg["&amp;TabCalc[[#This Row],[Ticker]]&amp;"]"), 0)), 0)</f>
        <v>15.21</v>
      </c>
      <c r="AL75" s="214">
        <f ca="1">IFERROR(TabCalc[[#This Row],[L_S1n]]*(TabCalc[[#This Row],[L_S1p]]-TabCalc[[#This Row],[M]])*TabCalc[[#This Row],[Scale]],0)</f>
        <v>-4064</v>
      </c>
      <c r="AM75" s="210" cm="1">
        <f t="array" aca="1" ref="AM7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45868</v>
      </c>
      <c r="AN75" s="181" cm="1">
        <f t="array" aca="1" ref="AN75" ca="1">IFERROR(_xlfn.XLOOKUP(TabCalc[[#This Row],[L_S1D]],INDIRECT("TabReg["&amp;TabCalc[[#This Row],[Ticker]]&amp;"]"),INDIRECT("TabReg["&amp;TabCalc[[#This Row],[Ticker]]&amp;"1]")),0)</f>
        <v>4000</v>
      </c>
      <c r="AO75" s="384" cm="1">
        <f t="array" aca="1" ref="AO75" ca="1">IFERROR(_xlfn.XLOOKUP(TabCalc[[#This Row],[L_S1D]],INDIRECT("TabReg["&amp;TabCalc[[#This Row],[Ticker]]&amp;"]"),INDIRECT("TabReg["&amp;TabCalc[[#This Row],[Ticker]]&amp;"2]")),0)</f>
        <v>14.82</v>
      </c>
      <c r="AP75" s="336">
        <f ca="1">_xlfn.LET(_xlpm.MVOpen,[1]!RTData[[#This Row],[Open]]*TabCalc[[#This Row],[NAfter]],_xlpm.MVNow,TabCalc[[#This Row],[M]]*TabCalc[[#This Row],[NAfter]],_xlpm.MVNow-_xlpm.MVOpen)*TabCalc[[#This Row],[Scale]]</f>
        <v>132</v>
      </c>
      <c r="AQ75" s="336">
        <f ca="1">_xlfn.LET(_xlpm.MVToday,DataShift!AV575,         _xlpm.MVY,DataShift!AU575,        _xlpm.MVYY, DataShift!AT575,                                IF(_xlpm.MVToday=_xlpm.MVY,_xlpm.MVY-_xlpm.MVYY,_xlpm.MVToday-_xlpm.MVY))</f>
        <v>2450</v>
      </c>
      <c r="AR75" s="336">
        <f ca="1">_xlfn.LET(_xlpm.MVToday,DataShift!AV575,         _xlpm.MVY,DataShift!AU575,        _xlpm.MVYY, DataShift!AT575,         _xlpm.MVYYY, DataShift!AS575,                      IF(_xlpm.MVToday=_xlpm.MVY,      _xlpm.MVYY-_xlpm.MVYYY,          _xlpm.MVY-_xlpm.MVYY))</f>
        <v>-3000</v>
      </c>
      <c r="AS75" s="1078">
        <f ca="1">TabCalc[[#This Row],[Y]]/TabCalc[[#This Row],[M]]</f>
        <v>0.96173276079818137</v>
      </c>
      <c r="AT75" s="299" t="str" cm="1">
        <f t="array" aca="1" ref="AT75" ca="1">IFERROR(_xlfn.IFS(          TabCalc[[#This Row],[E]]&gt;0, "Free Trade",      TabCalc[[#This Row],[A]]&lt;MIN(TabCalc[[#This Row],[L_Sp]],TabCalc[[#This Row],[M]]), "Buy",            TabCalc[[#This Row],[M]]&lt;TabCalc[[#This Row],[L_Sp]],       "Refill",       TabCalc[[#This Row],[M]]&gt;TabCalc[[#This Row],[L_Sp]],"S_more"),"")</f>
        <v>Buy</v>
      </c>
      <c r="AU75" s="299" t="str">
        <f ca="1">IF(           AND(TabCalc[[#This Row],[E]]&lt;=0,          TabCalc[[#This Row],[A]]&gt;MIN(TabCalc[[#This Row],[M]],TabCalc[[#This Row],[L_Sp]]),             TabCalc[[#This Row],[L_Sp]]&lt;=TabCalc[[#This Row],[M]]),                       "S_more","")</f>
        <v/>
      </c>
      <c r="AV75" s="82" t="str" cm="1">
        <f t="array" aca="1" ref="AV75" ca="1">IFERROR(_xlfn.IFS(TabCalc[[#This Row],[E]]&gt;0,"Free trade",                 TabCalc[[#This Row],[A]]&lt;MAX(ABS(TabCalc[[#This Row],[L_Bp]]),TabCalc[[#This Row],[A]]),"Sell",             TabCalc[[#This Row],[M]]&gt;ABS(TabCalc[[#This Row],[L_Bp]]),"Resell",             TabCalc[[#This Row],[M]]&lt;ABS(TabCalc[[#This Row],[L_Bp]]),"B_more"),"")</f>
        <v>Sell</v>
      </c>
      <c r="AW75" s="82">
        <f ca="1">TabCalc[[#This Row],[NAfter]]-TabCalc[[#This Row],[Nbegin]]</f>
        <v>14700</v>
      </c>
      <c r="AX75" s="307">
        <f ca="1">IFERROR((TabCalc[[#This Row],[M]]-TabCalc[[#This Row],[Y]])*(TabCalc[[#This Row],[M]]-TabCalc[[#This Row],[Y]])*(TabCalc[[#This Row],[M]]-TabCalc[[#This Row],[Y]])/(TabCalc[[#This Row],[Y]]*TabCalc[[#This Row],[M]]),"")</f>
        <v>9.2272540088765987E-4</v>
      </c>
      <c r="AY75" s="82">
        <f t="shared" ca="1" si="5"/>
        <v>0</v>
      </c>
      <c r="AZ75" s="90">
        <f ca="1">[1]!RTData[[#This Row],[V/VA]]</f>
        <v>1.9476811966291017</v>
      </c>
      <c r="BA75" s="90" t="str" cm="1">
        <f t="array" aca="1" ref="BA75" ca="1">IFERROR(_xlfn.IFS(TabCalc[[#This Row],[Cur]]="USD",Timer!F$27,TabCalc[[#This Row],[Cur]]="EUR",Timer!F$18,TabCalc[[#This Row],[Cur]]="GBP",Timer!F$12,TabCalc[[#This Row],[Cur]]="CAD",Timer!F$27,TabCalc[[#This Row],[Cur]]="JPY",Timer!F$31,TabCalc[[#This Row],[Cur]]="CHF",Timer!F$18),"Timing")</f>
        <v>None-Working Day</v>
      </c>
      <c r="BB75" s="90">
        <f ca="1">IF(ISNUMBER(TabCalc[[#This Row],[TimeEX]]),TabCalc[[#This Row],[V/VA]]/TabCalc[[#This Row],[TimeEX]],TabCalc[[#This Row],[V/VA]])</f>
        <v>1.9476811966291017</v>
      </c>
      <c r="BC75" s="87" cm="1">
        <f t="array" aca="1" ref="BC75" ca="1">INDEX(TabReg[], 1, _xlfn.XMATCH(TabCalc[[#This Row],[Ticker]]&amp;1, TabReg[#Headers], 0))</f>
        <v>7300</v>
      </c>
      <c r="BD75" s="161">
        <f ca="1">TabCalc[[#This Row],[Nbegin]]*TabCalc[[#This Row],[M]]*TabCalc[[#This Row],[Scale]]+TabCalc[[#This Row],[ValueBegin]]</f>
        <v>15738.800000000003</v>
      </c>
      <c r="BE75" s="336" t="str" cm="1">
        <f t="array" aca="1" ref="BE75" ca="1">_xlfn.IFS(TabCalc[[#This Row],[Cost+Gain]]&gt;0,"Free",             TabCalc[[#This Row],[GL]]&gt;0,"Gainer",                TRUE,"Looser")</f>
        <v>Gainer</v>
      </c>
      <c r="BF75" s="161">
        <f ca="1">TabCalc[[#This Row],[Tot_Paid]]-TabCalc[[#This Row],[ValueBegin]]</f>
        <v>-856267.65962639987</v>
      </c>
      <c r="BG75" s="337">
        <f ca="1">IF(TabCalc[[#This Row],[EfCost]]&gt;TabCalc[[#This Row],[ValueBegin]],       0,        TabCalc[[#This Row],[EfCost]]-TabCalc[[#This Row],[ValueBegin]]*(1+Commission))</f>
        <v>-215978.81759999992</v>
      </c>
      <c r="BH75" s="338">
        <f ca="1">TabCalc[[#This Row],[M_V]]+TabCalc[[#This Row],[ValueBegin]]</f>
        <v>248528</v>
      </c>
      <c r="BI75" s="161" cm="1">
        <f t="array" aca="1" ref="BI75" ca="1">SUMPRODUCT(_xlfn._xlws.FILTER(INDIRECT("TabReg["&amp;TabCalc[[#This Row],[Ticker]]&amp;"1]") * INDIRECT("TabReg["&amp;TabCalc[[#This Row],[Ticker]]&amp;"2]"), INDIRECT("TabReg["&amp;TabCalc[[#This Row],[Ticker]]&amp;"2]")&lt;0))*(1+Commission)*TabCalc[[#This Row],[Scale]]</f>
        <v>-956131.65962639987</v>
      </c>
      <c r="BJ75" s="161" cm="1">
        <f t="array" aca="1" ref="BJ75" ca="1">SUMPRODUCT(IF(INDIRECT("TabReg["&amp;TabCalc[[#This Row],[Ticker]]&amp;"2]") ="", 0, INDIRECT("TabReg["&amp;TabCalc[[#This Row],[Ticker]]&amp;"1]") * INDIRECT("TabReg["&amp;TabCalc[[#This Row],[Ticker]]&amp;"2]") ))*TabCalc[[#This Row],[Scale]]</f>
        <v>-316102.46399999992</v>
      </c>
      <c r="BK75" s="161" cm="1">
        <f t="array" aca="1" ref="BK7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635892.07077999995</v>
      </c>
      <c r="BL75" s="161">
        <f ca="1">TabCalc[[#This Row],[M_V]]+TabCalc[[#This Row],[EfCost]]</f>
        <v>32289.53600000008</v>
      </c>
      <c r="BM75" s="161">
        <f ca="1">IF(        OR( TabCalc[[#This Row],[GL]]&gt;ABS(TabCalc[[#This Row],[EfCost]]),TabCalc[[#This Row],[NAfter]]=0),             TabCalc[[#This Row],[GL]],     0)</f>
        <v>0</v>
      </c>
      <c r="BN75" s="161" cm="1">
        <f t="array" aca="1" ref="BN75" ca="1">SUMPRODUCT(_xlfn._xlws.FILTER(IF(INDIRECT("TabReg["&amp;TabCalc[[#This Row],[Ticker]]&amp;"2]") ="", 0, INDIRECT("TabReg["&amp;TabCalc[[#This Row],[Ticker]]&amp;"1]")  ),  INDIRECT("TabReg["&amp;TabCalc[[#This Row],[Ticker]]&amp;"2]") &lt; 0))</f>
        <v>66000</v>
      </c>
      <c r="BO75" s="161">
        <f ca="1">TabCalc[[#This Row],[SB]]-TabCalc[[#This Row],[Nbegin]]</f>
        <v>58700</v>
      </c>
      <c r="BP75" s="161" cm="1">
        <f t="array" aca="1" ref="BP75" ca="1">IFERROR(SUMPRODUCT(_xlfn._xlws.FILTER(IF(INDIRECT("TabReg["&amp;TabCalc[[#This Row],[Ticker]]&amp;"2]") ="", 0, INDIRECT("TabReg["&amp;TabCalc[[#This Row],[Ticker]]&amp;"1]")  ),  INDIRECT("TabReg["&amp;TabCalc[[#This Row],[Ticker]]&amp;"2]") &gt; 0)),0)</f>
        <v>44000</v>
      </c>
      <c r="BQ7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5" s="176" t="str">
        <f ca="1">IF(TabCalc[[#This Row],[EfCost]]+TabCalc[[#This Row],[M_V]]&lt;TabCalc[[#This Row],[NoT_GL]],"Pile","")</f>
        <v/>
      </c>
      <c r="BS75" s="167">
        <f ca="1">[1]!RTData[[#This Row],[Last trade time]]</f>
        <v>45954.666666666664</v>
      </c>
      <c r="BT75" s="177">
        <f ca="1">(TabCalc[[#This Row],[ValueBegin]]+(TabCalc[[#This Row],[M]]-TabCalc[[#This Row],[A]])*TabCalc[[#This Row],[NAfter]])*TabCalc[[#This Row],[Scale]]</f>
        <v>-77327.5</v>
      </c>
      <c r="BU75" s="189" cm="1">
        <f t="array" aca="1" ref="BU75" ca="1">_xlfn.XLOOKUP(TabCalc[[#This Row],[Ticker]],TabReg[[#Headers],[AAPL]:[UnknownX28]],Reg!B$72:KF$72)+3</f>
        <v>27</v>
      </c>
      <c r="BV75" s="190" cm="1">
        <f t="array" aca="1" ref="BV75" ca="1">_xlfn.XLOOKUP(TabCalc[[#This Row],[Ticker]],TabReg[[#Headers],[AAPL]:[UnknownX28]],Reg!B$73:KF$73)+2</f>
        <v>222</v>
      </c>
      <c r="BW75" s="191">
        <f ca="1">IFERROR(MAX(TabCalc[[#This Row],[Max_SD]],TabCalc[[#This Row],[Max_PD]]),0)</f>
        <v>45919</v>
      </c>
      <c r="BX75" s="191" t="str" cm="1">
        <f t="array" aca="1" ref="BX75" ca="1">_xlfn.IFS(TabCalc[[#This Row],[L_TP]]&lt;0,"Purchase",TabCalc[[#This Row],[L_TP]]&gt;0,"Sale")</f>
        <v>Purchase</v>
      </c>
      <c r="BY75" s="190" cm="1">
        <f t="array" aca="1" ref="BY75" ca="1">INDEX(Reg!$A$1:$KF$73,TabCalc[[#This Row],[L_I1]],TabCalc[[#This Row],[L_I2]])</f>
        <v>10010</v>
      </c>
      <c r="BZ75" s="192" cm="1">
        <f t="array" aca="1" ref="BZ75" ca="1">INDEX(Reg!$A$1:$KF$73,TabCalc[[#This Row],[L_I1]],TabCalc[[#This Row],[L_I2]]+1)</f>
        <v>-14.87</v>
      </c>
      <c r="CA75" s="161">
        <f ca="1">TabCalc[[#This Row],[NAfter]]*(TabCalc[[#This Row],[M]]-IF(TabCalc[[#This Row],[E]]&gt;0,0,TabCalc[[#This Row],[A]]))</f>
        <v>22536.499999999996</v>
      </c>
      <c r="CB75" s="167" cm="1">
        <f t="array" aca="1" ref="CB75" ca="1">IFERROR(MIN(_xlfn._xlws.FILTER(INDIRECT("TabReg["&amp;TabCalc[[#This Row],[Ticker]]&amp;"]"), INDIRECT("TabReg["&amp;TabCalc[[#This Row],[Ticker]]&amp;"2]")&gt;0)),0)</f>
        <v>45328</v>
      </c>
      <c r="CC75" s="178" cm="1">
        <f t="array" aca="1" ref="CC75" ca="1">IFERROR(MIN(_xlfn._xlws.FILTER(INDIRECT("TabReg["&amp;TabCalc[[#This Row],[Ticker]]&amp;"1]"), INDIRECT("TabReg["&amp;TabCalc[[#This Row],[Ticker]]&amp;"2]")&gt;0)),0)</f>
        <v>2000</v>
      </c>
      <c r="CD75" s="173" cm="1">
        <f t="array" aca="1" ref="CD75" ca="1">IFERROR(MIN(_xlfn._xlws.FILTER(INDIRECT("TabReg["&amp;TabCalc[[#This Row],[Ticker]]&amp;"2]"), INDIRECT("TabReg["&amp;TabCalc[[#This Row],[Ticker]]&amp;"2]")&gt;0)),0)</f>
        <v>13.911</v>
      </c>
      <c r="CE75" s="167" cm="1">
        <f t="array" aca="1" ref="CE75" ca="1">IFERROR(MAX(_xlfn._xlws.FILTER(INDIRECT("TabReg["&amp;TabCalc[[#This Row],[Ticker]]&amp;"]"), INDIRECT("TabReg["&amp;TabCalc[[#This Row],[Ticker]]&amp;"2]")&gt;0)),0)</f>
        <v>45896</v>
      </c>
      <c r="CF75" s="178" cm="1">
        <f t="array" aca="1" ref="CF75" ca="1">IFERROR(MAX(_xlfn._xlws.FILTER(INDIRECT("TabReg["&amp;TabCalc[[#This Row],[Ticker]]&amp;"1]"), INDIRECT("TabReg["&amp;TabCalc[[#This Row],[Ticker]]&amp;"2]")&gt;0)),0)</f>
        <v>7000</v>
      </c>
      <c r="CG75" s="173" cm="1">
        <f t="array" aca="1" ref="CG75" ca="1">IFERROR(MAX(_xlfn._xlws.FILTER(INDIRECT("TabReg["&amp;TabCalc[[#This Row],[Ticker]]&amp;"2]"), INDIRECT("TabReg["&amp;TabCalc[[#This Row],[Ticker]]&amp;"2]")&gt;0)),0)</f>
        <v>15.21</v>
      </c>
      <c r="CH75" s="167" cm="1">
        <f t="array" aca="1" ref="CH75" ca="1">MIN(_xlfn._xlws.FILTER(INDIRECT("TabReg["&amp;TabCalc[[#This Row],[Ticker]]&amp;"]"), INDIRECT("TabReg["&amp;TabCalc[[#This Row],[Ticker]]&amp;"2]")&lt;0))</f>
        <v>40544</v>
      </c>
      <c r="CI75" s="177" cm="1">
        <f t="array" aca="1" ref="CI75" ca="1">MIN(_xlfn._xlws.FILTER(INDIRECT("TabReg["&amp;TabCalc[[#This Row],[Ticker]]&amp;"1]"), INDIRECT("TabReg["&amp;TabCalc[[#This Row],[Ticker]]&amp;"2]")&lt;0))</f>
        <v>700</v>
      </c>
      <c r="CJ75" s="173" cm="1">
        <f t="array" aca="1" ref="CJ75" ca="1">MIN(_xlfn._xlws.FILTER(INDIRECT("TabReg["&amp;TabCalc[[#This Row],[Ticker]]&amp;"2]"), INDIRECT("TabReg["&amp;TabCalc[[#This Row],[Ticker]]&amp;"2]")&lt;0))</f>
        <v>-15.7</v>
      </c>
      <c r="CK75" s="167" cm="1">
        <f t="array" aca="1" ref="CK75" ca="1">MAX(_xlfn._xlws.FILTER(INDIRECT("TabReg["&amp;TabCalc[[#This Row],[Ticker]]&amp;"]"), INDIRECT("TabReg["&amp;TabCalc[[#This Row],[Ticker]]&amp;"2]")&lt;0))</f>
        <v>45919</v>
      </c>
      <c r="CL75" s="177" cm="1">
        <f t="array" aca="1" ref="CL75" ca="1">MAX(_xlfn._xlws.FILTER(INDIRECT("TabReg["&amp;TabCalc[[#This Row],[Ticker]]&amp;"1]"), INDIRECT("TabReg["&amp;TabCalc[[#This Row],[Ticker]]&amp;"2]")&lt;0))</f>
        <v>10010</v>
      </c>
      <c r="CM75" s="173" cm="1">
        <f t="array" aca="1" ref="CM75" ca="1">MAX(_xlfn._xlws.FILTER(INDIRECT("TabReg["&amp;TabCalc[[#This Row],[Ticker]]&amp;"2]"), INDIRECT("TabReg["&amp;TabCalc[[#This Row],[Ticker]]&amp;"2]")&lt;0))</f>
        <v>-13.37</v>
      </c>
      <c r="CN75" s="167" cm="1">
        <f t="array" aca="1" ref="CN75" ca="1">IFERROR(_xlfn.XLOOKUP(TabCalc[[#This Row],[BS2P]],INDIRECT("TabReg["&amp;TabCalc[[#This Row],[Ticker]]&amp;"2]"),INDIRECT("TabReg["&amp;TabCalc[[#This Row],[Ticker]]&amp;"]")),0)</f>
        <v>45868</v>
      </c>
      <c r="CO75" s="178" cm="1">
        <f t="array" aca="1" ref="CO75" ca="1">IFERROR(_xlfn.XLOOKUP(TabCalc[[#This Row],[BS2P]],INDIRECT("TabReg["&amp;TabCalc[[#This Row],[Ticker]]&amp;"2]"),INDIRECT("TabReg["&amp;TabCalc[[#This Row],[Ticker]]&amp;"1]")),0)</f>
        <v>4000</v>
      </c>
      <c r="CP75" s="173">
        <f ca="1">_xlfn.MAXIFS(INDIRECT("TabReg["&amp;TabCalc[[#This Row],[Ticker]]&amp;"2]"), INDIRECT("TabReg["&amp;TabCalc[[#This Row],[Ticker]]&amp;"2]"), "&lt;" &amp; MAX(INDIRECT("TabReg["&amp;TabCalc[[#This Row],[Ticker]]&amp;"2]")))</f>
        <v>14.82</v>
      </c>
      <c r="CQ75" s="167" cm="1">
        <f t="array" aca="1" ref="CQ75" ca="1">IFERROR(_xlfn.XLOOKUP(TabCalc[[#This Row],[WB2P]],INDIRECT("TabReg["&amp;TabCalc[[#This Row],[Ticker]]&amp;"2]"),INDIRECT("TabReg["&amp;TabCalc[[#This Row],[Ticker]]&amp;"]")),0)</f>
        <v>45408</v>
      </c>
      <c r="CR75" s="178" cm="1">
        <f t="array" aca="1" ref="CR75" ca="1">IFERROR(_xlfn.XLOOKUP(TabCalc[[#This Row],[WB2P]],INDIRECT("TabReg["&amp;TabCalc[[#This Row],[Ticker]]&amp;"2]"),INDIRECT("TabReg["&amp;TabCalc[[#This Row],[Ticker]]&amp;"1]")),0)</f>
        <v>700</v>
      </c>
      <c r="CS75" s="173">
        <f ca="1">_xlfn.MINIFS(INDIRECT("TabReg["&amp;TabCalc[[#This Row],[Ticker]]&amp;"2]"), INDIRECT("TabReg["&amp;TabCalc[[#This Row],[Ticker]]&amp;"2]"), "&gt;" &amp; MIN(INDIRECT("TabReg["&amp;TabCalc[[#This Row],[Ticker]]&amp;"2]")))</f>
        <v>-15.21</v>
      </c>
      <c r="CT75" s="405">
        <f ca="1">IF(TabCalc[[#This Row],[M]]&lt;TabCalc[[#This Row],[L_Sp]],DesiredBuyGain/(TabCalc[[#This Row],[L_Sp]]-TabCalc[[#This Row],[M]]),0)</f>
        <v>0</v>
      </c>
      <c r="CU75" s="406">
        <f ca="1">IF(TabCalc[[#This Row],[ntoBuy]]*TabCalc[[#This Row],[M]]&lt;=0,0,TabCalc[[#This Row],[ntoBuy]]*TabCalc[[#This Row],[M]])</f>
        <v>0</v>
      </c>
      <c r="CV75" s="406">
        <f ca="1">IF(TabCalc[[#This Row],[M]]&gt;ABS(TabCalc[[#This Row],[L_Bp]]),MIN(TabCalc[[#This Row],[NAfter]],DesiredSaleGain/(TabCalc[[#This Row],[M]]+TabCalc[[#This Row],[L_Bp]])),0)/TabCalc[[#This Row],[Scale]]</f>
        <v>5175.9834368529964</v>
      </c>
      <c r="CW75" s="407">
        <f ca="1">TabCalc[[#This Row],[ntoSell]]*TabCalc[[#This Row],[M]]</f>
        <v>81966.873706004058</v>
      </c>
      <c r="CX75" s="400">
        <f ca="1">_xlfn.LET(_xlpm.nToSell,IF(TabCalc[[#This Row],[M]]-TabCalc[[#This Row],[A]]&lt;=0,"",INT(DesiredSaleGain/(TabCalc[[#This Row],[M]]-IF(TabCalc[[#This Row],[E]]&gt;0,0,TabCalc[[#This Row],[A]])))),IF(_xlpm.nToSell&lt;=TabCalc[[#This Row],[NAfter]],_xlpm.nToSell,0))</f>
        <v>4880</v>
      </c>
      <c r="CY75" s="338">
        <f ca="1">IFERROR(TabCalc[[#This Row],[NMA]]*TabCalc[[#This Row],[M]],"")</f>
        <v>77279.680000000008</v>
      </c>
      <c r="CZ75" s="337" cm="1">
        <f t="array" aca="1" ref="CZ75" ca="1">_xlfn.IFS(TabCalc[[#This Row],[M]]&gt;= TabCalc[[#This Row],[L_Sp]],(TabCalc[[#This Row],[M]]-TabCalc[[#This Row],[A]])*TabCalc[[#This Row],[NAfter]]*TabCalc[[#This Row],[Scale]],           TabCalc[[#This Row],[M]]&lt; TabCalc[[#This Row],[L_Sp]],(TabCalc[[#This Row],[M]]-TabCalc[[#This Row],[A]])*TabCalc[[#This Row],[NAfter]]*TabCalc[[#This Row],[Scale]],               TRUE,"")</f>
        <v>22536.499999999996</v>
      </c>
      <c r="DA75" s="90">
        <f ca="1">IFERROR((TabCalc[[#This Row],[M]]+TabCalc[[#This Row],[L_Bp]])/ABS(TabCalc[[#This Row],[L_Bp]])/(TODAY()-TabCalc[[#This Row],[L_Bdate]])*360,"")</f>
        <v>0.63207255675312235</v>
      </c>
      <c r="DB75" s="312">
        <f ca="1">MEDIAN(DataShift!F774:Z774)</f>
        <v>4.2300000000000003E-3</v>
      </c>
      <c r="DC75" s="312" t="e" cm="1">
        <f t="array" aca="1" ref="DC7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5" s="88" t="s">
        <v>71</v>
      </c>
      <c r="DN75" s="82">
        <v>7000</v>
      </c>
      <c r="DO75" s="317">
        <v>-2.87</v>
      </c>
    </row>
    <row r="76" spans="1:119">
      <c r="A76" s="120" t="str">
        <f ca="1">_xlfn.XLOOKUP(TabCalc[[#This Row],[Ticker]],[1]!RTData[Ticker symbol],[1]!RTData[Currency])</f>
        <v>GBp</v>
      </c>
      <c r="B76" s="121">
        <f ca="1">IF(TabCalc[[#This Row],[Cur]]="GBP",0.01,1)</f>
        <v>0.01</v>
      </c>
      <c r="C76" s="82">
        <f ca="1">_xlfn.XLOOKUP(TabCalc[[#This Row],[Ticker]],DM$3:DM$96,DN$3:DN$96)</f>
        <v>19440</v>
      </c>
      <c r="D76" s="1254">
        <f ca="1">_xlfn.XLOOKUP(TabCalc[[#This Row],[Ticker]],DM$3:DM$96,DO$3:DO$96)</f>
        <v>-513</v>
      </c>
      <c r="E76" s="121">
        <f t="shared" ca="1" si="4"/>
        <v>-99727.2</v>
      </c>
      <c r="F76" s="82">
        <f ca="1">TabCalc[[#This Row],[NAfter]]*TabCalc[[#This Row],[M]]*TabCalc[[#This Row],[Scale]]</f>
        <v>145830</v>
      </c>
      <c r="G76" s="82">
        <f ca="1">IFERROR(TabCalc[[#This Row],[SB]]-TabCalc[[#This Row],[SST]],TabCalc[[#This Row],[SB]])</f>
        <v>30000</v>
      </c>
      <c r="H76" s="535" t="str">
        <f ca="1">[1]!RTData[[#This Row],[Ticker symbol]]</f>
        <v>EZJ</v>
      </c>
      <c r="I76" s="385">
        <f ca="1">[1]!RTData[[#This Row],[M-Price]]</f>
        <v>486.1</v>
      </c>
      <c r="J76" s="384">
        <v>460.97333333333336</v>
      </c>
      <c r="K76" s="383">
        <f>[1]!RTData[[#This Row],[1YT]]</f>
        <v>658.68</v>
      </c>
      <c r="L76" s="384">
        <f ca="1">IF(OR(TabCalc[[#This Row],[NAfter]]=0,TabCalc[[#This Row],[EfCost]]&gt;0),0,TabCalc[[#This Row],[EfCost]]/TabCalc[[#This Row],[NAfter]]/TabCalc[[#This Row],[Scale]])</f>
        <v>-359.83532333333329</v>
      </c>
      <c r="M76" s="744">
        <f ca="1">[1]!RTData[[#This Row],[Change%]]</f>
        <v>1.3764E-2</v>
      </c>
      <c r="N76" s="1172">
        <v>0.63636363636363635</v>
      </c>
      <c r="O76" s="966">
        <f>TabCalc[[#This Row],[Up20]]-1+TabCalc[[#This Row],[Up20]]</f>
        <v>0.27272727272727271</v>
      </c>
      <c r="P76" s="966">
        <f>TabCalc[[#This Row],[Up20]]-TabCalc[[#This Row],[Up150]]</f>
        <v>0.10483210483210481</v>
      </c>
      <c r="Q76" s="966">
        <v>0.53153153153153154</v>
      </c>
      <c r="R76" s="966">
        <f>TabCalc[[#This Row],[Up150]]-1+TabCalc[[#This Row],[Up150]]</f>
        <v>6.3063063063063085E-2</v>
      </c>
      <c r="S76" s="966">
        <f ca="1">IFERROR(SUMPRODUCT(DataShift!F1568:Z1568,DataShift!AB775:AV775)/SQRT(SUMPRODUCT(DataShift!F1568:Z1568,DataShift!F1568:Z1568)*SUMPRODUCT(DataShift!AB775:AV775,DataShift!AB775:AV775)),0)</f>
        <v>-0.71727058842950819</v>
      </c>
      <c r="T76" s="966">
        <f ca="1">IFERROR(SUMPRODUCT(DataShift!F1568:Z1568,DataShift!F775:Z775)/SQRT(SUMPRODUCT(DataShift!F1568:Z1568,DataShift!F1568:Z1568)*SUMPRODUCT(DataShift!F775:Z775,DataShift!F775:Z775)),0)</f>
        <v>4.023659571484528E-2</v>
      </c>
      <c r="U76" s="1107">
        <v>30000</v>
      </c>
      <c r="V76" s="1107">
        <v>0</v>
      </c>
      <c r="W76" s="1107">
        <v>0</v>
      </c>
      <c r="X76" s="966" t="str">
        <f ca="1">IF(TabCalc[[#This Row],[EfCost]]+TabCalc[[#This Row],[M_V]]&lt;TabCalc[[#This Row],[NoT_GL]],"Pile","")</f>
        <v/>
      </c>
      <c r="Y7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6" s="213">
        <f ca="1">MIN(TabCalc[[#This Row],[L_Bn]],TabCalc[[#This Row],[NAfter]])*(TabCalc[[#This Row],[M]]+TabCalc[[#This Row],[L_Bp]])*TabCalc[[#This Row],[Scale]]</f>
        <v>7018.0000000000064</v>
      </c>
      <c r="AA76" s="210" cm="1">
        <f t="array" aca="1" ref="AA76" ca="1">_xlfn.XLOOKUP(TabCalc[[#This Row],[L_Bp]],INDIRECT("TabReg["&amp;TabCalc[[#This Row],[Ticker]]&amp;"2]"),INDIRECT("TabReg["&amp;TabCalc[[#This Row],[Ticker]]&amp;"]"))</f>
        <v>45919</v>
      </c>
      <c r="AB76" s="181" cm="1">
        <f t="array" aca="1" ref="AB76" ca="1">_xlfn.XLOOKUP(TabCalc[[#This Row],[L_Bp]],INDIRECT("TabReg["&amp;TabCalc[[#This Row],[Ticker]]&amp;"2]"),INDIRECT("TabReg["&amp;TabCalc[[#This Row],[Ticker]]&amp;"1]"))</f>
        <v>20000</v>
      </c>
      <c r="AC76" s="192" cm="1">
        <f t="array" aca="1" ref="AC76" ca="1">IFERROR(INDEX(INDIRECT("TabReg["&amp;TabCalc[[#This Row],[Ticker]]&amp;"2]"),    _xlfn.XMATCH(    MAX(    _xlfn._xlws.FILTER(INDIRECT("TabReg["&amp;TabCalc[[#This Row],[Ticker]]&amp;"]"), INDIRECT("TabReg["&amp;TabCalc[[#This Row],[Ticker]]&amp;"2]")&lt;0)     ), INDIRECT("TabReg["&amp;TabCalc[[#This Row],[Ticker]]&amp;"]"),      0)), "")</f>
        <v>-451.01</v>
      </c>
      <c r="AD76" s="213">
        <f ca="1">IFERROR(MIN(TabCalc[[#This Row],[L_B1n]],TabCalc[[#This Row],[NAfter]])*(TabCalc[[#This Row],[M]]+TabCalc[[#This Row],[L_B1p]])*TabCalc[[#This Row],[Scale]],"")</f>
        <v>520.00000000000455</v>
      </c>
      <c r="AE76" s="210" cm="1">
        <f t="array" aca="1" ref="AE7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76" s="181" cm="1">
        <f t="array" aca="1" ref="AF76" ca="1">IFERROR(_xlfn.XLOOKUP(TabCalc[[#This Row],[L_B1D]],INDIRECT("TabReg["&amp;TabCalc[[#This Row],[Ticker]]&amp;"]"),INDIRECT("TabReg["&amp;TabCalc[[#This Row],[Ticker]]&amp;"1]")),0)</f>
        <v>10000</v>
      </c>
      <c r="AG76" s="192" cm="1">
        <f t="array" aca="1" ref="AG76" ca="1">IFERROR(_xlfn.XLOOKUP(TabCalc[[#This Row],[L_B1D]],INDIRECT("TabReg["&amp;TabCalc[[#This Row],[Ticker]]&amp;"]"),INDIRECT("TabReg["&amp;TabCalc[[#This Row],[Ticker]]&amp;"2]")),0)</f>
        <v>-480.9</v>
      </c>
      <c r="AH76" s="302">
        <f ca="1">IFERROR(TabCalc[[#This Row],[L_Sn]]*(TabCalc[[#This Row],[L_Sp]]-TabCalc[[#This Row],[M]])*TabCalc[[#This Row],[Scale]],"")</f>
        <v>950</v>
      </c>
      <c r="AI76" s="210" cm="1">
        <f t="array" aca="1" ref="AI76" ca="1">IFERROR(_xlfn.XLOOKUP(TabCalc[[#This Row],[L_Sp]],INDIRECT("TabReg["&amp;TabCalc[[#This Row],[Ticker]]&amp;"2]"),INDIRECT("TabReg["&amp;TabCalc[[#This Row],[Ticker]]&amp;"]")),0)</f>
        <v>45952</v>
      </c>
      <c r="AJ76" s="181" cm="1">
        <f t="array" aca="1" ref="AJ76" ca="1">IFERROR(_xlfn.XLOOKUP(TabCalc[[#This Row],[L_Sp]],INDIRECT("TabReg["&amp;TabCalc[[#This Row],[Ticker]]&amp;"2]"),INDIRECT("TabReg["&amp;TabCalc[[#This Row],[Ticker]]&amp;"1]")),0)</f>
        <v>10000</v>
      </c>
      <c r="AK76" s="192" cm="1">
        <f t="array" aca="1" ref="AK76" ca="1">IFERROR(INDEX(INDIRECT("TabReg["&amp;TabCalc[[#This Row],[Ticker]]&amp;"2]"), _xlfn.XMATCH(MAX(_xlfn._xlws.FILTER(INDIRECT("TabReg["&amp;TabCalc[[#This Row],[Ticker]]&amp;"]"), INDIRECT("TabReg["&amp;TabCalc[[#This Row],[Ticker]]&amp;"2]")&gt;0)), INDIRECT("TabReg["&amp;TabCalc[[#This Row],[Ticker]]&amp;"]"), 0)), 0)</f>
        <v>495.6</v>
      </c>
      <c r="AL76" s="214">
        <f ca="1">IFERROR(TabCalc[[#This Row],[L_S1n]]*(TabCalc[[#This Row],[L_S1p]]-TabCalc[[#This Row],[M]])*TabCalc[[#This Row],[Scale]],0)</f>
        <v>10458.000000000005</v>
      </c>
      <c r="AM76" s="210" cm="1">
        <f t="array" aca="1" ref="AM7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45793</v>
      </c>
      <c r="AN76" s="181" cm="1">
        <f t="array" aca="1" ref="AN76" ca="1">IFERROR(_xlfn.XLOOKUP(TabCalc[[#This Row],[L_S1D]],INDIRECT("TabReg["&amp;TabCalc[[#This Row],[Ticker]]&amp;"]"),INDIRECT("TabReg["&amp;TabCalc[[#This Row],[Ticker]]&amp;"1]")),0)</f>
        <v>18000</v>
      </c>
      <c r="AO76" s="384" cm="1">
        <f t="array" aca="1" ref="AO76" ca="1">IFERROR(_xlfn.XLOOKUP(TabCalc[[#This Row],[L_S1D]],INDIRECT("TabReg["&amp;TabCalc[[#This Row],[Ticker]]&amp;"]"),INDIRECT("TabReg["&amp;TabCalc[[#This Row],[Ticker]]&amp;"2]")),0)</f>
        <v>544.20000000000005</v>
      </c>
      <c r="AP76" s="336">
        <f ca="1">_xlfn.LET(_xlpm.MVOpen,[1]!RTData[[#This Row],[Open]]*TabCalc[[#This Row],[NAfter]],_xlpm.MVNow,TabCalc[[#This Row],[M]]*TabCalc[[#This Row],[NAfter]],_xlpm.MVNow-_xlpm.MVOpen)*TabCalc[[#This Row],[Scale]]</f>
        <v>930</v>
      </c>
      <c r="AQ76" s="336">
        <f ca="1">_xlfn.LET(_xlpm.MVToday,DataShift!AV576,         _xlpm.MVY,DataShift!AU576,        _xlpm.MVYY, DataShift!AT576,                                IF(_xlpm.MVToday=_xlpm.MVY,_xlpm.MVY-_xlpm.MVYY,_xlpm.MVToday-_xlpm.MVY))</f>
        <v>16800</v>
      </c>
      <c r="AR76" s="336">
        <f ca="1">_xlfn.LET(_xlpm.MVToday,DataShift!AV576,         _xlpm.MVY,DataShift!AU576,        _xlpm.MVYY, DataShift!AT576,         _xlpm.MVYYY, DataShift!AS576,                      IF(_xlpm.MVToday=_xlpm.MVY,      _xlpm.MVYY-_xlpm.MVYYY,          _xlpm.MVY-_xlpm.MVYY))</f>
        <v>0</v>
      </c>
      <c r="AS76" s="1078">
        <f ca="1">TabCalc[[#This Row],[Y]]/TabCalc[[#This Row],[M]]</f>
        <v>1.3550298292532399</v>
      </c>
      <c r="AT76" s="299" t="str" cm="1">
        <f t="array" aca="1" ref="AT76" ca="1">IFERROR(_xlfn.IFS(          TabCalc[[#This Row],[E]]&gt;0, "Free Trade",      TabCalc[[#This Row],[A]]&lt;MIN(TabCalc[[#This Row],[L_Sp]],TabCalc[[#This Row],[M]]), "Buy",            TabCalc[[#This Row],[M]]&lt;TabCalc[[#This Row],[L_Sp]],       "Refill",       TabCalc[[#This Row],[M]]&gt;TabCalc[[#This Row],[L_Sp]],"S_more"),"")</f>
        <v>Buy</v>
      </c>
      <c r="AU76" s="299" t="str">
        <f ca="1">IF(           AND(TabCalc[[#This Row],[E]]&lt;=0,          TabCalc[[#This Row],[A]]&gt;MIN(TabCalc[[#This Row],[M]],TabCalc[[#This Row],[L_Sp]]),             TabCalc[[#This Row],[L_Sp]]&lt;=TabCalc[[#This Row],[M]]),                       "S_more","")</f>
        <v/>
      </c>
      <c r="AV76" s="82" t="str" cm="1">
        <f t="array" aca="1" ref="AV76" ca="1">IFERROR(_xlfn.IFS(TabCalc[[#This Row],[E]]&gt;0,"Free trade",                 TabCalc[[#This Row],[A]]&lt;MAX(ABS(TabCalc[[#This Row],[L_Bp]]),TabCalc[[#This Row],[A]]),"Sell",             TabCalc[[#This Row],[M]]&gt;ABS(TabCalc[[#This Row],[L_Bp]]),"Resell",             TabCalc[[#This Row],[M]]&lt;ABS(TabCalc[[#This Row],[L_Bp]]),"B_more"),"")</f>
        <v>Resell</v>
      </c>
      <c r="AW76" s="82">
        <f ca="1">TabCalc[[#This Row],[NAfter]]-TabCalc[[#This Row],[Nbegin]]</f>
        <v>10560</v>
      </c>
      <c r="AX76" s="307">
        <f ca="1">IFERROR((TabCalc[[#This Row],[M]]-TabCalc[[#This Row],[Y]])*(TabCalc[[#This Row],[M]]-TabCalc[[#This Row],[Y]])*(TabCalc[[#This Row],[M]]-TabCalc[[#This Row],[Y]])/(TabCalc[[#This Row],[Y]]*TabCalc[[#This Row],[M]]),"")</f>
        <v>-16.053557800745445</v>
      </c>
      <c r="AY76" s="82">
        <f t="shared" ca="1" si="5"/>
        <v>0</v>
      </c>
      <c r="AZ76" s="90">
        <f ca="1">[1]!RTData[[#This Row],[V/VA]]</f>
        <v>0.52718982051715924</v>
      </c>
      <c r="BA76" s="90" t="str" cm="1">
        <f t="array" aca="1" ref="BA76" ca="1">IFERROR(_xlfn.IFS(TabCalc[[#This Row],[Cur]]="USD",Timer!F$27,TabCalc[[#This Row],[Cur]]="EUR",Timer!F$18,TabCalc[[#This Row],[Cur]]="GBP",Timer!F$12,TabCalc[[#This Row],[Cur]]="CAD",Timer!F$27,TabCalc[[#This Row],[Cur]]="JPY",Timer!F$31,TabCalc[[#This Row],[Cur]]="CHF",Timer!F$18),"Timing")</f>
        <v>None-Working Day</v>
      </c>
      <c r="BB76" s="90">
        <f ca="1">IF(ISNUMBER(TabCalc[[#This Row],[TimeEX]]),TabCalc[[#This Row],[V/VA]]/TabCalc[[#This Row],[TimeEX]],TabCalc[[#This Row],[V/VA]])</f>
        <v>0.52718982051715924</v>
      </c>
      <c r="BC76" s="87" cm="1">
        <f t="array" aca="1" ref="BC76" ca="1">INDEX(TabReg[], 1, _xlfn.XMATCH(TabCalc[[#This Row],[Ticker]]&amp;1, TabReg[#Headers], 0))</f>
        <v>19440</v>
      </c>
      <c r="BD76" s="161">
        <f ca="1">TabCalc[[#This Row],[Nbegin]]*TabCalc[[#This Row],[M]]*TabCalc[[#This Row],[Scale]]+TabCalc[[#This Row],[ValueBegin]]</f>
        <v>-5229.3600000000006</v>
      </c>
      <c r="BE76" s="336" t="str" cm="1">
        <f t="array" aca="1" ref="BE76" ca="1">_xlfn.IFS(TabCalc[[#This Row],[Cost+Gain]]&gt;0,"Free",             TabCalc[[#This Row],[GL]]&gt;0,"Gainer",                TRUE,"Looser")</f>
        <v>Gainer</v>
      </c>
      <c r="BF76" s="161">
        <f ca="1">TabCalc[[#This Row],[Tot_Paid]]-TabCalc[[#This Row],[ValueBegin]]</f>
        <v>-429265.80409139994</v>
      </c>
      <c r="BG76" s="337">
        <f ca="1">IF(TabCalc[[#This Row],[EfCost]]&gt;TabCalc[[#This Row],[ValueBegin]],       0,        TabCalc[[#This Row],[EfCost]]-TabCalc[[#This Row],[ValueBegin]]*(1+Commission))</f>
        <v>-7964.1062800000072</v>
      </c>
      <c r="BH76" s="338">
        <f ca="1">TabCalc[[#This Row],[M_V]]+TabCalc[[#This Row],[ValueBegin]]</f>
        <v>46102.8</v>
      </c>
      <c r="BI76" s="161" cm="1">
        <f t="array" aca="1" ref="BI76" ca="1">SUMPRODUCT(_xlfn._xlws.FILTER(INDIRECT("TabReg["&amp;TabCalc[[#This Row],[Ticker]]&amp;"1]") * INDIRECT("TabReg["&amp;TabCalc[[#This Row],[Ticker]]&amp;"2]"), INDIRECT("TabReg["&amp;TabCalc[[#This Row],[Ticker]]&amp;"2]")&lt;0))*(1+Commission)*TabCalc[[#This Row],[Scale]]</f>
        <v>-528993.00409139995</v>
      </c>
      <c r="BJ76" s="161" cm="1">
        <f t="array" aca="1" ref="BJ76" ca="1">SUMPRODUCT(IF(INDIRECT("TabReg["&amp;TabCalc[[#This Row],[Ticker]]&amp;"2]") ="", 0, INDIRECT("TabReg["&amp;TabCalc[[#This Row],[Ticker]]&amp;"1]") * INDIRECT("TabReg["&amp;TabCalc[[#This Row],[Ticker]]&amp;"2]") ))*TabCalc[[#This Row],[Scale]]</f>
        <v>-107950.59699999999</v>
      </c>
      <c r="BK76" s="161" cm="1">
        <f t="array" aca="1" ref="BK7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418579.44846079999</v>
      </c>
      <c r="BL76" s="161">
        <f ca="1">TabCalc[[#This Row],[M_V]]+TabCalc[[#This Row],[EfCost]]</f>
        <v>37879.403000000006</v>
      </c>
      <c r="BM76" s="161">
        <f ca="1">IF(        OR( TabCalc[[#This Row],[GL]]&gt;ABS(TabCalc[[#This Row],[EfCost]]),TabCalc[[#This Row],[NAfter]]=0),             TabCalc[[#This Row],[GL]],     0)</f>
        <v>0</v>
      </c>
      <c r="BN76" s="161" cm="1">
        <f t="array" aca="1" ref="BN76" ca="1">SUMPRODUCT(_xlfn._xlws.FILTER(IF(INDIRECT("TabReg["&amp;TabCalc[[#This Row],[Ticker]]&amp;"2]") ="", 0, INDIRECT("TabReg["&amp;TabCalc[[#This Row],[Ticker]]&amp;"1]")  ),  INDIRECT("TabReg["&amp;TabCalc[[#This Row],[Ticker]]&amp;"2]") &lt; 0))</f>
        <v>107440</v>
      </c>
      <c r="BO76" s="161">
        <f ca="1">TabCalc[[#This Row],[SB]]-TabCalc[[#This Row],[Nbegin]]</f>
        <v>88000</v>
      </c>
      <c r="BP76" s="161" cm="1">
        <f t="array" aca="1" ref="BP76" ca="1">IFERROR(SUMPRODUCT(_xlfn._xlws.FILTER(IF(INDIRECT("TabReg["&amp;TabCalc[[#This Row],[Ticker]]&amp;"2]") ="", 0, INDIRECT("TabReg["&amp;TabCalc[[#This Row],[Ticker]]&amp;"1]")  ),  INDIRECT("TabReg["&amp;TabCalc[[#This Row],[Ticker]]&amp;"2]") &gt; 0)),0)</f>
        <v>77440</v>
      </c>
      <c r="BQ7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595.84</v>
      </c>
      <c r="BR76" s="176" t="str">
        <f ca="1">IF(TabCalc[[#This Row],[EfCost]]+TabCalc[[#This Row],[M_V]]&lt;TabCalc[[#This Row],[NoT_GL]],"Pile","")</f>
        <v/>
      </c>
      <c r="BS76" s="167">
        <f ca="1">[1]!RTData[[#This Row],[Last trade time]]</f>
        <v>45954.643421411718</v>
      </c>
      <c r="BT76" s="177">
        <f ca="1">(TabCalc[[#This Row],[ValueBegin]]+(TabCalc[[#This Row],[M]]-TabCalc[[#This Row],[A]])*TabCalc[[#This Row],[NAfter]])*TabCalc[[#This Row],[Scale]]</f>
        <v>6540.728000000001</v>
      </c>
      <c r="BU76" s="189" cm="1">
        <f t="array" aca="1" ref="BU76" ca="1">_xlfn.XLOOKUP(TabCalc[[#This Row],[Ticker]],TabReg[[#Headers],[AAPL]:[UnknownX28]],Reg!B$72:KF$72)+3</f>
        <v>21</v>
      </c>
      <c r="BV76" s="190" cm="1">
        <f t="array" aca="1" ref="BV76" ca="1">_xlfn.XLOOKUP(TabCalc[[#This Row],[Ticker]],TabReg[[#Headers],[AAPL]:[UnknownX28]],Reg!B$73:KF$73)+2</f>
        <v>225</v>
      </c>
      <c r="BW76" s="191">
        <f ca="1">IFERROR(MAX(TabCalc[[#This Row],[Max_SD]],TabCalc[[#This Row],[Max_PD]]),0)</f>
        <v>45952</v>
      </c>
      <c r="BX76" s="191" t="str" cm="1">
        <f t="array" aca="1" ref="BX76" ca="1">_xlfn.IFS(TabCalc[[#This Row],[L_TP]]&lt;0,"Purchase",TabCalc[[#This Row],[L_TP]]&gt;0,"Sale")</f>
        <v>Sale</v>
      </c>
      <c r="BY76" s="190" cm="1">
        <f t="array" aca="1" ref="BY76" ca="1">INDEX(Reg!$A$1:$KF$73,TabCalc[[#This Row],[L_I1]],TabCalc[[#This Row],[L_I2]])</f>
        <v>10000</v>
      </c>
      <c r="BZ76" s="192" cm="1">
        <f t="array" aca="1" ref="BZ76" ca="1">INDEX(Reg!$A$1:$KF$73,TabCalc[[#This Row],[L_I1]],TabCalc[[#This Row],[L_I2]]+1)</f>
        <v>495.6</v>
      </c>
      <c r="CA76" s="161">
        <f ca="1">TabCalc[[#This Row],[NAfter]]*(TabCalc[[#This Row],[M]]-IF(TabCalc[[#This Row],[E]]&gt;0,0,TabCalc[[#This Row],[A]]))</f>
        <v>753800</v>
      </c>
      <c r="CB76" s="167" cm="1">
        <f t="array" aca="1" ref="CB76" ca="1">IFERROR(MIN(_xlfn._xlws.FILTER(INDIRECT("TabReg["&amp;TabCalc[[#This Row],[Ticker]]&amp;"]"), INDIRECT("TabReg["&amp;TabCalc[[#This Row],[Ticker]]&amp;"2]")&gt;0)),0)</f>
        <v>40544</v>
      </c>
      <c r="CC76" s="178" cm="1">
        <f t="array" aca="1" ref="CC76" ca="1">IFERROR(MIN(_xlfn._xlws.FILTER(INDIRECT("TabReg["&amp;TabCalc[[#This Row],[Ticker]]&amp;"1]"), INDIRECT("TabReg["&amp;TabCalc[[#This Row],[Ticker]]&amp;"2]")&gt;0)),0)</f>
        <v>6000</v>
      </c>
      <c r="CD76" s="173" cm="1">
        <f t="array" aca="1" ref="CD76" ca="1">IFERROR(MIN(_xlfn._xlws.FILTER(INDIRECT("TabReg["&amp;TabCalc[[#This Row],[Ticker]]&amp;"2]"), INDIRECT("TabReg["&amp;TabCalc[[#This Row],[Ticker]]&amp;"2]")&gt;0)),0)</f>
        <v>495.6</v>
      </c>
      <c r="CE76" s="167" cm="1">
        <f t="array" aca="1" ref="CE76" ca="1">IFERROR(MAX(_xlfn._xlws.FILTER(INDIRECT("TabReg["&amp;TabCalc[[#This Row],[Ticker]]&amp;"]"), INDIRECT("TabReg["&amp;TabCalc[[#This Row],[Ticker]]&amp;"2]")&gt;0)),0)</f>
        <v>45952</v>
      </c>
      <c r="CF76" s="178" cm="1">
        <f t="array" aca="1" ref="CF76" ca="1">IFERROR(MAX(_xlfn._xlws.FILTER(INDIRECT("TabReg["&amp;TabCalc[[#This Row],[Ticker]]&amp;"1]"), INDIRECT("TabReg["&amp;TabCalc[[#This Row],[Ticker]]&amp;"2]")&gt;0)),0)</f>
        <v>18000</v>
      </c>
      <c r="CG76" s="173" cm="1">
        <f t="array" aca="1" ref="CG76" ca="1">IFERROR(MAX(_xlfn._xlws.FILTER(INDIRECT("TabReg["&amp;TabCalc[[#This Row],[Ticker]]&amp;"2]"), INDIRECT("TabReg["&amp;TabCalc[[#This Row],[Ticker]]&amp;"2]")&gt;0)),0)</f>
        <v>576.69000000000005</v>
      </c>
      <c r="CH76" s="167" cm="1">
        <f t="array" aca="1" ref="CH76" ca="1">MIN(_xlfn._xlws.FILTER(INDIRECT("TabReg["&amp;TabCalc[[#This Row],[Ticker]]&amp;"]"), INDIRECT("TabReg["&amp;TabCalc[[#This Row],[Ticker]]&amp;"2]")&lt;0))</f>
        <v>40544</v>
      </c>
      <c r="CI76" s="177" cm="1">
        <f t="array" aca="1" ref="CI76" ca="1">MIN(_xlfn._xlws.FILTER(INDIRECT("TabReg["&amp;TabCalc[[#This Row],[Ticker]]&amp;"1]"), INDIRECT("TabReg["&amp;TabCalc[[#This Row],[Ticker]]&amp;"2]")&lt;0))</f>
        <v>5000</v>
      </c>
      <c r="CJ76" s="173" cm="1">
        <f t="array" aca="1" ref="CJ76" ca="1">MIN(_xlfn._xlws.FILTER(INDIRECT("TabReg["&amp;TabCalc[[#This Row],[Ticker]]&amp;"2]"), INDIRECT("TabReg["&amp;TabCalc[[#This Row],[Ticker]]&amp;"2]")&lt;0))</f>
        <v>-524.20000000000005</v>
      </c>
      <c r="CK76" s="167" cm="1">
        <f t="array" aca="1" ref="CK76" ca="1">MAX(_xlfn._xlws.FILTER(INDIRECT("TabReg["&amp;TabCalc[[#This Row],[Ticker]]&amp;"]"), INDIRECT("TabReg["&amp;TabCalc[[#This Row],[Ticker]]&amp;"2]")&lt;0))</f>
        <v>45919</v>
      </c>
      <c r="CL76" s="177" cm="1">
        <f t="array" aca="1" ref="CL76" ca="1">MAX(_xlfn._xlws.FILTER(INDIRECT("TabReg["&amp;TabCalc[[#This Row],[Ticker]]&amp;"1]"), INDIRECT("TabReg["&amp;TabCalc[[#This Row],[Ticker]]&amp;"2]")&lt;0))</f>
        <v>20000</v>
      </c>
      <c r="CM76" s="173" cm="1">
        <f t="array" aca="1" ref="CM76" ca="1">MAX(_xlfn._xlws.FILTER(INDIRECT("TabReg["&amp;TabCalc[[#This Row],[Ticker]]&amp;"2]"), INDIRECT("TabReg["&amp;TabCalc[[#This Row],[Ticker]]&amp;"2]")&lt;0))</f>
        <v>-451.01</v>
      </c>
      <c r="CN76" s="167" cm="1">
        <f t="array" aca="1" ref="CN76" ca="1">IFERROR(_xlfn.XLOOKUP(TabCalc[[#This Row],[BS2P]],INDIRECT("TabReg["&amp;TabCalc[[#This Row],[Ticker]]&amp;"2]"),INDIRECT("TabReg["&amp;TabCalc[[#This Row],[Ticker]]&amp;"]")),0)</f>
        <v>40544</v>
      </c>
      <c r="CO76" s="178" cm="1">
        <f t="array" aca="1" ref="CO76" ca="1">IFERROR(_xlfn.XLOOKUP(TabCalc[[#This Row],[BS2P]],INDIRECT("TabReg["&amp;TabCalc[[#This Row],[Ticker]]&amp;"2]"),INDIRECT("TabReg["&amp;TabCalc[[#This Row],[Ticker]]&amp;"1]")),0)</f>
        <v>9440</v>
      </c>
      <c r="CP76" s="173">
        <f ca="1">_xlfn.MAXIFS(INDIRECT("TabReg["&amp;TabCalc[[#This Row],[Ticker]]&amp;"2]"), INDIRECT("TabReg["&amp;TabCalc[[#This Row],[Ticker]]&amp;"2]"), "&lt;" &amp; MAX(INDIRECT("TabReg["&amp;TabCalc[[#This Row],[Ticker]]&amp;"2]")))</f>
        <v>569</v>
      </c>
      <c r="CQ76" s="167" cm="1">
        <f t="array" aca="1" ref="CQ76" ca="1">IFERROR(_xlfn.XLOOKUP(TabCalc[[#This Row],[WB2P]],INDIRECT("TabReg["&amp;TabCalc[[#This Row],[Ticker]]&amp;"2]"),INDIRECT("TabReg["&amp;TabCalc[[#This Row],[Ticker]]&amp;"]")),0)</f>
        <v>45702</v>
      </c>
      <c r="CR76" s="178" cm="1">
        <f t="array" aca="1" ref="CR76" ca="1">IFERROR(_xlfn.XLOOKUP(TabCalc[[#This Row],[WB2P]],INDIRECT("TabReg["&amp;TabCalc[[#This Row],[Ticker]]&amp;"2]"),INDIRECT("TabReg["&amp;TabCalc[[#This Row],[Ticker]]&amp;"1]")),0)</f>
        <v>8000</v>
      </c>
      <c r="CS76" s="173">
        <f ca="1">_xlfn.MINIFS(INDIRECT("TabReg["&amp;TabCalc[[#This Row],[Ticker]]&amp;"2]"), INDIRECT("TabReg["&amp;TabCalc[[#This Row],[Ticker]]&amp;"2]"), "&gt;" &amp; MIN(INDIRECT("TabReg["&amp;TabCalc[[#This Row],[Ticker]]&amp;"2]")))</f>
        <v>-514.55999999999995</v>
      </c>
      <c r="CT76" s="405">
        <f ca="1">IF(TabCalc[[#This Row],[M]]&lt;TabCalc[[#This Row],[L_Sp]],DesiredBuyGain/(TabCalc[[#This Row],[L_Sp]]-TabCalc[[#This Row],[M]]),0)</f>
        <v>526.31578947368416</v>
      </c>
      <c r="CU76" s="406">
        <f ca="1">IF(TabCalc[[#This Row],[ntoBuy]]*TabCalc[[#This Row],[M]]&lt;=0,0,TabCalc[[#This Row],[ntoBuy]]*TabCalc[[#This Row],[M]])</f>
        <v>255842.10526315789</v>
      </c>
      <c r="CV76" s="406">
        <f ca="1">IF(TabCalc[[#This Row],[M]]&gt;ABS(TabCalc[[#This Row],[L_Bp]]),MIN(TabCalc[[#This Row],[NAfter]],DesiredSaleGain/(TabCalc[[#This Row],[M]]+TabCalc[[#This Row],[L_Bp]])),0)/TabCalc[[#This Row],[Scale]]</f>
        <v>14249.073810202324</v>
      </c>
      <c r="CW76" s="407">
        <f ca="1">TabCalc[[#This Row],[ntoSell]]*TabCalc[[#This Row],[M]]</f>
        <v>6926474.7791393502</v>
      </c>
      <c r="CX76" s="400">
        <f ca="1">_xlfn.LET(_xlpm.nToSell,IF(TabCalc[[#This Row],[M]]-TabCalc[[#This Row],[A]]&lt;=0,"",INT(DesiredSaleGain/(TabCalc[[#This Row],[M]]-IF(TabCalc[[#This Row],[E]]&gt;0,0,TabCalc[[#This Row],[A]])))),IF(_xlpm.nToSell&lt;=TabCalc[[#This Row],[NAfter]],_xlpm.nToSell,0))</f>
        <v>198</v>
      </c>
      <c r="CY76" s="338">
        <f ca="1">IFERROR(TabCalc[[#This Row],[NMA]]*TabCalc[[#This Row],[M]],"")</f>
        <v>96247.8</v>
      </c>
      <c r="CZ76" s="337" cm="1">
        <f t="array" aca="1" ref="CZ76" ca="1">_xlfn.IFS(TabCalc[[#This Row],[M]]&gt;= TabCalc[[#This Row],[L_Sp]],(TabCalc[[#This Row],[M]]-TabCalc[[#This Row],[A]])*TabCalc[[#This Row],[NAfter]]*TabCalc[[#This Row],[Scale]],           TabCalc[[#This Row],[M]]&lt; TabCalc[[#This Row],[L_Sp]],(TabCalc[[#This Row],[M]]-TabCalc[[#This Row],[A]])*TabCalc[[#This Row],[NAfter]]*TabCalc[[#This Row],[Scale]],               TRUE,"")</f>
        <v>7538</v>
      </c>
      <c r="DA76" s="90">
        <f ca="1">IFERROR((TabCalc[[#This Row],[M]]+TabCalc[[#This Row],[L_Bp]])/ABS(TabCalc[[#This Row],[L_Bp]])/(TODAY()-TabCalc[[#This Row],[L_Bdate]])*360,"")</f>
        <v>0.75700365006588888</v>
      </c>
      <c r="DB76" s="312">
        <f ca="1">MEDIAN(DataShift!F775:Z775)</f>
        <v>0</v>
      </c>
      <c r="DC76" s="312" t="e" cm="1">
        <f t="array" aca="1" ref="DC7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6" s="88" t="s">
        <v>72</v>
      </c>
      <c r="DN76" s="81">
        <v>200</v>
      </c>
      <c r="DO76" s="317">
        <v>-85.85</v>
      </c>
    </row>
    <row r="77" spans="1:119">
      <c r="A77" s="120" t="str">
        <f ca="1">_xlfn.XLOOKUP(TabCalc[[#This Row],[Ticker]],[1]!RTData[Ticker symbol],[1]!RTData[Currency])</f>
        <v>USD</v>
      </c>
      <c r="B77" s="121">
        <f ca="1">IF(TabCalc[[#This Row],[Cur]]="GBP",0.01,1)</f>
        <v>1</v>
      </c>
      <c r="C77" s="82">
        <f ca="1">_xlfn.XLOOKUP(TabCalc[[#This Row],[Ticker]],DM$3:DM$96,DN$3:DN$96)</f>
        <v>12000</v>
      </c>
      <c r="D77" s="1254">
        <f ca="1">_xlfn.XLOOKUP(TabCalc[[#This Row],[Ticker]],DM$3:DM$96,DO$3:DO$96)</f>
        <v>-13.49</v>
      </c>
      <c r="E77" s="121">
        <f t="shared" ca="1" si="4"/>
        <v>-161880</v>
      </c>
      <c r="F77" s="82">
        <f ca="1">TabCalc[[#This Row],[NAfter]]*TabCalc[[#This Row],[M]]*TabCalc[[#This Row],[Scale]]</f>
        <v>0</v>
      </c>
      <c r="G77" s="82">
        <f ca="1">IFERROR(TabCalc[[#This Row],[SB]]-TabCalc[[#This Row],[SST]],TabCalc[[#This Row],[SB]])</f>
        <v>0</v>
      </c>
      <c r="H77" s="535" t="str">
        <f ca="1">[1]!RTData[[#This Row],[Ticker symbol]]</f>
        <v>F</v>
      </c>
      <c r="I77" s="385">
        <f ca="1">[1]!RTData[[#This Row],[M-Price]]</f>
        <v>13.84</v>
      </c>
      <c r="J77" s="384">
        <v>9.2349999999999994</v>
      </c>
      <c r="K77" s="383">
        <f>[1]!RTData[[#This Row],[1YT]]</f>
        <v>10.79</v>
      </c>
      <c r="L77" s="384">
        <f ca="1">IF(OR(TabCalc[[#This Row],[NAfter]]=0,TabCalc[[#This Row],[EfCost]]&gt;0),0,TabCalc[[#This Row],[EfCost]]/TabCalc[[#This Row],[NAfter]]/TabCalc[[#This Row],[Scale]])</f>
        <v>0</v>
      </c>
      <c r="M77" s="744">
        <f ca="1">[1]!RTData[[#This Row],[Change%]]</f>
        <v>0.121556</v>
      </c>
      <c r="N77" s="1172">
        <v>0.25</v>
      </c>
      <c r="O77" s="966">
        <f>TabCalc[[#This Row],[Up20]]-1+TabCalc[[#This Row],[Up20]]</f>
        <v>-0.5</v>
      </c>
      <c r="P77" s="966">
        <f>TabCalc[[#This Row],[Up20]]-TabCalc[[#This Row],[Up150]]</f>
        <v>-0.31521739130434778</v>
      </c>
      <c r="Q77" s="966">
        <v>0.56521739130434778</v>
      </c>
      <c r="R77" s="966">
        <f>TabCalc[[#This Row],[Up150]]-1+TabCalc[[#This Row],[Up150]]</f>
        <v>0.13043478260869557</v>
      </c>
      <c r="S77" s="966">
        <f ca="1">IFERROR(SUMPRODUCT(DataShift!F1569:Z1569,DataShift!AB776:AV776)/SQRT(SUMPRODUCT(DataShift!F1569:Z1569,DataShift!F1569:Z1569)*SUMPRODUCT(DataShift!AB776:AV776,DataShift!AB776:AV776)),0)</f>
        <v>-0.76769517574675505</v>
      </c>
      <c r="T77" s="966">
        <f ca="1">IFERROR(SUMPRODUCT(DataShift!F1569:Z1569,DataShift!F776:Z776)/SQRT(SUMPRODUCT(DataShift!F1569:Z1569,DataShift!F1569:Z1569)*SUMPRODUCT(DataShift!F776:Z776,DataShift!F776:Z776)),0)</f>
        <v>-0.36040667210931809</v>
      </c>
      <c r="U77" s="1107">
        <v>3000</v>
      </c>
      <c r="V77" s="1107">
        <v>0</v>
      </c>
      <c r="W77" s="1107">
        <v>0</v>
      </c>
      <c r="X77" s="966" t="str">
        <f ca="1">IF(TabCalc[[#This Row],[EfCost]]+TabCalc[[#This Row],[M_V]]&lt;TabCalc[[#This Row],[NoT_GL]],"Pile","")</f>
        <v>Pile</v>
      </c>
      <c r="Y7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7" s="213">
        <f ca="1">MIN(TabCalc[[#This Row],[L_Bn]],TabCalc[[#This Row],[NAfter]])*(TabCalc[[#This Row],[M]]+TabCalc[[#This Row],[L_Bp]])*TabCalc[[#This Row],[Scale]]</f>
        <v>0</v>
      </c>
      <c r="AA77" s="210" cm="1">
        <f t="array" aca="1" ref="AA77" ca="1">_xlfn.XLOOKUP(TabCalc[[#This Row],[L_Bp]],INDIRECT("TabReg["&amp;TabCalc[[#This Row],[Ticker]]&amp;"2]"),INDIRECT("TabReg["&amp;TabCalc[[#This Row],[Ticker]]&amp;"]"))</f>
        <v>45706</v>
      </c>
      <c r="AB77" s="181" cm="1">
        <f t="array" aca="1" ref="AB77" ca="1">_xlfn.XLOOKUP(TabCalc[[#This Row],[L_Bp]],INDIRECT("TabReg["&amp;TabCalc[[#This Row],[Ticker]]&amp;"2]"),INDIRECT("TabReg["&amp;TabCalc[[#This Row],[Ticker]]&amp;"1]"))</f>
        <v>10000</v>
      </c>
      <c r="AC77" s="192" cm="1">
        <f t="array" aca="1" ref="AC77" ca="1">IFERROR(INDEX(INDIRECT("TabReg["&amp;TabCalc[[#This Row],[Ticker]]&amp;"2]"),    _xlfn.XMATCH(    MAX(    _xlfn._xlws.FILTER(INDIRECT("TabReg["&amp;TabCalc[[#This Row],[Ticker]]&amp;"]"), INDIRECT("TabReg["&amp;TabCalc[[#This Row],[Ticker]]&amp;"2]")&lt;0)     ), INDIRECT("TabReg["&amp;TabCalc[[#This Row],[Ticker]]&amp;"]"),      0)), "")</f>
        <v>-9.2349999999999994</v>
      </c>
      <c r="AD77" s="213">
        <f ca="1">IFERROR(MIN(TabCalc[[#This Row],[L_B1n]],TabCalc[[#This Row],[NAfter]])*(TabCalc[[#This Row],[M]]+TabCalc[[#This Row],[L_B1p]])*TabCalc[[#This Row],[Scale]],"")</f>
        <v>0</v>
      </c>
      <c r="AE77" s="210" cm="1">
        <f t="array" aca="1" ref="AE7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45505</v>
      </c>
      <c r="AF77" s="181" cm="1">
        <f t="array" aca="1" ref="AF77" ca="1">IFERROR(_xlfn.XLOOKUP(TabCalc[[#This Row],[L_B1D]],INDIRECT("TabReg["&amp;TabCalc[[#This Row],[Ticker]]&amp;"]"),INDIRECT("TabReg["&amp;TabCalc[[#This Row],[Ticker]]&amp;"1]")),0)</f>
        <v>8000</v>
      </c>
      <c r="AG77" s="192" cm="1">
        <f t="array" aca="1" ref="AG77" ca="1">IFERROR(_xlfn.XLOOKUP(TabCalc[[#This Row],[L_B1D]],INDIRECT("TabReg["&amp;TabCalc[[#This Row],[Ticker]]&amp;"]"),INDIRECT("TabReg["&amp;TabCalc[[#This Row],[Ticker]]&amp;"2]")),0)</f>
        <v>-9.61</v>
      </c>
      <c r="AH77" s="302">
        <f ca="1">IFERROR(TabCalc[[#This Row],[L_Sn]]*(TabCalc[[#This Row],[L_Sp]]-TabCalc[[#This Row],[M]])*TabCalc[[#This Row],[Scale]],"")</f>
        <v>-5460.0000000000009</v>
      </c>
      <c r="AI77" s="210" cm="1">
        <f t="array" aca="1" ref="AI77" ca="1">IFERROR(_xlfn.XLOOKUP(TabCalc[[#This Row],[L_Sp]],INDIRECT("TabReg["&amp;TabCalc[[#This Row],[Ticker]]&amp;"2]"),INDIRECT("TabReg["&amp;TabCalc[[#This Row],[Ticker]]&amp;"]")),0)</f>
        <v>45950</v>
      </c>
      <c r="AJ77" s="181" cm="1">
        <f t="array" aca="1" ref="AJ77" ca="1">IFERROR(_xlfn.XLOOKUP(TabCalc[[#This Row],[L_Sp]],INDIRECT("TabReg["&amp;TabCalc[[#This Row],[Ticker]]&amp;"2]"),INDIRECT("TabReg["&amp;TabCalc[[#This Row],[Ticker]]&amp;"1]")),0)</f>
        <v>3000</v>
      </c>
      <c r="AK77" s="192" cm="1">
        <f t="array" aca="1" ref="AK77" ca="1">IFERROR(INDEX(INDIRECT("TabReg["&amp;TabCalc[[#This Row],[Ticker]]&amp;"2]"), _xlfn.XMATCH(MAX(_xlfn._xlws.FILTER(INDIRECT("TabReg["&amp;TabCalc[[#This Row],[Ticker]]&amp;"]"), INDIRECT("TabReg["&amp;TabCalc[[#This Row],[Ticker]]&amp;"2]")&gt;0)), INDIRECT("TabReg["&amp;TabCalc[[#This Row],[Ticker]]&amp;"]"), 0)), 0)</f>
        <v>12.02</v>
      </c>
      <c r="AL77" s="214">
        <f ca="1">IFERROR(TabCalc[[#This Row],[L_S1n]]*(TabCalc[[#This Row],[L_S1p]]-TabCalc[[#This Row],[M]])*TabCalc[[#This Row],[Scale]],0)</f>
        <v>-4859.9999999999991</v>
      </c>
      <c r="AM77" s="210" cm="1">
        <f t="array" aca="1" ref="AM7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45910</v>
      </c>
      <c r="AN77" s="181" cm="1">
        <f t="array" aca="1" ref="AN77" ca="1">IFERROR(_xlfn.XLOOKUP(TabCalc[[#This Row],[L_S1D]],INDIRECT("TabReg["&amp;TabCalc[[#This Row],[Ticker]]&amp;"]"),INDIRECT("TabReg["&amp;TabCalc[[#This Row],[Ticker]]&amp;"1]")),0)</f>
        <v>2000</v>
      </c>
      <c r="AO77" s="384" cm="1">
        <f t="array" aca="1" ref="AO77" ca="1">IFERROR(_xlfn.XLOOKUP(TabCalc[[#This Row],[L_S1D]],INDIRECT("TabReg["&amp;TabCalc[[#This Row],[Ticker]]&amp;"]"),INDIRECT("TabReg["&amp;TabCalc[[#This Row],[Ticker]]&amp;"2]")),0)</f>
        <v>11.41</v>
      </c>
      <c r="AP77" s="336">
        <f ca="1">_xlfn.LET(_xlpm.MVOpen,[1]!RTData[[#This Row],[Open]]*TabCalc[[#This Row],[NAfter]],_xlpm.MVNow,TabCalc[[#This Row],[M]]*TabCalc[[#This Row],[NAfter]],_xlpm.MVNow-_xlpm.MVOpen)*TabCalc[[#This Row],[Scale]]</f>
        <v>0</v>
      </c>
      <c r="AQ77" s="336">
        <f ca="1">_xlfn.LET(_xlpm.MVToday,DataShift!AV577,         _xlpm.MVY,DataShift!AU577,        _xlpm.MVYY, DataShift!AT577,                                IF(_xlpm.MVToday=_xlpm.MVY,_xlpm.MVY-_xlpm.MVYY,_xlpm.MVToday-_xlpm.MVY))</f>
        <v>5500</v>
      </c>
      <c r="AR77" s="336">
        <f ca="1">_xlfn.LET(_xlpm.MVToday,DataShift!AV577,         _xlpm.MVY,DataShift!AU577,        _xlpm.MVYY, DataShift!AT577,         _xlpm.MVYYY, DataShift!AS577,                      IF(_xlpm.MVToday=_xlpm.MVY,      _xlpm.MVYY-_xlpm.MVYYY,          _xlpm.MVY-_xlpm.MVYY))</f>
        <v>10120</v>
      </c>
      <c r="AS77" s="1078">
        <f ca="1">TabCalc[[#This Row],[Y]]/TabCalc[[#This Row],[M]]</f>
        <v>0.77962427745664731</v>
      </c>
      <c r="AT77" s="299" t="str" cm="1">
        <f t="array" aca="1" ref="AT77" ca="1">IFERROR(_xlfn.IFS(          TabCalc[[#This Row],[E]]&gt;0, "Free Trade",      TabCalc[[#This Row],[A]]&lt;MIN(TabCalc[[#This Row],[L_Sp]],TabCalc[[#This Row],[M]]), "Buy",            TabCalc[[#This Row],[M]]&lt;TabCalc[[#This Row],[L_Sp]],       "Refill",       TabCalc[[#This Row],[M]]&gt;TabCalc[[#This Row],[L_Sp]],"S_more"),"")</f>
        <v>Buy</v>
      </c>
      <c r="AU77" s="299" t="str">
        <f ca="1">IF(           AND(TabCalc[[#This Row],[E]]&lt;=0,          TabCalc[[#This Row],[A]]&gt;MIN(TabCalc[[#This Row],[M]],TabCalc[[#This Row],[L_Sp]]),             TabCalc[[#This Row],[L_Sp]]&lt;=TabCalc[[#This Row],[M]]),                       "S_more","")</f>
        <v/>
      </c>
      <c r="AV77" s="82" t="str" cm="1">
        <f t="array" aca="1" ref="AV77" ca="1">IFERROR(_xlfn.IFS(TabCalc[[#This Row],[E]]&gt;0,"Free trade",                 TabCalc[[#This Row],[A]]&lt;MAX(ABS(TabCalc[[#This Row],[L_Bp]]),TabCalc[[#This Row],[A]]),"Sell",             TabCalc[[#This Row],[M]]&gt;ABS(TabCalc[[#This Row],[L_Bp]]),"Resell",             TabCalc[[#This Row],[M]]&lt;ABS(TabCalc[[#This Row],[L_Bp]]),"B_more"),"")</f>
        <v>Resell</v>
      </c>
      <c r="AW77" s="82">
        <f ca="1">TabCalc[[#This Row],[NAfter]]-TabCalc[[#This Row],[Nbegin]]</f>
        <v>-12000</v>
      </c>
      <c r="AX77" s="307">
        <f ca="1">IFERROR((TabCalc[[#This Row],[M]]-TabCalc[[#This Row],[Y]])*(TabCalc[[#This Row],[M]]-TabCalc[[#This Row],[Y]])*(TabCalc[[#This Row],[M]]-TabCalc[[#This Row],[Y]])/(TabCalc[[#This Row],[Y]]*TabCalc[[#This Row],[M]]),"")</f>
        <v>0.18999491741979044</v>
      </c>
      <c r="AY77" s="82">
        <f t="shared" ca="1" si="5"/>
        <v>12000</v>
      </c>
      <c r="AZ77" s="90">
        <f ca="1">[1]!RTData[[#This Row],[V/VA]]</f>
        <v>2.4449132760383812</v>
      </c>
      <c r="BA77" s="90" t="str" cm="1">
        <f t="array" aca="1" ref="BA77" ca="1">IFERROR(_xlfn.IFS(TabCalc[[#This Row],[Cur]]="USD",Timer!F$27,TabCalc[[#This Row],[Cur]]="EUR",Timer!F$18,TabCalc[[#This Row],[Cur]]="GBP",Timer!F$12,TabCalc[[#This Row],[Cur]]="CAD",Timer!F$27,TabCalc[[#This Row],[Cur]]="JPY",Timer!F$31,TabCalc[[#This Row],[Cur]]="CHF",Timer!F$18),"Timing")</f>
        <v>None-Working Day</v>
      </c>
      <c r="BB77" s="90">
        <f ca="1">IF(ISNUMBER(TabCalc[[#This Row],[TimeEX]]),TabCalc[[#This Row],[V/VA]]/TabCalc[[#This Row],[TimeEX]],TabCalc[[#This Row],[V/VA]])</f>
        <v>2.4449132760383812</v>
      </c>
      <c r="BC77" s="87" cm="1">
        <f t="array" aca="1" ref="BC77" ca="1">INDEX(TabReg[], 1, _xlfn.XMATCH(TabCalc[[#This Row],[Ticker]]&amp;1, TabReg[#Headers], 0))</f>
        <v>12000</v>
      </c>
      <c r="BD77" s="161">
        <f ca="1">TabCalc[[#This Row],[Nbegin]]*TabCalc[[#This Row],[M]]*TabCalc[[#This Row],[Scale]]+TabCalc[[#This Row],[ValueBegin]]</f>
        <v>4200</v>
      </c>
      <c r="BE77" s="336" t="str" cm="1">
        <f t="array" aca="1" ref="BE77" ca="1">_xlfn.IFS(TabCalc[[#This Row],[Cost+Gain]]&gt;0,"Free",             TabCalc[[#This Row],[GL]]&gt;0,"Gainer",                TRUE,"Looser")</f>
        <v>Looser</v>
      </c>
      <c r="BF77" s="161">
        <f ca="1">TabCalc[[#This Row],[Tot_Paid]]-TabCalc[[#This Row],[ValueBegin]]</f>
        <v>-484024.99799999991</v>
      </c>
      <c r="BG77" s="337">
        <f ca="1">IF(TabCalc[[#This Row],[EfCost]]&gt;TabCalc[[#This Row],[ValueBegin]],       0,        TabCalc[[#This Row],[EfCost]]-TabCalc[[#This Row],[ValueBegin]]*(1+Commission))</f>
        <v>0</v>
      </c>
      <c r="BH77" s="338">
        <f ca="1">TabCalc[[#This Row],[M_V]]+TabCalc[[#This Row],[ValueBegin]]</f>
        <v>-161880</v>
      </c>
      <c r="BI77" s="161" cm="1">
        <f t="array" aca="1" ref="BI77" ca="1">SUMPRODUCT(_xlfn._xlws.FILTER(INDIRECT("TabReg["&amp;TabCalc[[#This Row],[Ticker]]&amp;"1]") * INDIRECT("TabReg["&amp;TabCalc[[#This Row],[Ticker]]&amp;"2]"), INDIRECT("TabReg["&amp;TabCalc[[#This Row],[Ticker]]&amp;"2]")&lt;0))*(1+Commission)*TabCalc[[#This Row],[Scale]]</f>
        <v>-645904.99799999991</v>
      </c>
      <c r="BJ77" s="161" cm="1">
        <f t="array" aca="1" ref="BJ77" ca="1">SUMPRODUCT(IF(INDIRECT("TabReg["&amp;TabCalc[[#This Row],[Ticker]]&amp;"2]") ="", 0, INDIRECT("TabReg["&amp;TabCalc[[#This Row],[Ticker]]&amp;"1]") * INDIRECT("TabReg["&amp;TabCalc[[#This Row],[Ticker]]&amp;"2]") ))*TabCalc[[#This Row],[Scale]]</f>
        <v>-12620</v>
      </c>
      <c r="BK77" s="161" cm="1">
        <f t="array" aca="1" ref="BK7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629967.81400000001</v>
      </c>
      <c r="BL77" s="161">
        <f ca="1">TabCalc[[#This Row],[M_V]]+TabCalc[[#This Row],[EfCost]]</f>
        <v>-12620</v>
      </c>
      <c r="BM77" s="161">
        <f ca="1">IF(        OR( TabCalc[[#This Row],[GL]]&gt;ABS(TabCalc[[#This Row],[EfCost]]),TabCalc[[#This Row],[NAfter]]=0),             TabCalc[[#This Row],[GL]],     0)</f>
        <v>-12620</v>
      </c>
      <c r="BN77" s="161" cm="1">
        <f t="array" aca="1" ref="BN77" ca="1">SUMPRODUCT(_xlfn._xlws.FILTER(IF(INDIRECT("TabReg["&amp;TabCalc[[#This Row],[Ticker]]&amp;"2]") ="", 0, INDIRECT("TabReg["&amp;TabCalc[[#This Row],[Ticker]]&amp;"1]")  ),  INDIRECT("TabReg["&amp;TabCalc[[#This Row],[Ticker]]&amp;"2]") &lt; 0))</f>
        <v>56000</v>
      </c>
      <c r="BO77" s="161">
        <f ca="1">TabCalc[[#This Row],[SB]]-TabCalc[[#This Row],[Nbegin]]</f>
        <v>44000</v>
      </c>
      <c r="BP77" s="161" cm="1">
        <f t="array" aca="1" ref="BP77" ca="1">IFERROR(SUMPRODUCT(_xlfn._xlws.FILTER(IF(INDIRECT("TabReg["&amp;TabCalc[[#This Row],[Ticker]]&amp;"2]") ="", 0, INDIRECT("TabReg["&amp;TabCalc[[#This Row],[Ticker]]&amp;"1]")  ),  INDIRECT("TabReg["&amp;TabCalc[[#This Row],[Ticker]]&amp;"2]") &gt; 0)),0)</f>
        <v>56000</v>
      </c>
      <c r="BQ77"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7" s="176" t="str">
        <f ca="1">IF(TabCalc[[#This Row],[EfCost]]+TabCalc[[#This Row],[M_V]]&lt;TabCalc[[#This Row],[NoT_GL]],"Pile","")</f>
        <v>Pile</v>
      </c>
      <c r="BS77" s="167">
        <f ca="1">[1]!RTData[[#This Row],[Last trade time]]</f>
        <v>45954.999877800779</v>
      </c>
      <c r="BT77" s="177">
        <f ca="1">(TabCalc[[#This Row],[ValueBegin]]+(TabCalc[[#This Row],[M]]-TabCalc[[#This Row],[A]])*TabCalc[[#This Row],[NAfter]])*TabCalc[[#This Row],[Scale]]</f>
        <v>-161880</v>
      </c>
      <c r="BU77" s="189" cm="1">
        <f t="array" aca="1" ref="BU77" ca="1">_xlfn.XLOOKUP(TabCalc[[#This Row],[Ticker]],TabReg[[#Headers],[AAPL]:[UnknownX28]],Reg!B$72:KF$72)+3</f>
        <v>19</v>
      </c>
      <c r="BV77" s="190" cm="1">
        <f t="array" aca="1" ref="BV77" ca="1">_xlfn.XLOOKUP(TabCalc[[#This Row],[Ticker]],TabReg[[#Headers],[AAPL]:[UnknownX28]],Reg!B$73:KF$73)+2</f>
        <v>228</v>
      </c>
      <c r="BW77" s="191">
        <f ca="1">IFERROR(MAX(TabCalc[[#This Row],[Max_SD]],TabCalc[[#This Row],[Max_PD]]),0)</f>
        <v>45950</v>
      </c>
      <c r="BX77" s="191" t="str" cm="1">
        <f t="array" aca="1" ref="BX77" ca="1">_xlfn.IFS(TabCalc[[#This Row],[L_TP]]&lt;0,"Purchase",TabCalc[[#This Row],[L_TP]]&gt;0,"Sale")</f>
        <v>Sale</v>
      </c>
      <c r="BY77" s="190" cm="1">
        <f t="array" aca="1" ref="BY77" ca="1">INDEX(Reg!$A$1:$KF$73,TabCalc[[#This Row],[L_I1]],TabCalc[[#This Row],[L_I2]])</f>
        <v>3000</v>
      </c>
      <c r="BZ77" s="192" cm="1">
        <f t="array" aca="1" ref="BZ77" ca="1">INDEX(Reg!$A$1:$KF$73,TabCalc[[#This Row],[L_I1]],TabCalc[[#This Row],[L_I2]]+1)</f>
        <v>12.02</v>
      </c>
      <c r="CA77" s="161">
        <f ca="1">TabCalc[[#This Row],[NAfter]]*(TabCalc[[#This Row],[M]]-IF(TabCalc[[#This Row],[E]]&gt;0,0,TabCalc[[#This Row],[A]]))</f>
        <v>0</v>
      </c>
      <c r="CB77" s="167" cm="1">
        <f t="array" aca="1" ref="CB77" ca="1">IFERROR(MIN(_xlfn._xlws.FILTER(INDIRECT("TabReg["&amp;TabCalc[[#This Row],[Ticker]]&amp;"]"), INDIRECT("TabReg["&amp;TabCalc[[#This Row],[Ticker]]&amp;"2]")&gt;0)),0)</f>
        <v>45379</v>
      </c>
      <c r="CC77" s="178" cm="1">
        <f t="array" aca="1" ref="CC77" ca="1">IFERROR(MIN(_xlfn._xlws.FILTER(INDIRECT("TabReg["&amp;TabCalc[[#This Row],[Ticker]]&amp;"1]"), INDIRECT("TabReg["&amp;TabCalc[[#This Row],[Ticker]]&amp;"2]")&gt;0)),0)</f>
        <v>2000</v>
      </c>
      <c r="CD77" s="173" cm="1">
        <f t="array" aca="1" ref="CD77" ca="1">IFERROR(MIN(_xlfn._xlws.FILTER(INDIRECT("TabReg["&amp;TabCalc[[#This Row],[Ticker]]&amp;"2]"), INDIRECT("TabReg["&amp;TabCalc[[#This Row],[Ticker]]&amp;"2]")&gt;0)),0)</f>
        <v>9.6750000000000007</v>
      </c>
      <c r="CE77" s="167" cm="1">
        <f t="array" aca="1" ref="CE77" ca="1">IFERROR(MAX(_xlfn._xlws.FILTER(INDIRECT("TabReg["&amp;TabCalc[[#This Row],[Ticker]]&amp;"]"), INDIRECT("TabReg["&amp;TabCalc[[#This Row],[Ticker]]&amp;"2]")&gt;0)),0)</f>
        <v>45950</v>
      </c>
      <c r="CF77" s="178" cm="1">
        <f t="array" aca="1" ref="CF77" ca="1">IFERROR(MAX(_xlfn._xlws.FILTER(INDIRECT("TabReg["&amp;TabCalc[[#This Row],[Ticker]]&amp;"1]"), INDIRECT("TabReg["&amp;TabCalc[[#This Row],[Ticker]]&amp;"2]")&gt;0)),0)</f>
        <v>10000</v>
      </c>
      <c r="CG77" s="173" cm="1">
        <f t="array" aca="1" ref="CG77" ca="1">IFERROR(MAX(_xlfn._xlws.FILTER(INDIRECT("TabReg["&amp;TabCalc[[#This Row],[Ticker]]&amp;"2]"), INDIRECT("TabReg["&amp;TabCalc[[#This Row],[Ticker]]&amp;"2]")&gt;0)),0)</f>
        <v>14.5</v>
      </c>
      <c r="CH77" s="167" cm="1">
        <f t="array" aca="1" ref="CH77" ca="1">MIN(_xlfn._xlws.FILTER(INDIRECT("TabReg["&amp;TabCalc[[#This Row],[Ticker]]&amp;"]"), INDIRECT("TabReg["&amp;TabCalc[[#This Row],[Ticker]]&amp;"2]")&lt;0))</f>
        <v>40544</v>
      </c>
      <c r="CI77" s="177" cm="1">
        <f t="array" aca="1" ref="CI77" ca="1">MIN(_xlfn._xlws.FILTER(INDIRECT("TabReg["&amp;TabCalc[[#This Row],[Ticker]]&amp;"1]"), INDIRECT("TabReg["&amp;TabCalc[[#This Row],[Ticker]]&amp;"2]")&lt;0))</f>
        <v>6000</v>
      </c>
      <c r="CJ77" s="173" cm="1">
        <f t="array" aca="1" ref="CJ77" ca="1">MIN(_xlfn._xlws.FILTER(INDIRECT("TabReg["&amp;TabCalc[[#This Row],[Ticker]]&amp;"2]"), INDIRECT("TabReg["&amp;TabCalc[[#This Row],[Ticker]]&amp;"2]")&lt;0))</f>
        <v>-13.49</v>
      </c>
      <c r="CK77" s="167" cm="1">
        <f t="array" aca="1" ref="CK77" ca="1">MAX(_xlfn._xlws.FILTER(INDIRECT("TabReg["&amp;TabCalc[[#This Row],[Ticker]]&amp;"]"), INDIRECT("TabReg["&amp;TabCalc[[#This Row],[Ticker]]&amp;"2]")&lt;0))</f>
        <v>45706</v>
      </c>
      <c r="CL77" s="177" cm="1">
        <f t="array" aca="1" ref="CL77" ca="1">MAX(_xlfn._xlws.FILTER(INDIRECT("TabReg["&amp;TabCalc[[#This Row],[Ticker]]&amp;"1]"), INDIRECT("TabReg["&amp;TabCalc[[#This Row],[Ticker]]&amp;"2]")&lt;0))</f>
        <v>12000</v>
      </c>
      <c r="CM77" s="173" cm="1">
        <f t="array" aca="1" ref="CM77" ca="1">MAX(_xlfn._xlws.FILTER(INDIRECT("TabReg["&amp;TabCalc[[#This Row],[Ticker]]&amp;"2]"), INDIRECT("TabReg["&amp;TabCalc[[#This Row],[Ticker]]&amp;"2]")&lt;0))</f>
        <v>-9.2349999999999994</v>
      </c>
      <c r="CN77" s="167" cm="1">
        <f t="array" aca="1" ref="CN77" ca="1">IFERROR(_xlfn.XLOOKUP(TabCalc[[#This Row],[BS2P]],INDIRECT("TabReg["&amp;TabCalc[[#This Row],[Ticker]]&amp;"2]"),INDIRECT("TabReg["&amp;TabCalc[[#This Row],[Ticker]]&amp;"]")),0)</f>
        <v>45379</v>
      </c>
      <c r="CO77" s="178" cm="1">
        <f t="array" aca="1" ref="CO77" ca="1">IFERROR(_xlfn.XLOOKUP(TabCalc[[#This Row],[BS2P]],INDIRECT("TabReg["&amp;TabCalc[[#This Row],[Ticker]]&amp;"2]"),INDIRECT("TabReg["&amp;TabCalc[[#This Row],[Ticker]]&amp;"1]")),0)</f>
        <v>6000</v>
      </c>
      <c r="CP77" s="173">
        <f ca="1">_xlfn.MAXIFS(INDIRECT("TabReg["&amp;TabCalc[[#This Row],[Ticker]]&amp;"2]"), INDIRECT("TabReg["&amp;TabCalc[[#This Row],[Ticker]]&amp;"2]"), "&lt;" &amp; MAX(INDIRECT("TabReg["&amp;TabCalc[[#This Row],[Ticker]]&amp;"2]")))</f>
        <v>13.26</v>
      </c>
      <c r="CQ77" s="167" cm="1">
        <f t="array" aca="1" ref="CQ77" ca="1">IFERROR(_xlfn.XLOOKUP(TabCalc[[#This Row],[WB2P]],INDIRECT("TabReg["&amp;TabCalc[[#This Row],[Ticker]]&amp;"2]"),INDIRECT("TabReg["&amp;TabCalc[[#This Row],[Ticker]]&amp;"]")),0)</f>
        <v>45407</v>
      </c>
      <c r="CR77" s="178" cm="1">
        <f t="array" aca="1" ref="CR77" ca="1">IFERROR(_xlfn.XLOOKUP(TabCalc[[#This Row],[WB2P]],INDIRECT("TabReg["&amp;TabCalc[[#This Row],[Ticker]]&amp;"2]"),INDIRECT("TabReg["&amp;TabCalc[[#This Row],[Ticker]]&amp;"1]")),0)</f>
        <v>6000</v>
      </c>
      <c r="CS77" s="173">
        <f ca="1">_xlfn.MINIFS(INDIRECT("TabReg["&amp;TabCalc[[#This Row],[Ticker]]&amp;"2]"), INDIRECT("TabReg["&amp;TabCalc[[#This Row],[Ticker]]&amp;"2]"), "&gt;" &amp; MIN(INDIRECT("TabReg["&amp;TabCalc[[#This Row],[Ticker]]&amp;"2]")))</f>
        <v>-12.95</v>
      </c>
      <c r="CT77" s="405">
        <f ca="1">IF(TabCalc[[#This Row],[M]]&lt;TabCalc[[#This Row],[L_Sp]],DesiredBuyGain/(TabCalc[[#This Row],[L_Sp]]-TabCalc[[#This Row],[M]]),0)</f>
        <v>0</v>
      </c>
      <c r="CU77" s="406">
        <f ca="1">IF(TabCalc[[#This Row],[ntoBuy]]*TabCalc[[#This Row],[M]]&lt;=0,0,TabCalc[[#This Row],[ntoBuy]]*TabCalc[[#This Row],[M]])</f>
        <v>0</v>
      </c>
      <c r="CV77" s="406">
        <f ca="1">IF(TabCalc[[#This Row],[M]]&gt;ABS(TabCalc[[#This Row],[L_Bp]]),MIN(TabCalc[[#This Row],[NAfter]],DesiredSaleGain/(TabCalc[[#This Row],[M]]+TabCalc[[#This Row],[L_Bp]])),0)/TabCalc[[#This Row],[Scale]]</f>
        <v>0</v>
      </c>
      <c r="CW77" s="407">
        <f ca="1">TabCalc[[#This Row],[ntoSell]]*TabCalc[[#This Row],[M]]</f>
        <v>0</v>
      </c>
      <c r="CX77" s="400">
        <f ca="1">_xlfn.LET(_xlpm.nToSell,IF(TabCalc[[#This Row],[M]]-TabCalc[[#This Row],[A]]&lt;=0,"",INT(DesiredSaleGain/(TabCalc[[#This Row],[M]]-IF(TabCalc[[#This Row],[E]]&gt;0,0,TabCalc[[#This Row],[A]])))),IF(_xlpm.nToSell&lt;=TabCalc[[#This Row],[NAfter]],_xlpm.nToSell,0))</f>
        <v>0</v>
      </c>
      <c r="CY77" s="338">
        <f ca="1">IFERROR(TabCalc[[#This Row],[NMA]]*TabCalc[[#This Row],[M]],"")</f>
        <v>0</v>
      </c>
      <c r="CZ77" s="337" cm="1">
        <f t="array" aca="1" ref="CZ77" ca="1">_xlfn.IFS(TabCalc[[#This Row],[M]]&gt;= TabCalc[[#This Row],[L_Sp]],(TabCalc[[#This Row],[M]]-TabCalc[[#This Row],[A]])*TabCalc[[#This Row],[NAfter]]*TabCalc[[#This Row],[Scale]],           TabCalc[[#This Row],[M]]&lt; TabCalc[[#This Row],[L_Sp]],(TabCalc[[#This Row],[M]]-TabCalc[[#This Row],[A]])*TabCalc[[#This Row],[NAfter]]*TabCalc[[#This Row],[Scale]],               TRUE,"")</f>
        <v>0</v>
      </c>
      <c r="DA77" s="90">
        <f ca="1">IFERROR((TabCalc[[#This Row],[M]]+TabCalc[[#This Row],[L_Bp]])/ABS(TabCalc[[#This Row],[L_Bp]])/(TODAY()-TabCalc[[#This Row],[L_Bdate]])*360,"")</f>
        <v>0.71805089334055239</v>
      </c>
      <c r="DB77" s="312">
        <f ca="1">MEDIAN(DataShift!F776:Z776)</f>
        <v>2.9889999999999999E-3</v>
      </c>
      <c r="DC77" s="312" t="str" cm="1">
        <f t="array" aca="1" ref="DC7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77" s="88" t="s">
        <v>73</v>
      </c>
      <c r="DN77" s="82">
        <v>160</v>
      </c>
      <c r="DO77" s="317">
        <v>-623.04</v>
      </c>
    </row>
    <row r="78" spans="1:119">
      <c r="A78" s="120" t="str">
        <f ca="1">_xlfn.XLOOKUP(TabCalc[[#This Row],[Ticker]],[1]!RTData[Ticker symbol],[1]!RTData[Currency])</f>
        <v>EUR</v>
      </c>
      <c r="B78" s="120">
        <f ca="1">IF(TabCalc[[#This Row],[Cur]]="GBP",0.01,1)</f>
        <v>1</v>
      </c>
      <c r="C78" s="82">
        <f ca="1">_xlfn.XLOOKUP(TabCalc[[#This Row],[Ticker]],DM$3:DM$96,DN$3:DN$96)</f>
        <v>5000</v>
      </c>
      <c r="D78" s="1254">
        <f ca="1">_xlfn.XLOOKUP(TabCalc[[#This Row],[Ticker]],DM$3:DM$96,DO$3:DO$96)</f>
        <v>-19.63</v>
      </c>
      <c r="E78" s="121">
        <f t="shared" ca="1" si="4"/>
        <v>-98150</v>
      </c>
      <c r="F78" s="82">
        <f ca="1">TabCalc[[#This Row],[NAfter]]*TabCalc[[#This Row],[M]]*TabCalc[[#This Row],[Scale]]</f>
        <v>0</v>
      </c>
      <c r="G78" s="82">
        <f ca="1">IFERROR(TabCalc[[#This Row],[SB]]-TabCalc[[#This Row],[SST]],TabCalc[[#This Row],[SB]])</f>
        <v>0</v>
      </c>
      <c r="H78" s="535" t="str">
        <f ca="1">[1]!RTData[[#This Row],[Ticker symbol]]</f>
        <v>GLE</v>
      </c>
      <c r="I78" s="385">
        <f ca="1">[1]!RTData[[#This Row],[M-Price]]</f>
        <v>53.68</v>
      </c>
      <c r="J78" s="384">
        <v>502.55</v>
      </c>
      <c r="K78" s="383">
        <f>[1]!RTData[[#This Row],[1YT]]</f>
        <v>60.69</v>
      </c>
      <c r="L78" s="384">
        <f ca="1">IF(OR(TabCalc[[#This Row],[NAfter]]=0,TabCalc[[#This Row],[EfCost]]&gt;0),0,TabCalc[[#This Row],[EfCost]]/TabCalc[[#This Row],[NAfter]]/TabCalc[[#This Row],[Scale]])</f>
        <v>0</v>
      </c>
      <c r="M78" s="744">
        <f ca="1">[1]!RTData[[#This Row],[Change%]]</f>
        <v>1.8659999999999998E-3</v>
      </c>
      <c r="N78" s="1172">
        <v>0.38095238095238093</v>
      </c>
      <c r="O78" s="966">
        <f>TabCalc[[#This Row],[Up20]]-1+TabCalc[[#This Row],[Up20]]</f>
        <v>-0.23809523809523814</v>
      </c>
      <c r="P78" s="966">
        <f>TabCalc[[#This Row],[Up20]]-TabCalc[[#This Row],[Up150]]</f>
        <v>-0.11573636076947336</v>
      </c>
      <c r="Q78" s="966">
        <v>0.49668874172185429</v>
      </c>
      <c r="R78" s="966">
        <f>TabCalc[[#This Row],[Up150]]-1+TabCalc[[#This Row],[Up150]]</f>
        <v>-6.6225165562914245E-3</v>
      </c>
      <c r="S78" s="966">
        <f ca="1">IFERROR(SUMPRODUCT(DataShift!F1570:Z1570,DataShift!AB777:AV777)/SQRT(SUMPRODUCT(DataShift!F1570:Z1570,DataShift!F1570:Z1570)*SUMPRODUCT(DataShift!AB777:AV777,DataShift!AB777:AV777)),0)</f>
        <v>0.66562315599640731</v>
      </c>
      <c r="T78" s="966">
        <f ca="1">IFERROR(SUMPRODUCT(DataShift!F1570:Z1570,DataShift!F777:Z777)/SQRT(SUMPRODUCT(DataShift!F1570:Z1570,DataShift!F1570:Z1570)*SUMPRODUCT(DataShift!F777:Z777,DataShift!F777:Z777)),0)</f>
        <v>0.21333534932343645</v>
      </c>
      <c r="U78" s="1107">
        <v>0</v>
      </c>
      <c r="V78" s="1107">
        <v>20000</v>
      </c>
      <c r="W78" s="1107">
        <v>0</v>
      </c>
      <c r="X78" s="966" t="str">
        <f ca="1">IF(TabCalc[[#This Row],[EfCost]]+TabCalc[[#This Row],[M_V]]&lt;TabCalc[[#This Row],[NoT_GL]],"Pile","")</f>
        <v>Pile</v>
      </c>
      <c r="Y7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78" s="213">
        <f ca="1">MIN(TabCalc[[#This Row],[L_Bn]],TabCalc[[#This Row],[NAfter]])*(TabCalc[[#This Row],[M]]+TabCalc[[#This Row],[L_Bp]])*TabCalc[[#This Row],[Scale]]</f>
        <v>0</v>
      </c>
      <c r="AA78" s="210" cm="1">
        <f t="array" aca="1" ref="AA78" ca="1">_xlfn.XLOOKUP(TabCalc[[#This Row],[L_Bp]],INDIRECT("TabReg["&amp;TabCalc[[#This Row],[Ticker]]&amp;"2]"),INDIRECT("TabReg["&amp;TabCalc[[#This Row],[Ticker]]&amp;"]"))</f>
        <v>45674</v>
      </c>
      <c r="AB78" s="181" cm="1">
        <f t="array" aca="1" ref="AB78" ca="1">_xlfn.XLOOKUP(TabCalc[[#This Row],[L_Bp]],INDIRECT("TabReg["&amp;TabCalc[[#This Row],[Ticker]]&amp;"2]"),INDIRECT("TabReg["&amp;TabCalc[[#This Row],[Ticker]]&amp;"1]"))</f>
        <v>2000</v>
      </c>
      <c r="AC78" s="192" cm="1">
        <f t="array" aca="1" ref="AC78" ca="1">IFERROR(INDEX(INDIRECT("TabReg["&amp;TabCalc[[#This Row],[Ticker]]&amp;"2]"),    _xlfn.XMATCH(    MAX(    _xlfn._xlws.FILTER(INDIRECT("TabReg["&amp;TabCalc[[#This Row],[Ticker]]&amp;"]"), INDIRECT("TabReg["&amp;TabCalc[[#This Row],[Ticker]]&amp;"2]")&lt;0)     ), INDIRECT("TabReg["&amp;TabCalc[[#This Row],[Ticker]]&amp;"]"),      0)), "")</f>
        <v>-28.94</v>
      </c>
      <c r="AD78" s="213">
        <f ca="1">IFERROR(MIN(TabCalc[[#This Row],[L_B1n]],TabCalc[[#This Row],[NAfter]])*(TabCalc[[#This Row],[M]]+TabCalc[[#This Row],[L_B1p]])*TabCalc[[#This Row],[Scale]],"")</f>
        <v>0</v>
      </c>
      <c r="AE78" s="210" cm="1">
        <f t="array" aca="1" ref="AE7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45541</v>
      </c>
      <c r="AF78" s="181" cm="1">
        <f t="array" aca="1" ref="AF78" ca="1">IFERROR(_xlfn.XLOOKUP(TabCalc[[#This Row],[L_B1D]],INDIRECT("TabReg["&amp;TabCalc[[#This Row],[Ticker]]&amp;"]"),INDIRECT("TabReg["&amp;TabCalc[[#This Row],[Ticker]]&amp;"1]")),0)</f>
        <v>2000</v>
      </c>
      <c r="AG78" s="192" cm="1">
        <f t="array" aca="1" ref="AG78" ca="1">IFERROR(_xlfn.XLOOKUP(TabCalc[[#This Row],[L_B1D]],INDIRECT("TabReg["&amp;TabCalc[[#This Row],[Ticker]]&amp;"]"),INDIRECT("TabReg["&amp;TabCalc[[#This Row],[Ticker]]&amp;"2]")),0)</f>
        <v>-21.87</v>
      </c>
      <c r="AH78" s="302">
        <f ca="1">IFERROR(TabCalc[[#This Row],[L_Sn]]*(TabCalc[[#This Row],[L_Sp]]-TabCalc[[#This Row],[M]])*TabCalc[[#This Row],[Scale]],"")</f>
        <v>-45160</v>
      </c>
      <c r="AI78" s="210" cm="1">
        <f t="array" aca="1" ref="AI78" ca="1">IFERROR(_xlfn.XLOOKUP(TabCalc[[#This Row],[L_Sp]],INDIRECT("TabReg["&amp;TabCalc[[#This Row],[Ticker]]&amp;"2]"),INDIRECT("TabReg["&amp;TabCalc[[#This Row],[Ticker]]&amp;"]")),0)</f>
        <v>45687</v>
      </c>
      <c r="AJ78" s="181" cm="1">
        <f t="array" aca="1" ref="AJ78" ca="1">IFERROR(_xlfn.XLOOKUP(TabCalc[[#This Row],[L_Sp]],INDIRECT("TabReg["&amp;TabCalc[[#This Row],[Ticker]]&amp;"2]"),INDIRECT("TabReg["&amp;TabCalc[[#This Row],[Ticker]]&amp;"1]")),0)</f>
        <v>2000</v>
      </c>
      <c r="AK78" s="192" cm="1">
        <f t="array" aca="1" ref="AK78" ca="1">IFERROR(INDEX(INDIRECT("TabReg["&amp;TabCalc[[#This Row],[Ticker]]&amp;"2]"), _xlfn.XMATCH(MAX(_xlfn._xlws.FILTER(INDIRECT("TabReg["&amp;TabCalc[[#This Row],[Ticker]]&amp;"]"), INDIRECT("TabReg["&amp;TabCalc[[#This Row],[Ticker]]&amp;"2]")&gt;0)), INDIRECT("TabReg["&amp;TabCalc[[#This Row],[Ticker]]&amp;"]"), 0)), 0)</f>
        <v>31.1</v>
      </c>
      <c r="AL78" s="214">
        <f ca="1">IFERROR(TabCalc[[#This Row],[L_S1n]]*(TabCalc[[#This Row],[L_S1p]]-TabCalc[[#This Row],[M]])*TabCalc[[#This Row],[Scale]],0)</f>
        <v>-61241.599999999999</v>
      </c>
      <c r="AM78" s="210" cm="1">
        <f t="array" aca="1" ref="AM7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45606</v>
      </c>
      <c r="AN78" s="181" cm="1">
        <f t="array" aca="1" ref="AN78" ca="1">IFERROR(_xlfn.XLOOKUP(TabCalc[[#This Row],[L_S1D]],INDIRECT("TabReg["&amp;TabCalc[[#This Row],[Ticker]]&amp;"]"),INDIRECT("TabReg["&amp;TabCalc[[#This Row],[Ticker]]&amp;"1]")),0)</f>
        <v>2000</v>
      </c>
      <c r="AO78" s="384" cm="1">
        <f t="array" aca="1" ref="AO78" ca="1">IFERROR(_xlfn.XLOOKUP(TabCalc[[#This Row],[L_S1D]],INDIRECT("TabReg["&amp;TabCalc[[#This Row],[Ticker]]&amp;"]"),INDIRECT("TabReg["&amp;TabCalc[[#This Row],[Ticker]]&amp;"2]")),0)</f>
        <v>23.059200000000001</v>
      </c>
      <c r="AP78" s="336">
        <f ca="1">_xlfn.LET(_xlpm.MVOpen,[1]!RTData[[#This Row],[Open]]*TabCalc[[#This Row],[NAfter]],_xlpm.MVNow,TabCalc[[#This Row],[M]]*TabCalc[[#This Row],[NAfter]],_xlpm.MVNow-_xlpm.MVOpen)*TabCalc[[#This Row],[Scale]]</f>
        <v>0</v>
      </c>
      <c r="AQ78" s="336">
        <f ca="1">_xlfn.LET(_xlpm.MVToday,DataShift!AV578,         _xlpm.MVY,DataShift!AU578,        _xlpm.MVYY, DataShift!AT578,                                IF(_xlpm.MVToday=_xlpm.MVY,_xlpm.MVY-_xlpm.MVYY,_xlpm.MVToday-_xlpm.MVY))</f>
        <v>1980</v>
      </c>
      <c r="AR78" s="336">
        <f ca="1">_xlfn.LET(_xlpm.MVToday,DataShift!AV578,         _xlpm.MVY,DataShift!AU578,        _xlpm.MVYY, DataShift!AT578,         _xlpm.MVYYY, DataShift!AS578,                      IF(_xlpm.MVToday=_xlpm.MVY,      _xlpm.MVYY-_xlpm.MVYYY,          _xlpm.MVY-_xlpm.MVYY))</f>
        <v>-4140</v>
      </c>
      <c r="AS78" s="1078">
        <f ca="1">TabCalc[[#This Row],[Y]]/TabCalc[[#This Row],[M]]</f>
        <v>1.1305886736214605</v>
      </c>
      <c r="AT78" s="299" t="str" cm="1">
        <f t="array" aca="1" ref="AT78" ca="1">IFERROR(_xlfn.IFS(          TabCalc[[#This Row],[E]]&gt;0, "Free Trade",      TabCalc[[#This Row],[A]]&lt;MIN(TabCalc[[#This Row],[L_Sp]],TabCalc[[#This Row],[M]]), "Buy",            TabCalc[[#This Row],[M]]&lt;TabCalc[[#This Row],[L_Sp]],       "Refill",       TabCalc[[#This Row],[M]]&gt;TabCalc[[#This Row],[L_Sp]],"S_more"),"")</f>
        <v>S_more</v>
      </c>
      <c r="AU78" s="299" t="str">
        <f ca="1">IF(           AND(TabCalc[[#This Row],[E]]&lt;=0,          TabCalc[[#This Row],[A]]&gt;MIN(TabCalc[[#This Row],[M]],TabCalc[[#This Row],[L_Sp]]),             TabCalc[[#This Row],[L_Sp]]&lt;=TabCalc[[#This Row],[M]]),                       "S_more","")</f>
        <v>S_more</v>
      </c>
      <c r="AV78" s="82" t="str" cm="1">
        <f t="array" aca="1" ref="AV78" ca="1">IFERROR(_xlfn.IFS(TabCalc[[#This Row],[E]]&gt;0,"Free trade",                 TabCalc[[#This Row],[A]]&lt;MAX(ABS(TabCalc[[#This Row],[L_Bp]]),TabCalc[[#This Row],[A]]),"Sell",             TabCalc[[#This Row],[M]]&gt;ABS(TabCalc[[#This Row],[L_Bp]]),"Resell",             TabCalc[[#This Row],[M]]&lt;ABS(TabCalc[[#This Row],[L_Bp]]),"B_more"),"")</f>
        <v>Resell</v>
      </c>
      <c r="AW78" s="82">
        <f ca="1">TabCalc[[#This Row],[NAfter]]-TabCalc[[#This Row],[Nbegin]]</f>
        <v>-5000</v>
      </c>
      <c r="AX78" s="307">
        <f ca="1">IFERROR((TabCalc[[#This Row],[M]]-TabCalc[[#This Row],[Y]])*(TabCalc[[#This Row],[M]]-TabCalc[[#This Row],[Y]])*(TabCalc[[#This Row],[M]]-TabCalc[[#This Row],[Y]])/(TabCalc[[#This Row],[Y]]*TabCalc[[#This Row],[M]]),"")</f>
        <v>-0.10573637305364848</v>
      </c>
      <c r="AY78" s="82">
        <f t="shared" ca="1" si="5"/>
        <v>5000</v>
      </c>
      <c r="AZ78" s="90">
        <f ca="1">[1]!RTData[[#This Row],[V/VA]]</f>
        <v>0.79786255716959531</v>
      </c>
      <c r="BA78" s="90" t="str" cm="1">
        <f t="array" aca="1" ref="BA78" ca="1">IFERROR(_xlfn.IFS(TabCalc[[#This Row],[Cur]]="USD",Timer!F$27,TabCalc[[#This Row],[Cur]]="EUR",Timer!F$18,TabCalc[[#This Row],[Cur]]="GBP",Timer!F$12,TabCalc[[#This Row],[Cur]]="CAD",Timer!F$27,TabCalc[[#This Row],[Cur]]="JPY",Timer!F$31,TabCalc[[#This Row],[Cur]]="CHF",Timer!F$18),"Timing")</f>
        <v>None-Working Day</v>
      </c>
      <c r="BB78" s="90">
        <f ca="1">IF(ISNUMBER(TabCalc[[#This Row],[TimeEX]]),TabCalc[[#This Row],[V/VA]]/TabCalc[[#This Row],[TimeEX]],TabCalc[[#This Row],[V/VA]])</f>
        <v>0.79786255716959531</v>
      </c>
      <c r="BC78" s="87" cm="1">
        <f t="array" aca="1" ref="BC78" ca="1">INDEX(TabReg[], 1, _xlfn.XMATCH(TabCalc[[#This Row],[Ticker]]&amp;1, TabReg[#Headers], 0))</f>
        <v>5000</v>
      </c>
      <c r="BD78" s="161">
        <f ca="1">TabCalc[[#This Row],[Nbegin]]*TabCalc[[#This Row],[M]]*TabCalc[[#This Row],[Scale]]+TabCalc[[#This Row],[ValueBegin]]</f>
        <v>170250</v>
      </c>
      <c r="BE78" s="336" t="str" cm="1">
        <f t="array" aca="1" ref="BE78" ca="1">_xlfn.IFS(TabCalc[[#This Row],[Cost+Gain]]&gt;0,"Free",             TabCalc[[#This Row],[GL]]&gt;0,"Gainer",                TRUE,"Looser")</f>
        <v>Free</v>
      </c>
      <c r="BF78" s="161">
        <f ca="1">TabCalc[[#This Row],[Tot_Paid]]-TabCalc[[#This Row],[ValueBegin]]</f>
        <v>-391348.81649200001</v>
      </c>
      <c r="BG78" s="337">
        <f ca="1">IF(TabCalc[[#This Row],[EfCost]]&gt;TabCalc[[#This Row],[ValueBegin]],       0,        TabCalc[[#This Row],[EfCost]]-TabCalc[[#This Row],[ValueBegin]]*(1+Commission))</f>
        <v>0</v>
      </c>
      <c r="BH78" s="338">
        <f ca="1">TabCalc[[#This Row],[M_V]]+TabCalc[[#This Row],[ValueBegin]]</f>
        <v>-98150</v>
      </c>
      <c r="BI78" s="161" cm="1">
        <f t="array" aca="1" ref="BI78" ca="1">SUMPRODUCT(_xlfn._xlws.FILTER(INDIRECT("TabReg["&amp;TabCalc[[#This Row],[Ticker]]&amp;"1]") * INDIRECT("TabReg["&amp;TabCalc[[#This Row],[Ticker]]&amp;"2]"), INDIRECT("TabReg["&amp;TabCalc[[#This Row],[Ticker]]&amp;"2]")&lt;0))*(1+Commission)*TabCalc[[#This Row],[Scale]]</f>
        <v>-489498.81649200001</v>
      </c>
      <c r="BJ78" s="161" cm="1">
        <f t="array" aca="1" ref="BJ78" ca="1">SUMPRODUCT(IF(INDIRECT("TabReg["&amp;TabCalc[[#This Row],[Ticker]]&amp;"2]") ="", 0, INDIRECT("TabReg["&amp;TabCalc[[#This Row],[Ticker]]&amp;"1]") * INDIRECT("TabReg["&amp;TabCalc[[#This Row],[Ticker]]&amp;"2]") ))*TabCalc[[#This Row],[Scale]]</f>
        <v>43473.079999999994</v>
      </c>
      <c r="BK78" s="161" cm="1">
        <f t="array" aca="1" ref="BK7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530320.07349999994</v>
      </c>
      <c r="BL78" s="161">
        <f ca="1">TabCalc[[#This Row],[M_V]]+TabCalc[[#This Row],[EfCost]]</f>
        <v>43473.079999999994</v>
      </c>
      <c r="BM78" s="161">
        <f ca="1">IF(        OR( TabCalc[[#This Row],[GL]]&gt;ABS(TabCalc[[#This Row],[EfCost]]),TabCalc[[#This Row],[NAfter]]=0),             TabCalc[[#This Row],[GL]],     0)</f>
        <v>43473.079999999994</v>
      </c>
      <c r="BN78" s="161" cm="1">
        <f t="array" aca="1" ref="BN78" ca="1">SUMPRODUCT(_xlfn._xlws.FILTER(IF(INDIRECT("TabReg["&amp;TabCalc[[#This Row],[Ticker]]&amp;"2]") ="", 0, INDIRECT("TabReg["&amp;TabCalc[[#This Row],[Ticker]]&amp;"1]")  ),  INDIRECT("TabReg["&amp;TabCalc[[#This Row],[Ticker]]&amp;"2]") &lt; 0))</f>
        <v>21390</v>
      </c>
      <c r="BO78" s="161">
        <f ca="1">TabCalc[[#This Row],[SB]]-TabCalc[[#This Row],[Nbegin]]</f>
        <v>16390</v>
      </c>
      <c r="BP78" s="161" cm="1">
        <f t="array" aca="1" ref="BP78" ca="1">IFERROR(SUMPRODUCT(_xlfn._xlws.FILTER(IF(INDIRECT("TabReg["&amp;TabCalc[[#This Row],[Ticker]]&amp;"2]") ="", 0, INDIRECT("TabReg["&amp;TabCalc[[#This Row],[Ticker]]&amp;"1]")  ),  INDIRECT("TabReg["&amp;TabCalc[[#This Row],[Ticker]]&amp;"2]") &gt; 0)),0)</f>
        <v>21390</v>
      </c>
      <c r="BQ7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8" s="176" t="str">
        <f ca="1">IF(TabCalc[[#This Row],[EfCost]]+TabCalc[[#This Row],[M_V]]&lt;TabCalc[[#This Row],[NoT_GL]],"Pile","")</f>
        <v>Pile</v>
      </c>
      <c r="BS78" s="167">
        <f ca="1">[1]!RTData[[#This Row],[Last trade time]]</f>
        <v>45954.666666666664</v>
      </c>
      <c r="BT78" s="177">
        <f ca="1">(TabCalc[[#This Row],[ValueBegin]]+(TabCalc[[#This Row],[M]]-TabCalc[[#This Row],[A]])*TabCalc[[#This Row],[NAfter]])*TabCalc[[#This Row],[Scale]]</f>
        <v>-98150</v>
      </c>
      <c r="BU78" s="189" cm="1">
        <f t="array" aca="1" ref="BU78" ca="1">_xlfn.XLOOKUP(TabCalc[[#This Row],[Ticker]],TabReg[[#Headers],[AAPL]:[UnknownX28]],Reg!B$72:KF$72)+3</f>
        <v>24</v>
      </c>
      <c r="BV78" s="190" cm="1">
        <f t="array" aca="1" ref="BV78" ca="1">_xlfn.XLOOKUP(TabCalc[[#This Row],[Ticker]],TabReg[[#Headers],[AAPL]:[UnknownX28]],Reg!B$73:KF$73)+2</f>
        <v>231</v>
      </c>
      <c r="BW78" s="191">
        <f ca="1">IFERROR(MAX(TabCalc[[#This Row],[Max_SD]],TabCalc[[#This Row],[Max_PD]]),0)</f>
        <v>45687</v>
      </c>
      <c r="BX78" s="191" t="str" cm="1">
        <f t="array" aca="1" ref="BX78" ca="1">_xlfn.IFS(TabCalc[[#This Row],[L_TP]]&lt;0,"Purchase",TabCalc[[#This Row],[L_TP]]&gt;0,"Sale")</f>
        <v>Sale</v>
      </c>
      <c r="BY78" s="190" cm="1">
        <f t="array" aca="1" ref="BY78" ca="1">INDEX(Reg!$A$1:$KF$73,TabCalc[[#This Row],[L_I1]],TabCalc[[#This Row],[L_I2]])</f>
        <v>2000</v>
      </c>
      <c r="BZ78" s="192" cm="1">
        <f t="array" aca="1" ref="BZ78" ca="1">INDEX(Reg!$A$1:$KF$73,TabCalc[[#This Row],[L_I1]],TabCalc[[#This Row],[L_I2]]+1)</f>
        <v>31.1</v>
      </c>
      <c r="CA78" s="161">
        <f ca="1">TabCalc[[#This Row],[NAfter]]*(TabCalc[[#This Row],[M]]-IF(TabCalc[[#This Row],[E]]&gt;0,0,TabCalc[[#This Row],[A]]))</f>
        <v>0</v>
      </c>
      <c r="CB78" s="167" cm="1">
        <f t="array" aca="1" ref="CB78" ca="1">IFERROR(MIN(_xlfn._xlws.FILTER(INDIRECT("TabReg["&amp;TabCalc[[#This Row],[Ticker]]&amp;"]"), INDIRECT("TabReg["&amp;TabCalc[[#This Row],[Ticker]]&amp;"2]")&gt;0)),0)</f>
        <v>44420</v>
      </c>
      <c r="CC78" s="178" cm="1">
        <f t="array" aca="1" ref="CC78" ca="1">IFERROR(MIN(_xlfn._xlws.FILTER(INDIRECT("TabReg["&amp;TabCalc[[#This Row],[Ticker]]&amp;"1]"), INDIRECT("TabReg["&amp;TabCalc[[#This Row],[Ticker]]&amp;"2]")&gt;0)),0)</f>
        <v>490</v>
      </c>
      <c r="CD78" s="173" cm="1">
        <f t="array" aca="1" ref="CD78" ca="1">IFERROR(MIN(_xlfn._xlws.FILTER(INDIRECT("TabReg["&amp;TabCalc[[#This Row],[Ticker]]&amp;"2]"), INDIRECT("TabReg["&amp;TabCalc[[#This Row],[Ticker]]&amp;"2]")&gt;0)),0)</f>
        <v>22.319500000000001</v>
      </c>
      <c r="CE78" s="167" cm="1">
        <f t="array" aca="1" ref="CE78" ca="1">IFERROR(MAX(_xlfn._xlws.FILTER(INDIRECT("TabReg["&amp;TabCalc[[#This Row],[Ticker]]&amp;"]"), INDIRECT("TabReg["&amp;TabCalc[[#This Row],[Ticker]]&amp;"2]")&gt;0)),0)</f>
        <v>45687</v>
      </c>
      <c r="CF78" s="178" cm="1">
        <f t="array" aca="1" ref="CF78" ca="1">IFERROR(MAX(_xlfn._xlws.FILTER(INDIRECT("TabReg["&amp;TabCalc[[#This Row],[Ticker]]&amp;"1]"), INDIRECT("TabReg["&amp;TabCalc[[#This Row],[Ticker]]&amp;"2]")&gt;0)),0)</f>
        <v>2500</v>
      </c>
      <c r="CG78" s="173" cm="1">
        <f t="array" aca="1" ref="CG78" ca="1">IFERROR(MAX(_xlfn._xlws.FILTER(INDIRECT("TabReg["&amp;TabCalc[[#This Row],[Ticker]]&amp;"2]"), INDIRECT("TabReg["&amp;TabCalc[[#This Row],[Ticker]]&amp;"2]")&gt;0)),0)</f>
        <v>31.1</v>
      </c>
      <c r="CH78" s="167" cm="1">
        <f t="array" aca="1" ref="CH78" ca="1">MIN(_xlfn._xlws.FILTER(INDIRECT("TabReg["&amp;TabCalc[[#This Row],[Ticker]]&amp;"]"), INDIRECT("TabReg["&amp;TabCalc[[#This Row],[Ticker]]&amp;"2]")&lt;0))</f>
        <v>40544</v>
      </c>
      <c r="CI78" s="177" cm="1">
        <f t="array" aca="1" ref="CI78" ca="1">MIN(_xlfn._xlws.FILTER(INDIRECT("TabReg["&amp;TabCalc[[#This Row],[Ticker]]&amp;"1]"), INDIRECT("TabReg["&amp;TabCalc[[#This Row],[Ticker]]&amp;"2]")&lt;0))</f>
        <v>1990</v>
      </c>
      <c r="CJ78" s="173" cm="1">
        <f t="array" aca="1" ref="CJ78" ca="1">MIN(_xlfn._xlws.FILTER(INDIRECT("TabReg["&amp;TabCalc[[#This Row],[Ticker]]&amp;"2]"), INDIRECT("TabReg["&amp;TabCalc[[#This Row],[Ticker]]&amp;"2]")&lt;0))</f>
        <v>-28.94</v>
      </c>
      <c r="CK78" s="167" cm="1">
        <f t="array" aca="1" ref="CK78" ca="1">MAX(_xlfn._xlws.FILTER(INDIRECT("TabReg["&amp;TabCalc[[#This Row],[Ticker]]&amp;"]"), INDIRECT("TabReg["&amp;TabCalc[[#This Row],[Ticker]]&amp;"2]")&lt;0))</f>
        <v>45674</v>
      </c>
      <c r="CL78" s="177" cm="1">
        <f t="array" aca="1" ref="CL78" ca="1">MAX(_xlfn._xlws.FILTER(INDIRECT("TabReg["&amp;TabCalc[[#This Row],[Ticker]]&amp;"1]"), INDIRECT("TabReg["&amp;TabCalc[[#This Row],[Ticker]]&amp;"2]")&lt;0))</f>
        <v>5000</v>
      </c>
      <c r="CM78" s="173" cm="1">
        <f t="array" aca="1" ref="CM78" ca="1">MAX(_xlfn._xlws.FILTER(INDIRECT("TabReg["&amp;TabCalc[[#This Row],[Ticker]]&amp;"2]"), INDIRECT("TabReg["&amp;TabCalc[[#This Row],[Ticker]]&amp;"2]")&lt;0))</f>
        <v>-19.63</v>
      </c>
      <c r="CN78" s="167" cm="1">
        <f t="array" aca="1" ref="CN78" ca="1">IFERROR(_xlfn.XLOOKUP(TabCalc[[#This Row],[BS2P]],INDIRECT("TabReg["&amp;TabCalc[[#This Row],[Ticker]]&amp;"2]"),INDIRECT("TabReg["&amp;TabCalc[[#This Row],[Ticker]]&amp;"]")),0)</f>
        <v>45441</v>
      </c>
      <c r="CO78" s="178" cm="1">
        <f t="array" aca="1" ref="CO78" ca="1">IFERROR(_xlfn.XLOOKUP(TabCalc[[#This Row],[BS2P]],INDIRECT("TabReg["&amp;TabCalc[[#This Row],[Ticker]]&amp;"2]"),INDIRECT("TabReg["&amp;TabCalc[[#This Row],[Ticker]]&amp;"1]")),0)</f>
        <v>1000</v>
      </c>
      <c r="CP78" s="173">
        <f ca="1">_xlfn.MAXIFS(INDIRECT("TabReg["&amp;TabCalc[[#This Row],[Ticker]]&amp;"2]"), INDIRECT("TabReg["&amp;TabCalc[[#This Row],[Ticker]]&amp;"2]"), "&lt;" &amp; MAX(INDIRECT("TabReg["&amp;TabCalc[[#This Row],[Ticker]]&amp;"2]")))</f>
        <v>27.252800000000001</v>
      </c>
      <c r="CQ78" s="167" cm="1">
        <f t="array" aca="1" ref="CQ78" ca="1">IFERROR(_xlfn.XLOOKUP(TabCalc[[#This Row],[WB2P]],INDIRECT("TabReg["&amp;TabCalc[[#This Row],[Ticker]]&amp;"2]"),INDIRECT("TabReg["&amp;TabCalc[[#This Row],[Ticker]]&amp;"]")),0)</f>
        <v>45427</v>
      </c>
      <c r="CR78" s="178" cm="1">
        <f t="array" aca="1" ref="CR78" ca="1">IFERROR(_xlfn.XLOOKUP(TabCalc[[#This Row],[WB2P]],INDIRECT("TabReg["&amp;TabCalc[[#This Row],[Ticker]]&amp;"2]"),INDIRECT("TabReg["&amp;TabCalc[[#This Row],[Ticker]]&amp;"1]")),0)</f>
        <v>2000</v>
      </c>
      <c r="CS78" s="173">
        <f ca="1">_xlfn.MINIFS(INDIRECT("TabReg["&amp;TabCalc[[#This Row],[Ticker]]&amp;"2]"), INDIRECT("TabReg["&amp;TabCalc[[#This Row],[Ticker]]&amp;"2]"), "&gt;" &amp; MIN(INDIRECT("TabReg["&amp;TabCalc[[#This Row],[Ticker]]&amp;"2]")))</f>
        <v>-27.47</v>
      </c>
      <c r="CT78" s="405">
        <f ca="1">IF(TabCalc[[#This Row],[M]]&lt;TabCalc[[#This Row],[L_Sp]],DesiredBuyGain/(TabCalc[[#This Row],[L_Sp]]-TabCalc[[#This Row],[M]]),0)</f>
        <v>0</v>
      </c>
      <c r="CU78" s="406">
        <f ca="1">IF(TabCalc[[#This Row],[ntoBuy]]*TabCalc[[#This Row],[M]]&lt;=0,0,TabCalc[[#This Row],[ntoBuy]]*TabCalc[[#This Row],[M]])</f>
        <v>0</v>
      </c>
      <c r="CV78" s="406">
        <f ca="1">IF(TabCalc[[#This Row],[M]]&gt;ABS(TabCalc[[#This Row],[L_Bp]]),MIN(TabCalc[[#This Row],[NAfter]],DesiredSaleGain/(TabCalc[[#This Row],[M]]+TabCalc[[#This Row],[L_Bp]])),0)/TabCalc[[#This Row],[Scale]]</f>
        <v>0</v>
      </c>
      <c r="CW78" s="407">
        <f ca="1">TabCalc[[#This Row],[ntoSell]]*TabCalc[[#This Row],[M]]</f>
        <v>0</v>
      </c>
      <c r="CX78" s="400">
        <f ca="1">_xlfn.LET(_xlpm.nToSell,IF(TabCalc[[#This Row],[M]]-TabCalc[[#This Row],[A]]&lt;=0,"",INT(DesiredSaleGain/(TabCalc[[#This Row],[M]]-IF(TabCalc[[#This Row],[E]]&gt;0,0,TabCalc[[#This Row],[A]])))),IF(_xlpm.nToSell&lt;=TabCalc[[#This Row],[NAfter]],_xlpm.nToSell,0))</f>
        <v>0</v>
      </c>
      <c r="CY78" s="338">
        <f ca="1">IFERROR(TabCalc[[#This Row],[NMA]]*TabCalc[[#This Row],[M]],"")</f>
        <v>0</v>
      </c>
      <c r="CZ78" s="337" cm="1">
        <f t="array" aca="1" ref="CZ78" ca="1">_xlfn.IFS(TabCalc[[#This Row],[M]]&gt;= TabCalc[[#This Row],[L_Sp]],(TabCalc[[#This Row],[M]]-TabCalc[[#This Row],[A]])*TabCalc[[#This Row],[NAfter]]*TabCalc[[#This Row],[Scale]],           TabCalc[[#This Row],[M]]&lt; TabCalc[[#This Row],[L_Sp]],(TabCalc[[#This Row],[M]]-TabCalc[[#This Row],[A]])*TabCalc[[#This Row],[NAfter]]*TabCalc[[#This Row],[Scale]],               TRUE,"")</f>
        <v>0</v>
      </c>
      <c r="DA78" s="90">
        <f ca="1">IFERROR((TabCalc[[#This Row],[M]]+TabCalc[[#This Row],[L_Bp]])/ABS(TabCalc[[#This Row],[L_Bp]])/(TODAY()-TabCalc[[#This Row],[L_Bdate]])*360,"")</f>
        <v>1.0913261480098222</v>
      </c>
      <c r="DB78" s="312">
        <f ca="1">MEDIAN(DataShift!F777:Z777)</f>
        <v>2.3760000000000001E-3</v>
      </c>
      <c r="DC78" s="312" t="e" cm="1">
        <f t="array" aca="1" ref="DC7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8" s="88" t="s">
        <v>74</v>
      </c>
      <c r="DN78" s="81">
        <v>7300</v>
      </c>
      <c r="DO78" s="317">
        <v>-13.68</v>
      </c>
    </row>
    <row r="79" spans="1:119">
      <c r="A79" s="120" t="str">
        <f ca="1">_xlfn.XLOOKUP(TabCalc[[#This Row],[Ticker]],[1]!RTData[Ticker symbol],[1]!RTData[Currency])</f>
        <v>USD</v>
      </c>
      <c r="B79" s="121">
        <f ca="1">IF(TabCalc[[#This Row],[Cur]]="GBP",0.01,1)</f>
        <v>1</v>
      </c>
      <c r="C79" s="82">
        <f ca="1">_xlfn.XLOOKUP(TabCalc[[#This Row],[Ticker]],DM$3:DM$96,DN$3:DN$96)</f>
        <v>550</v>
      </c>
      <c r="D79" s="1254">
        <f ca="1">_xlfn.XLOOKUP(TabCalc[[#This Row],[Ticker]],DM$3:DM$96,DO$3:DO$96)</f>
        <v>-189.96</v>
      </c>
      <c r="E79" s="121">
        <f t="shared" ca="1" si="4"/>
        <v>-104478</v>
      </c>
      <c r="F79" s="82">
        <f ca="1">TabCalc[[#This Row],[NAfter]]*TabCalc[[#This Row],[M]]*TabCalc[[#This Row],[Scale]]</f>
        <v>172755</v>
      </c>
      <c r="G79" s="82">
        <f ca="1">IFERROR(TabCalc[[#This Row],[SB]]-TabCalc[[#This Row],[SST]],TabCalc[[#This Row],[SB]])</f>
        <v>900</v>
      </c>
      <c r="H79" s="535" t="str">
        <f ca="1">[1]!RTData[[#This Row],[Ticker symbol]]</f>
        <v>GNRC</v>
      </c>
      <c r="I79" s="385">
        <f ca="1">[1]!RTData[[#This Row],[M-Price]]</f>
        <v>191.95</v>
      </c>
      <c r="J79" s="384">
        <v>180.93777777777777</v>
      </c>
      <c r="K79" s="383">
        <f>[1]!RTData[[#This Row],[1YT]]</f>
        <v>203.375</v>
      </c>
      <c r="L79" s="384">
        <f ca="1">IF(OR(TabCalc[[#This Row],[NAfter]]=0,TabCalc[[#This Row],[EfCost]]&gt;0),0,TabCalc[[#This Row],[EfCost]]/TabCalc[[#This Row],[NAfter]]/TabCalc[[#This Row],[Scale]])</f>
        <v>-134.49905555555554</v>
      </c>
      <c r="M79" s="744">
        <f ca="1">[1]!RTData[[#This Row],[Change%]]</f>
        <v>1.5394000000000001E-2</v>
      </c>
      <c r="N79" s="1172">
        <v>0.375</v>
      </c>
      <c r="O79" s="966">
        <f>TabCalc[[#This Row],[Up20]]-1+TabCalc[[#This Row],[Up20]]</f>
        <v>-0.25</v>
      </c>
      <c r="P79" s="966">
        <f>TabCalc[[#This Row],[Up20]]-TabCalc[[#This Row],[Up150]]</f>
        <v>-0.15345528455284552</v>
      </c>
      <c r="Q79" s="966">
        <v>0.52845528455284552</v>
      </c>
      <c r="R79" s="966">
        <f>TabCalc[[#This Row],[Up150]]-1+TabCalc[[#This Row],[Up150]]</f>
        <v>5.6910569105691033E-2</v>
      </c>
      <c r="S79" s="966">
        <f ca="1">IFERROR(SUMPRODUCT(DataShift!F1571:Z1571,DataShift!AB778:AV778)/SQRT(SUMPRODUCT(DataShift!F1571:Z1571,DataShift!F1571:Z1571)*SUMPRODUCT(DataShift!AB778:AV778,DataShift!AB778:AV778)),0)</f>
        <v>-0.44224930838303345</v>
      </c>
      <c r="T79" s="966">
        <f ca="1">IFERROR(SUMPRODUCT(DataShift!F1571:Z1571,DataShift!F778:Z778)/SQRT(SUMPRODUCT(DataShift!F1571:Z1571,DataShift!F1571:Z1571)*SUMPRODUCT(DataShift!F778:Z778,DataShift!F778:Z778)),0)</f>
        <v>-0.13050919207200129</v>
      </c>
      <c r="U79" s="1107">
        <v>900</v>
      </c>
      <c r="V79" s="1107">
        <v>0</v>
      </c>
      <c r="W79" s="1107">
        <v>0</v>
      </c>
      <c r="X79" s="966" t="str">
        <f ca="1">IF(TabCalc[[#This Row],[EfCost]]+TabCalc[[#This Row],[M_V]]&lt;TabCalc[[#This Row],[NoT_GL]],"Pile","")</f>
        <v/>
      </c>
      <c r="Y7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9" s="213">
        <f ca="1">MIN(TabCalc[[#This Row],[L_Bn]],TabCalc[[#This Row],[NAfter]])*(TabCalc[[#This Row],[M]]+TabCalc[[#This Row],[L_Bp]])*TabCalc[[#This Row],[Scale]]</f>
        <v>2636.9999999999977</v>
      </c>
      <c r="AA79" s="210" cm="1">
        <f t="array" aca="1" ref="AA79" ca="1">_xlfn.XLOOKUP(TabCalc[[#This Row],[L_Bp]],INDIRECT("TabReg["&amp;TabCalc[[#This Row],[Ticker]]&amp;"2]"),INDIRECT("TabReg["&amp;TabCalc[[#This Row],[Ticker]]&amp;"]"))</f>
        <v>45952</v>
      </c>
      <c r="AB79" s="181" cm="1">
        <f t="array" aca="1" ref="AB79" ca="1">_xlfn.XLOOKUP(TabCalc[[#This Row],[L_Bp]],INDIRECT("TabReg["&amp;TabCalc[[#This Row],[Ticker]]&amp;"2]"),INDIRECT("TabReg["&amp;TabCalc[[#This Row],[Ticker]]&amp;"1]"))</f>
        <v>300</v>
      </c>
      <c r="AC79" s="192" cm="1">
        <f t="array" aca="1" ref="AC79" ca="1">IFERROR(INDEX(INDIRECT("TabReg["&amp;TabCalc[[#This Row],[Ticker]]&amp;"2]"),    _xlfn.XMATCH(    MAX(    _xlfn._xlws.FILTER(INDIRECT("TabReg["&amp;TabCalc[[#This Row],[Ticker]]&amp;"]"), INDIRECT("TabReg["&amp;TabCalc[[#This Row],[Ticker]]&amp;"2]")&lt;0)     ), INDIRECT("TabReg["&amp;TabCalc[[#This Row],[Ticker]]&amp;"]"),      0)), "")</f>
        <v>-183.16</v>
      </c>
      <c r="AD79" s="213">
        <f ca="1">IFERROR(MIN(TabCalc[[#This Row],[L_B1n]],TabCalc[[#This Row],[NAfter]])*(TabCalc[[#This Row],[M]]+TabCalc[[#This Row],[L_B1p]])*TabCalc[[#This Row],[Scale]],"")</f>
        <v>5050</v>
      </c>
      <c r="AE79" s="210" cm="1">
        <f t="array" aca="1" ref="AE7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45923</v>
      </c>
      <c r="AF79" s="181" cm="1">
        <f t="array" aca="1" ref="AF79" ca="1">IFERROR(_xlfn.XLOOKUP(TabCalc[[#This Row],[L_B1D]],INDIRECT("TabReg["&amp;TabCalc[[#This Row],[Ticker]]&amp;"]"),INDIRECT("TabReg["&amp;TabCalc[[#This Row],[Ticker]]&amp;"1]")),0)</f>
        <v>200</v>
      </c>
      <c r="AG79" s="192" cm="1">
        <f t="array" aca="1" ref="AG79" ca="1">IFERROR(_xlfn.XLOOKUP(TabCalc[[#This Row],[L_B1D]],INDIRECT("TabReg["&amp;TabCalc[[#This Row],[Ticker]]&amp;"]"),INDIRECT("TabReg["&amp;TabCalc[[#This Row],[Ticker]]&amp;"2]")),0)</f>
        <v>-166.7</v>
      </c>
      <c r="AH79" s="302">
        <f ca="1">IFERROR(TabCalc[[#This Row],[L_Sn]]*(TabCalc[[#This Row],[L_Sp]]-TabCalc[[#This Row],[M]])*TabCalc[[#This Row],[Scale]],"")</f>
        <v>12.000000000000455</v>
      </c>
      <c r="AI79" s="210" cm="1">
        <f t="array" aca="1" ref="AI79" ca="1">IFERROR(_xlfn.XLOOKUP(TabCalc[[#This Row],[L_Sp]],INDIRECT("TabReg["&amp;TabCalc[[#This Row],[Ticker]]&amp;"2]"),INDIRECT("TabReg["&amp;TabCalc[[#This Row],[Ticker]]&amp;"]")),0)</f>
        <v>45945</v>
      </c>
      <c r="AJ79" s="181" cm="1">
        <f t="array" aca="1" ref="AJ79" ca="1">IFERROR(_xlfn.XLOOKUP(TabCalc[[#This Row],[L_Sp]],INDIRECT("TabReg["&amp;TabCalc[[#This Row],[Ticker]]&amp;"2]"),INDIRECT("TabReg["&amp;TabCalc[[#This Row],[Ticker]]&amp;"1]")),0)</f>
        <v>200</v>
      </c>
      <c r="AK79" s="192" cm="1">
        <f t="array" aca="1" ref="AK79" ca="1">IFERROR(INDEX(INDIRECT("TabReg["&amp;TabCalc[[#This Row],[Ticker]]&amp;"2]"), _xlfn.XMATCH(MAX(_xlfn._xlws.FILTER(INDIRECT("TabReg["&amp;TabCalc[[#This Row],[Ticker]]&amp;"]"), INDIRECT("TabReg["&amp;TabCalc[[#This Row],[Ticker]]&amp;"2]")&gt;0)), INDIRECT("TabReg["&amp;TabCalc[[#This Row],[Ticker]]&amp;"]"), 0)), 0)</f>
        <v>192.01</v>
      </c>
      <c r="AL79" s="214">
        <f ca="1">IFERROR(TabCalc[[#This Row],[L_S1n]]*(TabCalc[[#This Row],[L_S1p]]-TabCalc[[#This Row],[M]])*TabCalc[[#This Row],[Scale]],0)</f>
        <v>-1223.9999999999952</v>
      </c>
      <c r="AM79" s="210" cm="1">
        <f t="array" aca="1" ref="AM7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45896</v>
      </c>
      <c r="AN79" s="181" cm="1">
        <f t="array" aca="1" ref="AN79" ca="1">IFERROR(_xlfn.XLOOKUP(TabCalc[[#This Row],[L_S1D]],INDIRECT("TabReg["&amp;TabCalc[[#This Row],[Ticker]]&amp;"]"),INDIRECT("TabReg["&amp;TabCalc[[#This Row],[Ticker]]&amp;"1]")),0)</f>
        <v>600</v>
      </c>
      <c r="AO79" s="384" cm="1">
        <f t="array" aca="1" ref="AO79" ca="1">IFERROR(_xlfn.XLOOKUP(TabCalc[[#This Row],[L_S1D]],INDIRECT("TabReg["&amp;TabCalc[[#This Row],[Ticker]]&amp;"]"),INDIRECT("TabReg["&amp;TabCalc[[#This Row],[Ticker]]&amp;"2]")),0)</f>
        <v>189.91</v>
      </c>
      <c r="AP79" s="336">
        <f ca="1">_xlfn.LET(_xlpm.MVOpen,[1]!RTData[[#This Row],[Open]]*TabCalc[[#This Row],[NAfter]],_xlpm.MVNow,TabCalc[[#This Row],[M]]*TabCalc[[#This Row],[NAfter]],_xlpm.MVNow-_xlpm.MVOpen)*TabCalc[[#This Row],[Scale]]</f>
        <v>-684</v>
      </c>
      <c r="AQ79" s="336">
        <f ca="1">_xlfn.LET(_xlpm.MVToday,DataShift!AV579,         _xlpm.MVY,DataShift!AU579,        _xlpm.MVYY, DataShift!AT579,                                IF(_xlpm.MVToday=_xlpm.MVY,_xlpm.MVY-_xlpm.MVYY,_xlpm.MVToday-_xlpm.MVY))</f>
        <v>0</v>
      </c>
      <c r="AR79" s="336">
        <f ca="1">_xlfn.LET(_xlpm.MVToday,DataShift!AV579,         _xlpm.MVY,DataShift!AU579,        _xlpm.MVYY, DataShift!AT579,         _xlpm.MVYYY, DataShift!AS579,                      IF(_xlpm.MVToday=_xlpm.MVY,      _xlpm.MVYY-_xlpm.MVYYY,          _xlpm.MVY-_xlpm.MVYY))</f>
        <v>0</v>
      </c>
      <c r="AS79" s="1078">
        <f ca="1">TabCalc[[#This Row],[Y]]/TabCalc[[#This Row],[M]]</f>
        <v>1.0595207085178433</v>
      </c>
      <c r="AT79" s="299" t="str" cm="1">
        <f t="array" aca="1" ref="AT79" ca="1">IFERROR(_xlfn.IFS(          TabCalc[[#This Row],[E]]&gt;0, "Free Trade",      TabCalc[[#This Row],[A]]&lt;MIN(TabCalc[[#This Row],[L_Sp]],TabCalc[[#This Row],[M]]), "Buy",            TabCalc[[#This Row],[M]]&lt;TabCalc[[#This Row],[L_Sp]],       "Refill",       TabCalc[[#This Row],[M]]&gt;TabCalc[[#This Row],[L_Sp]],"S_more"),"")</f>
        <v>Buy</v>
      </c>
      <c r="AU79" s="299" t="str">
        <f ca="1">IF(           AND(TabCalc[[#This Row],[E]]&lt;=0,          TabCalc[[#This Row],[A]]&gt;MIN(TabCalc[[#This Row],[M]],TabCalc[[#This Row],[L_Sp]]),             TabCalc[[#This Row],[L_Sp]]&lt;=TabCalc[[#This Row],[M]]),                       "S_more","")</f>
        <v/>
      </c>
      <c r="AV79" s="82" t="str" cm="1">
        <f t="array" aca="1" ref="AV79" ca="1">IFERROR(_xlfn.IFS(TabCalc[[#This Row],[E]]&gt;0,"Free trade",                 TabCalc[[#This Row],[A]]&lt;MAX(ABS(TabCalc[[#This Row],[L_Bp]]),TabCalc[[#This Row],[A]]),"Sell",             TabCalc[[#This Row],[M]]&gt;ABS(TabCalc[[#This Row],[L_Bp]]),"Resell",             TabCalc[[#This Row],[M]]&lt;ABS(TabCalc[[#This Row],[L_Bp]]),"B_more"),"")</f>
        <v>Sell</v>
      </c>
      <c r="AW79" s="82">
        <f ca="1">TabCalc[[#This Row],[NAfter]]-TabCalc[[#This Row],[Nbegin]]</f>
        <v>350</v>
      </c>
      <c r="AX79" s="307">
        <f ca="1">IFERROR((TabCalc[[#This Row],[M]]-TabCalc[[#This Row],[Y]])*(TabCalc[[#This Row],[M]]-TabCalc[[#This Row],[Y]])*(TabCalc[[#This Row],[M]]-TabCalc[[#This Row],[Y]])/(TabCalc[[#This Row],[Y]]*TabCalc[[#This Row],[M]]),"")</f>
        <v>-3.820172235169967E-2</v>
      </c>
      <c r="AY79" s="82">
        <f t="shared" ca="1" si="5"/>
        <v>0</v>
      </c>
      <c r="AZ79" s="90">
        <f ca="1">[1]!RTData[[#This Row],[V/VA]]</f>
        <v>0.75625107713290851</v>
      </c>
      <c r="BA79" s="90" t="str" cm="1">
        <f t="array" aca="1" ref="BA79" ca="1">IFERROR(_xlfn.IFS(TabCalc[[#This Row],[Cur]]="USD",Timer!F$27,TabCalc[[#This Row],[Cur]]="EUR",Timer!F$18,TabCalc[[#This Row],[Cur]]="GBP",Timer!F$12,TabCalc[[#This Row],[Cur]]="CAD",Timer!F$27,TabCalc[[#This Row],[Cur]]="JPY",Timer!F$31,TabCalc[[#This Row],[Cur]]="CHF",Timer!F$18),"Timing")</f>
        <v>None-Working Day</v>
      </c>
      <c r="BB79" s="90">
        <f ca="1">IF(ISNUMBER(TabCalc[[#This Row],[TimeEX]]),TabCalc[[#This Row],[V/VA]]/TabCalc[[#This Row],[TimeEX]],TabCalc[[#This Row],[V/VA]])</f>
        <v>0.75625107713290851</v>
      </c>
      <c r="BC79" s="87" cm="1">
        <f t="array" aca="1" ref="BC79" ca="1">INDEX(TabReg[], 1, _xlfn.XMATCH(TabCalc[[#This Row],[Ticker]]&amp;1, TabReg[#Headers], 0))</f>
        <v>550</v>
      </c>
      <c r="BD79" s="161">
        <f ca="1">TabCalc[[#This Row],[Nbegin]]*TabCalc[[#This Row],[M]]*TabCalc[[#This Row],[Scale]]+TabCalc[[#This Row],[ValueBegin]]</f>
        <v>1094.5</v>
      </c>
      <c r="BE79" s="336" t="str" cm="1">
        <f t="array" aca="1" ref="BE79" ca="1">_xlfn.IFS(TabCalc[[#This Row],[Cost+Gain]]&gt;0,"Free",             TabCalc[[#This Row],[GL]]&gt;0,"Gainer",                TRUE,"Looser")</f>
        <v>Gainer</v>
      </c>
      <c r="BF79" s="161">
        <f ca="1">TabCalc[[#This Row],[Tot_Paid]]-TabCalc[[#This Row],[ValueBegin]]</f>
        <v>-720261.16103999992</v>
      </c>
      <c r="BG79" s="337">
        <f ca="1">IF(TabCalc[[#This Row],[EfCost]]&gt;TabCalc[[#This Row],[ValueBegin]],       0,        TabCalc[[#This Row],[EfCost]]-TabCalc[[#This Row],[ValueBegin]]*(1+Commission))</f>
        <v>-16299.507199999993</v>
      </c>
      <c r="BH79" s="338">
        <f ca="1">TabCalc[[#This Row],[M_V]]+TabCalc[[#This Row],[ValueBegin]]</f>
        <v>68277</v>
      </c>
      <c r="BI79" s="161" cm="1">
        <f t="array" aca="1" ref="BI79" ca="1">SUMPRODUCT(_xlfn._xlws.FILTER(INDIRECT("TabReg["&amp;TabCalc[[#This Row],[Ticker]]&amp;"1]") * INDIRECT("TabReg["&amp;TabCalc[[#This Row],[Ticker]]&amp;"2]"), INDIRECT("TabReg["&amp;TabCalc[[#This Row],[Ticker]]&amp;"2]")&lt;0))*(1+Commission)*TabCalc[[#This Row],[Scale]]</f>
        <v>-824739.16103999992</v>
      </c>
      <c r="BJ79" s="161" cm="1">
        <f t="array" aca="1" ref="BJ79" ca="1">SUMPRODUCT(IF(INDIRECT("TabReg["&amp;TabCalc[[#This Row],[Ticker]]&amp;"2]") ="", 0, INDIRECT("TabReg["&amp;TabCalc[[#This Row],[Ticker]]&amp;"1]") * INDIRECT("TabReg["&amp;TabCalc[[#This Row],[Ticker]]&amp;"2]") ))*TabCalc[[#This Row],[Scale]]</f>
        <v>-121049.14999999998</v>
      </c>
      <c r="BK79" s="161" cm="1">
        <f t="array" aca="1" ref="BK7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699727.21675000002</v>
      </c>
      <c r="BL79" s="161">
        <f ca="1">TabCalc[[#This Row],[M_V]]+TabCalc[[#This Row],[EfCost]]</f>
        <v>51705.85000000002</v>
      </c>
      <c r="BM79" s="161">
        <f ca="1">IF(        OR( TabCalc[[#This Row],[GL]]&gt;ABS(TabCalc[[#This Row],[EfCost]]),TabCalc[[#This Row],[NAfter]]=0),             TabCalc[[#This Row],[GL]],     0)</f>
        <v>0</v>
      </c>
      <c r="BN79" s="161" cm="1">
        <f t="array" aca="1" ref="BN79" ca="1">SUMPRODUCT(_xlfn._xlws.FILTER(IF(INDIRECT("TabReg["&amp;TabCalc[[#This Row],[Ticker]]&amp;"2]") ="", 0, INDIRECT("TabReg["&amp;TabCalc[[#This Row],[Ticker]]&amp;"1]")  ),  INDIRECT("TabReg["&amp;TabCalc[[#This Row],[Ticker]]&amp;"2]") &lt; 0))</f>
        <v>5580</v>
      </c>
      <c r="BO79" s="161">
        <f ca="1">TabCalc[[#This Row],[SB]]-TabCalc[[#This Row],[Nbegin]]</f>
        <v>5030</v>
      </c>
      <c r="BP79" s="161" cm="1">
        <f t="array" aca="1" ref="BP79" ca="1">IFERROR(SUMPRODUCT(_xlfn._xlws.FILTER(IF(INDIRECT("TabReg["&amp;TabCalc[[#This Row],[Ticker]]&amp;"2]") ="", 0, INDIRECT("TabReg["&amp;TabCalc[[#This Row],[Ticker]]&amp;"1]")  ),  INDIRECT("TabReg["&amp;TabCalc[[#This Row],[Ticker]]&amp;"2]") &gt; 0)),0)</f>
        <v>4680</v>
      </c>
      <c r="BQ7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224.14</v>
      </c>
      <c r="BR79" s="176" t="str">
        <f ca="1">IF(TabCalc[[#This Row],[EfCost]]+TabCalc[[#This Row],[M_V]]&lt;TabCalc[[#This Row],[NoT_GL]],"Pile","")</f>
        <v/>
      </c>
      <c r="BS79" s="167">
        <f ca="1">[1]!RTData[[#This Row],[Last trade time]]</f>
        <v>45954.992194907034</v>
      </c>
      <c r="BT79" s="177">
        <f ca="1">(TabCalc[[#This Row],[ValueBegin]]+(TabCalc[[#This Row],[M]]-TabCalc[[#This Row],[A]])*TabCalc[[#This Row],[NAfter]])*TabCalc[[#This Row],[Scale]]</f>
        <v>-94567</v>
      </c>
      <c r="BU79" s="189" cm="1">
        <f t="array" aca="1" ref="BU79" ca="1">_xlfn.XLOOKUP(TabCalc[[#This Row],[Ticker]],TabReg[[#Headers],[AAPL]:[UnknownX28]],Reg!B$72:KF$72)+3</f>
        <v>26</v>
      </c>
      <c r="BV79" s="190" cm="1">
        <f t="array" aca="1" ref="BV79" ca="1">_xlfn.XLOOKUP(TabCalc[[#This Row],[Ticker]],TabReg[[#Headers],[AAPL]:[UnknownX28]],Reg!B$73:KF$73)+2</f>
        <v>234</v>
      </c>
      <c r="BW79" s="191">
        <f ca="1">IFERROR(MAX(TabCalc[[#This Row],[Max_SD]],TabCalc[[#This Row],[Max_PD]]),0)</f>
        <v>45952</v>
      </c>
      <c r="BX79" s="191" t="str" cm="1">
        <f t="array" aca="1" ref="BX79" ca="1">_xlfn.IFS(TabCalc[[#This Row],[L_TP]]&lt;0,"Purchase",TabCalc[[#This Row],[L_TP]]&gt;0,"Sale")</f>
        <v>Purchase</v>
      </c>
      <c r="BY79" s="190" cm="1">
        <f t="array" aca="1" ref="BY79" ca="1">INDEX(Reg!$A$1:$KF$73,TabCalc[[#This Row],[L_I1]],TabCalc[[#This Row],[L_I2]])</f>
        <v>300</v>
      </c>
      <c r="BZ79" s="192" cm="1">
        <f t="array" aca="1" ref="BZ79" ca="1">INDEX(Reg!$A$1:$KF$73,TabCalc[[#This Row],[L_I1]],TabCalc[[#This Row],[L_I2]]+1)</f>
        <v>-183.16</v>
      </c>
      <c r="CA79" s="161">
        <f ca="1">TabCalc[[#This Row],[NAfter]]*(TabCalc[[#This Row],[M]]-IF(TabCalc[[#This Row],[E]]&gt;0,0,TabCalc[[#This Row],[A]]))</f>
        <v>9910.9999999999982</v>
      </c>
      <c r="CB79" s="167" cm="1">
        <f t="array" aca="1" ref="CB79" ca="1">IFERROR(MIN(_xlfn._xlws.FILTER(INDIRECT("TabReg["&amp;TabCalc[[#This Row],[Ticker]]&amp;"]"), INDIRECT("TabReg["&amp;TabCalc[[#This Row],[Ticker]]&amp;"2]")&gt;0)),0)</f>
        <v>44845</v>
      </c>
      <c r="CC79" s="178" cm="1">
        <f t="array" aca="1" ref="CC79" ca="1">IFERROR(MIN(_xlfn._xlws.FILTER(INDIRECT("TabReg["&amp;TabCalc[[#This Row],[Ticker]]&amp;"1]"), INDIRECT("TabReg["&amp;TabCalc[[#This Row],[Ticker]]&amp;"2]")&gt;0)),0)</f>
        <v>200</v>
      </c>
      <c r="CD79" s="173" cm="1">
        <f t="array" aca="1" ref="CD79" ca="1">IFERROR(MIN(_xlfn._xlws.FILTER(INDIRECT("TabReg["&amp;TabCalc[[#This Row],[Ticker]]&amp;"2]"), INDIRECT("TabReg["&amp;TabCalc[[#This Row],[Ticker]]&amp;"2]")&gt;0)),0)</f>
        <v>108.67</v>
      </c>
      <c r="CE79" s="167" cm="1">
        <f t="array" aca="1" ref="CE79" ca="1">IFERROR(MAX(_xlfn._xlws.FILTER(INDIRECT("TabReg["&amp;TabCalc[[#This Row],[Ticker]]&amp;"]"), INDIRECT("TabReg["&amp;TabCalc[[#This Row],[Ticker]]&amp;"2]")&gt;0)),0)</f>
        <v>45945</v>
      </c>
      <c r="CF79" s="178" cm="1">
        <f t="array" aca="1" ref="CF79" ca="1">IFERROR(MAX(_xlfn._xlws.FILTER(INDIRECT("TabReg["&amp;TabCalc[[#This Row],[Ticker]]&amp;"1]"), INDIRECT("TabReg["&amp;TabCalc[[#This Row],[Ticker]]&amp;"2]")&gt;0)),0)</f>
        <v>700</v>
      </c>
      <c r="CG79" s="173" cm="1">
        <f t="array" aca="1" ref="CG79" ca="1">IFERROR(MAX(_xlfn._xlws.FILTER(INDIRECT("TabReg["&amp;TabCalc[[#This Row],[Ticker]]&amp;"2]"), INDIRECT("TabReg["&amp;TabCalc[[#This Row],[Ticker]]&amp;"2]")&gt;0)),0)</f>
        <v>192.01</v>
      </c>
      <c r="CH79" s="167" cm="1">
        <f t="array" aca="1" ref="CH79" ca="1">MIN(_xlfn._xlws.FILTER(INDIRECT("TabReg["&amp;TabCalc[[#This Row],[Ticker]]&amp;"]"), INDIRECT("TabReg["&amp;TabCalc[[#This Row],[Ticker]]&amp;"2]")&lt;0))</f>
        <v>40544</v>
      </c>
      <c r="CI79" s="177" cm="1">
        <f t="array" aca="1" ref="CI79" ca="1">MIN(_xlfn._xlws.FILTER(INDIRECT("TabReg["&amp;TabCalc[[#This Row],[Ticker]]&amp;"1]"), INDIRECT("TabReg["&amp;TabCalc[[#This Row],[Ticker]]&amp;"2]")&lt;0))</f>
        <v>200</v>
      </c>
      <c r="CJ79" s="173" cm="1">
        <f t="array" aca="1" ref="CJ79" ca="1">MIN(_xlfn._xlws.FILTER(INDIRECT("TabReg["&amp;TabCalc[[#This Row],[Ticker]]&amp;"2]"), INDIRECT("TabReg["&amp;TabCalc[[#This Row],[Ticker]]&amp;"2]")&lt;0))</f>
        <v>-189.96</v>
      </c>
      <c r="CK79" s="167" cm="1">
        <f t="array" aca="1" ref="CK79" ca="1">MAX(_xlfn._xlws.FILTER(INDIRECT("TabReg["&amp;TabCalc[[#This Row],[Ticker]]&amp;"]"), INDIRECT("TabReg["&amp;TabCalc[[#This Row],[Ticker]]&amp;"2]")&lt;0))</f>
        <v>45952</v>
      </c>
      <c r="CL79" s="177" cm="1">
        <f t="array" aca="1" ref="CL79" ca="1">MAX(_xlfn._xlws.FILTER(INDIRECT("TabReg["&amp;TabCalc[[#This Row],[Ticker]]&amp;"1]"), INDIRECT("TabReg["&amp;TabCalc[[#This Row],[Ticker]]&amp;"2]")&lt;0))</f>
        <v>700</v>
      </c>
      <c r="CM79" s="173" cm="1">
        <f t="array" aca="1" ref="CM79" ca="1">MAX(_xlfn._xlws.FILTER(INDIRECT("TabReg["&amp;TabCalc[[#This Row],[Ticker]]&amp;"2]"), INDIRECT("TabReg["&amp;TabCalc[[#This Row],[Ticker]]&amp;"2]")&lt;0))</f>
        <v>-101.51</v>
      </c>
      <c r="CN79" s="167" cm="1">
        <f t="array" aca="1" ref="CN79" ca="1">IFERROR(_xlfn.XLOOKUP(TabCalc[[#This Row],[BS2P]],INDIRECT("TabReg["&amp;TabCalc[[#This Row],[Ticker]]&amp;"2]"),INDIRECT("TabReg["&amp;TabCalc[[#This Row],[Ticker]]&amp;"]")),0)</f>
        <v>45896</v>
      </c>
      <c r="CO79" s="178" cm="1">
        <f t="array" aca="1" ref="CO79" ca="1">IFERROR(_xlfn.XLOOKUP(TabCalc[[#This Row],[BS2P]],INDIRECT("TabReg["&amp;TabCalc[[#This Row],[Ticker]]&amp;"2]"),INDIRECT("TabReg["&amp;TabCalc[[#This Row],[Ticker]]&amp;"1]")),0)</f>
        <v>600</v>
      </c>
      <c r="CP79" s="173">
        <f ca="1">_xlfn.MAXIFS(INDIRECT("TabReg["&amp;TabCalc[[#This Row],[Ticker]]&amp;"2]"), INDIRECT("TabReg["&amp;TabCalc[[#This Row],[Ticker]]&amp;"2]"), "&lt;" &amp; MAX(INDIRECT("TabReg["&amp;TabCalc[[#This Row],[Ticker]]&amp;"2]")))</f>
        <v>189.91</v>
      </c>
      <c r="CQ79" s="167" cm="1">
        <f t="array" aca="1" ref="CQ79" ca="1">IFERROR(_xlfn.XLOOKUP(TabCalc[[#This Row],[WB2P]],INDIRECT("TabReg["&amp;TabCalc[[#This Row],[Ticker]]&amp;"2]"),INDIRECT("TabReg["&amp;TabCalc[[#This Row],[Ticker]]&amp;"]")),0)</f>
        <v>45915</v>
      </c>
      <c r="CR79" s="178" cm="1">
        <f t="array" aca="1" ref="CR79" ca="1">IFERROR(_xlfn.XLOOKUP(TabCalc[[#This Row],[WB2P]],INDIRECT("TabReg["&amp;TabCalc[[#This Row],[Ticker]]&amp;"2]"),INDIRECT("TabReg["&amp;TabCalc[[#This Row],[Ticker]]&amp;"1]")),0)</f>
        <v>600</v>
      </c>
      <c r="CS79" s="173">
        <f ca="1">_xlfn.MINIFS(INDIRECT("TabReg["&amp;TabCalc[[#This Row],[Ticker]]&amp;"2]"), INDIRECT("TabReg["&amp;TabCalc[[#This Row],[Ticker]]&amp;"2]"), "&gt;" &amp; MIN(INDIRECT("TabReg["&amp;TabCalc[[#This Row],[Ticker]]&amp;"2]")))</f>
        <v>-186.39</v>
      </c>
      <c r="CT79" s="405">
        <f ca="1">IF(TabCalc[[#This Row],[M]]&lt;TabCalc[[#This Row],[L_Sp]],DesiredBuyGain/(TabCalc[[#This Row],[L_Sp]]-TabCalc[[#This Row],[M]]),0)</f>
        <v>83333.333333330171</v>
      </c>
      <c r="CU79" s="406">
        <f ca="1">IF(TabCalc[[#This Row],[ntoBuy]]*TabCalc[[#This Row],[M]]&lt;=0,0,TabCalc[[#This Row],[ntoBuy]]*TabCalc[[#This Row],[M]])</f>
        <v>15995833.333332725</v>
      </c>
      <c r="CV79" s="406">
        <f ca="1">IF(TabCalc[[#This Row],[M]]&gt;ABS(TabCalc[[#This Row],[L_Bp]]),MIN(TabCalc[[#This Row],[NAfter]],DesiredSaleGain/(TabCalc[[#This Row],[M]]+TabCalc[[#This Row],[L_Bp]])),0)/TabCalc[[#This Row],[Scale]]</f>
        <v>568.82821387940896</v>
      </c>
      <c r="CW79" s="407">
        <f ca="1">TabCalc[[#This Row],[ntoSell]]*TabCalc[[#This Row],[M]]</f>
        <v>109186.57565415255</v>
      </c>
      <c r="CX79" s="400">
        <f ca="1">_xlfn.LET(_xlpm.nToSell,IF(TabCalc[[#This Row],[M]]-TabCalc[[#This Row],[A]]&lt;=0,"",INT(DesiredSaleGain/(TabCalc[[#This Row],[M]]-IF(TabCalc[[#This Row],[E]]&gt;0,0,TabCalc[[#This Row],[A]])))),IF(_xlpm.nToSell&lt;=TabCalc[[#This Row],[NAfter]],_xlpm.nToSell,0))</f>
        <v>454</v>
      </c>
      <c r="CY79" s="338">
        <f ca="1">IFERROR(TabCalc[[#This Row],[NMA]]*TabCalc[[#This Row],[M]],"")</f>
        <v>87145.299999999988</v>
      </c>
      <c r="CZ79" s="337" cm="1">
        <f t="array" aca="1" ref="CZ79" ca="1">_xlfn.IFS(TabCalc[[#This Row],[M]]&gt;= TabCalc[[#This Row],[L_Sp]],(TabCalc[[#This Row],[M]]-TabCalc[[#This Row],[A]])*TabCalc[[#This Row],[NAfter]]*TabCalc[[#This Row],[Scale]],           TabCalc[[#This Row],[M]]&lt; TabCalc[[#This Row],[L_Sp]],(TabCalc[[#This Row],[M]]-TabCalc[[#This Row],[A]])*TabCalc[[#This Row],[NAfter]]*TabCalc[[#This Row],[Scale]],               TRUE,"")</f>
        <v>9910.9999999999982</v>
      </c>
      <c r="DA79" s="90">
        <f ca="1">IFERROR((TabCalc[[#This Row],[M]]+TabCalc[[#This Row],[L_Bp]])/ABS(TabCalc[[#This Row],[L_Bp]])/(TODAY()-TabCalc[[#This Row],[L_Bdate]])*360,"")</f>
        <v>4.3191744922472122</v>
      </c>
      <c r="DB79" s="312">
        <f ca="1">MEDIAN(DataShift!F778:Z778)</f>
        <v>-1.276E-3</v>
      </c>
      <c r="DC79" s="312" t="str" cm="1">
        <f t="array" aca="1" ref="DC7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79" s="88" t="s">
        <v>75</v>
      </c>
      <c r="DN79" s="81">
        <v>7700</v>
      </c>
      <c r="DO79" s="317">
        <v>-12.54</v>
      </c>
    </row>
    <row r="80" spans="1:119">
      <c r="A80" s="120" t="str">
        <f ca="1">_xlfn.XLOOKUP(TabCalc[[#This Row],[Ticker]],[1]!RTData[Ticker symbol],[1]!RTData[Currency])</f>
        <v>USD</v>
      </c>
      <c r="B80" s="121">
        <f ca="1">IF(TabCalc[[#This Row],[Cur]]="GBP",0.01,1)</f>
        <v>1</v>
      </c>
      <c r="C80" s="82">
        <f ca="1">_xlfn.XLOOKUP(TabCalc[[#This Row],[Ticker]],DM$3:DM$96,DN$3:DN$96)</f>
        <v>310</v>
      </c>
      <c r="D80" s="1254">
        <f ca="1">_xlfn.XLOOKUP(TabCalc[[#This Row],[Ticker]],DM$3:DM$96,DO$3:DO$96)</f>
        <v>-358.7</v>
      </c>
      <c r="E80" s="121">
        <f t="shared" ca="1" si="4"/>
        <v>-111197</v>
      </c>
      <c r="F80" s="82">
        <f ca="1">TabCalc[[#This Row],[NAfter]]*TabCalc[[#This Row],[M]]*TabCalc[[#This Row],[Scale]]</f>
        <v>0</v>
      </c>
      <c r="G80" s="82">
        <f ca="1">IFERROR(TabCalc[[#This Row],[SB]]-TabCalc[[#This Row],[SST]],TabCalc[[#This Row],[SB]])</f>
        <v>0</v>
      </c>
      <c r="H80" s="535" t="str">
        <f ca="1">[1]!RTData[[#This Row],[Ticker symbol]]</f>
        <v>GS</v>
      </c>
      <c r="I80" s="385">
        <f ca="1">[1]!RTData[[#This Row],[M-Price]]</f>
        <v>783.88</v>
      </c>
      <c r="J80" s="384">
        <v>0</v>
      </c>
      <c r="K80" s="383">
        <f>[1]!RTData[[#This Row],[1YT]]</f>
        <v>764.68420000000003</v>
      </c>
      <c r="L80" s="384">
        <f ca="1">IF(OR(TabCalc[[#This Row],[NAfter]]=0,TabCalc[[#This Row],[EfCost]]&gt;0),0,TabCalc[[#This Row],[EfCost]]/TabCalc[[#This Row],[NAfter]]/TabCalc[[#This Row],[Scale]])</f>
        <v>0</v>
      </c>
      <c r="M80" s="744">
        <f ca="1">[1]!RTData[[#This Row],[Change%]]</f>
        <v>4.4086999999999994E-2</v>
      </c>
      <c r="N80" s="1172">
        <v>0.5714285714285714</v>
      </c>
      <c r="O80" s="966">
        <f>TabCalc[[#This Row],[Up20]]-1+TabCalc[[#This Row],[Up20]]</f>
        <v>0.14285714285714279</v>
      </c>
      <c r="P80" s="966">
        <f>TabCalc[[#This Row],[Up20]]-TabCalc[[#This Row],[Up150]]</f>
        <v>-2.4597918637653815E-2</v>
      </c>
      <c r="Q80" s="966">
        <v>0.59602649006622521</v>
      </c>
      <c r="R80" s="966">
        <f>TabCalc[[#This Row],[Up150]]-1+TabCalc[[#This Row],[Up150]]</f>
        <v>0.19205298013245042</v>
      </c>
      <c r="S80" s="966">
        <f ca="1">IFERROR(SUMPRODUCT(DataShift!F1572:Z1572,DataShift!AB779:AV779)/SQRT(SUMPRODUCT(DataShift!F1572:Z1572,DataShift!F1572:Z1572)*SUMPRODUCT(DataShift!AB779:AV779,DataShift!AB779:AV779)),0)</f>
        <v>-0.67932039996964266</v>
      </c>
      <c r="T80" s="966">
        <f ca="1">IFERROR(SUMPRODUCT(DataShift!F1572:Z1572,DataShift!F779:Z779)/SQRT(SUMPRODUCT(DataShift!F1572:Z1572,DataShift!F1572:Z1572)*SUMPRODUCT(DataShift!F779:Z779,DataShift!F779:Z779)),0)</f>
        <v>-0.25016350577663887</v>
      </c>
      <c r="U80" s="1107">
        <v>0</v>
      </c>
      <c r="V80" s="1107">
        <v>0</v>
      </c>
      <c r="W80" s="1107">
        <v>0</v>
      </c>
      <c r="X80" s="966" t="str">
        <f ca="1">IF(TabCalc[[#This Row],[EfCost]]+TabCalc[[#This Row],[M_V]]&lt;TabCalc[[#This Row],[NoT_GL]],"Pile","")</f>
        <v>Pile</v>
      </c>
      <c r="Y8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0" s="213">
        <f ca="1">MIN(TabCalc[[#This Row],[L_Bn]],TabCalc[[#This Row],[NAfter]])*(TabCalc[[#This Row],[M]]+TabCalc[[#This Row],[L_Bp]])*TabCalc[[#This Row],[Scale]]</f>
        <v>0</v>
      </c>
      <c r="AA80" s="210" cm="1">
        <f t="array" aca="1" ref="AA80" ca="1">_xlfn.XLOOKUP(TabCalc[[#This Row],[L_Bp]],INDIRECT("TabReg["&amp;TabCalc[[#This Row],[Ticker]]&amp;"2]"),INDIRECT("TabReg["&amp;TabCalc[[#This Row],[Ticker]]&amp;"]"))</f>
        <v>45566</v>
      </c>
      <c r="AB80" s="181" cm="1">
        <f t="array" aca="1" ref="AB80" ca="1">_xlfn.XLOOKUP(TabCalc[[#This Row],[L_Bp]],INDIRECT("TabReg["&amp;TabCalc[[#This Row],[Ticker]]&amp;"2]"),INDIRECT("TabReg["&amp;TabCalc[[#This Row],[Ticker]]&amp;"1]"))</f>
        <v>100</v>
      </c>
      <c r="AC80" s="192" cm="1">
        <f t="array" aca="1" ref="AC80" ca="1">IFERROR(INDEX(INDIRECT("TabReg["&amp;TabCalc[[#This Row],[Ticker]]&amp;"2]"),    _xlfn.XMATCH(    MAX(    _xlfn._xlws.FILTER(INDIRECT("TabReg["&amp;TabCalc[[#This Row],[Ticker]]&amp;"]"), INDIRECT("TabReg["&amp;TabCalc[[#This Row],[Ticker]]&amp;"2]")&lt;0)     ), INDIRECT("TabReg["&amp;TabCalc[[#This Row],[Ticker]]&amp;"]"),      0)), "")</f>
        <v>-561.60149999999999</v>
      </c>
      <c r="AD80" s="213">
        <f ca="1">IFERROR(MIN(TabCalc[[#This Row],[L_B1n]],TabCalc[[#This Row],[NAfter]])*(TabCalc[[#This Row],[M]]+TabCalc[[#This Row],[L_B1p]])*TabCalc[[#This Row],[Scale]],"")</f>
        <v>0</v>
      </c>
      <c r="AE80" s="210" cm="1">
        <f t="array" aca="1" ref="AE8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45512</v>
      </c>
      <c r="AF80" s="181" cm="1">
        <f t="array" aca="1" ref="AF80" ca="1">IFERROR(_xlfn.XLOOKUP(TabCalc[[#This Row],[L_B1D]],INDIRECT("TabReg["&amp;TabCalc[[#This Row],[Ticker]]&amp;"]"),INDIRECT("TabReg["&amp;TabCalc[[#This Row],[Ticker]]&amp;"1]")),0)</f>
        <v>200</v>
      </c>
      <c r="AG80" s="192" cm="1">
        <f t="array" aca="1" ref="AG80" ca="1">IFERROR(_xlfn.XLOOKUP(TabCalc[[#This Row],[L_B1D]],INDIRECT("TabReg["&amp;TabCalc[[#This Row],[Ticker]]&amp;"]"),INDIRECT("TabReg["&amp;TabCalc[[#This Row],[Ticker]]&amp;"2]")),0)</f>
        <v>-486.09730000000002</v>
      </c>
      <c r="AH80" s="302">
        <f ca="1">IFERROR(TabCalc[[#This Row],[L_Sn]]*(TabCalc[[#This Row],[L_Sp]]-TabCalc[[#This Row],[M]])*TabCalc[[#This Row],[Scale]],"")</f>
        <v>-15198.000000000002</v>
      </c>
      <c r="AI80" s="210" cm="1">
        <f t="array" aca="1" ref="AI80" ca="1">IFERROR(_xlfn.XLOOKUP(TabCalc[[#This Row],[L_Sp]],INDIRECT("TabReg["&amp;TabCalc[[#This Row],[Ticker]]&amp;"2]"),INDIRECT("TabReg["&amp;TabCalc[[#This Row],[Ticker]]&amp;"]")),0)</f>
        <v>45679</v>
      </c>
      <c r="AJ80" s="181" cm="1">
        <f t="array" aca="1" ref="AJ80" ca="1">IFERROR(_xlfn.XLOOKUP(TabCalc[[#This Row],[L_Sp]],INDIRECT("TabReg["&amp;TabCalc[[#This Row],[Ticker]]&amp;"2]"),INDIRECT("TabReg["&amp;TabCalc[[#This Row],[Ticker]]&amp;"1]")),0)</f>
        <v>100</v>
      </c>
      <c r="AK80" s="192" cm="1">
        <f t="array" aca="1" ref="AK80" ca="1">IFERROR(INDEX(INDIRECT("TabReg["&amp;TabCalc[[#This Row],[Ticker]]&amp;"2]"), _xlfn.XMATCH(MAX(_xlfn._xlws.FILTER(INDIRECT("TabReg["&amp;TabCalc[[#This Row],[Ticker]]&amp;"]"), INDIRECT("TabReg["&amp;TabCalc[[#This Row],[Ticker]]&amp;"2]")&gt;0)), INDIRECT("TabReg["&amp;TabCalc[[#This Row],[Ticker]]&amp;"]"), 0)), 0)</f>
        <v>631.9</v>
      </c>
      <c r="AL80" s="214">
        <f ca="1">IFERROR(TabCalc[[#This Row],[L_S1n]]*(TabCalc[[#This Row],[L_S1p]]-TabCalc[[#This Row],[M]])*TabCalc[[#This Row],[Scale]],0)</f>
        <v>-28884.929999999997</v>
      </c>
      <c r="AM80" s="210" cm="1">
        <f t="array" aca="1" ref="AM8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45525</v>
      </c>
      <c r="AN80" s="181" cm="1">
        <f t="array" aca="1" ref="AN80" ca="1">IFERROR(_xlfn.XLOOKUP(TabCalc[[#This Row],[L_S1D]],INDIRECT("TabReg["&amp;TabCalc[[#This Row],[Ticker]]&amp;"]"),INDIRECT("TabReg["&amp;TabCalc[[#This Row],[Ticker]]&amp;"1]")),0)</f>
        <v>100</v>
      </c>
      <c r="AO80" s="384" cm="1">
        <f t="array" aca="1" ref="AO80" ca="1">IFERROR(_xlfn.XLOOKUP(TabCalc[[#This Row],[L_S1D]],INDIRECT("TabReg["&amp;TabCalc[[#This Row],[Ticker]]&amp;"]"),INDIRECT("TabReg["&amp;TabCalc[[#This Row],[Ticker]]&amp;"2]")),0)</f>
        <v>495.03070000000002</v>
      </c>
      <c r="AP80" s="336">
        <f ca="1">_xlfn.LET(_xlpm.MVOpen,[1]!RTData[[#This Row],[Open]]*TabCalc[[#This Row],[NAfter]],_xlpm.MVNow,TabCalc[[#This Row],[M]]*TabCalc[[#This Row],[NAfter]],_xlpm.MVNow-_xlpm.MVOpen)*TabCalc[[#This Row],[Scale]]</f>
        <v>0</v>
      </c>
      <c r="AQ80" s="336">
        <f ca="1">_xlfn.LET(_xlpm.MVToday,DataShift!AV580,         _xlpm.MVY,DataShift!AU580,        _xlpm.MVYY, DataShift!AT580,                                IF(_xlpm.MVToday=_xlpm.MVY,_xlpm.MVY-_xlpm.MVYY,_xlpm.MVToday-_xlpm.MVY))</f>
        <v>0</v>
      </c>
      <c r="AR80" s="336">
        <f ca="1">_xlfn.LET(_xlpm.MVToday,DataShift!AV580,         _xlpm.MVY,DataShift!AU580,        _xlpm.MVYY, DataShift!AT580,         _xlpm.MVYYY, DataShift!AS580,                      IF(_xlpm.MVToday=_xlpm.MVY,      _xlpm.MVYY-_xlpm.MVYYY,          _xlpm.MVY-_xlpm.MVYY))</f>
        <v>0</v>
      </c>
      <c r="AS80" s="1078">
        <f ca="1">TabCalc[[#This Row],[Y]]/TabCalc[[#This Row],[M]]</f>
        <v>0.97551181303260703</v>
      </c>
      <c r="AT80" s="299" t="str" cm="1">
        <f t="array" aca="1" ref="AT80" ca="1">IFERROR(_xlfn.IFS(          TabCalc[[#This Row],[E]]&gt;0, "Free Trade",      TabCalc[[#This Row],[A]]&lt;MIN(TabCalc[[#This Row],[L_Sp]],TabCalc[[#This Row],[M]]), "Buy",            TabCalc[[#This Row],[M]]&lt;TabCalc[[#This Row],[L_Sp]],       "Refill",       TabCalc[[#This Row],[M]]&gt;TabCalc[[#This Row],[L_Sp]],"S_more"),"")</f>
        <v>Buy</v>
      </c>
      <c r="AU80" s="299" t="str">
        <f ca="1">IF(           AND(TabCalc[[#This Row],[E]]&lt;=0,          TabCalc[[#This Row],[A]]&gt;MIN(TabCalc[[#This Row],[M]],TabCalc[[#This Row],[L_Sp]]),             TabCalc[[#This Row],[L_Sp]]&lt;=TabCalc[[#This Row],[M]]),                       "S_more","")</f>
        <v/>
      </c>
      <c r="AV80" s="82" t="str" cm="1">
        <f t="array" aca="1" ref="AV80" ca="1">IFERROR(_xlfn.IFS(TabCalc[[#This Row],[E]]&gt;0,"Free trade",                 TabCalc[[#This Row],[A]]&lt;MAX(ABS(TabCalc[[#This Row],[L_Bp]]),TabCalc[[#This Row],[A]]),"Sell",             TabCalc[[#This Row],[M]]&gt;ABS(TabCalc[[#This Row],[L_Bp]]),"Resell",             TabCalc[[#This Row],[M]]&lt;ABS(TabCalc[[#This Row],[L_Bp]]),"B_more"),"")</f>
        <v>Sell</v>
      </c>
      <c r="AW80" s="82">
        <f ca="1">TabCalc[[#This Row],[NAfter]]-TabCalc[[#This Row],[Nbegin]]</f>
        <v>-310</v>
      </c>
      <c r="AX80" s="307">
        <f ca="1">IFERROR((TabCalc[[#This Row],[M]]-TabCalc[[#This Row],[Y]])*(TabCalc[[#This Row],[M]]-TabCalc[[#This Row],[Y]])*(TabCalc[[#This Row],[M]]-TabCalc[[#This Row],[Y]])/(TabCalc[[#This Row],[Y]]*TabCalc[[#This Row],[M]]),"")</f>
        <v>1.1800134252593696E-2</v>
      </c>
      <c r="AY80" s="82">
        <f t="shared" ca="1" si="5"/>
        <v>310</v>
      </c>
      <c r="AZ80" s="90">
        <f ca="1">[1]!RTData[[#This Row],[V/VA]]</f>
        <v>1.1912264037021929</v>
      </c>
      <c r="BA80" s="90" t="str" cm="1">
        <f t="array" aca="1" ref="BA80" ca="1">IFERROR(_xlfn.IFS(TabCalc[[#This Row],[Cur]]="USD",Timer!F$27,TabCalc[[#This Row],[Cur]]="EUR",Timer!F$18,TabCalc[[#This Row],[Cur]]="GBP",Timer!F$12,TabCalc[[#This Row],[Cur]]="CAD",Timer!F$27,TabCalc[[#This Row],[Cur]]="JPY",Timer!F$31,TabCalc[[#This Row],[Cur]]="CHF",Timer!F$18),"Timing")</f>
        <v>None-Working Day</v>
      </c>
      <c r="BB80" s="90">
        <f ca="1">IF(ISNUMBER(TabCalc[[#This Row],[TimeEX]]),TabCalc[[#This Row],[V/VA]]/TabCalc[[#This Row],[TimeEX]],TabCalc[[#This Row],[V/VA]])</f>
        <v>1.1912264037021929</v>
      </c>
      <c r="BC80" s="87" cm="1">
        <f t="array" aca="1" ref="BC80" ca="1">INDEX(TabReg[], 1, _xlfn.XMATCH(TabCalc[[#This Row],[Ticker]]&amp;1, TabReg[#Headers], 0))</f>
        <v>310</v>
      </c>
      <c r="BD80" s="161">
        <f ca="1">TabCalc[[#This Row],[Nbegin]]*TabCalc[[#This Row],[M]]*TabCalc[[#This Row],[Scale]]+TabCalc[[#This Row],[ValueBegin]]</f>
        <v>131805.79999999999</v>
      </c>
      <c r="BE80" s="336" t="str" cm="1">
        <f t="array" aca="1" ref="BE80" ca="1">_xlfn.IFS(TabCalc[[#This Row],[Cost+Gain]]&gt;0,"Free",             TabCalc[[#This Row],[GL]]&gt;0,"Gainer",                TRUE,"Looser")</f>
        <v>Free</v>
      </c>
      <c r="BF80" s="161">
        <f ca="1">TabCalc[[#This Row],[Tot_Paid]]-TabCalc[[#This Row],[ValueBegin]]</f>
        <v>-411701.40021400002</v>
      </c>
      <c r="BG80" s="337">
        <f ca="1">IF(TabCalc[[#This Row],[EfCost]]&gt;TabCalc[[#This Row],[ValueBegin]],       0,        TabCalc[[#This Row],[EfCost]]-TabCalc[[#This Row],[ValueBegin]]*(1+Commission))</f>
        <v>0</v>
      </c>
      <c r="BH80" s="338">
        <f ca="1">TabCalc[[#This Row],[M_V]]+TabCalc[[#This Row],[ValueBegin]]</f>
        <v>-111197</v>
      </c>
      <c r="BI80" s="161" cm="1">
        <f t="array" aca="1" ref="BI80" ca="1">SUMPRODUCT(_xlfn._xlws.FILTER(INDIRECT("TabReg["&amp;TabCalc[[#This Row],[Ticker]]&amp;"1]") * INDIRECT("TabReg["&amp;TabCalc[[#This Row],[Ticker]]&amp;"2]"), INDIRECT("TabReg["&amp;TabCalc[[#This Row],[Ticker]]&amp;"2]")&lt;0))*(1+Commission)*TabCalc[[#This Row],[Scale]]</f>
        <v>-522898.40021400002</v>
      </c>
      <c r="BJ80" s="161" cm="1">
        <f t="array" aca="1" ref="BJ80" ca="1">SUMPRODUCT(IF(INDIRECT("TabReg["&amp;TabCalc[[#This Row],[Ticker]]&amp;"2]") ="", 0, INDIRECT("TabReg["&amp;TabCalc[[#This Row],[Ticker]]&amp;"1]") * INDIRECT("TabReg["&amp;TabCalc[[#This Row],[Ticker]]&amp;"2]") ))*TabCalc[[#This Row],[Scale]]</f>
        <v>45917.739000000023</v>
      </c>
      <c r="BK80" s="161" cm="1">
        <f t="array" aca="1" ref="BK8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565984.7326645999</v>
      </c>
      <c r="BL80" s="161">
        <f ca="1">TabCalc[[#This Row],[M_V]]+TabCalc[[#This Row],[EfCost]]</f>
        <v>45917.739000000023</v>
      </c>
      <c r="BM80" s="161">
        <f ca="1">IF(        OR( TabCalc[[#This Row],[GL]]&gt;ABS(TabCalc[[#This Row],[EfCost]]),TabCalc[[#This Row],[NAfter]]=0),             TabCalc[[#This Row],[GL]],     0)</f>
        <v>45917.739000000023</v>
      </c>
      <c r="BN80" s="161" cm="1">
        <f t="array" aca="1" ref="BN80" ca="1">SUMPRODUCT(_xlfn._xlws.FILTER(IF(INDIRECT("TabReg["&amp;TabCalc[[#This Row],[Ticker]]&amp;"2]") ="", 0, INDIRECT("TabReg["&amp;TabCalc[[#This Row],[Ticker]]&amp;"1]")  ),  INDIRECT("TabReg["&amp;TabCalc[[#This Row],[Ticker]]&amp;"2]") &lt; 0))</f>
        <v>1200</v>
      </c>
      <c r="BO80" s="161">
        <f ca="1">TabCalc[[#This Row],[SB]]-TabCalc[[#This Row],[Nbegin]]</f>
        <v>890</v>
      </c>
      <c r="BP80" s="161" cm="1">
        <f t="array" aca="1" ref="BP80" ca="1">IFERROR(SUMPRODUCT(_xlfn._xlws.FILTER(IF(INDIRECT("TabReg["&amp;TabCalc[[#This Row],[Ticker]]&amp;"2]") ="", 0, INDIRECT("TabReg["&amp;TabCalc[[#This Row],[Ticker]]&amp;"1]")  ),  INDIRECT("TabReg["&amp;TabCalc[[#This Row],[Ticker]]&amp;"2]") &gt; 0)),0)</f>
        <v>1200</v>
      </c>
      <c r="BQ80"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0" s="176" t="str">
        <f ca="1">IF(TabCalc[[#This Row],[EfCost]]+TabCalc[[#This Row],[M_V]]&lt;TabCalc[[#This Row],[NoT_GL]],"Pile","")</f>
        <v>Pile</v>
      </c>
      <c r="BS80" s="167">
        <f ca="1">[1]!RTData[[#This Row],[Last trade time]]</f>
        <v>45954.999808414061</v>
      </c>
      <c r="BT80" s="177">
        <f ca="1">(TabCalc[[#This Row],[ValueBegin]]+(TabCalc[[#This Row],[M]]-TabCalc[[#This Row],[A]])*TabCalc[[#This Row],[NAfter]])*TabCalc[[#This Row],[Scale]]</f>
        <v>-111197</v>
      </c>
      <c r="BU80" s="189" cm="1">
        <f t="array" aca="1" ref="BU80" ca="1">_xlfn.XLOOKUP(TabCalc[[#This Row],[Ticker]],TabReg[[#Headers],[AAPL]:[UnknownX28]],Reg!B$72:KF$72)+3</f>
        <v>14</v>
      </c>
      <c r="BV80" s="190" cm="1">
        <f t="array" aca="1" ref="BV80" ca="1">_xlfn.XLOOKUP(TabCalc[[#This Row],[Ticker]],TabReg[[#Headers],[AAPL]:[UnknownX28]],Reg!B$73:KF$73)+2</f>
        <v>237</v>
      </c>
      <c r="BW80" s="191">
        <f ca="1">IFERROR(MAX(TabCalc[[#This Row],[Max_SD]],TabCalc[[#This Row],[Max_PD]]),0)</f>
        <v>45679</v>
      </c>
      <c r="BX80" s="191" t="str" cm="1">
        <f t="array" aca="1" ref="BX80" ca="1">_xlfn.IFS(TabCalc[[#This Row],[L_TP]]&lt;0,"Purchase",TabCalc[[#This Row],[L_TP]]&gt;0,"Sale")</f>
        <v>Sale</v>
      </c>
      <c r="BY80" s="190" cm="1">
        <f t="array" aca="1" ref="BY80" ca="1">INDEX(Reg!$A$1:$KF$73,TabCalc[[#This Row],[L_I1]],TabCalc[[#This Row],[L_I2]])</f>
        <v>100</v>
      </c>
      <c r="BZ80" s="192" cm="1">
        <f t="array" aca="1" ref="BZ80" ca="1">INDEX(Reg!$A$1:$KF$73,TabCalc[[#This Row],[L_I1]],TabCalc[[#This Row],[L_I2]]+1)</f>
        <v>631.9</v>
      </c>
      <c r="CA80" s="161">
        <f ca="1">TabCalc[[#This Row],[NAfter]]*(TabCalc[[#This Row],[M]]-IF(TabCalc[[#This Row],[E]]&gt;0,0,TabCalc[[#This Row],[A]]))</f>
        <v>0</v>
      </c>
      <c r="CB80" s="167" cm="1">
        <f t="array" aca="1" ref="CB80" ca="1">IFERROR(MIN(_xlfn._xlws.FILTER(INDIRECT("TabReg["&amp;TabCalc[[#This Row],[Ticker]]&amp;"]"), INDIRECT("TabReg["&amp;TabCalc[[#This Row],[Ticker]]&amp;"2]")&gt;0)),0)</f>
        <v>45386</v>
      </c>
      <c r="CC80" s="178" cm="1">
        <f t="array" aca="1" ref="CC80" ca="1">IFERROR(MIN(_xlfn._xlws.FILTER(INDIRECT("TabReg["&amp;TabCalc[[#This Row],[Ticker]]&amp;"1]"), INDIRECT("TabReg["&amp;TabCalc[[#This Row],[Ticker]]&amp;"2]")&gt;0)),0)</f>
        <v>100</v>
      </c>
      <c r="CD80" s="173" cm="1">
        <f t="array" aca="1" ref="CD80" ca="1">IFERROR(MIN(_xlfn._xlws.FILTER(INDIRECT("TabReg["&amp;TabCalc[[#This Row],[Ticker]]&amp;"2]"), INDIRECT("TabReg["&amp;TabCalc[[#This Row],[Ticker]]&amp;"2]")&gt;0)),0)</f>
        <v>377.07</v>
      </c>
      <c r="CE80" s="167" cm="1">
        <f t="array" aca="1" ref="CE80" ca="1">IFERROR(MAX(_xlfn._xlws.FILTER(INDIRECT("TabReg["&amp;TabCalc[[#This Row],[Ticker]]&amp;"]"), INDIRECT("TabReg["&amp;TabCalc[[#This Row],[Ticker]]&amp;"2]")&gt;0)),0)</f>
        <v>45679</v>
      </c>
      <c r="CF80" s="178" cm="1">
        <f t="array" aca="1" ref="CF80" ca="1">IFERROR(MAX(_xlfn._xlws.FILTER(INDIRECT("TabReg["&amp;TabCalc[[#This Row],[Ticker]]&amp;"1]"), INDIRECT("TabReg["&amp;TabCalc[[#This Row],[Ticker]]&amp;"2]")&gt;0)),0)</f>
        <v>310</v>
      </c>
      <c r="CG80" s="173" cm="1">
        <f t="array" aca="1" ref="CG80" ca="1">IFERROR(MAX(_xlfn._xlws.FILTER(INDIRECT("TabReg["&amp;TabCalc[[#This Row],[Ticker]]&amp;"2]"), INDIRECT("TabReg["&amp;TabCalc[[#This Row],[Ticker]]&amp;"2]")&gt;0)),0)</f>
        <v>631.9</v>
      </c>
      <c r="CH80" s="167" cm="1">
        <f t="array" aca="1" ref="CH80" ca="1">MIN(_xlfn._xlws.FILTER(INDIRECT("TabReg["&amp;TabCalc[[#This Row],[Ticker]]&amp;"]"), INDIRECT("TabReg["&amp;TabCalc[[#This Row],[Ticker]]&amp;"2]")&lt;0))</f>
        <v>40544</v>
      </c>
      <c r="CI80" s="177" cm="1">
        <f t="array" aca="1" ref="CI80" ca="1">MIN(_xlfn._xlws.FILTER(INDIRECT("TabReg["&amp;TabCalc[[#This Row],[Ticker]]&amp;"1]"), INDIRECT("TabReg["&amp;TabCalc[[#This Row],[Ticker]]&amp;"2]")&lt;0))</f>
        <v>100</v>
      </c>
      <c r="CJ80" s="173" cm="1">
        <f t="array" aca="1" ref="CJ80" ca="1">MIN(_xlfn._xlws.FILTER(INDIRECT("TabReg["&amp;TabCalc[[#This Row],[Ticker]]&amp;"2]"), INDIRECT("TabReg["&amp;TabCalc[[#This Row],[Ticker]]&amp;"2]")&lt;0))</f>
        <v>-561.60149999999999</v>
      </c>
      <c r="CK80" s="167" cm="1">
        <f t="array" aca="1" ref="CK80" ca="1">MAX(_xlfn._xlws.FILTER(INDIRECT("TabReg["&amp;TabCalc[[#This Row],[Ticker]]&amp;"]"), INDIRECT("TabReg["&amp;TabCalc[[#This Row],[Ticker]]&amp;"2]")&lt;0))</f>
        <v>45566</v>
      </c>
      <c r="CL80" s="177" cm="1">
        <f t="array" aca="1" ref="CL80" ca="1">MAX(_xlfn._xlws.FILTER(INDIRECT("TabReg["&amp;TabCalc[[#This Row],[Ticker]]&amp;"1]"), INDIRECT("TabReg["&amp;TabCalc[[#This Row],[Ticker]]&amp;"2]")&lt;0))</f>
        <v>310</v>
      </c>
      <c r="CM80" s="173" cm="1">
        <f t="array" aca="1" ref="CM80" ca="1">MAX(_xlfn._xlws.FILTER(INDIRECT("TabReg["&amp;TabCalc[[#This Row],[Ticker]]&amp;"2]"), INDIRECT("TabReg["&amp;TabCalc[[#This Row],[Ticker]]&amp;"2]")&lt;0))</f>
        <v>-358.7</v>
      </c>
      <c r="CN80" s="167" cm="1">
        <f t="array" aca="1" ref="CN80" ca="1">IFERROR(_xlfn.XLOOKUP(TabCalc[[#This Row],[BS2P]],INDIRECT("TabReg["&amp;TabCalc[[#This Row],[Ticker]]&amp;"2]"),INDIRECT("TabReg["&amp;TabCalc[[#This Row],[Ticker]]&amp;"]")),0)</f>
        <v>45505</v>
      </c>
      <c r="CO80" s="178" cm="1">
        <f t="array" aca="1" ref="CO80" ca="1">IFERROR(_xlfn.XLOOKUP(TabCalc[[#This Row],[BS2P]],INDIRECT("TabReg["&amp;TabCalc[[#This Row],[Ticker]]&amp;"2]"),INDIRECT("TabReg["&amp;TabCalc[[#This Row],[Ticker]]&amp;"1]")),0)</f>
        <v>100</v>
      </c>
      <c r="CP80" s="173">
        <f ca="1">_xlfn.MAXIFS(INDIRECT("TabReg["&amp;TabCalc[[#This Row],[Ticker]]&amp;"2]"), INDIRECT("TabReg["&amp;TabCalc[[#This Row],[Ticker]]&amp;"2]"), "&lt;" &amp; MAX(INDIRECT("TabReg["&amp;TabCalc[[#This Row],[Ticker]]&amp;"2]")))</f>
        <v>573.66999999999996</v>
      </c>
      <c r="CQ80" s="167" cm="1">
        <f t="array" aca="1" ref="CQ80" ca="1">IFERROR(_xlfn.XLOOKUP(TabCalc[[#This Row],[WB2P]],INDIRECT("TabReg["&amp;TabCalc[[#This Row],[Ticker]]&amp;"2]"),INDIRECT("TabReg["&amp;TabCalc[[#This Row],[Ticker]]&amp;"]")),0)</f>
        <v>45512</v>
      </c>
      <c r="CR80" s="178" cm="1">
        <f t="array" aca="1" ref="CR80" ca="1">IFERROR(_xlfn.XLOOKUP(TabCalc[[#This Row],[WB2P]],INDIRECT("TabReg["&amp;TabCalc[[#This Row],[Ticker]]&amp;"2]"),INDIRECT("TabReg["&amp;TabCalc[[#This Row],[Ticker]]&amp;"1]")),0)</f>
        <v>200</v>
      </c>
      <c r="CS80" s="173">
        <f ca="1">_xlfn.MINIFS(INDIRECT("TabReg["&amp;TabCalc[[#This Row],[Ticker]]&amp;"2]"), INDIRECT("TabReg["&amp;TabCalc[[#This Row],[Ticker]]&amp;"2]"), "&gt;" &amp; MIN(INDIRECT("TabReg["&amp;TabCalc[[#This Row],[Ticker]]&amp;"2]")))</f>
        <v>-486.09730000000002</v>
      </c>
      <c r="CT80" s="405">
        <f ca="1">IF(TabCalc[[#This Row],[M]]&lt;TabCalc[[#This Row],[L_Sp]],DesiredBuyGain/(TabCalc[[#This Row],[L_Sp]]-TabCalc[[#This Row],[M]]),0)</f>
        <v>0</v>
      </c>
      <c r="CU80" s="406">
        <f ca="1">IF(TabCalc[[#This Row],[ntoBuy]]*TabCalc[[#This Row],[M]]&lt;=0,0,TabCalc[[#This Row],[ntoBuy]]*TabCalc[[#This Row],[M]])</f>
        <v>0</v>
      </c>
      <c r="CV80" s="406">
        <f ca="1">IF(TabCalc[[#This Row],[M]]&gt;ABS(TabCalc[[#This Row],[L_Bp]]),MIN(TabCalc[[#This Row],[NAfter]],DesiredSaleGain/(TabCalc[[#This Row],[M]]+TabCalc[[#This Row],[L_Bp]])),0)/TabCalc[[#This Row],[Scale]]</f>
        <v>0</v>
      </c>
      <c r="CW80" s="407">
        <f ca="1">TabCalc[[#This Row],[ntoSell]]*TabCalc[[#This Row],[M]]</f>
        <v>0</v>
      </c>
      <c r="CX80" s="400">
        <f ca="1">_xlfn.LET(_xlpm.nToSell,IF(TabCalc[[#This Row],[M]]-TabCalc[[#This Row],[A]]&lt;=0,"",INT(DesiredSaleGain/(TabCalc[[#This Row],[M]]-IF(TabCalc[[#This Row],[E]]&gt;0,0,TabCalc[[#This Row],[A]])))),IF(_xlpm.nToSell&lt;=TabCalc[[#This Row],[NAfter]],_xlpm.nToSell,0))</f>
        <v>0</v>
      </c>
      <c r="CY80" s="338">
        <f ca="1">IFERROR(TabCalc[[#This Row],[NMA]]*TabCalc[[#This Row],[M]],"")</f>
        <v>0</v>
      </c>
      <c r="CZ80" s="337" cm="1">
        <f t="array" aca="1" ref="CZ80" ca="1">_xlfn.IFS(TabCalc[[#This Row],[M]]&gt;= TabCalc[[#This Row],[L_Sp]],(TabCalc[[#This Row],[M]]-TabCalc[[#This Row],[A]])*TabCalc[[#This Row],[NAfter]]*TabCalc[[#This Row],[Scale]],           TabCalc[[#This Row],[M]]&lt; TabCalc[[#This Row],[L_Sp]],(TabCalc[[#This Row],[M]]-TabCalc[[#This Row],[A]])*TabCalc[[#This Row],[NAfter]]*TabCalc[[#This Row],[Scale]],               TRUE,"")</f>
        <v>0</v>
      </c>
      <c r="DA80" s="90">
        <f ca="1">IFERROR((TabCalc[[#This Row],[M]]+TabCalc[[#This Row],[L_Bp]])/ABS(TabCalc[[#This Row],[L_Bp]])/(TODAY()-TabCalc[[#This Row],[L_Bdate]])*360,"")</f>
        <v>0.36534830096813103</v>
      </c>
      <c r="DB80" s="312">
        <f ca="1">MEDIAN(DataShift!F779:Z779)</f>
        <v>-1.103E-3</v>
      </c>
      <c r="DC80" s="312" t="str" cm="1">
        <f t="array" aca="1" ref="DC8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80" s="88" t="s">
        <v>76</v>
      </c>
      <c r="DN80" s="82">
        <v>5000</v>
      </c>
      <c r="DO80" s="317">
        <v>-19.63</v>
      </c>
    </row>
    <row r="81" spans="1:119">
      <c r="A81" s="120" t="str">
        <f ca="1">_xlfn.XLOOKUP(TabCalc[[#This Row],[Ticker]],[1]!RTData[Ticker symbol],[1]!RTData[Currency])</f>
        <v>USD</v>
      </c>
      <c r="B81" s="121">
        <f ca="1">IF(TabCalc[[#This Row],[Cur]]="GBP",0.01,1)</f>
        <v>1</v>
      </c>
      <c r="C81" s="82">
        <f ca="1">_xlfn.XLOOKUP(TabCalc[[#This Row],[Ticker]],DM$3:DM$96,DN$3:DN$96)</f>
        <v>5353</v>
      </c>
      <c r="D81" s="1254">
        <f ca="1">_xlfn.XLOOKUP(TabCalc[[#This Row],[Ticker]],DM$3:DM$96,DO$3:DO$96)</f>
        <v>-47.08</v>
      </c>
      <c r="E81" s="121">
        <f t="shared" ca="1" si="4"/>
        <v>-252019.24</v>
      </c>
      <c r="F81" s="82">
        <f ca="1">TabCalc[[#This Row],[NAfter]]*TabCalc[[#This Row],[M]]*TabCalc[[#This Row],[Scale]]</f>
        <v>34449.960000000006</v>
      </c>
      <c r="G81" s="82">
        <f ca="1">IFERROR(TabCalc[[#This Row],[SB]]-TabCalc[[#This Row],[SST]],TabCalc[[#This Row],[SB]])</f>
        <v>15518</v>
      </c>
      <c r="H81" s="535" t="str">
        <f ca="1">[1]!RTData[[#This Row],[Ticker symbol]]</f>
        <v>LAZR</v>
      </c>
      <c r="I81" s="385">
        <f ca="1">[1]!RTData[[#This Row],[M-Price]]</f>
        <v>2.2200000000000002</v>
      </c>
      <c r="J81" s="384">
        <v>21.677332130429178</v>
      </c>
      <c r="K81" s="383">
        <f>[1]!RTData[[#This Row],[1YT]]</f>
        <v>3</v>
      </c>
      <c r="L81" s="384">
        <f ca="1">IF(OR(TabCalc[[#This Row],[NAfter]]=0,TabCalc[[#This Row],[EfCost]]&gt;0),0,TabCalc[[#This Row],[EfCost]]/TabCalc[[#This Row],[NAfter]]/TabCalc[[#This Row],[Scale]])</f>
        <v>-21.677332130429178</v>
      </c>
      <c r="M81" s="744">
        <f ca="1">[1]!RTData[[#This Row],[Change%]]</f>
        <v>0.31360900000000003</v>
      </c>
      <c r="N81" s="1172">
        <v>0</v>
      </c>
      <c r="O81" s="966">
        <f>TabCalc[[#This Row],[Up20]]-1+TabCalc[[#This Row],[Up20]]</f>
        <v>-1</v>
      </c>
      <c r="P81" s="966">
        <f>TabCalc[[#This Row],[Up20]]-TabCalc[[#This Row],[Up150]]</f>
        <v>0</v>
      </c>
      <c r="Q81" s="966">
        <v>0</v>
      </c>
      <c r="R81" s="966">
        <f>TabCalc[[#This Row],[Up150]]-1+TabCalc[[#This Row],[Up150]]</f>
        <v>-1</v>
      </c>
      <c r="S81" s="966">
        <f ca="1">IFERROR(SUMPRODUCT(DataShift!F1573:Z1573,DataShift!AB780:AV780)/SQRT(SUMPRODUCT(DataShift!F1573:Z1573,DataShift!F1573:Z1573)*SUMPRODUCT(DataShift!AB780:AV780,DataShift!AB780:AV780)),0)</f>
        <v>-0.66313451585334504</v>
      </c>
      <c r="T81" s="966">
        <f ca="1">IFERROR(SUMPRODUCT(DataShift!F1573:Z1573,DataShift!F780:Z780)/SQRT(SUMPRODUCT(DataShift!F1573:Z1573,DataShift!F1573:Z1573)*SUMPRODUCT(DataShift!F780:Z780,DataShift!F780:Z780)),0)</f>
        <v>2.3814773857969047E-2</v>
      </c>
      <c r="U81" s="1107">
        <v>0</v>
      </c>
      <c r="V81" s="1107">
        <v>15518</v>
      </c>
      <c r="W81" s="1107">
        <v>0</v>
      </c>
      <c r="X81" s="966" t="str">
        <f ca="1">IF(TabCalc[[#This Row],[EfCost]]+TabCalc[[#This Row],[M_V]]&lt;TabCalc[[#This Row],[NoT_GL]],"Pile","")</f>
        <v>Pile</v>
      </c>
      <c r="Y8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371,583 = $ 824,914</v>
      </c>
      <c r="Z81" s="213">
        <f ca="1">MIN(TabCalc[[#This Row],[L_Bn]],TabCalc[[#This Row],[NAfter]])*(TabCalc[[#This Row],[M]]+TabCalc[[#This Row],[L_Bp]])*TabCalc[[#This Row],[Scale]]</f>
        <v>-40710.340000000004</v>
      </c>
      <c r="AA81" s="210" cm="1">
        <f t="array" aca="1" ref="AA81" ca="1">_xlfn.XLOOKUP(TabCalc[[#This Row],[L_Bp]],INDIRECT("TabReg["&amp;TabCalc[[#This Row],[Ticker]]&amp;"2]"),INDIRECT("TabReg["&amp;TabCalc[[#This Row],[Ticker]]&amp;"]"))</f>
        <v>45679</v>
      </c>
      <c r="AB81" s="181" cm="1">
        <f t="array" aca="1" ref="AB81" ca="1">_xlfn.XLOOKUP(TabCalc[[#This Row],[L_Bp]],INDIRECT("TabReg["&amp;TabCalc[[#This Row],[Ticker]]&amp;"2]"),INDIRECT("TabReg["&amp;TabCalc[[#This Row],[Ticker]]&amp;"1]"))</f>
        <v>9647</v>
      </c>
      <c r="AC81" s="192" cm="1">
        <f t="array" aca="1" ref="AC81" ca="1">IFERROR(INDEX(INDIRECT("TabReg["&amp;TabCalc[[#This Row],[Ticker]]&amp;"2]"),    _xlfn.XMATCH(    MAX(    _xlfn._xlws.FILTER(INDIRECT("TabReg["&amp;TabCalc[[#This Row],[Ticker]]&amp;"]"), INDIRECT("TabReg["&amp;TabCalc[[#This Row],[Ticker]]&amp;"2]")&lt;0)     ), INDIRECT("TabReg["&amp;TabCalc[[#This Row],[Ticker]]&amp;"]"),      0)), "")</f>
        <v>-6.44</v>
      </c>
      <c r="AD81" s="213">
        <f ca="1">IFERROR(MIN(TabCalc[[#This Row],[L_B1n]],TabCalc[[#This Row],[NAfter]])*(TabCalc[[#This Row],[M]]+TabCalc[[#This Row],[L_B1p]])*TabCalc[[#This Row],[Scale]],"")</f>
        <v>-21092.959999999999</v>
      </c>
      <c r="AE81" s="210" cm="1">
        <f t="array" aca="1" ref="AE8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45455</v>
      </c>
      <c r="AF81" s="181" cm="1">
        <f t="array" aca="1" ref="AF81" ca="1">IFERROR(_xlfn.XLOOKUP(TabCalc[[#This Row],[L_B1D]],INDIRECT("TabReg["&amp;TabCalc[[#This Row],[Ticker]]&amp;"]"),INDIRECT("TabReg["&amp;TabCalc[[#This Row],[Ticker]]&amp;"1]")),0)</f>
        <v>518</v>
      </c>
      <c r="AG81" s="192" cm="1">
        <f t="array" aca="1" ref="AG81" ca="1">IFERROR(_xlfn.XLOOKUP(TabCalc[[#This Row],[L_B1D]],INDIRECT("TabReg["&amp;TabCalc[[#This Row],[Ticker]]&amp;"]"),INDIRECT("TabReg["&amp;TabCalc[[#This Row],[Ticker]]&amp;"2]")),0)</f>
        <v>-42.94</v>
      </c>
      <c r="AH81" s="302">
        <f ca="1">IFERROR(TabCalc[[#This Row],[L_Sn]]*(TabCalc[[#This Row],[L_Sp]]-TabCalc[[#This Row],[M]])*TabCalc[[#This Row],[Scale]],"")</f>
        <v>0</v>
      </c>
      <c r="AI81" s="210" cm="1">
        <f t="array" aca="1" ref="AI81" ca="1">IFERROR(_xlfn.XLOOKUP(TabCalc[[#This Row],[L_Sp]],INDIRECT("TabReg["&amp;TabCalc[[#This Row],[Ticker]]&amp;"2]"),INDIRECT("TabReg["&amp;TabCalc[[#This Row],[Ticker]]&amp;"]")),0)</f>
        <v>0</v>
      </c>
      <c r="AJ81" s="181" cm="1">
        <f t="array" aca="1" ref="AJ81" ca="1">IFERROR(_xlfn.XLOOKUP(TabCalc[[#This Row],[L_Sp]],INDIRECT("TabReg["&amp;TabCalc[[#This Row],[Ticker]]&amp;"2]"),INDIRECT("TabReg["&amp;TabCalc[[#This Row],[Ticker]]&amp;"1]")),0)</f>
        <v>0</v>
      </c>
      <c r="AK81" s="192" cm="1">
        <f t="array" aca="1" ref="AK81" ca="1">IFERROR(INDEX(INDIRECT("TabReg["&amp;TabCalc[[#This Row],[Ticker]]&amp;"2]"), _xlfn.XMATCH(MAX(_xlfn._xlws.FILTER(INDIRECT("TabReg["&amp;TabCalc[[#This Row],[Ticker]]&amp;"]"), INDIRECT("TabReg["&amp;TabCalc[[#This Row],[Ticker]]&amp;"2]")&gt;0)), INDIRECT("TabReg["&amp;TabCalc[[#This Row],[Ticker]]&amp;"]"), 0)), 0)</f>
        <v>0</v>
      </c>
      <c r="AL81" s="214">
        <f ca="1">IFERROR(TabCalc[[#This Row],[L_S1n]]*(TabCalc[[#This Row],[L_S1p]]-TabCalc[[#This Row],[M]])*TabCalc[[#This Row],[Scale]],0)</f>
        <v>0</v>
      </c>
      <c r="AM81" s="210" t="str" cm="1">
        <f t="array" aca="1" ref="AM8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81" s="181" cm="1">
        <f t="array" aca="1" ref="AN81" ca="1">IFERROR(_xlfn.XLOOKUP(TabCalc[[#This Row],[L_S1D]],INDIRECT("TabReg["&amp;TabCalc[[#This Row],[Ticker]]&amp;"]"),INDIRECT("TabReg["&amp;TabCalc[[#This Row],[Ticker]]&amp;"1]")),0)</f>
        <v>0</v>
      </c>
      <c r="AO81" s="384" cm="1">
        <f t="array" aca="1" ref="AO81" ca="1">IFERROR(_xlfn.XLOOKUP(TabCalc[[#This Row],[L_S1D]],INDIRECT("TabReg["&amp;TabCalc[[#This Row],[Ticker]]&amp;"]"),INDIRECT("TabReg["&amp;TabCalc[[#This Row],[Ticker]]&amp;"2]")),0)</f>
        <v>0</v>
      </c>
      <c r="AP81" s="336">
        <f ca="1">_xlfn.LET(_xlpm.MVOpen,[1]!RTData[[#This Row],[Open]]*TabCalc[[#This Row],[NAfter]],_xlpm.MVNow,TabCalc[[#This Row],[M]]*TabCalc[[#This Row],[NAfter]],_xlpm.MVNow-_xlpm.MVOpen)*TabCalc[[#This Row],[Scale]]</f>
        <v>7681.4100000000035</v>
      </c>
      <c r="AQ81" s="336">
        <f ca="1">_xlfn.LET(_xlpm.MVToday,DataShift!AV581,         _xlpm.MVY,DataShift!AU581,        _xlpm.MVYY, DataShift!AT581,                                IF(_xlpm.MVToday=_xlpm.MVY,_xlpm.MVY-_xlpm.MVYY,_xlpm.MVToday-_xlpm.MVY))</f>
        <v>-54</v>
      </c>
      <c r="AR81" s="336">
        <f ca="1">_xlfn.LET(_xlpm.MVToday,DataShift!AV581,         _xlpm.MVY,DataShift!AU581,        _xlpm.MVYY, DataShift!AT581,         _xlpm.MVYYY, DataShift!AS581,                      IF(_xlpm.MVToday=_xlpm.MVY,      _xlpm.MVYY-_xlpm.MVYYY,          _xlpm.MVY-_xlpm.MVYY))</f>
        <v>2673</v>
      </c>
      <c r="AS81" s="1078">
        <f ca="1">TabCalc[[#This Row],[Y]]/TabCalc[[#This Row],[M]]</f>
        <v>1.3513513513513513</v>
      </c>
      <c r="AT81" s="299" t="str" cm="1">
        <f t="array" aca="1" ref="AT81" ca="1">IFERROR(_xlfn.IFS(          TabCalc[[#This Row],[E]]&gt;0, "Free Trade",      TabCalc[[#This Row],[A]]&lt;MIN(TabCalc[[#This Row],[L_Sp]],TabCalc[[#This Row],[M]]), "Buy",            TabCalc[[#This Row],[M]]&lt;TabCalc[[#This Row],[L_Sp]],       "Refill",       TabCalc[[#This Row],[M]]&gt;TabCalc[[#This Row],[L_Sp]],"S_more"),"")</f>
        <v>S_more</v>
      </c>
      <c r="AU81" s="299" t="str">
        <f ca="1">IF(           AND(TabCalc[[#This Row],[E]]&lt;=0,          TabCalc[[#This Row],[A]]&gt;MIN(TabCalc[[#This Row],[M]],TabCalc[[#This Row],[L_Sp]]),             TabCalc[[#This Row],[L_Sp]]&lt;=TabCalc[[#This Row],[M]]),                       "S_more","")</f>
        <v>S_more</v>
      </c>
      <c r="AV81" s="82" t="str" cm="1">
        <f t="array" aca="1" ref="AV81" ca="1">IFERROR(_xlfn.IFS(TabCalc[[#This Row],[E]]&gt;0,"Free trade",                 TabCalc[[#This Row],[A]]&lt;MAX(ABS(TabCalc[[#This Row],[L_Bp]]),TabCalc[[#This Row],[A]]),"Sell",             TabCalc[[#This Row],[M]]&gt;ABS(TabCalc[[#This Row],[L_Bp]]),"Resell",             TabCalc[[#This Row],[M]]&lt;ABS(TabCalc[[#This Row],[L_Bp]]),"B_more"),"")</f>
        <v>B_more</v>
      </c>
      <c r="AW81" s="82">
        <f ca="1">TabCalc[[#This Row],[NAfter]]-TabCalc[[#This Row],[Nbegin]]</f>
        <v>10165</v>
      </c>
      <c r="AX81" s="307">
        <f ca="1">IFERROR((TabCalc[[#This Row],[M]]-TabCalc[[#This Row],[Y]])*(TabCalc[[#This Row],[M]]-TabCalc[[#This Row],[Y]])*(TabCalc[[#This Row],[M]]-TabCalc[[#This Row],[Y]])/(TabCalc[[#This Row],[Y]]*TabCalc[[#This Row],[M]]),"")</f>
        <v>-7.1254054054053995E-2</v>
      </c>
      <c r="AY81" s="82">
        <f t="shared" ca="1" si="5"/>
        <v>0</v>
      </c>
      <c r="AZ81" s="90">
        <f ca="1">[1]!RTData[[#This Row],[V/VA]]</f>
        <v>4.1306761269999361</v>
      </c>
      <c r="BA81" s="90" t="str" cm="1">
        <f t="array" aca="1" ref="BA81" ca="1">IFERROR(_xlfn.IFS(TabCalc[[#This Row],[Cur]]="USD",Timer!F$27,TabCalc[[#This Row],[Cur]]="EUR",Timer!F$18,TabCalc[[#This Row],[Cur]]="GBP",Timer!F$12,TabCalc[[#This Row],[Cur]]="CAD",Timer!F$27,TabCalc[[#This Row],[Cur]]="JPY",Timer!F$31,TabCalc[[#This Row],[Cur]]="CHF",Timer!F$18),"Timing")</f>
        <v>None-Working Day</v>
      </c>
      <c r="BB81" s="90">
        <f ca="1">IF(ISNUMBER(TabCalc[[#This Row],[TimeEX]]),TabCalc[[#This Row],[V/VA]]/TabCalc[[#This Row],[TimeEX]],TabCalc[[#This Row],[V/VA]])</f>
        <v>4.1306761269999361</v>
      </c>
      <c r="BC81" s="87" cm="1">
        <f t="array" aca="1" ref="BC81" ca="1">INDEX(TabReg[], 1, _xlfn.XMATCH(TabCalc[[#This Row],[Ticker]]&amp;1, TabReg[#Headers], 0))</f>
        <v>5353</v>
      </c>
      <c r="BD81" s="161">
        <f ca="1">TabCalc[[#This Row],[Nbegin]]*TabCalc[[#This Row],[M]]*TabCalc[[#This Row],[Scale]]+TabCalc[[#This Row],[ValueBegin]]</f>
        <v>-240135.58</v>
      </c>
      <c r="BE81" s="336" t="str" cm="1">
        <f t="array" aca="1" ref="BE81" ca="1">_xlfn.IFS(TabCalc[[#This Row],[Cost+Gain]]&gt;0,"Free",             TabCalc[[#This Row],[GL]]&gt;0,"Gainer",                TRUE,"Looser")</f>
        <v>Looser</v>
      </c>
      <c r="BF81" s="161">
        <f ca="1">TabCalc[[#This Row],[Tot_Paid]]-TabCalc[[#This Row],[ValueBegin]]</f>
        <v>-85244.210983999947</v>
      </c>
      <c r="BG81" s="337">
        <f ca="1">IF(TabCalc[[#This Row],[EfCost]]&gt;TabCalc[[#This Row],[ValueBegin]],       0,        TabCalc[[#This Row],[EfCost]]-TabCalc[[#This Row],[ValueBegin]]*(1+Commission))</f>
        <v>-83714.349975999998</v>
      </c>
      <c r="BH81" s="338">
        <f ca="1">TabCalc[[#This Row],[M_V]]+TabCalc[[#This Row],[ValueBegin]]</f>
        <v>-217569.27999999997</v>
      </c>
      <c r="BI81" s="161" cm="1">
        <f t="array" aca="1" ref="BI81" ca="1">SUMPRODUCT(_xlfn._xlws.FILTER(INDIRECT("TabReg["&amp;TabCalc[[#This Row],[Ticker]]&amp;"1]") * INDIRECT("TabReg["&amp;TabCalc[[#This Row],[Ticker]]&amp;"2]"), INDIRECT("TabReg["&amp;TabCalc[[#This Row],[Ticker]]&amp;"2]")&lt;0))*(1+Commission)*TabCalc[[#This Row],[Scale]]</f>
        <v>-337263.45098399994</v>
      </c>
      <c r="BJ81" s="161" cm="1">
        <f t="array" aca="1" ref="BJ81" ca="1">SUMPRODUCT(IF(INDIRECT("TabReg["&amp;TabCalc[[#This Row],[Ticker]]&amp;"2]") ="", 0, INDIRECT("TabReg["&amp;TabCalc[[#This Row],[Ticker]]&amp;"1]") * INDIRECT("TabReg["&amp;TabCalc[[#This Row],[Ticker]]&amp;"2]") ))*TabCalc[[#This Row],[Scale]]</f>
        <v>-336388.83999999997</v>
      </c>
      <c r="BK81" s="161" cm="1">
        <f t="array" aca="1" ref="BK8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81" s="161">
        <f ca="1">TabCalc[[#This Row],[M_V]]+TabCalc[[#This Row],[EfCost]]</f>
        <v>-301938.87999999995</v>
      </c>
      <c r="BM81" s="161">
        <f ca="1">IF(        OR( TabCalc[[#This Row],[GL]]&gt;ABS(TabCalc[[#This Row],[EfCost]]),TabCalc[[#This Row],[NAfter]]=0),             TabCalc[[#This Row],[GL]],     0)</f>
        <v>0</v>
      </c>
      <c r="BN81" s="161" cm="1">
        <f t="array" aca="1" ref="BN81" ca="1">SUMPRODUCT(_xlfn._xlws.FILTER(IF(INDIRECT("TabReg["&amp;TabCalc[[#This Row],[Ticker]]&amp;"2]") ="", 0, INDIRECT("TabReg["&amp;TabCalc[[#This Row],[Ticker]]&amp;"1]")  ),  INDIRECT("TabReg["&amp;TabCalc[[#This Row],[Ticker]]&amp;"2]") &lt; 0))</f>
        <v>15518</v>
      </c>
      <c r="BO81" s="161">
        <f ca="1">TabCalc[[#This Row],[SB]]-TabCalc[[#This Row],[Nbegin]]</f>
        <v>10165</v>
      </c>
      <c r="BP81" s="161" cm="1">
        <f t="array" aca="1" ref="BP81" ca="1">IFERROR(SUMPRODUCT(_xlfn._xlws.FILTER(IF(INDIRECT("TabReg["&amp;TabCalc[[#This Row],[Ticker]]&amp;"2]") ="", 0, INDIRECT("TabReg["&amp;TabCalc[[#This Row],[Ticker]]&amp;"1]")  ),  INDIRECT("TabReg["&amp;TabCalc[[#This Row],[Ticker]]&amp;"2]") &gt; 0)),0)</f>
        <v>0</v>
      </c>
      <c r="BQ8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1" s="176" t="str">
        <f ca="1">IF(TabCalc[[#This Row],[EfCost]]+TabCalc[[#This Row],[M_V]]&lt;TabCalc[[#This Row],[NoT_GL]],"Pile","")</f>
        <v>Pile</v>
      </c>
      <c r="BS81" s="167">
        <f ca="1">[1]!RTData[[#This Row],[Last trade time]]</f>
        <v>45954.999899258597</v>
      </c>
      <c r="BT81" s="177">
        <f ca="1">(TabCalc[[#This Row],[ValueBegin]]+(TabCalc[[#This Row],[M]]-TabCalc[[#This Row],[A]])*TabCalc[[#This Row],[NAfter]])*TabCalc[[#This Row],[Scale]]</f>
        <v>-553958.12</v>
      </c>
      <c r="BU81" s="189" cm="1">
        <f t="array" aca="1" ref="BU81" ca="1">_xlfn.XLOOKUP(TabCalc[[#This Row],[Ticker]],TabReg[[#Headers],[AAPL]:[UnknownX28]],Reg!B$72:KF$72)+3</f>
        <v>6</v>
      </c>
      <c r="BV81" s="190" cm="1">
        <f t="array" aca="1" ref="BV81" ca="1">_xlfn.XLOOKUP(TabCalc[[#This Row],[Ticker]],TabReg[[#Headers],[AAPL]:[UnknownX28]],Reg!B$73:KF$73)+2</f>
        <v>240</v>
      </c>
      <c r="BW81" s="191">
        <f ca="1">IFERROR(MAX(TabCalc[[#This Row],[Max_SD]],TabCalc[[#This Row],[Max_PD]]),0)</f>
        <v>45679</v>
      </c>
      <c r="BX81" s="191" t="str" cm="1">
        <f t="array" aca="1" ref="BX81" ca="1">_xlfn.IFS(TabCalc[[#This Row],[L_TP]]&lt;0,"Purchase",TabCalc[[#This Row],[L_TP]]&gt;0,"Sale")</f>
        <v>Purchase</v>
      </c>
      <c r="BY81" s="190" cm="1">
        <f t="array" aca="1" ref="BY81" ca="1">INDEX(Reg!$A$1:$KF$73,TabCalc[[#This Row],[L_I1]],TabCalc[[#This Row],[L_I2]])</f>
        <v>9647</v>
      </c>
      <c r="BZ81" s="192" cm="1">
        <f t="array" aca="1" ref="BZ81" ca="1">INDEX(Reg!$A$1:$KF$73,TabCalc[[#This Row],[L_I1]],TabCalc[[#This Row],[L_I2]]+1)</f>
        <v>-6.44</v>
      </c>
      <c r="CA81" s="161">
        <f ca="1">TabCalc[[#This Row],[NAfter]]*(TabCalc[[#This Row],[M]]-IF(TabCalc[[#This Row],[E]]&gt;0,0,TabCalc[[#This Row],[A]]))</f>
        <v>-301938.88</v>
      </c>
      <c r="CB81" s="167" cm="1">
        <f t="array" aca="1" ref="CB81" ca="1">IFERROR(MIN(_xlfn._xlws.FILTER(INDIRECT("TabReg["&amp;TabCalc[[#This Row],[Ticker]]&amp;"]"), INDIRECT("TabReg["&amp;TabCalc[[#This Row],[Ticker]]&amp;"2]")&gt;0)),0)</f>
        <v>0</v>
      </c>
      <c r="CC81" s="178" cm="1">
        <f t="array" aca="1" ref="CC81" ca="1">IFERROR(MIN(_xlfn._xlws.FILTER(INDIRECT("TabReg["&amp;TabCalc[[#This Row],[Ticker]]&amp;"1]"), INDIRECT("TabReg["&amp;TabCalc[[#This Row],[Ticker]]&amp;"2]")&gt;0)),0)</f>
        <v>0</v>
      </c>
      <c r="CD81" s="173" cm="1">
        <f t="array" aca="1" ref="CD81" ca="1">IFERROR(MIN(_xlfn._xlws.FILTER(INDIRECT("TabReg["&amp;TabCalc[[#This Row],[Ticker]]&amp;"2]"), INDIRECT("TabReg["&amp;TabCalc[[#This Row],[Ticker]]&amp;"2]")&gt;0)),0)</f>
        <v>0</v>
      </c>
      <c r="CE81" s="167" cm="1">
        <f t="array" aca="1" ref="CE81" ca="1">IFERROR(MAX(_xlfn._xlws.FILTER(INDIRECT("TabReg["&amp;TabCalc[[#This Row],[Ticker]]&amp;"]"), INDIRECT("TabReg["&amp;TabCalc[[#This Row],[Ticker]]&amp;"2]")&gt;0)),0)</f>
        <v>0</v>
      </c>
      <c r="CF81" s="178" cm="1">
        <f t="array" aca="1" ref="CF81" ca="1">IFERROR(MAX(_xlfn._xlws.FILTER(INDIRECT("TabReg["&amp;TabCalc[[#This Row],[Ticker]]&amp;"1]"), INDIRECT("TabReg["&amp;TabCalc[[#This Row],[Ticker]]&amp;"2]")&gt;0)),0)</f>
        <v>0</v>
      </c>
      <c r="CG81" s="173" cm="1">
        <f t="array" aca="1" ref="CG81" ca="1">IFERROR(MAX(_xlfn._xlws.FILTER(INDIRECT("TabReg["&amp;TabCalc[[#This Row],[Ticker]]&amp;"2]"), INDIRECT("TabReg["&amp;TabCalc[[#This Row],[Ticker]]&amp;"2]")&gt;0)),0)</f>
        <v>0</v>
      </c>
      <c r="CH81" s="167" cm="1">
        <f t="array" aca="1" ref="CH81" ca="1">MIN(_xlfn._xlws.FILTER(INDIRECT("TabReg["&amp;TabCalc[[#This Row],[Ticker]]&amp;"]"), INDIRECT("TabReg["&amp;TabCalc[[#This Row],[Ticker]]&amp;"2]")&lt;0))</f>
        <v>40544</v>
      </c>
      <c r="CI81" s="177" cm="1">
        <f t="array" aca="1" ref="CI81" ca="1">MIN(_xlfn._xlws.FILTER(INDIRECT("TabReg["&amp;TabCalc[[#This Row],[Ticker]]&amp;"1]"), INDIRECT("TabReg["&amp;TabCalc[[#This Row],[Ticker]]&amp;"2]")&lt;0))</f>
        <v>518</v>
      </c>
      <c r="CJ81" s="173" cm="1">
        <f t="array" aca="1" ref="CJ81" ca="1">MIN(_xlfn._xlws.FILTER(INDIRECT("TabReg["&amp;TabCalc[[#This Row],[Ticker]]&amp;"2]"), INDIRECT("TabReg["&amp;TabCalc[[#This Row],[Ticker]]&amp;"2]")&lt;0))</f>
        <v>-47.08</v>
      </c>
      <c r="CK81" s="167" cm="1">
        <f t="array" aca="1" ref="CK81" ca="1">MAX(_xlfn._xlws.FILTER(INDIRECT("TabReg["&amp;TabCalc[[#This Row],[Ticker]]&amp;"]"), INDIRECT("TabReg["&amp;TabCalc[[#This Row],[Ticker]]&amp;"2]")&lt;0))</f>
        <v>45679</v>
      </c>
      <c r="CL81" s="177" cm="1">
        <f t="array" aca="1" ref="CL81" ca="1">MAX(_xlfn._xlws.FILTER(INDIRECT("TabReg["&amp;TabCalc[[#This Row],[Ticker]]&amp;"1]"), INDIRECT("TabReg["&amp;TabCalc[[#This Row],[Ticker]]&amp;"2]")&lt;0))</f>
        <v>9647</v>
      </c>
      <c r="CM81" s="173" cm="1">
        <f t="array" aca="1" ref="CM81" ca="1">MAX(_xlfn._xlws.FILTER(INDIRECT("TabReg["&amp;TabCalc[[#This Row],[Ticker]]&amp;"2]"), INDIRECT("TabReg["&amp;TabCalc[[#This Row],[Ticker]]&amp;"2]")&lt;0))</f>
        <v>-6.44</v>
      </c>
      <c r="CN81" s="167" cm="1">
        <f t="array" aca="1" ref="CN81" ca="1">IFERROR(_xlfn.XLOOKUP(TabCalc[[#This Row],[BS2P]],INDIRECT("TabReg["&amp;TabCalc[[#This Row],[Ticker]]&amp;"2]"),INDIRECT("TabReg["&amp;TabCalc[[#This Row],[Ticker]]&amp;"]")),0)</f>
        <v>45455</v>
      </c>
      <c r="CO81" s="178" cm="1">
        <f t="array" aca="1" ref="CO81" ca="1">IFERROR(_xlfn.XLOOKUP(TabCalc[[#This Row],[BS2P]],INDIRECT("TabReg["&amp;TabCalc[[#This Row],[Ticker]]&amp;"2]"),INDIRECT("TabReg["&amp;TabCalc[[#This Row],[Ticker]]&amp;"1]")),0)</f>
        <v>518</v>
      </c>
      <c r="CP81" s="173">
        <f ca="1">_xlfn.MAXIFS(INDIRECT("TabReg["&amp;TabCalc[[#This Row],[Ticker]]&amp;"2]"), INDIRECT("TabReg["&amp;TabCalc[[#This Row],[Ticker]]&amp;"2]"), "&lt;" &amp; MAX(INDIRECT("TabReg["&amp;TabCalc[[#This Row],[Ticker]]&amp;"2]")))</f>
        <v>-42.94</v>
      </c>
      <c r="CQ81" s="167" cm="1">
        <f t="array" aca="1" ref="CQ81" ca="1">IFERROR(_xlfn.XLOOKUP(TabCalc[[#This Row],[WB2P]],INDIRECT("TabReg["&amp;TabCalc[[#This Row],[Ticker]]&amp;"2]"),INDIRECT("TabReg["&amp;TabCalc[[#This Row],[Ticker]]&amp;"]")),0)</f>
        <v>45455</v>
      </c>
      <c r="CR81" s="178" cm="1">
        <f t="array" aca="1" ref="CR81" ca="1">IFERROR(_xlfn.XLOOKUP(TabCalc[[#This Row],[WB2P]],INDIRECT("TabReg["&amp;TabCalc[[#This Row],[Ticker]]&amp;"2]"),INDIRECT("TabReg["&amp;TabCalc[[#This Row],[Ticker]]&amp;"1]")),0)</f>
        <v>518</v>
      </c>
      <c r="CS81" s="173">
        <f ca="1">_xlfn.MINIFS(INDIRECT("TabReg["&amp;TabCalc[[#This Row],[Ticker]]&amp;"2]"), INDIRECT("TabReg["&amp;TabCalc[[#This Row],[Ticker]]&amp;"2]"), "&gt;" &amp; MIN(INDIRECT("TabReg["&amp;TabCalc[[#This Row],[Ticker]]&amp;"2]")))</f>
        <v>-42.94</v>
      </c>
      <c r="CT81" s="405">
        <f ca="1">IF(TabCalc[[#This Row],[M]]&lt;TabCalc[[#This Row],[L_Sp]],DesiredBuyGain/(TabCalc[[#This Row],[L_Sp]]-TabCalc[[#This Row],[M]]),0)</f>
        <v>0</v>
      </c>
      <c r="CU81" s="406">
        <f ca="1">IF(TabCalc[[#This Row],[ntoBuy]]*TabCalc[[#This Row],[M]]&lt;=0,0,TabCalc[[#This Row],[ntoBuy]]*TabCalc[[#This Row],[M]])</f>
        <v>0</v>
      </c>
      <c r="CV81" s="406">
        <f ca="1">IF(TabCalc[[#This Row],[M]]&gt;ABS(TabCalc[[#This Row],[L_Bp]]),MIN(TabCalc[[#This Row],[NAfter]],DesiredSaleGain/(TabCalc[[#This Row],[M]]+TabCalc[[#This Row],[L_Bp]])),0)/TabCalc[[#This Row],[Scale]]</f>
        <v>0</v>
      </c>
      <c r="CW81" s="407">
        <f ca="1">TabCalc[[#This Row],[ntoSell]]*TabCalc[[#This Row],[M]]</f>
        <v>0</v>
      </c>
      <c r="CX81" s="400">
        <f ca="1">_xlfn.LET(_xlpm.nToSell,IF(TabCalc[[#This Row],[M]]-TabCalc[[#This Row],[A]]&lt;=0,"",INT(DesiredSaleGain/(TabCalc[[#This Row],[M]]-IF(TabCalc[[#This Row],[E]]&gt;0,0,TabCalc[[#This Row],[A]])))),IF(_xlpm.nToSell&lt;=TabCalc[[#This Row],[NAfter]],_xlpm.nToSell,0))</f>
        <v>0</v>
      </c>
      <c r="CY81" s="338">
        <f ca="1">IFERROR(TabCalc[[#This Row],[NMA]]*TabCalc[[#This Row],[M]],"")</f>
        <v>0</v>
      </c>
      <c r="CZ81" s="337" cm="1">
        <f t="array" aca="1" ref="CZ81" ca="1">_xlfn.IFS(TabCalc[[#This Row],[M]]&gt;= TabCalc[[#This Row],[L_Sp]],(TabCalc[[#This Row],[M]]-TabCalc[[#This Row],[A]])*TabCalc[[#This Row],[NAfter]]*TabCalc[[#This Row],[Scale]],           TabCalc[[#This Row],[M]]&lt; TabCalc[[#This Row],[L_Sp]],(TabCalc[[#This Row],[M]]-TabCalc[[#This Row],[A]])*TabCalc[[#This Row],[NAfter]]*TabCalc[[#This Row],[Scale]],               TRUE,"")</f>
        <v>-301938.88</v>
      </c>
      <c r="DA81" s="90">
        <f ca="1">IFERROR((TabCalc[[#This Row],[M]]+TabCalc[[#This Row],[L_Bp]])/ABS(TabCalc[[#This Row],[L_Bp]])/(TODAY()-TabCalc[[#This Row],[L_Bdate]])*360,"")</f>
        <v>-0.85162679103975603</v>
      </c>
      <c r="DB81" s="312">
        <f ca="1">MEDIAN(DataShift!F780:Z780)</f>
        <v>9.528E-3</v>
      </c>
      <c r="DC81" s="312" t="e" cm="1">
        <f t="array" aca="1" ref="DC8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1" s="88" t="s">
        <v>77</v>
      </c>
      <c r="DN81" s="81">
        <v>19440</v>
      </c>
      <c r="DO81" s="317">
        <v>-513</v>
      </c>
    </row>
    <row r="82" spans="1:119">
      <c r="A82" s="120" t="str">
        <f ca="1">_xlfn.XLOOKUP(TabCalc[[#This Row],[Ticker]],[1]!RTData[Ticker symbol],[1]!RTData[Currency])</f>
        <v>USD</v>
      </c>
      <c r="B82" s="121">
        <f ca="1">IF(TabCalc[[#This Row],[Cur]]="GBP",0.01,1)</f>
        <v>1</v>
      </c>
      <c r="C82" s="82">
        <f ca="1">_xlfn.XLOOKUP(TabCalc[[#This Row],[Ticker]],DM$3:DM$96,DN$3:DN$96)</f>
        <v>2100</v>
      </c>
      <c r="D82" s="1254">
        <f ca="1">_xlfn.XLOOKUP(TabCalc[[#This Row],[Ticker]],DM$3:DM$96,DO$3:DO$96)</f>
        <v>-44.67</v>
      </c>
      <c r="E82" s="121">
        <f t="shared" ca="1" si="4"/>
        <v>-93807</v>
      </c>
      <c r="F82" s="82">
        <f ca="1">TabCalc[[#This Row],[NAfter]]*TabCalc[[#This Row],[M]]*TabCalc[[#This Row],[Scale]]</f>
        <v>38640</v>
      </c>
      <c r="G82" s="82">
        <f ca="1">IFERROR(TabCalc[[#This Row],[SB]]-TabCalc[[#This Row],[SST]],TabCalc[[#This Row],[SB]])</f>
        <v>1200</v>
      </c>
      <c r="H82" s="535" t="str">
        <f ca="1">[1]!RTData[[#This Row],[Ticker symbol]]</f>
        <v>LUV</v>
      </c>
      <c r="I82" s="385">
        <f ca="1">[1]!RTData[[#This Row],[M-Price]]</f>
        <v>32.200000000000003</v>
      </c>
      <c r="J82" s="384">
        <v>30.697399999999998</v>
      </c>
      <c r="K82" s="383">
        <f>[1]!RTData[[#This Row],[1YT]]</f>
        <v>33.06</v>
      </c>
      <c r="L82" s="384">
        <f ca="1">IF(OR(TabCalc[[#This Row],[NAfter]]=0,TabCalc[[#This Row],[EfCost]]&gt;0),0,TabCalc[[#This Row],[EfCost]]/TabCalc[[#This Row],[NAfter]]/TabCalc[[#This Row],[Scale]])</f>
        <v>-48.16704166666667</v>
      </c>
      <c r="M82" s="744">
        <f ca="1">[1]!RTData[[#This Row],[Change%]]</f>
        <v>1.7378000000000001E-2</v>
      </c>
      <c r="N82" s="1172">
        <v>0</v>
      </c>
      <c r="O82" s="966">
        <f>TabCalc[[#This Row],[Up20]]-1+TabCalc[[#This Row],[Up20]]</f>
        <v>-1</v>
      </c>
      <c r="P82" s="966">
        <f>TabCalc[[#This Row],[Up20]]-TabCalc[[#This Row],[Up150]]</f>
        <v>0</v>
      </c>
      <c r="Q82" s="966">
        <v>0</v>
      </c>
      <c r="R82" s="966">
        <f>TabCalc[[#This Row],[Up150]]-1+TabCalc[[#This Row],[Up150]]</f>
        <v>-1</v>
      </c>
      <c r="S82" s="966">
        <f ca="1">IFERROR(SUMPRODUCT(DataShift!F1574:Z1574,DataShift!AB781:AV781)/SQRT(SUMPRODUCT(DataShift!F1574:Z1574,DataShift!F1574:Z1574)*SUMPRODUCT(DataShift!AB781:AV781,DataShift!AB781:AV781)),0)</f>
        <v>-0.61218531588336222</v>
      </c>
      <c r="T82" s="966">
        <f ca="1">IFERROR(SUMPRODUCT(DataShift!F1574:Z1574,DataShift!F781:Z781)/SQRT(SUMPRODUCT(DataShift!F1574:Z1574,DataShift!F1574:Z1574)*SUMPRODUCT(DataShift!F781:Z781,DataShift!F781:Z781)),0)</f>
        <v>1.2391719025981055E-2</v>
      </c>
      <c r="U82" s="1107">
        <v>1200</v>
      </c>
      <c r="V82" s="1107">
        <v>0</v>
      </c>
      <c r="W82" s="1107">
        <v>0</v>
      </c>
      <c r="X82" s="966" t="str">
        <f ca="1">IF(TabCalc[[#This Row],[EfCost]]+TabCalc[[#This Row],[M_V]]&lt;TabCalc[[#This Row],[NoT_GL]],"Pile","")</f>
        <v/>
      </c>
      <c r="Y8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2" s="213">
        <f ca="1">MIN(TabCalc[[#This Row],[L_Bn]],TabCalc[[#This Row],[NAfter]])*(TabCalc[[#This Row],[M]]+TabCalc[[#This Row],[L_Bp]])*TabCalc[[#This Row],[Scale]]</f>
        <v>1803.1200000000056</v>
      </c>
      <c r="AA82" s="210" cm="1">
        <f t="array" aca="1" ref="AA82" ca="1">_xlfn.XLOOKUP(TabCalc[[#This Row],[L_Bp]],INDIRECT("TabReg["&amp;TabCalc[[#This Row],[Ticker]]&amp;"2]"),INDIRECT("TabReg["&amp;TabCalc[[#This Row],[Ticker]]&amp;"]"))</f>
        <v>45688</v>
      </c>
      <c r="AB82" s="181" cm="1">
        <f t="array" aca="1" ref="AB82" ca="1">_xlfn.XLOOKUP(TabCalc[[#This Row],[L_Bp]],INDIRECT("TabReg["&amp;TabCalc[[#This Row],[Ticker]]&amp;"2]"),INDIRECT("TabReg["&amp;TabCalc[[#This Row],[Ticker]]&amp;"1]"))</f>
        <v>1200</v>
      </c>
      <c r="AC82" s="192" cm="1">
        <f t="array" aca="1" ref="AC82" ca="1">IFERROR(INDEX(INDIRECT("TabReg["&amp;TabCalc[[#This Row],[Ticker]]&amp;"2]"),    _xlfn.XMATCH(    MAX(    _xlfn._xlws.FILTER(INDIRECT("TabReg["&amp;TabCalc[[#This Row],[Ticker]]&amp;"]"), INDIRECT("TabReg["&amp;TabCalc[[#This Row],[Ticker]]&amp;"2]")&lt;0)     ), INDIRECT("TabReg["&amp;TabCalc[[#This Row],[Ticker]]&amp;"]"),      0)), "")</f>
        <v>-30.697399999999998</v>
      </c>
      <c r="AD82" s="213">
        <f ca="1">IFERROR(MIN(TabCalc[[#This Row],[L_B1n]],TabCalc[[#This Row],[NAfter]])*(TabCalc[[#This Row],[M]]+TabCalc[[#This Row],[L_B1p]])*TabCalc[[#This Row],[Scale]],"")</f>
        <v>-1968.0000000000007</v>
      </c>
      <c r="AE82" s="210" cm="1">
        <f t="array" aca="1" ref="AE8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2" s="181" cm="1">
        <f t="array" aca="1" ref="AF82" ca="1">IFERROR(_xlfn.XLOOKUP(TabCalc[[#This Row],[L_B1D]],INDIRECT("TabReg["&amp;TabCalc[[#This Row],[Ticker]]&amp;"]"),INDIRECT("TabReg["&amp;TabCalc[[#This Row],[Ticker]]&amp;"1]")),0)</f>
        <v>1200</v>
      </c>
      <c r="AG82" s="192" cm="1">
        <f t="array" aca="1" ref="AG82" ca="1">IFERROR(_xlfn.XLOOKUP(TabCalc[[#This Row],[L_B1D]],INDIRECT("TabReg["&amp;TabCalc[[#This Row],[Ticker]]&amp;"]"),INDIRECT("TabReg["&amp;TabCalc[[#This Row],[Ticker]]&amp;"2]")),0)</f>
        <v>-33.840000000000003</v>
      </c>
      <c r="AH82" s="302">
        <f ca="1">IFERROR(TabCalc[[#This Row],[L_Sn]]*(TabCalc[[#This Row],[L_Sp]]-TabCalc[[#This Row],[M]])*TabCalc[[#This Row],[Scale]],"")</f>
        <v>1735.8299999999929</v>
      </c>
      <c r="AI82" s="210" cm="1">
        <f t="array" aca="1" ref="AI82" ca="1">IFERROR(_xlfn.XLOOKUP(TabCalc[[#This Row],[L_Sp]],INDIRECT("TabReg["&amp;TabCalc[[#This Row],[Ticker]]&amp;"2]"),INDIRECT("TabReg["&amp;TabCalc[[#This Row],[Ticker]]&amp;"]")),0)</f>
        <v>45744</v>
      </c>
      <c r="AJ82" s="181" cm="1">
        <f t="array" aca="1" ref="AJ82" ca="1">IFERROR(_xlfn.XLOOKUP(TabCalc[[#This Row],[L_Sp]],INDIRECT("TabReg["&amp;TabCalc[[#This Row],[Ticker]]&amp;"2]"),INDIRECT("TabReg["&amp;TabCalc[[#This Row],[Ticker]]&amp;"1]")),0)</f>
        <v>1200</v>
      </c>
      <c r="AK82" s="192" cm="1">
        <f t="array" aca="1" ref="AK82" ca="1">IFERROR(INDEX(INDIRECT("TabReg["&amp;TabCalc[[#This Row],[Ticker]]&amp;"2]"), _xlfn.XMATCH(MAX(_xlfn._xlws.FILTER(INDIRECT("TabReg["&amp;TabCalc[[#This Row],[Ticker]]&amp;"]"), INDIRECT("TabReg["&amp;TabCalc[[#This Row],[Ticker]]&amp;"2]")&gt;0)), INDIRECT("TabReg["&amp;TabCalc[[#This Row],[Ticker]]&amp;"]"), 0)), 0)</f>
        <v>33.646524999999997</v>
      </c>
      <c r="AL82" s="214">
        <f ca="1">IFERROR(TabCalc[[#This Row],[L_S1n]]*(TabCalc[[#This Row],[L_S1p]]-TabCalc[[#This Row],[M]])*TabCalc[[#This Row],[Scale]],0)</f>
        <v>-7320.0000000000073</v>
      </c>
      <c r="AM82" s="210" cm="1">
        <f t="array" aca="1" ref="AM8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45605</v>
      </c>
      <c r="AN82" s="181" cm="1">
        <f t="array" aca="1" ref="AN82" ca="1">IFERROR(_xlfn.XLOOKUP(TabCalc[[#This Row],[L_S1D]],INDIRECT("TabReg["&amp;TabCalc[[#This Row],[Ticker]]&amp;"]"),INDIRECT("TabReg["&amp;TabCalc[[#This Row],[Ticker]]&amp;"1]")),0)</f>
        <v>2000</v>
      </c>
      <c r="AO82" s="384" cm="1">
        <f t="array" aca="1" ref="AO82" ca="1">IFERROR(_xlfn.XLOOKUP(TabCalc[[#This Row],[L_S1D]],INDIRECT("TabReg["&amp;TabCalc[[#This Row],[Ticker]]&amp;"]"),INDIRECT("TabReg["&amp;TabCalc[[#This Row],[Ticker]]&amp;"2]")),0)</f>
        <v>28.54</v>
      </c>
      <c r="AP82" s="336">
        <f ca="1">_xlfn.LET(_xlpm.MVOpen,[1]!RTData[[#This Row],[Open]]*TabCalc[[#This Row],[NAfter]],_xlpm.MVNow,TabCalc[[#This Row],[M]]*TabCalc[[#This Row],[NAfter]],_xlpm.MVNow-_xlpm.MVOpen)*TabCalc[[#This Row],[Scale]]</f>
        <v>180</v>
      </c>
      <c r="AQ82" s="336">
        <f ca="1">_xlfn.LET(_xlpm.MVToday,DataShift!AV582,         _xlpm.MVY,DataShift!AU582,        _xlpm.MVYY, DataShift!AT582,                                IF(_xlpm.MVToday=_xlpm.MVY,_xlpm.MVY-_xlpm.MVYY,_xlpm.MVToday-_xlpm.MVY))</f>
        <v>0</v>
      </c>
      <c r="AR82" s="336">
        <f ca="1">_xlfn.LET(_xlpm.MVToday,DataShift!AV582,         _xlpm.MVY,DataShift!AU582,        _xlpm.MVYY, DataShift!AT582,         _xlpm.MVYYY, DataShift!AS582,                      IF(_xlpm.MVToday=_xlpm.MVY,      _xlpm.MVYY-_xlpm.MVYYY,          _xlpm.MVY-_xlpm.MVYY))</f>
        <v>0</v>
      </c>
      <c r="AS82" s="1078">
        <f ca="1">TabCalc[[#This Row],[Y]]/TabCalc[[#This Row],[M]]</f>
        <v>1.0267080745341615</v>
      </c>
      <c r="AT82" s="299" t="str" cm="1">
        <f t="array" aca="1" ref="AT82" ca="1">IFERROR(_xlfn.IFS(          TabCalc[[#This Row],[E]]&gt;0, "Free Trade",      TabCalc[[#This Row],[A]]&lt;MIN(TabCalc[[#This Row],[L_Sp]],TabCalc[[#This Row],[M]]), "Buy",            TabCalc[[#This Row],[M]]&lt;TabCalc[[#This Row],[L_Sp]],       "Refill",       TabCalc[[#This Row],[M]]&gt;TabCalc[[#This Row],[L_Sp]],"S_more"),"")</f>
        <v>Buy</v>
      </c>
      <c r="AU82" s="299" t="str">
        <f ca="1">IF(           AND(TabCalc[[#This Row],[E]]&lt;=0,          TabCalc[[#This Row],[A]]&gt;MIN(TabCalc[[#This Row],[M]],TabCalc[[#This Row],[L_Sp]]),             TabCalc[[#This Row],[L_Sp]]&lt;=TabCalc[[#This Row],[M]]),                       "S_more","")</f>
        <v/>
      </c>
      <c r="AV82" s="82" t="str" cm="1">
        <f t="array" aca="1" ref="AV82" ca="1">IFERROR(_xlfn.IFS(TabCalc[[#This Row],[E]]&gt;0,"Free trade",                 TabCalc[[#This Row],[A]]&lt;MAX(ABS(TabCalc[[#This Row],[L_Bp]]),TabCalc[[#This Row],[A]]),"Sell",             TabCalc[[#This Row],[M]]&gt;ABS(TabCalc[[#This Row],[L_Bp]]),"Resell",             TabCalc[[#This Row],[M]]&lt;ABS(TabCalc[[#This Row],[L_Bp]]),"B_more"),"")</f>
        <v>Resell</v>
      </c>
      <c r="AW82" s="82">
        <f ca="1">TabCalc[[#This Row],[NAfter]]-TabCalc[[#This Row],[Nbegin]]</f>
        <v>-900</v>
      </c>
      <c r="AX82" s="307">
        <f ca="1">IFERROR((TabCalc[[#This Row],[M]]-TabCalc[[#This Row],[Y]])*(TabCalc[[#This Row],[M]]-TabCalc[[#This Row],[Y]])*(TabCalc[[#This Row],[M]]-TabCalc[[#This Row],[Y]])/(TabCalc[[#This Row],[Y]]*TabCalc[[#This Row],[M]]),"")</f>
        <v>-5.9749824335952201E-4</v>
      </c>
      <c r="AY82" s="82">
        <f t="shared" ca="1" si="5"/>
        <v>900</v>
      </c>
      <c r="AZ82" s="90">
        <f ca="1">[1]!RTData[[#This Row],[V/VA]]</f>
        <v>1.489304344356059</v>
      </c>
      <c r="BA82" s="90" t="str" cm="1">
        <f t="array" aca="1" ref="BA82" ca="1">IFERROR(_xlfn.IFS(TabCalc[[#This Row],[Cur]]="USD",Timer!F$27,TabCalc[[#This Row],[Cur]]="EUR",Timer!F$18,TabCalc[[#This Row],[Cur]]="GBP",Timer!F$12,TabCalc[[#This Row],[Cur]]="CAD",Timer!F$27,TabCalc[[#This Row],[Cur]]="JPY",Timer!F$31,TabCalc[[#This Row],[Cur]]="CHF",Timer!F$18),"Timing")</f>
        <v>None-Working Day</v>
      </c>
      <c r="BB82" s="90">
        <f ca="1">IF(ISNUMBER(TabCalc[[#This Row],[TimeEX]]),TabCalc[[#This Row],[V/VA]]/TabCalc[[#This Row],[TimeEX]],TabCalc[[#This Row],[V/VA]])</f>
        <v>1.489304344356059</v>
      </c>
      <c r="BC82" s="87" cm="1">
        <f t="array" aca="1" ref="BC82" ca="1">INDEX(TabReg[], 1, _xlfn.XMATCH(TabCalc[[#This Row],[Ticker]]&amp;1, TabReg[#Headers], 0))</f>
        <v>2100</v>
      </c>
      <c r="BD82" s="161">
        <f ca="1">TabCalc[[#This Row],[Nbegin]]*TabCalc[[#This Row],[M]]*TabCalc[[#This Row],[Scale]]+TabCalc[[#This Row],[ValueBegin]]</f>
        <v>-26187</v>
      </c>
      <c r="BE82" s="336" t="str" cm="1">
        <f t="array" aca="1" ref="BE82" ca="1">_xlfn.IFS(TabCalc[[#This Row],[Cost+Gain]]&gt;0,"Free",             TabCalc[[#This Row],[GL]]&gt;0,"Gainer",                TRUE,"Looser")</f>
        <v>Looser</v>
      </c>
      <c r="BF82" s="161">
        <f ca="1">TabCalc[[#This Row],[Tot_Paid]]-TabCalc[[#This Row],[ValueBegin]]</f>
        <v>-508071.10492800002</v>
      </c>
      <c r="BG82" s="337">
        <f ca="1">IF(TabCalc[[#This Row],[EfCost]]&gt;TabCalc[[#This Row],[ValueBegin]],       0,        TabCalc[[#This Row],[EfCost]]-TabCalc[[#This Row],[ValueBegin]]*(1+Commission))</f>
        <v>0</v>
      </c>
      <c r="BH82" s="338">
        <f ca="1">TabCalc[[#This Row],[M_V]]+TabCalc[[#This Row],[ValueBegin]]</f>
        <v>-55167</v>
      </c>
      <c r="BI82" s="161" cm="1">
        <f t="array" aca="1" ref="BI82" ca="1">SUMPRODUCT(_xlfn._xlws.FILTER(INDIRECT("TabReg["&amp;TabCalc[[#This Row],[Ticker]]&amp;"1]") * INDIRECT("TabReg["&amp;TabCalc[[#This Row],[Ticker]]&amp;"2]"), INDIRECT("TabReg["&amp;TabCalc[[#This Row],[Ticker]]&amp;"2]")&lt;0))*(1+Commission)*TabCalc[[#This Row],[Scale]]</f>
        <v>-601878.10492800002</v>
      </c>
      <c r="BJ82" s="161" cm="1">
        <f t="array" aca="1" ref="BJ82" ca="1">SUMPRODUCT(IF(INDIRECT("TabReg["&amp;TabCalc[[#This Row],[Ticker]]&amp;"2]") ="", 0, INDIRECT("TabReg["&amp;TabCalc[[#This Row],[Ticker]]&amp;"1]") * INDIRECT("TabReg["&amp;TabCalc[[#This Row],[Ticker]]&amp;"2]") ))*TabCalc[[#This Row],[Scale]]</f>
        <v>-57800.450000000004</v>
      </c>
      <c r="BK82" s="161" cm="1">
        <f t="array" aca="1" ref="BK8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541106.28624199994</v>
      </c>
      <c r="BL82" s="161">
        <f ca="1">TabCalc[[#This Row],[M_V]]+TabCalc[[#This Row],[EfCost]]</f>
        <v>-19160.450000000004</v>
      </c>
      <c r="BM82" s="161">
        <f ca="1">IF(        OR( TabCalc[[#This Row],[GL]]&gt;ABS(TabCalc[[#This Row],[EfCost]]),TabCalc[[#This Row],[NAfter]]=0),             TabCalc[[#This Row],[GL]],     0)</f>
        <v>0</v>
      </c>
      <c r="BN82" s="161" cm="1">
        <f t="array" aca="1" ref="BN82" ca="1">SUMPRODUCT(_xlfn._xlws.FILTER(IF(INDIRECT("TabReg["&amp;TabCalc[[#This Row],[Ticker]]&amp;"2]") ="", 0, INDIRECT("TabReg["&amp;TabCalc[[#This Row],[Ticker]]&amp;"1]")  ),  INDIRECT("TabReg["&amp;TabCalc[[#This Row],[Ticker]]&amp;"2]") &lt; 0))</f>
        <v>19400</v>
      </c>
      <c r="BO82" s="161">
        <f ca="1">TabCalc[[#This Row],[SB]]-TabCalc[[#This Row],[Nbegin]]</f>
        <v>17300</v>
      </c>
      <c r="BP82" s="161" cm="1">
        <f t="array" aca="1" ref="BP82" ca="1">IFERROR(SUMPRODUCT(_xlfn._xlws.FILTER(IF(INDIRECT("TabReg["&amp;TabCalc[[#This Row],[Ticker]]&amp;"2]") ="", 0, INDIRECT("TabReg["&amp;TabCalc[[#This Row],[Ticker]]&amp;"1]")  ),  INDIRECT("TabReg["&amp;TabCalc[[#This Row],[Ticker]]&amp;"2]") &gt; 0)),0)</f>
        <v>18200</v>
      </c>
      <c r="BQ82"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79.09</v>
      </c>
      <c r="BR82" s="176" t="str">
        <f ca="1">IF(TabCalc[[#This Row],[EfCost]]+TabCalc[[#This Row],[M_V]]&lt;TabCalc[[#This Row],[NoT_GL]],"Pile","")</f>
        <v/>
      </c>
      <c r="BS82" s="167">
        <f ca="1">[1]!RTData[[#This Row],[Last trade time]]</f>
        <v>45954.999700196095</v>
      </c>
      <c r="BT82" s="177">
        <f ca="1">(TabCalc[[#This Row],[ValueBegin]]+(TabCalc[[#This Row],[M]]-TabCalc[[#This Row],[A]])*TabCalc[[#This Row],[NAfter]])*TabCalc[[#This Row],[Scale]]</f>
        <v>-92003.87999999999</v>
      </c>
      <c r="BU82" s="189" cm="1">
        <f t="array" aca="1" ref="BU82" ca="1">_xlfn.XLOOKUP(TabCalc[[#This Row],[Ticker]],TabReg[[#Headers],[AAPL]:[UnknownX28]],Reg!B$72:KF$72)+3</f>
        <v>17</v>
      </c>
      <c r="BV82" s="190" cm="1">
        <f t="array" aca="1" ref="BV82" ca="1">_xlfn.XLOOKUP(TabCalc[[#This Row],[Ticker]],TabReg[[#Headers],[AAPL]:[UnknownX28]],Reg!B$73:KF$73)+2</f>
        <v>243</v>
      </c>
      <c r="BW82" s="191">
        <f ca="1">IFERROR(MAX(TabCalc[[#This Row],[Max_SD]],TabCalc[[#This Row],[Max_PD]]),0)</f>
        <v>45744</v>
      </c>
      <c r="BX82" s="191" t="str" cm="1">
        <f t="array" aca="1" ref="BX82" ca="1">_xlfn.IFS(TabCalc[[#This Row],[L_TP]]&lt;0,"Purchase",TabCalc[[#This Row],[L_TP]]&gt;0,"Sale")</f>
        <v>Sale</v>
      </c>
      <c r="BY82" s="190" cm="1">
        <f t="array" aca="1" ref="BY82" ca="1">INDEX(Reg!$A$1:$KF$73,TabCalc[[#This Row],[L_I1]],TabCalc[[#This Row],[L_I2]])</f>
        <v>1200</v>
      </c>
      <c r="BZ82" s="192" cm="1">
        <f t="array" aca="1" ref="BZ82" ca="1">INDEX(Reg!$A$1:$KF$73,TabCalc[[#This Row],[L_I1]],TabCalc[[#This Row],[L_I2]]+1)</f>
        <v>33.646524999999997</v>
      </c>
      <c r="CA82" s="161">
        <f ca="1">TabCalc[[#This Row],[NAfter]]*(TabCalc[[#This Row],[M]]-IF(TabCalc[[#This Row],[E]]&gt;0,0,TabCalc[[#This Row],[A]]))</f>
        <v>1803.1200000000056</v>
      </c>
      <c r="CB82" s="167" cm="1">
        <f t="array" aca="1" ref="CB82" ca="1">IFERROR(MIN(_xlfn._xlws.FILTER(INDIRECT("TabReg["&amp;TabCalc[[#This Row],[Ticker]]&amp;"]"), INDIRECT("TabReg["&amp;TabCalc[[#This Row],[Ticker]]&amp;"2]")&gt;0)),0)</f>
        <v>45336</v>
      </c>
      <c r="CC82" s="178" cm="1">
        <f t="array" aca="1" ref="CC82" ca="1">IFERROR(MIN(_xlfn._xlws.FILTER(INDIRECT("TabReg["&amp;TabCalc[[#This Row],[Ticker]]&amp;"1]"), INDIRECT("TabReg["&amp;TabCalc[[#This Row],[Ticker]]&amp;"2]")&gt;0)),0)</f>
        <v>1200</v>
      </c>
      <c r="CD82" s="173" cm="1">
        <f t="array" aca="1" ref="CD82" ca="1">IFERROR(MIN(_xlfn._xlws.FILTER(INDIRECT("TabReg["&amp;TabCalc[[#This Row],[Ticker]]&amp;"2]"), INDIRECT("TabReg["&amp;TabCalc[[#This Row],[Ticker]]&amp;"2]")&gt;0)),0)</f>
        <v>28.310199999999998</v>
      </c>
      <c r="CE82" s="167" cm="1">
        <f t="array" aca="1" ref="CE82" ca="1">IFERROR(MAX(_xlfn._xlws.FILTER(INDIRECT("TabReg["&amp;TabCalc[[#This Row],[Ticker]]&amp;"]"), INDIRECT("TabReg["&amp;TabCalc[[#This Row],[Ticker]]&amp;"2]")&gt;0)),0)</f>
        <v>45744</v>
      </c>
      <c r="CF82" s="178" cm="1">
        <f t="array" aca="1" ref="CF82" ca="1">IFERROR(MAX(_xlfn._xlws.FILTER(INDIRECT("TabReg["&amp;TabCalc[[#This Row],[Ticker]]&amp;"1]"), INDIRECT("TabReg["&amp;TabCalc[[#This Row],[Ticker]]&amp;"2]")&gt;0)),0)</f>
        <v>5000</v>
      </c>
      <c r="CG82" s="173" cm="1">
        <f t="array" aca="1" ref="CG82" ca="1">IFERROR(MAX(_xlfn._xlws.FILTER(INDIRECT("TabReg["&amp;TabCalc[[#This Row],[Ticker]]&amp;"2]"), INDIRECT("TabReg["&amp;TabCalc[[#This Row],[Ticker]]&amp;"2]")&gt;0)),0)</f>
        <v>33.646524999999997</v>
      </c>
      <c r="CH82" s="167" cm="1">
        <f t="array" aca="1" ref="CH82" ca="1">MIN(_xlfn._xlws.FILTER(INDIRECT("TabReg["&amp;TabCalc[[#This Row],[Ticker]]&amp;"]"), INDIRECT("TabReg["&amp;TabCalc[[#This Row],[Ticker]]&amp;"2]")&lt;0))</f>
        <v>40544</v>
      </c>
      <c r="CI82" s="177" cm="1">
        <f t="array" aca="1" ref="CI82" ca="1">MIN(_xlfn._xlws.FILTER(INDIRECT("TabReg["&amp;TabCalc[[#This Row],[Ticker]]&amp;"1]"), INDIRECT("TabReg["&amp;TabCalc[[#This Row],[Ticker]]&amp;"2]")&lt;0))</f>
        <v>1200</v>
      </c>
      <c r="CJ82" s="173" cm="1">
        <f t="array" aca="1" ref="CJ82" ca="1">MIN(_xlfn._xlws.FILTER(INDIRECT("TabReg["&amp;TabCalc[[#This Row],[Ticker]]&amp;"2]"), INDIRECT("TabReg["&amp;TabCalc[[#This Row],[Ticker]]&amp;"2]")&lt;0))</f>
        <v>-44.67</v>
      </c>
      <c r="CK82" s="167" cm="1">
        <f t="array" aca="1" ref="CK82" ca="1">MAX(_xlfn._xlws.FILTER(INDIRECT("TabReg["&amp;TabCalc[[#This Row],[Ticker]]&amp;"]"), INDIRECT("TabReg["&amp;TabCalc[[#This Row],[Ticker]]&amp;"2]")&lt;0))</f>
        <v>45688</v>
      </c>
      <c r="CL82" s="177" cm="1">
        <f t="array" aca="1" ref="CL82" ca="1">MAX(_xlfn._xlws.FILTER(INDIRECT("TabReg["&amp;TabCalc[[#This Row],[Ticker]]&amp;"1]"), INDIRECT("TabReg["&amp;TabCalc[[#This Row],[Ticker]]&amp;"2]")&lt;0))</f>
        <v>5000</v>
      </c>
      <c r="CM82" s="173" cm="1">
        <f t="array" aca="1" ref="CM82" ca="1">MAX(_xlfn._xlws.FILTER(INDIRECT("TabReg["&amp;TabCalc[[#This Row],[Ticker]]&amp;"2]"), INDIRECT("TabReg["&amp;TabCalc[[#This Row],[Ticker]]&amp;"2]")&lt;0))</f>
        <v>-27.549700000000001</v>
      </c>
      <c r="CN82" s="167" cm="1">
        <f t="array" aca="1" ref="CN82" ca="1">IFERROR(_xlfn.XLOOKUP(TabCalc[[#This Row],[BS2P]],INDIRECT("TabReg["&amp;TabCalc[[#This Row],[Ticker]]&amp;"2]"),INDIRECT("TabReg["&amp;TabCalc[[#This Row],[Ticker]]&amp;"]")),0)</f>
        <v>45336</v>
      </c>
      <c r="CO82" s="178" cm="1">
        <f t="array" aca="1" ref="CO82" ca="1">IFERROR(_xlfn.XLOOKUP(TabCalc[[#This Row],[BS2P]],INDIRECT("TabReg["&amp;TabCalc[[#This Row],[Ticker]]&amp;"2]"),INDIRECT("TabReg["&amp;TabCalc[[#This Row],[Ticker]]&amp;"1]")),0)</f>
        <v>3000</v>
      </c>
      <c r="CP82" s="173">
        <f ca="1">_xlfn.MAXIFS(INDIRECT("TabReg["&amp;TabCalc[[#This Row],[Ticker]]&amp;"2]"), INDIRECT("TabReg["&amp;TabCalc[[#This Row],[Ticker]]&amp;"2]"), "&lt;" &amp; MAX(INDIRECT("TabReg["&amp;TabCalc[[#This Row],[Ticker]]&amp;"2]")))</f>
        <v>33.200000000000003</v>
      </c>
      <c r="CQ82" s="167" cm="1">
        <f t="array" aca="1" ref="CQ82" ca="1">IFERROR(_xlfn.XLOOKUP(TabCalc[[#This Row],[WB2P]],INDIRECT("TabReg["&amp;TabCalc[[#This Row],[Ticker]]&amp;"2]"),INDIRECT("TabReg["&amp;TabCalc[[#This Row],[Ticker]]&amp;"]")),0)</f>
        <v>45656</v>
      </c>
      <c r="CR82" s="178" cm="1">
        <f t="array" aca="1" ref="CR82" ca="1">IFERROR(_xlfn.XLOOKUP(TabCalc[[#This Row],[WB2P]],INDIRECT("TabReg["&amp;TabCalc[[#This Row],[Ticker]]&amp;"2]"),INDIRECT("TabReg["&amp;TabCalc[[#This Row],[Ticker]]&amp;"1]")),0)</f>
        <v>1200</v>
      </c>
      <c r="CS82" s="173">
        <f ca="1">_xlfn.MINIFS(INDIRECT("TabReg["&amp;TabCalc[[#This Row],[Ticker]]&amp;"2]"), INDIRECT("TabReg["&amp;TabCalc[[#This Row],[Ticker]]&amp;"2]"), "&gt;" &amp; MIN(INDIRECT("TabReg["&amp;TabCalc[[#This Row],[Ticker]]&amp;"2]")))</f>
        <v>-33.840000000000003</v>
      </c>
      <c r="CT82" s="405">
        <f ca="1">IF(TabCalc[[#This Row],[M]]&lt;TabCalc[[#This Row],[L_Sp]],DesiredBuyGain/(TabCalc[[#This Row],[L_Sp]]-TabCalc[[#This Row],[M]]),0)</f>
        <v>3456.5596861443946</v>
      </c>
      <c r="CU82" s="406">
        <f ca="1">IF(TabCalc[[#This Row],[ntoBuy]]*TabCalc[[#This Row],[M]]&lt;=0,0,TabCalc[[#This Row],[ntoBuy]]*TabCalc[[#This Row],[M]])</f>
        <v>111301.22189384952</v>
      </c>
      <c r="CV82" s="406">
        <f ca="1">IF(TabCalc[[#This Row],[M]]&gt;ABS(TabCalc[[#This Row],[L_Bp]]),MIN(TabCalc[[#This Row],[NAfter]],DesiredSaleGain/(TabCalc[[#This Row],[M]]+TabCalc[[#This Row],[L_Bp]])),0)/TabCalc[[#This Row],[Scale]]</f>
        <v>1200</v>
      </c>
      <c r="CW82" s="407">
        <f ca="1">TabCalc[[#This Row],[ntoSell]]*TabCalc[[#This Row],[M]]</f>
        <v>38640</v>
      </c>
      <c r="CX82" s="400">
        <f ca="1">_xlfn.LET(_xlpm.nToSell,IF(TabCalc[[#This Row],[M]]-TabCalc[[#This Row],[A]]&lt;=0,"",INT(DesiredSaleGain/(TabCalc[[#This Row],[M]]-IF(TabCalc[[#This Row],[E]]&gt;0,0,TabCalc[[#This Row],[A]])))),IF(_xlpm.nToSell&lt;=TabCalc[[#This Row],[NAfter]],_xlpm.nToSell,0))</f>
        <v>0</v>
      </c>
      <c r="CY82" s="338">
        <f ca="1">IFERROR(TabCalc[[#This Row],[NMA]]*TabCalc[[#This Row],[M]],"")</f>
        <v>0</v>
      </c>
      <c r="CZ82" s="337" cm="1">
        <f t="array" aca="1" ref="CZ82" ca="1">_xlfn.IFS(TabCalc[[#This Row],[M]]&gt;= TabCalc[[#This Row],[L_Sp]],(TabCalc[[#This Row],[M]]-TabCalc[[#This Row],[A]])*TabCalc[[#This Row],[NAfter]]*TabCalc[[#This Row],[Scale]],           TabCalc[[#This Row],[M]]&lt; TabCalc[[#This Row],[L_Sp]],(TabCalc[[#This Row],[M]]-TabCalc[[#This Row],[A]])*TabCalc[[#This Row],[NAfter]]*TabCalc[[#This Row],[Scale]],               TRUE,"")</f>
        <v>1803.1200000000056</v>
      </c>
      <c r="DA82" s="90">
        <f ca="1">IFERROR((TabCalc[[#This Row],[M]]+TabCalc[[#This Row],[L_Bp]])/ABS(TabCalc[[#This Row],[L_Bp]])/(TODAY()-TabCalc[[#This Row],[L_Bdate]])*360,"")</f>
        <v>6.5752080321061959E-2</v>
      </c>
      <c r="DB82" s="312">
        <f ca="1">MEDIAN(DataShift!F781:Z781)</f>
        <v>-7.1549999999999999E-3</v>
      </c>
      <c r="DC82" s="312" t="str" cm="1">
        <f t="array" aca="1" ref="DC8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82" s="88" t="s">
        <v>78</v>
      </c>
      <c r="DN82" s="81">
        <v>30000</v>
      </c>
      <c r="DO82" s="317">
        <v>-7.04</v>
      </c>
    </row>
    <row r="83" spans="1:119">
      <c r="A83" s="120" t="str">
        <f ca="1">_xlfn.XLOOKUP(TabCalc[[#This Row],[Ticker]],[1]!RTData[Ticker symbol],[1]!RTData[Currency])</f>
        <v>USD</v>
      </c>
      <c r="B83" s="121">
        <f ca="1">IF(TabCalc[[#This Row],[Cur]]="GBP",0.01,1)</f>
        <v>1</v>
      </c>
      <c r="C83" s="82">
        <f ca="1">_xlfn.XLOOKUP(TabCalc[[#This Row],[Ticker]],DM$3:DM$96,DN$3:DN$96)</f>
        <v>330</v>
      </c>
      <c r="D83" s="1254">
        <f ca="1">_xlfn.XLOOKUP(TabCalc[[#This Row],[Ticker]],DM$3:DM$96,DO$3:DO$96)</f>
        <v>-353.12</v>
      </c>
      <c r="E83" s="121">
        <f t="shared" ca="1" si="4"/>
        <v>-116529.60000000001</v>
      </c>
      <c r="F83" s="82">
        <f ca="1">TabCalc[[#This Row],[NAfter]]*TabCalc[[#This Row],[M]]*TabCalc[[#This Row],[Scale]]</f>
        <v>114733.99999999999</v>
      </c>
      <c r="G83" s="82">
        <f ca="1">IFERROR(TabCalc[[#This Row],[SB]]-TabCalc[[#This Row],[SST]],TabCalc[[#This Row],[SB]])</f>
        <v>200</v>
      </c>
      <c r="H83" s="535" t="str">
        <f ca="1">[1]!RTData[[#This Row],[Ticker symbol]]</f>
        <v>MA</v>
      </c>
      <c r="I83" s="385">
        <f ca="1">[1]!RTData[[#This Row],[M-Price]]</f>
        <v>573.66999999999996</v>
      </c>
      <c r="J83" s="384">
        <v>556.35</v>
      </c>
      <c r="K83" s="383">
        <f>[1]!RTData[[#This Row],[1YT]]</f>
        <v>648.43029999999999</v>
      </c>
      <c r="L83" s="384">
        <f ca="1">IF(OR(TabCalc[[#This Row],[NAfter]]=0,TabCalc[[#This Row],[EfCost]]&gt;0),0,TabCalc[[#This Row],[EfCost]]/TabCalc[[#This Row],[NAfter]]/TabCalc[[#This Row],[Scale]])</f>
        <v>-313.25120500000003</v>
      </c>
      <c r="M83" s="744">
        <f ca="1">[1]!RTData[[#This Row],[Change%]]</f>
        <v>-1.7430000000000001E-4</v>
      </c>
      <c r="N83" s="1172">
        <v>0</v>
      </c>
      <c r="O83" s="966">
        <f>TabCalc[[#This Row],[Up20]]-1+TabCalc[[#This Row],[Up20]]</f>
        <v>-1</v>
      </c>
      <c r="P83" s="966">
        <f>TabCalc[[#This Row],[Up20]]-TabCalc[[#This Row],[Up150]]</f>
        <v>-0.57894736842105265</v>
      </c>
      <c r="Q83" s="966">
        <v>0.57894736842105265</v>
      </c>
      <c r="R83" s="966">
        <f>TabCalc[[#This Row],[Up150]]-1+TabCalc[[#This Row],[Up150]]</f>
        <v>0.15789473684210531</v>
      </c>
      <c r="S83" s="966">
        <f ca="1">IFERROR(SUMPRODUCT(DataShift!F1575:Z1575,DataShift!AB782:AV782)/SQRT(SUMPRODUCT(DataShift!F1575:Z1575,DataShift!F1575:Z1575)*SUMPRODUCT(DataShift!AB782:AV782,DataShift!AB782:AV782)),0)</f>
        <v>-0.40519259873976088</v>
      </c>
      <c r="T83" s="966">
        <f ca="1">IFERROR(SUMPRODUCT(DataShift!F1575:Z1575,DataShift!F782:Z782)/SQRT(SUMPRODUCT(DataShift!F1575:Z1575,DataShift!F1575:Z1575)*SUMPRODUCT(DataShift!F782:Z782,DataShift!F782:Z782)),0)</f>
        <v>6.7604123550696185E-2</v>
      </c>
      <c r="U83" s="1107">
        <v>200</v>
      </c>
      <c r="V83" s="1107">
        <v>0</v>
      </c>
      <c r="W83" s="1107">
        <v>0</v>
      </c>
      <c r="X83" s="966" t="str">
        <f ca="1">IF(TabCalc[[#This Row],[EfCost]]+TabCalc[[#This Row],[M_V]]&lt;TabCalc[[#This Row],[NoT_GL]],"Pile","")</f>
        <v>Pile</v>
      </c>
      <c r="Y8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3" s="213">
        <f ca="1">MIN(TabCalc[[#This Row],[L_Bn]],TabCalc[[#This Row],[NAfter]])*(TabCalc[[#This Row],[M]]+TabCalc[[#This Row],[L_Bp]])*TabCalc[[#This Row],[Scale]]</f>
        <v>777.99999999999727</v>
      </c>
      <c r="AA83" s="210" cm="1">
        <f t="array" aca="1" ref="AA83" ca="1">_xlfn.XLOOKUP(TabCalc[[#This Row],[L_Bp]],INDIRECT("TabReg["&amp;TabCalc[[#This Row],[Ticker]]&amp;"2]"),INDIRECT("TabReg["&amp;TabCalc[[#This Row],[Ticker]]&amp;"]"))</f>
        <v>45924</v>
      </c>
      <c r="AB83" s="181" cm="1">
        <f t="array" aca="1" ref="AB83" ca="1">_xlfn.XLOOKUP(TabCalc[[#This Row],[L_Bp]],INDIRECT("TabReg["&amp;TabCalc[[#This Row],[Ticker]]&amp;"2]"),INDIRECT("TabReg["&amp;TabCalc[[#This Row],[Ticker]]&amp;"1]"))</f>
        <v>100</v>
      </c>
      <c r="AC83" s="192" cm="1">
        <f t="array" aca="1" ref="AC83" ca="1">IFERROR(INDEX(INDIRECT("TabReg["&amp;TabCalc[[#This Row],[Ticker]]&amp;"2]"),    _xlfn.XMATCH(    MAX(    _xlfn._xlws.FILTER(INDIRECT("TabReg["&amp;TabCalc[[#This Row],[Ticker]]&amp;"]"), INDIRECT("TabReg["&amp;TabCalc[[#This Row],[Ticker]]&amp;"2]")&lt;0)     ), INDIRECT("TabReg["&amp;TabCalc[[#This Row],[Ticker]]&amp;"]"),      0)), "")</f>
        <v>-565.89</v>
      </c>
      <c r="AD83" s="213">
        <f ca="1">IFERROR(MIN(TabCalc[[#This Row],[L_B1n]],TabCalc[[#This Row],[NAfter]])*(TabCalc[[#This Row],[M]]+TabCalc[[#This Row],[L_B1p]])*TabCalc[[#This Row],[Scale]],"")</f>
        <v>5372.0000000000027</v>
      </c>
      <c r="AE83" s="210" cm="1">
        <f t="array" aca="1" ref="AE8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83" s="181" cm="1">
        <f t="array" aca="1" ref="AF83" ca="1">IFERROR(_xlfn.XLOOKUP(TabCalc[[#This Row],[L_B1D]],INDIRECT("TabReg["&amp;TabCalc[[#This Row],[Ticker]]&amp;"]"),INDIRECT("TabReg["&amp;TabCalc[[#This Row],[Ticker]]&amp;"1]")),0)</f>
        <v>200</v>
      </c>
      <c r="AG83" s="192" cm="1">
        <f t="array" aca="1" ref="AG83" ca="1">IFERROR(_xlfn.XLOOKUP(TabCalc[[#This Row],[L_B1D]],INDIRECT("TabReg["&amp;TabCalc[[#This Row],[Ticker]]&amp;"]"),INDIRECT("TabReg["&amp;TabCalc[[#This Row],[Ticker]]&amp;"2]")),0)</f>
        <v>-546.80999999999995</v>
      </c>
      <c r="AH83" s="302">
        <f ca="1">IFERROR(TabCalc[[#This Row],[L_Sn]]*(TabCalc[[#This Row],[L_Sp]]-TabCalc[[#This Row],[M]])*TabCalc[[#This Row],[Scale]],"")</f>
        <v>1900.9999999999991</v>
      </c>
      <c r="AI83" s="210" cm="1">
        <f t="array" aca="1" ref="AI83" ca="1">IFERROR(_xlfn.XLOOKUP(TabCalc[[#This Row],[L_Sp]],INDIRECT("TabReg["&amp;TabCalc[[#This Row],[Ticker]]&amp;"2]"),INDIRECT("TabReg["&amp;TabCalc[[#This Row],[Ticker]]&amp;"]")),0)</f>
        <v>45919</v>
      </c>
      <c r="AJ83" s="181" cm="1">
        <f t="array" aca="1" ref="AJ83" ca="1">IFERROR(_xlfn.XLOOKUP(TabCalc[[#This Row],[L_Sp]],INDIRECT("TabReg["&amp;TabCalc[[#This Row],[Ticker]]&amp;"2]"),INDIRECT("TabReg["&amp;TabCalc[[#This Row],[Ticker]]&amp;"1]")),0)</f>
        <v>100</v>
      </c>
      <c r="AK83" s="192" cm="1">
        <f t="array" aca="1" ref="AK83" ca="1">IFERROR(INDEX(INDIRECT("TabReg["&amp;TabCalc[[#This Row],[Ticker]]&amp;"2]"), _xlfn.XMATCH(MAX(_xlfn._xlws.FILTER(INDIRECT("TabReg["&amp;TabCalc[[#This Row],[Ticker]]&amp;"]"), INDIRECT("TabReg["&amp;TabCalc[[#This Row],[Ticker]]&amp;"2]")&gt;0)), INDIRECT("TabReg["&amp;TabCalc[[#This Row],[Ticker]]&amp;"]"), 0)), 0)</f>
        <v>592.67999999999995</v>
      </c>
      <c r="AL83" s="214">
        <f ca="1">IFERROR(TabCalc[[#This Row],[L_S1n]]*(TabCalc[[#This Row],[L_S1p]]-TabCalc[[#This Row],[M]])*TabCalc[[#This Row],[Scale]],0)</f>
        <v>-2700</v>
      </c>
      <c r="AM83" s="210" cm="1">
        <f t="array" aca="1" ref="AM8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45685</v>
      </c>
      <c r="AN83" s="181" cm="1">
        <f t="array" aca="1" ref="AN83" ca="1">IFERROR(_xlfn.XLOOKUP(TabCalc[[#This Row],[L_S1D]],INDIRECT("TabReg["&amp;TabCalc[[#This Row],[Ticker]]&amp;"]"),INDIRECT("TabReg["&amp;TabCalc[[#This Row],[Ticker]]&amp;"1]")),0)</f>
        <v>100</v>
      </c>
      <c r="AO83" s="384" cm="1">
        <f t="array" aca="1" ref="AO83" ca="1">IFERROR(_xlfn.XLOOKUP(TabCalc[[#This Row],[L_S1D]],INDIRECT("TabReg["&amp;TabCalc[[#This Row],[Ticker]]&amp;"]"),INDIRECT("TabReg["&amp;TabCalc[[#This Row],[Ticker]]&amp;"2]")),0)</f>
        <v>546.66999999999996</v>
      </c>
      <c r="AP83" s="336">
        <f ca="1">_xlfn.LET(_xlpm.MVOpen,[1]!RTData[[#This Row],[Open]]*TabCalc[[#This Row],[NAfter]],_xlpm.MVNow,TabCalc[[#This Row],[M]]*TabCalc[[#This Row],[NAfter]],_xlpm.MVNow-_xlpm.MVOpen)*TabCalc[[#This Row],[Scale]]</f>
        <v>-714.00000000001455</v>
      </c>
      <c r="AQ83" s="336">
        <f ca="1">_xlfn.LET(_xlpm.MVToday,DataShift!AV583,         _xlpm.MVY,DataShift!AU583,        _xlpm.MVYY, DataShift!AT583,                                IF(_xlpm.MVToday=_xlpm.MVY,_xlpm.MVY-_xlpm.MVYY,_xlpm.MVToday-_xlpm.MVY))</f>
        <v>8224.5400000000081</v>
      </c>
      <c r="AR83" s="336">
        <f ca="1">_xlfn.LET(_xlpm.MVToday,DataShift!AV583,         _xlpm.MVY,DataShift!AU583,        _xlpm.MVYY, DataShift!AT583,         _xlpm.MVYYY, DataShift!AS583,                      IF(_xlpm.MVToday=_xlpm.MVY,      _xlpm.MVYY-_xlpm.MVYYY,          _xlpm.MVY-_xlpm.MVYY))</f>
        <v>-465.54000000000087</v>
      </c>
      <c r="AS83" s="1078">
        <f ca="1">TabCalc[[#This Row],[Y]]/TabCalc[[#This Row],[M]]</f>
        <v>1.1303193473599806</v>
      </c>
      <c r="AT83" s="299" t="str" cm="1">
        <f t="array" aca="1" ref="AT83" ca="1">IFERROR(_xlfn.IFS(          TabCalc[[#This Row],[E]]&gt;0, "Free Trade",      TabCalc[[#This Row],[A]]&lt;MIN(TabCalc[[#This Row],[L_Sp]],TabCalc[[#This Row],[M]]), "Buy",            TabCalc[[#This Row],[M]]&lt;TabCalc[[#This Row],[L_Sp]],       "Refill",       TabCalc[[#This Row],[M]]&gt;TabCalc[[#This Row],[L_Sp]],"S_more"),"")</f>
        <v>Buy</v>
      </c>
      <c r="AU83" s="299" t="str">
        <f ca="1">IF(           AND(TabCalc[[#This Row],[E]]&lt;=0,          TabCalc[[#This Row],[A]]&gt;MIN(TabCalc[[#This Row],[M]],TabCalc[[#This Row],[L_Sp]]),             TabCalc[[#This Row],[L_Sp]]&lt;=TabCalc[[#This Row],[M]]),                       "S_more","")</f>
        <v/>
      </c>
      <c r="AV83" s="82" t="str" cm="1">
        <f t="array" aca="1" ref="AV83" ca="1">IFERROR(_xlfn.IFS(TabCalc[[#This Row],[E]]&gt;0,"Free trade",                 TabCalc[[#This Row],[A]]&lt;MAX(ABS(TabCalc[[#This Row],[L_Bp]]),TabCalc[[#This Row],[A]]),"Sell",             TabCalc[[#This Row],[M]]&gt;ABS(TabCalc[[#This Row],[L_Bp]]),"Resell",             TabCalc[[#This Row],[M]]&lt;ABS(TabCalc[[#This Row],[L_Bp]]),"B_more"),"")</f>
        <v>Sell</v>
      </c>
      <c r="AW83" s="82">
        <f ca="1">TabCalc[[#This Row],[NAfter]]-TabCalc[[#This Row],[Nbegin]]</f>
        <v>-130</v>
      </c>
      <c r="AX83" s="307">
        <f ca="1">IFERROR((TabCalc[[#This Row],[M]]-TabCalc[[#This Row],[Y]])*(TabCalc[[#This Row],[M]]-TabCalc[[#This Row],[Y]])*(TabCalc[[#This Row],[M]]-TabCalc[[#This Row],[Y]])/(TabCalc[[#This Row],[Y]]*TabCalc[[#This Row],[M]]),"")</f>
        <v>-1.12327907009545</v>
      </c>
      <c r="AY83" s="82">
        <f t="shared" ca="1" si="5"/>
        <v>130</v>
      </c>
      <c r="AZ83" s="90">
        <f ca="1">[1]!RTData[[#This Row],[V/VA]]</f>
        <v>0.65917487861225288</v>
      </c>
      <c r="BA83" s="90" t="str" cm="1">
        <f t="array" aca="1" ref="BA83" ca="1">IFERROR(_xlfn.IFS(TabCalc[[#This Row],[Cur]]="USD",Timer!F$27,TabCalc[[#This Row],[Cur]]="EUR",Timer!F$18,TabCalc[[#This Row],[Cur]]="GBP",Timer!F$12,TabCalc[[#This Row],[Cur]]="CAD",Timer!F$27,TabCalc[[#This Row],[Cur]]="JPY",Timer!F$31,TabCalc[[#This Row],[Cur]]="CHF",Timer!F$18),"Timing")</f>
        <v>None-Working Day</v>
      </c>
      <c r="BB83" s="90">
        <f ca="1">IF(ISNUMBER(TabCalc[[#This Row],[TimeEX]]),TabCalc[[#This Row],[V/VA]]/TabCalc[[#This Row],[TimeEX]],TabCalc[[#This Row],[V/VA]])</f>
        <v>0.65917487861225288</v>
      </c>
      <c r="BC83" s="87" cm="1">
        <f t="array" aca="1" ref="BC83" ca="1">INDEX(TabReg[], 1, _xlfn.XMATCH(TabCalc[[#This Row],[Ticker]]&amp;1, TabReg[#Headers], 0))</f>
        <v>330</v>
      </c>
      <c r="BD83" s="161">
        <f ca="1">TabCalc[[#This Row],[Nbegin]]*TabCalc[[#This Row],[M]]*TabCalc[[#This Row],[Scale]]+TabCalc[[#This Row],[ValueBegin]]</f>
        <v>72781.499999999971</v>
      </c>
      <c r="BE83" s="336" t="str" cm="1">
        <f t="array" aca="1" ref="BE83" ca="1">_xlfn.IFS(TabCalc[[#This Row],[Cost+Gain]]&gt;0,"Free",             TabCalc[[#This Row],[GL]]&gt;0,"Gainer",                TRUE,"Looser")</f>
        <v>Gainer</v>
      </c>
      <c r="BF83" s="161">
        <f ca="1">TabCalc[[#This Row],[Tot_Paid]]-TabCalc[[#This Row],[ValueBegin]]</f>
        <v>-1329307.1480345998</v>
      </c>
      <c r="BG83" s="337">
        <f ca="1">IF(TabCalc[[#This Row],[EfCost]]&gt;TabCalc[[#This Row],[ValueBegin]],       0,        TabCalc[[#This Row],[EfCost]]-TabCalc[[#This Row],[ValueBegin]]*(1+Commission))</f>
        <v>0</v>
      </c>
      <c r="BH83" s="338">
        <f ca="1">TabCalc[[#This Row],[M_V]]+TabCalc[[#This Row],[ValueBegin]]</f>
        <v>-1795.6000000000204</v>
      </c>
      <c r="BI83" s="161" cm="1">
        <f t="array" aca="1" ref="BI83" ca="1">SUMPRODUCT(_xlfn._xlws.FILTER(INDIRECT("TabReg["&amp;TabCalc[[#This Row],[Ticker]]&amp;"1]") * INDIRECT("TabReg["&amp;TabCalc[[#This Row],[Ticker]]&amp;"2]"), INDIRECT("TabReg["&amp;TabCalc[[#This Row],[Ticker]]&amp;"2]")&lt;0))*(1+Commission)*TabCalc[[#This Row],[Scale]]</f>
        <v>-1445836.7480345999</v>
      </c>
      <c r="BJ83" s="161" cm="1">
        <f t="array" aca="1" ref="BJ83" ca="1">SUMPRODUCT(IF(INDIRECT("TabReg["&amp;TabCalc[[#This Row],[Ticker]]&amp;"2]") ="", 0, INDIRECT("TabReg["&amp;TabCalc[[#This Row],[Ticker]]&amp;"1]") * INDIRECT("TabReg["&amp;TabCalc[[#This Row],[Ticker]]&amp;"2]") ))*TabCalc[[#This Row],[Scale]]</f>
        <v>-62650.241000000009</v>
      </c>
      <c r="BK83" s="161" cm="1">
        <f t="array" aca="1" ref="BK8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1375850.5435919999</v>
      </c>
      <c r="BL83" s="161">
        <f ca="1">TabCalc[[#This Row],[M_V]]+TabCalc[[#This Row],[EfCost]]</f>
        <v>52083.758999999976</v>
      </c>
      <c r="BM83" s="161">
        <f ca="1">IF(        OR( TabCalc[[#This Row],[GL]]&gt;ABS(TabCalc[[#This Row],[EfCost]]),TabCalc[[#This Row],[NAfter]]=0),             TabCalc[[#This Row],[GL]],     0)</f>
        <v>0</v>
      </c>
      <c r="BN83" s="161" cm="1">
        <f t="array" aca="1" ref="BN83" ca="1">SUMPRODUCT(_xlfn._xlws.FILTER(IF(INDIRECT("TabReg["&amp;TabCalc[[#This Row],[Ticker]]&amp;"2]") ="", 0, INDIRECT("TabReg["&amp;TabCalc[[#This Row],[Ticker]]&amp;"1]")  ),  INDIRECT("TabReg["&amp;TabCalc[[#This Row],[Ticker]]&amp;"2]") &lt; 0))</f>
        <v>3280</v>
      </c>
      <c r="BO83" s="161">
        <f ca="1">TabCalc[[#This Row],[SB]]-TabCalc[[#This Row],[Nbegin]]</f>
        <v>2950</v>
      </c>
      <c r="BP83" s="161" cm="1">
        <f t="array" aca="1" ref="BP83" ca="1">IFERROR(SUMPRODUCT(_xlfn._xlws.FILTER(IF(INDIRECT("TabReg["&amp;TabCalc[[#This Row],[Ticker]]&amp;"2]") ="", 0, INDIRECT("TabReg["&amp;TabCalc[[#This Row],[Ticker]]&amp;"1]")  ),  INDIRECT("TabReg["&amp;TabCalc[[#This Row],[Ticker]]&amp;"2]") &gt; 0)),0)</f>
        <v>3080</v>
      </c>
      <c r="BQ83"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516.38</v>
      </c>
      <c r="BR83" s="176" t="str">
        <f ca="1">IF(TabCalc[[#This Row],[EfCost]]+TabCalc[[#This Row],[M_V]]&lt;TabCalc[[#This Row],[NoT_GL]],"Pile","")</f>
        <v>Pile</v>
      </c>
      <c r="BS83" s="167">
        <f ca="1">[1]!RTData[[#This Row],[Last trade time]]</f>
        <v>45954.997747291403</v>
      </c>
      <c r="BT83" s="177">
        <f ca="1">(TabCalc[[#This Row],[ValueBegin]]+(TabCalc[[#This Row],[M]]-TabCalc[[#This Row],[A]])*TabCalc[[#This Row],[NAfter]])*TabCalc[[#This Row],[Scale]]</f>
        <v>-113065.60000000002</v>
      </c>
      <c r="BU83" s="189" cm="1">
        <f t="array" aca="1" ref="BU83" ca="1">_xlfn.XLOOKUP(TabCalc[[#This Row],[Ticker]],TabReg[[#Headers],[AAPL]:[UnknownX28]],Reg!B$72:KF$72)+3</f>
        <v>20</v>
      </c>
      <c r="BV83" s="190" cm="1">
        <f t="array" aca="1" ref="BV83" ca="1">_xlfn.XLOOKUP(TabCalc[[#This Row],[Ticker]],TabReg[[#Headers],[AAPL]:[UnknownX28]],Reg!B$73:KF$73)+2</f>
        <v>246</v>
      </c>
      <c r="BW83" s="191">
        <f ca="1">IFERROR(MAX(TabCalc[[#This Row],[Max_SD]],TabCalc[[#This Row],[Max_PD]]),0)</f>
        <v>45924</v>
      </c>
      <c r="BX83" s="191" t="str" cm="1">
        <f t="array" aca="1" ref="BX83" ca="1">_xlfn.IFS(TabCalc[[#This Row],[L_TP]]&lt;0,"Purchase",TabCalc[[#This Row],[L_TP]]&gt;0,"Sale")</f>
        <v>Purchase</v>
      </c>
      <c r="BY83" s="190" cm="1">
        <f t="array" aca="1" ref="BY83" ca="1">INDEX(Reg!$A$1:$KF$73,TabCalc[[#This Row],[L_I1]],TabCalc[[#This Row],[L_I2]])</f>
        <v>100</v>
      </c>
      <c r="BZ83" s="192" cm="1">
        <f t="array" aca="1" ref="BZ83" ca="1">INDEX(Reg!$A$1:$KF$73,TabCalc[[#This Row],[L_I1]],TabCalc[[#This Row],[L_I2]]+1)</f>
        <v>-565.89</v>
      </c>
      <c r="CA83" s="161">
        <f ca="1">TabCalc[[#This Row],[NAfter]]*(TabCalc[[#This Row],[M]]-IF(TabCalc[[#This Row],[E]]&gt;0,0,TabCalc[[#This Row],[A]]))</f>
        <v>3463.9999999999873</v>
      </c>
      <c r="CB83" s="167" cm="1">
        <f t="array" aca="1" ref="CB83" ca="1">IFERROR(MIN(_xlfn._xlws.FILTER(INDIRECT("TabReg["&amp;TabCalc[[#This Row],[Ticker]]&amp;"]"), INDIRECT("TabReg["&amp;TabCalc[[#This Row],[Ticker]]&amp;"2]")&gt;0)),0)</f>
        <v>44875</v>
      </c>
      <c r="CC83" s="178" cm="1">
        <f t="array" aca="1" ref="CC83" ca="1">IFERROR(MIN(_xlfn._xlws.FILTER(INDIRECT("TabReg["&amp;TabCalc[[#This Row],[Ticker]]&amp;"1]"), INDIRECT("TabReg["&amp;TabCalc[[#This Row],[Ticker]]&amp;"2]")&gt;0)),0)</f>
        <v>100</v>
      </c>
      <c r="CD83" s="173" cm="1">
        <f t="array" aca="1" ref="CD83" ca="1">IFERROR(MIN(_xlfn._xlws.FILTER(INDIRECT("TabReg["&amp;TabCalc[[#This Row],[Ticker]]&amp;"2]"), INDIRECT("TabReg["&amp;TabCalc[[#This Row],[Ticker]]&amp;"2]")&gt;0)),0)</f>
        <v>331.89</v>
      </c>
      <c r="CE83" s="167" cm="1">
        <f t="array" aca="1" ref="CE83" ca="1">IFERROR(MAX(_xlfn._xlws.FILTER(INDIRECT("TabReg["&amp;TabCalc[[#This Row],[Ticker]]&amp;"]"), INDIRECT("TabReg["&amp;TabCalc[[#This Row],[Ticker]]&amp;"2]")&gt;0)),0)</f>
        <v>45919</v>
      </c>
      <c r="CF83" s="178" cm="1">
        <f t="array" aca="1" ref="CF83" ca="1">IFERROR(MAX(_xlfn._xlws.FILTER(INDIRECT("TabReg["&amp;TabCalc[[#This Row],[Ticker]]&amp;"1]"), INDIRECT("TabReg["&amp;TabCalc[[#This Row],[Ticker]]&amp;"2]")&gt;0)),0)</f>
        <v>990</v>
      </c>
      <c r="CG83" s="173" cm="1">
        <f t="array" aca="1" ref="CG83" ca="1">IFERROR(MAX(_xlfn._xlws.FILTER(INDIRECT("TabReg["&amp;TabCalc[[#This Row],[Ticker]]&amp;"2]"), INDIRECT("TabReg["&amp;TabCalc[[#This Row],[Ticker]]&amp;"2]")&gt;0)),0)</f>
        <v>592.67999999999995</v>
      </c>
      <c r="CH83" s="167" cm="1">
        <f t="array" aca="1" ref="CH83" ca="1">MIN(_xlfn._xlws.FILTER(INDIRECT("TabReg["&amp;TabCalc[[#This Row],[Ticker]]&amp;"]"), INDIRECT("TabReg["&amp;TabCalc[[#This Row],[Ticker]]&amp;"2]")&lt;0))</f>
        <v>37423</v>
      </c>
      <c r="CI83" s="177" cm="1">
        <f t="array" aca="1" ref="CI83" ca="1">MIN(_xlfn._xlws.FILTER(INDIRECT("TabReg["&amp;TabCalc[[#This Row],[Ticker]]&amp;"1]"), INDIRECT("TabReg["&amp;TabCalc[[#This Row],[Ticker]]&amp;"2]")&lt;0))</f>
        <v>100</v>
      </c>
      <c r="CJ83" s="173" cm="1">
        <f t="array" aca="1" ref="CJ83" ca="1">MIN(_xlfn._xlws.FILTER(INDIRECT("TabReg["&amp;TabCalc[[#This Row],[Ticker]]&amp;"2]"), INDIRECT("TabReg["&amp;TabCalc[[#This Row],[Ticker]]&amp;"2]")&lt;0))</f>
        <v>-565.89</v>
      </c>
      <c r="CK83" s="167" cm="1">
        <f t="array" aca="1" ref="CK83" ca="1">MAX(_xlfn._xlws.FILTER(INDIRECT("TabReg["&amp;TabCalc[[#This Row],[Ticker]]&amp;"]"), INDIRECT("TabReg["&amp;TabCalc[[#This Row],[Ticker]]&amp;"2]")&lt;0))</f>
        <v>45924</v>
      </c>
      <c r="CL83" s="177" cm="1">
        <f t="array" aca="1" ref="CL83" ca="1">MAX(_xlfn._xlws.FILTER(INDIRECT("TabReg["&amp;TabCalc[[#This Row],[Ticker]]&amp;"1]"), INDIRECT("TabReg["&amp;TabCalc[[#This Row],[Ticker]]&amp;"2]")&lt;0))</f>
        <v>990</v>
      </c>
      <c r="CM83" s="173" cm="1">
        <f t="array" aca="1" ref="CM83" ca="1">MAX(_xlfn._xlws.FILTER(INDIRECT("TabReg["&amp;TabCalc[[#This Row],[Ticker]]&amp;"2]"), INDIRECT("TabReg["&amp;TabCalc[[#This Row],[Ticker]]&amp;"2]")&lt;0))</f>
        <v>-323.02</v>
      </c>
      <c r="CN83" s="167" cm="1">
        <f t="array" aca="1" ref="CN83" ca="1">IFERROR(_xlfn.XLOOKUP(TabCalc[[#This Row],[BS2P]],INDIRECT("TabReg["&amp;TabCalc[[#This Row],[Ticker]]&amp;"2]"),INDIRECT("TabReg["&amp;TabCalc[[#This Row],[Ticker]]&amp;"]")),0)</f>
        <v>45685</v>
      </c>
      <c r="CO83" s="178" cm="1">
        <f t="array" aca="1" ref="CO83" ca="1">IFERROR(_xlfn.XLOOKUP(TabCalc[[#This Row],[BS2P]],INDIRECT("TabReg["&amp;TabCalc[[#This Row],[Ticker]]&amp;"2]"),INDIRECT("TabReg["&amp;TabCalc[[#This Row],[Ticker]]&amp;"1]")),0)</f>
        <v>100</v>
      </c>
      <c r="CP83" s="173">
        <f ca="1">_xlfn.MAXIFS(INDIRECT("TabReg["&amp;TabCalc[[#This Row],[Ticker]]&amp;"2]"), INDIRECT("TabReg["&amp;TabCalc[[#This Row],[Ticker]]&amp;"2]"), "&lt;" &amp; MAX(INDIRECT("TabReg["&amp;TabCalc[[#This Row],[Ticker]]&amp;"2]")))</f>
        <v>546.66999999999996</v>
      </c>
      <c r="CQ83" s="167" cm="1">
        <f t="array" aca="1" ref="CQ83" ca="1">IFERROR(_xlfn.XLOOKUP(TabCalc[[#This Row],[WB2P]],INDIRECT("TabReg["&amp;TabCalc[[#This Row],[Ticker]]&amp;"2]"),INDIRECT("TabReg["&amp;TabCalc[[#This Row],[Ticker]]&amp;"]")),0)</f>
        <v>45826</v>
      </c>
      <c r="CR83" s="178" cm="1">
        <f t="array" aca="1" ref="CR83" ca="1">IFERROR(_xlfn.XLOOKUP(TabCalc[[#This Row],[WB2P]],INDIRECT("TabReg["&amp;TabCalc[[#This Row],[Ticker]]&amp;"2]"),INDIRECT("TabReg["&amp;TabCalc[[#This Row],[Ticker]]&amp;"1]")),0)</f>
        <v>200</v>
      </c>
      <c r="CS83" s="173">
        <f ca="1">_xlfn.MINIFS(INDIRECT("TabReg["&amp;TabCalc[[#This Row],[Ticker]]&amp;"2]"), INDIRECT("TabReg["&amp;TabCalc[[#This Row],[Ticker]]&amp;"2]"), "&gt;" &amp; MIN(INDIRECT("TabReg["&amp;TabCalc[[#This Row],[Ticker]]&amp;"2]")))</f>
        <v>-546.80999999999995</v>
      </c>
      <c r="CT83" s="405">
        <f ca="1">IF(TabCalc[[#This Row],[M]]&lt;TabCalc[[#This Row],[L_Sp]],DesiredBuyGain/(TabCalc[[#This Row],[L_Sp]]-TabCalc[[#This Row],[M]]),0)</f>
        <v>263.01946344029471</v>
      </c>
      <c r="CU83" s="406">
        <f ca="1">IF(TabCalc[[#This Row],[ntoBuy]]*TabCalc[[#This Row],[M]]&lt;=0,0,TabCalc[[#This Row],[ntoBuy]]*TabCalc[[#This Row],[M]])</f>
        <v>150886.37559179385</v>
      </c>
      <c r="CV83" s="406">
        <f ca="1">IF(TabCalc[[#This Row],[M]]&gt;ABS(TabCalc[[#This Row],[L_Bp]]),MIN(TabCalc[[#This Row],[NAfter]],DesiredSaleGain/(TabCalc[[#This Row],[M]]+TabCalc[[#This Row],[L_Bp]])),0)/TabCalc[[#This Row],[Scale]]</f>
        <v>200</v>
      </c>
      <c r="CW83" s="407">
        <f ca="1">TabCalc[[#This Row],[ntoSell]]*TabCalc[[#This Row],[M]]</f>
        <v>114733.99999999999</v>
      </c>
      <c r="CX83" s="400">
        <f ca="1">_xlfn.LET(_xlpm.nToSell,IF(TabCalc[[#This Row],[M]]-TabCalc[[#This Row],[A]]&lt;=0,"",INT(DesiredSaleGain/(TabCalc[[#This Row],[M]]-IF(TabCalc[[#This Row],[E]]&gt;0,0,TabCalc[[#This Row],[A]])))),IF(_xlpm.nToSell&lt;=TabCalc[[#This Row],[NAfter]],_xlpm.nToSell,0))</f>
        <v>0</v>
      </c>
      <c r="CY83" s="338">
        <f ca="1">IFERROR(TabCalc[[#This Row],[NMA]]*TabCalc[[#This Row],[M]],"")</f>
        <v>0</v>
      </c>
      <c r="CZ83" s="337" cm="1">
        <f t="array" aca="1" ref="CZ83" ca="1">_xlfn.IFS(TabCalc[[#This Row],[M]]&gt;= TabCalc[[#This Row],[L_Sp]],(TabCalc[[#This Row],[M]]-TabCalc[[#This Row],[A]])*TabCalc[[#This Row],[NAfter]]*TabCalc[[#This Row],[Scale]],           TabCalc[[#This Row],[M]]&lt; TabCalc[[#This Row],[L_Sp]],(TabCalc[[#This Row],[M]]-TabCalc[[#This Row],[A]])*TabCalc[[#This Row],[NAfter]]*TabCalc[[#This Row],[Scale]],               TRUE,"")</f>
        <v>3463.9999999999873</v>
      </c>
      <c r="DA83" s="90">
        <f ca="1">IFERROR((TabCalc[[#This Row],[M]]+TabCalc[[#This Row],[L_Bp]])/ABS(TabCalc[[#This Row],[L_Bp]])/(TODAY()-TabCalc[[#This Row],[L_Bdate]])*360,"")</f>
        <v>0.15466786831362933</v>
      </c>
      <c r="DB83" s="312">
        <f ca="1">MEDIAN(DataShift!F782:Z782)</f>
        <v>-4.9499999999999995E-3</v>
      </c>
      <c r="DC83" s="312" t="str" cm="1">
        <f t="array" aca="1" ref="DC8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83" s="88" t="s">
        <v>666</v>
      </c>
      <c r="DN83" s="82">
        <v>450</v>
      </c>
      <c r="DO83" s="317">
        <v>-262.89</v>
      </c>
    </row>
    <row r="84" spans="1:119">
      <c r="A84" s="120" t="str">
        <f ca="1">_xlfn.XLOOKUP(TabCalc[[#This Row],[Ticker]],[1]!RTData[Ticker symbol],[1]!RTData[Currency])</f>
        <v>USD</v>
      </c>
      <c r="B84" s="121">
        <f ca="1">IF(TabCalc[[#This Row],[Cur]]="GBP",0.01,1)</f>
        <v>1</v>
      </c>
      <c r="C84" s="82">
        <f ca="1">_xlfn.XLOOKUP(TabCalc[[#This Row],[Ticker]],DM$3:DM$96,DN$3:DN$96)</f>
        <v>2700</v>
      </c>
      <c r="D84" s="1254">
        <f ca="1">_xlfn.XLOOKUP(TabCalc[[#This Row],[Ticker]],DM$3:DM$96,DO$3:DO$96)</f>
        <v>-59.3</v>
      </c>
      <c r="E84" s="121">
        <f t="shared" ca="1" si="4"/>
        <v>-160110</v>
      </c>
      <c r="F84" s="82">
        <f ca="1">TabCalc[[#This Row],[NAfter]]*TabCalc[[#This Row],[M]]*TabCalc[[#This Row],[Scale]]</f>
        <v>55380</v>
      </c>
      <c r="G84" s="82">
        <f ca="1">IFERROR(TabCalc[[#This Row],[SB]]-TabCalc[[#This Row],[SST]],TabCalc[[#This Row],[SB]])</f>
        <v>6500</v>
      </c>
      <c r="H84" s="535" t="str">
        <f ca="1">[1]!RTData[[#This Row],[Ticker symbol]]</f>
        <v>NVAX</v>
      </c>
      <c r="I84" s="385">
        <f ca="1">[1]!RTData[[#This Row],[M-Price]]</f>
        <v>8.52</v>
      </c>
      <c r="J84" s="384">
        <v>8.3922153846153833</v>
      </c>
      <c r="K84" s="383">
        <f>[1]!RTData[[#This Row],[1YT]]</f>
        <v>12.5</v>
      </c>
      <c r="L84" s="384">
        <f ca="1">IF(OR(TabCalc[[#This Row],[NAfter]]=0,TabCalc[[#This Row],[EfCost]]&gt;0),0,TabCalc[[#This Row],[EfCost]]/TabCalc[[#This Row],[NAfter]]/TabCalc[[#This Row],[Scale]])</f>
        <v>-20.647523076923076</v>
      </c>
      <c r="M84" s="744">
        <f ca="1">[1]!RTData[[#This Row],[Change%]]</f>
        <v>1.9139E-2</v>
      </c>
      <c r="N84" s="1172">
        <v>0</v>
      </c>
      <c r="O84" s="966">
        <f>TabCalc[[#This Row],[Up20]]-1+TabCalc[[#This Row],[Up20]]</f>
        <v>-1</v>
      </c>
      <c r="P84" s="966">
        <f>TabCalc[[#This Row],[Up20]]-TabCalc[[#This Row],[Up150]]</f>
        <v>0</v>
      </c>
      <c r="Q84" s="966">
        <v>0</v>
      </c>
      <c r="R84" s="966">
        <f>TabCalc[[#This Row],[Up150]]-1+TabCalc[[#This Row],[Up150]]</f>
        <v>-1</v>
      </c>
      <c r="S84" s="966">
        <f ca="1">IFERROR(SUMPRODUCT(DataShift!F1576:Z1576,DataShift!AB783:AV783)/SQRT(SUMPRODUCT(DataShift!F1576:Z1576,DataShift!F1576:Z1576)*SUMPRODUCT(DataShift!AB783:AV783,DataShift!AB783:AV783)),0)</f>
        <v>-0.56812386578914675</v>
      </c>
      <c r="T84" s="966">
        <f ca="1">IFERROR(SUMPRODUCT(DataShift!F1576:Z1576,DataShift!F783:Z783)/SQRT(SUMPRODUCT(DataShift!F1576:Z1576,DataShift!F1576:Z1576)*SUMPRODUCT(DataShift!F783:Z783,DataShift!F783:Z783)),0)</f>
        <v>0.11040053704648381</v>
      </c>
      <c r="U84" s="1107">
        <v>2000</v>
      </c>
      <c r="V84" s="1107">
        <v>4500</v>
      </c>
      <c r="W84" s="1107">
        <v>0</v>
      </c>
      <c r="X84" s="966" t="str">
        <f ca="1">IF(TabCalc[[#This Row],[EfCost]]+TabCalc[[#This Row],[M_V]]&lt;TabCalc[[#This Row],[NoT_GL]],"Pile","")</f>
        <v/>
      </c>
      <c r="Y8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4" s="213">
        <f ca="1">MIN(TabCalc[[#This Row],[L_Bn]],TabCalc[[#This Row],[NAfter]])*(TabCalc[[#This Row],[M]]+TabCalc[[#This Row],[L_Bp]])*TabCalc[[#This Row],[Scale]]</f>
        <v>-5529.5999999999985</v>
      </c>
      <c r="AA84" s="210" cm="1">
        <f t="array" aca="1" ref="AA84" ca="1">_xlfn.XLOOKUP(TabCalc[[#This Row],[L_Bp]],INDIRECT("TabReg["&amp;TabCalc[[#This Row],[Ticker]]&amp;"2]"),INDIRECT("TabReg["&amp;TabCalc[[#This Row],[Ticker]]&amp;"]"))</f>
        <v>45663</v>
      </c>
      <c r="AB84" s="181" cm="1">
        <f t="array" aca="1" ref="AB84" ca="1">_xlfn.XLOOKUP(TabCalc[[#This Row],[L_Bp]],INDIRECT("TabReg["&amp;TabCalc[[#This Row],[Ticker]]&amp;"2]"),INDIRECT("TabReg["&amp;TabCalc[[#This Row],[Ticker]]&amp;"1]"))</f>
        <v>4500</v>
      </c>
      <c r="AC84" s="192" cm="1">
        <f t="array" aca="1" ref="AC84" ca="1">IFERROR(INDEX(INDIRECT("TabReg["&amp;TabCalc[[#This Row],[Ticker]]&amp;"2]"),    _xlfn.XMATCH(    MAX(    _xlfn._xlws.FILTER(INDIRECT("TabReg["&amp;TabCalc[[#This Row],[Ticker]]&amp;"]"), INDIRECT("TabReg["&amp;TabCalc[[#This Row],[Ticker]]&amp;"2]")&lt;0)     ), INDIRECT("TabReg["&amp;TabCalc[[#This Row],[Ticker]]&amp;"]"),      0)), "")</f>
        <v>-9.7487999999999992</v>
      </c>
      <c r="AD84" s="213">
        <f ca="1">IFERROR(MIN(TabCalc[[#This Row],[L_B1n]],TabCalc[[#This Row],[NAfter]])*(TabCalc[[#This Row],[M]]+TabCalc[[#This Row],[L_B1p]])*TabCalc[[#This Row],[Scale]],"")</f>
        <v>20670.649999999998</v>
      </c>
      <c r="AE84" s="210" cm="1">
        <f t="array" aca="1" ref="AE8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45362</v>
      </c>
      <c r="AF84" s="181" cm="1">
        <f t="array" aca="1" ref="AF84" ca="1">IFERROR(_xlfn.XLOOKUP(TabCalc[[#This Row],[L_B1D]],INDIRECT("TabReg["&amp;TabCalc[[#This Row],[Ticker]]&amp;"]"),INDIRECT("TabReg["&amp;TabCalc[[#This Row],[Ticker]]&amp;"1]")),0)</f>
        <v>7000</v>
      </c>
      <c r="AG84" s="192" cm="1">
        <f t="array" aca="1" ref="AG84" ca="1">IFERROR(_xlfn.XLOOKUP(TabCalc[[#This Row],[L_B1D]],INDIRECT("TabReg["&amp;TabCalc[[#This Row],[Ticker]]&amp;"]"),INDIRECT("TabReg["&amp;TabCalc[[#This Row],[Ticker]]&amp;"2]")),0)</f>
        <v>-5.3399000000000001</v>
      </c>
      <c r="AH84" s="302">
        <f ca="1">IFERROR(TabCalc[[#This Row],[L_Sn]]*(TabCalc[[#This Row],[L_Sp]]-TabCalc[[#This Row],[M]])*TabCalc[[#This Row],[Scale]],"")</f>
        <v>24185</v>
      </c>
      <c r="AI84" s="210" cm="1">
        <f t="array" aca="1" ref="AI84" ca="1">IFERROR(_xlfn.XLOOKUP(TabCalc[[#This Row],[L_Sp]],INDIRECT("TabReg["&amp;TabCalc[[#This Row],[Ticker]]&amp;"2]"),INDIRECT("TabReg["&amp;TabCalc[[#This Row],[Ticker]]&amp;"]")),0)</f>
        <v>45461</v>
      </c>
      <c r="AJ84" s="181" cm="1">
        <f t="array" aca="1" ref="AJ84" ca="1">IFERROR(_xlfn.XLOOKUP(TabCalc[[#This Row],[L_Sp]],INDIRECT("TabReg["&amp;TabCalc[[#This Row],[Ticker]]&amp;"2]"),INDIRECT("TabReg["&amp;TabCalc[[#This Row],[Ticker]]&amp;"1]")),0)</f>
        <v>5000</v>
      </c>
      <c r="AK84" s="192" cm="1">
        <f t="array" aca="1" ref="AK84" ca="1">IFERROR(INDEX(INDIRECT("TabReg["&amp;TabCalc[[#This Row],[Ticker]]&amp;"2]"), _xlfn.XMATCH(MAX(_xlfn._xlws.FILTER(INDIRECT("TabReg["&amp;TabCalc[[#This Row],[Ticker]]&amp;"]"), INDIRECT("TabReg["&amp;TabCalc[[#This Row],[Ticker]]&amp;"2]")&gt;0)), INDIRECT("TabReg["&amp;TabCalc[[#This Row],[Ticker]]&amp;"]"), 0)), 0)</f>
        <v>13.356999999999999</v>
      </c>
      <c r="AL84" s="214">
        <f ca="1">IFERROR(TabCalc[[#This Row],[L_S1n]]*(TabCalc[[#This Row],[L_S1p]]-TabCalc[[#This Row],[M]])*TabCalc[[#This Row],[Scale]],0)</f>
        <v>17361</v>
      </c>
      <c r="AM84" s="210" cm="1">
        <f t="array" aca="1" ref="AM8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45443</v>
      </c>
      <c r="AN84" s="181" cm="1">
        <f t="array" aca="1" ref="AN84" ca="1">IFERROR(_xlfn.XLOOKUP(TabCalc[[#This Row],[L_S1D]],INDIRECT("TabReg["&amp;TabCalc[[#This Row],[Ticker]]&amp;"]"),INDIRECT("TabReg["&amp;TabCalc[[#This Row],[Ticker]]&amp;"1]")),0)</f>
        <v>2700</v>
      </c>
      <c r="AO84" s="384" cm="1">
        <f t="array" aca="1" ref="AO84" ca="1">IFERROR(_xlfn.XLOOKUP(TabCalc[[#This Row],[L_S1D]],INDIRECT("TabReg["&amp;TabCalc[[#This Row],[Ticker]]&amp;"]"),INDIRECT("TabReg["&amp;TabCalc[[#This Row],[Ticker]]&amp;"2]")),0)</f>
        <v>14.95</v>
      </c>
      <c r="AP84" s="336">
        <f ca="1">_xlfn.LET(_xlpm.MVOpen,[1]!RTData[[#This Row],[Open]]*TabCalc[[#This Row],[NAfter]],_xlpm.MVNow,TabCalc[[#This Row],[M]]*TabCalc[[#This Row],[NAfter]],_xlpm.MVNow-_xlpm.MVOpen)*TabCalc[[#This Row],[Scale]]</f>
        <v>-455</v>
      </c>
      <c r="AQ84" s="336">
        <f ca="1">_xlfn.LET(_xlpm.MVToday,DataShift!AV584,         _xlpm.MVY,DataShift!AU584,        _xlpm.MVYY, DataShift!AT584,                                IF(_xlpm.MVToday=_xlpm.MVY,_xlpm.MVY-_xlpm.MVYY,_xlpm.MVToday-_xlpm.MVY))</f>
        <v>12</v>
      </c>
      <c r="AR84" s="336">
        <f ca="1">_xlfn.LET(_xlpm.MVToday,DataShift!AV584,         _xlpm.MVY,DataShift!AU584,        _xlpm.MVYY, DataShift!AT584,         _xlpm.MVYYY, DataShift!AS584,                      IF(_xlpm.MVToday=_xlpm.MVY,      _xlpm.MVYY-_xlpm.MVYYY,          _xlpm.MVY-_xlpm.MVYY))</f>
        <v>648</v>
      </c>
      <c r="AS84" s="1078">
        <f ca="1">TabCalc[[#This Row],[Y]]/TabCalc[[#This Row],[M]]</f>
        <v>1.4671361502347418</v>
      </c>
      <c r="AT84" s="299" t="str" cm="1">
        <f t="array" aca="1" ref="AT84" ca="1">IFERROR(_xlfn.IFS(          TabCalc[[#This Row],[E]]&gt;0, "Free Trade",      TabCalc[[#This Row],[A]]&lt;MIN(TabCalc[[#This Row],[L_Sp]],TabCalc[[#This Row],[M]]), "Buy",            TabCalc[[#This Row],[M]]&lt;TabCalc[[#This Row],[L_Sp]],       "Refill",       TabCalc[[#This Row],[M]]&gt;TabCalc[[#This Row],[L_Sp]],"S_more"),"")</f>
        <v>Buy</v>
      </c>
      <c r="AU84" s="299" t="str">
        <f ca="1">IF(           AND(TabCalc[[#This Row],[E]]&lt;=0,          TabCalc[[#This Row],[A]]&gt;MIN(TabCalc[[#This Row],[M]],TabCalc[[#This Row],[L_Sp]]),             TabCalc[[#This Row],[L_Sp]]&lt;=TabCalc[[#This Row],[M]]),                       "S_more","")</f>
        <v/>
      </c>
      <c r="AV84" s="82" t="str" cm="1">
        <f t="array" aca="1" ref="AV84" ca="1">IFERROR(_xlfn.IFS(TabCalc[[#This Row],[E]]&gt;0,"Free trade",                 TabCalc[[#This Row],[A]]&lt;MAX(ABS(TabCalc[[#This Row],[L_Bp]]),TabCalc[[#This Row],[A]]),"Sell",             TabCalc[[#This Row],[M]]&gt;ABS(TabCalc[[#This Row],[L_Bp]]),"Resell",             TabCalc[[#This Row],[M]]&lt;ABS(TabCalc[[#This Row],[L_Bp]]),"B_more"),"")</f>
        <v>Sell</v>
      </c>
      <c r="AW84" s="82">
        <f ca="1">TabCalc[[#This Row],[NAfter]]-TabCalc[[#This Row],[Nbegin]]</f>
        <v>3800</v>
      </c>
      <c r="AX84" s="307">
        <f ca="1">IFERROR((TabCalc[[#This Row],[M]]-TabCalc[[#This Row],[Y]])*(TabCalc[[#This Row],[M]]-TabCalc[[#This Row],[Y]])*(TabCalc[[#This Row],[M]]-TabCalc[[#This Row],[Y]])/(TabCalc[[#This Row],[Y]]*TabCalc[[#This Row],[M]]),"")</f>
        <v>-0.59196987793427247</v>
      </c>
      <c r="AY84" s="82">
        <f t="shared" ca="1" si="5"/>
        <v>0</v>
      </c>
      <c r="AZ84" s="90">
        <f ca="1">[1]!RTData[[#This Row],[V/VA]]</f>
        <v>0.60110333158128726</v>
      </c>
      <c r="BA84" s="90" t="str" cm="1">
        <f t="array" aca="1" ref="BA84" ca="1">IFERROR(_xlfn.IFS(TabCalc[[#This Row],[Cur]]="USD",Timer!F$27,TabCalc[[#This Row],[Cur]]="EUR",Timer!F$18,TabCalc[[#This Row],[Cur]]="GBP",Timer!F$12,TabCalc[[#This Row],[Cur]]="CAD",Timer!F$27,TabCalc[[#This Row],[Cur]]="JPY",Timer!F$31,TabCalc[[#This Row],[Cur]]="CHF",Timer!F$18),"Timing")</f>
        <v>None-Working Day</v>
      </c>
      <c r="BB84" s="90">
        <f ca="1">IF(ISNUMBER(TabCalc[[#This Row],[TimeEX]]),TabCalc[[#This Row],[V/VA]]/TabCalc[[#This Row],[TimeEX]],TabCalc[[#This Row],[V/VA]])</f>
        <v>0.60110333158128726</v>
      </c>
      <c r="BC84" s="87" cm="1">
        <f t="array" aca="1" ref="BC84" ca="1">INDEX(TabReg[], 1, _xlfn.XMATCH(TabCalc[[#This Row],[Ticker]]&amp;1, TabReg[#Headers], 0))</f>
        <v>2700</v>
      </c>
      <c r="BD84" s="161">
        <f ca="1">TabCalc[[#This Row],[Nbegin]]*TabCalc[[#This Row],[M]]*TabCalc[[#This Row],[Scale]]+TabCalc[[#This Row],[ValueBegin]]</f>
        <v>-137106</v>
      </c>
      <c r="BE84" s="336" t="str" cm="1">
        <f t="array" aca="1" ref="BE84" ca="1">_xlfn.IFS(TabCalc[[#This Row],[Cost+Gain]]&gt;0,"Free",             TabCalc[[#This Row],[GL]]&gt;0,"Gainer",                TRUE,"Looser")</f>
        <v>Looser</v>
      </c>
      <c r="BF84" s="161">
        <f ca="1">TabCalc[[#This Row],[Tot_Paid]]-TabCalc[[#This Row],[ValueBegin]]</f>
        <v>-81876.433139999979</v>
      </c>
      <c r="BG84" s="337">
        <f ca="1">IF(TabCalc[[#This Row],[EfCost]]&gt;TabCalc[[#This Row],[ValueBegin]],       0,        TabCalc[[#This Row],[EfCost]]-TabCalc[[#This Row],[ValueBegin]]*(1+Commission))</f>
        <v>0</v>
      </c>
      <c r="BH84" s="338">
        <f ca="1">TabCalc[[#This Row],[M_V]]+TabCalc[[#This Row],[ValueBegin]]</f>
        <v>-104730</v>
      </c>
      <c r="BI84" s="161" cm="1">
        <f t="array" aca="1" ref="BI84" ca="1">SUMPRODUCT(_xlfn._xlws.FILTER(INDIRECT("TabReg["&amp;TabCalc[[#This Row],[Ticker]]&amp;"1]") * INDIRECT("TabReg["&amp;TabCalc[[#This Row],[Ticker]]&amp;"2]"), INDIRECT("TabReg["&amp;TabCalc[[#This Row],[Ticker]]&amp;"2]")&lt;0))*(1+Commission)*TabCalc[[#This Row],[Scale]]</f>
        <v>-241986.43313999998</v>
      </c>
      <c r="BJ84" s="161" cm="1">
        <f t="array" aca="1" ref="BJ84" ca="1">SUMPRODUCT(IF(INDIRECT("TabReg["&amp;TabCalc[[#This Row],[Ticker]]&amp;"2]") ="", 0, INDIRECT("TabReg["&amp;TabCalc[[#This Row],[Ticker]]&amp;"1]") * INDIRECT("TabReg["&amp;TabCalc[[#This Row],[Ticker]]&amp;"2]") ))*TabCalc[[#This Row],[Scale]]</f>
        <v>-134208.9</v>
      </c>
      <c r="BK84" s="161" cm="1">
        <f t="array" aca="1" ref="BK8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106871.40999999999</v>
      </c>
      <c r="BL84" s="161">
        <f ca="1">TabCalc[[#This Row],[M_V]]+TabCalc[[#This Row],[EfCost]]</f>
        <v>-78828.899999999994</v>
      </c>
      <c r="BM84" s="161">
        <f ca="1">IF(        OR( TabCalc[[#This Row],[GL]]&gt;ABS(TabCalc[[#This Row],[EfCost]]),TabCalc[[#This Row],[NAfter]]=0),             TabCalc[[#This Row],[GL]],     0)</f>
        <v>0</v>
      </c>
      <c r="BN84" s="161" cm="1">
        <f t="array" aca="1" ref="BN84" ca="1">SUMPRODUCT(_xlfn._xlws.FILTER(IF(INDIRECT("TabReg["&amp;TabCalc[[#This Row],[Ticker]]&amp;"2]") ="", 0, INDIRECT("TabReg["&amp;TabCalc[[#This Row],[Ticker]]&amp;"1]")  ),  INDIRECT("TabReg["&amp;TabCalc[[#This Row],[Ticker]]&amp;"2]") &lt; 0))</f>
        <v>14200</v>
      </c>
      <c r="BO84" s="161">
        <f ca="1">TabCalc[[#This Row],[SB]]-TabCalc[[#This Row],[Nbegin]]</f>
        <v>11500</v>
      </c>
      <c r="BP84" s="161" cm="1">
        <f t="array" aca="1" ref="BP84" ca="1">IFERROR(SUMPRODUCT(_xlfn._xlws.FILTER(IF(INDIRECT("TabReg["&amp;TabCalc[[#This Row],[Ticker]]&amp;"2]") ="", 0, INDIRECT("TabReg["&amp;TabCalc[[#This Row],[Ticker]]&amp;"1]")  ),  INDIRECT("TabReg["&amp;TabCalc[[#This Row],[Ticker]]&amp;"2]") &gt; 0)),0)</f>
        <v>7700</v>
      </c>
      <c r="BQ8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28.93</v>
      </c>
      <c r="BR84" s="176" t="str">
        <f ca="1">IF(TabCalc[[#This Row],[EfCost]]+TabCalc[[#This Row],[M_V]]&lt;TabCalc[[#This Row],[NoT_GL]],"Pile","")</f>
        <v/>
      </c>
      <c r="BS84" s="167">
        <f ca="1">[1]!RTData[[#This Row],[Last trade time]]</f>
        <v>45954.999671608595</v>
      </c>
      <c r="BT84" s="177">
        <f ca="1">(TabCalc[[#This Row],[ValueBegin]]+(TabCalc[[#This Row],[M]]-TabCalc[[#This Row],[A]])*TabCalc[[#This Row],[NAfter]])*TabCalc[[#This Row],[Scale]]</f>
        <v>-159279.4</v>
      </c>
      <c r="BU84" s="189" cm="1">
        <f t="array" aca="1" ref="BU84" ca="1">_xlfn.XLOOKUP(TabCalc[[#This Row],[Ticker]],TabReg[[#Headers],[AAPL]:[UnknownX28]],Reg!B$72:KF$72)+3</f>
        <v>8</v>
      </c>
      <c r="BV84" s="190" cm="1">
        <f t="array" aca="1" ref="BV84" ca="1">_xlfn.XLOOKUP(TabCalc[[#This Row],[Ticker]],TabReg[[#Headers],[AAPL]:[UnknownX28]],Reg!B$73:KF$73)+2</f>
        <v>249</v>
      </c>
      <c r="BW84" s="191">
        <f ca="1">IFERROR(MAX(TabCalc[[#This Row],[Max_SD]],TabCalc[[#This Row],[Max_PD]]),0)</f>
        <v>45663</v>
      </c>
      <c r="BX84" s="191" t="str" cm="1">
        <f t="array" aca="1" ref="BX84" ca="1">_xlfn.IFS(TabCalc[[#This Row],[L_TP]]&lt;0,"Purchase",TabCalc[[#This Row],[L_TP]]&gt;0,"Sale")</f>
        <v>Purchase</v>
      </c>
      <c r="BY84" s="190" cm="1">
        <f t="array" aca="1" ref="BY84" ca="1">INDEX(Reg!$A$1:$KF$73,TabCalc[[#This Row],[L_I1]],TabCalc[[#This Row],[L_I2]])</f>
        <v>4500</v>
      </c>
      <c r="BZ84" s="192" cm="1">
        <f t="array" aca="1" ref="BZ84" ca="1">INDEX(Reg!$A$1:$KF$73,TabCalc[[#This Row],[L_I1]],TabCalc[[#This Row],[L_I2]]+1)</f>
        <v>-9.7487999999999992</v>
      </c>
      <c r="CA84" s="161">
        <f ca="1">TabCalc[[#This Row],[NAfter]]*(TabCalc[[#This Row],[M]]-IF(TabCalc[[#This Row],[E]]&gt;0,0,TabCalc[[#This Row],[A]]))</f>
        <v>830.60000000000582</v>
      </c>
      <c r="CB84" s="167" cm="1">
        <f t="array" aca="1" ref="CB84" ca="1">IFERROR(MIN(_xlfn._xlws.FILTER(INDIRECT("TabReg["&amp;TabCalc[[#This Row],[Ticker]]&amp;"]"), INDIRECT("TabReg["&amp;TabCalc[[#This Row],[Ticker]]&amp;"2]")&gt;0)),0)</f>
        <v>45443</v>
      </c>
      <c r="CC84" s="178" cm="1">
        <f t="array" aca="1" ref="CC84" ca="1">IFERROR(MIN(_xlfn._xlws.FILTER(INDIRECT("TabReg["&amp;TabCalc[[#This Row],[Ticker]]&amp;"1]"), INDIRECT("TabReg["&amp;TabCalc[[#This Row],[Ticker]]&amp;"2]")&gt;0)),0)</f>
        <v>2700</v>
      </c>
      <c r="CD84" s="173" cm="1">
        <f t="array" aca="1" ref="CD84" ca="1">IFERROR(MIN(_xlfn._xlws.FILTER(INDIRECT("TabReg["&amp;TabCalc[[#This Row],[Ticker]]&amp;"2]"), INDIRECT("TabReg["&amp;TabCalc[[#This Row],[Ticker]]&amp;"2]")&gt;0)),0)</f>
        <v>13.356999999999999</v>
      </c>
      <c r="CE84" s="167" cm="1">
        <f t="array" aca="1" ref="CE84" ca="1">IFERROR(MAX(_xlfn._xlws.FILTER(INDIRECT("TabReg["&amp;TabCalc[[#This Row],[Ticker]]&amp;"]"), INDIRECT("TabReg["&amp;TabCalc[[#This Row],[Ticker]]&amp;"2]")&gt;0)),0)</f>
        <v>45461</v>
      </c>
      <c r="CF84" s="178" cm="1">
        <f t="array" aca="1" ref="CF84" ca="1">IFERROR(MAX(_xlfn._xlws.FILTER(INDIRECT("TabReg["&amp;TabCalc[[#This Row],[Ticker]]&amp;"1]"), INDIRECT("TabReg["&amp;TabCalc[[#This Row],[Ticker]]&amp;"2]")&gt;0)),0)</f>
        <v>5000</v>
      </c>
      <c r="CG84" s="173" cm="1">
        <f t="array" aca="1" ref="CG84" ca="1">IFERROR(MAX(_xlfn._xlws.FILTER(INDIRECT("TabReg["&amp;TabCalc[[#This Row],[Ticker]]&amp;"2]"), INDIRECT("TabReg["&amp;TabCalc[[#This Row],[Ticker]]&amp;"2]")&gt;0)),0)</f>
        <v>14.95</v>
      </c>
      <c r="CH84" s="167" cm="1">
        <f t="array" aca="1" ref="CH84" ca="1">MIN(_xlfn._xlws.FILTER(INDIRECT("TabReg["&amp;TabCalc[[#This Row],[Ticker]]&amp;"]"), INDIRECT("TabReg["&amp;TabCalc[[#This Row],[Ticker]]&amp;"2]")&lt;0))</f>
        <v>40544</v>
      </c>
      <c r="CI84" s="177" cm="1">
        <f t="array" aca="1" ref="CI84" ca="1">MIN(_xlfn._xlws.FILTER(INDIRECT("TabReg["&amp;TabCalc[[#This Row],[Ticker]]&amp;"1]"), INDIRECT("TabReg["&amp;TabCalc[[#This Row],[Ticker]]&amp;"2]")&lt;0))</f>
        <v>2700</v>
      </c>
      <c r="CJ84" s="173" cm="1">
        <f t="array" aca="1" ref="CJ84" ca="1">MIN(_xlfn._xlws.FILTER(INDIRECT("TabReg["&amp;TabCalc[[#This Row],[Ticker]]&amp;"2]"), INDIRECT("TabReg["&amp;TabCalc[[#This Row],[Ticker]]&amp;"2]")&lt;0))</f>
        <v>-59.3</v>
      </c>
      <c r="CK84" s="167" cm="1">
        <f t="array" aca="1" ref="CK84" ca="1">MAX(_xlfn._xlws.FILTER(INDIRECT("TabReg["&amp;TabCalc[[#This Row],[Ticker]]&amp;"]"), INDIRECT("TabReg["&amp;TabCalc[[#This Row],[Ticker]]&amp;"2]")&lt;0))</f>
        <v>45663</v>
      </c>
      <c r="CL84" s="177" cm="1">
        <f t="array" aca="1" ref="CL84" ca="1">MAX(_xlfn._xlws.FILTER(INDIRECT("TabReg["&amp;TabCalc[[#This Row],[Ticker]]&amp;"1]"), INDIRECT("TabReg["&amp;TabCalc[[#This Row],[Ticker]]&amp;"2]")&lt;0))</f>
        <v>7000</v>
      </c>
      <c r="CM84" s="173" cm="1">
        <f t="array" aca="1" ref="CM84" ca="1">MAX(_xlfn._xlws.FILTER(INDIRECT("TabReg["&amp;TabCalc[[#This Row],[Ticker]]&amp;"2]"), INDIRECT("TabReg["&amp;TabCalc[[#This Row],[Ticker]]&amp;"2]")&lt;0))</f>
        <v>-5.3399000000000001</v>
      </c>
      <c r="CN84" s="167" cm="1">
        <f t="array" aca="1" ref="CN84" ca="1">IFERROR(_xlfn.XLOOKUP(TabCalc[[#This Row],[BS2P]],INDIRECT("TabReg["&amp;TabCalc[[#This Row],[Ticker]]&amp;"2]"),INDIRECT("TabReg["&amp;TabCalc[[#This Row],[Ticker]]&amp;"]")),0)</f>
        <v>45461</v>
      </c>
      <c r="CO84" s="178" cm="1">
        <f t="array" aca="1" ref="CO84" ca="1">IFERROR(_xlfn.XLOOKUP(TabCalc[[#This Row],[BS2P]],INDIRECT("TabReg["&amp;TabCalc[[#This Row],[Ticker]]&amp;"2]"),INDIRECT("TabReg["&amp;TabCalc[[#This Row],[Ticker]]&amp;"1]")),0)</f>
        <v>5000</v>
      </c>
      <c r="CP84" s="173">
        <f ca="1">_xlfn.MAXIFS(INDIRECT("TabReg["&amp;TabCalc[[#This Row],[Ticker]]&amp;"2]"), INDIRECT("TabReg["&amp;TabCalc[[#This Row],[Ticker]]&amp;"2]"), "&lt;" &amp; MAX(INDIRECT("TabReg["&amp;TabCalc[[#This Row],[Ticker]]&amp;"2]")))</f>
        <v>13.356999999999999</v>
      </c>
      <c r="CQ84" s="167" cm="1">
        <f t="array" aca="1" ref="CQ84" ca="1">IFERROR(_xlfn.XLOOKUP(TabCalc[[#This Row],[WB2P]],INDIRECT("TabReg["&amp;TabCalc[[#This Row],[Ticker]]&amp;"2]"),INDIRECT("TabReg["&amp;TabCalc[[#This Row],[Ticker]]&amp;"]")),0)</f>
        <v>45663</v>
      </c>
      <c r="CR84" s="178" cm="1">
        <f t="array" aca="1" ref="CR84" ca="1">IFERROR(_xlfn.XLOOKUP(TabCalc[[#This Row],[WB2P]],INDIRECT("TabReg["&amp;TabCalc[[#This Row],[Ticker]]&amp;"2]"),INDIRECT("TabReg["&amp;TabCalc[[#This Row],[Ticker]]&amp;"1]")),0)</f>
        <v>4500</v>
      </c>
      <c r="CS84" s="173">
        <f ca="1">_xlfn.MINIFS(INDIRECT("TabReg["&amp;TabCalc[[#This Row],[Ticker]]&amp;"2]"), INDIRECT("TabReg["&amp;TabCalc[[#This Row],[Ticker]]&amp;"2]"), "&gt;" &amp; MIN(INDIRECT("TabReg["&amp;TabCalc[[#This Row],[Ticker]]&amp;"2]")))</f>
        <v>-9.7487999999999992</v>
      </c>
      <c r="CT84" s="405">
        <f ca="1">IF(TabCalc[[#This Row],[M]]&lt;TabCalc[[#This Row],[L_Sp]],DesiredBuyGain/(TabCalc[[#This Row],[L_Sp]]-TabCalc[[#This Row],[M]]),0)</f>
        <v>1033.6985734959687</v>
      </c>
      <c r="CU84" s="406">
        <f ca="1">IF(TabCalc[[#This Row],[ntoBuy]]*TabCalc[[#This Row],[M]]&lt;=0,0,TabCalc[[#This Row],[ntoBuy]]*TabCalc[[#This Row],[M]])</f>
        <v>8807.1118461856531</v>
      </c>
      <c r="CV84" s="406">
        <f ca="1">IF(TabCalc[[#This Row],[M]]&gt;ABS(TabCalc[[#This Row],[L_Bp]]),MIN(TabCalc[[#This Row],[NAfter]],DesiredSaleGain/(TabCalc[[#This Row],[M]]+TabCalc[[#This Row],[L_Bp]])),0)/TabCalc[[#This Row],[Scale]]</f>
        <v>0</v>
      </c>
      <c r="CW84" s="407">
        <f ca="1">TabCalc[[#This Row],[ntoSell]]*TabCalc[[#This Row],[M]]</f>
        <v>0</v>
      </c>
      <c r="CX84" s="400">
        <f ca="1">_xlfn.LET(_xlpm.nToSell,IF(TabCalc[[#This Row],[M]]-TabCalc[[#This Row],[A]]&lt;=0,"",INT(DesiredSaleGain/(TabCalc[[#This Row],[M]]-IF(TabCalc[[#This Row],[E]]&gt;0,0,TabCalc[[#This Row],[A]])))),IF(_xlpm.nToSell&lt;=TabCalc[[#This Row],[NAfter]],_xlpm.nToSell,0))</f>
        <v>0</v>
      </c>
      <c r="CY84" s="338">
        <f ca="1">IFERROR(TabCalc[[#This Row],[NMA]]*TabCalc[[#This Row],[M]],"")</f>
        <v>0</v>
      </c>
      <c r="CZ84" s="337" cm="1">
        <f t="array" aca="1" ref="CZ84" ca="1">_xlfn.IFS(TabCalc[[#This Row],[M]]&gt;= TabCalc[[#This Row],[L_Sp]],(TabCalc[[#This Row],[M]]-TabCalc[[#This Row],[A]])*TabCalc[[#This Row],[NAfter]]*TabCalc[[#This Row],[Scale]],           TabCalc[[#This Row],[M]]&lt; TabCalc[[#This Row],[L_Sp]],(TabCalc[[#This Row],[M]]-TabCalc[[#This Row],[A]])*TabCalc[[#This Row],[NAfter]]*TabCalc[[#This Row],[Scale]],               TRUE,"")</f>
        <v>830.60000000000582</v>
      </c>
      <c r="DA84" s="90">
        <f ca="1">IFERROR((TabCalc[[#This Row],[M]]+TabCalc[[#This Row],[L_Bp]])/ABS(TabCalc[[#This Row],[L_Bp]])/(TODAY()-TabCalc[[#This Row],[L_Bdate]])*360,"")</f>
        <v>-0.15486915270642915</v>
      </c>
      <c r="DB84" s="312">
        <f ca="1">MEDIAN(DataShift!F783:Z783)</f>
        <v>3.9960000000000004E-3</v>
      </c>
      <c r="DC84" s="312" t="e" cm="1">
        <f t="array" aca="1" ref="DC8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4" s="88" t="s">
        <v>79</v>
      </c>
      <c r="DN84" s="81">
        <v>12000</v>
      </c>
      <c r="DO84" s="317">
        <v>-13.49</v>
      </c>
    </row>
    <row r="85" spans="1:119">
      <c r="A85" s="120" t="str">
        <f ca="1">_xlfn.XLOOKUP(TabCalc[[#This Row],[Ticker]],[1]!RTData[Ticker symbol],[1]!RTData[Currency])</f>
        <v>USD</v>
      </c>
      <c r="B85" s="121">
        <f ca="1">IF(TabCalc[[#This Row],[Cur]]="GBP",0.01,1)</f>
        <v>1</v>
      </c>
      <c r="C85" s="82">
        <f ca="1">_xlfn.XLOOKUP(TabCalc[[#This Row],[Ticker]],DM$3:DM$96,DN$3:DN$96)</f>
        <v>200</v>
      </c>
      <c r="D85" s="1254">
        <f ca="1">_xlfn.XLOOKUP(TabCalc[[#This Row],[Ticker]],DM$3:DM$96,DO$3:DO$96)</f>
        <v>-85.85</v>
      </c>
      <c r="E85" s="121">
        <f t="shared" ca="1" si="4"/>
        <v>-17170</v>
      </c>
      <c r="F85" s="82">
        <f ca="1">TabCalc[[#This Row],[NAfter]]*TabCalc[[#This Row],[M]]*TabCalc[[#This Row],[Scale]]</f>
        <v>0</v>
      </c>
      <c r="G85" s="82">
        <f ca="1">IFERROR(TabCalc[[#This Row],[SB]]-TabCalc[[#This Row],[SST]],TabCalc[[#This Row],[SB]])</f>
        <v>0</v>
      </c>
      <c r="H85" s="535" t="str">
        <f ca="1">[1]!RTData[[#This Row],[Ticker symbol]]</f>
        <v>NVS</v>
      </c>
      <c r="I85" s="385">
        <f ca="1">[1]!RTData[[#This Row],[M-Price]]</f>
        <v>130.36000000000001</v>
      </c>
      <c r="J85" s="384">
        <v>546.80999999999995</v>
      </c>
      <c r="K85" s="383">
        <f>[1]!RTData[[#This Row],[1YT]]</f>
        <v>122.054</v>
      </c>
      <c r="L85" s="384">
        <f ca="1">IF(OR(TabCalc[[#This Row],[NAfter]]=0,TabCalc[[#This Row],[EfCost]]&gt;0),0,TabCalc[[#This Row],[EfCost]]/TabCalc[[#This Row],[NAfter]]/TabCalc[[#This Row],[Scale]])</f>
        <v>0</v>
      </c>
      <c r="M85" s="744">
        <f ca="1">[1]!RTData[[#This Row],[Change%]]</f>
        <v>-9.7230000000000007E-3</v>
      </c>
      <c r="N85" s="1172">
        <v>0</v>
      </c>
      <c r="O85" s="966">
        <f>TabCalc[[#This Row],[Up20]]-1+TabCalc[[#This Row],[Up20]]</f>
        <v>-1</v>
      </c>
      <c r="P85" s="966">
        <f>TabCalc[[#This Row],[Up20]]-TabCalc[[#This Row],[Up150]]</f>
        <v>0</v>
      </c>
      <c r="Q85" s="966">
        <v>0</v>
      </c>
      <c r="R85" s="966">
        <f>TabCalc[[#This Row],[Up150]]-1+TabCalc[[#This Row],[Up150]]</f>
        <v>-1</v>
      </c>
      <c r="S85" s="966">
        <f ca="1">IFERROR(SUMPRODUCT(DataShift!F1577:Z1577,DataShift!AB784:AV784)/SQRT(SUMPRODUCT(DataShift!F1577:Z1577,DataShift!F1577:Z1577)*SUMPRODUCT(DataShift!AB784:AV784,DataShift!AB784:AV784)),0)</f>
        <v>-0.83704059129850938</v>
      </c>
      <c r="T85" s="966">
        <f ca="1">IFERROR(SUMPRODUCT(DataShift!F1577:Z1577,DataShift!F784:Z784)/SQRT(SUMPRODUCT(DataShift!F1577:Z1577,DataShift!F1577:Z1577)*SUMPRODUCT(DataShift!F784:Z784,DataShift!F784:Z784)),0)</f>
        <v>-3.8772982968144021E-2</v>
      </c>
      <c r="U85" s="1107">
        <v>200</v>
      </c>
      <c r="V85" s="1107">
        <v>0</v>
      </c>
      <c r="W85" s="1107">
        <v>0</v>
      </c>
      <c r="X85" s="966" t="str">
        <f ca="1">IF(TabCalc[[#This Row],[EfCost]]+TabCalc[[#This Row],[M_V]]&lt;TabCalc[[#This Row],[NoT_GL]],"Pile","")</f>
        <v/>
      </c>
      <c r="Y8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85" s="213">
        <f ca="1">MIN(TabCalc[[#This Row],[L_Bn]],TabCalc[[#This Row],[NAfter]])*(TabCalc[[#This Row],[M]]+TabCalc[[#This Row],[L_Bp]])*TabCalc[[#This Row],[Scale]]</f>
        <v>0</v>
      </c>
      <c r="AA85" s="210" cm="1">
        <f t="array" aca="1" ref="AA85" ca="1">_xlfn.XLOOKUP(TabCalc[[#This Row],[L_Bp]],INDIRECT("TabReg["&amp;TabCalc[[#This Row],[Ticker]]&amp;"2]"),INDIRECT("TabReg["&amp;TabCalc[[#This Row],[Ticker]]&amp;"]"))</f>
        <v>45663</v>
      </c>
      <c r="AB85" s="181" cm="1">
        <f t="array" aca="1" ref="AB85" ca="1">_xlfn.XLOOKUP(TabCalc[[#This Row],[L_Bp]],INDIRECT("TabReg["&amp;TabCalc[[#This Row],[Ticker]]&amp;"2]"),INDIRECT("TabReg["&amp;TabCalc[[#This Row],[Ticker]]&amp;"1]"))</f>
        <v>1000</v>
      </c>
      <c r="AC85" s="192" cm="1">
        <f t="array" aca="1" ref="AC85" ca="1">IFERROR(INDEX(INDIRECT("TabReg["&amp;TabCalc[[#This Row],[Ticker]]&amp;"2]"),    _xlfn.XMATCH(    MAX(    _xlfn._xlws.FILTER(INDIRECT("TabReg["&amp;TabCalc[[#This Row],[Ticker]]&amp;"]"), INDIRECT("TabReg["&amp;TabCalc[[#This Row],[Ticker]]&amp;"2]")&lt;0)     ), INDIRECT("TabReg["&amp;TabCalc[[#This Row],[Ticker]]&amp;"]"),      0)), "")</f>
        <v>-98.036000000000001</v>
      </c>
      <c r="AD85" s="213">
        <f ca="1">IFERROR(MIN(TabCalc[[#This Row],[L_B1n]],TabCalc[[#This Row],[NAfter]])*(TabCalc[[#This Row],[M]]+TabCalc[[#This Row],[L_B1p]])*TabCalc[[#This Row],[Scale]],"")</f>
        <v>0</v>
      </c>
      <c r="AE85" s="210" cm="1">
        <f t="array" aca="1" ref="AE8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5" s="181" cm="1">
        <f t="array" aca="1" ref="AF85" ca="1">IFERROR(_xlfn.XLOOKUP(TabCalc[[#This Row],[L_B1D]],INDIRECT("TabReg["&amp;TabCalc[[#This Row],[Ticker]]&amp;"]"),INDIRECT("TabReg["&amp;TabCalc[[#This Row],[Ticker]]&amp;"1]")),0)</f>
        <v>400</v>
      </c>
      <c r="AG85" s="192" cm="1">
        <f t="array" aca="1" ref="AG85" ca="1">IFERROR(_xlfn.XLOOKUP(TabCalc[[#This Row],[L_B1D]],INDIRECT("TabReg["&amp;TabCalc[[#This Row],[Ticker]]&amp;"]"),INDIRECT("TabReg["&amp;TabCalc[[#This Row],[Ticker]]&amp;"2]")),0)</f>
        <v>-97.66</v>
      </c>
      <c r="AH85" s="302">
        <f ca="1">IFERROR(TabCalc[[#This Row],[L_Sn]]*(TabCalc[[#This Row],[L_Sp]]-TabCalc[[#This Row],[M]])*TabCalc[[#This Row],[Scale]],"")</f>
        <v>-10939.800000000008</v>
      </c>
      <c r="AI85" s="210" cm="1">
        <f t="array" aca="1" ref="AI85" ca="1">IFERROR(_xlfn.XLOOKUP(TabCalc[[#This Row],[L_Sp]],INDIRECT("TabReg["&amp;TabCalc[[#This Row],[Ticker]]&amp;"2]"),INDIRECT("TabReg["&amp;TabCalc[[#This Row],[Ticker]]&amp;"]")),0)</f>
        <v>45686</v>
      </c>
      <c r="AJ85" s="181" cm="1">
        <f t="array" aca="1" ref="AJ85" ca="1">IFERROR(_xlfn.XLOOKUP(TabCalc[[#This Row],[L_Sp]],INDIRECT("TabReg["&amp;TabCalc[[#This Row],[Ticker]]&amp;"2]"),INDIRECT("TabReg["&amp;TabCalc[[#This Row],[Ticker]]&amp;"1]")),0)</f>
        <v>400</v>
      </c>
      <c r="AK85" s="192" cm="1">
        <f t="array" aca="1" ref="AK85" ca="1">IFERROR(INDEX(INDIRECT("TabReg["&amp;TabCalc[[#This Row],[Ticker]]&amp;"2]"), _xlfn.XMATCH(MAX(_xlfn._xlws.FILTER(INDIRECT("TabReg["&amp;TabCalc[[#This Row],[Ticker]]&amp;"]"), INDIRECT("TabReg["&amp;TabCalc[[#This Row],[Ticker]]&amp;"2]")&gt;0)), INDIRECT("TabReg["&amp;TabCalc[[#This Row],[Ticker]]&amp;"]"), 0)), 0)</f>
        <v>103.01049999999999</v>
      </c>
      <c r="AL85" s="214">
        <f ca="1">IFERROR(TabCalc[[#This Row],[L_S1n]]*(TabCalc[[#This Row],[L_S1p]]-TabCalc[[#This Row],[M]])*TabCalc[[#This Row],[Scale]],0)</f>
        <v>-30960.000000000007</v>
      </c>
      <c r="AM85" s="210" cm="1">
        <f t="array" aca="1" ref="AM8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85" s="181" cm="1">
        <f t="array" aca="1" ref="AN85" ca="1">IFERROR(_xlfn.XLOOKUP(TabCalc[[#This Row],[L_S1D]],INDIRECT("TabReg["&amp;TabCalc[[#This Row],[Ticker]]&amp;"]"),INDIRECT("TabReg["&amp;TabCalc[[#This Row],[Ticker]]&amp;"1]")),0)</f>
        <v>1000</v>
      </c>
      <c r="AO85" s="384" cm="1">
        <f t="array" aca="1" ref="AO85" ca="1">IFERROR(_xlfn.XLOOKUP(TabCalc[[#This Row],[L_S1D]],INDIRECT("TabReg["&amp;TabCalc[[#This Row],[Ticker]]&amp;"]"),INDIRECT("TabReg["&amp;TabCalc[[#This Row],[Ticker]]&amp;"2]")),0)</f>
        <v>99.4</v>
      </c>
      <c r="AP85" s="336">
        <f ca="1">_xlfn.LET(_xlpm.MVOpen,[1]!RTData[[#This Row],[Open]]*TabCalc[[#This Row],[NAfter]],_xlpm.MVNow,TabCalc[[#This Row],[M]]*TabCalc[[#This Row],[NAfter]],_xlpm.MVNow-_xlpm.MVOpen)*TabCalc[[#This Row],[Scale]]</f>
        <v>0</v>
      </c>
      <c r="AQ85" s="336">
        <f ca="1">_xlfn.LET(_xlpm.MVToday,DataShift!AV585,         _xlpm.MVY,DataShift!AU585,        _xlpm.MVYY, DataShift!AT585,                                IF(_xlpm.MVToday=_xlpm.MVY,_xlpm.MVY-_xlpm.MVYY,_xlpm.MVToday-_xlpm.MVY))</f>
        <v>-112.00000000001455</v>
      </c>
      <c r="AR85" s="336">
        <f ca="1">_xlfn.LET(_xlpm.MVToday,DataShift!AV585,         _xlpm.MVY,DataShift!AU585,        _xlpm.MVYY, DataShift!AT585,         _xlpm.MVYYY, DataShift!AS585,                      IF(_xlpm.MVToday=_xlpm.MVY,      _xlpm.MVYY-_xlpm.MVYYY,          _xlpm.MVY-_xlpm.MVYY))</f>
        <v>76</v>
      </c>
      <c r="AS85" s="1078">
        <f ca="1">TabCalc[[#This Row],[Y]]/TabCalc[[#This Row],[M]]</f>
        <v>0.9362841362381098</v>
      </c>
      <c r="AT85" s="299" t="str" cm="1">
        <f t="array" aca="1" ref="AT85" ca="1">IFERROR(_xlfn.IFS(          TabCalc[[#This Row],[E]]&gt;0, "Free Trade",      TabCalc[[#This Row],[A]]&lt;MIN(TabCalc[[#This Row],[L_Sp]],TabCalc[[#This Row],[M]]), "Buy",            TabCalc[[#This Row],[M]]&lt;TabCalc[[#This Row],[L_Sp]],       "Refill",       TabCalc[[#This Row],[M]]&gt;TabCalc[[#This Row],[L_Sp]],"S_more"),"")</f>
        <v>S_more</v>
      </c>
      <c r="AU85" s="299" t="str">
        <f ca="1">IF(           AND(TabCalc[[#This Row],[E]]&lt;=0,          TabCalc[[#This Row],[A]]&gt;MIN(TabCalc[[#This Row],[M]],TabCalc[[#This Row],[L_Sp]]),             TabCalc[[#This Row],[L_Sp]]&lt;=TabCalc[[#This Row],[M]]),                       "S_more","")</f>
        <v>S_more</v>
      </c>
      <c r="AV85" s="82" t="str" cm="1">
        <f t="array" aca="1" ref="AV85" ca="1">IFERROR(_xlfn.IFS(TabCalc[[#This Row],[E]]&gt;0,"Free trade",                 TabCalc[[#This Row],[A]]&lt;MAX(ABS(TabCalc[[#This Row],[L_Bp]]),TabCalc[[#This Row],[A]]),"Sell",             TabCalc[[#This Row],[M]]&gt;ABS(TabCalc[[#This Row],[L_Bp]]),"Resell",             TabCalc[[#This Row],[M]]&lt;ABS(TabCalc[[#This Row],[L_Bp]]),"B_more"),"")</f>
        <v>Resell</v>
      </c>
      <c r="AW85" s="82">
        <f ca="1">TabCalc[[#This Row],[NAfter]]-TabCalc[[#This Row],[Nbegin]]</f>
        <v>-200</v>
      </c>
      <c r="AX85" s="307">
        <f ca="1">IFERROR((TabCalc[[#This Row],[M]]-TabCalc[[#This Row],[Y]])*(TabCalc[[#This Row],[M]]-TabCalc[[#This Row],[Y]])*(TabCalc[[#This Row],[M]]-TabCalc[[#This Row],[Y]])/(TabCalc[[#This Row],[Y]]*TabCalc[[#This Row],[M]]),"")</f>
        <v>3.6014667674622788E-2</v>
      </c>
      <c r="AY85" s="82">
        <f t="shared" ca="1" si="5"/>
        <v>200</v>
      </c>
      <c r="AZ85" s="90">
        <f ca="1">[1]!RTData[[#This Row],[V/VA]]</f>
        <v>0.80980626695147584</v>
      </c>
      <c r="BA85" s="90" t="str" cm="1">
        <f t="array" aca="1" ref="BA85" ca="1">IFERROR(_xlfn.IFS(TabCalc[[#This Row],[Cur]]="USD",Timer!F$27,TabCalc[[#This Row],[Cur]]="EUR",Timer!F$18,TabCalc[[#This Row],[Cur]]="GBP",Timer!F$12,TabCalc[[#This Row],[Cur]]="CAD",Timer!F$27,TabCalc[[#This Row],[Cur]]="JPY",Timer!F$31,TabCalc[[#This Row],[Cur]]="CHF",Timer!F$18),"Timing")</f>
        <v>None-Working Day</v>
      </c>
      <c r="BB85" s="90">
        <f ca="1">IF(ISNUMBER(TabCalc[[#This Row],[TimeEX]]),TabCalc[[#This Row],[V/VA]]/TabCalc[[#This Row],[TimeEX]],TabCalc[[#This Row],[V/VA]])</f>
        <v>0.80980626695147584</v>
      </c>
      <c r="BC85" s="87" cm="1">
        <f t="array" aca="1" ref="BC85" ca="1">INDEX(TabReg[], 1, _xlfn.XMATCH(TabCalc[[#This Row],[Ticker]]&amp;1, TabReg[#Headers], 0))</f>
        <v>200</v>
      </c>
      <c r="BD85" s="161">
        <f ca="1">TabCalc[[#This Row],[Nbegin]]*TabCalc[[#This Row],[M]]*TabCalc[[#This Row],[Scale]]+TabCalc[[#This Row],[ValueBegin]]</f>
        <v>8902.0000000000036</v>
      </c>
      <c r="BE85" s="336" t="str" cm="1">
        <f t="array" aca="1" ref="BE85" ca="1">_xlfn.IFS(TabCalc[[#This Row],[Cost+Gain]]&gt;0,"Free",             TabCalc[[#This Row],[GL]]&gt;0,"Gainer",                TRUE,"Looser")</f>
        <v>Free</v>
      </c>
      <c r="BF85" s="161">
        <f ca="1">TabCalc[[#This Row],[Tot_Paid]]-TabCalc[[#This Row],[ValueBegin]]</f>
        <v>-556273.91284526</v>
      </c>
      <c r="BG85" s="337">
        <f ca="1">IF(TabCalc[[#This Row],[EfCost]]&gt;TabCalc[[#This Row],[ValueBegin]],       0,        TabCalc[[#This Row],[EfCost]]-TabCalc[[#This Row],[ValueBegin]]*(1+Commission))</f>
        <v>0</v>
      </c>
      <c r="BH85" s="338">
        <f ca="1">TabCalc[[#This Row],[M_V]]+TabCalc[[#This Row],[ValueBegin]]</f>
        <v>-17170</v>
      </c>
      <c r="BI85" s="161" cm="1">
        <f t="array" aca="1" ref="BI85" ca="1">SUMPRODUCT(_xlfn._xlws.FILTER(INDIRECT("TabReg["&amp;TabCalc[[#This Row],[Ticker]]&amp;"1]") * INDIRECT("TabReg["&amp;TabCalc[[#This Row],[Ticker]]&amp;"2]"), INDIRECT("TabReg["&amp;TabCalc[[#This Row],[Ticker]]&amp;"2]")&lt;0))*(1+Commission)*TabCalc[[#This Row],[Scale]]</f>
        <v>-573443.91284526</v>
      </c>
      <c r="BJ85" s="161" cm="1">
        <f t="array" aca="1" ref="BJ85" ca="1">SUMPRODUCT(IF(INDIRECT("TabReg["&amp;TabCalc[[#This Row],[Ticker]]&amp;"2]") ="", 0, INDIRECT("TabReg["&amp;TabCalc[[#This Row],[Ticker]]&amp;"1]") * INDIRECT("TabReg["&amp;TabCalc[[#This Row],[Ticker]]&amp;"2]") ))*TabCalc[[#This Row],[Scale]]</f>
        <v>13562.79389999999</v>
      </c>
      <c r="BK85" s="161" cm="1">
        <f t="array" aca="1" ref="BK8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583997.26799059997</v>
      </c>
      <c r="BL85" s="161">
        <f ca="1">TabCalc[[#This Row],[M_V]]+TabCalc[[#This Row],[EfCost]]</f>
        <v>13562.79389999999</v>
      </c>
      <c r="BM85" s="161">
        <f ca="1">IF(        OR( TabCalc[[#This Row],[GL]]&gt;ABS(TabCalc[[#This Row],[EfCost]]),TabCalc[[#This Row],[NAfter]]=0),             TabCalc[[#This Row],[GL]],     0)</f>
        <v>13562.79389999999</v>
      </c>
      <c r="BN85" s="161" cm="1">
        <f t="array" aca="1" ref="BN85" ca="1">SUMPRODUCT(_xlfn._xlws.FILTER(IF(INDIRECT("TabReg["&amp;TabCalc[[#This Row],[Ticker]]&amp;"2]") ="", 0, INDIRECT("TabReg["&amp;TabCalc[[#This Row],[Ticker]]&amp;"1]")  ),  INDIRECT("TabReg["&amp;TabCalc[[#This Row],[Ticker]]&amp;"2]") &lt; 0))</f>
        <v>5590</v>
      </c>
      <c r="BO85" s="161">
        <f ca="1">TabCalc[[#This Row],[SB]]-TabCalc[[#This Row],[Nbegin]]</f>
        <v>5390</v>
      </c>
      <c r="BP85" s="161" cm="1">
        <f t="array" aca="1" ref="BP85" ca="1">IFERROR(SUMPRODUCT(_xlfn._xlws.FILTER(IF(INDIRECT("TabReg["&amp;TabCalc[[#This Row],[Ticker]]&amp;"2]") ="", 0, INDIRECT("TabReg["&amp;TabCalc[[#This Row],[Ticker]]&amp;"1]")  ),  INDIRECT("TabReg["&amp;TabCalc[[#This Row],[Ticker]]&amp;"2]") &gt; 0)),0)</f>
        <v>5590</v>
      </c>
      <c r="BQ8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5" s="176" t="str">
        <f ca="1">IF(TabCalc[[#This Row],[EfCost]]+TabCalc[[#This Row],[M_V]]&lt;TabCalc[[#This Row],[NoT_GL]],"Pile","")</f>
        <v/>
      </c>
      <c r="BS85" s="167">
        <f ca="1">[1]!RTData[[#This Row],[Last trade time]]</f>
        <v>45954.996331735936</v>
      </c>
      <c r="BT85" s="177">
        <f ca="1">(TabCalc[[#This Row],[ValueBegin]]+(TabCalc[[#This Row],[M]]-TabCalc[[#This Row],[A]])*TabCalc[[#This Row],[NAfter]])*TabCalc[[#This Row],[Scale]]</f>
        <v>-17170</v>
      </c>
      <c r="BU85" s="189" cm="1">
        <f t="array" aca="1" ref="BU85" ca="1">_xlfn.XLOOKUP(TabCalc[[#This Row],[Ticker]],TabReg[[#Headers],[AAPL]:[UnknownX28]],Reg!B$72:KF$72)+3</f>
        <v>17</v>
      </c>
      <c r="BV85" s="190" cm="1">
        <f t="array" aca="1" ref="BV85" ca="1">_xlfn.XLOOKUP(TabCalc[[#This Row],[Ticker]],TabReg[[#Headers],[AAPL]:[UnknownX28]],Reg!B$73:KF$73)+2</f>
        <v>252</v>
      </c>
      <c r="BW85" s="191">
        <f ca="1">IFERROR(MAX(TabCalc[[#This Row],[Max_SD]],TabCalc[[#This Row],[Max_PD]]),0)</f>
        <v>45686</v>
      </c>
      <c r="BX85" s="191" t="str" cm="1">
        <f t="array" aca="1" ref="BX85" ca="1">_xlfn.IFS(TabCalc[[#This Row],[L_TP]]&lt;0,"Purchase",TabCalc[[#This Row],[L_TP]]&gt;0,"Sale")</f>
        <v>Sale</v>
      </c>
      <c r="BY85" s="190" cm="1">
        <f t="array" aca="1" ref="BY85" ca="1">INDEX(Reg!$A$1:$KF$73,TabCalc[[#This Row],[L_I1]],TabCalc[[#This Row],[L_I2]])</f>
        <v>400</v>
      </c>
      <c r="BZ85" s="192" cm="1">
        <f t="array" aca="1" ref="BZ85" ca="1">INDEX(Reg!$A$1:$KF$73,TabCalc[[#This Row],[L_I1]],TabCalc[[#This Row],[L_I2]]+1)</f>
        <v>103.01049999999999</v>
      </c>
      <c r="CA85" s="161">
        <f ca="1">TabCalc[[#This Row],[NAfter]]*(TabCalc[[#This Row],[M]]-IF(TabCalc[[#This Row],[E]]&gt;0,0,TabCalc[[#This Row],[A]]))</f>
        <v>0</v>
      </c>
      <c r="CB85" s="167" cm="1">
        <f t="array" aca="1" ref="CB85" ca="1">IFERROR(MIN(_xlfn._xlws.FILTER(INDIRECT("TabReg["&amp;TabCalc[[#This Row],[Ticker]]&amp;"]"), INDIRECT("TabReg["&amp;TabCalc[[#This Row],[Ticker]]&amp;"2]")&gt;0)),0)</f>
        <v>45294</v>
      </c>
      <c r="CC85" s="178" cm="1">
        <f t="array" aca="1" ref="CC85" ca="1">IFERROR(MIN(_xlfn._xlws.FILTER(INDIRECT("TabReg["&amp;TabCalc[[#This Row],[Ticker]]&amp;"1]"), INDIRECT("TabReg["&amp;TabCalc[[#This Row],[Ticker]]&amp;"2]")&gt;0)),0)</f>
        <v>190</v>
      </c>
      <c r="CD85" s="173" cm="1">
        <f t="array" aca="1" ref="CD85" ca="1">IFERROR(MIN(_xlfn._xlws.FILTER(INDIRECT("TabReg["&amp;TabCalc[[#This Row],[Ticker]]&amp;"2]"), INDIRECT("TabReg["&amp;TabCalc[[#This Row],[Ticker]]&amp;"2]")&gt;0)),0)</f>
        <v>96.18</v>
      </c>
      <c r="CE85" s="167" cm="1">
        <f t="array" aca="1" ref="CE85" ca="1">IFERROR(MAX(_xlfn._xlws.FILTER(INDIRECT("TabReg["&amp;TabCalc[[#This Row],[Ticker]]&amp;"]"), INDIRECT("TabReg["&amp;TabCalc[[#This Row],[Ticker]]&amp;"2]")&gt;0)),0)</f>
        <v>45686</v>
      </c>
      <c r="CF85" s="178" cm="1">
        <f t="array" aca="1" ref="CF85" ca="1">IFERROR(MAX(_xlfn._xlws.FILTER(INDIRECT("TabReg["&amp;TabCalc[[#This Row],[Ticker]]&amp;"1]"), INDIRECT("TabReg["&amp;TabCalc[[#This Row],[Ticker]]&amp;"2]")&gt;0)),0)</f>
        <v>1010</v>
      </c>
      <c r="CG85" s="173" cm="1">
        <f t="array" aca="1" ref="CG85" ca="1">IFERROR(MAX(_xlfn._xlws.FILTER(INDIRECT("TabReg["&amp;TabCalc[[#This Row],[Ticker]]&amp;"2]"), INDIRECT("TabReg["&amp;TabCalc[[#This Row],[Ticker]]&amp;"2]")&gt;0)),0)</f>
        <v>108.6118</v>
      </c>
      <c r="CH85" s="167" cm="1">
        <f t="array" aca="1" ref="CH85" ca="1">MIN(_xlfn._xlws.FILTER(INDIRECT("TabReg["&amp;TabCalc[[#This Row],[Ticker]]&amp;"]"), INDIRECT("TabReg["&amp;TabCalc[[#This Row],[Ticker]]&amp;"2]")&lt;0))</f>
        <v>40544</v>
      </c>
      <c r="CI85" s="177" cm="1">
        <f t="array" aca="1" ref="CI85" ca="1">MIN(_xlfn._xlws.FILTER(INDIRECT("TabReg["&amp;TabCalc[[#This Row],[Ticker]]&amp;"1]"), INDIRECT("TabReg["&amp;TabCalc[[#This Row],[Ticker]]&amp;"2]")&lt;0))</f>
        <v>200</v>
      </c>
      <c r="CJ85" s="173" cm="1">
        <f t="array" aca="1" ref="CJ85" ca="1">MIN(_xlfn._xlws.FILTER(INDIRECT("TabReg["&amp;TabCalc[[#This Row],[Ticker]]&amp;"2]"), INDIRECT("TabReg["&amp;TabCalc[[#This Row],[Ticker]]&amp;"2]")&lt;0))</f>
        <v>-105.96362499999999</v>
      </c>
      <c r="CK85" s="167" cm="1">
        <f t="array" aca="1" ref="CK85" ca="1">MAX(_xlfn._xlws.FILTER(INDIRECT("TabReg["&amp;TabCalc[[#This Row],[Ticker]]&amp;"]"), INDIRECT("TabReg["&amp;TabCalc[[#This Row],[Ticker]]&amp;"2]")&lt;0))</f>
        <v>45663</v>
      </c>
      <c r="CL85" s="177" cm="1">
        <f t="array" aca="1" ref="CL85" ca="1">MAX(_xlfn._xlws.FILTER(INDIRECT("TabReg["&amp;TabCalc[[#This Row],[Ticker]]&amp;"1]"), INDIRECT("TabReg["&amp;TabCalc[[#This Row],[Ticker]]&amp;"2]")&lt;0))</f>
        <v>1000</v>
      </c>
      <c r="CM85" s="173" cm="1">
        <f t="array" aca="1" ref="CM85" ca="1">MAX(_xlfn._xlws.FILTER(INDIRECT("TabReg["&amp;TabCalc[[#This Row],[Ticker]]&amp;"2]"), INDIRECT("TabReg["&amp;TabCalc[[#This Row],[Ticker]]&amp;"2]")&lt;0))</f>
        <v>-85.85</v>
      </c>
      <c r="CN85" s="167" cm="1">
        <f t="array" aca="1" ref="CN85" ca="1">IFERROR(_xlfn.XLOOKUP(TabCalc[[#This Row],[BS2P]],INDIRECT("TabReg["&amp;TabCalc[[#This Row],[Ticker]]&amp;"2]"),INDIRECT("TabReg["&amp;TabCalc[[#This Row],[Ticker]]&amp;"]")),0)</f>
        <v>45469</v>
      </c>
      <c r="CO85" s="178" cm="1">
        <f t="array" aca="1" ref="CO85" ca="1">IFERROR(_xlfn.XLOOKUP(TabCalc[[#This Row],[BS2P]],INDIRECT("TabReg["&amp;TabCalc[[#This Row],[Ticker]]&amp;"2]"),INDIRECT("TabReg["&amp;TabCalc[[#This Row],[Ticker]]&amp;"1]")),0)</f>
        <v>1010</v>
      </c>
      <c r="CP85" s="173">
        <f ca="1">_xlfn.MAXIFS(INDIRECT("TabReg["&amp;TabCalc[[#This Row],[Ticker]]&amp;"2]"), INDIRECT("TabReg["&amp;TabCalc[[#This Row],[Ticker]]&amp;"2]"), "&lt;" &amp; MAX(INDIRECT("TabReg["&amp;TabCalc[[#This Row],[Ticker]]&amp;"2]")))</f>
        <v>107.20189999999999</v>
      </c>
      <c r="CQ85" s="167" cm="1">
        <f t="array" aca="1" ref="CQ85" ca="1">IFERROR(_xlfn.XLOOKUP(TabCalc[[#This Row],[WB2P]],INDIRECT("TabReg["&amp;TabCalc[[#This Row],[Ticker]]&amp;"2]"),INDIRECT("TabReg["&amp;TabCalc[[#This Row],[Ticker]]&amp;"]")),0)</f>
        <v>45464</v>
      </c>
      <c r="CR85" s="178" cm="1">
        <f t="array" aca="1" ref="CR85" ca="1">IFERROR(_xlfn.XLOOKUP(TabCalc[[#This Row],[WB2P]],INDIRECT("TabReg["&amp;TabCalc[[#This Row],[Ticker]]&amp;"2]"),INDIRECT("TabReg["&amp;TabCalc[[#This Row],[Ticker]]&amp;"1]")),0)</f>
        <v>1000</v>
      </c>
      <c r="CS85" s="173">
        <f ca="1">_xlfn.MINIFS(INDIRECT("TabReg["&amp;TabCalc[[#This Row],[Ticker]]&amp;"2]"), INDIRECT("TabReg["&amp;TabCalc[[#This Row],[Ticker]]&amp;"2]"), "&gt;" &amp; MIN(INDIRECT("TabReg["&amp;TabCalc[[#This Row],[Ticker]]&amp;"2]")))</f>
        <v>-105.18</v>
      </c>
      <c r="CT85" s="405">
        <f ca="1">IF(TabCalc[[#This Row],[M]]&lt;TabCalc[[#This Row],[L_Sp]],DesiredBuyGain/(TabCalc[[#This Row],[L_Sp]]-TabCalc[[#This Row],[M]]),0)</f>
        <v>0</v>
      </c>
      <c r="CU85" s="406">
        <f ca="1">IF(TabCalc[[#This Row],[ntoBuy]]*TabCalc[[#This Row],[M]]&lt;=0,0,TabCalc[[#This Row],[ntoBuy]]*TabCalc[[#This Row],[M]])</f>
        <v>0</v>
      </c>
      <c r="CV85" s="406">
        <f ca="1">IF(TabCalc[[#This Row],[M]]&gt;ABS(TabCalc[[#This Row],[L_Bp]]),MIN(TabCalc[[#This Row],[NAfter]],DesiredSaleGain/(TabCalc[[#This Row],[M]]+TabCalc[[#This Row],[L_Bp]])),0)/TabCalc[[#This Row],[Scale]]</f>
        <v>0</v>
      </c>
      <c r="CW85" s="407">
        <f ca="1">TabCalc[[#This Row],[ntoSell]]*TabCalc[[#This Row],[M]]</f>
        <v>0</v>
      </c>
      <c r="CX85" s="400">
        <f ca="1">_xlfn.LET(_xlpm.nToSell,IF(TabCalc[[#This Row],[M]]-TabCalc[[#This Row],[A]]&lt;=0,"",INT(DesiredSaleGain/(TabCalc[[#This Row],[M]]-IF(TabCalc[[#This Row],[E]]&gt;0,0,TabCalc[[#This Row],[A]])))),IF(_xlpm.nToSell&lt;=TabCalc[[#This Row],[NAfter]],_xlpm.nToSell,0))</f>
        <v>0</v>
      </c>
      <c r="CY85" s="338">
        <f ca="1">IFERROR(TabCalc[[#This Row],[NMA]]*TabCalc[[#This Row],[M]],"")</f>
        <v>0</v>
      </c>
      <c r="CZ85" s="337" cm="1">
        <f t="array" aca="1" ref="CZ85" ca="1">_xlfn.IFS(TabCalc[[#This Row],[M]]&gt;= TabCalc[[#This Row],[L_Sp]],(TabCalc[[#This Row],[M]]-TabCalc[[#This Row],[A]])*TabCalc[[#This Row],[NAfter]]*TabCalc[[#This Row],[Scale]],           TabCalc[[#This Row],[M]]&lt; TabCalc[[#This Row],[L_Sp]],(TabCalc[[#This Row],[M]]-TabCalc[[#This Row],[A]])*TabCalc[[#This Row],[NAfter]]*TabCalc[[#This Row],[Scale]],               TRUE,"")</f>
        <v>0</v>
      </c>
      <c r="DA85" s="90">
        <f ca="1">IFERROR((TabCalc[[#This Row],[M]]+TabCalc[[#This Row],[L_Bp]])/ABS(TabCalc[[#This Row],[L_Bp]])/(TODAY()-TabCalc[[#This Row],[L_Bdate]])*360,"")</f>
        <v>0.40511133543337235</v>
      </c>
      <c r="DB85" s="312">
        <f ca="1">MEDIAN(DataShift!F784:Z784)</f>
        <v>1.7799999999999999E-3</v>
      </c>
      <c r="DC85" s="312" t="str" cm="1">
        <f t="array" aca="1" ref="DC8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85" s="88" t="s">
        <v>80</v>
      </c>
      <c r="DN85" s="81">
        <v>550</v>
      </c>
      <c r="DO85" s="317">
        <v>-189.96</v>
      </c>
    </row>
    <row r="86" spans="1:119">
      <c r="A86" s="120" t="str">
        <f ca="1">_xlfn.XLOOKUP(TabCalc[[#This Row],[Ticker]],[1]!RTData[Ticker symbol],[1]!RTData[Currency])</f>
        <v>EUR</v>
      </c>
      <c r="B86" s="121">
        <f ca="1">IF(TabCalc[[#This Row],[Cur]]="GBP",0.01,1)</f>
        <v>1</v>
      </c>
      <c r="C86" s="82">
        <f ca="1">_xlfn.XLOOKUP(TabCalc[[#This Row],[Ticker]],DM$3:DM$96,DN$3:DN$96)</f>
        <v>7700</v>
      </c>
      <c r="D86" s="1254">
        <f ca="1">_xlfn.XLOOKUP(TabCalc[[#This Row],[Ticker]],DM$3:DM$96,DO$3:DO$96)</f>
        <v>-12.54</v>
      </c>
      <c r="E86" s="121">
        <f t="shared" ca="1" si="4"/>
        <v>-96558</v>
      </c>
      <c r="F86" s="82">
        <f ca="1">TabCalc[[#This Row],[NAfter]]*TabCalc[[#This Row],[M]]*TabCalc[[#This Row],[Scale]]</f>
        <v>16704</v>
      </c>
      <c r="G86" s="82">
        <f ca="1">IFERROR(TabCalc[[#This Row],[SB]]-TabCalc[[#This Row],[SST]],TabCalc[[#This Row],[SB]])</f>
        <v>1200</v>
      </c>
      <c r="H86" s="535" t="str">
        <f ca="1">[1]!RTData[[#This Row],[Ticker symbol]]</f>
        <v>ORA</v>
      </c>
      <c r="I86" s="385">
        <f ca="1">[1]!RTData[[#This Row],[M-Price]]</f>
        <v>13.92</v>
      </c>
      <c r="J86" s="384">
        <v>13.744999999999999</v>
      </c>
      <c r="K86" s="383">
        <f>[1]!RTData[[#This Row],[1YT]]</f>
        <v>14.92</v>
      </c>
      <c r="L86" s="384">
        <f ca="1">IF(OR(TabCalc[[#This Row],[NAfter]]=0,TabCalc[[#This Row],[EfCost]]&gt;0),0,TabCalc[[#This Row],[EfCost]]/TabCalc[[#This Row],[NAfter]]/TabCalc[[#This Row],[Scale]])</f>
        <v>-8.7739999999999903</v>
      </c>
      <c r="M86" s="744">
        <f ca="1">[1]!RTData[[#This Row],[Change%]]</f>
        <v>-1.6254000000000001E-2</v>
      </c>
      <c r="N86" s="1172">
        <v>0</v>
      </c>
      <c r="O86" s="966">
        <f>TabCalc[[#This Row],[Up20]]-1+TabCalc[[#This Row],[Up20]]</f>
        <v>-1</v>
      </c>
      <c r="P86" s="966">
        <f>TabCalc[[#This Row],[Up20]]-TabCalc[[#This Row],[Up150]]</f>
        <v>0</v>
      </c>
      <c r="Q86" s="966">
        <v>0</v>
      </c>
      <c r="R86" s="966">
        <f>TabCalc[[#This Row],[Up150]]-1+TabCalc[[#This Row],[Up150]]</f>
        <v>-1</v>
      </c>
      <c r="S86" s="966">
        <f ca="1">IFERROR(SUMPRODUCT(DataShift!F1578:Z1578,DataShift!AB785:AV785)/SQRT(SUMPRODUCT(DataShift!F1578:Z1578,DataShift!F1578:Z1578)*SUMPRODUCT(DataShift!AB785:AV785,DataShift!AB785:AV785)),0)</f>
        <v>-0.60804316393861979</v>
      </c>
      <c r="T86" s="966">
        <f ca="1">IFERROR(SUMPRODUCT(DataShift!F1578:Z1578,DataShift!F785:Z785)/SQRT(SUMPRODUCT(DataShift!F1578:Z1578,DataShift!F1578:Z1578)*SUMPRODUCT(DataShift!F785:Z785,DataShift!F785:Z785)),0)</f>
        <v>3.7055036002060372E-2</v>
      </c>
      <c r="U86" s="1107">
        <v>1200</v>
      </c>
      <c r="V86" s="1107">
        <v>0</v>
      </c>
      <c r="W86" s="1107">
        <v>0</v>
      </c>
      <c r="X86" s="966" t="str">
        <f ca="1">IF(TabCalc[[#This Row],[EfCost]]+TabCalc[[#This Row],[M_V]]&lt;TabCalc[[#This Row],[NoT_GL]],"Pile","")</f>
        <v>Pile</v>
      </c>
      <c r="Y8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6" s="213">
        <f ca="1">MIN(TabCalc[[#This Row],[L_Bn]],TabCalc[[#This Row],[NAfter]])*(TabCalc[[#This Row],[M]]+TabCalc[[#This Row],[L_Bp]])*TabCalc[[#This Row],[Scale]]</f>
        <v>210.00000000000085</v>
      </c>
      <c r="AA86" s="210" cm="1">
        <f t="array" aca="1" ref="AA86" ca="1">_xlfn.XLOOKUP(TabCalc[[#This Row],[L_Bp]],INDIRECT("TabReg["&amp;TabCalc[[#This Row],[Ticker]]&amp;"2]"),INDIRECT("TabReg["&amp;TabCalc[[#This Row],[Ticker]]&amp;"]"))</f>
        <v>45919</v>
      </c>
      <c r="AB86" s="181" cm="1">
        <f t="array" aca="1" ref="AB86" ca="1">_xlfn.XLOOKUP(TabCalc[[#This Row],[L_Bp]],INDIRECT("TabReg["&amp;TabCalc[[#This Row],[Ticker]]&amp;"2]"),INDIRECT("TabReg["&amp;TabCalc[[#This Row],[Ticker]]&amp;"1]"))</f>
        <v>1200</v>
      </c>
      <c r="AC86" s="192" cm="1">
        <f t="array" aca="1" ref="AC86" ca="1">IFERROR(INDEX(INDIRECT("TabReg["&amp;TabCalc[[#This Row],[Ticker]]&amp;"2]"),    _xlfn.XMATCH(    MAX(    _xlfn._xlws.FILTER(INDIRECT("TabReg["&amp;TabCalc[[#This Row],[Ticker]]&amp;"]"), INDIRECT("TabReg["&amp;TabCalc[[#This Row],[Ticker]]&amp;"2]")&lt;0)     ), INDIRECT("TabReg["&amp;TabCalc[[#This Row],[Ticker]]&amp;"]"),      0)), "")</f>
        <v>-13.744999999999999</v>
      </c>
      <c r="AD86" s="213">
        <f ca="1">IFERROR(MIN(TabCalc[[#This Row],[L_B1n]],TabCalc[[#This Row],[NAfter]])*(TabCalc[[#This Row],[M]]+TabCalc[[#This Row],[L_B1p]])*TabCalc[[#This Row],[Scale]],"")</f>
        <v>4968.0000000000009</v>
      </c>
      <c r="AE86" s="210" cm="1">
        <f t="array" aca="1" ref="AE8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45547</v>
      </c>
      <c r="AF86" s="181" cm="1">
        <f t="array" aca="1" ref="AF86" ca="1">IFERROR(_xlfn.XLOOKUP(TabCalc[[#This Row],[L_B1D]],INDIRECT("TabReg["&amp;TabCalc[[#This Row],[Ticker]]&amp;"]"),INDIRECT("TabReg["&amp;TabCalc[[#This Row],[Ticker]]&amp;"1]")),0)</f>
        <v>4000</v>
      </c>
      <c r="AG86" s="192" cm="1">
        <f t="array" aca="1" ref="AG86" ca="1">IFERROR(_xlfn.XLOOKUP(TabCalc[[#This Row],[L_B1D]],INDIRECT("TabReg["&amp;TabCalc[[#This Row],[Ticker]]&amp;"]"),INDIRECT("TabReg["&amp;TabCalc[[#This Row],[Ticker]]&amp;"2]")),0)</f>
        <v>-9.7799999999999994</v>
      </c>
      <c r="AH86" s="302">
        <f ca="1">IFERROR(TabCalc[[#This Row],[L_Sn]]*(TabCalc[[#This Row],[L_Sp]]-TabCalc[[#This Row],[M]])*TabCalc[[#This Row],[Scale]],"")</f>
        <v>-3780.0000000000009</v>
      </c>
      <c r="AI86" s="210" cm="1">
        <f t="array" aca="1" ref="AI86" ca="1">IFERROR(_xlfn.XLOOKUP(TabCalc[[#This Row],[L_Sp]],INDIRECT("TabReg["&amp;TabCalc[[#This Row],[Ticker]]&amp;"2]"),INDIRECT("TabReg["&amp;TabCalc[[#This Row],[Ticker]]&amp;"]")),0)</f>
        <v>45748</v>
      </c>
      <c r="AJ86" s="181" cm="1">
        <f t="array" aca="1" ref="AJ86" ca="1">IFERROR(_xlfn.XLOOKUP(TabCalc[[#This Row],[L_Sp]],INDIRECT("TabReg["&amp;TabCalc[[#This Row],[Ticker]]&amp;"2]"),INDIRECT("TabReg["&amp;TabCalc[[#This Row],[Ticker]]&amp;"1]")),0)</f>
        <v>2000</v>
      </c>
      <c r="AK86" s="192" cm="1">
        <f t="array" aca="1" ref="AK86" ca="1">IFERROR(INDEX(INDIRECT("TabReg["&amp;TabCalc[[#This Row],[Ticker]]&amp;"2]"), _xlfn.XMATCH(MAX(_xlfn._xlws.FILTER(INDIRECT("TabReg["&amp;TabCalc[[#This Row],[Ticker]]&amp;"]"), INDIRECT("TabReg["&amp;TabCalc[[#This Row],[Ticker]]&amp;"2]")&gt;0)), INDIRECT("TabReg["&amp;TabCalc[[#This Row],[Ticker]]&amp;"]"), 0)), 0)</f>
        <v>12.03</v>
      </c>
      <c r="AL86" s="214">
        <f ca="1">IFERROR(TabCalc[[#This Row],[L_S1n]]*(TabCalc[[#This Row],[L_S1p]]-TabCalc[[#This Row],[M]])*TabCalc[[#This Row],[Scale]],0)</f>
        <v>-4149.9999999999982</v>
      </c>
      <c r="AM86" s="210" cm="1">
        <f t="array" aca="1" ref="AM8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N86" s="181" cm="1">
        <f t="array" aca="1" ref="AN86" ca="1">IFERROR(_xlfn.XLOOKUP(TabCalc[[#This Row],[L_S1D]],INDIRECT("TabReg["&amp;TabCalc[[#This Row],[Ticker]]&amp;"]"),INDIRECT("TabReg["&amp;TabCalc[[#This Row],[Ticker]]&amp;"1]")),0)</f>
        <v>2000</v>
      </c>
      <c r="AO86" s="384" cm="1">
        <f t="array" aca="1" ref="AO86" ca="1">IFERROR(_xlfn.XLOOKUP(TabCalc[[#This Row],[L_S1D]],INDIRECT("TabReg["&amp;TabCalc[[#This Row],[Ticker]]&amp;"]"),INDIRECT("TabReg["&amp;TabCalc[[#This Row],[Ticker]]&amp;"2]")),0)</f>
        <v>11.845000000000001</v>
      </c>
      <c r="AP86" s="336">
        <f ca="1">_xlfn.LET(_xlpm.MVOpen,[1]!RTData[[#This Row],[Open]]*TabCalc[[#This Row],[NAfter]],_xlpm.MVNow,TabCalc[[#This Row],[M]]*TabCalc[[#This Row],[NAfter]],_xlpm.MVNow-_xlpm.MVOpen)*TabCalc[[#This Row],[Scale]]</f>
        <v>-252</v>
      </c>
      <c r="AQ86" s="336">
        <f ca="1">_xlfn.LET(_xlpm.MVToday,DataShift!AV586,         _xlpm.MVY,DataShift!AU586,        _xlpm.MVYY, DataShift!AT586,                                IF(_xlpm.MVToday=_xlpm.MVY,_xlpm.MVY-_xlpm.MVYY,_xlpm.MVToday-_xlpm.MVY))</f>
        <v>1040.0000000000073</v>
      </c>
      <c r="AR86" s="336">
        <f ca="1">_xlfn.LET(_xlpm.MVToday,DataShift!AV586,         _xlpm.MVY,DataShift!AU586,        _xlpm.MVYY, DataShift!AT586,         _xlpm.MVYYY, DataShift!AS586,                      IF(_xlpm.MVToday=_xlpm.MVY,      _xlpm.MVYY-_xlpm.MVYYY,          _xlpm.MVY-_xlpm.MVYY))</f>
        <v>-650.00000000001455</v>
      </c>
      <c r="AS86" s="1078">
        <f ca="1">TabCalc[[#This Row],[Y]]/TabCalc[[#This Row],[M]]</f>
        <v>1.0718390804597702</v>
      </c>
      <c r="AT86" s="299" t="str" cm="1">
        <f t="array" aca="1" ref="AT86" ca="1">IFERROR(_xlfn.IFS(          TabCalc[[#This Row],[E]]&gt;0, "Free Trade",      TabCalc[[#This Row],[A]]&lt;MIN(TabCalc[[#This Row],[L_Sp]],TabCalc[[#This Row],[M]]), "Buy",            TabCalc[[#This Row],[M]]&lt;TabCalc[[#This Row],[L_Sp]],       "Refill",       TabCalc[[#This Row],[M]]&gt;TabCalc[[#This Row],[L_Sp]],"S_more"),"")</f>
        <v>S_more</v>
      </c>
      <c r="AU86" s="299" t="str">
        <f ca="1">IF(           AND(TabCalc[[#This Row],[E]]&lt;=0,          TabCalc[[#This Row],[A]]&gt;MIN(TabCalc[[#This Row],[M]],TabCalc[[#This Row],[L_Sp]]),             TabCalc[[#This Row],[L_Sp]]&lt;=TabCalc[[#This Row],[M]]),                       "S_more","")</f>
        <v>S_more</v>
      </c>
      <c r="AV86" s="82" t="str" cm="1">
        <f t="array" aca="1" ref="AV86" ca="1">IFERROR(_xlfn.IFS(TabCalc[[#This Row],[E]]&gt;0,"Free trade",                 TabCalc[[#This Row],[A]]&lt;MAX(ABS(TabCalc[[#This Row],[L_Bp]]),TabCalc[[#This Row],[A]]),"Sell",             TabCalc[[#This Row],[M]]&gt;ABS(TabCalc[[#This Row],[L_Bp]]),"Resell",             TabCalc[[#This Row],[M]]&lt;ABS(TabCalc[[#This Row],[L_Bp]]),"B_more"),"")</f>
        <v>Resell</v>
      </c>
      <c r="AW86" s="82">
        <f ca="1">TabCalc[[#This Row],[NAfter]]-TabCalc[[#This Row],[Nbegin]]</f>
        <v>-6500</v>
      </c>
      <c r="AX86" s="307">
        <f ca="1">IFERROR((TabCalc[[#This Row],[M]]-TabCalc[[#This Row],[Y]])*(TabCalc[[#This Row],[M]]-TabCalc[[#This Row],[Y]])*(TabCalc[[#This Row],[M]]-TabCalc[[#This Row],[Y]])/(TabCalc[[#This Row],[Y]]*TabCalc[[#This Row],[M]]),"")</f>
        <v>-4.8149517734430375E-3</v>
      </c>
      <c r="AY86" s="82">
        <f t="shared" ca="1" si="5"/>
        <v>6500</v>
      </c>
      <c r="AZ86" s="90">
        <f ca="1">[1]!RTData[[#This Row],[V/VA]]</f>
        <v>0.95426628132187385</v>
      </c>
      <c r="BA86" s="90" t="str" cm="1">
        <f t="array" aca="1" ref="BA86" ca="1">IFERROR(_xlfn.IFS(TabCalc[[#This Row],[Cur]]="USD",Timer!F$27,TabCalc[[#This Row],[Cur]]="EUR",Timer!F$18,TabCalc[[#This Row],[Cur]]="GBP",Timer!F$12,TabCalc[[#This Row],[Cur]]="CAD",Timer!F$27,TabCalc[[#This Row],[Cur]]="JPY",Timer!F$31,TabCalc[[#This Row],[Cur]]="CHF",Timer!F$18),"Timing")</f>
        <v>None-Working Day</v>
      </c>
      <c r="BB86" s="90">
        <f ca="1">IF(ISNUMBER(TabCalc[[#This Row],[TimeEX]]),TabCalc[[#This Row],[V/VA]]/TabCalc[[#This Row],[TimeEX]],TabCalc[[#This Row],[V/VA]])</f>
        <v>0.95426628132187385</v>
      </c>
      <c r="BC86" s="87" cm="1">
        <f t="array" aca="1" ref="BC86" ca="1">INDEX(TabReg[], 1, _xlfn.XMATCH(TabCalc[[#This Row],[Ticker]]&amp;1, TabReg[#Headers], 0))</f>
        <v>7700</v>
      </c>
      <c r="BD86" s="161">
        <f ca="1">TabCalc[[#This Row],[Nbegin]]*TabCalc[[#This Row],[M]]*TabCalc[[#This Row],[Scale]]+TabCalc[[#This Row],[ValueBegin]]</f>
        <v>10626</v>
      </c>
      <c r="BE86" s="336" t="str" cm="1">
        <f t="array" aca="1" ref="BE86" ca="1">_xlfn.IFS(TabCalc[[#This Row],[Cost+Gain]]&gt;0,"Free",             TabCalc[[#This Row],[GL]]&gt;0,"Gainer",                TRUE,"Looser")</f>
        <v>Gainer</v>
      </c>
      <c r="BF86" s="161">
        <f ca="1">TabCalc[[#This Row],[Tot_Paid]]-TabCalc[[#This Row],[ValueBegin]]</f>
        <v>-178814.91287999996</v>
      </c>
      <c r="BG86" s="337">
        <f ca="1">IF(TabCalc[[#This Row],[EfCost]]&gt;TabCalc[[#This Row],[ValueBegin]],       0,        TabCalc[[#This Row],[EfCost]]-TabCalc[[#This Row],[ValueBegin]]*(1+Commission))</f>
        <v>0</v>
      </c>
      <c r="BH86" s="338">
        <f ca="1">TabCalc[[#This Row],[M_V]]+TabCalc[[#This Row],[ValueBegin]]</f>
        <v>-79854</v>
      </c>
      <c r="BI86" s="161" cm="1">
        <f t="array" aca="1" ref="BI86" ca="1">SUMPRODUCT(_xlfn._xlws.FILTER(INDIRECT("TabReg["&amp;TabCalc[[#This Row],[Ticker]]&amp;"1]") * INDIRECT("TabReg["&amp;TabCalc[[#This Row],[Ticker]]&amp;"2]"), INDIRECT("TabReg["&amp;TabCalc[[#This Row],[Ticker]]&amp;"2]")&lt;0))*(1+Commission)*TabCalc[[#This Row],[Scale]]</f>
        <v>-275372.91287999996</v>
      </c>
      <c r="BJ86" s="161" cm="1">
        <f t="array" aca="1" ref="BJ86" ca="1">SUMPRODUCT(IF(INDIRECT("TabReg["&amp;TabCalc[[#This Row],[Ticker]]&amp;"2]") ="", 0, INDIRECT("TabReg["&amp;TabCalc[[#This Row],[Ticker]]&amp;"1]") * INDIRECT("TabReg["&amp;TabCalc[[#This Row],[Ticker]]&amp;"2]") ))*TabCalc[[#This Row],[Scale]]</f>
        <v>-10528.799999999988</v>
      </c>
      <c r="BK86" s="161" cm="1">
        <f t="array" aca="1" ref="BK8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263443.26199999999</v>
      </c>
      <c r="BL86" s="161">
        <f ca="1">TabCalc[[#This Row],[M_V]]+TabCalc[[#This Row],[EfCost]]</f>
        <v>6175.2000000000116</v>
      </c>
      <c r="BM86" s="161">
        <f ca="1">IF(        OR( TabCalc[[#This Row],[GL]]&gt;ABS(TabCalc[[#This Row],[EfCost]]),TabCalc[[#This Row],[NAfter]]=0),             TabCalc[[#This Row],[GL]],     0)</f>
        <v>0</v>
      </c>
      <c r="BN86" s="161" cm="1">
        <f t="array" aca="1" ref="BN86" ca="1">SUMPRODUCT(_xlfn._xlws.FILTER(IF(INDIRECT("TabReg["&amp;TabCalc[[#This Row],[Ticker]]&amp;"2]") ="", 0, INDIRECT("TabReg["&amp;TabCalc[[#This Row],[Ticker]]&amp;"1]")  ),  INDIRECT("TabReg["&amp;TabCalc[[#This Row],[Ticker]]&amp;"2]") &lt; 0))</f>
        <v>25200</v>
      </c>
      <c r="BO86" s="161">
        <f ca="1">TabCalc[[#This Row],[SB]]-TabCalc[[#This Row],[Nbegin]]</f>
        <v>17500</v>
      </c>
      <c r="BP86" s="161" cm="1">
        <f t="array" aca="1" ref="BP86" ca="1">IFERROR(SUMPRODUCT(_xlfn._xlws.FILTER(IF(INDIRECT("TabReg["&amp;TabCalc[[#This Row],[Ticker]]&amp;"2]") ="", 0, INDIRECT("TabReg["&amp;TabCalc[[#This Row],[Ticker]]&amp;"1]")  ),  INDIRECT("TabReg["&amp;TabCalc[[#This Row],[Ticker]]&amp;"2]") &gt; 0)),0)</f>
        <v>24000</v>
      </c>
      <c r="BQ86"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6" s="176" t="str">
        <f ca="1">IF(TabCalc[[#This Row],[EfCost]]+TabCalc[[#This Row],[M_V]]&lt;TabCalc[[#This Row],[NoT_GL]],"Pile","")</f>
        <v>Pile</v>
      </c>
      <c r="BS86" s="167">
        <f ca="1">[1]!RTData[[#This Row],[Last trade time]]</f>
        <v>45954.666666666664</v>
      </c>
      <c r="BT86" s="177">
        <f ca="1">(TabCalc[[#This Row],[ValueBegin]]+(TabCalc[[#This Row],[M]]-TabCalc[[#This Row],[A]])*TabCalc[[#This Row],[NAfter]])*TabCalc[[#This Row],[Scale]]</f>
        <v>-96348</v>
      </c>
      <c r="BU86" s="189" cm="1">
        <f t="array" aca="1" ref="BU86" ca="1">_xlfn.XLOOKUP(TabCalc[[#This Row],[Ticker]],TabReg[[#Headers],[AAPL]:[UnknownX28]],Reg!B$72:KF$72)+3</f>
        <v>14</v>
      </c>
      <c r="BV86" s="190" cm="1">
        <f t="array" aca="1" ref="BV86" ca="1">_xlfn.XLOOKUP(TabCalc[[#This Row],[Ticker]],TabReg[[#Headers],[AAPL]:[UnknownX28]],Reg!B$73:KF$73)+2</f>
        <v>255</v>
      </c>
      <c r="BW86" s="191">
        <f ca="1">IFERROR(MAX(TabCalc[[#This Row],[Max_SD]],TabCalc[[#This Row],[Max_PD]]),0)</f>
        <v>45919</v>
      </c>
      <c r="BX86" s="191" t="str" cm="1">
        <f t="array" aca="1" ref="BX86" ca="1">_xlfn.IFS(TabCalc[[#This Row],[L_TP]]&lt;0,"Purchase",TabCalc[[#This Row],[L_TP]]&gt;0,"Sale")</f>
        <v>Purchase</v>
      </c>
      <c r="BY86" s="190" cm="1">
        <f t="array" aca="1" ref="BY86" ca="1">INDEX(Reg!$A$1:$KF$73,TabCalc[[#This Row],[L_I1]],TabCalc[[#This Row],[L_I2]])</f>
        <v>1200</v>
      </c>
      <c r="BZ86" s="192" cm="1">
        <f t="array" aca="1" ref="BZ86" ca="1">INDEX(Reg!$A$1:$KF$73,TabCalc[[#This Row],[L_I1]],TabCalc[[#This Row],[L_I2]]+1)</f>
        <v>-13.744999999999999</v>
      </c>
      <c r="CA86" s="161">
        <f ca="1">TabCalc[[#This Row],[NAfter]]*(TabCalc[[#This Row],[M]]-IF(TabCalc[[#This Row],[E]]&gt;0,0,TabCalc[[#This Row],[A]]))</f>
        <v>210.00000000000085</v>
      </c>
      <c r="CB86" s="167" cm="1">
        <f t="array" aca="1" ref="CB86" ca="1">IFERROR(MIN(_xlfn._xlws.FILTER(INDIRECT("TabReg["&amp;TabCalc[[#This Row],[Ticker]]&amp;"]"), INDIRECT("TabReg["&amp;TabCalc[[#This Row],[Ticker]]&amp;"2]")&gt;0)),0)</f>
        <v>45490</v>
      </c>
      <c r="CC86" s="178" cm="1">
        <f t="array" aca="1" ref="CC86" ca="1">IFERROR(MIN(_xlfn._xlws.FILTER(INDIRECT("TabReg["&amp;TabCalc[[#This Row],[Ticker]]&amp;"1]"), INDIRECT("TabReg["&amp;TabCalc[[#This Row],[Ticker]]&amp;"2]")&gt;0)),0)</f>
        <v>2000</v>
      </c>
      <c r="CD86" s="173" cm="1">
        <f t="array" aca="1" ref="CD86" ca="1">IFERROR(MIN(_xlfn._xlws.FILTER(INDIRECT("TabReg["&amp;TabCalc[[#This Row],[Ticker]]&amp;"2]"), INDIRECT("TabReg["&amp;TabCalc[[#This Row],[Ticker]]&amp;"2]")&gt;0)),0)</f>
        <v>10.029999999999999</v>
      </c>
      <c r="CE86" s="167" cm="1">
        <f t="array" aca="1" ref="CE86" ca="1">IFERROR(MAX(_xlfn._xlws.FILTER(INDIRECT("TabReg["&amp;TabCalc[[#This Row],[Ticker]]&amp;"]"), INDIRECT("TabReg["&amp;TabCalc[[#This Row],[Ticker]]&amp;"2]")&gt;0)),0)</f>
        <v>45748</v>
      </c>
      <c r="CF86" s="178" cm="1">
        <f t="array" aca="1" ref="CF86" ca="1">IFERROR(MAX(_xlfn._xlws.FILTER(INDIRECT("TabReg["&amp;TabCalc[[#This Row],[Ticker]]&amp;"1]"), INDIRECT("TabReg["&amp;TabCalc[[#This Row],[Ticker]]&amp;"2]")&gt;0)),0)</f>
        <v>6000</v>
      </c>
      <c r="CG86" s="173" cm="1">
        <f t="array" aca="1" ref="CG86" ca="1">IFERROR(MAX(_xlfn._xlws.FILTER(INDIRECT("TabReg["&amp;TabCalc[[#This Row],[Ticker]]&amp;"2]"), INDIRECT("TabReg["&amp;TabCalc[[#This Row],[Ticker]]&amp;"2]")&gt;0)),0)</f>
        <v>12.03</v>
      </c>
      <c r="CH86" s="167" cm="1">
        <f t="array" aca="1" ref="CH86" ca="1">MIN(_xlfn._xlws.FILTER(INDIRECT("TabReg["&amp;TabCalc[[#This Row],[Ticker]]&amp;"]"), INDIRECT("TabReg["&amp;TabCalc[[#This Row],[Ticker]]&amp;"2]")&lt;0))</f>
        <v>40544</v>
      </c>
      <c r="CI86" s="177" cm="1">
        <f t="array" aca="1" ref="CI86" ca="1">MIN(_xlfn._xlws.FILTER(INDIRECT("TabReg["&amp;TabCalc[[#This Row],[Ticker]]&amp;"1]"), INDIRECT("TabReg["&amp;TabCalc[[#This Row],[Ticker]]&amp;"2]")&lt;0))</f>
        <v>1200</v>
      </c>
      <c r="CJ86" s="173" cm="1">
        <f t="array" aca="1" ref="CJ86" ca="1">MIN(_xlfn._xlws.FILTER(INDIRECT("TabReg["&amp;TabCalc[[#This Row],[Ticker]]&amp;"2]"), INDIRECT("TabReg["&amp;TabCalc[[#This Row],[Ticker]]&amp;"2]")&lt;0))</f>
        <v>-13.744999999999999</v>
      </c>
      <c r="CK86" s="167" cm="1">
        <f t="array" aca="1" ref="CK86" ca="1">MAX(_xlfn._xlws.FILTER(INDIRECT("TabReg["&amp;TabCalc[[#This Row],[Ticker]]&amp;"]"), INDIRECT("TabReg["&amp;TabCalc[[#This Row],[Ticker]]&amp;"2]")&lt;0))</f>
        <v>45919</v>
      </c>
      <c r="CL86" s="177" cm="1">
        <f t="array" aca="1" ref="CL86" ca="1">MAX(_xlfn._xlws.FILTER(INDIRECT("TabReg["&amp;TabCalc[[#This Row],[Ticker]]&amp;"1]"), INDIRECT("TabReg["&amp;TabCalc[[#This Row],[Ticker]]&amp;"2]")&lt;0))</f>
        <v>8300</v>
      </c>
      <c r="CM86" s="173" cm="1">
        <f t="array" aca="1" ref="CM86" ca="1">MAX(_xlfn._xlws.FILTER(INDIRECT("TabReg["&amp;TabCalc[[#This Row],[Ticker]]&amp;"2]"), INDIRECT("TabReg["&amp;TabCalc[[#This Row],[Ticker]]&amp;"2]")&lt;0))</f>
        <v>-9.5960000000000001</v>
      </c>
      <c r="CN86" s="167" cm="1">
        <f t="array" aca="1" ref="CN86" ca="1">IFERROR(_xlfn.XLOOKUP(TabCalc[[#This Row],[BS2P]],INDIRECT("TabReg["&amp;TabCalc[[#This Row],[Ticker]]&amp;"2]"),INDIRECT("TabReg["&amp;TabCalc[[#This Row],[Ticker]]&amp;"]")),0)</f>
        <v>45737</v>
      </c>
      <c r="CO86" s="178" cm="1">
        <f t="array" aca="1" ref="CO86" ca="1">IFERROR(_xlfn.XLOOKUP(TabCalc[[#This Row],[BS2P]],INDIRECT("TabReg["&amp;TabCalc[[#This Row],[Ticker]]&amp;"2]"),INDIRECT("TabReg["&amp;TabCalc[[#This Row],[Ticker]]&amp;"1]")),0)</f>
        <v>2000</v>
      </c>
      <c r="CP86" s="173">
        <f ca="1">_xlfn.MAXIFS(INDIRECT("TabReg["&amp;TabCalc[[#This Row],[Ticker]]&amp;"2]"), INDIRECT("TabReg["&amp;TabCalc[[#This Row],[Ticker]]&amp;"2]"), "&lt;" &amp; MAX(INDIRECT("TabReg["&amp;TabCalc[[#This Row],[Ticker]]&amp;"2]")))</f>
        <v>11.845000000000001</v>
      </c>
      <c r="CQ86" s="167" cm="1">
        <f t="array" aca="1" ref="CQ86" ca="1">IFERROR(_xlfn.XLOOKUP(TabCalc[[#This Row],[WB2P]],INDIRECT("TabReg["&amp;TabCalc[[#This Row],[Ticker]]&amp;"2]"),INDIRECT("TabReg["&amp;TabCalc[[#This Row],[Ticker]]&amp;"]")),0)</f>
        <v>40544</v>
      </c>
      <c r="CR86" s="178" cm="1">
        <f t="array" aca="1" ref="CR86" ca="1">IFERROR(_xlfn.XLOOKUP(TabCalc[[#This Row],[WB2P]],INDIRECT("TabReg["&amp;TabCalc[[#This Row],[Ticker]]&amp;"2]"),INDIRECT("TabReg["&amp;TabCalc[[#This Row],[Ticker]]&amp;"1]")),0)</f>
        <v>7700</v>
      </c>
      <c r="CS86" s="173">
        <f ca="1">_xlfn.MINIFS(INDIRECT("TabReg["&amp;TabCalc[[#This Row],[Ticker]]&amp;"2]"), INDIRECT("TabReg["&amp;TabCalc[[#This Row],[Ticker]]&amp;"2]"), "&gt;" &amp; MIN(INDIRECT("TabReg["&amp;TabCalc[[#This Row],[Ticker]]&amp;"2]")))</f>
        <v>-12.54</v>
      </c>
      <c r="CT86" s="405">
        <f ca="1">IF(TabCalc[[#This Row],[M]]&lt;TabCalc[[#This Row],[L_Sp]],DesiredBuyGain/(TabCalc[[#This Row],[L_Sp]]-TabCalc[[#This Row],[M]]),0)</f>
        <v>0</v>
      </c>
      <c r="CU86" s="406">
        <f ca="1">IF(TabCalc[[#This Row],[ntoBuy]]*TabCalc[[#This Row],[M]]&lt;=0,0,TabCalc[[#This Row],[ntoBuy]]*TabCalc[[#This Row],[M]])</f>
        <v>0</v>
      </c>
      <c r="CV86" s="406">
        <f ca="1">IF(TabCalc[[#This Row],[M]]&gt;ABS(TabCalc[[#This Row],[L_Bp]]),MIN(TabCalc[[#This Row],[NAfter]],DesiredSaleGain/(TabCalc[[#This Row],[M]]+TabCalc[[#This Row],[L_Bp]])),0)/TabCalc[[#This Row],[Scale]]</f>
        <v>1200</v>
      </c>
      <c r="CW86" s="407">
        <f ca="1">TabCalc[[#This Row],[ntoSell]]*TabCalc[[#This Row],[M]]</f>
        <v>16704</v>
      </c>
      <c r="CX86" s="400">
        <f ca="1">_xlfn.LET(_xlpm.nToSell,IF(TabCalc[[#This Row],[M]]-TabCalc[[#This Row],[A]]&lt;=0,"",INT(DesiredSaleGain/(TabCalc[[#This Row],[M]]-IF(TabCalc[[#This Row],[E]]&gt;0,0,TabCalc[[#This Row],[A]])))),IF(_xlpm.nToSell&lt;=TabCalc[[#This Row],[NAfter]],_xlpm.nToSell,0))</f>
        <v>0</v>
      </c>
      <c r="CY86" s="338">
        <f ca="1">IFERROR(TabCalc[[#This Row],[NMA]]*TabCalc[[#This Row],[M]],"")</f>
        <v>0</v>
      </c>
      <c r="CZ86" s="337" cm="1">
        <f t="array" aca="1" ref="CZ86" ca="1">_xlfn.IFS(TabCalc[[#This Row],[M]]&gt;= TabCalc[[#This Row],[L_Sp]],(TabCalc[[#This Row],[M]]-TabCalc[[#This Row],[A]])*TabCalc[[#This Row],[NAfter]]*TabCalc[[#This Row],[Scale]],           TabCalc[[#This Row],[M]]&lt; TabCalc[[#This Row],[L_Sp]],(TabCalc[[#This Row],[M]]-TabCalc[[#This Row],[A]])*TabCalc[[#This Row],[NAfter]]*TabCalc[[#This Row],[Scale]],               TRUE,"")</f>
        <v>210.00000000000085</v>
      </c>
      <c r="DA86" s="90">
        <f ca="1">IFERROR((TabCalc[[#This Row],[M]]+TabCalc[[#This Row],[L_Bp]])/ABS(TabCalc[[#This Row],[L_Bp]])/(TODAY()-TabCalc[[#This Row],[L_Bdate]])*360,"")</f>
        <v>0.12387797036760348</v>
      </c>
      <c r="DB86" s="312">
        <f ca="1">MEDIAN(DataShift!F785:Z785)</f>
        <v>5.8480000000000001E-4</v>
      </c>
      <c r="DC86" s="312" t="e" cm="1">
        <f t="array" aca="1" ref="DC8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6" s="88" t="s">
        <v>81</v>
      </c>
      <c r="DN86" s="81">
        <v>5353</v>
      </c>
      <c r="DO86" s="317">
        <v>-47.08</v>
      </c>
    </row>
    <row r="87" spans="1:119">
      <c r="A87" s="120" t="str">
        <f ca="1">_xlfn.XLOOKUP(TabCalc[[#This Row],[Ticker]],[1]!RTData[Ticker symbol],[1]!RTData[Currency])</f>
        <v>USD</v>
      </c>
      <c r="B87" s="121">
        <f ca="1">IF(TabCalc[[#This Row],[Cur]]="GBP",0.01,1)</f>
        <v>1</v>
      </c>
      <c r="C87" s="82">
        <f ca="1">_xlfn.XLOOKUP(TabCalc[[#This Row],[Ticker]],DM$3:DM$96,DN$3:DN$96)</f>
        <v>1100</v>
      </c>
      <c r="D87" s="1254">
        <f ca="1">_xlfn.XLOOKUP(TabCalc[[#This Row],[Ticker]],DM$3:DM$96,DO$3:DO$96)</f>
        <v>-71.47</v>
      </c>
      <c r="E87" s="121">
        <f t="shared" ca="1" si="4"/>
        <v>-78617</v>
      </c>
      <c r="F87" s="82">
        <f ca="1">TabCalc[[#This Row],[NAfter]]*TabCalc[[#This Row],[M]]*TabCalc[[#This Row],[Scale]]</f>
        <v>170280</v>
      </c>
      <c r="G87" s="82">
        <f ca="1">IFERROR(TabCalc[[#This Row],[SB]]-TabCalc[[#This Row],[SST]],TabCalc[[#This Row],[SB]])</f>
        <v>4000</v>
      </c>
      <c r="H87" s="535" t="str">
        <f ca="1">[1]!RTData[[#This Row],[Ticker symbol]]</f>
        <v>OXY</v>
      </c>
      <c r="I87" s="385">
        <f ca="1">[1]!RTData[[#This Row],[M-Price]]</f>
        <v>42.57</v>
      </c>
      <c r="J87" s="384">
        <v>54.334474999999998</v>
      </c>
      <c r="K87" s="383">
        <f>[1]!RTData[[#This Row],[1YT]]</f>
        <v>51.545450000000002</v>
      </c>
      <c r="L87" s="384">
        <f ca="1">IF(OR(TabCalc[[#This Row],[NAfter]]=0,TabCalc[[#This Row],[EfCost]]&gt;0),0,TabCalc[[#This Row],[EfCost]]/TabCalc[[#This Row],[NAfter]]/TabCalc[[#This Row],[Scale]])</f>
        <v>-58.5797065</v>
      </c>
      <c r="M87" s="744">
        <f ca="1">[1]!RTData[[#This Row],[Change%]]</f>
        <v>-7.2290000000000002E-3</v>
      </c>
      <c r="N87" s="1172">
        <v>0.5</v>
      </c>
      <c r="O87" s="966">
        <f>TabCalc[[#This Row],[Up20]]-1+TabCalc[[#This Row],[Up20]]</f>
        <v>0</v>
      </c>
      <c r="P87" s="966">
        <f>TabCalc[[#This Row],[Up20]]-TabCalc[[#This Row],[Up150]]</f>
        <v>-3.8461538461538436E-2</v>
      </c>
      <c r="Q87" s="966">
        <v>0.53846153846153844</v>
      </c>
      <c r="R87" s="966">
        <f>TabCalc[[#This Row],[Up150]]-1+TabCalc[[#This Row],[Up150]]</f>
        <v>7.6923076923076872E-2</v>
      </c>
      <c r="S87" s="966">
        <f ca="1">IFERROR(SUMPRODUCT(DataShift!F1579:Z1579,DataShift!AB786:AV786)/SQRT(SUMPRODUCT(DataShift!F1579:Z1579,DataShift!F1579:Z1579)*SUMPRODUCT(DataShift!AB786:AV786,DataShift!AB786:AV786)),0)</f>
        <v>0.82110926960105501</v>
      </c>
      <c r="T87" s="966">
        <f ca="1">IFERROR(SUMPRODUCT(DataShift!F1579:Z1579,DataShift!F786:Z786)/SQRT(SUMPRODUCT(DataShift!F1579:Z1579,DataShift!F1579:Z1579)*SUMPRODUCT(DataShift!F786:Z786,DataShift!F786:Z786)),0)</f>
        <v>0.18192597663277008</v>
      </c>
      <c r="U87" s="1107">
        <v>0</v>
      </c>
      <c r="V87" s="1107">
        <v>4000</v>
      </c>
      <c r="W87" s="1107">
        <v>0</v>
      </c>
      <c r="X87" s="966" t="str">
        <f ca="1">IF(TabCalc[[#This Row],[EfCost]]+TabCalc[[#This Row],[M_V]]&lt;TabCalc[[#This Row],[NoT_GL]],"Pile","")</f>
        <v>Pile</v>
      </c>
      <c r="Y8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1,242 = $ 52,871</v>
      </c>
      <c r="Z87" s="213">
        <f ca="1">MIN(TabCalc[[#This Row],[L_Bn]],TabCalc[[#This Row],[NAfter]])*(TabCalc[[#This Row],[M]]+TabCalc[[#This Row],[L_Bp]])*TabCalc[[#This Row],[Scale]]</f>
        <v>-4670.0000000000018</v>
      </c>
      <c r="AA87" s="210" cm="1">
        <f t="array" aca="1" ref="AA87" ca="1">_xlfn.XLOOKUP(TabCalc[[#This Row],[L_Bp]],INDIRECT("TabReg["&amp;TabCalc[[#This Row],[Ticker]]&amp;"2]"),INDIRECT("TabReg["&amp;TabCalc[[#This Row],[Ticker]]&amp;"]"))</f>
        <v>45733</v>
      </c>
      <c r="AB87" s="181" cm="1">
        <f t="array" aca="1" ref="AB87" ca="1">_xlfn.XLOOKUP(TabCalc[[#This Row],[L_Bp]],INDIRECT("TabReg["&amp;TabCalc[[#This Row],[Ticker]]&amp;"2]"),INDIRECT("TabReg["&amp;TabCalc[[#This Row],[Ticker]]&amp;"1]"))</f>
        <v>1000</v>
      </c>
      <c r="AC87" s="192" cm="1">
        <f t="array" aca="1" ref="AC87" ca="1">IFERROR(INDEX(INDIRECT("TabReg["&amp;TabCalc[[#This Row],[Ticker]]&amp;"2]"),    _xlfn.XMATCH(    MAX(    _xlfn._xlws.FILTER(INDIRECT("TabReg["&amp;TabCalc[[#This Row],[Ticker]]&amp;"]"), INDIRECT("TabReg["&amp;TabCalc[[#This Row],[Ticker]]&amp;"2]")&lt;0)     ), INDIRECT("TabReg["&amp;TabCalc[[#This Row],[Ticker]]&amp;"]"),      0)), "")</f>
        <v>-47.24</v>
      </c>
      <c r="AD87" s="213">
        <f ca="1">IFERROR(MIN(TabCalc[[#This Row],[L_B1n]],TabCalc[[#This Row],[NAfter]])*(TabCalc[[#This Row],[M]]+TabCalc[[#This Row],[L_B1p]])*TabCalc[[#This Row],[Scale]],"")</f>
        <v>-4968.0000000000027</v>
      </c>
      <c r="AE87" s="210" cm="1">
        <f t="array" aca="1" ref="AE8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87" s="181" cm="1">
        <f t="array" aca="1" ref="AF87" ca="1">IFERROR(_xlfn.XLOOKUP(TabCalc[[#This Row],[L_B1D]],INDIRECT("TabReg["&amp;TabCalc[[#This Row],[Ticker]]&amp;"]"),INDIRECT("TabReg["&amp;TabCalc[[#This Row],[Ticker]]&amp;"1]")),0)</f>
        <v>900</v>
      </c>
      <c r="AG87" s="192" cm="1">
        <f t="array" aca="1" ref="AG87" ca="1">IFERROR(_xlfn.XLOOKUP(TabCalc[[#This Row],[L_B1D]],INDIRECT("TabReg["&amp;TabCalc[[#This Row],[Ticker]]&amp;"]"),INDIRECT("TabReg["&amp;TabCalc[[#This Row],[Ticker]]&amp;"2]")),0)</f>
        <v>-48.09</v>
      </c>
      <c r="AH87" s="302">
        <f ca="1">IFERROR(TabCalc[[#This Row],[L_Sn]]*(TabCalc[[#This Row],[L_Sp]]-TabCalc[[#This Row],[M]])*TabCalc[[#This Row],[Scale]],"")</f>
        <v>9290</v>
      </c>
      <c r="AI87" s="210" cm="1">
        <f t="array" aca="1" ref="AI87" ca="1">IFERROR(_xlfn.XLOOKUP(TabCalc[[#This Row],[L_Sp]],INDIRECT("TabReg["&amp;TabCalc[[#This Row],[Ticker]]&amp;"2]"),INDIRECT("TabReg["&amp;TabCalc[[#This Row],[Ticker]]&amp;"]")),0)</f>
        <v>45707</v>
      </c>
      <c r="AJ87" s="181" cm="1">
        <f t="array" aca="1" ref="AJ87" ca="1">IFERROR(_xlfn.XLOOKUP(TabCalc[[#This Row],[L_Sp]],INDIRECT("TabReg["&amp;TabCalc[[#This Row],[Ticker]]&amp;"2]"),INDIRECT("TabReg["&amp;TabCalc[[#This Row],[Ticker]]&amp;"1]")),0)</f>
        <v>1000</v>
      </c>
      <c r="AK87" s="192" cm="1">
        <f t="array" aca="1" ref="AK87" ca="1">IFERROR(INDEX(INDIRECT("TabReg["&amp;TabCalc[[#This Row],[Ticker]]&amp;"2]"), _xlfn.XMATCH(MAX(_xlfn._xlws.FILTER(INDIRECT("TabReg["&amp;TabCalc[[#This Row],[Ticker]]&amp;"]"), INDIRECT("TabReg["&amp;TabCalc[[#This Row],[Ticker]]&amp;"2]")&gt;0)), INDIRECT("TabReg["&amp;TabCalc[[#This Row],[Ticker]]&amp;"]"), 0)), 0)</f>
        <v>51.86</v>
      </c>
      <c r="AL87" s="214">
        <f ca="1">IFERROR(TabCalc[[#This Row],[L_S1n]]*(TabCalc[[#This Row],[L_S1p]]-TabCalc[[#This Row],[M]])*TabCalc[[#This Row],[Scale]],0)</f>
        <v>40660.399999999994</v>
      </c>
      <c r="AM87" s="210" cm="1">
        <f t="array" aca="1" ref="AM8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45469</v>
      </c>
      <c r="AN87" s="181" cm="1">
        <f t="array" aca="1" ref="AN87" ca="1">IFERROR(_xlfn.XLOOKUP(TabCalc[[#This Row],[L_S1D]],INDIRECT("TabReg["&amp;TabCalc[[#This Row],[Ticker]]&amp;"]"),INDIRECT("TabReg["&amp;TabCalc[[#This Row],[Ticker]]&amp;"1]")),0)</f>
        <v>2000</v>
      </c>
      <c r="AO87" s="384" cm="1">
        <f t="array" aca="1" ref="AO87" ca="1">IFERROR(_xlfn.XLOOKUP(TabCalc[[#This Row],[L_S1D]],INDIRECT("TabReg["&amp;TabCalc[[#This Row],[Ticker]]&amp;"]"),INDIRECT("TabReg["&amp;TabCalc[[#This Row],[Ticker]]&amp;"2]")),0)</f>
        <v>62.900199999999998</v>
      </c>
      <c r="AP87" s="336">
        <f ca="1">_xlfn.LET(_xlpm.MVOpen,[1]!RTData[[#This Row],[Open]]*TabCalc[[#This Row],[NAfter]],_xlpm.MVNow,TabCalc[[#This Row],[M]]*TabCalc[[#This Row],[NAfter]],_xlpm.MVNow-_xlpm.MVOpen)*TabCalc[[#This Row],[Scale]]</f>
        <v>-1720</v>
      </c>
      <c r="AQ87" s="336">
        <f ca="1">_xlfn.LET(_xlpm.MVToday,DataShift!AV587,         _xlpm.MVY,DataShift!AU587,        _xlpm.MVYY, DataShift!AT587,                                IF(_xlpm.MVToday=_xlpm.MVY,_xlpm.MVY-_xlpm.MVYY,_xlpm.MVToday-_xlpm.MVY))</f>
        <v>0</v>
      </c>
      <c r="AR87" s="336">
        <f ca="1">_xlfn.LET(_xlpm.MVToday,DataShift!AV587,         _xlpm.MVY,DataShift!AU587,        _xlpm.MVYY, DataShift!AT587,         _xlpm.MVYYY, DataShift!AS587,                      IF(_xlpm.MVToday=_xlpm.MVY,      _xlpm.MVYY-_xlpm.MVYYY,          _xlpm.MVY-_xlpm.MVYY))</f>
        <v>0</v>
      </c>
      <c r="AS87" s="1078">
        <f ca="1">TabCalc[[#This Row],[Y]]/TabCalc[[#This Row],[M]]</f>
        <v>1.2108397932816537</v>
      </c>
      <c r="AT87" s="299" t="str" cm="1">
        <f t="array" aca="1" ref="AT87" ca="1">IFERROR(_xlfn.IFS(          TabCalc[[#This Row],[E]]&gt;0, "Free Trade",      TabCalc[[#This Row],[A]]&lt;MIN(TabCalc[[#This Row],[L_Sp]],TabCalc[[#This Row],[M]]), "Buy",            TabCalc[[#This Row],[M]]&lt;TabCalc[[#This Row],[L_Sp]],       "Refill",       TabCalc[[#This Row],[M]]&gt;TabCalc[[#This Row],[L_Sp]],"S_more"),"")</f>
        <v>Refill</v>
      </c>
      <c r="AU87" s="299" t="str">
        <f ca="1">IF(           AND(TabCalc[[#This Row],[E]]&lt;=0,          TabCalc[[#This Row],[A]]&gt;MIN(TabCalc[[#This Row],[M]],TabCalc[[#This Row],[L_Sp]]),             TabCalc[[#This Row],[L_Sp]]&lt;=TabCalc[[#This Row],[M]]),                       "S_more","")</f>
        <v/>
      </c>
      <c r="AV87" s="82" t="str" cm="1">
        <f t="array" aca="1" ref="AV87" ca="1">IFERROR(_xlfn.IFS(TabCalc[[#This Row],[E]]&gt;0,"Free trade",                 TabCalc[[#This Row],[A]]&lt;MAX(ABS(TabCalc[[#This Row],[L_Bp]]),TabCalc[[#This Row],[A]]),"Sell",             TabCalc[[#This Row],[M]]&gt;ABS(TabCalc[[#This Row],[L_Bp]]),"Resell",             TabCalc[[#This Row],[M]]&lt;ABS(TabCalc[[#This Row],[L_Bp]]),"B_more"),"")</f>
        <v>B_more</v>
      </c>
      <c r="AW87" s="82">
        <f ca="1">TabCalc[[#This Row],[NAfter]]-TabCalc[[#This Row],[Nbegin]]</f>
        <v>2900</v>
      </c>
      <c r="AX87" s="307">
        <f ca="1">IFERROR((TabCalc[[#This Row],[M]]-TabCalc[[#This Row],[Y]])*(TabCalc[[#This Row],[M]]-TabCalc[[#This Row],[Y]])*(TabCalc[[#This Row],[M]]-TabCalc[[#This Row],[Y]])/(TabCalc[[#This Row],[Y]]*TabCalc[[#This Row],[M]]),"")</f>
        <v>-0.3295146365941769</v>
      </c>
      <c r="AY87" s="82">
        <f t="shared" ca="1" si="5"/>
        <v>0</v>
      </c>
      <c r="AZ87" s="90">
        <f ca="1">[1]!RTData[[#This Row],[V/VA]]</f>
        <v>0.57867052995526091</v>
      </c>
      <c r="BA87" s="90" t="str" cm="1">
        <f t="array" aca="1" ref="BA87" ca="1">IFERROR(_xlfn.IFS(TabCalc[[#This Row],[Cur]]="USD",Timer!F$27,TabCalc[[#This Row],[Cur]]="EUR",Timer!F$18,TabCalc[[#This Row],[Cur]]="GBP",Timer!F$12,TabCalc[[#This Row],[Cur]]="CAD",Timer!F$27,TabCalc[[#This Row],[Cur]]="JPY",Timer!F$31,TabCalc[[#This Row],[Cur]]="CHF",Timer!F$18),"Timing")</f>
        <v>None-Working Day</v>
      </c>
      <c r="BB87" s="90">
        <f ca="1">IF(ISNUMBER(TabCalc[[#This Row],[TimeEX]]),TabCalc[[#This Row],[V/VA]]/TabCalc[[#This Row],[TimeEX]],TabCalc[[#This Row],[V/VA]])</f>
        <v>0.57867052995526091</v>
      </c>
      <c r="BC87" s="87" cm="1">
        <f t="array" aca="1" ref="BC87" ca="1">INDEX(TabReg[], 1, _xlfn.XMATCH(TabCalc[[#This Row],[Ticker]]&amp;1, TabReg[#Headers], 0))</f>
        <v>1100</v>
      </c>
      <c r="BD87" s="161">
        <f ca="1">TabCalc[[#This Row],[Nbegin]]*TabCalc[[#This Row],[M]]*TabCalc[[#This Row],[Scale]]+TabCalc[[#This Row],[ValueBegin]]</f>
        <v>-31790</v>
      </c>
      <c r="BE87" s="336" t="str" cm="1">
        <f t="array" aca="1" ref="BE87" ca="1">_xlfn.IFS(TabCalc[[#This Row],[Cost+Gain]]&gt;0,"Free",             TabCalc[[#This Row],[GL]]&gt;0,"Gainer",                TRUE,"Looser")</f>
        <v>Looser</v>
      </c>
      <c r="BF87" s="161">
        <f ca="1">TabCalc[[#This Row],[Tot_Paid]]-TabCalc[[#This Row],[ValueBegin]]</f>
        <v>-498787.18374759995</v>
      </c>
      <c r="BG87" s="337">
        <f ca="1">IF(TabCalc[[#This Row],[EfCost]]&gt;TabCalc[[#This Row],[ValueBegin]],       0,        TabCalc[[#This Row],[EfCost]]-TabCalc[[#This Row],[ValueBegin]]*(1+Commission))</f>
        <v>-155497.42180000001</v>
      </c>
      <c r="BH87" s="338">
        <f ca="1">TabCalc[[#This Row],[M_V]]+TabCalc[[#This Row],[ValueBegin]]</f>
        <v>91663</v>
      </c>
      <c r="BI87" s="161" cm="1">
        <f t="array" aca="1" ref="BI87" ca="1">SUMPRODUCT(_xlfn._xlws.FILTER(INDIRECT("TabReg["&amp;TabCalc[[#This Row],[Ticker]]&amp;"1]") * INDIRECT("TabReg["&amp;TabCalc[[#This Row],[Ticker]]&amp;"2]"), INDIRECT("TabReg["&amp;TabCalc[[#This Row],[Ticker]]&amp;"2]")&lt;0))*(1+Commission)*TabCalc[[#This Row],[Scale]]</f>
        <v>-577404.18374759995</v>
      </c>
      <c r="BJ87" s="161" cm="1">
        <f t="array" aca="1" ref="BJ87" ca="1">SUMPRODUCT(IF(INDIRECT("TabReg["&amp;TabCalc[[#This Row],[Ticker]]&amp;"2]") ="", 0, INDIRECT("TabReg["&amp;TabCalc[[#This Row],[Ticker]]&amp;"1]") * INDIRECT("TabReg["&amp;TabCalc[[#This Row],[Ticker]]&amp;"2]") ))*TabCalc[[#This Row],[Scale]]</f>
        <v>-234318.826</v>
      </c>
      <c r="BK87" s="161" cm="1">
        <f t="array" aca="1" ref="BK8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340699.87119999999</v>
      </c>
      <c r="BL87" s="161">
        <f ca="1">TabCalc[[#This Row],[M_V]]+TabCalc[[#This Row],[EfCost]]</f>
        <v>-64038.826000000001</v>
      </c>
      <c r="BM87" s="161">
        <f ca="1">IF(        OR( TabCalc[[#This Row],[GL]]&gt;ABS(TabCalc[[#This Row],[EfCost]]),TabCalc[[#This Row],[NAfter]]=0),             TabCalc[[#This Row],[GL]],     0)</f>
        <v>0</v>
      </c>
      <c r="BN87" s="161" cm="1">
        <f t="array" aca="1" ref="BN87" ca="1">SUMPRODUCT(_xlfn._xlws.FILTER(IF(INDIRECT("TabReg["&amp;TabCalc[[#This Row],[Ticker]]&amp;"2]") ="", 0, INDIRECT("TabReg["&amp;TabCalc[[#This Row],[Ticker]]&amp;"1]")  ),  INDIRECT("TabReg["&amp;TabCalc[[#This Row],[Ticker]]&amp;"2]") &lt; 0))</f>
        <v>9590</v>
      </c>
      <c r="BO87" s="161">
        <f ca="1">TabCalc[[#This Row],[SB]]-TabCalc[[#This Row],[Nbegin]]</f>
        <v>8490</v>
      </c>
      <c r="BP87" s="161" cm="1">
        <f t="array" aca="1" ref="BP87" ca="1">IFERROR(SUMPRODUCT(_xlfn._xlws.FILTER(IF(INDIRECT("TabReg["&amp;TabCalc[[#This Row],[Ticker]]&amp;"2]") ="", 0, INDIRECT("TabReg["&amp;TabCalc[[#This Row],[Ticker]]&amp;"1]")  ),  INDIRECT("TabReg["&amp;TabCalc[[#This Row],[Ticker]]&amp;"2]") &gt; 0)),0)</f>
        <v>5590</v>
      </c>
      <c r="BQ8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91.01</v>
      </c>
      <c r="BR87" s="176" t="str">
        <f ca="1">IF(TabCalc[[#This Row],[EfCost]]+TabCalc[[#This Row],[M_V]]&lt;TabCalc[[#This Row],[NoT_GL]],"Pile","")</f>
        <v>Pile</v>
      </c>
      <c r="BS87" s="167">
        <f ca="1">[1]!RTData[[#This Row],[Last trade time]]</f>
        <v>45954.999583876561</v>
      </c>
      <c r="BT87" s="177">
        <f ca="1">(TabCalc[[#This Row],[ValueBegin]]+(TabCalc[[#This Row],[M]]-TabCalc[[#This Row],[A]])*TabCalc[[#This Row],[NAfter]])*TabCalc[[#This Row],[Scale]]</f>
        <v>-125674.9</v>
      </c>
      <c r="BU87" s="189" cm="1">
        <f t="array" aca="1" ref="BU87" ca="1">_xlfn.XLOOKUP(TabCalc[[#This Row],[Ticker]],TabReg[[#Headers],[AAPL]:[UnknownX28]],Reg!B$72:KF$72)+3</f>
        <v>17</v>
      </c>
      <c r="BV87" s="190" cm="1">
        <f t="array" aca="1" ref="BV87" ca="1">_xlfn.XLOOKUP(TabCalc[[#This Row],[Ticker]],TabReg[[#Headers],[AAPL]:[UnknownX28]],Reg!B$73:KF$73)+2</f>
        <v>258</v>
      </c>
      <c r="BW87" s="191">
        <f ca="1">IFERROR(MAX(TabCalc[[#This Row],[Max_SD]],TabCalc[[#This Row],[Max_PD]]),0)</f>
        <v>45733</v>
      </c>
      <c r="BX87" s="191" t="str" cm="1">
        <f t="array" aca="1" ref="BX87" ca="1">_xlfn.IFS(TabCalc[[#This Row],[L_TP]]&lt;0,"Purchase",TabCalc[[#This Row],[L_TP]]&gt;0,"Sale")</f>
        <v>Purchase</v>
      </c>
      <c r="BY87" s="190" cm="1">
        <f t="array" aca="1" ref="BY87" ca="1">INDEX(Reg!$A$1:$KF$73,TabCalc[[#This Row],[L_I1]],TabCalc[[#This Row],[L_I2]])</f>
        <v>1000</v>
      </c>
      <c r="BZ87" s="192" cm="1">
        <f t="array" aca="1" ref="BZ87" ca="1">INDEX(Reg!$A$1:$KF$73,TabCalc[[#This Row],[L_I1]],TabCalc[[#This Row],[L_I2]]+1)</f>
        <v>-47.24</v>
      </c>
      <c r="CA87" s="161">
        <f ca="1">TabCalc[[#This Row],[NAfter]]*(TabCalc[[#This Row],[M]]-IF(TabCalc[[#This Row],[E]]&gt;0,0,TabCalc[[#This Row],[A]]))</f>
        <v>-47057.899999999987</v>
      </c>
      <c r="CB87" s="167" cm="1">
        <f t="array" aca="1" ref="CB87" ca="1">IFERROR(MIN(_xlfn._xlws.FILTER(INDIRECT("TabReg["&amp;TabCalc[[#This Row],[Ticker]]&amp;"]"), INDIRECT("TabReg["&amp;TabCalc[[#This Row],[Ticker]]&amp;"2]")&gt;0)),0)</f>
        <v>36547</v>
      </c>
      <c r="CC87" s="178" cm="1">
        <f t="array" aca="1" ref="CC87" ca="1">IFERROR(MIN(_xlfn._xlws.FILTER(INDIRECT("TabReg["&amp;TabCalc[[#This Row],[Ticker]]&amp;"1]"), INDIRECT("TabReg["&amp;TabCalc[[#This Row],[Ticker]]&amp;"2]")&gt;0)),0)</f>
        <v>600</v>
      </c>
      <c r="CD87" s="173" cm="1">
        <f t="array" aca="1" ref="CD87" ca="1">IFERROR(MIN(_xlfn._xlws.FILTER(INDIRECT("TabReg["&amp;TabCalc[[#This Row],[Ticker]]&amp;"2]"), INDIRECT("TabReg["&amp;TabCalc[[#This Row],[Ticker]]&amp;"2]")&gt;0)),0)</f>
        <v>51.86</v>
      </c>
      <c r="CE87" s="167" cm="1">
        <f t="array" aca="1" ref="CE87" ca="1">IFERROR(MAX(_xlfn._xlws.FILTER(INDIRECT("TabReg["&amp;TabCalc[[#This Row],[Ticker]]&amp;"]"), INDIRECT("TabReg["&amp;TabCalc[[#This Row],[Ticker]]&amp;"2]")&gt;0)),0)</f>
        <v>45707</v>
      </c>
      <c r="CF87" s="178" cm="1">
        <f t="array" aca="1" ref="CF87" ca="1">IFERROR(MAX(_xlfn._xlws.FILTER(INDIRECT("TabReg["&amp;TabCalc[[#This Row],[Ticker]]&amp;"1]"), INDIRECT("TabReg["&amp;TabCalc[[#This Row],[Ticker]]&amp;"2]")&gt;0)),0)</f>
        <v>2000</v>
      </c>
      <c r="CG87" s="173" cm="1">
        <f t="array" aca="1" ref="CG87" ca="1">IFERROR(MAX(_xlfn._xlws.FILTER(INDIRECT("TabReg["&amp;TabCalc[[#This Row],[Ticker]]&amp;"2]"), INDIRECT("TabReg["&amp;TabCalc[[#This Row],[Ticker]]&amp;"2]")&gt;0)),0)</f>
        <v>65.02</v>
      </c>
      <c r="CH87" s="167" cm="1">
        <f t="array" aca="1" ref="CH87" ca="1">MIN(_xlfn._xlws.FILTER(INDIRECT("TabReg["&amp;TabCalc[[#This Row],[Ticker]]&amp;"]"), INDIRECT("TabReg["&amp;TabCalc[[#This Row],[Ticker]]&amp;"2]")&lt;0))</f>
        <v>40544</v>
      </c>
      <c r="CI87" s="177" cm="1">
        <f t="array" aca="1" ref="CI87" ca="1">MIN(_xlfn._xlws.FILTER(INDIRECT("TabReg["&amp;TabCalc[[#This Row],[Ticker]]&amp;"1]"), INDIRECT("TabReg["&amp;TabCalc[[#This Row],[Ticker]]&amp;"2]")&lt;0))</f>
        <v>500</v>
      </c>
      <c r="CJ87" s="173" cm="1">
        <f t="array" aca="1" ref="CJ87" ca="1">MIN(_xlfn._xlws.FILTER(INDIRECT("TabReg["&amp;TabCalc[[#This Row],[Ticker]]&amp;"2]"), INDIRECT("TabReg["&amp;TabCalc[[#This Row],[Ticker]]&amp;"2]")&lt;0))</f>
        <v>-71.47</v>
      </c>
      <c r="CK87" s="167" cm="1">
        <f t="array" aca="1" ref="CK87" ca="1">MAX(_xlfn._xlws.FILTER(INDIRECT("TabReg["&amp;TabCalc[[#This Row],[Ticker]]&amp;"]"), INDIRECT("TabReg["&amp;TabCalc[[#This Row],[Ticker]]&amp;"2]")&lt;0))</f>
        <v>45733</v>
      </c>
      <c r="CL87" s="177" cm="1">
        <f t="array" aca="1" ref="CL87" ca="1">MAX(_xlfn._xlws.FILTER(INDIRECT("TabReg["&amp;TabCalc[[#This Row],[Ticker]]&amp;"1]"), INDIRECT("TabReg["&amp;TabCalc[[#This Row],[Ticker]]&amp;"2]")&lt;0))</f>
        <v>2000</v>
      </c>
      <c r="CM87" s="173" cm="1">
        <f t="array" aca="1" ref="CM87" ca="1">MAX(_xlfn._xlws.FILTER(INDIRECT("TabReg["&amp;TabCalc[[#This Row],[Ticker]]&amp;"2]"), INDIRECT("TabReg["&amp;TabCalc[[#This Row],[Ticker]]&amp;"2]")&lt;0))</f>
        <v>-47.24</v>
      </c>
      <c r="CN87" s="167" cm="1">
        <f t="array" aca="1" ref="CN87" ca="1">IFERROR(_xlfn.XLOOKUP(TabCalc[[#This Row],[BS2P]],INDIRECT("TabReg["&amp;TabCalc[[#This Row],[Ticker]]&amp;"2]"),INDIRECT("TabReg["&amp;TabCalc[[#This Row],[Ticker]]&amp;"]")),0)</f>
        <v>45427</v>
      </c>
      <c r="CO87" s="178" cm="1">
        <f t="array" aca="1" ref="CO87" ca="1">IFERROR(_xlfn.XLOOKUP(TabCalc[[#This Row],[BS2P]],INDIRECT("TabReg["&amp;TabCalc[[#This Row],[Ticker]]&amp;"2]"),INDIRECT("TabReg["&amp;TabCalc[[#This Row],[Ticker]]&amp;"1]")),0)</f>
        <v>990</v>
      </c>
      <c r="CP87" s="173">
        <f ca="1">_xlfn.MAXIFS(INDIRECT("TabReg["&amp;TabCalc[[#This Row],[Ticker]]&amp;"2]"), INDIRECT("TabReg["&amp;TabCalc[[#This Row],[Ticker]]&amp;"2]"), "&lt;" &amp; MAX(INDIRECT("TabReg["&amp;TabCalc[[#This Row],[Ticker]]&amp;"2]")))</f>
        <v>63.24</v>
      </c>
      <c r="CQ87" s="167" cm="1">
        <f t="array" aca="1" ref="CQ87" ca="1">IFERROR(_xlfn.XLOOKUP(TabCalc[[#This Row],[WB2P]],INDIRECT("TabReg["&amp;TabCalc[[#This Row],[Ticker]]&amp;"2]"),INDIRECT("TabReg["&amp;TabCalc[[#This Row],[Ticker]]&amp;"]")),0)</f>
        <v>45426</v>
      </c>
      <c r="CR87" s="178" cm="1">
        <f t="array" aca="1" ref="CR87" ca="1">IFERROR(_xlfn.XLOOKUP(TabCalc[[#This Row],[WB2P]],INDIRECT("TabReg["&amp;TabCalc[[#This Row],[Ticker]]&amp;"2]"),INDIRECT("TabReg["&amp;TabCalc[[#This Row],[Ticker]]&amp;"1]")),0)</f>
        <v>500</v>
      </c>
      <c r="CS87" s="173">
        <f ca="1">_xlfn.MINIFS(INDIRECT("TabReg["&amp;TabCalc[[#This Row],[Ticker]]&amp;"2]"), INDIRECT("TabReg["&amp;TabCalc[[#This Row],[Ticker]]&amp;"2]"), "&gt;" &amp; MIN(INDIRECT("TabReg["&amp;TabCalc[[#This Row],[Ticker]]&amp;"2]")))</f>
        <v>-62.73</v>
      </c>
      <c r="CT87" s="405">
        <f ca="1">IF(TabCalc[[#This Row],[M]]&lt;TabCalc[[#This Row],[L_Sp]],DesiredBuyGain/(TabCalc[[#This Row],[L_Sp]]-TabCalc[[#This Row],[M]]),0)</f>
        <v>538.2131324004306</v>
      </c>
      <c r="CU87" s="406">
        <f ca="1">IF(TabCalc[[#This Row],[ntoBuy]]*TabCalc[[#This Row],[M]]&lt;=0,0,TabCalc[[#This Row],[ntoBuy]]*TabCalc[[#This Row],[M]])</f>
        <v>22911.733046286332</v>
      </c>
      <c r="CV87" s="406">
        <f ca="1">IF(TabCalc[[#This Row],[M]]&gt;ABS(TabCalc[[#This Row],[L_Bp]]),MIN(TabCalc[[#This Row],[NAfter]],DesiredSaleGain/(TabCalc[[#This Row],[M]]+TabCalc[[#This Row],[L_Bp]])),0)/TabCalc[[#This Row],[Scale]]</f>
        <v>0</v>
      </c>
      <c r="CW87" s="407">
        <f ca="1">TabCalc[[#This Row],[ntoSell]]*TabCalc[[#This Row],[M]]</f>
        <v>0</v>
      </c>
      <c r="CX87" s="400">
        <f ca="1">_xlfn.LET(_xlpm.nToSell,IF(TabCalc[[#This Row],[M]]-TabCalc[[#This Row],[A]]&lt;=0,"",INT(DesiredSaleGain/(TabCalc[[#This Row],[M]]-IF(TabCalc[[#This Row],[E]]&gt;0,0,TabCalc[[#This Row],[A]])))),IF(_xlpm.nToSell&lt;=TabCalc[[#This Row],[NAfter]],_xlpm.nToSell,0))</f>
        <v>0</v>
      </c>
      <c r="CY87" s="338">
        <f ca="1">IFERROR(TabCalc[[#This Row],[NMA]]*TabCalc[[#This Row],[M]],"")</f>
        <v>0</v>
      </c>
      <c r="CZ87" s="337" cm="1">
        <f t="array" aca="1" ref="CZ87" ca="1">_xlfn.IFS(TabCalc[[#This Row],[M]]&gt;= TabCalc[[#This Row],[L_Sp]],(TabCalc[[#This Row],[M]]-TabCalc[[#This Row],[A]])*TabCalc[[#This Row],[NAfter]]*TabCalc[[#This Row],[Scale]],           TabCalc[[#This Row],[M]]&lt; TabCalc[[#This Row],[L_Sp]],(TabCalc[[#This Row],[M]]-TabCalc[[#This Row],[A]])*TabCalc[[#This Row],[NAfter]]*TabCalc[[#This Row],[Scale]],               TRUE,"")</f>
        <v>-47057.899999999987</v>
      </c>
      <c r="DA87" s="90">
        <f ca="1">IFERROR((TabCalc[[#This Row],[M]]+TabCalc[[#This Row],[L_Bp]])/ABS(TabCalc[[#This Row],[L_Bp]])/(TODAY()-TabCalc[[#This Row],[L_Bdate]])*360,"")</f>
        <v>-0.15958961585340392</v>
      </c>
      <c r="DB87" s="312">
        <f ca="1">MEDIAN(DataShift!F786:Z786)</f>
        <v>6.8519999999999996E-4</v>
      </c>
      <c r="DC87" s="312" t="str" cm="1">
        <f t="array" aca="1" ref="DC8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87" s="88" t="s">
        <v>82</v>
      </c>
      <c r="DN87" s="81">
        <v>330</v>
      </c>
      <c r="DO87" s="317">
        <v>-353.12</v>
      </c>
    </row>
    <row r="88" spans="1:119">
      <c r="A88" s="120" t="str">
        <f ca="1">_xlfn.XLOOKUP(TabCalc[[#This Row],[Ticker]],[1]!RTData[Ticker symbol],[1]!RTData[Currency])</f>
        <v>USD</v>
      </c>
      <c r="B88" s="121">
        <f ca="1">IF(TabCalc[[#This Row],[Cur]]="GBP",0.01,1)</f>
        <v>1</v>
      </c>
      <c r="C88" s="82">
        <f ca="1">_xlfn.XLOOKUP(TabCalc[[#This Row],[Ticker]],DM$3:DM$96,DN$3:DN$96)</f>
        <v>1300</v>
      </c>
      <c r="D88" s="1254">
        <f ca="1">_xlfn.XLOOKUP(TabCalc[[#This Row],[Ticker]],DM$3:DM$96,DO$3:DO$96)</f>
        <v>-41.52</v>
      </c>
      <c r="E88" s="121">
        <f t="shared" ca="1" si="4"/>
        <v>-53976.000000000007</v>
      </c>
      <c r="F88" s="82">
        <f ca="1">TabCalc[[#This Row],[NAfter]]*TabCalc[[#This Row],[M]]*TabCalc[[#This Row],[Scale]]</f>
        <v>39616</v>
      </c>
      <c r="G88" s="82">
        <f ca="1">IFERROR(TabCalc[[#This Row],[SB]]-TabCalc[[#This Row],[SST]],TabCalc[[#This Row],[SB]])</f>
        <v>1600</v>
      </c>
      <c r="H88" s="535" t="str">
        <f ca="1">[1]!RTData[[#This Row],[Ticker symbol]]</f>
        <v>PFE</v>
      </c>
      <c r="I88" s="385">
        <f ca="1">[1]!RTData[[#This Row],[M-Price]]</f>
        <v>24.76</v>
      </c>
      <c r="J88" s="384">
        <v>24.94</v>
      </c>
      <c r="K88" s="383">
        <f>[1]!RTData[[#This Row],[1YT]]</f>
        <v>28.80864</v>
      </c>
      <c r="L88" s="384">
        <f ca="1">IF(OR(TabCalc[[#This Row],[NAfter]]=0,TabCalc[[#This Row],[EfCost]]&gt;0),0,TabCalc[[#This Row],[EfCost]]/TabCalc[[#This Row],[NAfter]]/TabCalc[[#This Row],[Scale]])</f>
        <v>-29.97067375</v>
      </c>
      <c r="M88" s="744">
        <f ca="1">[1]!RTData[[#This Row],[Change%]]</f>
        <v>3.6480000000000002E-3</v>
      </c>
      <c r="N88" s="1172">
        <v>0.55555555555555558</v>
      </c>
      <c r="O88" s="966">
        <f>TabCalc[[#This Row],[Up20]]-1+TabCalc[[#This Row],[Up20]]</f>
        <v>0.11111111111111116</v>
      </c>
      <c r="P88" s="966">
        <f>TabCalc[[#This Row],[Up20]]-TabCalc[[#This Row],[Up150]]</f>
        <v>2.8282828282828354E-2</v>
      </c>
      <c r="Q88" s="966">
        <v>0.52727272727272723</v>
      </c>
      <c r="R88" s="966">
        <f>TabCalc[[#This Row],[Up150]]-1+TabCalc[[#This Row],[Up150]]</f>
        <v>5.4545454545454453E-2</v>
      </c>
      <c r="S88" s="966">
        <f ca="1">IFERROR(SUMPRODUCT(DataShift!F1580:Z1580,DataShift!AB787:AV787)/SQRT(SUMPRODUCT(DataShift!F1580:Z1580,DataShift!F1580:Z1580)*SUMPRODUCT(DataShift!AB787:AV787,DataShift!AB787:AV787)),0)</f>
        <v>-0.83418168416747052</v>
      </c>
      <c r="T88" s="966">
        <f ca="1">IFERROR(SUMPRODUCT(DataShift!F1580:Z1580,DataShift!F787:Z787)/SQRT(SUMPRODUCT(DataShift!F1580:Z1580,DataShift!F1580:Z1580)*SUMPRODUCT(DataShift!F787:Z787,DataShift!F787:Z787)),0)</f>
        <v>0.28058910942508919</v>
      </c>
      <c r="U88" s="1107">
        <v>0</v>
      </c>
      <c r="V88" s="1107">
        <v>1600</v>
      </c>
      <c r="W88" s="1107">
        <v>0</v>
      </c>
      <c r="X88" s="966" t="str">
        <f ca="1">IF(TabCalc[[#This Row],[EfCost]]+TabCalc[[#This Row],[M_V]]&lt;TabCalc[[#This Row],[NoT_GL]],"Pile","")</f>
        <v/>
      </c>
      <c r="Y8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8" s="213">
        <f ca="1">MIN(TabCalc[[#This Row],[L_Bn]],TabCalc[[#This Row],[NAfter]])*(TabCalc[[#This Row],[M]]+TabCalc[[#This Row],[L_Bp]])*TabCalc[[#This Row],[Scale]]</f>
        <v>-287.99999999999955</v>
      </c>
      <c r="AA88" s="210" cm="1">
        <f t="array" aca="1" ref="AA88" ca="1">_xlfn.XLOOKUP(TabCalc[[#This Row],[L_Bp]],INDIRECT("TabReg["&amp;TabCalc[[#This Row],[Ticker]]&amp;"2]"),INDIRECT("TabReg["&amp;TabCalc[[#This Row],[Ticker]]&amp;"]"))</f>
        <v>45617</v>
      </c>
      <c r="AB88" s="181" cm="1">
        <f t="array" aca="1" ref="AB88" ca="1">_xlfn.XLOOKUP(TabCalc[[#This Row],[L_Bp]],INDIRECT("TabReg["&amp;TabCalc[[#This Row],[Ticker]]&amp;"2]"),INDIRECT("TabReg["&amp;TabCalc[[#This Row],[Ticker]]&amp;"1]"))</f>
        <v>1600</v>
      </c>
      <c r="AC88" s="192" cm="1">
        <f t="array" aca="1" ref="AC88" ca="1">IFERROR(INDEX(INDIRECT("TabReg["&amp;TabCalc[[#This Row],[Ticker]]&amp;"2]"),    _xlfn.XMATCH(    MAX(    _xlfn._xlws.FILTER(INDIRECT("TabReg["&amp;TabCalc[[#This Row],[Ticker]]&amp;"]"), INDIRECT("TabReg["&amp;TabCalc[[#This Row],[Ticker]]&amp;"2]")&lt;0)     ), INDIRECT("TabReg["&amp;TabCalc[[#This Row],[Ticker]]&amp;"]"),      0)), "")</f>
        <v>-24.94</v>
      </c>
      <c r="AD88" s="213">
        <f ca="1">IFERROR(MIN(TabCalc[[#This Row],[L_B1n]],TabCalc[[#This Row],[NAfter]])*(TabCalc[[#This Row],[M]]+TabCalc[[#This Row],[L_B1p]])*TabCalc[[#This Row],[Scale]],"")</f>
        <v>-5063.9999999999982</v>
      </c>
      <c r="AE88" s="210" cm="1">
        <f t="array" aca="1" ref="AE8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88" s="181" cm="1">
        <f t="array" aca="1" ref="AF88" ca="1">IFERROR(_xlfn.XLOOKUP(TabCalc[[#This Row],[L_B1D]],INDIRECT("TabReg["&amp;TabCalc[[#This Row],[Ticker]]&amp;"]"),INDIRECT("TabReg["&amp;TabCalc[[#This Row],[Ticker]]&amp;"1]")),0)</f>
        <v>2000</v>
      </c>
      <c r="AG88" s="192" cm="1">
        <f t="array" aca="1" ref="AG88" ca="1">IFERROR(_xlfn.XLOOKUP(TabCalc[[#This Row],[L_B1D]],INDIRECT("TabReg["&amp;TabCalc[[#This Row],[Ticker]]&amp;"]"),INDIRECT("TabReg["&amp;TabCalc[[#This Row],[Ticker]]&amp;"2]")),0)</f>
        <v>-27.925000000000001</v>
      </c>
      <c r="AH88" s="302">
        <f ca="1">IFERROR(TabCalc[[#This Row],[L_Sn]]*(TabCalc[[#This Row],[L_Sp]]-TabCalc[[#This Row],[M]])*TabCalc[[#This Row],[Scale]],"")</f>
        <v>10335.821999999998</v>
      </c>
      <c r="AI88" s="210" cm="1">
        <f t="array" aca="1" ref="AI88" ca="1">IFERROR(_xlfn.XLOOKUP(TabCalc[[#This Row],[L_Sp]],INDIRECT("TabReg["&amp;TabCalc[[#This Row],[Ticker]]&amp;"2]"),INDIRECT("TabReg["&amp;TabCalc[[#This Row],[Ticker]]&amp;"]")),0)</f>
        <v>45492</v>
      </c>
      <c r="AJ88" s="181" cm="1">
        <f t="array" aca="1" ref="AJ88" ca="1">IFERROR(_xlfn.XLOOKUP(TabCalc[[#This Row],[L_Sp]],INDIRECT("TabReg["&amp;TabCalc[[#This Row],[Ticker]]&amp;"2]"),INDIRECT("TabReg["&amp;TabCalc[[#This Row],[Ticker]]&amp;"1]")),0)</f>
        <v>2010</v>
      </c>
      <c r="AK88" s="192" cm="1">
        <f t="array" aca="1" ref="AK88" ca="1">IFERROR(INDEX(INDIRECT("TabReg["&amp;TabCalc[[#This Row],[Ticker]]&amp;"2]"), _xlfn.XMATCH(MAX(_xlfn._xlws.FILTER(INDIRECT("TabReg["&amp;TabCalc[[#This Row],[Ticker]]&amp;"]"), INDIRECT("TabReg["&amp;TabCalc[[#This Row],[Ticker]]&amp;"2]")&gt;0)), INDIRECT("TabReg["&amp;TabCalc[[#This Row],[Ticker]]&amp;"]"), 0)), 0)</f>
        <v>29.902200000000001</v>
      </c>
      <c r="AL88" s="214">
        <f ca="1">IFERROR(TabCalc[[#This Row],[L_S1n]]*(TabCalc[[#This Row],[L_S1p]]-TabCalc[[#This Row],[M]])*TabCalc[[#This Row],[Scale]],0)</f>
        <v>6895.3499999999995</v>
      </c>
      <c r="AM88" s="210" cm="1">
        <f t="array" aca="1" ref="AM8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45474</v>
      </c>
      <c r="AN88" s="181" cm="1">
        <f t="array" aca="1" ref="AN88" ca="1">IFERROR(_xlfn.XLOOKUP(TabCalc[[#This Row],[L_S1D]],INDIRECT("TabReg["&amp;TabCalc[[#This Row],[Ticker]]&amp;"]"),INDIRECT("TabReg["&amp;TabCalc[[#This Row],[Ticker]]&amp;"1]")),0)</f>
        <v>1990</v>
      </c>
      <c r="AO88" s="384" cm="1">
        <f t="array" aca="1" ref="AO88" ca="1">IFERROR(_xlfn.XLOOKUP(TabCalc[[#This Row],[L_S1D]],INDIRECT("TabReg["&amp;TabCalc[[#This Row],[Ticker]]&amp;"]"),INDIRECT("TabReg["&amp;TabCalc[[#This Row],[Ticker]]&amp;"2]")),0)</f>
        <v>28.225000000000001</v>
      </c>
      <c r="AP88" s="336">
        <f ca="1">_xlfn.LET(_xlpm.MVOpen,[1]!RTData[[#This Row],[Open]]*TabCalc[[#This Row],[NAfter]],_xlpm.MVNow,TabCalc[[#This Row],[M]]*TabCalc[[#This Row],[NAfter]],_xlpm.MVNow-_xlpm.MVOpen)*TabCalc[[#This Row],[Scale]]</f>
        <v>104</v>
      </c>
      <c r="AQ88" s="336">
        <f ca="1">_xlfn.LET(_xlpm.MVToday,DataShift!AV588,         _xlpm.MVY,DataShift!AU588,        _xlpm.MVYY, DataShift!AT588,                                IF(_xlpm.MVToday=_xlpm.MVY,_xlpm.MVY-_xlpm.MVYY,_xlpm.MVToday-_xlpm.MVY))</f>
        <v>-276</v>
      </c>
      <c r="AR88" s="336">
        <f ca="1">_xlfn.LET(_xlpm.MVToday,DataShift!AV588,         _xlpm.MVY,DataShift!AU588,        _xlpm.MVYY, DataShift!AT588,         _xlpm.MVYYY, DataShift!AS588,                      IF(_xlpm.MVToday=_xlpm.MVY,      _xlpm.MVYY-_xlpm.MVYYY,          _xlpm.MVY-_xlpm.MVYY))</f>
        <v>96</v>
      </c>
      <c r="AS88" s="1078">
        <f ca="1">TabCalc[[#This Row],[Y]]/TabCalc[[#This Row],[M]]</f>
        <v>1.1635153473344102</v>
      </c>
      <c r="AT88" s="299" t="str" cm="1">
        <f t="array" aca="1" ref="AT88" ca="1">IFERROR(_xlfn.IFS(          TabCalc[[#This Row],[E]]&gt;0, "Free Trade",      TabCalc[[#This Row],[A]]&lt;MIN(TabCalc[[#This Row],[L_Sp]],TabCalc[[#This Row],[M]]), "Buy",            TabCalc[[#This Row],[M]]&lt;TabCalc[[#This Row],[L_Sp]],       "Refill",       TabCalc[[#This Row],[M]]&gt;TabCalc[[#This Row],[L_Sp]],"S_more"),"")</f>
        <v>Refill</v>
      </c>
      <c r="AU88" s="299" t="str">
        <f ca="1">IF(           AND(TabCalc[[#This Row],[E]]&lt;=0,          TabCalc[[#This Row],[A]]&gt;MIN(TabCalc[[#This Row],[M]],TabCalc[[#This Row],[L_Sp]]),             TabCalc[[#This Row],[L_Sp]]&lt;=TabCalc[[#This Row],[M]]),                       "S_more","")</f>
        <v/>
      </c>
      <c r="AV88" s="82" t="str" cm="1">
        <f t="array" aca="1" ref="AV88" ca="1">IFERROR(_xlfn.IFS(TabCalc[[#This Row],[E]]&gt;0,"Free trade",                 TabCalc[[#This Row],[A]]&lt;MAX(ABS(TabCalc[[#This Row],[L_Bp]]),TabCalc[[#This Row],[A]]),"Sell",             TabCalc[[#This Row],[M]]&gt;ABS(TabCalc[[#This Row],[L_Bp]]),"Resell",             TabCalc[[#This Row],[M]]&lt;ABS(TabCalc[[#This Row],[L_Bp]]),"B_more"),"")</f>
        <v>B_more</v>
      </c>
      <c r="AW88" s="82">
        <f ca="1">TabCalc[[#This Row],[NAfter]]-TabCalc[[#This Row],[Nbegin]]</f>
        <v>300</v>
      </c>
      <c r="AX88" s="307">
        <f ca="1">IFERROR((TabCalc[[#This Row],[M]]-TabCalc[[#This Row],[Y]])*(TabCalc[[#This Row],[M]]-TabCalc[[#This Row],[Y]])*(TabCalc[[#This Row],[M]]-TabCalc[[#This Row],[Y]])/(TabCalc[[#This Row],[Y]]*TabCalc[[#This Row],[M]]),"")</f>
        <v>-9.303665504600056E-2</v>
      </c>
      <c r="AY88" s="82">
        <f t="shared" ca="1" si="5"/>
        <v>0</v>
      </c>
      <c r="AZ88" s="90">
        <f ca="1">[1]!RTData[[#This Row],[V/VA]]</f>
        <v>0.46671560948294799</v>
      </c>
      <c r="BA88" s="90" t="str" cm="1">
        <f t="array" aca="1" ref="BA88" ca="1">IFERROR(_xlfn.IFS(TabCalc[[#This Row],[Cur]]="USD",Timer!F$27,TabCalc[[#This Row],[Cur]]="EUR",Timer!F$18,TabCalc[[#This Row],[Cur]]="GBP",Timer!F$12,TabCalc[[#This Row],[Cur]]="CAD",Timer!F$27,TabCalc[[#This Row],[Cur]]="JPY",Timer!F$31,TabCalc[[#This Row],[Cur]]="CHF",Timer!F$18),"Timing")</f>
        <v>None-Working Day</v>
      </c>
      <c r="BB88" s="90">
        <f ca="1">IF(ISNUMBER(TabCalc[[#This Row],[TimeEX]]),TabCalc[[#This Row],[V/VA]]/TabCalc[[#This Row],[TimeEX]],TabCalc[[#This Row],[V/VA]])</f>
        <v>0.46671560948294799</v>
      </c>
      <c r="BC88" s="87" cm="1">
        <f t="array" aca="1" ref="BC88" ca="1">INDEX(TabReg[], 1, _xlfn.XMATCH(TabCalc[[#This Row],[Ticker]]&amp;1, TabReg[#Headers], 0))</f>
        <v>1300</v>
      </c>
      <c r="BD88" s="161">
        <f ca="1">TabCalc[[#This Row],[Nbegin]]*TabCalc[[#This Row],[M]]*TabCalc[[#This Row],[Scale]]+TabCalc[[#This Row],[ValueBegin]]</f>
        <v>-21788.000000000004</v>
      </c>
      <c r="BE88" s="336" t="str" cm="1">
        <f t="array" aca="1" ref="BE88" ca="1">_xlfn.IFS(TabCalc[[#This Row],[Cost+Gain]]&gt;0,"Free",             TabCalc[[#This Row],[GL]]&gt;0,"Gainer",                TRUE,"Looser")</f>
        <v>Looser</v>
      </c>
      <c r="BF88" s="161">
        <f ca="1">TabCalc[[#This Row],[Tot_Paid]]-TabCalc[[#This Row],[ValueBegin]]</f>
        <v>-227035.98644999997</v>
      </c>
      <c r="BG88" s="337">
        <f ca="1">IF(TabCalc[[#This Row],[EfCost]]&gt;TabCalc[[#This Row],[ValueBegin]],       0,        TabCalc[[#This Row],[EfCost]]-TabCalc[[#This Row],[ValueBegin]]*(1+Commission))</f>
        <v>0</v>
      </c>
      <c r="BH88" s="338">
        <f ca="1">TabCalc[[#This Row],[M_V]]+TabCalc[[#This Row],[ValueBegin]]</f>
        <v>-14360.000000000007</v>
      </c>
      <c r="BI88" s="161" cm="1">
        <f t="array" aca="1" ref="BI88" ca="1">SUMPRODUCT(_xlfn._xlws.FILTER(INDIRECT("TabReg["&amp;TabCalc[[#This Row],[Ticker]]&amp;"1]") * INDIRECT("TabReg["&amp;TabCalc[[#This Row],[Ticker]]&amp;"2]"), INDIRECT("TabReg["&amp;TabCalc[[#This Row],[Ticker]]&amp;"2]")&lt;0))*(1+Commission)*TabCalc[[#This Row],[Scale]]</f>
        <v>-281011.98644999997</v>
      </c>
      <c r="BJ88" s="161" cm="1">
        <f t="array" aca="1" ref="BJ88" ca="1">SUMPRODUCT(IF(INDIRECT("TabReg["&amp;TabCalc[[#This Row],[Ticker]]&amp;"2]") ="", 0, INDIRECT("TabReg["&amp;TabCalc[[#This Row],[Ticker]]&amp;"1]") * INDIRECT("TabReg["&amp;TabCalc[[#This Row],[Ticker]]&amp;"2]") ))*TabCalc[[#This Row],[Scale]]</f>
        <v>-47953.078000000001</v>
      </c>
      <c r="BK88" s="161" cm="1">
        <f t="array" aca="1" ref="BK8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231726.11355279997</v>
      </c>
      <c r="BL88" s="161">
        <f ca="1">TabCalc[[#This Row],[M_V]]+TabCalc[[#This Row],[EfCost]]</f>
        <v>-8337.0780000000013</v>
      </c>
      <c r="BM88" s="161">
        <f ca="1">IF(        OR( TabCalc[[#This Row],[GL]]&gt;ABS(TabCalc[[#This Row],[EfCost]]),TabCalc[[#This Row],[NAfter]]=0),             TabCalc[[#This Row],[GL]],     0)</f>
        <v>0</v>
      </c>
      <c r="BN88" s="161" cm="1">
        <f t="array" aca="1" ref="BN88" ca="1">SUMPRODUCT(_xlfn._xlws.FILTER(IF(INDIRECT("TabReg["&amp;TabCalc[[#This Row],[Ticker]]&amp;"2]") ="", 0, INDIRECT("TabReg["&amp;TabCalc[[#This Row],[Ticker]]&amp;"1]")  ),  INDIRECT("TabReg["&amp;TabCalc[[#This Row],[Ticker]]&amp;"2]") &lt; 0))</f>
        <v>9900</v>
      </c>
      <c r="BO88" s="161">
        <f ca="1">TabCalc[[#This Row],[SB]]-TabCalc[[#This Row],[Nbegin]]</f>
        <v>8600</v>
      </c>
      <c r="BP88" s="161" cm="1">
        <f t="array" aca="1" ref="BP88" ca="1">IFERROR(SUMPRODUCT(_xlfn._xlws.FILTER(IF(INDIRECT("TabReg["&amp;TabCalc[[#This Row],[Ticker]]&amp;"2]") ="", 0, INDIRECT("TabReg["&amp;TabCalc[[#This Row],[Ticker]]&amp;"1]")  ),  INDIRECT("TabReg["&amp;TabCalc[[#This Row],[Ticker]]&amp;"2]") &gt; 0)),0)</f>
        <v>8300</v>
      </c>
      <c r="BQ88"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46.71</v>
      </c>
      <c r="BR88" s="176" t="str">
        <f ca="1">IF(TabCalc[[#This Row],[EfCost]]+TabCalc[[#This Row],[M_V]]&lt;TabCalc[[#This Row],[NoT_GL]],"Pile","")</f>
        <v/>
      </c>
      <c r="BS88" s="167">
        <f ca="1">[1]!RTData[[#This Row],[Last trade time]]</f>
        <v>45954.999986191404</v>
      </c>
      <c r="BT88" s="177">
        <f ca="1">(TabCalc[[#This Row],[ValueBegin]]+(TabCalc[[#This Row],[M]]-TabCalc[[#This Row],[A]])*TabCalc[[#This Row],[NAfter]])*TabCalc[[#This Row],[Scale]]</f>
        <v>-54264.000000000007</v>
      </c>
      <c r="BU88" s="189" cm="1">
        <f t="array" aca="1" ref="BU88" ca="1">_xlfn.XLOOKUP(TabCalc[[#This Row],[Ticker]],TabReg[[#Headers],[AAPL]:[UnknownX28]],Reg!B$72:KF$72)+3</f>
        <v>12</v>
      </c>
      <c r="BV88" s="190" cm="1">
        <f t="array" aca="1" ref="BV88" ca="1">_xlfn.XLOOKUP(TabCalc[[#This Row],[Ticker]],TabReg[[#Headers],[AAPL]:[UnknownX28]],Reg!B$73:KF$73)+2</f>
        <v>261</v>
      </c>
      <c r="BW88" s="191">
        <f ca="1">IFERROR(MAX(TabCalc[[#This Row],[Max_SD]],TabCalc[[#This Row],[Max_PD]]),0)</f>
        <v>45617</v>
      </c>
      <c r="BX88" s="191" t="str" cm="1">
        <f t="array" aca="1" ref="BX88" ca="1">_xlfn.IFS(TabCalc[[#This Row],[L_TP]]&lt;0,"Purchase",TabCalc[[#This Row],[L_TP]]&gt;0,"Sale")</f>
        <v>Purchase</v>
      </c>
      <c r="BY88" s="190" cm="1">
        <f t="array" aca="1" ref="BY88" ca="1">INDEX(Reg!$A$1:$KF$73,TabCalc[[#This Row],[L_I1]],TabCalc[[#This Row],[L_I2]])</f>
        <v>1600</v>
      </c>
      <c r="BZ88" s="192" cm="1">
        <f t="array" aca="1" ref="BZ88" ca="1">INDEX(Reg!$A$1:$KF$73,TabCalc[[#This Row],[L_I1]],TabCalc[[#This Row],[L_I2]]+1)</f>
        <v>-24.94</v>
      </c>
      <c r="CA88" s="161">
        <f ca="1">TabCalc[[#This Row],[NAfter]]*(TabCalc[[#This Row],[M]]-IF(TabCalc[[#This Row],[E]]&gt;0,0,TabCalc[[#This Row],[A]]))</f>
        <v>-287.99999999999955</v>
      </c>
      <c r="CB88" s="167" cm="1">
        <f t="array" aca="1" ref="CB88" ca="1">IFERROR(MIN(_xlfn._xlws.FILTER(INDIRECT("TabReg["&amp;TabCalc[[#This Row],[Ticker]]&amp;"]"), INDIRECT("TabReg["&amp;TabCalc[[#This Row],[Ticker]]&amp;"2]")&gt;0)),0)</f>
        <v>45378</v>
      </c>
      <c r="CC88" s="178" cm="1">
        <f t="array" aca="1" ref="CC88" ca="1">IFERROR(MIN(_xlfn._xlws.FILTER(INDIRECT("TabReg["&amp;TabCalc[[#This Row],[Ticker]]&amp;"1]"), INDIRECT("TabReg["&amp;TabCalc[[#This Row],[Ticker]]&amp;"2]")&gt;0)),0)</f>
        <v>800</v>
      </c>
      <c r="CD88" s="173" cm="1">
        <f t="array" aca="1" ref="CD88" ca="1">IFERROR(MIN(_xlfn._xlws.FILTER(INDIRECT("TabReg["&amp;TabCalc[[#This Row],[Ticker]]&amp;"2]"), INDIRECT("TabReg["&amp;TabCalc[[#This Row],[Ticker]]&amp;"2]")&gt;0)),0)</f>
        <v>26.81</v>
      </c>
      <c r="CE88" s="167" cm="1">
        <f t="array" aca="1" ref="CE88" ca="1">IFERROR(MAX(_xlfn._xlws.FILTER(INDIRECT("TabReg["&amp;TabCalc[[#This Row],[Ticker]]&amp;"]"), INDIRECT("TabReg["&amp;TabCalc[[#This Row],[Ticker]]&amp;"2]")&gt;0)),0)</f>
        <v>45492</v>
      </c>
      <c r="CF88" s="178" cm="1">
        <f t="array" aca="1" ref="CF88" ca="1">IFERROR(MAX(_xlfn._xlws.FILTER(INDIRECT("TabReg["&amp;TabCalc[[#This Row],[Ticker]]&amp;"1]"), INDIRECT("TabReg["&amp;TabCalc[[#This Row],[Ticker]]&amp;"2]")&gt;0)),0)</f>
        <v>3500</v>
      </c>
      <c r="CG88" s="173" cm="1">
        <f t="array" aca="1" ref="CG88" ca="1">IFERROR(MAX(_xlfn._xlws.FILTER(INDIRECT("TabReg["&amp;TabCalc[[#This Row],[Ticker]]&amp;"2]"), INDIRECT("TabReg["&amp;TabCalc[[#This Row],[Ticker]]&amp;"2]")&gt;0)),0)</f>
        <v>29.902200000000001</v>
      </c>
      <c r="CH88" s="167" cm="1">
        <f t="array" aca="1" ref="CH88" ca="1">MIN(_xlfn._xlws.FILTER(INDIRECT("TabReg["&amp;TabCalc[[#This Row],[Ticker]]&amp;"]"), INDIRECT("TabReg["&amp;TabCalc[[#This Row],[Ticker]]&amp;"2]")&lt;0))</f>
        <v>40544</v>
      </c>
      <c r="CI88" s="177" cm="1">
        <f t="array" aca="1" ref="CI88" ca="1">MIN(_xlfn._xlws.FILTER(INDIRECT("TabReg["&amp;TabCalc[[#This Row],[Ticker]]&amp;"1]"), INDIRECT("TabReg["&amp;TabCalc[[#This Row],[Ticker]]&amp;"2]")&lt;0))</f>
        <v>1300</v>
      </c>
      <c r="CJ88" s="173" cm="1">
        <f t="array" aca="1" ref="CJ88" ca="1">MIN(_xlfn._xlws.FILTER(INDIRECT("TabReg["&amp;TabCalc[[#This Row],[Ticker]]&amp;"2]"), INDIRECT("TabReg["&amp;TabCalc[[#This Row],[Ticker]]&amp;"2]")&lt;0))</f>
        <v>-41.52</v>
      </c>
      <c r="CK88" s="167" cm="1">
        <f t="array" aca="1" ref="CK88" ca="1">MAX(_xlfn._xlws.FILTER(INDIRECT("TabReg["&amp;TabCalc[[#This Row],[Ticker]]&amp;"]"), INDIRECT("TabReg["&amp;TabCalc[[#This Row],[Ticker]]&amp;"2]")&lt;0))</f>
        <v>45617</v>
      </c>
      <c r="CL88" s="177" cm="1">
        <f t="array" aca="1" ref="CL88" ca="1">MAX(_xlfn._xlws.FILTER(INDIRECT("TabReg["&amp;TabCalc[[#This Row],[Ticker]]&amp;"1]"), INDIRECT("TabReg["&amp;TabCalc[[#This Row],[Ticker]]&amp;"2]")&lt;0))</f>
        <v>3500</v>
      </c>
      <c r="CM88" s="173" cm="1">
        <f t="array" aca="1" ref="CM88" ca="1">MAX(_xlfn._xlws.FILTER(INDIRECT("TabReg["&amp;TabCalc[[#This Row],[Ticker]]&amp;"2]"), INDIRECT("TabReg["&amp;TabCalc[[#This Row],[Ticker]]&amp;"2]")&lt;0))</f>
        <v>-24.94</v>
      </c>
      <c r="CN88" s="167" cm="1">
        <f t="array" aca="1" ref="CN88" ca="1">IFERROR(_xlfn.XLOOKUP(TabCalc[[#This Row],[BS2P]],INDIRECT("TabReg["&amp;TabCalc[[#This Row],[Ticker]]&amp;"2]"),INDIRECT("TabReg["&amp;TabCalc[[#This Row],[Ticker]]&amp;"]")),0)</f>
        <v>45474</v>
      </c>
      <c r="CO88" s="178" cm="1">
        <f t="array" aca="1" ref="CO88" ca="1">IFERROR(_xlfn.XLOOKUP(TabCalc[[#This Row],[BS2P]],INDIRECT("TabReg["&amp;TabCalc[[#This Row],[Ticker]]&amp;"2]"),INDIRECT("TabReg["&amp;TabCalc[[#This Row],[Ticker]]&amp;"1]")),0)</f>
        <v>1990</v>
      </c>
      <c r="CP88" s="173">
        <f ca="1">_xlfn.MAXIFS(INDIRECT("TabReg["&amp;TabCalc[[#This Row],[Ticker]]&amp;"2]"), INDIRECT("TabReg["&amp;TabCalc[[#This Row],[Ticker]]&amp;"2]"), "&lt;" &amp; MAX(INDIRECT("TabReg["&amp;TabCalc[[#This Row],[Ticker]]&amp;"2]")))</f>
        <v>28.225000000000001</v>
      </c>
      <c r="CQ88" s="167" cm="1">
        <f t="array" aca="1" ref="CQ88" ca="1">IFERROR(_xlfn.XLOOKUP(TabCalc[[#This Row],[WB2P]],INDIRECT("TabReg["&amp;TabCalc[[#This Row],[Ticker]]&amp;"2]"),INDIRECT("TabReg["&amp;TabCalc[[#This Row],[Ticker]]&amp;"]")),0)</f>
        <v>45481</v>
      </c>
      <c r="CR88" s="178" cm="1">
        <f t="array" aca="1" ref="CR88" ca="1">IFERROR(_xlfn.XLOOKUP(TabCalc[[#This Row],[WB2P]],INDIRECT("TabReg["&amp;TabCalc[[#This Row],[Ticker]]&amp;"2]"),INDIRECT("TabReg["&amp;TabCalc[[#This Row],[Ticker]]&amp;"1]")),0)</f>
        <v>2000</v>
      </c>
      <c r="CS88" s="173">
        <f ca="1">_xlfn.MINIFS(INDIRECT("TabReg["&amp;TabCalc[[#This Row],[Ticker]]&amp;"2]"), INDIRECT("TabReg["&amp;TabCalc[[#This Row],[Ticker]]&amp;"2]"), "&gt;" &amp; MIN(INDIRECT("TabReg["&amp;TabCalc[[#This Row],[Ticker]]&amp;"2]")))</f>
        <v>-27.925000000000001</v>
      </c>
      <c r="CT88" s="405">
        <f ca="1">IF(TabCalc[[#This Row],[M]]&lt;TabCalc[[#This Row],[L_Sp]],DesiredBuyGain/(TabCalc[[#This Row],[L_Sp]]-TabCalc[[#This Row],[M]]),0)</f>
        <v>972.34646649294098</v>
      </c>
      <c r="CU88" s="406">
        <f ca="1">IF(TabCalc[[#This Row],[ntoBuy]]*TabCalc[[#This Row],[M]]&lt;=0,0,TabCalc[[#This Row],[ntoBuy]]*TabCalc[[#This Row],[M]])</f>
        <v>24075.298510365221</v>
      </c>
      <c r="CV88" s="406">
        <f ca="1">IF(TabCalc[[#This Row],[M]]&gt;ABS(TabCalc[[#This Row],[L_Bp]]),MIN(TabCalc[[#This Row],[NAfter]],DesiredSaleGain/(TabCalc[[#This Row],[M]]+TabCalc[[#This Row],[L_Bp]])),0)/TabCalc[[#This Row],[Scale]]</f>
        <v>0</v>
      </c>
      <c r="CW88" s="407">
        <f ca="1">TabCalc[[#This Row],[ntoSell]]*TabCalc[[#This Row],[M]]</f>
        <v>0</v>
      </c>
      <c r="CX88" s="400">
        <f ca="1">_xlfn.LET(_xlpm.nToSell,IF(TabCalc[[#This Row],[M]]-TabCalc[[#This Row],[A]]&lt;=0,"",INT(DesiredSaleGain/(TabCalc[[#This Row],[M]]-IF(TabCalc[[#This Row],[E]]&gt;0,0,TabCalc[[#This Row],[A]])))),IF(_xlpm.nToSell&lt;=TabCalc[[#This Row],[NAfter]],_xlpm.nToSell,0))</f>
        <v>0</v>
      </c>
      <c r="CY88" s="338">
        <f ca="1">IFERROR(TabCalc[[#This Row],[NMA]]*TabCalc[[#This Row],[M]],"")</f>
        <v>0</v>
      </c>
      <c r="CZ88" s="337" cm="1">
        <f t="array" aca="1" ref="CZ88" ca="1">_xlfn.IFS(TabCalc[[#This Row],[M]]&gt;= TabCalc[[#This Row],[L_Sp]],(TabCalc[[#This Row],[M]]-TabCalc[[#This Row],[A]])*TabCalc[[#This Row],[NAfter]]*TabCalc[[#This Row],[Scale]],           TabCalc[[#This Row],[M]]&lt; TabCalc[[#This Row],[L_Sp]],(TabCalc[[#This Row],[M]]-TabCalc[[#This Row],[A]])*TabCalc[[#This Row],[NAfter]]*TabCalc[[#This Row],[Scale]],               TRUE,"")</f>
        <v>-287.99999999999955</v>
      </c>
      <c r="DA88" s="90">
        <f ca="1">IFERROR((TabCalc[[#This Row],[M]]+TabCalc[[#This Row],[L_Bp]])/ABS(TabCalc[[#This Row],[L_Bp]])/(TODAY()-TabCalc[[#This Row],[L_Bdate]])*360,"")</f>
        <v>-7.6644122886076905E-3</v>
      </c>
      <c r="DB88" s="312">
        <f ca="1">MEDIAN(DataShift!F787:Z787)</f>
        <v>-2.4720000000000002E-3</v>
      </c>
      <c r="DC88" s="312" t="str" cm="1">
        <f t="array" aca="1" ref="DC8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88" s="88" t="s">
        <v>83</v>
      </c>
      <c r="DN88" s="81">
        <v>2700</v>
      </c>
      <c r="DO88" s="317">
        <v>-59.3</v>
      </c>
    </row>
    <row r="89" spans="1:119">
      <c r="A89" s="120" t="str">
        <f ca="1">_xlfn.XLOOKUP(TabCalc[[#This Row],[Ticker]],[1]!RTData[Ticker symbol],[1]!RTData[Currency])</f>
        <v>USD</v>
      </c>
      <c r="B89" s="121">
        <f ca="1">IF(TabCalc[[#This Row],[Cur]]="GBP",0.01,1)</f>
        <v>1</v>
      </c>
      <c r="C89" s="82">
        <f ca="1">_xlfn.XLOOKUP(TabCalc[[#This Row],[Ticker]],DM$3:DM$96,DN$3:DN$96)</f>
        <v>7000</v>
      </c>
      <c r="D89" s="1254">
        <f ca="1">_xlfn.XLOOKUP(TabCalc[[#This Row],[Ticker]],DM$3:DM$96,DO$3:DO$96)</f>
        <v>-2.87</v>
      </c>
      <c r="E89" s="121">
        <f t="shared" ca="1" si="4"/>
        <v>-20090</v>
      </c>
      <c r="F89" s="82">
        <f ca="1">TabCalc[[#This Row],[NAfter]]*TabCalc[[#This Row],[M]]*TabCalc[[#This Row],[Scale]]</f>
        <v>187200</v>
      </c>
      <c r="G89" s="82">
        <f ca="1">IFERROR(TabCalc[[#This Row],[SB]]-TabCalc[[#This Row],[SST]],TabCalc[[#This Row],[SB]])</f>
        <v>48000</v>
      </c>
      <c r="H89" s="535" t="str">
        <f ca="1">[1]!RTData[[#This Row],[Ticker symbol]]</f>
        <v>RIG</v>
      </c>
      <c r="I89" s="385">
        <f ca="1">[1]!RTData[[#This Row],[M-Price]]</f>
        <v>3.9</v>
      </c>
      <c r="J89" s="384">
        <v>3.5051041666666665</v>
      </c>
      <c r="K89" s="383">
        <f>[1]!RTData[[#This Row],[1YT]]</f>
        <v>3.89</v>
      </c>
      <c r="L89" s="384">
        <f ca="1">IF(OR(TabCalc[[#This Row],[NAfter]]=0,TabCalc[[#This Row],[EfCost]]&gt;0),0,TabCalc[[#This Row],[EfCost]]/TabCalc[[#This Row],[NAfter]]/TabCalc[[#This Row],[Scale]])</f>
        <v>-3.371352083333333</v>
      </c>
      <c r="M89" s="744">
        <f ca="1">[1]!RTData[[#This Row],[Change%]]</f>
        <v>2.5709999999999999E-3</v>
      </c>
      <c r="N89" s="1172">
        <v>0.41666666666666669</v>
      </c>
      <c r="O89" s="966">
        <f>TabCalc[[#This Row],[Up20]]-1+TabCalc[[#This Row],[Up20]]</f>
        <v>-0.16666666666666657</v>
      </c>
      <c r="P89" s="966">
        <f>TabCalc[[#This Row],[Up20]]-TabCalc[[#This Row],[Up150]]</f>
        <v>-9.761904761904755E-2</v>
      </c>
      <c r="Q89" s="966">
        <v>0.51428571428571423</v>
      </c>
      <c r="R89" s="966">
        <f>TabCalc[[#This Row],[Up150]]-1+TabCalc[[#This Row],[Up150]]</f>
        <v>2.857142857142847E-2</v>
      </c>
      <c r="S89" s="966">
        <f ca="1">IFERROR(SUMPRODUCT(DataShift!F1581:Z1581,DataShift!AB788:AV788)/SQRT(SUMPRODUCT(DataShift!F1581:Z1581,DataShift!F1581:Z1581)*SUMPRODUCT(DataShift!AB788:AV788,DataShift!AB788:AV788)),0)</f>
        <v>-0.76775102829095432</v>
      </c>
      <c r="T89" s="966">
        <f ca="1">IFERROR(SUMPRODUCT(DataShift!F1581:Z1581,DataShift!F788:Z788)/SQRT(SUMPRODUCT(DataShift!F1581:Z1581,DataShift!F1581:Z1581)*SUMPRODUCT(DataShift!F788:Z788,DataShift!F788:Z788)),0)</f>
        <v>0.11759420105690416</v>
      </c>
      <c r="U89" s="1107">
        <v>41000</v>
      </c>
      <c r="V89" s="1107">
        <v>7000</v>
      </c>
      <c r="W89" s="1107">
        <v>0</v>
      </c>
      <c r="X89" s="966" t="str">
        <f ca="1">IF(TabCalc[[#This Row],[EfCost]]+TabCalc[[#This Row],[M_V]]&lt;TabCalc[[#This Row],[NoT_GL]],"Pile","")</f>
        <v/>
      </c>
      <c r="Y8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9" s="213">
        <f ca="1">MIN(TabCalc[[#This Row],[L_Bn]],TabCalc[[#This Row],[NAfter]])*(TabCalc[[#This Row],[M]]+TabCalc[[#This Row],[L_Bp]])*TabCalc[[#This Row],[Scale]]</f>
        <v>6760</v>
      </c>
      <c r="AA89" s="210" cm="1">
        <f t="array" aca="1" ref="AA89" ca="1">_xlfn.XLOOKUP(TabCalc[[#This Row],[L_Bp]],INDIRECT("TabReg["&amp;TabCalc[[#This Row],[Ticker]]&amp;"2]"),INDIRECT("TabReg["&amp;TabCalc[[#This Row],[Ticker]]&amp;"]"))</f>
        <v>45922</v>
      </c>
      <c r="AB89" s="181" cm="1">
        <f t="array" aca="1" ref="AB89" ca="1">_xlfn.XLOOKUP(TabCalc[[#This Row],[L_Bp]],INDIRECT("TabReg["&amp;TabCalc[[#This Row],[Ticker]]&amp;"2]"),INDIRECT("TabReg["&amp;TabCalc[[#This Row],[Ticker]]&amp;"1]"))</f>
        <v>13000</v>
      </c>
      <c r="AC89" s="192" cm="1">
        <f t="array" aca="1" ref="AC89" ca="1">IFERROR(INDEX(INDIRECT("TabReg["&amp;TabCalc[[#This Row],[Ticker]]&amp;"2]"),    _xlfn.XMATCH(    MAX(    _xlfn._xlws.FILTER(INDIRECT("TabReg["&amp;TabCalc[[#This Row],[Ticker]]&amp;"]"), INDIRECT("TabReg["&amp;TabCalc[[#This Row],[Ticker]]&amp;"2]")&lt;0)     ), INDIRECT("TabReg["&amp;TabCalc[[#This Row],[Ticker]]&amp;"]"),      0)), "")</f>
        <v>-3.38</v>
      </c>
      <c r="AD89" s="213">
        <f ca="1">IFERROR(MIN(TabCalc[[#This Row],[L_B1n]],TabCalc[[#This Row],[NAfter]])*(TabCalc[[#This Row],[M]]+TabCalc[[#This Row],[L_B1p]])*TabCalc[[#This Row],[Scale]],"")</f>
        <v>21499.999999999996</v>
      </c>
      <c r="AE89" s="210" cm="1">
        <f t="array" aca="1" ref="AE8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45866</v>
      </c>
      <c r="AF89" s="181" cm="1">
        <f t="array" aca="1" ref="AF89" ca="1">IFERROR(_xlfn.XLOOKUP(TabCalc[[#This Row],[L_B1D]],INDIRECT("TabReg["&amp;TabCalc[[#This Row],[Ticker]]&amp;"]"),INDIRECT("TabReg["&amp;TabCalc[[#This Row],[Ticker]]&amp;"1]")),0)</f>
        <v>25000</v>
      </c>
      <c r="AG89" s="192" cm="1">
        <f t="array" aca="1" ref="AG89" ca="1">IFERROR(_xlfn.XLOOKUP(TabCalc[[#This Row],[L_B1D]],INDIRECT("TabReg["&amp;TabCalc[[#This Row],[Ticker]]&amp;"]"),INDIRECT("TabReg["&amp;TabCalc[[#This Row],[Ticker]]&amp;"2]")),0)</f>
        <v>-3.04</v>
      </c>
      <c r="AH89" s="302">
        <f ca="1">IFERROR(TabCalc[[#This Row],[L_Sn]]*(TabCalc[[#This Row],[L_Sp]]-TabCalc[[#This Row],[M]])*TabCalc[[#This Row],[Scale]],"")</f>
        <v>5799.9000000000015</v>
      </c>
      <c r="AI89" s="210" cm="1">
        <f t="array" aca="1" ref="AI89" ca="1">IFERROR(_xlfn.XLOOKUP(TabCalc[[#This Row],[L_Sp]],INDIRECT("TabReg["&amp;TabCalc[[#This Row],[Ticker]]&amp;"2]"),INDIRECT("TabReg["&amp;TabCalc[[#This Row],[Ticker]]&amp;"]")),0)</f>
        <v>45504</v>
      </c>
      <c r="AJ89" s="181" cm="1">
        <f t="array" aca="1" ref="AJ89" ca="1">IFERROR(_xlfn.XLOOKUP(TabCalc[[#This Row],[L_Sp]],INDIRECT("TabReg["&amp;TabCalc[[#This Row],[Ticker]]&amp;"2]"),INDIRECT("TabReg["&amp;TabCalc[[#This Row],[Ticker]]&amp;"1]")),0)</f>
        <v>3000</v>
      </c>
      <c r="AK89" s="192" cm="1">
        <f t="array" aca="1" ref="AK89" ca="1">IFERROR(INDEX(INDIRECT("TabReg["&amp;TabCalc[[#This Row],[Ticker]]&amp;"2]"), _xlfn.XMATCH(MAX(_xlfn._xlws.FILTER(INDIRECT("TabReg["&amp;TabCalc[[#This Row],[Ticker]]&amp;"]"), INDIRECT("TabReg["&amp;TabCalc[[#This Row],[Ticker]]&amp;"2]")&gt;0)), INDIRECT("TabReg["&amp;TabCalc[[#This Row],[Ticker]]&amp;"]"), 0)), 0)</f>
        <v>5.8333000000000004</v>
      </c>
      <c r="AL89" s="214">
        <f ca="1">IFERROR(TabCalc[[#This Row],[L_S1n]]*(TabCalc[[#This Row],[L_S1p]]-TabCalc[[#This Row],[M]])*TabCalc[[#This Row],[Scale]],0)</f>
        <v>13475.199999999997</v>
      </c>
      <c r="AM89" s="210" cm="1">
        <f t="array" aca="1" ref="AM8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45503</v>
      </c>
      <c r="AN89" s="181" cm="1">
        <f t="array" aca="1" ref="AN89" ca="1">IFERROR(_xlfn.XLOOKUP(TabCalc[[#This Row],[L_S1D]],INDIRECT("TabReg["&amp;TabCalc[[#This Row],[Ticker]]&amp;"]"),INDIRECT("TabReg["&amp;TabCalc[[#This Row],[Ticker]]&amp;"1]")),0)</f>
        <v>8000</v>
      </c>
      <c r="AO89" s="384" cm="1">
        <f t="array" aca="1" ref="AO89" ca="1">IFERROR(_xlfn.XLOOKUP(TabCalc[[#This Row],[L_S1D]],INDIRECT("TabReg["&amp;TabCalc[[#This Row],[Ticker]]&amp;"]"),INDIRECT("TabReg["&amp;TabCalc[[#This Row],[Ticker]]&amp;"2]")),0)</f>
        <v>5.5843999999999996</v>
      </c>
      <c r="AP89" s="336">
        <f ca="1">_xlfn.LET(_xlpm.MVOpen,[1]!RTData[[#This Row],[Open]]*TabCalc[[#This Row],[NAfter]],_xlpm.MVNow,TabCalc[[#This Row],[M]]*TabCalc[[#This Row],[NAfter]],_xlpm.MVNow-_xlpm.MVOpen)*TabCalc[[#This Row],[Scale]]</f>
        <v>0</v>
      </c>
      <c r="AQ89" s="336">
        <f ca="1">_xlfn.LET(_xlpm.MVToday,DataShift!AV589,         _xlpm.MVY,DataShift!AU589,        _xlpm.MVYY, DataShift!AT589,                                IF(_xlpm.MVToday=_xlpm.MVY,_xlpm.MVY-_xlpm.MVYY,_xlpm.MVToday-_xlpm.MVY))</f>
        <v>-40</v>
      </c>
      <c r="AR89" s="336">
        <f ca="1">_xlfn.LET(_xlpm.MVToday,DataShift!AV589,         _xlpm.MVY,DataShift!AU589,        _xlpm.MVYY, DataShift!AT589,         _xlpm.MVYYY, DataShift!AS589,                      IF(_xlpm.MVToday=_xlpm.MVY,      _xlpm.MVYY-_xlpm.MVYYY,          _xlpm.MVY-_xlpm.MVYY))</f>
        <v>-1200</v>
      </c>
      <c r="AS89" s="1078">
        <f ca="1">TabCalc[[#This Row],[Y]]/TabCalc[[#This Row],[M]]</f>
        <v>0.99743589743589745</v>
      </c>
      <c r="AT89" s="299" t="str" cm="1">
        <f t="array" aca="1" ref="AT89" ca="1">IFERROR(_xlfn.IFS(          TabCalc[[#This Row],[E]]&gt;0, "Free Trade",      TabCalc[[#This Row],[A]]&lt;MIN(TabCalc[[#This Row],[L_Sp]],TabCalc[[#This Row],[M]]), "Buy",            TabCalc[[#This Row],[M]]&lt;TabCalc[[#This Row],[L_Sp]],       "Refill",       TabCalc[[#This Row],[M]]&gt;TabCalc[[#This Row],[L_Sp]],"S_more"),"")</f>
        <v>Buy</v>
      </c>
      <c r="AU89" s="299" t="str">
        <f ca="1">IF(           AND(TabCalc[[#This Row],[E]]&lt;=0,          TabCalc[[#This Row],[A]]&gt;MIN(TabCalc[[#This Row],[M]],TabCalc[[#This Row],[L_Sp]]),             TabCalc[[#This Row],[L_Sp]]&lt;=TabCalc[[#This Row],[M]]),                       "S_more","")</f>
        <v/>
      </c>
      <c r="AV89" s="82" t="str" cm="1">
        <f t="array" aca="1" ref="AV89" ca="1">IFERROR(_xlfn.IFS(TabCalc[[#This Row],[E]]&gt;0,"Free trade",                 TabCalc[[#This Row],[A]]&lt;MAX(ABS(TabCalc[[#This Row],[L_Bp]]),TabCalc[[#This Row],[A]]),"Sell",             TabCalc[[#This Row],[M]]&gt;ABS(TabCalc[[#This Row],[L_Bp]]),"Resell",             TabCalc[[#This Row],[M]]&lt;ABS(TabCalc[[#This Row],[L_Bp]]),"B_more"),"")</f>
        <v>Resell</v>
      </c>
      <c r="AW89" s="82">
        <f ca="1">TabCalc[[#This Row],[NAfter]]-TabCalc[[#This Row],[Nbegin]]</f>
        <v>41000</v>
      </c>
      <c r="AX89" s="307">
        <f ca="1">IFERROR((TabCalc[[#This Row],[M]]-TabCalc[[#This Row],[Y]])*(TabCalc[[#This Row],[M]]-TabCalc[[#This Row],[Y]])*(TabCalc[[#This Row],[M]]-TabCalc[[#This Row],[Y]])/(TabCalc[[#This Row],[Y]]*TabCalc[[#This Row],[M]]),"")</f>
        <v>6.5915233010344472E-8</v>
      </c>
      <c r="AY89" s="82">
        <f t="shared" ca="1" si="5"/>
        <v>0</v>
      </c>
      <c r="AZ89" s="90">
        <f ca="1">[1]!RTData[[#This Row],[V/VA]]</f>
        <v>1.2634872054354884</v>
      </c>
      <c r="BA89" s="90" t="str" cm="1">
        <f t="array" aca="1" ref="BA89" ca="1">IFERROR(_xlfn.IFS(TabCalc[[#This Row],[Cur]]="USD",Timer!F$27,TabCalc[[#This Row],[Cur]]="EUR",Timer!F$18,TabCalc[[#This Row],[Cur]]="GBP",Timer!F$12,TabCalc[[#This Row],[Cur]]="CAD",Timer!F$27,TabCalc[[#This Row],[Cur]]="JPY",Timer!F$31,TabCalc[[#This Row],[Cur]]="CHF",Timer!F$18),"Timing")</f>
        <v>None-Working Day</v>
      </c>
      <c r="BB89" s="90">
        <f ca="1">IF(ISNUMBER(TabCalc[[#This Row],[TimeEX]]),TabCalc[[#This Row],[V/VA]]/TabCalc[[#This Row],[TimeEX]],TabCalc[[#This Row],[V/VA]])</f>
        <v>1.2634872054354884</v>
      </c>
      <c r="BC89" s="87" cm="1">
        <f t="array" aca="1" ref="BC89" ca="1">INDEX(TabReg[], 1, _xlfn.XMATCH(TabCalc[[#This Row],[Ticker]]&amp;1, TabReg[#Headers], 0))</f>
        <v>7000</v>
      </c>
      <c r="BD89" s="161">
        <f ca="1">TabCalc[[#This Row],[Nbegin]]*TabCalc[[#This Row],[M]]*TabCalc[[#This Row],[Scale]]+TabCalc[[#This Row],[ValueBegin]]</f>
        <v>7210</v>
      </c>
      <c r="BE89" s="336" t="str" cm="1">
        <f t="array" aca="1" ref="BE89" ca="1">_xlfn.IFS(TabCalc[[#This Row],[Cost+Gain]]&gt;0,"Free",             TabCalc[[#This Row],[GL]]&gt;0,"Gainer",                TRUE,"Looser")</f>
        <v>Gainer</v>
      </c>
      <c r="BF89" s="161">
        <f ca="1">TabCalc[[#This Row],[Tot_Paid]]-TabCalc[[#This Row],[ValueBegin]]</f>
        <v>-233246.96799999999</v>
      </c>
      <c r="BG89" s="337">
        <f ca="1">IF(TabCalc[[#This Row],[EfCost]]&gt;TabCalc[[#This Row],[ValueBegin]],       0,        TabCalc[[#This Row],[EfCost]]-TabCalc[[#This Row],[ValueBegin]]*(1+Commission))</f>
        <v>-141682.666</v>
      </c>
      <c r="BH89" s="338">
        <f ca="1">TabCalc[[#This Row],[M_V]]+TabCalc[[#This Row],[ValueBegin]]</f>
        <v>167110</v>
      </c>
      <c r="BI89" s="161" cm="1">
        <f t="array" aca="1" ref="BI89" ca="1">SUMPRODUCT(_xlfn._xlws.FILTER(INDIRECT("TabReg["&amp;TabCalc[[#This Row],[Ticker]]&amp;"1]") * INDIRECT("TabReg["&amp;TabCalc[[#This Row],[Ticker]]&amp;"2]"), INDIRECT("TabReg["&amp;TabCalc[[#This Row],[Ticker]]&amp;"2]")&lt;0))*(1+Commission)*TabCalc[[#This Row],[Scale]]</f>
        <v>-253336.96799999999</v>
      </c>
      <c r="BJ89" s="161" cm="1">
        <f t="array" aca="1" ref="BJ89" ca="1">SUMPRODUCT(IF(INDIRECT("TabReg["&amp;TabCalc[[#This Row],[Ticker]]&amp;"2]") ="", 0, INDIRECT("TabReg["&amp;TabCalc[[#This Row],[Ticker]]&amp;"1]") * INDIRECT("TabReg["&amp;TabCalc[[#This Row],[Ticker]]&amp;"2]") ))*TabCalc[[#This Row],[Scale]]</f>
        <v>-161824.9</v>
      </c>
      <c r="BK89" s="161" cm="1">
        <f t="array" aca="1" ref="BK8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90618.876740000007</v>
      </c>
      <c r="BL89" s="161">
        <f ca="1">TabCalc[[#This Row],[M_V]]+TabCalc[[#This Row],[EfCost]]</f>
        <v>25375.100000000006</v>
      </c>
      <c r="BM89" s="161">
        <f ca="1">IF(        OR( TabCalc[[#This Row],[GL]]&gt;ABS(TabCalc[[#This Row],[EfCost]]),TabCalc[[#This Row],[NAfter]]=0),             TabCalc[[#This Row],[GL]],     0)</f>
        <v>0</v>
      </c>
      <c r="BN89" s="161" cm="1">
        <f t="array" aca="1" ref="BN89" ca="1">SUMPRODUCT(_xlfn._xlws.FILTER(IF(INDIRECT("TabReg["&amp;TabCalc[[#This Row],[Ticker]]&amp;"2]") ="", 0, INDIRECT("TabReg["&amp;TabCalc[[#This Row],[Ticker]]&amp;"1]")  ),  INDIRECT("TabReg["&amp;TabCalc[[#This Row],[Ticker]]&amp;"2]") &lt; 0))</f>
        <v>65000</v>
      </c>
      <c r="BO89" s="161">
        <f ca="1">TabCalc[[#This Row],[SB]]-TabCalc[[#This Row],[Nbegin]]</f>
        <v>58000</v>
      </c>
      <c r="BP89" s="161" cm="1">
        <f t="array" aca="1" ref="BP89" ca="1">IFERROR(SUMPRODUCT(_xlfn._xlws.FILTER(IF(INDIRECT("TabReg["&amp;TabCalc[[#This Row],[Ticker]]&amp;"2]") ="", 0, INDIRECT("TabReg["&amp;TabCalc[[#This Row],[Ticker]]&amp;"1]")  ),  INDIRECT("TabReg["&amp;TabCalc[[#This Row],[Ticker]]&amp;"2]") &gt; 0)),0)</f>
        <v>17000</v>
      </c>
      <c r="BQ8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4.82</v>
      </c>
      <c r="BR89" s="176" t="str">
        <f ca="1">IF(TabCalc[[#This Row],[EfCost]]+TabCalc[[#This Row],[M_V]]&lt;TabCalc[[#This Row],[NoT_GL]],"Pile","")</f>
        <v/>
      </c>
      <c r="BS89" s="167">
        <f ca="1">[1]!RTData[[#This Row],[Last trade time]]</f>
        <v>45954.999287060156</v>
      </c>
      <c r="BT89" s="177">
        <f ca="1">(TabCalc[[#This Row],[ValueBegin]]+(TabCalc[[#This Row],[M]]-TabCalc[[#This Row],[A]])*TabCalc[[#This Row],[NAfter]])*TabCalc[[#This Row],[Scale]]</f>
        <v>-1134.9999999999964</v>
      </c>
      <c r="BU89" s="189" cm="1">
        <f t="array" aca="1" ref="BU89" ca="1">_xlfn.XLOOKUP(TabCalc[[#This Row],[Ticker]],TabReg[[#Headers],[AAPL]:[UnknownX28]],Reg!B$72:KF$72)+3</f>
        <v>13</v>
      </c>
      <c r="BV89" s="190" cm="1">
        <f t="array" aca="1" ref="BV89" ca="1">_xlfn.XLOOKUP(TabCalc[[#This Row],[Ticker]],TabReg[[#Headers],[AAPL]:[UnknownX28]],Reg!B$73:KF$73)+2</f>
        <v>264</v>
      </c>
      <c r="BW89" s="191">
        <f ca="1">IFERROR(MAX(TabCalc[[#This Row],[Max_SD]],TabCalc[[#This Row],[Max_PD]]),0)</f>
        <v>45922</v>
      </c>
      <c r="BX89" s="191" t="str" cm="1">
        <f t="array" aca="1" ref="BX89" ca="1">_xlfn.IFS(TabCalc[[#This Row],[L_TP]]&lt;0,"Purchase",TabCalc[[#This Row],[L_TP]]&gt;0,"Sale")</f>
        <v>Purchase</v>
      </c>
      <c r="BY89" s="190" cm="1">
        <f t="array" aca="1" ref="BY89" ca="1">INDEX(Reg!$A$1:$KF$73,TabCalc[[#This Row],[L_I1]],TabCalc[[#This Row],[L_I2]])</f>
        <v>13000</v>
      </c>
      <c r="BZ89" s="192" cm="1">
        <f t="array" aca="1" ref="BZ89" ca="1">INDEX(Reg!$A$1:$KF$73,TabCalc[[#This Row],[L_I1]],TabCalc[[#This Row],[L_I2]]+1)</f>
        <v>-3.38</v>
      </c>
      <c r="CA89" s="161">
        <f ca="1">TabCalc[[#This Row],[NAfter]]*(TabCalc[[#This Row],[M]]-IF(TabCalc[[#This Row],[E]]&gt;0,0,TabCalc[[#This Row],[A]]))</f>
        <v>18955.000000000004</v>
      </c>
      <c r="CB89" s="167" cm="1">
        <f t="array" aca="1" ref="CB89" ca="1">IFERROR(MIN(_xlfn._xlws.FILTER(INDIRECT("TabReg["&amp;TabCalc[[#This Row],[Ticker]]&amp;"]"), INDIRECT("TabReg["&amp;TabCalc[[#This Row],[Ticker]]&amp;"2]")&gt;0)),0)</f>
        <v>45350</v>
      </c>
      <c r="CC89" s="178" cm="1">
        <f t="array" aca="1" ref="CC89" ca="1">IFERROR(MIN(_xlfn._xlws.FILTER(INDIRECT("TabReg["&amp;TabCalc[[#This Row],[Ticker]]&amp;"1]"), INDIRECT("TabReg["&amp;TabCalc[[#This Row],[Ticker]]&amp;"2]")&gt;0)),0)</f>
        <v>3000</v>
      </c>
      <c r="CD89" s="173" cm="1">
        <f t="array" aca="1" ref="CD89" ca="1">IFERROR(MIN(_xlfn._xlws.FILTER(INDIRECT("TabReg["&amp;TabCalc[[#This Row],[Ticker]]&amp;"2]"), INDIRECT("TabReg["&amp;TabCalc[[#This Row],[Ticker]]&amp;"2]")&gt;0)),0)</f>
        <v>4.78</v>
      </c>
      <c r="CE89" s="167" cm="1">
        <f t="array" aca="1" ref="CE89" ca="1">IFERROR(MAX(_xlfn._xlws.FILTER(INDIRECT("TabReg["&amp;TabCalc[[#This Row],[Ticker]]&amp;"]"), INDIRECT("TabReg["&amp;TabCalc[[#This Row],[Ticker]]&amp;"2]")&gt;0)),0)</f>
        <v>45504</v>
      </c>
      <c r="CF89" s="178" cm="1">
        <f t="array" aca="1" ref="CF89" ca="1">IFERROR(MAX(_xlfn._xlws.FILTER(INDIRECT("TabReg["&amp;TabCalc[[#This Row],[Ticker]]&amp;"1]"), INDIRECT("TabReg["&amp;TabCalc[[#This Row],[Ticker]]&amp;"2]")&gt;0)),0)</f>
        <v>8000</v>
      </c>
      <c r="CG89" s="173" cm="1">
        <f t="array" aca="1" ref="CG89" ca="1">IFERROR(MAX(_xlfn._xlws.FILTER(INDIRECT("TabReg["&amp;TabCalc[[#This Row],[Ticker]]&amp;"2]"), INDIRECT("TabReg["&amp;TabCalc[[#This Row],[Ticker]]&amp;"2]")&gt;0)),0)</f>
        <v>5.8333000000000004</v>
      </c>
      <c r="CH89" s="167" cm="1">
        <f t="array" aca="1" ref="CH89" ca="1">MIN(_xlfn._xlws.FILTER(INDIRECT("TabReg["&amp;TabCalc[[#This Row],[Ticker]]&amp;"]"), INDIRECT("TabReg["&amp;TabCalc[[#This Row],[Ticker]]&amp;"2]")&lt;0))</f>
        <v>40544</v>
      </c>
      <c r="CI89" s="177" cm="1">
        <f t="array" aca="1" ref="CI89" ca="1">MIN(_xlfn._xlws.FILTER(INDIRECT("TabReg["&amp;TabCalc[[#This Row],[Ticker]]&amp;"1]"), INDIRECT("TabReg["&amp;TabCalc[[#This Row],[Ticker]]&amp;"2]")&lt;0))</f>
        <v>1000</v>
      </c>
      <c r="CJ89" s="173" cm="1">
        <f t="array" aca="1" ref="CJ89" ca="1">MIN(_xlfn._xlws.FILTER(INDIRECT("TabReg["&amp;TabCalc[[#This Row],[Ticker]]&amp;"2]"), INDIRECT("TabReg["&amp;TabCalc[[#This Row],[Ticker]]&amp;"2]")&lt;0))</f>
        <v>-6.59</v>
      </c>
      <c r="CK89" s="167" cm="1">
        <f t="array" aca="1" ref="CK89" ca="1">MAX(_xlfn._xlws.FILTER(INDIRECT("TabReg["&amp;TabCalc[[#This Row],[Ticker]]&amp;"]"), INDIRECT("TabReg["&amp;TabCalc[[#This Row],[Ticker]]&amp;"2]")&lt;0))</f>
        <v>45922</v>
      </c>
      <c r="CL89" s="177" cm="1">
        <f t="array" aca="1" ref="CL89" ca="1">MAX(_xlfn._xlws.FILTER(INDIRECT("TabReg["&amp;TabCalc[[#This Row],[Ticker]]&amp;"1]"), INDIRECT("TabReg["&amp;TabCalc[[#This Row],[Ticker]]&amp;"2]")&lt;0))</f>
        <v>25000</v>
      </c>
      <c r="CM89" s="173" cm="1">
        <f t="array" aca="1" ref="CM89" ca="1">MAX(_xlfn._xlws.FILTER(INDIRECT("TabReg["&amp;TabCalc[[#This Row],[Ticker]]&amp;"2]"), INDIRECT("TabReg["&amp;TabCalc[[#This Row],[Ticker]]&amp;"2]")&lt;0))</f>
        <v>-2.87</v>
      </c>
      <c r="CN89" s="167" cm="1">
        <f t="array" aca="1" ref="CN89" ca="1">IFERROR(_xlfn.XLOOKUP(TabCalc[[#This Row],[BS2P]],INDIRECT("TabReg["&amp;TabCalc[[#This Row],[Ticker]]&amp;"2]"),INDIRECT("TabReg["&amp;TabCalc[[#This Row],[Ticker]]&amp;"]")),0)</f>
        <v>45503</v>
      </c>
      <c r="CO89" s="178" cm="1">
        <f t="array" aca="1" ref="CO89" ca="1">IFERROR(_xlfn.XLOOKUP(TabCalc[[#This Row],[BS2P]],INDIRECT("TabReg["&amp;TabCalc[[#This Row],[Ticker]]&amp;"2]"),INDIRECT("TabReg["&amp;TabCalc[[#This Row],[Ticker]]&amp;"1]")),0)</f>
        <v>8000</v>
      </c>
      <c r="CP89" s="173">
        <f ca="1">_xlfn.MAXIFS(INDIRECT("TabReg["&amp;TabCalc[[#This Row],[Ticker]]&amp;"2]"), INDIRECT("TabReg["&amp;TabCalc[[#This Row],[Ticker]]&amp;"2]"), "&lt;" &amp; MAX(INDIRECT("TabReg["&amp;TabCalc[[#This Row],[Ticker]]&amp;"2]")))</f>
        <v>5.5843999999999996</v>
      </c>
      <c r="CQ89" s="167" cm="1">
        <f t="array" aca="1" ref="CQ89" ca="1">IFERROR(_xlfn.XLOOKUP(TabCalc[[#This Row],[WB2P]],INDIRECT("TabReg["&amp;TabCalc[[#This Row],[Ticker]]&amp;"2]"),INDIRECT("TabReg["&amp;TabCalc[[#This Row],[Ticker]]&amp;"]")),0)</f>
        <v>45379</v>
      </c>
      <c r="CR89" s="178" cm="1">
        <f t="array" aca="1" ref="CR89" ca="1">IFERROR(_xlfn.XLOOKUP(TabCalc[[#This Row],[WB2P]],INDIRECT("TabReg["&amp;TabCalc[[#This Row],[Ticker]]&amp;"2]"),INDIRECT("TabReg["&amp;TabCalc[[#This Row],[Ticker]]&amp;"1]")),0)</f>
        <v>1000</v>
      </c>
      <c r="CS89" s="173">
        <f ca="1">_xlfn.MINIFS(INDIRECT("TabReg["&amp;TabCalc[[#This Row],[Ticker]]&amp;"2]"), INDIRECT("TabReg["&amp;TabCalc[[#This Row],[Ticker]]&amp;"2]"), "&gt;" &amp; MIN(INDIRECT("TabReg["&amp;TabCalc[[#This Row],[Ticker]]&amp;"2]")))</f>
        <v>-6.31</v>
      </c>
      <c r="CT89" s="405">
        <f ca="1">IF(TabCalc[[#This Row],[M]]&lt;TabCalc[[#This Row],[L_Sp]],DesiredBuyGain/(TabCalc[[#This Row],[L_Sp]]-TabCalc[[#This Row],[M]]),0)</f>
        <v>2586.2514870946043</v>
      </c>
      <c r="CU89" s="406">
        <f ca="1">IF(TabCalc[[#This Row],[ntoBuy]]*TabCalc[[#This Row],[M]]&lt;=0,0,TabCalc[[#This Row],[ntoBuy]]*TabCalc[[#This Row],[M]])</f>
        <v>10086.380799668956</v>
      </c>
      <c r="CV89" s="406">
        <f ca="1">IF(TabCalc[[#This Row],[M]]&gt;ABS(TabCalc[[#This Row],[L_Bp]]),MIN(TabCalc[[#This Row],[NAfter]],DesiredSaleGain/(TabCalc[[#This Row],[M]]+TabCalc[[#This Row],[L_Bp]])),0)/TabCalc[[#This Row],[Scale]]</f>
        <v>9615.3846153846152</v>
      </c>
      <c r="CW89" s="407">
        <f ca="1">TabCalc[[#This Row],[ntoSell]]*TabCalc[[#This Row],[M]]</f>
        <v>37500</v>
      </c>
      <c r="CX89" s="400">
        <f ca="1">_xlfn.LET(_xlpm.nToSell,IF(TabCalc[[#This Row],[M]]-TabCalc[[#This Row],[A]]&lt;=0,"",INT(DesiredSaleGain/(TabCalc[[#This Row],[M]]-IF(TabCalc[[#This Row],[E]]&gt;0,0,TabCalc[[#This Row],[A]])))),IF(_xlpm.nToSell&lt;=TabCalc[[#This Row],[NAfter]],_xlpm.nToSell,0))</f>
        <v>12661</v>
      </c>
      <c r="CY89" s="338">
        <f ca="1">IFERROR(TabCalc[[#This Row],[NMA]]*TabCalc[[#This Row],[M]],"")</f>
        <v>49377.9</v>
      </c>
      <c r="CZ89" s="337" cm="1">
        <f t="array" aca="1" ref="CZ89" ca="1">_xlfn.IFS(TabCalc[[#This Row],[M]]&gt;= TabCalc[[#This Row],[L_Sp]],(TabCalc[[#This Row],[M]]-TabCalc[[#This Row],[A]])*TabCalc[[#This Row],[NAfter]]*TabCalc[[#This Row],[Scale]],           TabCalc[[#This Row],[M]]&lt; TabCalc[[#This Row],[L_Sp]],(TabCalc[[#This Row],[M]]-TabCalc[[#This Row],[A]])*TabCalc[[#This Row],[NAfter]]*TabCalc[[#This Row],[Scale]],               TRUE,"")</f>
        <v>18955.000000000004</v>
      </c>
      <c r="DA89" s="90">
        <f ca="1">IFERROR((TabCalc[[#This Row],[M]]+TabCalc[[#This Row],[L_Bp]])/ABS(TabCalc[[#This Row],[L_Bp]])/(TODAY()-TabCalc[[#This Row],[L_Bdate]])*360,"")</f>
        <v>1.6289592760180998</v>
      </c>
      <c r="DB89" s="312">
        <f ca="1">MEDIAN(DataShift!F788:Z788)</f>
        <v>-3.3E-3</v>
      </c>
      <c r="DC89" s="312" t="str" cm="1">
        <f t="array" aca="1" ref="DC8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89" s="318" t="s">
        <v>84</v>
      </c>
      <c r="DN89" s="81">
        <v>1100</v>
      </c>
      <c r="DO89" s="317">
        <v>-71.47</v>
      </c>
    </row>
    <row r="90" spans="1:119">
      <c r="A90" s="120" t="str">
        <f ca="1">_xlfn.XLOOKUP(TabCalc[[#This Row],[Ticker]],[1]!RTData[Ticker symbol],[1]!RTData[Currency])</f>
        <v>USD</v>
      </c>
      <c r="B90" s="121">
        <f ca="1">IF(TabCalc[[#This Row],[Cur]]="GBP",0.01,1)</f>
        <v>1</v>
      </c>
      <c r="C90" s="82">
        <f ca="1">_xlfn.XLOOKUP(TabCalc[[#This Row],[Ticker]],DM$3:DM$96,DN$3:DN$96)</f>
        <v>2700</v>
      </c>
      <c r="D90" s="1254">
        <f ca="1">_xlfn.XLOOKUP(TabCalc[[#This Row],[Ticker]],DM$3:DM$96,DO$3:DO$96)</f>
        <v>-30.31</v>
      </c>
      <c r="E90" s="121">
        <f t="shared" ca="1" si="4"/>
        <v>-81837</v>
      </c>
      <c r="F90" s="82">
        <f ca="1">TabCalc[[#This Row],[NAfter]]*TabCalc[[#This Row],[M]]*TabCalc[[#This Row],[Scale]]</f>
        <v>0</v>
      </c>
      <c r="G90" s="82">
        <f ca="1">IFERROR(TabCalc[[#This Row],[SB]]-TabCalc[[#This Row],[SST]],TabCalc[[#This Row],[SB]])</f>
        <v>0</v>
      </c>
      <c r="H90" s="535" t="str">
        <f ca="1">[1]!RTData[[#This Row],[Ticker symbol]]</f>
        <v>RRC</v>
      </c>
      <c r="I90" s="385">
        <f ca="1">[1]!RTData[[#This Row],[M-Price]]</f>
        <v>37.619999999999997</v>
      </c>
      <c r="J90" s="384">
        <v>24.94</v>
      </c>
      <c r="K90" s="383">
        <f>[1]!RTData[[#This Row],[1YT]]</f>
        <v>43.21</v>
      </c>
      <c r="L90" s="384">
        <f ca="1">IF(OR(TabCalc[[#This Row],[NAfter]]=0,TabCalc[[#This Row],[EfCost]]&gt;0),0,TabCalc[[#This Row],[EfCost]]/TabCalc[[#This Row],[NAfter]]/TabCalc[[#This Row],[Scale]])</f>
        <v>0</v>
      </c>
      <c r="M90" s="744">
        <f ca="1">[1]!RTData[[#This Row],[Change%]]</f>
        <v>3.2000000000000002E-3</v>
      </c>
      <c r="N90" s="1172">
        <v>0.5</v>
      </c>
      <c r="O90" s="966">
        <f>TabCalc[[#This Row],[Up20]]-1+TabCalc[[#This Row],[Up20]]</f>
        <v>0</v>
      </c>
      <c r="P90" s="966">
        <f>TabCalc[[#This Row],[Up20]]-TabCalc[[#This Row],[Up150]]</f>
        <v>-4.1284403669724745E-2</v>
      </c>
      <c r="Q90" s="966">
        <v>0.54128440366972475</v>
      </c>
      <c r="R90" s="966">
        <f>TabCalc[[#This Row],[Up150]]-1+TabCalc[[#This Row],[Up150]]</f>
        <v>8.256880733944949E-2</v>
      </c>
      <c r="S90" s="966">
        <f ca="1">IFERROR(SUMPRODUCT(DataShift!F1582:Z1582,DataShift!AB789:AV789)/SQRT(SUMPRODUCT(DataShift!F1582:Z1582,DataShift!F1582:Z1582)*SUMPRODUCT(DataShift!AB789:AV789,DataShift!AB789:AV789)),0)</f>
        <v>-0.82458519626809712</v>
      </c>
      <c r="T90" s="966">
        <f ca="1">IFERROR(SUMPRODUCT(DataShift!F1582:Z1582,DataShift!F789:Z789)/SQRT(SUMPRODUCT(DataShift!F1582:Z1582,DataShift!F1582:Z1582)*SUMPRODUCT(DataShift!F789:Z789,DataShift!F789:Z789)),0)</f>
        <v>-0.14129091006757355</v>
      </c>
      <c r="U90" s="1107">
        <v>0</v>
      </c>
      <c r="V90" s="1107">
        <v>1600</v>
      </c>
      <c r="W90" s="1107">
        <v>0</v>
      </c>
      <c r="X90" s="966" t="str">
        <f ca="1">IF(TabCalc[[#This Row],[EfCost]]+TabCalc[[#This Row],[M_V]]&lt;TabCalc[[#This Row],[NoT_GL]],"Pile","")</f>
        <v>Pile</v>
      </c>
      <c r="Y9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0" s="213">
        <f ca="1">MIN(TabCalc[[#This Row],[L_Bn]],TabCalc[[#This Row],[NAfter]])*(TabCalc[[#This Row],[M]]+TabCalc[[#This Row],[L_Bp]])*TabCalc[[#This Row],[Scale]]</f>
        <v>0</v>
      </c>
      <c r="AA90" s="210" cm="1">
        <f t="array" aca="1" ref="AA90" ca="1">_xlfn.XLOOKUP(TabCalc[[#This Row],[L_Bp]],INDIRECT("TabReg["&amp;TabCalc[[#This Row],[Ticker]]&amp;"2]"),INDIRECT("TabReg["&amp;TabCalc[[#This Row],[Ticker]]&amp;"]"))</f>
        <v>45656</v>
      </c>
      <c r="AB90" s="181" cm="1">
        <f t="array" aca="1" ref="AB90" ca="1">_xlfn.XLOOKUP(TabCalc[[#This Row],[L_Bp]],INDIRECT("TabReg["&amp;TabCalc[[#This Row],[Ticker]]&amp;"2]"),INDIRECT("TabReg["&amp;TabCalc[[#This Row],[Ticker]]&amp;"1]"))</f>
        <v>2300</v>
      </c>
      <c r="AC90" s="192" cm="1">
        <f t="array" aca="1" ref="AC90" ca="1">IFERROR(INDEX(INDIRECT("TabReg["&amp;TabCalc[[#This Row],[Ticker]]&amp;"2]"),    _xlfn.XMATCH(    MAX(    _xlfn._xlws.FILTER(INDIRECT("TabReg["&amp;TabCalc[[#This Row],[Ticker]]&amp;"]"), INDIRECT("TabReg["&amp;TabCalc[[#This Row],[Ticker]]&amp;"2]")&lt;0)     ), INDIRECT("TabReg["&amp;TabCalc[[#This Row],[Ticker]]&amp;"]"),      0)), "")</f>
        <v>-36.789099999999998</v>
      </c>
      <c r="AD90" s="213">
        <f ca="1">IFERROR(MIN(TabCalc[[#This Row],[L_B1n]],TabCalc[[#This Row],[NAfter]])*(TabCalc[[#This Row],[M]]+TabCalc[[#This Row],[L_B1p]])*TabCalc[[#This Row],[Scale]],"")</f>
        <v>0</v>
      </c>
      <c r="AE90" s="210" cm="1">
        <f t="array" aca="1" ref="AE9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45504</v>
      </c>
      <c r="AF90" s="181" cm="1">
        <f t="array" aca="1" ref="AF90" ca="1">IFERROR(_xlfn.XLOOKUP(TabCalc[[#This Row],[L_B1D]],INDIRECT("TabReg["&amp;TabCalc[[#This Row],[Ticker]]&amp;"]"),INDIRECT("TabReg["&amp;TabCalc[[#This Row],[Ticker]]&amp;"1]")),0)</f>
        <v>2300</v>
      </c>
      <c r="AG90" s="192" cm="1">
        <f t="array" aca="1" ref="AG90" ca="1">IFERROR(_xlfn.XLOOKUP(TabCalc[[#This Row],[L_B1D]],INDIRECT("TabReg["&amp;TabCalc[[#This Row],[Ticker]]&amp;"]"),INDIRECT("TabReg["&amp;TabCalc[[#This Row],[Ticker]]&amp;"2]")),0)</f>
        <v>-31.62</v>
      </c>
      <c r="AH90" s="302">
        <f ca="1">IFERROR(TabCalc[[#This Row],[L_Sn]]*(TabCalc[[#This Row],[L_Sp]]-TabCalc[[#This Row],[M]])*TabCalc[[#This Row],[Scale]],"")</f>
        <v>-8804.9999999999782</v>
      </c>
      <c r="AI90" s="210" cm="1">
        <f t="array" aca="1" ref="AI90" ca="1">IFERROR(_xlfn.XLOOKUP(TabCalc[[#This Row],[L_Sp]],INDIRECT("TabReg["&amp;TabCalc[[#This Row],[Ticker]]&amp;"2]"),INDIRECT("TabReg["&amp;TabCalc[[#This Row],[Ticker]]&amp;"]")),0)</f>
        <v>45660</v>
      </c>
      <c r="AJ90" s="181" cm="1">
        <f t="array" aca="1" ref="AJ90" ca="1">IFERROR(_xlfn.XLOOKUP(TabCalc[[#This Row],[L_Sp]],INDIRECT("TabReg["&amp;TabCalc[[#This Row],[Ticker]]&amp;"2]"),INDIRECT("TabReg["&amp;TabCalc[[#This Row],[Ticker]]&amp;"1]")),0)</f>
        <v>5000</v>
      </c>
      <c r="AK90" s="192" cm="1">
        <f t="array" aca="1" ref="AK90" ca="1">IFERROR(INDEX(INDIRECT("TabReg["&amp;TabCalc[[#This Row],[Ticker]]&amp;"2]"), _xlfn.XMATCH(MAX(_xlfn._xlws.FILTER(INDIRECT("TabReg["&amp;TabCalc[[#This Row],[Ticker]]&amp;"]"), INDIRECT("TabReg["&amp;TabCalc[[#This Row],[Ticker]]&amp;"2]")&gt;0)), INDIRECT("TabReg["&amp;TabCalc[[#This Row],[Ticker]]&amp;"]"), 0)), 0)</f>
        <v>35.859000000000002</v>
      </c>
      <c r="AL90" s="214">
        <f ca="1">IFERROR(TabCalc[[#This Row],[L_S1n]]*(TabCalc[[#This Row],[L_S1p]]-TabCalc[[#This Row],[M]])*TabCalc[[#This Row],[Scale]],0)</f>
        <v>-5680.9999999999964</v>
      </c>
      <c r="AM90" s="210" cm="1">
        <f t="array" aca="1" ref="AM9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45646</v>
      </c>
      <c r="AN90" s="181" cm="1">
        <f t="array" aca="1" ref="AN90" ca="1">IFERROR(_xlfn.XLOOKUP(TabCalc[[#This Row],[L_S1D]],INDIRECT("TabReg["&amp;TabCalc[[#This Row],[Ticker]]&amp;"]"),INDIRECT("TabReg["&amp;TabCalc[[#This Row],[Ticker]]&amp;"1]")),0)</f>
        <v>1300</v>
      </c>
      <c r="AO90" s="384" cm="1">
        <f t="array" aca="1" ref="AO90" ca="1">IFERROR(_xlfn.XLOOKUP(TabCalc[[#This Row],[L_S1D]],INDIRECT("TabReg["&amp;TabCalc[[#This Row],[Ticker]]&amp;"]"),INDIRECT("TabReg["&amp;TabCalc[[#This Row],[Ticker]]&amp;"2]")),0)</f>
        <v>33.25</v>
      </c>
      <c r="AP90" s="336">
        <f ca="1">_xlfn.LET(_xlpm.MVOpen,[1]!RTData[[#This Row],[Open]]*TabCalc[[#This Row],[NAfter]],_xlpm.MVNow,TabCalc[[#This Row],[M]]*TabCalc[[#This Row],[NAfter]],_xlpm.MVNow-_xlpm.MVOpen)*TabCalc[[#This Row],[Scale]]</f>
        <v>0</v>
      </c>
      <c r="AQ90" s="336">
        <f ca="1">_xlfn.LET(_xlpm.MVToday,DataShift!AV590,         _xlpm.MVY,DataShift!AU590,        _xlpm.MVYY, DataShift!AT590,                                IF(_xlpm.MVToday=_xlpm.MVY,_xlpm.MVY-_xlpm.MVYY,_xlpm.MVToday-_xlpm.MVY))</f>
        <v>-32</v>
      </c>
      <c r="AR90" s="336">
        <f ca="1">_xlfn.LET(_xlpm.MVToday,DataShift!AV590,         _xlpm.MVY,DataShift!AU590,        _xlpm.MVYY, DataShift!AT590,         _xlpm.MVYYY, DataShift!AS590,                      IF(_xlpm.MVToday=_xlpm.MVY,      _xlpm.MVYY-_xlpm.MVYYY,          _xlpm.MVY-_xlpm.MVYY))</f>
        <v>152</v>
      </c>
      <c r="AS90" s="1078">
        <f ca="1">TabCalc[[#This Row],[Y]]/TabCalc[[#This Row],[M]]</f>
        <v>1.1485911749069644</v>
      </c>
      <c r="AT90" s="299" t="str" cm="1">
        <f t="array" aca="1" ref="AT90" ca="1">IFERROR(_xlfn.IFS(          TabCalc[[#This Row],[E]]&gt;0, "Free Trade",      TabCalc[[#This Row],[A]]&lt;MIN(TabCalc[[#This Row],[L_Sp]],TabCalc[[#This Row],[M]]), "Buy",            TabCalc[[#This Row],[M]]&lt;TabCalc[[#This Row],[L_Sp]],       "Refill",       TabCalc[[#This Row],[M]]&gt;TabCalc[[#This Row],[L_Sp]],"S_more"),"")</f>
        <v>Buy</v>
      </c>
      <c r="AU90" s="299" t="str">
        <f ca="1">IF(           AND(TabCalc[[#This Row],[E]]&lt;=0,          TabCalc[[#This Row],[A]]&gt;MIN(TabCalc[[#This Row],[M]],TabCalc[[#This Row],[L_Sp]]),             TabCalc[[#This Row],[L_Sp]]&lt;=TabCalc[[#This Row],[M]]),                       "S_more","")</f>
        <v/>
      </c>
      <c r="AV90" s="82" t="str" cm="1">
        <f t="array" aca="1" ref="AV90" ca="1">IFERROR(_xlfn.IFS(TabCalc[[#This Row],[E]]&gt;0,"Free trade",                 TabCalc[[#This Row],[A]]&lt;MAX(ABS(TabCalc[[#This Row],[L_Bp]]),TabCalc[[#This Row],[A]]),"Sell",             TabCalc[[#This Row],[M]]&gt;ABS(TabCalc[[#This Row],[L_Bp]]),"Resell",             TabCalc[[#This Row],[M]]&lt;ABS(TabCalc[[#This Row],[L_Bp]]),"B_more"),"")</f>
        <v>Sell</v>
      </c>
      <c r="AW90" s="82">
        <f ca="1">TabCalc[[#This Row],[NAfter]]-TabCalc[[#This Row],[Nbegin]]</f>
        <v>-2700</v>
      </c>
      <c r="AX90" s="307">
        <f ca="1">IFERROR((TabCalc[[#This Row],[M]]-TabCalc[[#This Row],[Y]])*(TabCalc[[#This Row],[M]]-TabCalc[[#This Row],[Y]])*(TabCalc[[#This Row],[M]]-TabCalc[[#This Row],[Y]])/(TabCalc[[#This Row],[Y]]*TabCalc[[#This Row],[M]]),"")</f>
        <v>-0.10745641963921133</v>
      </c>
      <c r="AY90" s="82">
        <f t="shared" ca="1" si="5"/>
        <v>2700</v>
      </c>
      <c r="AZ90" s="90">
        <f ca="1">[1]!RTData[[#This Row],[V/VA]]</f>
        <v>0.85549111882391193</v>
      </c>
      <c r="BA90" s="90" t="str" cm="1">
        <f t="array" aca="1" ref="BA90" ca="1">IFERROR(_xlfn.IFS(TabCalc[[#This Row],[Cur]]="USD",Timer!F$27,TabCalc[[#This Row],[Cur]]="EUR",Timer!F$18,TabCalc[[#This Row],[Cur]]="GBP",Timer!F$12,TabCalc[[#This Row],[Cur]]="CAD",Timer!F$27,TabCalc[[#This Row],[Cur]]="JPY",Timer!F$31,TabCalc[[#This Row],[Cur]]="CHF",Timer!F$18),"Timing")</f>
        <v>None-Working Day</v>
      </c>
      <c r="BB90" s="90">
        <f ca="1">IF(ISNUMBER(TabCalc[[#This Row],[TimeEX]]),TabCalc[[#This Row],[V/VA]]/TabCalc[[#This Row],[TimeEX]],TabCalc[[#This Row],[V/VA]])</f>
        <v>0.85549111882391193</v>
      </c>
      <c r="BC90" s="87" cm="1">
        <f t="array" aca="1" ref="BC90" ca="1">INDEX(TabReg[], 1, _xlfn.XMATCH(TabCalc[[#This Row],[Ticker]]&amp;1, TabReg[#Headers], 0))</f>
        <v>2700</v>
      </c>
      <c r="BD90" s="161">
        <f ca="1">TabCalc[[#This Row],[Nbegin]]*TabCalc[[#This Row],[M]]*TabCalc[[#This Row],[Scale]]+TabCalc[[#This Row],[ValueBegin]]</f>
        <v>19737</v>
      </c>
      <c r="BE90" s="336" t="str" cm="1">
        <f t="array" aca="1" ref="BE90" ca="1">_xlfn.IFS(TabCalc[[#This Row],[Cost+Gain]]&gt;0,"Free",             TabCalc[[#This Row],[GL]]&gt;0,"Gainer",                TRUE,"Looser")</f>
        <v>Free</v>
      </c>
      <c r="BF90" s="161">
        <f ca="1">TabCalc[[#This Row],[Tot_Paid]]-TabCalc[[#This Row],[ValueBegin]]</f>
        <v>-250130.90827800002</v>
      </c>
      <c r="BG90" s="337">
        <f ca="1">IF(TabCalc[[#This Row],[EfCost]]&gt;TabCalc[[#This Row],[ValueBegin]],       0,        TabCalc[[#This Row],[EfCost]]-TabCalc[[#This Row],[ValueBegin]]*(1+Commission))</f>
        <v>0</v>
      </c>
      <c r="BH90" s="338">
        <f ca="1">TabCalc[[#This Row],[M_V]]+TabCalc[[#This Row],[ValueBegin]]</f>
        <v>-81837</v>
      </c>
      <c r="BI90" s="161" cm="1">
        <f t="array" aca="1" ref="BI90" ca="1">SUMPRODUCT(_xlfn._xlws.FILTER(INDIRECT("TabReg["&amp;TabCalc[[#This Row],[Ticker]]&amp;"1]") * INDIRECT("TabReg["&amp;TabCalc[[#This Row],[Ticker]]&amp;"2]"), INDIRECT("TabReg["&amp;TabCalc[[#This Row],[Ticker]]&amp;"2]")&lt;0))*(1+Commission)*TabCalc[[#This Row],[Scale]]</f>
        <v>-331967.90827800002</v>
      </c>
      <c r="BJ90" s="161" cm="1">
        <f t="array" aca="1" ref="BJ90" ca="1">SUMPRODUCT(IF(INDIRECT("TabReg["&amp;TabCalc[[#This Row],[Ticker]]&amp;"2]") ="", 0, INDIRECT("TabReg["&amp;TabCalc[[#This Row],[Ticker]]&amp;"1]") * INDIRECT("TabReg["&amp;TabCalc[[#This Row],[Ticker]]&amp;"2]") ))*TabCalc[[#This Row],[Scale]]</f>
        <v>9803.4699999999721</v>
      </c>
      <c r="BK90" s="161" cm="1">
        <f t="array" aca="1" ref="BK9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340024.13269999996</v>
      </c>
      <c r="BL90" s="161">
        <f ca="1">TabCalc[[#This Row],[M_V]]+TabCalc[[#This Row],[EfCost]]</f>
        <v>9803.4699999999721</v>
      </c>
      <c r="BM90" s="161">
        <f ca="1">IF(        OR( TabCalc[[#This Row],[GL]]&gt;ABS(TabCalc[[#This Row],[EfCost]]),TabCalc[[#This Row],[NAfter]]=0),             TabCalc[[#This Row],[GL]],     0)</f>
        <v>9803.4699999999721</v>
      </c>
      <c r="BN90" s="161" cm="1">
        <f t="array" aca="1" ref="BN90" ca="1">SUMPRODUCT(_xlfn._xlws.FILTER(IF(INDIRECT("TabReg["&amp;TabCalc[[#This Row],[Ticker]]&amp;"2]") ="", 0, INDIRECT("TabReg["&amp;TabCalc[[#This Row],[Ticker]]&amp;"1]")  ),  INDIRECT("TabReg["&amp;TabCalc[[#This Row],[Ticker]]&amp;"2]") &lt; 0))</f>
        <v>9990</v>
      </c>
      <c r="BO90" s="161">
        <f ca="1">TabCalc[[#This Row],[SB]]-TabCalc[[#This Row],[Nbegin]]</f>
        <v>7290</v>
      </c>
      <c r="BP90" s="161" cm="1">
        <f t="array" aca="1" ref="BP90" ca="1">IFERROR(SUMPRODUCT(_xlfn._xlws.FILTER(IF(INDIRECT("TabReg["&amp;TabCalc[[#This Row],[Ticker]]&amp;"2]") ="", 0, INDIRECT("TabReg["&amp;TabCalc[[#This Row],[Ticker]]&amp;"1]")  ),  INDIRECT("TabReg["&amp;TabCalc[[#This Row],[Ticker]]&amp;"2]") &gt; 0)),0)</f>
        <v>9990</v>
      </c>
      <c r="BQ90"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0" s="176" t="str">
        <f ca="1">IF(TabCalc[[#This Row],[EfCost]]+TabCalc[[#This Row],[M_V]]&lt;TabCalc[[#This Row],[NoT_GL]],"Pile","")</f>
        <v>Pile</v>
      </c>
      <c r="BS90" s="167">
        <f ca="1">[1]!RTData[[#This Row],[Last trade time]]</f>
        <v>45954.958333344533</v>
      </c>
      <c r="BT90" s="177">
        <f ca="1">(TabCalc[[#This Row],[ValueBegin]]+(TabCalc[[#This Row],[M]]-TabCalc[[#This Row],[A]])*TabCalc[[#This Row],[NAfter]])*TabCalc[[#This Row],[Scale]]</f>
        <v>-81837</v>
      </c>
      <c r="BU90" s="189" cm="1">
        <f t="array" aca="1" ref="BU90" ca="1">_xlfn.XLOOKUP(TabCalc[[#This Row],[Ticker]],TabReg[[#Headers],[AAPL]:[UnknownX28]],Reg!B$72:KF$72)+3</f>
        <v>13</v>
      </c>
      <c r="BV90" s="190" cm="1">
        <f t="array" aca="1" ref="BV90" ca="1">_xlfn.XLOOKUP(TabCalc[[#This Row],[Ticker]],TabReg[[#Headers],[AAPL]:[UnknownX28]],Reg!B$73:KF$73)+2</f>
        <v>267</v>
      </c>
      <c r="BW90" s="191">
        <f ca="1">IFERROR(MAX(TabCalc[[#This Row],[Max_SD]],TabCalc[[#This Row],[Max_PD]]),0)</f>
        <v>45660</v>
      </c>
      <c r="BX90" s="191" t="str" cm="1">
        <f t="array" aca="1" ref="BX90" ca="1">_xlfn.IFS(TabCalc[[#This Row],[L_TP]]&lt;0,"Purchase",TabCalc[[#This Row],[L_TP]]&gt;0,"Sale")</f>
        <v>Sale</v>
      </c>
      <c r="BY90" s="190" cm="1">
        <f t="array" aca="1" ref="BY90" ca="1">INDEX(Reg!$A$1:$KF$73,TabCalc[[#This Row],[L_I1]],TabCalc[[#This Row],[L_I2]])</f>
        <v>5000</v>
      </c>
      <c r="BZ90" s="192" cm="1">
        <f t="array" aca="1" ref="BZ90" ca="1">INDEX(Reg!$A$1:$KF$73,TabCalc[[#This Row],[L_I1]],TabCalc[[#This Row],[L_I2]]+1)</f>
        <v>35.859000000000002</v>
      </c>
      <c r="CA90" s="161">
        <f ca="1">TabCalc[[#This Row],[NAfter]]*(TabCalc[[#This Row],[M]]-IF(TabCalc[[#This Row],[E]]&gt;0,0,TabCalc[[#This Row],[A]]))</f>
        <v>0</v>
      </c>
      <c r="CB90" s="167" cm="1">
        <f t="array" aca="1" ref="CB90" ca="1">IFERROR(MIN(_xlfn._xlws.FILTER(INDIRECT("TabReg["&amp;TabCalc[[#This Row],[Ticker]]&amp;"]"), INDIRECT("TabReg["&amp;TabCalc[[#This Row],[Ticker]]&amp;"2]")&gt;0)),0)</f>
        <v>40544</v>
      </c>
      <c r="CC90" s="178" cm="1">
        <f t="array" aca="1" ref="CC90" ca="1">IFERROR(MIN(_xlfn._xlws.FILTER(INDIRECT("TabReg["&amp;TabCalc[[#This Row],[Ticker]]&amp;"1]"), INDIRECT("TabReg["&amp;TabCalc[[#This Row],[Ticker]]&amp;"2]")&gt;0)),0)</f>
        <v>190</v>
      </c>
      <c r="CD90" s="173" cm="1">
        <f t="array" aca="1" ref="CD90" ca="1">IFERROR(MIN(_xlfn._xlws.FILTER(INDIRECT("TabReg["&amp;TabCalc[[#This Row],[Ticker]]&amp;"2]"), INDIRECT("TabReg["&amp;TabCalc[[#This Row],[Ticker]]&amp;"2]")&gt;0)),0)</f>
        <v>30.4</v>
      </c>
      <c r="CE90" s="167" cm="1">
        <f t="array" aca="1" ref="CE90" ca="1">IFERROR(MAX(_xlfn._xlws.FILTER(INDIRECT("TabReg["&amp;TabCalc[[#This Row],[Ticker]]&amp;"]"), INDIRECT("TabReg["&amp;TabCalc[[#This Row],[Ticker]]&amp;"2]")&gt;0)),0)</f>
        <v>45660</v>
      </c>
      <c r="CF90" s="178" cm="1">
        <f t="array" aca="1" ref="CF90" ca="1">IFERROR(MAX(_xlfn._xlws.FILTER(INDIRECT("TabReg["&amp;TabCalc[[#This Row],[Ticker]]&amp;"1]"), INDIRECT("TabReg["&amp;TabCalc[[#This Row],[Ticker]]&amp;"2]")&gt;0)),0)</f>
        <v>5000</v>
      </c>
      <c r="CG90" s="173" cm="1">
        <f t="array" aca="1" ref="CG90" ca="1">IFERROR(MAX(_xlfn._xlws.FILTER(INDIRECT("TabReg["&amp;TabCalc[[#This Row],[Ticker]]&amp;"2]"), INDIRECT("TabReg["&amp;TabCalc[[#This Row],[Ticker]]&amp;"2]")&gt;0)),0)</f>
        <v>36.28</v>
      </c>
      <c r="CH90" s="167" cm="1">
        <f t="array" aca="1" ref="CH90" ca="1">MIN(_xlfn._xlws.FILTER(INDIRECT("TabReg["&amp;TabCalc[[#This Row],[Ticker]]&amp;"]"), INDIRECT("TabReg["&amp;TabCalc[[#This Row],[Ticker]]&amp;"2]")&lt;0))</f>
        <v>40544</v>
      </c>
      <c r="CI90" s="177" cm="1">
        <f t="array" aca="1" ref="CI90" ca="1">MIN(_xlfn._xlws.FILTER(INDIRECT("TabReg["&amp;TabCalc[[#This Row],[Ticker]]&amp;"1]"), INDIRECT("TabReg["&amp;TabCalc[[#This Row],[Ticker]]&amp;"2]")&lt;0))</f>
        <v>1200</v>
      </c>
      <c r="CJ90" s="173" cm="1">
        <f t="array" aca="1" ref="CJ90" ca="1">MIN(_xlfn._xlws.FILTER(INDIRECT("TabReg["&amp;TabCalc[[#This Row],[Ticker]]&amp;"2]"), INDIRECT("TabReg["&amp;TabCalc[[#This Row],[Ticker]]&amp;"2]")&lt;0))</f>
        <v>-36.789099999999998</v>
      </c>
      <c r="CK90" s="167" cm="1">
        <f t="array" aca="1" ref="CK90" ca="1">MAX(_xlfn._xlws.FILTER(INDIRECT("TabReg["&amp;TabCalc[[#This Row],[Ticker]]&amp;"]"), INDIRECT("TabReg["&amp;TabCalc[[#This Row],[Ticker]]&amp;"2]")&lt;0))</f>
        <v>45656</v>
      </c>
      <c r="CL90" s="177" cm="1">
        <f t="array" aca="1" ref="CL90" ca="1">MAX(_xlfn._xlws.FILTER(INDIRECT("TabReg["&amp;TabCalc[[#This Row],[Ticker]]&amp;"1]"), INDIRECT("TabReg["&amp;TabCalc[[#This Row],[Ticker]]&amp;"2]")&lt;0))</f>
        <v>2700</v>
      </c>
      <c r="CM90" s="173" cm="1">
        <f t="array" aca="1" ref="CM90" ca="1">MAX(_xlfn._xlws.FILTER(INDIRECT("TabReg["&amp;TabCalc[[#This Row],[Ticker]]&amp;"2]"), INDIRECT("TabReg["&amp;TabCalc[[#This Row],[Ticker]]&amp;"2]")&lt;0))</f>
        <v>-30.31</v>
      </c>
      <c r="CN90" s="167" cm="1">
        <f t="array" aca="1" ref="CN90" ca="1">IFERROR(_xlfn.XLOOKUP(TabCalc[[#This Row],[BS2P]],INDIRECT("TabReg["&amp;TabCalc[[#This Row],[Ticker]]&amp;"2]"),INDIRECT("TabReg["&amp;TabCalc[[#This Row],[Ticker]]&amp;"]")),0)</f>
        <v>45660</v>
      </c>
      <c r="CO90" s="178" cm="1">
        <f t="array" aca="1" ref="CO90" ca="1">IFERROR(_xlfn.XLOOKUP(TabCalc[[#This Row],[BS2P]],INDIRECT("TabReg["&amp;TabCalc[[#This Row],[Ticker]]&amp;"2]"),INDIRECT("TabReg["&amp;TabCalc[[#This Row],[Ticker]]&amp;"1]")),0)</f>
        <v>5000</v>
      </c>
      <c r="CP90" s="173">
        <f ca="1">_xlfn.MAXIFS(INDIRECT("TabReg["&amp;TabCalc[[#This Row],[Ticker]]&amp;"2]"), INDIRECT("TabReg["&amp;TabCalc[[#This Row],[Ticker]]&amp;"2]"), "&lt;" &amp; MAX(INDIRECT("TabReg["&amp;TabCalc[[#This Row],[Ticker]]&amp;"2]")))</f>
        <v>35.859000000000002</v>
      </c>
      <c r="CQ90" s="167" cm="1">
        <f t="array" aca="1" ref="CQ90" ca="1">IFERROR(_xlfn.XLOOKUP(TabCalc[[#This Row],[WB2P]],INDIRECT("TabReg["&amp;TabCalc[[#This Row],[Ticker]]&amp;"2]"),INDIRECT("TabReg["&amp;TabCalc[[#This Row],[Ticker]]&amp;"]")),0)</f>
        <v>45467</v>
      </c>
      <c r="CR90" s="178" cm="1">
        <f t="array" aca="1" ref="CR90" ca="1">IFERROR(_xlfn.XLOOKUP(TabCalc[[#This Row],[WB2P]],INDIRECT("TabReg["&amp;TabCalc[[#This Row],[Ticker]]&amp;"2]"),INDIRECT("TabReg["&amp;TabCalc[[#This Row],[Ticker]]&amp;"1]")),0)</f>
        <v>1200</v>
      </c>
      <c r="CS90" s="173">
        <f ca="1">_xlfn.MINIFS(INDIRECT("TabReg["&amp;TabCalc[[#This Row],[Ticker]]&amp;"2]"), INDIRECT("TabReg["&amp;TabCalc[[#This Row],[Ticker]]&amp;"2]"), "&gt;" &amp; MIN(INDIRECT("TabReg["&amp;TabCalc[[#This Row],[Ticker]]&amp;"2]")))</f>
        <v>-34.9</v>
      </c>
      <c r="CT90" s="405">
        <f ca="1">IF(TabCalc[[#This Row],[M]]&lt;TabCalc[[#This Row],[L_Sp]],DesiredBuyGain/(TabCalc[[#This Row],[L_Sp]]-TabCalc[[#This Row],[M]]),0)</f>
        <v>0</v>
      </c>
      <c r="CU90" s="406">
        <f ca="1">IF(TabCalc[[#This Row],[ntoBuy]]*TabCalc[[#This Row],[M]]&lt;=0,0,TabCalc[[#This Row],[ntoBuy]]*TabCalc[[#This Row],[M]])</f>
        <v>0</v>
      </c>
      <c r="CV90" s="406">
        <f ca="1">IF(TabCalc[[#This Row],[M]]&gt;ABS(TabCalc[[#This Row],[L_Bp]]),MIN(TabCalc[[#This Row],[NAfter]],DesiredSaleGain/(TabCalc[[#This Row],[M]]+TabCalc[[#This Row],[L_Bp]])),0)/TabCalc[[#This Row],[Scale]]</f>
        <v>0</v>
      </c>
      <c r="CW90" s="407">
        <f ca="1">TabCalc[[#This Row],[ntoSell]]*TabCalc[[#This Row],[M]]</f>
        <v>0</v>
      </c>
      <c r="CX90" s="400">
        <f ca="1">_xlfn.LET(_xlpm.nToSell,IF(TabCalc[[#This Row],[M]]-TabCalc[[#This Row],[A]]&lt;=0,"",INT(DesiredSaleGain/(TabCalc[[#This Row],[M]]-IF(TabCalc[[#This Row],[E]]&gt;0,0,TabCalc[[#This Row],[A]])))),IF(_xlpm.nToSell&lt;=TabCalc[[#This Row],[NAfter]],_xlpm.nToSell,0))</f>
        <v>0</v>
      </c>
      <c r="CY90" s="338">
        <f ca="1">IFERROR(TabCalc[[#This Row],[NMA]]*TabCalc[[#This Row],[M]],"")</f>
        <v>0</v>
      </c>
      <c r="CZ90" s="337" cm="1">
        <f t="array" aca="1" ref="CZ90" ca="1">_xlfn.IFS(TabCalc[[#This Row],[M]]&gt;= TabCalc[[#This Row],[L_Sp]],(TabCalc[[#This Row],[M]]-TabCalc[[#This Row],[A]])*TabCalc[[#This Row],[NAfter]]*TabCalc[[#This Row],[Scale]],           TabCalc[[#This Row],[M]]&lt; TabCalc[[#This Row],[L_Sp]],(TabCalc[[#This Row],[M]]-TabCalc[[#This Row],[A]])*TabCalc[[#This Row],[NAfter]]*TabCalc[[#This Row],[Scale]],               TRUE,"")</f>
        <v>0</v>
      </c>
      <c r="DA90" s="90">
        <f ca="1">IFERROR((TabCalc[[#This Row],[M]]+TabCalc[[#This Row],[L_Bp]])/ABS(TabCalc[[#This Row],[L_Bp]])/(TODAY()-TabCalc[[#This Row],[L_Bdate]])*360,"")</f>
        <v>2.7102592887567237E-2</v>
      </c>
      <c r="DB90" s="312">
        <f ca="1">MEDIAN(DataShift!F789:Z789)</f>
        <v>-3.0270000000000002E-3</v>
      </c>
      <c r="DC90" s="312" t="str" cm="1">
        <f t="array" aca="1" ref="DC9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90" s="88" t="s">
        <v>85</v>
      </c>
      <c r="DN90" s="81">
        <v>1300</v>
      </c>
      <c r="DO90" s="317">
        <v>-41.52</v>
      </c>
    </row>
    <row r="91" spans="1:119">
      <c r="A91" s="120" t="str">
        <f ca="1">_xlfn.XLOOKUP(TabCalc[[#This Row],[Ticker]],[1]!RTData[Ticker symbol],[1]!RTData[Currency])</f>
        <v>USD</v>
      </c>
      <c r="B91" s="121">
        <f ca="1">IF(TabCalc[[#This Row],[Cur]]="GBP",0.01,1)</f>
        <v>1</v>
      </c>
      <c r="C91" s="82">
        <f ca="1">_xlfn.XLOOKUP(TabCalc[[#This Row],[Ticker]],DM$3:DM$96,DN$3:DN$96)</f>
        <v>450</v>
      </c>
      <c r="D91" s="1254">
        <f ca="1">_xlfn.XLOOKUP(TabCalc[[#This Row],[Ticker]],DM$3:DM$96,DO$3:DO$96)</f>
        <v>-262.89</v>
      </c>
      <c r="E91" s="121">
        <f t="shared" ca="1" si="4"/>
        <v>-118300.5</v>
      </c>
      <c r="F91" s="82">
        <f ca="1">TabCalc[[#This Row],[NAfter]]*TabCalc[[#This Row],[M]]*TabCalc[[#This Row],[Scale]]</f>
        <v>47724.000000000007</v>
      </c>
      <c r="G91" s="82">
        <f ca="1">IFERROR(TabCalc[[#This Row],[SB]]-TabCalc[[#This Row],[SST]],TabCalc[[#This Row],[SB]])</f>
        <v>600</v>
      </c>
      <c r="H91" s="535" t="str">
        <f ca="1">[1]!RTData[[#This Row],[Ticker symbol]]</f>
        <v>XYZ</v>
      </c>
      <c r="I91" s="385">
        <f ca="1">[1]!RTData[[#This Row],[M-Price]]</f>
        <v>79.540000000000006</v>
      </c>
      <c r="J91" s="384">
        <v>76.94</v>
      </c>
      <c r="K91" s="383">
        <f>[1]!RTData[[#This Row],[1YT]]</f>
        <v>85.42</v>
      </c>
      <c r="L91" s="384">
        <f ca="1">IF(OR(TabCalc[[#This Row],[NAfter]]=0,TabCalc[[#This Row],[EfCost]]&gt;0),0,TabCalc[[#This Row],[EfCost]]/TabCalc[[#This Row],[NAfter]]/TabCalc[[#This Row],[Scale]])</f>
        <v>-346.07816666666673</v>
      </c>
      <c r="M91" s="744">
        <f ca="1">[1]!RTData[[#This Row],[Change%]]</f>
        <v>1.2475E-2</v>
      </c>
      <c r="N91" s="1172">
        <v>0.8571428571428571</v>
      </c>
      <c r="O91" s="966">
        <f>TabCalc[[#This Row],[Up20]]-1+TabCalc[[#This Row],[Up20]]</f>
        <v>0.71428571428571419</v>
      </c>
      <c r="P91" s="966">
        <f>TabCalc[[#This Row],[Up20]]-TabCalc[[#This Row],[Up150]]</f>
        <v>0.25714285714285712</v>
      </c>
      <c r="Q91" s="966">
        <v>0.6</v>
      </c>
      <c r="R91" s="966">
        <f>TabCalc[[#This Row],[Up150]]-1+TabCalc[[#This Row],[Up150]]</f>
        <v>0.19999999999999996</v>
      </c>
      <c r="S91" s="966">
        <f ca="1">IFERROR(SUMPRODUCT(DataShift!F1583:Z1583,DataShift!AB790:AV790)/SQRT(SUMPRODUCT(DataShift!F1583:Z1583,DataShift!F1583:Z1583)*SUMPRODUCT(DataShift!AB790:AV790,DataShift!AB790:AV790)),0)</f>
        <v>-0.75272416983093704</v>
      </c>
      <c r="T91" s="966">
        <f ca="1">IFERROR(SUMPRODUCT(DataShift!F1583:Z1583,DataShift!F790:Z790)/SQRT(SUMPRODUCT(DataShift!F1583:Z1583,DataShift!F1583:Z1583)*SUMPRODUCT(DataShift!F790:Z790,DataShift!F790:Z790)),0)</f>
        <v>-0.37709308197280095</v>
      </c>
      <c r="U91" s="1107">
        <v>600</v>
      </c>
      <c r="V91" s="1107">
        <v>0</v>
      </c>
      <c r="W91" s="1107">
        <v>0</v>
      </c>
      <c r="X91" s="966" t="str">
        <f ca="1">IF(TabCalc[[#This Row],[EfCost]]+TabCalc[[#This Row],[M_V]]&lt;TabCalc[[#This Row],[NoT_GL]],"Pile","")</f>
        <v>Pile</v>
      </c>
      <c r="Y9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1" s="213">
        <f ca="1">MIN(TabCalc[[#This Row],[L_Bn]],TabCalc[[#This Row],[NAfter]])*(TabCalc[[#This Row],[M]]+TabCalc[[#This Row],[L_Bp]])*TabCalc[[#This Row],[Scale]]</f>
        <v>1560.000000000005</v>
      </c>
      <c r="AA91" s="210" cm="1">
        <f t="array" aca="1" ref="AA91" ca="1">_xlfn.XLOOKUP(TabCalc[[#This Row],[L_Bp]],INDIRECT("TabReg["&amp;TabCalc[[#This Row],[Ticker]]&amp;"2]"),INDIRECT("TabReg["&amp;TabCalc[[#This Row],[Ticker]]&amp;"]"))</f>
        <v>45919</v>
      </c>
      <c r="AB91" s="181" cm="1">
        <f t="array" aca="1" ref="AB91" ca="1">_xlfn.XLOOKUP(TabCalc[[#This Row],[L_Bp]],INDIRECT("TabReg["&amp;TabCalc[[#This Row],[Ticker]]&amp;"2]"),INDIRECT("TabReg["&amp;TabCalc[[#This Row],[Ticker]]&amp;"1]"))</f>
        <v>600</v>
      </c>
      <c r="AC91" s="192" cm="1">
        <f t="array" aca="1" ref="AC91" ca="1">IFERROR(INDEX(INDIRECT("TabReg["&amp;TabCalc[[#This Row],[Ticker]]&amp;"2]"),    _xlfn.XMATCH(    MAX(    _xlfn._xlws.FILTER(INDIRECT("TabReg["&amp;TabCalc[[#This Row],[Ticker]]&amp;"]"), INDIRECT("TabReg["&amp;TabCalc[[#This Row],[Ticker]]&amp;"2]")&lt;0)     ), INDIRECT("TabReg["&amp;TabCalc[[#This Row],[Ticker]]&amp;"]"),      0)), "")</f>
        <v>-76.94</v>
      </c>
      <c r="AD91" s="213">
        <f ca="1">IFERROR(MIN(TabCalc[[#This Row],[L_B1n]],TabCalc[[#This Row],[NAfter]])*(TabCalc[[#This Row],[M]]+TabCalc[[#This Row],[L_B1p]])*TabCalc[[#This Row],[Scale]],"")</f>
        <v>11640.000000000004</v>
      </c>
      <c r="AE91" s="210" cm="1">
        <f t="array" aca="1" ref="AE9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45503</v>
      </c>
      <c r="AF91" s="181" cm="1">
        <f t="array" aca="1" ref="AF91" ca="1">IFERROR(_xlfn.XLOOKUP(TabCalc[[#This Row],[L_B1D]],INDIRECT("TabReg["&amp;TabCalc[[#This Row],[Ticker]]&amp;"]"),INDIRECT("TabReg["&amp;TabCalc[[#This Row],[Ticker]]&amp;"1]")),0)</f>
        <v>2000</v>
      </c>
      <c r="AG91" s="192" cm="1">
        <f t="array" aca="1" ref="AG91" ca="1">IFERROR(_xlfn.XLOOKUP(TabCalc[[#This Row],[L_B1D]],INDIRECT("TabReg["&amp;TabCalc[[#This Row],[Ticker]]&amp;"]"),INDIRECT("TabReg["&amp;TabCalc[[#This Row],[Ticker]]&amp;"2]")),0)</f>
        <v>-60.14</v>
      </c>
      <c r="AH91" s="302">
        <f ca="1">IFERROR(TabCalc[[#This Row],[L_Sn]]*(TabCalc[[#This Row],[L_Sp]]-TabCalc[[#This Row],[M]])*TabCalc[[#This Row],[Scale]],"")</f>
        <v>-36560.000000000015</v>
      </c>
      <c r="AI91" s="210" cm="1">
        <f t="array" aca="1" ref="AI91" ca="1">IFERROR(_xlfn.XLOOKUP(TabCalc[[#This Row],[L_Sp]],INDIRECT("TabReg["&amp;TabCalc[[#This Row],[Ticker]]&amp;"2]"),INDIRECT("TabReg["&amp;TabCalc[[#This Row],[Ticker]]&amp;"]")),0)</f>
        <v>45504</v>
      </c>
      <c r="AJ91" s="181" cm="1">
        <f t="array" aca="1" ref="AJ91" ca="1">IFERROR(_xlfn.XLOOKUP(TabCalc[[#This Row],[L_Sp]],INDIRECT("TabReg["&amp;TabCalc[[#This Row],[Ticker]]&amp;"2]"),INDIRECT("TabReg["&amp;TabCalc[[#This Row],[Ticker]]&amp;"1]")),0)</f>
        <v>2000</v>
      </c>
      <c r="AK91" s="192" cm="1">
        <f t="array" aca="1" ref="AK91" ca="1">IFERROR(INDEX(INDIRECT("TabReg["&amp;TabCalc[[#This Row],[Ticker]]&amp;"2]"), _xlfn.XMATCH(MAX(_xlfn._xlws.FILTER(INDIRECT("TabReg["&amp;TabCalc[[#This Row],[Ticker]]&amp;"]"), INDIRECT("TabReg["&amp;TabCalc[[#This Row],[Ticker]]&amp;"2]")&gt;0)), INDIRECT("TabReg["&amp;TabCalc[[#This Row],[Ticker]]&amp;"]"), 0)), 0)</f>
        <v>61.26</v>
      </c>
      <c r="AL91" s="214">
        <f ca="1">IFERROR(TabCalc[[#This Row],[L_S1n]]*(TabCalc[[#This Row],[L_S1p]]-TabCalc[[#This Row],[M]])*TabCalc[[#This Row],[Scale]],0)</f>
        <v>-17580.000000000018</v>
      </c>
      <c r="AM91" s="210" cm="1">
        <f t="array" aca="1" ref="AM9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91" s="181" cm="1">
        <f t="array" aca="1" ref="AN91" ca="1">IFERROR(_xlfn.XLOOKUP(TabCalc[[#This Row],[L_S1D]],INDIRECT("TabReg["&amp;TabCalc[[#This Row],[Ticker]]&amp;"]"),INDIRECT("TabReg["&amp;TabCalc[[#This Row],[Ticker]]&amp;"1]")),0)</f>
        <v>1500</v>
      </c>
      <c r="AO91" s="384" cm="1">
        <f t="array" aca="1" ref="AO91" ca="1">IFERROR(_xlfn.XLOOKUP(TabCalc[[#This Row],[L_S1D]],INDIRECT("TabReg["&amp;TabCalc[[#This Row],[Ticker]]&amp;"]"),INDIRECT("TabReg["&amp;TabCalc[[#This Row],[Ticker]]&amp;"2]")),0)</f>
        <v>67.819999999999993</v>
      </c>
      <c r="AP91" s="336">
        <f ca="1">_xlfn.LET(_xlpm.MVOpen,[1]!RTData[[#This Row],[Open]]*TabCalc[[#This Row],[NAfter]],_xlpm.MVNow,TabCalc[[#This Row],[M]]*TabCalc[[#This Row],[NAfter]],_xlpm.MVNow-_xlpm.MVOpen)*TabCalc[[#This Row],[Scale]]</f>
        <v>-155.99999999999272</v>
      </c>
      <c r="AQ91" s="336">
        <f ca="1">_xlfn.LET(_xlpm.MVToday,DataShift!AV591,         _xlpm.MVY,DataShift!AU591,        _xlpm.MVYY, DataShift!AT591,                                IF(_xlpm.MVToday=_xlpm.MVY,_xlpm.MVY-_xlpm.MVYY,_xlpm.MVToday-_xlpm.MVY))</f>
        <v>240</v>
      </c>
      <c r="AR91" s="336">
        <f ca="1">_xlfn.LET(_xlpm.MVToday,DataShift!AV591,         _xlpm.MVY,DataShift!AU591,        _xlpm.MVYY, DataShift!AT591,         _xlpm.MVYYY, DataShift!AS591,                      IF(_xlpm.MVToday=_xlpm.MVY,      _xlpm.MVYY-_xlpm.MVYYY,          _xlpm.MVY-_xlpm.MVYY))</f>
        <v>480</v>
      </c>
      <c r="AS91" s="1078">
        <f ca="1">TabCalc[[#This Row],[Y]]/TabCalc[[#This Row],[M]]</f>
        <v>1.0739250691475986</v>
      </c>
      <c r="AT91" s="299" t="str" cm="1">
        <f t="array" aca="1" ref="AT91" ca="1">IFERROR(_xlfn.IFS(          TabCalc[[#This Row],[E]]&gt;0, "Free Trade",      TabCalc[[#This Row],[A]]&lt;MIN(TabCalc[[#This Row],[L_Sp]],TabCalc[[#This Row],[M]]), "Buy",            TabCalc[[#This Row],[M]]&lt;TabCalc[[#This Row],[L_Sp]],       "Refill",       TabCalc[[#This Row],[M]]&gt;TabCalc[[#This Row],[L_Sp]],"S_more"),"")</f>
        <v>S_more</v>
      </c>
      <c r="AU91" s="299" t="str">
        <f ca="1">IF(           AND(TabCalc[[#This Row],[E]]&lt;=0,          TabCalc[[#This Row],[A]]&gt;MIN(TabCalc[[#This Row],[M]],TabCalc[[#This Row],[L_Sp]]),             TabCalc[[#This Row],[L_Sp]]&lt;=TabCalc[[#This Row],[M]]),                       "S_more","")</f>
        <v>S_more</v>
      </c>
      <c r="AV91" s="82" t="str" cm="1">
        <f t="array" aca="1" ref="AV91" ca="1">IFERROR(_xlfn.IFS(TabCalc[[#This Row],[E]]&gt;0,"Free trade",                 TabCalc[[#This Row],[A]]&lt;MAX(ABS(TabCalc[[#This Row],[L_Bp]]),TabCalc[[#This Row],[A]]),"Sell",             TabCalc[[#This Row],[M]]&gt;ABS(TabCalc[[#This Row],[L_Bp]]),"Resell",             TabCalc[[#This Row],[M]]&lt;ABS(TabCalc[[#This Row],[L_Bp]]),"B_more"),"")</f>
        <v>Resell</v>
      </c>
      <c r="AW91" s="82">
        <f ca="1">TabCalc[[#This Row],[NAfter]]-TabCalc[[#This Row],[Nbegin]]</f>
        <v>150</v>
      </c>
      <c r="AX91" s="307">
        <f ca="1">IFERROR((TabCalc[[#This Row],[M]]-TabCalc[[#This Row],[Y]])*(TabCalc[[#This Row],[M]]-TabCalc[[#This Row],[Y]])*(TabCalc[[#This Row],[M]]-TabCalc[[#This Row],[Y]])/(TabCalc[[#This Row],[Y]]*TabCalc[[#This Row],[M]]),"")</f>
        <v>-2.9921738594436083E-2</v>
      </c>
      <c r="AY91" s="82">
        <f t="shared" ca="1" si="5"/>
        <v>0</v>
      </c>
      <c r="AZ91" s="90">
        <f ca="1">[1]!RTData[[#This Row],[V/VA]]</f>
        <v>0.64221317390250832</v>
      </c>
      <c r="BA91" s="90" t="str" cm="1">
        <f t="array" aca="1" ref="BA91" ca="1">IFERROR(_xlfn.IFS(TabCalc[[#This Row],[Cur]]="USD",Timer!F$27,TabCalc[[#This Row],[Cur]]="EUR",Timer!F$18,TabCalc[[#This Row],[Cur]]="GBP",Timer!F$12,TabCalc[[#This Row],[Cur]]="CAD",Timer!F$27,TabCalc[[#This Row],[Cur]]="JPY",Timer!F$31,TabCalc[[#This Row],[Cur]]="CHF",Timer!F$18),"Timing")</f>
        <v>None-Working Day</v>
      </c>
      <c r="BB91" s="90">
        <f ca="1">IF(ISNUMBER(TabCalc[[#This Row],[TimeEX]]),TabCalc[[#This Row],[V/VA]]/TabCalc[[#This Row],[TimeEX]],TabCalc[[#This Row],[V/VA]])</f>
        <v>0.64221317390250832</v>
      </c>
      <c r="BC91" s="87" cm="1">
        <f t="array" aca="1" ref="BC91" ca="1">INDEX(TabReg[], 1, _xlfn.XMATCH(TabCalc[[#This Row],[Ticker]]&amp;1, TabReg[#Headers], 0))</f>
        <v>450</v>
      </c>
      <c r="BD91" s="161">
        <f ca="1">TabCalc[[#This Row],[Nbegin]]*TabCalc[[#This Row],[M]]*TabCalc[[#This Row],[Scale]]+TabCalc[[#This Row],[ValueBegin]]</f>
        <v>-82507.5</v>
      </c>
      <c r="BE91" s="336" t="str" cm="1">
        <f t="array" aca="1" ref="BE91" ca="1">_xlfn.IFS(TabCalc[[#This Row],[Cost+Gain]]&gt;0,"Free",             TabCalc[[#This Row],[GL]]&gt;0,"Gainer",                TRUE,"Looser")</f>
        <v>Looser</v>
      </c>
      <c r="BF91" s="161">
        <f ca="1">TabCalc[[#This Row],[Tot_Paid]]-TabCalc[[#This Row],[ValueBegin]]</f>
        <v>-642488.32134000002</v>
      </c>
      <c r="BG91" s="337">
        <f ca="1">IF(TabCalc[[#This Row],[EfCost]]&gt;TabCalc[[#This Row],[ValueBegin]],       0,        TabCalc[[#This Row],[EfCost]]-TabCalc[[#This Row],[ValueBegin]]*(1+Commission))</f>
        <v>-89038.818700000033</v>
      </c>
      <c r="BH91" s="338">
        <f ca="1">TabCalc[[#This Row],[M_V]]+TabCalc[[#This Row],[ValueBegin]]</f>
        <v>-70576.5</v>
      </c>
      <c r="BI91" s="161" cm="1">
        <f t="array" aca="1" ref="BI91" ca="1">SUMPRODUCT(_xlfn._xlws.FILTER(INDIRECT("TabReg["&amp;TabCalc[[#This Row],[Ticker]]&amp;"1]") * INDIRECT("TabReg["&amp;TabCalc[[#This Row],[Ticker]]&amp;"2]"), INDIRECT("TabReg["&amp;TabCalc[[#This Row],[Ticker]]&amp;"2]")&lt;0))*(1+Commission)*TabCalc[[#This Row],[Scale]]</f>
        <v>-760788.82134000002</v>
      </c>
      <c r="BJ91" s="161" cm="1">
        <f t="array" aca="1" ref="BJ91" ca="1">SUMPRODUCT(IF(INDIRECT("TabReg["&amp;TabCalc[[#This Row],[Ticker]]&amp;"2]") ="", 0, INDIRECT("TabReg["&amp;TabCalc[[#This Row],[Ticker]]&amp;"1]") * INDIRECT("TabReg["&amp;TabCalc[[#This Row],[Ticker]]&amp;"2]") ))*TabCalc[[#This Row],[Scale]]</f>
        <v>-207646.90000000002</v>
      </c>
      <c r="BK91" s="161" cm="1">
        <f t="array" aca="1" ref="BK9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549735.96059999999</v>
      </c>
      <c r="BL91" s="161">
        <f ca="1">TabCalc[[#This Row],[M_V]]+TabCalc[[#This Row],[EfCost]]</f>
        <v>-159922.90000000002</v>
      </c>
      <c r="BM91" s="161">
        <f ca="1">IF(        OR( TabCalc[[#This Row],[GL]]&gt;ABS(TabCalc[[#This Row],[EfCost]]),TabCalc[[#This Row],[NAfter]]=0),             TabCalc[[#This Row],[GL]],     0)</f>
        <v>0</v>
      </c>
      <c r="BN91" s="161" cm="1">
        <f t="array" aca="1" ref="BN91" ca="1">SUMPRODUCT(_xlfn._xlws.FILTER(IF(INDIRECT("TabReg["&amp;TabCalc[[#This Row],[Ticker]]&amp;"2]") ="", 0, INDIRECT("TabReg["&amp;TabCalc[[#This Row],[Ticker]]&amp;"1]")  ),  INDIRECT("TabReg["&amp;TabCalc[[#This Row],[Ticker]]&amp;"2]") &lt; 0))</f>
        <v>8500</v>
      </c>
      <c r="BO91" s="161">
        <f ca="1">TabCalc[[#This Row],[SB]]-TabCalc[[#This Row],[Nbegin]]</f>
        <v>8050</v>
      </c>
      <c r="BP91" s="161" cm="1">
        <f t="array" aca="1" ref="BP91" ca="1">IFERROR(SUMPRODUCT(_xlfn._xlws.FILTER(IF(INDIRECT("TabReg["&amp;TabCalc[[#This Row],[Ticker]]&amp;"2]") ="", 0, INDIRECT("TabReg["&amp;TabCalc[[#This Row],[Ticker]]&amp;"1]")  ),  INDIRECT("TabReg["&amp;TabCalc[[#This Row],[Ticker]]&amp;"2]") &gt; 0)),0)</f>
        <v>7900</v>
      </c>
      <c r="BQ9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1" s="176" t="str">
        <f ca="1">IF(TabCalc[[#This Row],[EfCost]]+TabCalc[[#This Row],[M_V]]&lt;TabCalc[[#This Row],[NoT_GL]],"Pile","")</f>
        <v>Pile</v>
      </c>
      <c r="BS91" s="167">
        <f ca="1">[1]!RTData[[#This Row],[Last trade time]]</f>
        <v>45954.99857752266</v>
      </c>
      <c r="BT91" s="177">
        <f ca="1">(TabCalc[[#This Row],[ValueBegin]]+(TabCalc[[#This Row],[M]]-TabCalc[[#This Row],[A]])*TabCalc[[#This Row],[NAfter]])*TabCalc[[#This Row],[Scale]]</f>
        <v>-116740.5</v>
      </c>
      <c r="BU91" s="189" cm="1">
        <f t="array" aca="1" ref="BU91" ca="1">_xlfn.XLOOKUP(TabCalc[[#This Row],[Ticker]],TabReg[[#Headers],[AAPL]:[UnknownX28]],Reg!B$72:KF$72)+3</f>
        <v>19</v>
      </c>
      <c r="BV91" s="190" cm="1">
        <f t="array" aca="1" ref="BV91" ca="1">_xlfn.XLOOKUP(TabCalc[[#This Row],[Ticker]],TabReg[[#Headers],[AAPL]:[UnknownX28]],Reg!B$73:KF$73)+2</f>
        <v>270</v>
      </c>
      <c r="BW91" s="191">
        <f ca="1">IFERROR(MAX(TabCalc[[#This Row],[Max_SD]],TabCalc[[#This Row],[Max_PD]]),0)</f>
        <v>45919</v>
      </c>
      <c r="BX91" s="191" t="str" cm="1">
        <f t="array" aca="1" ref="BX91" ca="1">_xlfn.IFS(TabCalc[[#This Row],[L_TP]]&lt;0,"Purchase",TabCalc[[#This Row],[L_TP]]&gt;0,"Sale")</f>
        <v>Purchase</v>
      </c>
      <c r="BY91" s="190" cm="1">
        <f t="array" aca="1" ref="BY91" ca="1">INDEX(Reg!$A$1:$KF$73,TabCalc[[#This Row],[L_I1]],TabCalc[[#This Row],[L_I2]])</f>
        <v>600</v>
      </c>
      <c r="BZ91" s="192" cm="1">
        <f t="array" aca="1" ref="BZ91" ca="1">INDEX(Reg!$A$1:$KF$73,TabCalc[[#This Row],[L_I1]],TabCalc[[#This Row],[L_I2]]+1)</f>
        <v>-76.94</v>
      </c>
      <c r="CA91" s="161">
        <f ca="1">TabCalc[[#This Row],[NAfter]]*(TabCalc[[#This Row],[M]]-IF(TabCalc[[#This Row],[E]]&gt;0,0,TabCalc[[#This Row],[A]]))</f>
        <v>1560.000000000005</v>
      </c>
      <c r="CB91" s="167" cm="1">
        <f t="array" aca="1" ref="CB91" ca="1">IFERROR(MIN(_xlfn._xlws.FILTER(INDIRECT("TabReg["&amp;TabCalc[[#This Row],[Ticker]]&amp;"]"), INDIRECT("TabReg["&amp;TabCalc[[#This Row],[Ticker]]&amp;"2]")&gt;0)),0)</f>
        <v>44845</v>
      </c>
      <c r="CC91" s="178" cm="1">
        <f t="array" aca="1" ref="CC91" ca="1">IFERROR(MIN(_xlfn._xlws.FILTER(INDIRECT("TabReg["&amp;TabCalc[[#This Row],[Ticker]]&amp;"1]"), INDIRECT("TabReg["&amp;TabCalc[[#This Row],[Ticker]]&amp;"2]")&gt;0)),0)</f>
        <v>400</v>
      </c>
      <c r="CD91" s="173" cm="1">
        <f t="array" aca="1" ref="CD91" ca="1">IFERROR(MIN(_xlfn._xlws.FILTER(INDIRECT("TabReg["&amp;TabCalc[[#This Row],[Ticker]]&amp;"2]"), INDIRECT("TabReg["&amp;TabCalc[[#This Row],[Ticker]]&amp;"2]")&gt;0)),0)</f>
        <v>61.26</v>
      </c>
      <c r="CE91" s="167" cm="1">
        <f t="array" aca="1" ref="CE91" ca="1">IFERROR(MAX(_xlfn._xlws.FILTER(INDIRECT("TabReg["&amp;TabCalc[[#This Row],[Ticker]]&amp;"]"), INDIRECT("TabReg["&amp;TabCalc[[#This Row],[Ticker]]&amp;"2]")&gt;0)),0)</f>
        <v>45504</v>
      </c>
      <c r="CF91" s="178" cm="1">
        <f t="array" aca="1" ref="CF91" ca="1">IFERROR(MAX(_xlfn._xlws.FILTER(INDIRECT("TabReg["&amp;TabCalc[[#This Row],[Ticker]]&amp;"1]"), INDIRECT("TabReg["&amp;TabCalc[[#This Row],[Ticker]]&amp;"2]")&gt;0)),0)</f>
        <v>2000</v>
      </c>
      <c r="CG91" s="173" cm="1">
        <f t="array" aca="1" ref="CG91" ca="1">IFERROR(MAX(_xlfn._xlws.FILTER(INDIRECT("TabReg["&amp;TabCalc[[#This Row],[Ticker]]&amp;"2]"), INDIRECT("TabReg["&amp;TabCalc[[#This Row],[Ticker]]&amp;"2]")&gt;0)),0)</f>
        <v>83.82</v>
      </c>
      <c r="CH91" s="167" cm="1">
        <f t="array" aca="1" ref="CH91" ca="1">MIN(_xlfn._xlws.FILTER(INDIRECT("TabReg["&amp;TabCalc[[#This Row],[Ticker]]&amp;"]"), INDIRECT("TabReg["&amp;TabCalc[[#This Row],[Ticker]]&amp;"2]")&lt;0))</f>
        <v>40544</v>
      </c>
      <c r="CI91" s="177" cm="1">
        <f t="array" aca="1" ref="CI91" ca="1">MIN(_xlfn._xlws.FILTER(INDIRECT("TabReg["&amp;TabCalc[[#This Row],[Ticker]]&amp;"1]"), INDIRECT("TabReg["&amp;TabCalc[[#This Row],[Ticker]]&amp;"2]")&lt;0))</f>
        <v>200</v>
      </c>
      <c r="CJ91" s="173" cm="1">
        <f t="array" aca="1" ref="CJ91" ca="1">MIN(_xlfn._xlws.FILTER(INDIRECT("TabReg["&amp;TabCalc[[#This Row],[Ticker]]&amp;"2]"), INDIRECT("TabReg["&amp;TabCalc[[#This Row],[Ticker]]&amp;"2]")&lt;0))</f>
        <v>-262.89</v>
      </c>
      <c r="CK91" s="167" cm="1">
        <f t="array" aca="1" ref="CK91" ca="1">MAX(_xlfn._xlws.FILTER(INDIRECT("TabReg["&amp;TabCalc[[#This Row],[Ticker]]&amp;"]"), INDIRECT("TabReg["&amp;TabCalc[[#This Row],[Ticker]]&amp;"2]")&lt;0))</f>
        <v>45919</v>
      </c>
      <c r="CL91" s="177" cm="1">
        <f t="array" aca="1" ref="CL91" ca="1">MAX(_xlfn._xlws.FILTER(INDIRECT("TabReg["&amp;TabCalc[[#This Row],[Ticker]]&amp;"1]"), INDIRECT("TabReg["&amp;TabCalc[[#This Row],[Ticker]]&amp;"2]")&lt;0))</f>
        <v>2000</v>
      </c>
      <c r="CM91" s="173" cm="1">
        <f t="array" aca="1" ref="CM91" ca="1">MAX(_xlfn._xlws.FILTER(INDIRECT("TabReg["&amp;TabCalc[[#This Row],[Ticker]]&amp;"2]"), INDIRECT("TabReg["&amp;TabCalc[[#This Row],[Ticker]]&amp;"2]")&lt;0))</f>
        <v>-60.14</v>
      </c>
      <c r="CN91" s="167" cm="1">
        <f t="array" aca="1" ref="CN91" ca="1">IFERROR(_xlfn.XLOOKUP(TabCalc[[#This Row],[BS2P]],INDIRECT("TabReg["&amp;TabCalc[[#This Row],[Ticker]]&amp;"2]"),INDIRECT("TabReg["&amp;TabCalc[[#This Row],[Ticker]]&amp;"]")),0)</f>
        <v>45345</v>
      </c>
      <c r="CO91" s="178" cm="1">
        <f t="array" aca="1" ref="CO91" ca="1">IFERROR(_xlfn.XLOOKUP(TabCalc[[#This Row],[BS2P]],INDIRECT("TabReg["&amp;TabCalc[[#This Row],[Ticker]]&amp;"2]"),INDIRECT("TabReg["&amp;TabCalc[[#This Row],[Ticker]]&amp;"1]")),0)</f>
        <v>1000</v>
      </c>
      <c r="CP91" s="173">
        <f ca="1">_xlfn.MAXIFS(INDIRECT("TabReg["&amp;TabCalc[[#This Row],[Ticker]]&amp;"2]"), INDIRECT("TabReg["&amp;TabCalc[[#This Row],[Ticker]]&amp;"2]"), "&lt;" &amp; MAX(INDIRECT("TabReg["&amp;TabCalc[[#This Row],[Ticker]]&amp;"2]")))</f>
        <v>81.42</v>
      </c>
      <c r="CQ91" s="167" cm="1">
        <f t="array" aca="1" ref="CQ91" ca="1">IFERROR(_xlfn.XLOOKUP(TabCalc[[#This Row],[WB2P]],INDIRECT("TabReg["&amp;TabCalc[[#This Row],[Ticker]]&amp;"2]"),INDIRECT("TabReg["&amp;TabCalc[[#This Row],[Ticker]]&amp;"]")),0)</f>
        <v>44459</v>
      </c>
      <c r="CR91" s="178" cm="1">
        <f t="array" aca="1" ref="CR91" ca="1">IFERROR(_xlfn.XLOOKUP(TabCalc[[#This Row],[WB2P]],INDIRECT("TabReg["&amp;TabCalc[[#This Row],[Ticker]]&amp;"2]"),INDIRECT("TabReg["&amp;TabCalc[[#This Row],[Ticker]]&amp;"1]")),0)</f>
        <v>200</v>
      </c>
      <c r="CS91" s="173">
        <f ca="1">_xlfn.MINIFS(INDIRECT("TabReg["&amp;TabCalc[[#This Row],[Ticker]]&amp;"2]"), INDIRECT("TabReg["&amp;TabCalc[[#This Row],[Ticker]]&amp;"2]"), "&gt;" &amp; MIN(INDIRECT("TabReg["&amp;TabCalc[[#This Row],[Ticker]]&amp;"2]")))</f>
        <v>-248.79</v>
      </c>
      <c r="CT91" s="405">
        <f ca="1">IF(TabCalc[[#This Row],[M]]&lt;TabCalc[[#This Row],[L_Sp]],DesiredBuyGain/(TabCalc[[#This Row],[L_Sp]]-TabCalc[[#This Row],[M]]),0)</f>
        <v>0</v>
      </c>
      <c r="CU91" s="406">
        <f ca="1">IF(TabCalc[[#This Row],[ntoBuy]]*TabCalc[[#This Row],[M]]&lt;=0,0,TabCalc[[#This Row],[ntoBuy]]*TabCalc[[#This Row],[M]])</f>
        <v>0</v>
      </c>
      <c r="CV91" s="406">
        <f ca="1">IF(TabCalc[[#This Row],[M]]&gt;ABS(TabCalc[[#This Row],[L_Bp]]),MIN(TabCalc[[#This Row],[NAfter]],DesiredSaleGain/(TabCalc[[#This Row],[M]]+TabCalc[[#This Row],[L_Bp]])),0)/TabCalc[[#This Row],[Scale]]</f>
        <v>600</v>
      </c>
      <c r="CW91" s="407">
        <f ca="1">TabCalc[[#This Row],[ntoSell]]*TabCalc[[#This Row],[M]]</f>
        <v>47724.000000000007</v>
      </c>
      <c r="CX91" s="400">
        <f ca="1">_xlfn.LET(_xlpm.nToSell,IF(TabCalc[[#This Row],[M]]-TabCalc[[#This Row],[A]]&lt;=0,"",INT(DesiredSaleGain/(TabCalc[[#This Row],[M]]-IF(TabCalc[[#This Row],[E]]&gt;0,0,TabCalc[[#This Row],[A]])))),IF(_xlpm.nToSell&lt;=TabCalc[[#This Row],[NAfter]],_xlpm.nToSell,0))</f>
        <v>0</v>
      </c>
      <c r="CY91" s="338">
        <f ca="1">IFERROR(TabCalc[[#This Row],[NMA]]*TabCalc[[#This Row],[M]],"")</f>
        <v>0</v>
      </c>
      <c r="CZ91" s="337" cm="1">
        <f t="array" aca="1" ref="CZ91" ca="1">_xlfn.IFS(TabCalc[[#This Row],[M]]&gt;= TabCalc[[#This Row],[L_Sp]],(TabCalc[[#This Row],[M]]-TabCalc[[#This Row],[A]])*TabCalc[[#This Row],[NAfter]]*TabCalc[[#This Row],[Scale]],           TabCalc[[#This Row],[M]]&lt; TabCalc[[#This Row],[L_Sp]],(TabCalc[[#This Row],[M]]-TabCalc[[#This Row],[A]])*TabCalc[[#This Row],[NAfter]]*TabCalc[[#This Row],[Scale]],               TRUE,"")</f>
        <v>1560.000000000005</v>
      </c>
      <c r="DA91" s="90">
        <f ca="1">IFERROR((TabCalc[[#This Row],[M]]+TabCalc[[#This Row],[L_Bp]])/ABS(TabCalc[[#This Row],[L_Bp]])/(TODAY()-TabCalc[[#This Row],[L_Bdate]])*360,"")</f>
        <v>0.32879253050815416</v>
      </c>
      <c r="DB91" s="312">
        <f ca="1">MEDIAN(DataShift!F790:Z790)</f>
        <v>7.6690000000000005E-3</v>
      </c>
      <c r="DC91" s="312" t="e" cm="1">
        <f t="array" aca="1" ref="DC9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1" s="88" t="s">
        <v>86</v>
      </c>
      <c r="DN91" s="81">
        <v>2700</v>
      </c>
      <c r="DO91" s="317">
        <v>-30.31</v>
      </c>
    </row>
    <row r="92" spans="1:119">
      <c r="A92" s="120" t="str">
        <f ca="1">_xlfn.XLOOKUP(TabCalc[[#This Row],[Ticker]],[1]!RTData[Ticker symbol],[1]!RTData[Currency])</f>
        <v>USD</v>
      </c>
      <c r="B92" s="121">
        <f ca="1">IF(TabCalc[[#This Row],[Cur]]="GBP",0.01,1)</f>
        <v>1</v>
      </c>
      <c r="C92" s="82">
        <f ca="1">_xlfn.XLOOKUP(TabCalc[[#This Row],[Ticker]],DM$3:DM$96,DN$3:DN$96)</f>
        <v>2000</v>
      </c>
      <c r="D92" s="1254">
        <f ca="1">_xlfn.XLOOKUP(TabCalc[[#This Row],[Ticker]],DM$3:DM$96,DO$3:DO$96)</f>
        <v>-46.07</v>
      </c>
      <c r="E92" s="121">
        <f t="shared" ca="1" si="4"/>
        <v>-92140</v>
      </c>
      <c r="F92" s="82">
        <f ca="1">TabCalc[[#This Row],[NAfter]]*TabCalc[[#This Row],[M]]*TabCalc[[#This Row],[Scale]]</f>
        <v>315570</v>
      </c>
      <c r="G92" s="82">
        <f ca="1">IFERROR(TabCalc[[#This Row],[SB]]-TabCalc[[#This Row],[SST]],TabCalc[[#This Row],[SB]])</f>
        <v>1500</v>
      </c>
      <c r="H92" s="535" t="str">
        <f ca="1">[1]!RTData[[#This Row],[Ticker symbol]]</f>
        <v>THC</v>
      </c>
      <c r="I92" s="385">
        <f ca="1">[1]!RTData[[#This Row],[M-Price]]</f>
        <v>210.38</v>
      </c>
      <c r="J92" s="384">
        <v>160.48125666666667</v>
      </c>
      <c r="K92" s="383">
        <f>[1]!RTData[[#This Row],[1YT]]</f>
        <v>204.90475000000001</v>
      </c>
      <c r="L92" s="384">
        <f ca="1">IF(OR(TabCalc[[#This Row],[NAfter]]=0,TabCalc[[#This Row],[EfCost]]&gt;0),0,TabCalc[[#This Row],[EfCost]]/TabCalc[[#This Row],[NAfter]]/TabCalc[[#This Row],[Scale]])</f>
        <v>-4.5561013333333342</v>
      </c>
      <c r="M92" s="744">
        <f ca="1">[1]!RTData[[#This Row],[Change%]]</f>
        <v>1.6771000000000001E-2</v>
      </c>
      <c r="N92" s="1172">
        <v>0.42857142857142855</v>
      </c>
      <c r="O92" s="966">
        <f>TabCalc[[#This Row],[Up20]]-1+TabCalc[[#This Row],[Up20]]</f>
        <v>-0.14285714285714285</v>
      </c>
      <c r="P92" s="966">
        <f>TabCalc[[#This Row],[Up20]]-TabCalc[[#This Row],[Up150]]</f>
        <v>-0.2521008403361345</v>
      </c>
      <c r="Q92" s="966">
        <v>0.68067226890756305</v>
      </c>
      <c r="R92" s="966">
        <f>TabCalc[[#This Row],[Up150]]-1+TabCalc[[#This Row],[Up150]]</f>
        <v>0.3613445378151261</v>
      </c>
      <c r="S92" s="966">
        <f ca="1">IFERROR(SUMPRODUCT(DataShift!F1584:Z1584,DataShift!AB791:AV791)/SQRT(SUMPRODUCT(DataShift!F1584:Z1584,DataShift!F1584:Z1584)*SUMPRODUCT(DataShift!AB791:AV791,DataShift!AB791:AV791)),0)</f>
        <v>-0.83600654148333831</v>
      </c>
      <c r="T92" s="966">
        <f ca="1">IFERROR(SUMPRODUCT(DataShift!F1584:Z1584,DataShift!F791:Z791)/SQRT(SUMPRODUCT(DataShift!F1584:Z1584,DataShift!F1584:Z1584)*SUMPRODUCT(DataShift!F791:Z791,DataShift!F791:Z791)),0)</f>
        <v>-4.4117942997482541E-2</v>
      </c>
      <c r="U92" s="1107">
        <v>1500</v>
      </c>
      <c r="V92" s="1107">
        <v>0</v>
      </c>
      <c r="W92" s="1107">
        <v>0</v>
      </c>
      <c r="X92" s="966" t="str">
        <f ca="1">IF(TabCalc[[#This Row],[EfCost]]+TabCalc[[#This Row],[M_V]]&lt;TabCalc[[#This Row],[NoT_GL]],"Pile","")</f>
        <v>Pile</v>
      </c>
      <c r="Y9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2" s="213">
        <f ca="1">MIN(TabCalc[[#This Row],[L_Bn]],TabCalc[[#This Row],[NAfter]])*(TabCalc[[#This Row],[M]]+TabCalc[[#This Row],[L_Bp]])*TabCalc[[#This Row],[Scale]]</f>
        <v>2741.9999999999959</v>
      </c>
      <c r="AA92" s="210" cm="1">
        <f t="array" aca="1" ref="AA92" ca="1">_xlfn.XLOOKUP(TabCalc[[#This Row],[L_Bp]],INDIRECT("TabReg["&amp;TabCalc[[#This Row],[Ticker]]&amp;"2]"),INDIRECT("TabReg["&amp;TabCalc[[#This Row],[Ticker]]&amp;"]"))</f>
        <v>45938</v>
      </c>
      <c r="AB92" s="181" cm="1">
        <f t="array" aca="1" ref="AB92" ca="1">_xlfn.XLOOKUP(TabCalc[[#This Row],[L_Bp]],INDIRECT("TabReg["&amp;TabCalc[[#This Row],[Ticker]]&amp;"2]"),INDIRECT("TabReg["&amp;TabCalc[[#This Row],[Ticker]]&amp;"1]"))</f>
        <v>300</v>
      </c>
      <c r="AC92" s="192" cm="1">
        <f t="array" aca="1" ref="AC92" ca="1">IFERROR(INDEX(INDIRECT("TabReg["&amp;TabCalc[[#This Row],[Ticker]]&amp;"2]"),    _xlfn.XMATCH(    MAX(    _xlfn._xlws.FILTER(INDIRECT("TabReg["&amp;TabCalc[[#This Row],[Ticker]]&amp;"]"), INDIRECT("TabReg["&amp;TabCalc[[#This Row],[Ticker]]&amp;"2]")&lt;0)     ), INDIRECT("TabReg["&amp;TabCalc[[#This Row],[Ticker]]&amp;"]"),      0)), "")</f>
        <v>-201.24</v>
      </c>
      <c r="AD92" s="213">
        <f ca="1">IFERROR(MIN(TabCalc[[#This Row],[L_B1n]],TabCalc[[#This Row],[NAfter]])*(TabCalc[[#This Row],[M]]+TabCalc[[#This Row],[L_B1p]])*TabCalc[[#This Row],[Scale]],"")</f>
        <v>58199.999999999985</v>
      </c>
      <c r="AE92" s="210" cm="1">
        <f t="array" aca="1" ref="AE9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45863</v>
      </c>
      <c r="AF92" s="181" cm="1">
        <f t="array" aca="1" ref="AF92" ca="1">IFERROR(_xlfn.XLOOKUP(TabCalc[[#This Row],[L_B1D]],INDIRECT("TabReg["&amp;TabCalc[[#This Row],[Ticker]]&amp;"]"),INDIRECT("TabReg["&amp;TabCalc[[#This Row],[Ticker]]&amp;"1]")),0)</f>
        <v>1000</v>
      </c>
      <c r="AG92" s="192" cm="1">
        <f t="array" aca="1" ref="AG92" ca="1">IFERROR(_xlfn.XLOOKUP(TabCalc[[#This Row],[L_B1D]],INDIRECT("TabReg["&amp;TabCalc[[#This Row],[Ticker]]&amp;"]"),INDIRECT("TabReg["&amp;TabCalc[[#This Row],[Ticker]]&amp;"2]")),0)</f>
        <v>-152.18</v>
      </c>
      <c r="AH92" s="302">
        <f ca="1">IFERROR(TabCalc[[#This Row],[L_Sn]]*(TabCalc[[#This Row],[L_Sp]]-TabCalc[[#This Row],[M]])*TabCalc[[#This Row],[Scale]],"")</f>
        <v>-5840.0000000000036</v>
      </c>
      <c r="AI92" s="210" cm="1">
        <f t="array" aca="1" ref="AI92" ca="1">IFERROR(_xlfn.XLOOKUP(TabCalc[[#This Row],[L_Sp]],INDIRECT("TabReg["&amp;TabCalc[[#This Row],[Ticker]]&amp;"2]"),INDIRECT("TabReg["&amp;TabCalc[[#This Row],[Ticker]]&amp;"]")),0)</f>
        <v>45937</v>
      </c>
      <c r="AJ92" s="181" cm="1">
        <f t="array" aca="1" ref="AJ92" ca="1">IFERROR(_xlfn.XLOOKUP(TabCalc[[#This Row],[L_Sp]],INDIRECT("TabReg["&amp;TabCalc[[#This Row],[Ticker]]&amp;"2]"),INDIRECT("TabReg["&amp;TabCalc[[#This Row],[Ticker]]&amp;"1]")),0)</f>
        <v>1000</v>
      </c>
      <c r="AK92" s="192" cm="1">
        <f t="array" aca="1" ref="AK92" ca="1">IFERROR(INDEX(INDIRECT("TabReg["&amp;TabCalc[[#This Row],[Ticker]]&amp;"2]"), _xlfn.XMATCH(MAX(_xlfn._xlws.FILTER(INDIRECT("TabReg["&amp;TabCalc[[#This Row],[Ticker]]&amp;"]"), INDIRECT("TabReg["&amp;TabCalc[[#This Row],[Ticker]]&amp;"2]")&gt;0)), INDIRECT("TabReg["&amp;TabCalc[[#This Row],[Ticker]]&amp;"]"), 0)), 0)</f>
        <v>204.54</v>
      </c>
      <c r="AL92" s="214">
        <f ca="1">IFERROR(TabCalc[[#This Row],[L_S1n]]*(TabCalc[[#This Row],[L_S1p]]-TabCalc[[#This Row],[M]])*TabCalc[[#This Row],[Scale]],0)</f>
        <v>-4024.9999999999986</v>
      </c>
      <c r="AM92" s="210" cm="1">
        <f t="array" aca="1" ref="AM9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45909</v>
      </c>
      <c r="AN92" s="181" cm="1">
        <f t="array" aca="1" ref="AN92" ca="1">IFERROR(_xlfn.XLOOKUP(TabCalc[[#This Row],[L_S1D]],INDIRECT("TabReg["&amp;TabCalc[[#This Row],[Ticker]]&amp;"]"),INDIRECT("TabReg["&amp;TabCalc[[#This Row],[Ticker]]&amp;"1]")),0)</f>
        <v>250</v>
      </c>
      <c r="AO92" s="384" cm="1">
        <f t="array" aca="1" ref="AO92" ca="1">IFERROR(_xlfn.XLOOKUP(TabCalc[[#This Row],[L_S1D]],INDIRECT("TabReg["&amp;TabCalc[[#This Row],[Ticker]]&amp;"]"),INDIRECT("TabReg["&amp;TabCalc[[#This Row],[Ticker]]&amp;"2]")),0)</f>
        <v>194.28</v>
      </c>
      <c r="AP92" s="336">
        <f ca="1">_xlfn.LET(_xlpm.MVOpen,[1]!RTData[[#This Row],[Open]]*TabCalc[[#This Row],[NAfter]],_xlpm.MVNow,TabCalc[[#This Row],[M]]*TabCalc[[#This Row],[NAfter]],_xlpm.MVNow-_xlpm.MVOpen)*TabCalc[[#This Row],[Scale]]</f>
        <v>1305</v>
      </c>
      <c r="AQ92" s="336">
        <f ca="1">_xlfn.LET(_xlpm.MVToday,DataShift!AV592,         _xlpm.MVY,DataShift!AU592,        _xlpm.MVYY, DataShift!AT592,                                IF(_xlpm.MVToday=_xlpm.MVY,_xlpm.MVY-_xlpm.MVYY,_xlpm.MVToday-_xlpm.MVY))</f>
        <v>0</v>
      </c>
      <c r="AR92" s="336">
        <f ca="1">_xlfn.LET(_xlpm.MVToday,DataShift!AV592,         _xlpm.MVY,DataShift!AU592,        _xlpm.MVYY, DataShift!AT592,         _xlpm.MVYYY, DataShift!AS592,                      IF(_xlpm.MVToday=_xlpm.MVY,      _xlpm.MVYY-_xlpm.MVYYY,          _xlpm.MVY-_xlpm.MVYY))</f>
        <v>0</v>
      </c>
      <c r="AS92" s="1078">
        <f ca="1">TabCalc[[#This Row],[Y]]/TabCalc[[#This Row],[M]]</f>
        <v>0.97397447475995824</v>
      </c>
      <c r="AT92" s="299" t="str" cm="1">
        <f t="array" aca="1" ref="AT92" ca="1">IFERROR(_xlfn.IFS(          TabCalc[[#This Row],[E]]&gt;0, "Free Trade",      TabCalc[[#This Row],[A]]&lt;MIN(TabCalc[[#This Row],[L_Sp]],TabCalc[[#This Row],[M]]), "Buy",            TabCalc[[#This Row],[M]]&lt;TabCalc[[#This Row],[L_Sp]],       "Refill",       TabCalc[[#This Row],[M]]&gt;TabCalc[[#This Row],[L_Sp]],"S_more"),"")</f>
        <v>Buy</v>
      </c>
      <c r="AU92" s="299" t="str">
        <f ca="1">IF(           AND(TabCalc[[#This Row],[E]]&lt;=0,          TabCalc[[#This Row],[A]]&gt;MIN(TabCalc[[#This Row],[M]],TabCalc[[#This Row],[L_Sp]]),             TabCalc[[#This Row],[L_Sp]]&lt;=TabCalc[[#This Row],[M]]),                       "S_more","")</f>
        <v/>
      </c>
      <c r="AV92" s="82" t="str" cm="1">
        <f t="array" aca="1" ref="AV92" ca="1">IFERROR(_xlfn.IFS(TabCalc[[#This Row],[E]]&gt;0,"Free trade",                 TabCalc[[#This Row],[A]]&lt;MAX(ABS(TabCalc[[#This Row],[L_Bp]]),TabCalc[[#This Row],[A]]),"Sell",             TabCalc[[#This Row],[M]]&gt;ABS(TabCalc[[#This Row],[L_Bp]]),"Resell",             TabCalc[[#This Row],[M]]&lt;ABS(TabCalc[[#This Row],[L_Bp]]),"B_more"),"")</f>
        <v>Sell</v>
      </c>
      <c r="AW92" s="82">
        <f ca="1">TabCalc[[#This Row],[NAfter]]-TabCalc[[#This Row],[Nbegin]]</f>
        <v>-500</v>
      </c>
      <c r="AX92" s="307">
        <f ca="1">IFERROR((TabCalc[[#This Row],[M]]-TabCalc[[#This Row],[Y]])*(TabCalc[[#This Row],[M]]-TabCalc[[#This Row],[Y]])*(TabCalc[[#This Row],[M]]-TabCalc[[#This Row],[Y]])/(TabCalc[[#This Row],[Y]]*TabCalc[[#This Row],[M]]),"")</f>
        <v>3.8076356527872771E-3</v>
      </c>
      <c r="AY92" s="82">
        <f t="shared" ca="1" si="5"/>
        <v>500</v>
      </c>
      <c r="AZ92" s="90">
        <f ca="1">[1]!RTData[[#This Row],[V/VA]]</f>
        <v>1.7966639763795496</v>
      </c>
      <c r="BA92" s="90" t="str" cm="1">
        <f t="array" aca="1" ref="BA92" ca="1">IFERROR(_xlfn.IFS(TabCalc[[#This Row],[Cur]]="USD",Timer!F$27,TabCalc[[#This Row],[Cur]]="EUR",Timer!F$18,TabCalc[[#This Row],[Cur]]="GBP",Timer!F$12,TabCalc[[#This Row],[Cur]]="CAD",Timer!F$27,TabCalc[[#This Row],[Cur]]="JPY",Timer!F$31,TabCalc[[#This Row],[Cur]]="CHF",Timer!F$18),"Timing")</f>
        <v>None-Working Day</v>
      </c>
      <c r="BB92" s="90">
        <f ca="1">IF(ISNUMBER(TabCalc[[#This Row],[TimeEX]]),TabCalc[[#This Row],[V/VA]]/TabCalc[[#This Row],[TimeEX]],TabCalc[[#This Row],[V/VA]])</f>
        <v>1.7966639763795496</v>
      </c>
      <c r="BC92" s="87" cm="1">
        <f t="array" aca="1" ref="BC92" ca="1">INDEX(TabReg[], 1, _xlfn.XMATCH(TabCalc[[#This Row],[Ticker]]&amp;1, TabReg[#Headers], 0))</f>
        <v>2000</v>
      </c>
      <c r="BD92" s="161">
        <f ca="1">TabCalc[[#This Row],[Nbegin]]*TabCalc[[#This Row],[M]]*TabCalc[[#This Row],[Scale]]+TabCalc[[#This Row],[ValueBegin]]</f>
        <v>328620</v>
      </c>
      <c r="BE92" s="336" t="str" cm="1">
        <f t="array" aca="1" ref="BE92" ca="1">_xlfn.IFS(TabCalc[[#This Row],[Cost+Gain]]&gt;0,"Free",             TabCalc[[#This Row],[GL]]&gt;0,"Gainer",                TRUE,"Looser")</f>
        <v>Free</v>
      </c>
      <c r="BF92" s="161">
        <f ca="1">TabCalc[[#This Row],[Tot_Paid]]-TabCalc[[#This Row],[ValueBegin]]</f>
        <v>-1168312.0788451999</v>
      </c>
      <c r="BG92" s="337">
        <f ca="1">IF(TabCalc[[#This Row],[EfCost]]&gt;TabCalc[[#This Row],[ValueBegin]],       0,        TabCalc[[#This Row],[EfCost]]-TabCalc[[#This Row],[ValueBegin]]*(1+Commission))</f>
        <v>0</v>
      </c>
      <c r="BH92" s="338">
        <f ca="1">TabCalc[[#This Row],[M_V]]+TabCalc[[#This Row],[ValueBegin]]</f>
        <v>223430</v>
      </c>
      <c r="BI92" s="161" cm="1">
        <f t="array" aca="1" ref="BI92" ca="1">SUMPRODUCT(_xlfn._xlws.FILTER(INDIRECT("TabReg["&amp;TabCalc[[#This Row],[Ticker]]&amp;"1]") * INDIRECT("TabReg["&amp;TabCalc[[#This Row],[Ticker]]&amp;"2]"), INDIRECT("TabReg["&amp;TabCalc[[#This Row],[Ticker]]&amp;"2]")&lt;0))*(1+Commission)*TabCalc[[#This Row],[Scale]]</f>
        <v>-1260452.0788451999</v>
      </c>
      <c r="BJ92" s="161" cm="1">
        <f t="array" aca="1" ref="BJ92" ca="1">SUMPRODUCT(IF(INDIRECT("TabReg["&amp;TabCalc[[#This Row],[Ticker]]&amp;"2]") ="", 0, INDIRECT("TabReg["&amp;TabCalc[[#This Row],[Ticker]]&amp;"1]") * INDIRECT("TabReg["&amp;TabCalc[[#This Row],[Ticker]]&amp;"2]") ))*TabCalc[[#This Row],[Scale]]</f>
        <v>-6834.1520000000019</v>
      </c>
      <c r="BK92" s="161" cm="1">
        <f t="array" aca="1" ref="BK9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1247098.34195</v>
      </c>
      <c r="BL92" s="161">
        <f ca="1">TabCalc[[#This Row],[M_V]]+TabCalc[[#This Row],[EfCost]]</f>
        <v>308735.848</v>
      </c>
      <c r="BM92" s="161">
        <f ca="1">IF(        OR( TabCalc[[#This Row],[GL]]&gt;ABS(TabCalc[[#This Row],[EfCost]]),TabCalc[[#This Row],[NAfter]]=0),             TabCalc[[#This Row],[GL]],     0)</f>
        <v>308735.848</v>
      </c>
      <c r="BN92" s="161" cm="1">
        <f t="array" aca="1" ref="BN92" ca="1">SUMPRODUCT(_xlfn._xlws.FILTER(IF(INDIRECT("TabReg["&amp;TabCalc[[#This Row],[Ticker]]&amp;"2]") ="", 0, INDIRECT("TabReg["&amp;TabCalc[[#This Row],[Ticker]]&amp;"1]")  ),  INDIRECT("TabReg["&amp;TabCalc[[#This Row],[Ticker]]&amp;"2]") &lt; 0))</f>
        <v>10250</v>
      </c>
      <c r="BO92" s="161">
        <f ca="1">TabCalc[[#This Row],[SB]]-TabCalc[[#This Row],[Nbegin]]</f>
        <v>8250</v>
      </c>
      <c r="BP92" s="161" cm="1">
        <f t="array" aca="1" ref="BP92" ca="1">IFERROR(SUMPRODUCT(_xlfn._xlws.FILTER(IF(INDIRECT("TabReg["&amp;TabCalc[[#This Row],[Ticker]]&amp;"2]") ="", 0, INDIRECT("TabReg["&amp;TabCalc[[#This Row],[Ticker]]&amp;"1]")  ),  INDIRECT("TabReg["&amp;TabCalc[[#This Row],[Ticker]]&amp;"2]") &gt; 0)),0)</f>
        <v>8750</v>
      </c>
      <c r="BQ9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2" s="176" t="str">
        <f ca="1">IF(TabCalc[[#This Row],[EfCost]]+TabCalc[[#This Row],[M_V]]&lt;TabCalc[[#This Row],[NoT_GL]],"Pile","")</f>
        <v>Pile</v>
      </c>
      <c r="BS92" s="167">
        <f ca="1">[1]!RTData[[#This Row],[Last trade time]]</f>
        <v>45954.958333344533</v>
      </c>
      <c r="BT92" s="177">
        <f ca="1">(TabCalc[[#This Row],[ValueBegin]]+(TabCalc[[#This Row],[M]]-TabCalc[[#This Row],[A]])*TabCalc[[#This Row],[NAfter]])*TabCalc[[#This Row],[Scale]]</f>
        <v>-17291.885000000009</v>
      </c>
      <c r="BU92" s="189" cm="1">
        <f t="array" aca="1" ref="BU92" ca="1">_xlfn.XLOOKUP(TabCalc[[#This Row],[Ticker]],TabReg[[#Headers],[AAPL]:[UnknownX28]],Reg!B$72:KF$72)+3</f>
        <v>30</v>
      </c>
      <c r="BV92" s="190" cm="1">
        <f t="array" aca="1" ref="BV92" ca="1">_xlfn.XLOOKUP(TabCalc[[#This Row],[Ticker]],TabReg[[#Headers],[AAPL]:[UnknownX28]],Reg!B$73:KF$73)+2</f>
        <v>273</v>
      </c>
      <c r="BW92" s="191">
        <f ca="1">IFERROR(MAX(TabCalc[[#This Row],[Max_SD]],TabCalc[[#This Row],[Max_PD]]),0)</f>
        <v>45938</v>
      </c>
      <c r="BX92" s="191" t="str" cm="1">
        <f t="array" aca="1" ref="BX92" ca="1">_xlfn.IFS(TabCalc[[#This Row],[L_TP]]&lt;0,"Purchase",TabCalc[[#This Row],[L_TP]]&gt;0,"Sale")</f>
        <v>Purchase</v>
      </c>
      <c r="BY92" s="190" cm="1">
        <f t="array" aca="1" ref="BY92" ca="1">INDEX(Reg!$A$1:$KF$73,TabCalc[[#This Row],[L_I1]],TabCalc[[#This Row],[L_I2]])</f>
        <v>300</v>
      </c>
      <c r="BZ92" s="192" cm="1">
        <f t="array" aca="1" ref="BZ92" ca="1">INDEX(Reg!$A$1:$KF$73,TabCalc[[#This Row],[L_I1]],TabCalc[[#This Row],[L_I2]]+1)</f>
        <v>-201.24</v>
      </c>
      <c r="CA92" s="161">
        <f ca="1">TabCalc[[#This Row],[NAfter]]*(TabCalc[[#This Row],[M]]-IF(TabCalc[[#This Row],[E]]&gt;0,0,TabCalc[[#This Row],[A]]))</f>
        <v>74848.114999999991</v>
      </c>
      <c r="CB92" s="167" cm="1">
        <f t="array" aca="1" ref="CB92" ca="1">IFERROR(MIN(_xlfn._xlws.FILTER(INDIRECT("TabReg["&amp;TabCalc[[#This Row],[Ticker]]&amp;"]"), INDIRECT("TabReg["&amp;TabCalc[[#This Row],[Ticker]]&amp;"2]")&gt;0)),0)</f>
        <v>40544</v>
      </c>
      <c r="CC92" s="178" cm="1">
        <f t="array" aca="1" ref="CC92" ca="1">IFERROR(MIN(_xlfn._xlws.FILTER(INDIRECT("TabReg["&amp;TabCalc[[#This Row],[Ticker]]&amp;"1]"), INDIRECT("TabReg["&amp;TabCalc[[#This Row],[Ticker]]&amp;"2]")&gt;0)),0)</f>
        <v>200</v>
      </c>
      <c r="CD92" s="173" cm="1">
        <f t="array" aca="1" ref="CD92" ca="1">IFERROR(MIN(_xlfn._xlws.FILTER(INDIRECT("TabReg["&amp;TabCalc[[#This Row],[Ticker]]&amp;"2]"), INDIRECT("TabReg["&amp;TabCalc[[#This Row],[Ticker]]&amp;"2]")&gt;0)),0)</f>
        <v>80.45</v>
      </c>
      <c r="CE92" s="167" cm="1">
        <f t="array" aca="1" ref="CE92" ca="1">IFERROR(MAX(_xlfn._xlws.FILTER(INDIRECT("TabReg["&amp;TabCalc[[#This Row],[Ticker]]&amp;"]"), INDIRECT("TabReg["&amp;TabCalc[[#This Row],[Ticker]]&amp;"2]")&gt;0)),0)</f>
        <v>45937</v>
      </c>
      <c r="CF92" s="178" cm="1">
        <f t="array" aca="1" ref="CF92" ca="1">IFERROR(MAX(_xlfn._xlws.FILTER(INDIRECT("TabReg["&amp;TabCalc[[#This Row],[Ticker]]&amp;"1]"), INDIRECT("TabReg["&amp;TabCalc[[#This Row],[Ticker]]&amp;"2]")&gt;0)),0)</f>
        <v>1500</v>
      </c>
      <c r="CG92" s="173" cm="1">
        <f t="array" aca="1" ref="CG92" ca="1">IFERROR(MAX(_xlfn._xlws.FILTER(INDIRECT("TabReg["&amp;TabCalc[[#This Row],[Ticker]]&amp;"2]"), INDIRECT("TabReg["&amp;TabCalc[[#This Row],[Ticker]]&amp;"2]")&gt;0)),0)</f>
        <v>204.54</v>
      </c>
      <c r="CH92" s="167" cm="1">
        <f t="array" aca="1" ref="CH92" ca="1">MIN(_xlfn._xlws.FILTER(INDIRECT("TabReg["&amp;TabCalc[[#This Row],[Ticker]]&amp;"]"), INDIRECT("TabReg["&amp;TabCalc[[#This Row],[Ticker]]&amp;"2]")&lt;0))</f>
        <v>40544</v>
      </c>
      <c r="CI92" s="177" cm="1">
        <f t="array" aca="1" ref="CI92" ca="1">MIN(_xlfn._xlws.FILTER(INDIRECT("TabReg["&amp;TabCalc[[#This Row],[Ticker]]&amp;"1]"), INDIRECT("TabReg["&amp;TabCalc[[#This Row],[Ticker]]&amp;"2]")&lt;0))</f>
        <v>150</v>
      </c>
      <c r="CJ92" s="173" cm="1">
        <f t="array" aca="1" ref="CJ92" ca="1">MIN(_xlfn._xlws.FILTER(INDIRECT("TabReg["&amp;TabCalc[[#This Row],[Ticker]]&amp;"2]"), INDIRECT("TabReg["&amp;TabCalc[[#This Row],[Ticker]]&amp;"2]")&lt;0))</f>
        <v>-201.24</v>
      </c>
      <c r="CK92" s="167" cm="1">
        <f t="array" aca="1" ref="CK92" ca="1">MAX(_xlfn._xlws.FILTER(INDIRECT("TabReg["&amp;TabCalc[[#This Row],[Ticker]]&amp;"]"), INDIRECT("TabReg["&amp;TabCalc[[#This Row],[Ticker]]&amp;"2]")&lt;0))</f>
        <v>45938</v>
      </c>
      <c r="CL92" s="177" cm="1">
        <f t="array" aca="1" ref="CL92" ca="1">MAX(_xlfn._xlws.FILTER(INDIRECT("TabReg["&amp;TabCalc[[#This Row],[Ticker]]&amp;"1]"), INDIRECT("TabReg["&amp;TabCalc[[#This Row],[Ticker]]&amp;"2]")&lt;0))</f>
        <v>2000</v>
      </c>
      <c r="CM92" s="173" cm="1">
        <f t="array" aca="1" ref="CM92" ca="1">MAX(_xlfn._xlws.FILTER(INDIRECT("TabReg["&amp;TabCalc[[#This Row],[Ticker]]&amp;"2]"), INDIRECT("TabReg["&amp;TabCalc[[#This Row],[Ticker]]&amp;"2]")&lt;0))</f>
        <v>-46.07</v>
      </c>
      <c r="CN92" s="167" cm="1">
        <f t="array" aca="1" ref="CN92" ca="1">IFERROR(_xlfn.XLOOKUP(TabCalc[[#This Row],[BS2P]],INDIRECT("TabReg["&amp;TabCalc[[#This Row],[Ticker]]&amp;"2]"),INDIRECT("TabReg["&amp;TabCalc[[#This Row],[Ticker]]&amp;"]")),0)</f>
        <v>45909</v>
      </c>
      <c r="CO92" s="178" cm="1">
        <f t="array" aca="1" ref="CO92" ca="1">IFERROR(_xlfn.XLOOKUP(TabCalc[[#This Row],[BS2P]],INDIRECT("TabReg["&amp;TabCalc[[#This Row],[Ticker]]&amp;"2]"),INDIRECT("TabReg["&amp;TabCalc[[#This Row],[Ticker]]&amp;"1]")),0)</f>
        <v>250</v>
      </c>
      <c r="CP92" s="173">
        <f ca="1">_xlfn.MAXIFS(INDIRECT("TabReg["&amp;TabCalc[[#This Row],[Ticker]]&amp;"2]"), INDIRECT("TabReg["&amp;TabCalc[[#This Row],[Ticker]]&amp;"2]"), "&lt;" &amp; MAX(INDIRECT("TabReg["&amp;TabCalc[[#This Row],[Ticker]]&amp;"2]")))</f>
        <v>194.28</v>
      </c>
      <c r="CQ92" s="167" cm="1">
        <f t="array" aca="1" ref="CQ92" ca="1">IFERROR(_xlfn.XLOOKUP(TabCalc[[#This Row],[WB2P]],INDIRECT("TabReg["&amp;TabCalc[[#This Row],[Ticker]]&amp;"2]"),INDIRECT("TabReg["&amp;TabCalc[[#This Row],[Ticker]]&amp;"]")),0)</f>
        <v>45572</v>
      </c>
      <c r="CR92" s="178" cm="1">
        <f t="array" aca="1" ref="CR92" ca="1">IFERROR(_xlfn.XLOOKUP(TabCalc[[#This Row],[WB2P]],INDIRECT("TabReg["&amp;TabCalc[[#This Row],[Ticker]]&amp;"2]"),INDIRECT("TabReg["&amp;TabCalc[[#This Row],[Ticker]]&amp;"1]")),0)</f>
        <v>1000</v>
      </c>
      <c r="CS92" s="173">
        <f ca="1">_xlfn.MINIFS(INDIRECT("TabReg["&amp;TabCalc[[#This Row],[Ticker]]&amp;"2]"), INDIRECT("TabReg["&amp;TabCalc[[#This Row],[Ticker]]&amp;"2]"), "&gt;" &amp; MIN(INDIRECT("TabReg["&amp;TabCalc[[#This Row],[Ticker]]&amp;"2]")))</f>
        <v>-154.99639999999999</v>
      </c>
      <c r="CT92" s="405">
        <f ca="1">IF(TabCalc[[#This Row],[M]]&lt;TabCalc[[#This Row],[L_Sp]],DesiredBuyGain/(TabCalc[[#This Row],[L_Sp]]-TabCalc[[#This Row],[M]]),0)</f>
        <v>0</v>
      </c>
      <c r="CU92" s="406">
        <f ca="1">IF(TabCalc[[#This Row],[ntoBuy]]*TabCalc[[#This Row],[M]]&lt;=0,0,TabCalc[[#This Row],[ntoBuy]]*TabCalc[[#This Row],[M]])</f>
        <v>0</v>
      </c>
      <c r="CV92" s="406">
        <f ca="1">IF(TabCalc[[#This Row],[M]]&gt;ABS(TabCalc[[#This Row],[L_Bp]]),MIN(TabCalc[[#This Row],[NAfter]],DesiredSaleGain/(TabCalc[[#This Row],[M]]+TabCalc[[#This Row],[L_Bp]])),0)/TabCalc[[#This Row],[Scale]]</f>
        <v>547.04595185995709</v>
      </c>
      <c r="CW92" s="407">
        <f ca="1">TabCalc[[#This Row],[ntoSell]]*TabCalc[[#This Row],[M]]</f>
        <v>115087.52735229777</v>
      </c>
      <c r="CX92" s="400">
        <f ca="1">_xlfn.LET(_xlpm.nToSell,IF(TabCalc[[#This Row],[M]]-TabCalc[[#This Row],[A]]&lt;=0,"",INT(DesiredSaleGain/(TabCalc[[#This Row],[M]]-IF(TabCalc[[#This Row],[E]]&gt;0,0,TabCalc[[#This Row],[A]])))),IF(_xlpm.nToSell&lt;=TabCalc[[#This Row],[NAfter]],_xlpm.nToSell,0))</f>
        <v>100</v>
      </c>
      <c r="CY92" s="338">
        <f ca="1">IFERROR(TabCalc[[#This Row],[NMA]]*TabCalc[[#This Row],[M]],"")</f>
        <v>21038</v>
      </c>
      <c r="CZ92" s="337" cm="1">
        <f t="array" aca="1" ref="CZ92" ca="1">_xlfn.IFS(TabCalc[[#This Row],[M]]&gt;= TabCalc[[#This Row],[L_Sp]],(TabCalc[[#This Row],[M]]-TabCalc[[#This Row],[A]])*TabCalc[[#This Row],[NAfter]]*TabCalc[[#This Row],[Scale]],           TabCalc[[#This Row],[M]]&lt; TabCalc[[#This Row],[L_Sp]],(TabCalc[[#This Row],[M]]-TabCalc[[#This Row],[A]])*TabCalc[[#This Row],[NAfter]]*TabCalc[[#This Row],[Scale]],               TRUE,"")</f>
        <v>74848.114999999991</v>
      </c>
      <c r="DA92" s="90">
        <f ca="1">IFERROR((TabCalc[[#This Row],[M]]+TabCalc[[#This Row],[L_Bp]])/ABS(TabCalc[[#This Row],[L_Bp]])/(TODAY()-TabCalc[[#This Row],[L_Bdate]])*360,"")</f>
        <v>0.90836811767044179</v>
      </c>
      <c r="DB92" s="312">
        <f ca="1">MEDIAN(DataShift!F791:Z791)</f>
        <v>2.8000000000000004E-3</v>
      </c>
      <c r="DC92" s="312" t="e" cm="1">
        <f t="array" aca="1" ref="DC9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2" s="88" t="s">
        <v>87</v>
      </c>
      <c r="DN92" s="81">
        <v>2100</v>
      </c>
      <c r="DO92" s="317">
        <v>-44.67</v>
      </c>
    </row>
    <row r="93" spans="1:119">
      <c r="A93" s="120" t="str">
        <f ca="1">_xlfn.XLOOKUP(TabCalc[[#This Row],[Ticker]],[1]!RTData[Ticker symbol],[1]!RTData[Currency])</f>
        <v>USD</v>
      </c>
      <c r="B93" s="121">
        <f ca="1">IF(TabCalc[[#This Row],[Cur]]="GBP",0.01,1)</f>
        <v>1</v>
      </c>
      <c r="C93" s="82">
        <f ca="1">_xlfn.XLOOKUP(TabCalc[[#This Row],[Ticker]],DM$3:DM$96,DN$3:DN$96)</f>
        <v>3200</v>
      </c>
      <c r="D93" s="1254">
        <f ca="1">_xlfn.XLOOKUP(TabCalc[[#This Row],[Ticker]],DM$3:DM$96,DO$3:DO$96)</f>
        <v>-26.21</v>
      </c>
      <c r="E93" s="121">
        <f t="shared" ca="1" si="4"/>
        <v>-83872</v>
      </c>
      <c r="F93" s="82">
        <f ca="1">TabCalc[[#This Row],[NAfter]]*TabCalc[[#This Row],[M]]*TabCalc[[#This Row],[Scale]]</f>
        <v>548.40000000000009</v>
      </c>
      <c r="G93" s="82">
        <f ca="1">IFERROR(TabCalc[[#This Row],[SB]]-TabCalc[[#This Row],[SST]],TabCalc[[#This Row],[SB]])</f>
        <v>10</v>
      </c>
      <c r="H93" s="535" t="str">
        <f ca="1">[1]!RTData[[#This Row],[Ticker symbol]]</f>
        <v>X</v>
      </c>
      <c r="I93" s="385">
        <f ca="1">[1]!RTData[[#This Row],[M-Price]]</f>
        <v>54.84</v>
      </c>
      <c r="J93" s="384">
        <v>30.957205999999996</v>
      </c>
      <c r="K93" s="383">
        <f>[1]!RTData[[#This Row],[1YT]]</f>
        <v>0</v>
      </c>
      <c r="L93" s="384">
        <f ca="1">IF(OR(TabCalc[[#This Row],[NAfter]]=0,TabCalc[[#This Row],[EfCost]]&gt;0),0,TabCalc[[#This Row],[EfCost]]/TabCalc[[#This Row],[NAfter]]/TabCalc[[#This Row],[Scale]])</f>
        <v>0</v>
      </c>
      <c r="M93" s="744">
        <f ca="1">[1]!RTData[[#This Row],[Change%]]</f>
        <v>0</v>
      </c>
      <c r="N93" s="1172">
        <v>0</v>
      </c>
      <c r="O93" s="966">
        <f>TabCalc[[#This Row],[Up20]]-1+TabCalc[[#This Row],[Up20]]</f>
        <v>-1</v>
      </c>
      <c r="P93" s="966">
        <f>TabCalc[[#This Row],[Up20]]-TabCalc[[#This Row],[Up150]]</f>
        <v>-0.47572815533980584</v>
      </c>
      <c r="Q93" s="966">
        <v>0.47572815533980584</v>
      </c>
      <c r="R93" s="966">
        <f>TabCalc[[#This Row],[Up150]]-1+TabCalc[[#This Row],[Up150]]</f>
        <v>-4.8543689320388328E-2</v>
      </c>
      <c r="S93" s="966">
        <f ca="1">IFERROR(SUMPRODUCT(DataShift!F1585:Z1585,DataShift!AB792:AV792)/SQRT(SUMPRODUCT(DataShift!F1585:Z1585,DataShift!F1585:Z1585)*SUMPRODUCT(DataShift!AB792:AV792,DataShift!AB792:AV792)),0)</f>
        <v>-0.32653531007584741</v>
      </c>
      <c r="T93" s="966">
        <f ca="1">IFERROR(SUMPRODUCT(DataShift!F1585:Z1585,DataShift!F792:Z792)/SQRT(SUMPRODUCT(DataShift!F1585:Z1585,DataShift!F1585:Z1585)*SUMPRODUCT(DataShift!F792:Z792,DataShift!F792:Z792)),0)</f>
        <v>-0.40106269202008327</v>
      </c>
      <c r="U93" s="1107">
        <v>10</v>
      </c>
      <c r="V93" s="1107">
        <v>0</v>
      </c>
      <c r="W93" s="1107">
        <v>0</v>
      </c>
      <c r="X93" s="966" t="str">
        <f ca="1">IF(TabCalc[[#This Row],[EfCost]]+TabCalc[[#This Row],[M_V]]&lt;TabCalc[[#This Row],[NoT_GL]],"Pile","")</f>
        <v>Pile</v>
      </c>
      <c r="Y9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 = $ -330</v>
      </c>
      <c r="Z93" s="213">
        <f ca="1">MIN(TabCalc[[#This Row],[L_Bn]],TabCalc[[#This Row],[NAfter]])*(TabCalc[[#This Row],[M]]+TabCalc[[#This Row],[L_Bp]])*TabCalc[[#This Row],[Scale]]</f>
        <v>238.82794000000004</v>
      </c>
      <c r="AA93" s="210" cm="1">
        <f t="array" aca="1" ref="AA93" ca="1">_xlfn.XLOOKUP(TabCalc[[#This Row],[L_Bp]],INDIRECT("TabReg["&amp;TabCalc[[#This Row],[Ticker]]&amp;"2]"),INDIRECT("TabReg["&amp;TabCalc[[#This Row],[Ticker]]&amp;"]"))</f>
        <v>45660</v>
      </c>
      <c r="AB93" s="181" cm="1">
        <f t="array" aca="1" ref="AB93" ca="1">_xlfn.XLOOKUP(TabCalc[[#This Row],[L_Bp]],INDIRECT("TabReg["&amp;TabCalc[[#This Row],[Ticker]]&amp;"2]"),INDIRECT("TabReg["&amp;TabCalc[[#This Row],[Ticker]]&amp;"1]"))</f>
        <v>1800</v>
      </c>
      <c r="AC93" s="192" cm="1">
        <f t="array" aca="1" ref="AC93" ca="1">IFERROR(INDEX(INDIRECT("TabReg["&amp;TabCalc[[#This Row],[Ticker]]&amp;"2]"),    _xlfn.XMATCH(    MAX(    _xlfn._xlws.FILTER(INDIRECT("TabReg["&amp;TabCalc[[#This Row],[Ticker]]&amp;"]"), INDIRECT("TabReg["&amp;TabCalc[[#This Row],[Ticker]]&amp;"2]")&lt;0)     ), INDIRECT("TabReg["&amp;TabCalc[[#This Row],[Ticker]]&amp;"]"),      0)), "")</f>
        <v>-30.957205999999999</v>
      </c>
      <c r="AD93" s="213">
        <f ca="1">IFERROR(MIN(TabCalc[[#This Row],[L_B1n]],TabCalc[[#This Row],[NAfter]])*(TabCalc[[#This Row],[M]]+TabCalc[[#This Row],[L_B1p]])*TabCalc[[#This Row],[Scale]],"")</f>
        <v>234.60000000000005</v>
      </c>
      <c r="AE93" s="210" cm="1">
        <f t="array" aca="1" ref="AE9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93" s="181" cm="1">
        <f t="array" aca="1" ref="AF93" ca="1">IFERROR(_xlfn.XLOOKUP(TabCalc[[#This Row],[L_B1D]],INDIRECT("TabReg["&amp;TabCalc[[#This Row],[Ticker]]&amp;"]"),INDIRECT("TabReg["&amp;TabCalc[[#This Row],[Ticker]]&amp;"1]")),0)</f>
        <v>1400</v>
      </c>
      <c r="AG93" s="192" cm="1">
        <f t="array" aca="1" ref="AG93" ca="1">IFERROR(_xlfn.XLOOKUP(TabCalc[[#This Row],[L_B1D]],INDIRECT("TabReg["&amp;TabCalc[[#This Row],[Ticker]]&amp;"]"),INDIRECT("TabReg["&amp;TabCalc[[#This Row],[Ticker]]&amp;"2]")),0)</f>
        <v>-31.38</v>
      </c>
      <c r="AH93" s="302">
        <f ca="1">IFERROR(TabCalc[[#This Row],[L_Sn]]*(TabCalc[[#This Row],[L_Sp]]-TabCalc[[#This Row],[M]])*TabCalc[[#This Row],[Scale]],"")</f>
        <v>-29828.400000000009</v>
      </c>
      <c r="AI93" s="210" cm="1">
        <f t="array" aca="1" ref="AI93" ca="1">IFERROR(_xlfn.XLOOKUP(TabCalc[[#This Row],[L_Sp]],INDIRECT("TabReg["&amp;TabCalc[[#This Row],[Ticker]]&amp;"2]"),INDIRECT("TabReg["&amp;TabCalc[[#This Row],[Ticker]]&amp;"]")),0)</f>
        <v>45674</v>
      </c>
      <c r="AJ93" s="181" cm="1">
        <f t="array" aca="1" ref="AJ93" ca="1">IFERROR(_xlfn.XLOOKUP(TabCalc[[#This Row],[L_Sp]],INDIRECT("TabReg["&amp;TabCalc[[#This Row],[Ticker]]&amp;"2]"),INDIRECT("TabReg["&amp;TabCalc[[#This Row],[Ticker]]&amp;"1]")),0)</f>
        <v>1590</v>
      </c>
      <c r="AK93" s="192" cm="1">
        <f t="array" aca="1" ref="AK93" ca="1">IFERROR(INDEX(INDIRECT("TabReg["&amp;TabCalc[[#This Row],[Ticker]]&amp;"2]"), _xlfn.XMATCH(MAX(_xlfn._xlws.FILTER(INDIRECT("TabReg["&amp;TabCalc[[#This Row],[Ticker]]&amp;"]"), INDIRECT("TabReg["&amp;TabCalc[[#This Row],[Ticker]]&amp;"2]")&gt;0)), INDIRECT("TabReg["&amp;TabCalc[[#This Row],[Ticker]]&amp;"]"), 0)), 0)</f>
        <v>36.08</v>
      </c>
      <c r="AL93" s="214">
        <f ca="1">IFERROR(TabCalc[[#This Row],[L_S1n]]*(TabCalc[[#This Row],[L_S1p]]-TabCalc[[#This Row],[M]])*TabCalc[[#This Row],[Scale]],0)</f>
        <v>-33248</v>
      </c>
      <c r="AM93" s="210" cm="1">
        <f t="array" aca="1" ref="AM9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45667</v>
      </c>
      <c r="AN93" s="181" cm="1">
        <f t="array" aca="1" ref="AN93" ca="1">IFERROR(_xlfn.XLOOKUP(TabCalc[[#This Row],[L_S1D]],INDIRECT("TabReg["&amp;TabCalc[[#This Row],[Ticker]]&amp;"]"),INDIRECT("TabReg["&amp;TabCalc[[#This Row],[Ticker]]&amp;"1]")),0)</f>
        <v>1600</v>
      </c>
      <c r="AO93" s="384" cm="1">
        <f t="array" aca="1" ref="AO93" ca="1">IFERROR(_xlfn.XLOOKUP(TabCalc[[#This Row],[L_S1D]],INDIRECT("TabReg["&amp;TabCalc[[#This Row],[Ticker]]&amp;"]"),INDIRECT("TabReg["&amp;TabCalc[[#This Row],[Ticker]]&amp;"2]")),0)</f>
        <v>34.06</v>
      </c>
      <c r="AP93" s="336">
        <f ca="1">_xlfn.LET(_xlpm.MVOpen,[1]!RTData[[#This Row],[Open]]*TabCalc[[#This Row],[NAfter]],_xlpm.MVNow,TabCalc[[#This Row],[M]]*TabCalc[[#This Row],[NAfter]],_xlpm.MVNow-_xlpm.MVOpen)*TabCalc[[#This Row],[Scale]]</f>
        <v>0.10000000000013642</v>
      </c>
      <c r="AQ93" s="336">
        <f ca="1">_xlfn.LET(_xlpm.MVToday,DataShift!AV593,         _xlpm.MVY,DataShift!AU593,        _xlpm.MVYY, DataShift!AT593,                                IF(_xlpm.MVToday=_xlpm.MVY,_xlpm.MVY-_xlpm.MVYY,_xlpm.MVToday-_xlpm.MVY))</f>
        <v>594.00000000000728</v>
      </c>
      <c r="AR93" s="336">
        <f ca="1">_xlfn.LET(_xlpm.MVToday,DataShift!AV593,         _xlpm.MVY,DataShift!AU593,        _xlpm.MVYY, DataShift!AT593,         _xlpm.MVYYY, DataShift!AS593,                      IF(_xlpm.MVToday=_xlpm.MVY,      _xlpm.MVYY-_xlpm.MVYYY,          _xlpm.MVY-_xlpm.MVYY))</f>
        <v>1571.9999999999927</v>
      </c>
      <c r="AS93" s="1078">
        <f ca="1">TabCalc[[#This Row],[Y]]/TabCalc[[#This Row],[M]]</f>
        <v>0</v>
      </c>
      <c r="AT93" s="299" t="str" cm="1">
        <f t="array" aca="1" ref="AT93" ca="1">IFERROR(_xlfn.IFS(          TabCalc[[#This Row],[E]]&gt;0, "Free Trade",      TabCalc[[#This Row],[A]]&lt;MIN(TabCalc[[#This Row],[L_Sp]],TabCalc[[#This Row],[M]]), "Buy",            TabCalc[[#This Row],[M]]&lt;TabCalc[[#This Row],[L_Sp]],       "Refill",       TabCalc[[#This Row],[M]]&gt;TabCalc[[#This Row],[L_Sp]],"S_more"),"")</f>
        <v>Buy</v>
      </c>
      <c r="AU93" s="299" t="str">
        <f ca="1">IF(           AND(TabCalc[[#This Row],[E]]&lt;=0,          TabCalc[[#This Row],[A]]&gt;MIN(TabCalc[[#This Row],[M]],TabCalc[[#This Row],[L_Sp]]),             TabCalc[[#This Row],[L_Sp]]&lt;=TabCalc[[#This Row],[M]]),                       "S_more","")</f>
        <v/>
      </c>
      <c r="AV93" s="82" t="str" cm="1">
        <f t="array" aca="1" ref="AV93" ca="1">IFERROR(_xlfn.IFS(TabCalc[[#This Row],[E]]&gt;0,"Free trade",                 TabCalc[[#This Row],[A]]&lt;MAX(ABS(TabCalc[[#This Row],[L_Bp]]),TabCalc[[#This Row],[A]]),"Sell",             TabCalc[[#This Row],[M]]&gt;ABS(TabCalc[[#This Row],[L_Bp]]),"Resell",             TabCalc[[#This Row],[M]]&lt;ABS(TabCalc[[#This Row],[L_Bp]]),"B_more"),"")</f>
        <v>Resell</v>
      </c>
      <c r="AW93" s="82">
        <f ca="1">TabCalc[[#This Row],[NAfter]]-TabCalc[[#This Row],[Nbegin]]</f>
        <v>-3190</v>
      </c>
      <c r="AX93" s="307" t="str">
        <f ca="1">IFERROR((TabCalc[[#This Row],[M]]-TabCalc[[#This Row],[Y]])*(TabCalc[[#This Row],[M]]-TabCalc[[#This Row],[Y]])*(TabCalc[[#This Row],[M]]-TabCalc[[#This Row],[Y]])/(TabCalc[[#This Row],[Y]]*TabCalc[[#This Row],[M]]),"")</f>
        <v/>
      </c>
      <c r="AY93" s="82">
        <f t="shared" ca="1" si="5"/>
        <v>3190</v>
      </c>
      <c r="AZ93" s="90">
        <f ca="1">[1]!RTData[[#This Row],[V/VA]]</f>
        <v>7.2077806511077887E-5</v>
      </c>
      <c r="BA93" s="90" t="str" cm="1">
        <f t="array" aca="1" ref="BA93" ca="1">IFERROR(_xlfn.IFS(TabCalc[[#This Row],[Cur]]="USD",Timer!F$27,TabCalc[[#This Row],[Cur]]="EUR",Timer!F$18,TabCalc[[#This Row],[Cur]]="GBP",Timer!F$12,TabCalc[[#This Row],[Cur]]="CAD",Timer!F$27,TabCalc[[#This Row],[Cur]]="JPY",Timer!F$31,TabCalc[[#This Row],[Cur]]="CHF",Timer!F$18),"Timing")</f>
        <v>None-Working Day</v>
      </c>
      <c r="BB93" s="90">
        <f ca="1">IF(ISNUMBER(TabCalc[[#This Row],[TimeEX]]),TabCalc[[#This Row],[V/VA]]/TabCalc[[#This Row],[TimeEX]],TabCalc[[#This Row],[V/VA]])</f>
        <v>7.2077806511077887E-5</v>
      </c>
      <c r="BC93" s="87" cm="1">
        <f t="array" aca="1" ref="BC93" ca="1">INDEX(TabReg[], 1, _xlfn.XMATCH(TabCalc[[#This Row],[Ticker]]&amp;1, TabReg[#Headers], 0))</f>
        <v>3200</v>
      </c>
      <c r="BD93" s="161">
        <f ca="1">TabCalc[[#This Row],[Nbegin]]*TabCalc[[#This Row],[M]]*TabCalc[[#This Row],[Scale]]+TabCalc[[#This Row],[ValueBegin]]</f>
        <v>91616</v>
      </c>
      <c r="BE93" s="336" t="str" cm="1">
        <f t="array" aca="1" ref="BE93" ca="1">_xlfn.IFS(TabCalc[[#This Row],[Cost+Gain]]&gt;0,"Free",             TabCalc[[#This Row],[GL]]&gt;0,"Gainer",                TRUE,"Looser")</f>
        <v>Free</v>
      </c>
      <c r="BF93" s="161">
        <f ca="1">TabCalc[[#This Row],[Tot_Paid]]-TabCalc[[#This Row],[ValueBegin]]</f>
        <v>-563414.00009407988</v>
      </c>
      <c r="BG93" s="337">
        <f ca="1">IF(TabCalc[[#This Row],[EfCost]]&gt;TabCalc[[#This Row],[ValueBegin]],       0,        TabCalc[[#This Row],[EfCost]]-TabCalc[[#This Row],[ValueBegin]]*(1+Commission))</f>
        <v>0</v>
      </c>
      <c r="BH93" s="338">
        <f ca="1">TabCalc[[#This Row],[M_V]]+TabCalc[[#This Row],[ValueBegin]]</f>
        <v>-83323.600000000006</v>
      </c>
      <c r="BI93" s="161" cm="1">
        <f t="array" aca="1" ref="BI93" ca="1">SUMPRODUCT(_xlfn._xlws.FILTER(INDIRECT("TabReg["&amp;TabCalc[[#This Row],[Ticker]]&amp;"1]") * INDIRECT("TabReg["&amp;TabCalc[[#This Row],[Ticker]]&amp;"2]"), INDIRECT("TabReg["&amp;TabCalc[[#This Row],[Ticker]]&amp;"2]")&lt;0))*(1+Commission)*TabCalc[[#This Row],[Scale]]</f>
        <v>-647286.00009407988</v>
      </c>
      <c r="BJ93" s="161" cm="1">
        <f t="array" aca="1" ref="BJ93" ca="1">SUMPRODUCT(IF(INDIRECT("TabReg["&amp;TabCalc[[#This Row],[Ticker]]&amp;"2]") ="", 0, INDIRECT("TabReg["&amp;TabCalc[[#This Row],[Ticker]]&amp;"1]") * INDIRECT("TabReg["&amp;TabCalc[[#This Row],[Ticker]]&amp;"2]") ))*TabCalc[[#This Row],[Scale]]</f>
        <v>59659.709199999917</v>
      </c>
      <c r="BK93" s="161" cm="1">
        <f t="array" aca="1" ref="BK9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703433.43546199985</v>
      </c>
      <c r="BL93" s="161">
        <f ca="1">TabCalc[[#This Row],[M_V]]+TabCalc[[#This Row],[EfCost]]</f>
        <v>60208.109199999919</v>
      </c>
      <c r="BM93" s="161">
        <f ca="1">IF(        OR( TabCalc[[#This Row],[GL]]&gt;ABS(TabCalc[[#This Row],[EfCost]]),TabCalc[[#This Row],[NAfter]]=0),             TabCalc[[#This Row],[GL]],     0)</f>
        <v>60208.109199999919</v>
      </c>
      <c r="BN93" s="161" cm="1">
        <f t="array" aca="1" ref="BN93" ca="1">SUMPRODUCT(_xlfn._xlws.FILTER(IF(INDIRECT("TabReg["&amp;TabCalc[[#This Row],[Ticker]]&amp;"2]") ="", 0, INDIRECT("TabReg["&amp;TabCalc[[#This Row],[Ticker]]&amp;"1]")  ),  INDIRECT("TabReg["&amp;TabCalc[[#This Row],[Ticker]]&amp;"2]") &lt; 0))</f>
        <v>18690</v>
      </c>
      <c r="BO93" s="161">
        <f ca="1">TabCalc[[#This Row],[SB]]-TabCalc[[#This Row],[Nbegin]]</f>
        <v>15490</v>
      </c>
      <c r="BP93" s="161" cm="1">
        <f t="array" aca="1" ref="BP93" ca="1">IFERROR(SUMPRODUCT(_xlfn._xlws.FILTER(IF(INDIRECT("TabReg["&amp;TabCalc[[#This Row],[Ticker]]&amp;"2]") ="", 0, INDIRECT("TabReg["&amp;TabCalc[[#This Row],[Ticker]]&amp;"1]")  ),  INDIRECT("TabReg["&amp;TabCalc[[#This Row],[Ticker]]&amp;"2]") &gt; 0)),0)</f>
        <v>18680</v>
      </c>
      <c r="BQ9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3" s="176" t="str">
        <f ca="1">IF(TabCalc[[#This Row],[EfCost]]+TabCalc[[#This Row],[M_V]]&lt;TabCalc[[#This Row],[NoT_GL]],"Pile","")</f>
        <v>Pile</v>
      </c>
      <c r="BS93" s="167">
        <f ca="1">[1]!RTData[[#This Row],[Last trade time]]</f>
        <v>45825.999177476566</v>
      </c>
      <c r="BT93" s="177">
        <f ca="1">(TabCalc[[#This Row],[ValueBegin]]+(TabCalc[[#This Row],[M]]-TabCalc[[#This Row],[A]])*TabCalc[[#This Row],[NAfter]])*TabCalc[[#This Row],[Scale]]</f>
        <v>-83633.172059999997</v>
      </c>
      <c r="BU93" s="189" cm="1">
        <f t="array" aca="1" ref="BU93" ca="1">_xlfn.XLOOKUP(TabCalc[[#This Row],[Ticker]],TabReg[[#Headers],[AAPL]:[UnknownX28]],Reg!B$72:KF$72)+3</f>
        <v>25</v>
      </c>
      <c r="BV93" s="190" cm="1">
        <f t="array" aca="1" ref="BV93" ca="1">_xlfn.XLOOKUP(TabCalc[[#This Row],[Ticker]],TabReg[[#Headers],[AAPL]:[UnknownX28]],Reg!B$73:KF$73)+2</f>
        <v>276</v>
      </c>
      <c r="BW93" s="191">
        <f ca="1">IFERROR(MAX(TabCalc[[#This Row],[Max_SD]],TabCalc[[#This Row],[Max_PD]]),0)</f>
        <v>45674</v>
      </c>
      <c r="BX93" s="191" t="str" cm="1">
        <f t="array" aca="1" ref="BX93" ca="1">_xlfn.IFS(TabCalc[[#This Row],[L_TP]]&lt;0,"Purchase",TabCalc[[#This Row],[L_TP]]&gt;0,"Sale")</f>
        <v>Sale</v>
      </c>
      <c r="BY93" s="190" cm="1">
        <f t="array" aca="1" ref="BY93" ca="1">INDEX(Reg!$A$1:$KF$73,TabCalc[[#This Row],[L_I1]],TabCalc[[#This Row],[L_I2]])</f>
        <v>1590</v>
      </c>
      <c r="BZ93" s="192" cm="1">
        <f t="array" aca="1" ref="BZ93" ca="1">INDEX(Reg!$A$1:$KF$73,TabCalc[[#This Row],[L_I1]],TabCalc[[#This Row],[L_I2]]+1)</f>
        <v>36.08</v>
      </c>
      <c r="CA93" s="161">
        <f ca="1">TabCalc[[#This Row],[NAfter]]*(TabCalc[[#This Row],[M]]-IF(TabCalc[[#This Row],[E]]&gt;0,0,TabCalc[[#This Row],[A]]))</f>
        <v>238.82794000000007</v>
      </c>
      <c r="CB93" s="167" cm="1">
        <f t="array" aca="1" ref="CB93" ca="1">IFERROR(MIN(_xlfn._xlws.FILTER(INDIRECT("TabReg["&amp;TabCalc[[#This Row],[Ticker]]&amp;"]"), INDIRECT("TabReg["&amp;TabCalc[[#This Row],[Ticker]]&amp;"2]")&gt;0)),0)</f>
        <v>40544</v>
      </c>
      <c r="CC93" s="178" cm="1">
        <f t="array" aca="1" ref="CC93" ca="1">IFERROR(MIN(_xlfn._xlws.FILTER(INDIRECT("TabReg["&amp;TabCalc[[#This Row],[Ticker]]&amp;"1]"), INDIRECT("TabReg["&amp;TabCalc[[#This Row],[Ticker]]&amp;"2]")&gt;0)),0)</f>
        <v>500</v>
      </c>
      <c r="CD93" s="173" cm="1">
        <f t="array" aca="1" ref="CD93" ca="1">IFERROR(MIN(_xlfn._xlws.FILTER(INDIRECT("TabReg["&amp;TabCalc[[#This Row],[Ticker]]&amp;"2]"), INDIRECT("TabReg["&amp;TabCalc[[#This Row],[Ticker]]&amp;"2]")&gt;0)),0)</f>
        <v>33.001100000000001</v>
      </c>
      <c r="CE93" s="167" cm="1">
        <f t="array" aca="1" ref="CE93" ca="1">IFERROR(MAX(_xlfn._xlws.FILTER(INDIRECT("TabReg["&amp;TabCalc[[#This Row],[Ticker]]&amp;"]"), INDIRECT("TabReg["&amp;TabCalc[[#This Row],[Ticker]]&amp;"2]")&gt;0)),0)</f>
        <v>45674</v>
      </c>
      <c r="CF93" s="178" cm="1">
        <f t="array" aca="1" ref="CF93" ca="1">IFERROR(MAX(_xlfn._xlws.FILTER(INDIRECT("TabReg["&amp;TabCalc[[#This Row],[Ticker]]&amp;"1]"), INDIRECT("TabReg["&amp;TabCalc[[#This Row],[Ticker]]&amp;"2]")&gt;0)),0)</f>
        <v>5000</v>
      </c>
      <c r="CG93" s="173" cm="1">
        <f t="array" aca="1" ref="CG93" ca="1">IFERROR(MAX(_xlfn._xlws.FILTER(INDIRECT("TabReg["&amp;TabCalc[[#This Row],[Ticker]]&amp;"2]"), INDIRECT("TabReg["&amp;TabCalc[[#This Row],[Ticker]]&amp;"2]")&gt;0)),0)</f>
        <v>45.48</v>
      </c>
      <c r="CH93" s="167" cm="1">
        <f t="array" aca="1" ref="CH93" ca="1">MIN(_xlfn._xlws.FILTER(INDIRECT("TabReg["&amp;TabCalc[[#This Row],[Ticker]]&amp;"]"), INDIRECT("TabReg["&amp;TabCalc[[#This Row],[Ticker]]&amp;"2]")&lt;0))</f>
        <v>40544</v>
      </c>
      <c r="CI93" s="177" cm="1">
        <f t="array" aca="1" ref="CI93" ca="1">MIN(_xlfn._xlws.FILTER(INDIRECT("TabReg["&amp;TabCalc[[#This Row],[Ticker]]&amp;"1]"), INDIRECT("TabReg["&amp;TabCalc[[#This Row],[Ticker]]&amp;"2]")&lt;0))</f>
        <v>900</v>
      </c>
      <c r="CJ93" s="173" cm="1">
        <f t="array" aca="1" ref="CJ93" ca="1">MIN(_xlfn._xlws.FILTER(INDIRECT("TabReg["&amp;TabCalc[[#This Row],[Ticker]]&amp;"2]"), INDIRECT("TabReg["&amp;TabCalc[[#This Row],[Ticker]]&amp;"2]")&lt;0))</f>
        <v>-41.04</v>
      </c>
      <c r="CK93" s="167" cm="1">
        <f t="array" aca="1" ref="CK93" ca="1">MAX(_xlfn._xlws.FILTER(INDIRECT("TabReg["&amp;TabCalc[[#This Row],[Ticker]]&amp;"]"), INDIRECT("TabReg["&amp;TabCalc[[#This Row],[Ticker]]&amp;"2]")&lt;0))</f>
        <v>45660</v>
      </c>
      <c r="CL93" s="177" cm="1">
        <f t="array" aca="1" ref="CL93" ca="1">MAX(_xlfn._xlws.FILTER(INDIRECT("TabReg["&amp;TabCalc[[#This Row],[Ticker]]&amp;"1]"), INDIRECT("TabReg["&amp;TabCalc[[#This Row],[Ticker]]&amp;"2]")&lt;0))</f>
        <v>3200</v>
      </c>
      <c r="CM93" s="173" cm="1">
        <f t="array" aca="1" ref="CM93" ca="1">MAX(_xlfn._xlws.FILTER(INDIRECT("TabReg["&amp;TabCalc[[#This Row],[Ticker]]&amp;"2]"), INDIRECT("TabReg["&amp;TabCalc[[#This Row],[Ticker]]&amp;"2]")&lt;0))</f>
        <v>-26.21</v>
      </c>
      <c r="CN93" s="167" cm="1">
        <f t="array" aca="1" ref="CN93" ca="1">IFERROR(_xlfn.XLOOKUP(TabCalc[[#This Row],[BS2P]],INDIRECT("TabReg["&amp;TabCalc[[#This Row],[Ticker]]&amp;"2]"),INDIRECT("TabReg["&amp;TabCalc[[#This Row],[Ticker]]&amp;"]")),0)</f>
        <v>45391</v>
      </c>
      <c r="CO93" s="178" cm="1">
        <f t="array" aca="1" ref="CO93" ca="1">IFERROR(_xlfn.XLOOKUP(TabCalc[[#This Row],[BS2P]],INDIRECT("TabReg["&amp;TabCalc[[#This Row],[Ticker]]&amp;"2]"),INDIRECT("TabReg["&amp;TabCalc[[#This Row],[Ticker]]&amp;"1]")),0)</f>
        <v>990</v>
      </c>
      <c r="CP93" s="173">
        <f ca="1">_xlfn.MAXIFS(INDIRECT("TabReg["&amp;TabCalc[[#This Row],[Ticker]]&amp;"2]"), INDIRECT("TabReg["&amp;TabCalc[[#This Row],[Ticker]]&amp;"2]"), "&lt;" &amp; MAX(INDIRECT("TabReg["&amp;TabCalc[[#This Row],[Ticker]]&amp;"2]")))</f>
        <v>41.5</v>
      </c>
      <c r="CQ93" s="167" cm="1">
        <f t="array" aca="1" ref="CQ93" ca="1">IFERROR(_xlfn.XLOOKUP(TabCalc[[#This Row],[WB2P]],INDIRECT("TabReg["&amp;TabCalc[[#This Row],[Ticker]]&amp;"2]"),INDIRECT("TabReg["&amp;TabCalc[[#This Row],[Ticker]]&amp;"]")),0)</f>
        <v>45404</v>
      </c>
      <c r="CR93" s="178" cm="1">
        <f t="array" aca="1" ref="CR93" ca="1">IFERROR(_xlfn.XLOOKUP(TabCalc[[#This Row],[WB2P]],INDIRECT("TabReg["&amp;TabCalc[[#This Row],[Ticker]]&amp;"2]"),INDIRECT("TabReg["&amp;TabCalc[[#This Row],[Ticker]]&amp;"1]")),0)</f>
        <v>990</v>
      </c>
      <c r="CS93" s="173">
        <f ca="1">_xlfn.MINIFS(INDIRECT("TabReg["&amp;TabCalc[[#This Row],[Ticker]]&amp;"2]"), INDIRECT("TabReg["&amp;TabCalc[[#This Row],[Ticker]]&amp;"2]"), "&gt;" &amp; MIN(INDIRECT("TabReg["&amp;TabCalc[[#This Row],[Ticker]]&amp;"2]")))</f>
        <v>-39.119999999999997</v>
      </c>
      <c r="CT93" s="405">
        <f ca="1">IF(TabCalc[[#This Row],[M]]&lt;TabCalc[[#This Row],[L_Sp]],DesiredBuyGain/(TabCalc[[#This Row],[L_Sp]]-TabCalc[[#This Row],[M]]),0)</f>
        <v>0</v>
      </c>
      <c r="CU93" s="406">
        <f ca="1">IF(TabCalc[[#This Row],[ntoBuy]]*TabCalc[[#This Row],[M]]&lt;=0,0,TabCalc[[#This Row],[ntoBuy]]*TabCalc[[#This Row],[M]])</f>
        <v>0</v>
      </c>
      <c r="CV93" s="406">
        <f ca="1">IF(TabCalc[[#This Row],[M]]&gt;ABS(TabCalc[[#This Row],[L_Bp]]),MIN(TabCalc[[#This Row],[NAfter]],DesiredSaleGain/(TabCalc[[#This Row],[M]]+TabCalc[[#This Row],[L_Bp]])),0)/TabCalc[[#This Row],[Scale]]</f>
        <v>10</v>
      </c>
      <c r="CW93" s="407">
        <f ca="1">TabCalc[[#This Row],[ntoSell]]*TabCalc[[#This Row],[M]]</f>
        <v>548.40000000000009</v>
      </c>
      <c r="CX93" s="400">
        <f ca="1">_xlfn.LET(_xlpm.nToSell,IF(TabCalc[[#This Row],[M]]-TabCalc[[#This Row],[A]]&lt;=0,"",INT(DesiredSaleGain/(TabCalc[[#This Row],[M]]-IF(TabCalc[[#This Row],[E]]&gt;0,0,TabCalc[[#This Row],[A]])))),IF(_xlpm.nToSell&lt;=TabCalc[[#This Row],[NAfter]],_xlpm.nToSell,0))</f>
        <v>0</v>
      </c>
      <c r="CY93" s="338">
        <f ca="1">IFERROR(TabCalc[[#This Row],[NMA]]*TabCalc[[#This Row],[M]],"")</f>
        <v>0</v>
      </c>
      <c r="CZ93" s="337" cm="1">
        <f t="array" aca="1" ref="CZ93" ca="1">_xlfn.IFS(TabCalc[[#This Row],[M]]&gt;= TabCalc[[#This Row],[L_Sp]],(TabCalc[[#This Row],[M]]-TabCalc[[#This Row],[A]])*TabCalc[[#This Row],[NAfter]]*TabCalc[[#This Row],[Scale]],           TabCalc[[#This Row],[M]]&lt; TabCalc[[#This Row],[L_Sp]],(TabCalc[[#This Row],[M]]-TabCalc[[#This Row],[A]])*TabCalc[[#This Row],[NAfter]]*TabCalc[[#This Row],[Scale]],               TRUE,"")</f>
        <v>238.82794000000007</v>
      </c>
      <c r="DA93" s="90">
        <f ca="1">IFERROR((TabCalc[[#This Row],[M]]+TabCalc[[#This Row],[L_Bp]])/ABS(TabCalc[[#This Row],[L_Bp]])/(TODAY()-TabCalc[[#This Row],[L_Bdate]])*360,"")</f>
        <v>0.93828368591633748</v>
      </c>
      <c r="DB93" s="312">
        <f ca="1">MEDIAN(DataShift!F792:Z792)</f>
        <v>1.2475E-2</v>
      </c>
      <c r="DC93" s="312" t="e" cm="1">
        <f t="array" aca="1" ref="DC9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3" s="88" t="s">
        <v>88</v>
      </c>
      <c r="DN93" s="81">
        <v>2000</v>
      </c>
      <c r="DO93" s="317">
        <v>-46.07</v>
      </c>
    </row>
    <row r="94" spans="1:119">
      <c r="A94" s="120" t="str">
        <f ca="1">_xlfn.XLOOKUP(TabCalc[[#This Row],[Ticker]],[1]!RTData[Ticker symbol],[1]!RTData[Currency])</f>
        <v>EUR</v>
      </c>
      <c r="B94" s="121">
        <f ca="1">IF(TabCalc[[#This Row],[Cur]]="GBP",0.01,1)</f>
        <v>1</v>
      </c>
      <c r="C94" s="82">
        <f ca="1">_xlfn.XLOOKUP(TabCalc[[#This Row],[Ticker]],DM$3:DM$96,DN$3:DN$96)</f>
        <v>50000</v>
      </c>
      <c r="D94" s="1254">
        <f ca="1">_xlfn.XLOOKUP(TabCalc[[#This Row],[Ticker]],DM$3:DM$96,DO$3:DO$96)</f>
        <v>-9.02</v>
      </c>
      <c r="E94" s="121">
        <f t="shared" ca="1" si="4"/>
        <v>-451000</v>
      </c>
      <c r="F94" s="82">
        <f ca="1">TabCalc[[#This Row],[NAfter]]*TabCalc[[#This Row],[M]]*TabCalc[[#This Row],[Scale]]</f>
        <v>289530</v>
      </c>
      <c r="G94" s="82">
        <f ca="1">IFERROR(TabCalc[[#This Row],[SB]]-TabCalc[[#This Row],[SST]],TabCalc[[#This Row],[SB]])</f>
        <v>18000</v>
      </c>
      <c r="H94" s="535" t="str">
        <f ca="1">[1]!RTData[[#This Row],[Ticker symbol]]</f>
        <v>JBEOAN</v>
      </c>
      <c r="I94" s="385">
        <f ca="1">[1]!RTData[[#This Row],[M-Price]]</f>
        <v>16.085000000000001</v>
      </c>
      <c r="J94" s="384">
        <v>5.34</v>
      </c>
      <c r="K94" s="383">
        <f>[1]!RTData[[#This Row],[1YT]]</f>
        <v>16.89</v>
      </c>
      <c r="L94" s="384">
        <f ca="1">IF(OR(TabCalc[[#This Row],[NAfter]]=0,TabCalc[[#This Row],[EfCost]]&gt;0),0,TabCalc[[#This Row],[EfCost]]/TabCalc[[#This Row],[NAfter]]/TabCalc[[#This Row],[Scale]])</f>
        <v>0</v>
      </c>
      <c r="M94" s="744">
        <f ca="1">[1]!RTData[[#This Row],[Change%]]</f>
        <v>3.1180000000000001E-3</v>
      </c>
      <c r="N94" s="1172">
        <v>0</v>
      </c>
      <c r="O94" s="966">
        <f>TabCalc[[#This Row],[Up20]]-1+TabCalc[[#This Row],[Up20]]</f>
        <v>-1</v>
      </c>
      <c r="P94" s="966">
        <f>TabCalc[[#This Row],[Up20]]-TabCalc[[#This Row],[Up150]]</f>
        <v>0</v>
      </c>
      <c r="Q94" s="966">
        <v>0</v>
      </c>
      <c r="R94" s="966">
        <f>TabCalc[[#This Row],[Up150]]-1+TabCalc[[#This Row],[Up150]]</f>
        <v>-1</v>
      </c>
      <c r="S94" s="966">
        <f ca="1">IFERROR(SUMPRODUCT(DataShift!F1586:Z1586,DataShift!AB793:AV793)/SQRT(SUMPRODUCT(DataShift!F1586:Z1586,DataShift!F1586:Z1586)*SUMPRODUCT(DataShift!AB793:AV793,DataShift!AB793:AV793)),0)</f>
        <v>-0.36150966024202469</v>
      </c>
      <c r="T94" s="966">
        <f ca="1">IFERROR(SUMPRODUCT(DataShift!F1586:Z1586,DataShift!F793:Z793)/SQRT(SUMPRODUCT(DataShift!F1586:Z1586,DataShift!F1586:Z1586)*SUMPRODUCT(DataShift!F793:Z793,DataShift!F793:Z793)),0)</f>
        <v>-0.1176915242544667</v>
      </c>
      <c r="U94" s="1107">
        <v>77100</v>
      </c>
      <c r="V94" s="1107">
        <v>0</v>
      </c>
      <c r="W94" s="1107">
        <v>0</v>
      </c>
      <c r="X94" s="966" t="str">
        <f ca="1">IF(TabCalc[[#This Row],[EfCost]]+TabCalc[[#This Row],[M_V]]&lt;TabCalc[[#This Row],[NoT_GL]],"Pile","")</f>
        <v>Pile</v>
      </c>
      <c r="Y9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4" s="213">
        <f ca="1">MIN(TabCalc[[#This Row],[L_Bn]],TabCalc[[#This Row],[NAfter]])*(TabCalc[[#This Row],[M]]+TabCalc[[#This Row],[L_Bp]])*TabCalc[[#This Row],[Scale]]</f>
        <v>6325.0000000000027</v>
      </c>
      <c r="AA94" s="210" cm="1">
        <f t="array" aca="1" ref="AA94" ca="1">_xlfn.XLOOKUP(TabCalc[[#This Row],[L_Bp]],INDIRECT("TabReg["&amp;TabCalc[[#This Row],[Ticker]]&amp;"2]"),INDIRECT("TabReg["&amp;TabCalc[[#This Row],[Ticker]]&amp;"]"))</f>
        <v>45902</v>
      </c>
      <c r="AB94" s="181" cm="1">
        <f t="array" aca="1" ref="AB94" ca="1">_xlfn.XLOOKUP(TabCalc[[#This Row],[L_Bp]],INDIRECT("TabReg["&amp;TabCalc[[#This Row],[Ticker]]&amp;"2]"),INDIRECT("TabReg["&amp;TabCalc[[#This Row],[Ticker]]&amp;"1]"))</f>
        <v>5000</v>
      </c>
      <c r="AC94" s="192" cm="1">
        <f t="array" aca="1" ref="AC94" ca="1">IFERROR(INDEX(INDIRECT("TabReg["&amp;TabCalc[[#This Row],[Ticker]]&amp;"2]"),    _xlfn.XMATCH(    MAX(    _xlfn._xlws.FILTER(INDIRECT("TabReg["&amp;TabCalc[[#This Row],[Ticker]]&amp;"]"), INDIRECT("TabReg["&amp;TabCalc[[#This Row],[Ticker]]&amp;"2]")&lt;0)     ), INDIRECT("TabReg["&amp;TabCalc[[#This Row],[Ticker]]&amp;"]"),      0)), "")</f>
        <v>-14.82</v>
      </c>
      <c r="AD94" s="213">
        <f ca="1">IFERROR(MIN(TabCalc[[#This Row],[L_B1n]],TabCalc[[#This Row],[NAfter]])*(TabCalc[[#This Row],[M]]+TabCalc[[#This Row],[L_B1p]])*TabCalc[[#This Row],[Scale]],"")</f>
        <v>1612.4610000000014</v>
      </c>
      <c r="AE94" s="210" cm="1">
        <f t="array" aca="1" ref="AE9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F94" s="181" cm="1">
        <f t="array" aca="1" ref="AF94" ca="1">IFERROR(_xlfn.XLOOKUP(TabCalc[[#This Row],[L_B1D]],INDIRECT("TabReg["&amp;TabCalc[[#This Row],[Ticker]]&amp;"]"),INDIRECT("TabReg["&amp;TabCalc[[#This Row],[Ticker]]&amp;"1]")),0)</f>
        <v>3000</v>
      </c>
      <c r="AG94" s="192" cm="1">
        <f t="array" aca="1" ref="AG94" ca="1">IFERROR(_xlfn.XLOOKUP(TabCalc[[#This Row],[L_B1D]],INDIRECT("TabReg["&amp;TabCalc[[#This Row],[Ticker]]&amp;"]"),INDIRECT("TabReg["&amp;TabCalc[[#This Row],[Ticker]]&amp;"2]")),0)</f>
        <v>-15.547513</v>
      </c>
      <c r="AH94" s="302">
        <f ca="1">IFERROR(TabCalc[[#This Row],[L_Sn]]*(TabCalc[[#This Row],[L_Sp]]-TabCalc[[#This Row],[M]])*TabCalc[[#This Row],[Scale]],"")</f>
        <v>105.00000000000043</v>
      </c>
      <c r="AI94" s="210" cm="1">
        <f t="array" aca="1" ref="AI94" ca="1">IFERROR(_xlfn.XLOOKUP(TabCalc[[#This Row],[L_Sp]],INDIRECT("TabReg["&amp;TabCalc[[#This Row],[Ticker]]&amp;"2]"),INDIRECT("TabReg["&amp;TabCalc[[#This Row],[Ticker]]&amp;"]")),0)</f>
        <v>45936</v>
      </c>
      <c r="AJ94" s="181" cm="1">
        <f t="array" aca="1" ref="AJ94" ca="1">IFERROR(_xlfn.XLOOKUP(TabCalc[[#This Row],[L_Sp]],INDIRECT("TabReg["&amp;TabCalc[[#This Row],[Ticker]]&amp;"2]"),INDIRECT("TabReg["&amp;TabCalc[[#This Row],[Ticker]]&amp;"1]")),0)</f>
        <v>3000</v>
      </c>
      <c r="AK94" s="192" cm="1">
        <f t="array" aca="1" ref="AK94" ca="1">IFERROR(INDEX(INDIRECT("TabReg["&amp;TabCalc[[#This Row],[Ticker]]&amp;"2]"), _xlfn.XMATCH(MAX(_xlfn._xlws.FILTER(INDIRECT("TabReg["&amp;TabCalc[[#This Row],[Ticker]]&amp;"]"), INDIRECT("TabReg["&amp;TabCalc[[#This Row],[Ticker]]&amp;"2]")&gt;0)), INDIRECT("TabReg["&amp;TabCalc[[#This Row],[Ticker]]&amp;"]"), 0)), 0)</f>
        <v>16.12</v>
      </c>
      <c r="AL94" s="214">
        <f ca="1">IFERROR(TabCalc[[#This Row],[L_S1n]]*(TabCalc[[#This Row],[L_S1p]]-TabCalc[[#This Row],[M]])*TabCalc[[#This Row],[Scale]],0)</f>
        <v>-1500</v>
      </c>
      <c r="AM94" s="210" cm="1">
        <f t="array" aca="1" ref="AM9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N94" s="181" cm="1">
        <f t="array" aca="1" ref="AN94" ca="1">IFERROR(_xlfn.XLOOKUP(TabCalc[[#This Row],[L_S1D]],INDIRECT("TabReg["&amp;TabCalc[[#This Row],[Ticker]]&amp;"]"),INDIRECT("TabReg["&amp;TabCalc[[#This Row],[Ticker]]&amp;"1]")),0)</f>
        <v>12000</v>
      </c>
      <c r="AO94" s="384" cm="1">
        <f t="array" aca="1" ref="AO94" ca="1">IFERROR(_xlfn.XLOOKUP(TabCalc[[#This Row],[L_S1D]],INDIRECT("TabReg["&amp;TabCalc[[#This Row],[Ticker]]&amp;"]"),INDIRECT("TabReg["&amp;TabCalc[[#This Row],[Ticker]]&amp;"2]")),0)</f>
        <v>15.96</v>
      </c>
      <c r="AP94" s="336">
        <f ca="1">_xlfn.LET(_xlpm.MVOpen,[1]!RTData[[#This Row],[Open]]*TabCalc[[#This Row],[NAfter]],_xlpm.MVNow,TabCalc[[#This Row],[M]]*TabCalc[[#This Row],[NAfter]],_xlpm.MVNow-_xlpm.MVOpen)*TabCalc[[#This Row],[Scale]]</f>
        <v>2070</v>
      </c>
      <c r="AQ94" s="336">
        <f ca="1">_xlfn.LET(_xlpm.MVToday,DataShift!AV594,         _xlpm.MVY,DataShift!AU594,        _xlpm.MVYY, DataShift!AT594,                                IF(_xlpm.MVToday=_xlpm.MVY,_xlpm.MVY-_xlpm.MVYY,_xlpm.MVToday-_xlpm.MVY))</f>
        <v>5205</v>
      </c>
      <c r="AR94" s="336">
        <f ca="1">_xlfn.LET(_xlpm.MVToday,DataShift!AV594,         _xlpm.MVY,DataShift!AU594,        _xlpm.MVYY, DataShift!AT594,         _xlpm.MVYYY, DataShift!AS594,                      IF(_xlpm.MVToday=_xlpm.MVY,      _xlpm.MVYY-_xlpm.MVYYY,          _xlpm.MVY-_xlpm.MVYY))</f>
        <v>2685</v>
      </c>
      <c r="AS94" s="1078">
        <f ca="1">TabCalc[[#This Row],[Y]]/TabCalc[[#This Row],[M]]</f>
        <v>1.0500466272925086</v>
      </c>
      <c r="AT94" s="299" t="str" cm="1">
        <f t="array" aca="1" ref="AT94" ca="1">IFERROR(_xlfn.IFS(          TabCalc[[#This Row],[E]]&gt;0, "Free Trade",      TabCalc[[#This Row],[A]]&lt;MIN(TabCalc[[#This Row],[L_Sp]],TabCalc[[#This Row],[M]]), "Buy",            TabCalc[[#This Row],[M]]&lt;TabCalc[[#This Row],[L_Sp]],       "Refill",       TabCalc[[#This Row],[M]]&gt;TabCalc[[#This Row],[L_Sp]],"S_more"),"")</f>
        <v>Buy</v>
      </c>
      <c r="AU94" s="299" t="str">
        <f ca="1">IF(           AND(TabCalc[[#This Row],[E]]&lt;=0,          TabCalc[[#This Row],[A]]&gt;MIN(TabCalc[[#This Row],[M]],TabCalc[[#This Row],[L_Sp]]),             TabCalc[[#This Row],[L_Sp]]&lt;=TabCalc[[#This Row],[M]]),                       "S_more","")</f>
        <v/>
      </c>
      <c r="AV94" s="82" t="str" cm="1">
        <f t="array" aca="1" ref="AV94" ca="1">IFERROR(_xlfn.IFS(TabCalc[[#This Row],[E]]&gt;0,"Free trade",                 TabCalc[[#This Row],[A]]&lt;MAX(ABS(TabCalc[[#This Row],[L_Bp]]),TabCalc[[#This Row],[A]]),"Sell",             TabCalc[[#This Row],[M]]&gt;ABS(TabCalc[[#This Row],[L_Bp]]),"Resell",             TabCalc[[#This Row],[M]]&lt;ABS(TabCalc[[#This Row],[L_Bp]]),"B_more"),"")</f>
        <v>Sell</v>
      </c>
      <c r="AW94" s="82">
        <f ca="1">TabCalc[[#This Row],[NAfter]]-TabCalc[[#This Row],[Nbegin]]</f>
        <v>-32000</v>
      </c>
      <c r="AX94" s="307">
        <f ca="1">IFERROR((TabCalc[[#This Row],[M]]-TabCalc[[#This Row],[Y]])*(TabCalc[[#This Row],[M]]-TabCalc[[#This Row],[Y]])*(TabCalc[[#This Row],[M]]-TabCalc[[#This Row],[Y]])/(TabCalc[[#This Row],[Y]]*TabCalc[[#This Row],[M]]),"")</f>
        <v>-1.9201578242290004E-3</v>
      </c>
      <c r="AY94" s="82">
        <f t="shared" ca="1" si="5"/>
        <v>32000</v>
      </c>
      <c r="AZ94" s="90">
        <f ca="1">[1]!RTData[[#This Row],[V/VA]]</f>
        <v>1.1313503925264488</v>
      </c>
      <c r="BA94" s="90" t="str" cm="1">
        <f t="array" aca="1" ref="BA94" ca="1">IFERROR(_xlfn.IFS(TabCalc[[#This Row],[Cur]]="USD",Timer!F$27,TabCalc[[#This Row],[Cur]]="EUR",Timer!F$18,TabCalc[[#This Row],[Cur]]="GBP",Timer!F$12,TabCalc[[#This Row],[Cur]]="CAD",Timer!F$27,TabCalc[[#This Row],[Cur]]="JPY",Timer!F$31,TabCalc[[#This Row],[Cur]]="CHF",Timer!F$18),"Timing")</f>
        <v>None-Working Day</v>
      </c>
      <c r="BB94" s="90">
        <f ca="1">IF(ISNUMBER(TabCalc[[#This Row],[TimeEX]]),TabCalc[[#This Row],[V/VA]]/TabCalc[[#This Row],[TimeEX]],TabCalc[[#This Row],[V/VA]])</f>
        <v>1.1313503925264488</v>
      </c>
      <c r="BC94" s="87" cm="1">
        <f t="array" aca="1" ref="BC94" ca="1">INDEX(TabReg[], 1, _xlfn.XMATCH(TabCalc[[#This Row],[Ticker]]&amp;1, TabReg[#Headers], 0))</f>
        <v>50000</v>
      </c>
      <c r="BD94" s="161">
        <f ca="1">TabCalc[[#This Row],[Nbegin]]*TabCalc[[#This Row],[M]]*TabCalc[[#This Row],[Scale]]+TabCalc[[#This Row],[ValueBegin]]</f>
        <v>353250</v>
      </c>
      <c r="BE94" s="336" t="str" cm="1">
        <f t="array" aca="1" ref="BE94" ca="1">_xlfn.IFS(TabCalc[[#This Row],[Cost+Gain]]&gt;0,"Free",             TabCalc[[#This Row],[GL]]&gt;0,"Gainer",                TRUE,"Looser")</f>
        <v>Free</v>
      </c>
      <c r="BF94" s="161">
        <f ca="1">TabCalc[[#This Row],[Tot_Paid]]-TabCalc[[#This Row],[ValueBegin]]</f>
        <v>-456180.09060139989</v>
      </c>
      <c r="BG94" s="337">
        <f ca="1">IF(TabCalc[[#This Row],[EfCost]]&gt;TabCalc[[#This Row],[ValueBegin]],       0,        TabCalc[[#This Row],[EfCost]]-TabCalc[[#This Row],[ValueBegin]]*(1+Commission))</f>
        <v>0</v>
      </c>
      <c r="BH94" s="338">
        <f ca="1">TabCalc[[#This Row],[M_V]]+TabCalc[[#This Row],[ValueBegin]]</f>
        <v>-161470</v>
      </c>
      <c r="BI94" s="161" cm="1">
        <f t="array" aca="1" ref="BI94" ca="1">SUMPRODUCT(_xlfn._xlws.FILTER(INDIRECT("TabReg["&amp;TabCalc[[#This Row],[Ticker]]&amp;"1]") * INDIRECT("TabReg["&amp;TabCalc[[#This Row],[Ticker]]&amp;"2]"), INDIRECT("TabReg["&amp;TabCalc[[#This Row],[Ticker]]&amp;"2]")&lt;0))*(1+Commission)*TabCalc[[#This Row],[Scale]]</f>
        <v>-907180.09060139989</v>
      </c>
      <c r="BJ94" s="161" cm="1">
        <f t="array" aca="1" ref="BJ94" ca="1">SUMPRODUCT(IF(INDIRECT("TabReg["&amp;TabCalc[[#This Row],[Ticker]]&amp;"2]") ="", 0, INDIRECT("TabReg["&amp;TabCalc[[#This Row],[Ticker]]&amp;"1]") * INDIRECT("TabReg["&amp;TabCalc[[#This Row],[Ticker]]&amp;"2]") ))*TabCalc[[#This Row],[Scale]]</f>
        <v>29153.021000000008</v>
      </c>
      <c r="BK94" s="161" cm="1">
        <f t="array" aca="1" ref="BK9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931552.21054400003</v>
      </c>
      <c r="BL94" s="161">
        <f ca="1">TabCalc[[#This Row],[M_V]]+TabCalc[[#This Row],[EfCost]]</f>
        <v>318683.02100000001</v>
      </c>
      <c r="BM94" s="161">
        <f ca="1">IF(        OR( TabCalc[[#This Row],[GL]]&gt;ABS(TabCalc[[#This Row],[EfCost]]),TabCalc[[#This Row],[NAfter]]=0),             TabCalc[[#This Row],[GL]],     0)</f>
        <v>318683.02100000001</v>
      </c>
      <c r="BN94" s="161" cm="1">
        <f t="array" aca="1" ref="BN94" ca="1">SUMPRODUCT(_xlfn._xlws.FILTER(IF(INDIRECT("TabReg["&amp;TabCalc[[#This Row],[Ticker]]&amp;"2]") ="", 0, INDIRECT("TabReg["&amp;TabCalc[[#This Row],[Ticker]]&amp;"1]")  ),  INDIRECT("TabReg["&amp;TabCalc[[#This Row],[Ticker]]&amp;"2]") &lt; 0))</f>
        <v>85000</v>
      </c>
      <c r="BO94" s="161">
        <f ca="1">TabCalc[[#This Row],[SB]]-TabCalc[[#This Row],[Nbegin]]</f>
        <v>35000</v>
      </c>
      <c r="BP94" s="161" cm="1">
        <f t="array" aca="1" ref="BP94" ca="1">IFERROR(SUMPRODUCT(_xlfn._xlws.FILTER(IF(INDIRECT("TabReg["&amp;TabCalc[[#This Row],[Ticker]]&amp;"2]") ="", 0, INDIRECT("TabReg["&amp;TabCalc[[#This Row],[Ticker]]&amp;"1]")  ),  INDIRECT("TabReg["&amp;TabCalc[[#This Row],[Ticker]]&amp;"2]") &gt; 0)),0)</f>
        <v>67000</v>
      </c>
      <c r="BQ9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94" s="176" t="str">
        <f ca="1">IF(TabCalc[[#This Row],[EfCost]]+TabCalc[[#This Row],[M_V]]&lt;TabCalc[[#This Row],[NoT_GL]],"Pile","")</f>
        <v>Pile</v>
      </c>
      <c r="BS94" s="167">
        <f ca="1">[1]!RTData[[#This Row],[Last trade time]]</f>
        <v>45954.770833333336</v>
      </c>
      <c r="BT94" s="177">
        <f ca="1">(TabCalc[[#This Row],[ValueBegin]]+(TabCalc[[#This Row],[M]]-TabCalc[[#This Row],[A]])*TabCalc[[#This Row],[NAfter]])*TabCalc[[#This Row],[Scale]]</f>
        <v>-257589.99999999997</v>
      </c>
      <c r="BU94" s="189" cm="1">
        <f t="array" aca="1" ref="BU94" ca="1">_xlfn.XLOOKUP(TabCalc[[#This Row],[Ticker]],TabReg[[#Headers],[AAPL]:[UnknownX28]],Reg!B$72:KF$72)+3</f>
        <v>20</v>
      </c>
      <c r="BV94" s="190" cm="1">
        <f t="array" aca="1" ref="BV94" ca="1">_xlfn.XLOOKUP(TabCalc[[#This Row],[Ticker]],TabReg[[#Headers],[AAPL]:[UnknownX28]],Reg!B$73:KF$73)+2</f>
        <v>285</v>
      </c>
      <c r="BW94" s="191">
        <f ca="1">IFERROR(MAX(TabCalc[[#This Row],[Max_SD]],TabCalc[[#This Row],[Max_PD]]),0)</f>
        <v>45936</v>
      </c>
      <c r="BX94" s="191" t="str" cm="1">
        <f t="array" aca="1" ref="BX94" ca="1">_xlfn.IFS(TabCalc[[#This Row],[L_TP]]&lt;0,"Purchase",TabCalc[[#This Row],[L_TP]]&gt;0,"Sale")</f>
        <v>Sale</v>
      </c>
      <c r="BY94" s="190" cm="1">
        <f t="array" aca="1" ref="BY94" ca="1">INDEX(Reg!$A$1:$KF$73,TabCalc[[#This Row],[L_I1]],TabCalc[[#This Row],[L_I2]])</f>
        <v>3000</v>
      </c>
      <c r="BZ94" s="192" cm="1">
        <f t="array" aca="1" ref="BZ94" ca="1">INDEX(Reg!$A$1:$KF$73,TabCalc[[#This Row],[L_I1]],TabCalc[[#This Row],[L_I2]]+1)</f>
        <v>16.12</v>
      </c>
      <c r="CA94" s="161">
        <f ca="1">TabCalc[[#This Row],[NAfter]]*(TabCalc[[#This Row],[M]]-IF(TabCalc[[#This Row],[E]]&gt;0,0,TabCalc[[#This Row],[A]]))</f>
        <v>193410.00000000003</v>
      </c>
      <c r="CB94" s="167" cm="1">
        <f t="array" aca="1" ref="CB94" ca="1">IFERROR(MIN(_xlfn._xlws.FILTER(INDIRECT("TabReg["&amp;TabCalc[[#This Row],[Ticker]]&amp;"]"), INDIRECT("TabReg["&amp;TabCalc[[#This Row],[Ticker]]&amp;"2]")&gt;0)),0)</f>
        <v>45436</v>
      </c>
      <c r="CC94" s="178" cm="1">
        <f t="array" aca="1" ref="CC94" ca="1">IFERROR(MIN(_xlfn._xlws.FILTER(INDIRECT("TabReg["&amp;TabCalc[[#This Row],[Ticker]]&amp;"1]"), INDIRECT("TabReg["&amp;TabCalc[[#This Row],[Ticker]]&amp;"2]")&gt;0)),0)</f>
        <v>2000</v>
      </c>
      <c r="CD94" s="173" cm="1">
        <f t="array" aca="1" ref="CD94" ca="1">IFERROR(MIN(_xlfn._xlws.FILTER(INDIRECT("TabReg["&amp;TabCalc[[#This Row],[Ticker]]&amp;"2]"), INDIRECT("TabReg["&amp;TabCalc[[#This Row],[Ticker]]&amp;"2]")&gt;0)),0)</f>
        <v>12.320458</v>
      </c>
      <c r="CE94" s="167" cm="1">
        <f t="array" aca="1" ref="CE94" ca="1">IFERROR(MAX(_xlfn._xlws.FILTER(INDIRECT("TabReg["&amp;TabCalc[[#This Row],[Ticker]]&amp;"]"), INDIRECT("TabReg["&amp;TabCalc[[#This Row],[Ticker]]&amp;"2]")&gt;0)),0)</f>
        <v>45936</v>
      </c>
      <c r="CF94" s="178" cm="1">
        <f t="array" aca="1" ref="CF94" ca="1">IFERROR(MAX(_xlfn._xlws.FILTER(INDIRECT("TabReg["&amp;TabCalc[[#This Row],[Ticker]]&amp;"1]"), INDIRECT("TabReg["&amp;TabCalc[[#This Row],[Ticker]]&amp;"2]")&gt;0)),0)</f>
        <v>20000</v>
      </c>
      <c r="CG94" s="173" cm="1">
        <f t="array" aca="1" ref="CG94" ca="1">IFERROR(MAX(_xlfn._xlws.FILTER(INDIRECT("TabReg["&amp;TabCalc[[#This Row],[Ticker]]&amp;"2]"), INDIRECT("TabReg["&amp;TabCalc[[#This Row],[Ticker]]&amp;"2]")&gt;0)),0)</f>
        <v>16.12</v>
      </c>
      <c r="CH94" s="167" cm="1">
        <f t="array" aca="1" ref="CH94" ca="1">MIN(_xlfn._xlws.FILTER(INDIRECT("TabReg["&amp;TabCalc[[#This Row],[Ticker]]&amp;"]"), INDIRECT("TabReg["&amp;TabCalc[[#This Row],[Ticker]]&amp;"2]")&lt;0))</f>
        <v>40544</v>
      </c>
      <c r="CI94" s="177" cm="1">
        <f t="array" aca="1" ref="CI94" ca="1">MIN(_xlfn._xlws.FILTER(INDIRECT("TabReg["&amp;TabCalc[[#This Row],[Ticker]]&amp;"1]"), INDIRECT("TabReg["&amp;TabCalc[[#This Row],[Ticker]]&amp;"2]")&lt;0))</f>
        <v>2000</v>
      </c>
      <c r="CJ94" s="173" cm="1">
        <f t="array" aca="1" ref="CJ94" ca="1">MIN(_xlfn._xlws.FILTER(INDIRECT("TabReg["&amp;TabCalc[[#This Row],[Ticker]]&amp;"2]"), INDIRECT("TabReg["&amp;TabCalc[[#This Row],[Ticker]]&amp;"2]")&lt;0))</f>
        <v>-15.547513</v>
      </c>
      <c r="CK94" s="167" cm="1">
        <f t="array" aca="1" ref="CK94" ca="1">MAX(_xlfn._xlws.FILTER(INDIRECT("TabReg["&amp;TabCalc[[#This Row],[Ticker]]&amp;"]"), INDIRECT("TabReg["&amp;TabCalc[[#This Row],[Ticker]]&amp;"2]")&lt;0))</f>
        <v>45902</v>
      </c>
      <c r="CL94" s="177" cm="1">
        <f t="array" aca="1" ref="CL94" ca="1">MAX(_xlfn._xlws.FILTER(INDIRECT("TabReg["&amp;TabCalc[[#This Row],[Ticker]]&amp;"1]"), INDIRECT("TabReg["&amp;TabCalc[[#This Row],[Ticker]]&amp;"2]")&lt;0))</f>
        <v>50000</v>
      </c>
      <c r="CM94" s="173" cm="1">
        <f t="array" aca="1" ref="CM94" ca="1">MAX(_xlfn._xlws.FILTER(INDIRECT("TabReg["&amp;TabCalc[[#This Row],[Ticker]]&amp;"2]"), INDIRECT("TabReg["&amp;TabCalc[[#This Row],[Ticker]]&amp;"2]")&lt;0))</f>
        <v>-9.02</v>
      </c>
      <c r="CN94" s="167" cm="1">
        <f t="array" aca="1" ref="CN94" ca="1">IFERROR(_xlfn.XLOOKUP(TabCalc[[#This Row],[BS2P]],INDIRECT("TabReg["&amp;TabCalc[[#This Row],[Ticker]]&amp;"2]"),INDIRECT("TabReg["&amp;TabCalc[[#This Row],[Ticker]]&amp;"]")),0)</f>
        <v>45853</v>
      </c>
      <c r="CO94" s="178" cm="1">
        <f t="array" aca="1" ref="CO94" ca="1">IFERROR(_xlfn.XLOOKUP(TabCalc[[#This Row],[BS2P]],INDIRECT("TabReg["&amp;TabCalc[[#This Row],[Ticker]]&amp;"2]"),INDIRECT("TabReg["&amp;TabCalc[[#This Row],[Ticker]]&amp;"1]")),0)</f>
        <v>5000</v>
      </c>
      <c r="CP94" s="173">
        <f ca="1">_xlfn.MAXIFS(INDIRECT("TabReg["&amp;TabCalc[[#This Row],[Ticker]]&amp;"2]"), INDIRECT("TabReg["&amp;TabCalc[[#This Row],[Ticker]]&amp;"2]"), "&lt;" &amp; MAX(INDIRECT("TabReg["&amp;TabCalc[[#This Row],[Ticker]]&amp;"2]")))</f>
        <v>16.068280000000001</v>
      </c>
      <c r="CQ94" s="167" cm="1">
        <f t="array" aca="1" ref="CQ94" ca="1">IFERROR(_xlfn.XLOOKUP(TabCalc[[#This Row],[WB2P]],INDIRECT("TabReg["&amp;TabCalc[[#This Row],[Ticker]]&amp;"2]"),INDIRECT("TabReg["&amp;TabCalc[[#This Row],[Ticker]]&amp;"]")),0)</f>
        <v>45770</v>
      </c>
      <c r="CR94" s="178" cm="1">
        <f t="array" aca="1" ref="CR94" ca="1">IFERROR(_xlfn.XLOOKUP(TabCalc[[#This Row],[WB2P]],INDIRECT("TabReg["&amp;TabCalc[[#This Row],[Ticker]]&amp;"2]"),INDIRECT("TabReg["&amp;TabCalc[[#This Row],[Ticker]]&amp;"1]")),0)</f>
        <v>5000</v>
      </c>
      <c r="CS94" s="173">
        <f ca="1">_xlfn.MINIFS(INDIRECT("TabReg["&amp;TabCalc[[#This Row],[Ticker]]&amp;"2]"), INDIRECT("TabReg["&amp;TabCalc[[#This Row],[Ticker]]&amp;"2]"), "&gt;" &amp; MIN(INDIRECT("TabReg["&amp;TabCalc[[#This Row],[Ticker]]&amp;"2]")))</f>
        <v>-14.97</v>
      </c>
      <c r="CT94" s="405">
        <f ca="1">IF(TabCalc[[#This Row],[M]]&lt;TabCalc[[#This Row],[L_Sp]],DesiredBuyGain/(TabCalc[[#This Row],[L_Sp]]-TabCalc[[#This Row],[M]]),0)</f>
        <v>142857.14285714229</v>
      </c>
      <c r="CU94" s="406">
        <f ca="1">IF(TabCalc[[#This Row],[ntoBuy]]*TabCalc[[#This Row],[M]]&lt;=0,0,TabCalc[[#This Row],[ntoBuy]]*TabCalc[[#This Row],[M]])</f>
        <v>2297857.1428571339</v>
      </c>
      <c r="CV94" s="406">
        <f ca="1">IF(TabCalc[[#This Row],[M]]&gt;ABS(TabCalc[[#This Row],[L_Bp]]),MIN(TabCalc[[#This Row],[NAfter]],DesiredSaleGain/(TabCalc[[#This Row],[M]]+TabCalc[[#This Row],[L_Bp]])),0)/TabCalc[[#This Row],[Scale]]</f>
        <v>3952.5691699604727</v>
      </c>
      <c r="CW94" s="407">
        <f ca="1">TabCalc[[#This Row],[ntoSell]]*TabCalc[[#This Row],[M]]</f>
        <v>63577.075098814203</v>
      </c>
      <c r="CX94" s="400">
        <f ca="1">_xlfn.LET(_xlpm.nToSell,IF(TabCalc[[#This Row],[M]]-TabCalc[[#This Row],[A]]&lt;=0,"",INT(DesiredSaleGain/(TabCalc[[#This Row],[M]]-IF(TabCalc[[#This Row],[E]]&gt;0,0,TabCalc[[#This Row],[A]])))),IF(_xlpm.nToSell&lt;=TabCalc[[#This Row],[NAfter]],_xlpm.nToSell,0))</f>
        <v>465</v>
      </c>
      <c r="CY94" s="338">
        <f ca="1">IFERROR(TabCalc[[#This Row],[NMA]]*TabCalc[[#This Row],[M]],"")</f>
        <v>7479.5250000000005</v>
      </c>
      <c r="CZ94" s="337" cm="1">
        <f t="array" aca="1" ref="CZ94" ca="1">_xlfn.IFS(TabCalc[[#This Row],[M]]&gt;= TabCalc[[#This Row],[L_Sp]],(TabCalc[[#This Row],[M]]-TabCalc[[#This Row],[A]])*TabCalc[[#This Row],[NAfter]]*TabCalc[[#This Row],[Scale]],           TabCalc[[#This Row],[M]]&lt; TabCalc[[#This Row],[L_Sp]],(TabCalc[[#This Row],[M]]-TabCalc[[#This Row],[A]])*TabCalc[[#This Row],[NAfter]]*TabCalc[[#This Row],[Scale]],               TRUE,"")</f>
        <v>193410.00000000003</v>
      </c>
      <c r="DA94" s="90">
        <f ca="1">IFERROR((TabCalc[[#This Row],[M]]+TabCalc[[#This Row],[L_Bp]])/ABS(TabCalc[[#This Row],[L_Bp]])/(TODAY()-TabCalc[[#This Row],[L_Bdate]])*360,"")</f>
        <v>0.56905083220872721</v>
      </c>
      <c r="DB94" s="312">
        <f ca="1">MEDIAN(DataShift!F793:Z793)</f>
        <v>8.3499999999999998E-3</v>
      </c>
      <c r="DC94" s="312" t="str" cm="1">
        <f t="array" aca="1" ref="DC9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94" s="88" t="s">
        <v>89</v>
      </c>
      <c r="DN94" s="81">
        <v>3200</v>
      </c>
      <c r="DO94" s="317">
        <v>-26.21</v>
      </c>
    </row>
    <row r="95" spans="1:119">
      <c r="A95" s="120" t="str">
        <f ca="1">_xlfn.XLOOKUP(TabCalc[[#This Row],[Ticker]],[1]!RTData[Ticker symbol],[1]!RTData[Currency])</f>
        <v>USD</v>
      </c>
      <c r="B95" s="121">
        <f ca="1">IF(TabCalc[[#This Row],[Cur]]="GBP",0.01,1)</f>
        <v>1</v>
      </c>
      <c r="C95" s="82">
        <f>_xlfn.XLOOKUP(TabCalc[[#This Row],[Ticker]],DM$3:DM$96,DN$3:DN$96)</f>
        <v>77100</v>
      </c>
      <c r="D95" s="1254">
        <f>_xlfn.XLOOKUP(TabCalc[[#This Row],[Ticker]],DM$3:DM$96,DO$3:DO$96)</f>
        <v>-5.34</v>
      </c>
      <c r="E95" s="121">
        <f t="shared" ca="1" si="4"/>
        <v>-411714</v>
      </c>
      <c r="F95" s="82">
        <f ca="1">TabCalc[[#This Row],[NAfter]]*TabCalc[[#This Row],[M]]*TabCalc[[#This Row],[Scale]]</f>
        <v>815101.2</v>
      </c>
      <c r="G95" s="82">
        <f ca="1">IFERROR(TabCalc[[#This Row],[SB]]-TabCalc[[#This Row],[SST]],TabCalc[[#This Row],[SB]])</f>
        <v>77100</v>
      </c>
      <c r="H95" s="535" t="str">
        <f>[1]!RTData[[#This Row],[Ticker symbol]]</f>
        <v>LOCK</v>
      </c>
      <c r="I95" s="385">
        <f ca="1">[1]!RTData[[#This Row],[M-Price]]</f>
        <v>10.571999999999999</v>
      </c>
      <c r="J95" s="384">
        <v>723.74</v>
      </c>
      <c r="K95" s="383">
        <f>[1]!RTData[[#This Row],[1YT]]</f>
        <v>873.90326000000005</v>
      </c>
      <c r="L95" s="384">
        <f ca="1">IF(OR(TabCalc[[#This Row],[NAfter]]=0,TabCalc[[#This Row],[EfCost]]&gt;0),0,TabCalc[[#This Row],[EfCost]]/TabCalc[[#This Row],[NAfter]]/TabCalc[[#This Row],[Scale]])</f>
        <v>-5.34</v>
      </c>
      <c r="M95" s="744">
        <f ca="1">[1]!RTData[[#This Row],[Change%]]</f>
        <v>1.4003000000000002E-2</v>
      </c>
      <c r="N95" s="1172">
        <v>0.36363636363636365</v>
      </c>
      <c r="O95" s="966">
        <f>TabCalc[[#This Row],[Up20]]-1+TabCalc[[#This Row],[Up20]]</f>
        <v>-0.27272727272727271</v>
      </c>
      <c r="P95" s="966">
        <f>TabCalc[[#This Row],[Up20]]-TabCalc[[#This Row],[Up150]]</f>
        <v>-0.19374068554396418</v>
      </c>
      <c r="Q95" s="966">
        <v>0.55737704918032782</v>
      </c>
      <c r="R95" s="966">
        <f>TabCalc[[#This Row],[Up150]]-1+TabCalc[[#This Row],[Up150]]</f>
        <v>0.11475409836065564</v>
      </c>
      <c r="S95" s="966">
        <f ca="1">IFERROR(SUMPRODUCT(DataShift!F1587:Z1587,DataShift!AB794:AV794)/SQRT(SUMPRODUCT(DataShift!F1587:Z1587,DataShift!F1587:Z1587)*SUMPRODUCT(DataShift!AB794:AV794,DataShift!AB794:AV794)),0)</f>
        <v>-0.74908920825620762</v>
      </c>
      <c r="T95" s="966">
        <f ca="1">IFERROR(SUMPRODUCT(DataShift!F1587:Z1587,DataShift!F794:Z794)/SQRT(SUMPRODUCT(DataShift!F1587:Z1587,DataShift!F1587:Z1587)*SUMPRODUCT(DataShift!F794:Z794,DataShift!F794:Z794)),0)</f>
        <v>0</v>
      </c>
      <c r="U95" s="1107">
        <v>200</v>
      </c>
      <c r="V95" s="1107">
        <v>0</v>
      </c>
      <c r="W95" s="1107">
        <v>0</v>
      </c>
      <c r="X95" s="966" t="str">
        <f ca="1">IF(TabCalc[[#This Row],[EfCost]]+TabCalc[[#This Row],[M_V]]&lt;TabCalc[[#This Row],[NoT_GL]],"Pile","")</f>
        <v/>
      </c>
      <c r="Y9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5" s="213">
        <f ca="1">MIN(TabCalc[[#This Row],[L_Bn]],TabCalc[[#This Row],[NAfter]])*(TabCalc[[#This Row],[M]]+TabCalc[[#This Row],[L_Bp]])*TabCalc[[#This Row],[Scale]]</f>
        <v>403387.19999999995</v>
      </c>
      <c r="AA95" s="210" cm="1">
        <f t="array" aca="1" ref="AA95" ca="1">_xlfn.XLOOKUP(TabCalc[[#This Row],[L_Bp]],INDIRECT("TabReg["&amp;TabCalc[[#This Row],[Ticker]]&amp;"2]"),INDIRECT("TabReg["&amp;TabCalc[[#This Row],[Ticker]]&amp;"]"))</f>
        <v>44706</v>
      </c>
      <c r="AB95" s="181" cm="1">
        <f t="array" aca="1" ref="AB95" ca="1">_xlfn.XLOOKUP(TabCalc[[#This Row],[L_Bp]],INDIRECT("TabReg["&amp;TabCalc[[#This Row],[Ticker]]&amp;"2]"),INDIRECT("TabReg["&amp;TabCalc[[#This Row],[Ticker]]&amp;"1]"))</f>
        <v>77100</v>
      </c>
      <c r="AC95" s="192" cm="1">
        <f t="array" aca="1" ref="AC95" ca="1">IFERROR(INDEX(INDIRECT("TabReg["&amp;TabCalc[[#This Row],[Ticker]]&amp;"2]"),    _xlfn.XMATCH(    MAX(    _xlfn._xlws.FILTER(INDIRECT("TabReg["&amp;TabCalc[[#This Row],[Ticker]]&amp;"]"), INDIRECT("TabReg["&amp;TabCalc[[#This Row],[Ticker]]&amp;"2]")&lt;0)     ), INDIRECT("TabReg["&amp;TabCalc[[#This Row],[Ticker]]&amp;"]"),      0)), "")</f>
        <v>-5.34</v>
      </c>
      <c r="AD95" s="213">
        <f ca="1">IFERROR(MIN(TabCalc[[#This Row],[L_B1n]],TabCalc[[#This Row],[NAfter]])*(TabCalc[[#This Row],[M]]+TabCalc[[#This Row],[L_B1p]])*TabCalc[[#This Row],[Scale]],"")</f>
        <v>0</v>
      </c>
      <c r="AE95" s="210" t="str" cm="1">
        <f t="array" aca="1" ref="AE9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5" s="181" cm="1">
        <f t="array" aca="1" ref="AF95" ca="1">IFERROR(_xlfn.XLOOKUP(TabCalc[[#This Row],[L_B1D]],INDIRECT("TabReg["&amp;TabCalc[[#This Row],[Ticker]]&amp;"]"),INDIRECT("TabReg["&amp;TabCalc[[#This Row],[Ticker]]&amp;"1]")),0)</f>
        <v>0</v>
      </c>
      <c r="AG95" s="192" cm="1">
        <f t="array" aca="1" ref="AG95" ca="1">IFERROR(_xlfn.XLOOKUP(TabCalc[[#This Row],[L_B1D]],INDIRECT("TabReg["&amp;TabCalc[[#This Row],[Ticker]]&amp;"]"),INDIRECT("TabReg["&amp;TabCalc[[#This Row],[Ticker]]&amp;"2]")),0)</f>
        <v>0</v>
      </c>
      <c r="AH95" s="214">
        <f ca="1">IFERROR(TabCalc[[#This Row],[L_Sn]]*(TabCalc[[#This Row],[L_Sp]]-TabCalc[[#This Row],[M]])*TabCalc[[#This Row],[Scale]],"")</f>
        <v>0</v>
      </c>
      <c r="AI95" s="210" cm="1">
        <f t="array" aca="1" ref="AI95" ca="1">IFERROR(_xlfn.XLOOKUP(TabCalc[[#This Row],[L_Sp]],INDIRECT("TabReg["&amp;TabCalc[[#This Row],[Ticker]]&amp;"2]"),INDIRECT("TabReg["&amp;TabCalc[[#This Row],[Ticker]]&amp;"]")),0)</f>
        <v>0</v>
      </c>
      <c r="AJ95" s="181" cm="1">
        <f t="array" aca="1" ref="AJ95" ca="1">IFERROR(_xlfn.XLOOKUP(TabCalc[[#This Row],[L_Sp]],INDIRECT("TabReg["&amp;TabCalc[[#This Row],[Ticker]]&amp;"2]"),INDIRECT("TabReg["&amp;TabCalc[[#This Row],[Ticker]]&amp;"1]")),0)</f>
        <v>0</v>
      </c>
      <c r="AK95" s="192" cm="1">
        <f t="array" aca="1" ref="AK95" ca="1">IFERROR(INDEX(INDIRECT("TabReg["&amp;TabCalc[[#This Row],[Ticker]]&amp;"2]"), _xlfn.XMATCH(MAX(_xlfn._xlws.FILTER(INDIRECT("TabReg["&amp;TabCalc[[#This Row],[Ticker]]&amp;"]"), INDIRECT("TabReg["&amp;TabCalc[[#This Row],[Ticker]]&amp;"2]")&gt;0)), INDIRECT("TabReg["&amp;TabCalc[[#This Row],[Ticker]]&amp;"]"), 0)), 0)</f>
        <v>0</v>
      </c>
      <c r="AL95" s="214">
        <f ca="1">IFERROR(TabCalc[[#This Row],[L_S1n]]*(TabCalc[[#This Row],[L_S1p]]-TabCalc[[#This Row],[M]])*TabCalc[[#This Row],[Scale]],0)</f>
        <v>0</v>
      </c>
      <c r="AM95" s="210" t="str" cm="1">
        <f t="array" aca="1" ref="AM9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5" s="181" cm="1">
        <f t="array" aca="1" ref="AN95" ca="1">IFERROR(_xlfn.XLOOKUP(TabCalc[[#This Row],[L_S1D]],INDIRECT("TabReg["&amp;TabCalc[[#This Row],[Ticker]]&amp;"]"),INDIRECT("TabReg["&amp;TabCalc[[#This Row],[Ticker]]&amp;"1]")),0)</f>
        <v>0</v>
      </c>
      <c r="AO95" s="384" cm="1">
        <f t="array" aca="1" ref="AO95" ca="1">IFERROR(_xlfn.XLOOKUP(TabCalc[[#This Row],[L_S1D]],INDIRECT("TabReg["&amp;TabCalc[[#This Row],[Ticker]]&amp;"]"),INDIRECT("TabReg["&amp;TabCalc[[#This Row],[Ticker]]&amp;"2]")),0)</f>
        <v>0</v>
      </c>
      <c r="AP95" s="336">
        <f ca="1">_xlfn.LET(_xlpm.MVOpen,[1]!RTData[[#This Row],[Open]]*TabCalc[[#This Row],[NAfter]],_xlpm.MVNow,TabCalc[[#This Row],[M]]*TabCalc[[#This Row],[NAfter]],_xlpm.MVNow-_xlpm.MVOpen)*TabCalc[[#This Row],[Scale]]</f>
        <v>6630.5999999998603</v>
      </c>
      <c r="AQ95" s="336">
        <f ca="1">_xlfn.LET(_xlpm.MVToday,DataShift!AV595,         _xlpm.MVY,DataShift!AU595,        _xlpm.MVYY, DataShift!AT595,                                IF(_xlpm.MVToday=_xlpm.MVY,_xlpm.MVY-_xlpm.MVYY,_xlpm.MVToday-_xlpm.MVY))</f>
        <v>0</v>
      </c>
      <c r="AR95" s="336">
        <f ca="1">_xlfn.LET(_xlpm.MVToday,DataShift!AV595,         _xlpm.MVY,DataShift!AU595,        _xlpm.MVYY, DataShift!AT595,         _xlpm.MVYYY, DataShift!AS595,                      IF(_xlpm.MVToday=_xlpm.MVY,      _xlpm.MVYY-_xlpm.MVYYY,          _xlpm.MVY-_xlpm.MVYY))</f>
        <v>0</v>
      </c>
      <c r="AS95" s="1078">
        <f ca="1">TabCalc[[#This Row],[Y]]/TabCalc[[#This Row],[M]]</f>
        <v>82.662056375331076</v>
      </c>
      <c r="AT95" s="299" t="str" cm="1">
        <f t="array" aca="1" ref="AT95" ca="1">IFERROR(_xlfn.IFS(          TabCalc[[#This Row],[E]]&gt;0, "Free Trade",      TabCalc[[#This Row],[A]]&lt;MIN(TabCalc[[#This Row],[L_Sp]],TabCalc[[#This Row],[M]]), "Buy",            TabCalc[[#This Row],[M]]&lt;TabCalc[[#This Row],[L_Sp]],       "Refill",       TabCalc[[#This Row],[M]]&gt;TabCalc[[#This Row],[L_Sp]],"S_more"),"")</f>
        <v>S_more</v>
      </c>
      <c r="AU95" s="299" t="str">
        <f ca="1">IF(           AND(TabCalc[[#This Row],[E]]&lt;=0,          TabCalc[[#This Row],[A]]&gt;MIN(TabCalc[[#This Row],[M]],TabCalc[[#This Row],[L_Sp]]),             TabCalc[[#This Row],[L_Sp]]&lt;=TabCalc[[#This Row],[M]]),                       "S_more","")</f>
        <v>S_more</v>
      </c>
      <c r="AV95" s="82" t="str" cm="1">
        <f t="array" aca="1" ref="AV95" ca="1">IFERROR(_xlfn.IFS(TabCalc[[#This Row],[E]]&gt;0,"Free trade",                 TabCalc[[#This Row],[A]]&lt;MAX(ABS(TabCalc[[#This Row],[L_Bp]]),TabCalc[[#This Row],[A]]),"Sell",             TabCalc[[#This Row],[M]]&gt;ABS(TabCalc[[#This Row],[L_Bp]]),"Resell",             TabCalc[[#This Row],[M]]&lt;ABS(TabCalc[[#This Row],[L_Bp]]),"B_more"),"")</f>
        <v>Resell</v>
      </c>
      <c r="AW95" s="82">
        <f ca="1">TabCalc[[#This Row],[NAfter]]-TabCalc[[#This Row],[Nbegin]]</f>
        <v>0</v>
      </c>
      <c r="AX95" s="307">
        <f ca="1">IFERROR((TabCalc[[#This Row],[M]]-TabCalc[[#This Row],[Y]])*(TabCalc[[#This Row],[M]]-TabCalc[[#This Row],[Y]])*(TabCalc[[#This Row],[M]]-TabCalc[[#This Row],[Y]])/(TabCalc[[#This Row],[Y]]*TabCalc[[#This Row],[M]]),"")</f>
        <v>-69648.518870476211</v>
      </c>
      <c r="AY95" s="82">
        <f t="shared" ca="1" si="5"/>
        <v>0</v>
      </c>
      <c r="AZ95" s="90">
        <f ca="1">[1]!RTData[[#This Row],[V/VA]]</f>
        <v>1</v>
      </c>
      <c r="BA95" s="90" t="str" cm="1">
        <f t="array" aca="1" ref="BA95" ca="1">IFERROR(_xlfn.IFS(TabCalc[[#This Row],[Cur]]="USD",Timer!F$27,TabCalc[[#This Row],[Cur]]="EUR",Timer!F$18,TabCalc[[#This Row],[Cur]]="GBP",Timer!F$12,TabCalc[[#This Row],[Cur]]="CAD",Timer!F$27,TabCalc[[#This Row],[Cur]]="JPY",Timer!F$31,TabCalc[[#This Row],[Cur]]="CHF",Timer!F$18),"Timing")</f>
        <v>None-Working Day</v>
      </c>
      <c r="BB95" s="90">
        <f ca="1">IF(ISNUMBER(TabCalc[[#This Row],[TimeEX]]),TabCalc[[#This Row],[V/VA]]/TabCalc[[#This Row],[TimeEX]],TabCalc[[#This Row],[V/VA]])</f>
        <v>1</v>
      </c>
      <c r="BC95" s="87" cm="1">
        <f t="array" ref="BC95">INDEX(TabReg[], 1, _xlfn.XMATCH(TabCalc[[#This Row],[Ticker]]&amp;1, TabReg[#Headers], 0))</f>
        <v>77100</v>
      </c>
      <c r="BD95" s="161">
        <f ca="1">TabCalc[[#This Row],[Nbegin]]*TabCalc[[#This Row],[M]]*TabCalc[[#This Row],[Scale]]+TabCalc[[#This Row],[ValueBegin]]</f>
        <v>403387.19999999995</v>
      </c>
      <c r="BE95" s="336" t="str" cm="1">
        <f t="array" aca="1" ref="BE95" ca="1">_xlfn.IFS(TabCalc[[#This Row],[Cost+Gain]]&gt;0,"Free",             TabCalc[[#This Row],[GL]]&gt;0,"Gainer",                TRUE,"Looser")</f>
        <v>Gainer</v>
      </c>
      <c r="BF95" s="161">
        <f ca="1">TabCalc[[#This Row],[Tot_Paid]]-TabCalc[[#This Row],[ValueBegin]]</f>
        <v>-1070.4563999999664</v>
      </c>
      <c r="BG95" s="337">
        <f ca="1">IF(TabCalc[[#This Row],[EfCost]]&gt;TabCalc[[#This Row],[ValueBegin]],       0,        TabCalc[[#This Row],[EfCost]]-TabCalc[[#This Row],[ValueBegin]]*(1+Commission))</f>
        <v>1070.4563999999664</v>
      </c>
      <c r="BH95" s="338">
        <f ca="1">TabCalc[[#This Row],[M_V]]+TabCalc[[#This Row],[ValueBegin]]</f>
        <v>403387.19999999995</v>
      </c>
      <c r="BI95" s="161" cm="1">
        <f t="array" aca="1" ref="BI95" ca="1">SUMPRODUCT(_xlfn._xlws.FILTER(INDIRECT("TabReg["&amp;TabCalc[[#This Row],[Ticker]]&amp;"1]") * INDIRECT("TabReg["&amp;TabCalc[[#This Row],[Ticker]]&amp;"2]"), INDIRECT("TabReg["&amp;TabCalc[[#This Row],[Ticker]]&amp;"2]")&lt;0))*(1+Commission)*TabCalc[[#This Row],[Scale]]</f>
        <v>-412784.45639999997</v>
      </c>
      <c r="BJ95" s="161" cm="1">
        <f t="array" aca="1" ref="BJ95" ca="1">SUMPRODUCT(IF(INDIRECT("TabReg["&amp;TabCalc[[#This Row],[Ticker]]&amp;"2]") ="", 0, INDIRECT("TabReg["&amp;TabCalc[[#This Row],[Ticker]]&amp;"1]") * INDIRECT("TabReg["&amp;TabCalc[[#This Row],[Ticker]]&amp;"2]") ))*TabCalc[[#This Row],[Scale]]</f>
        <v>-411714</v>
      </c>
      <c r="BK95" s="161" cm="1">
        <f t="array" aca="1" ref="BK9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95" s="161">
        <f ca="1">TabCalc[[#This Row],[M_V]]+TabCalc[[#This Row],[EfCost]]</f>
        <v>403387.19999999995</v>
      </c>
      <c r="BM95" s="161">
        <f ca="1">IF(        OR( TabCalc[[#This Row],[GL]]&gt;ABS(TabCalc[[#This Row],[EfCost]]),TabCalc[[#This Row],[NAfter]]=0),             TabCalc[[#This Row],[GL]],     0)</f>
        <v>0</v>
      </c>
      <c r="BN95" s="161" cm="1">
        <f t="array" aca="1" ref="BN95" ca="1">SUMPRODUCT(_xlfn._xlws.FILTER(IF(INDIRECT("TabReg["&amp;TabCalc[[#This Row],[Ticker]]&amp;"2]") ="", 0, INDIRECT("TabReg["&amp;TabCalc[[#This Row],[Ticker]]&amp;"1]")  ),  INDIRECT("TabReg["&amp;TabCalc[[#This Row],[Ticker]]&amp;"2]") &lt; 0))</f>
        <v>77100</v>
      </c>
      <c r="BO95" s="161">
        <f ca="1">TabCalc[[#This Row],[SB]]-TabCalc[[#This Row],[Nbegin]]</f>
        <v>0</v>
      </c>
      <c r="BP95" s="161" cm="1">
        <f t="array" aca="1" ref="BP95" ca="1">IFERROR(SUMPRODUCT(_xlfn._xlws.FILTER(IF(INDIRECT("TabReg["&amp;TabCalc[[#This Row],[Ticker]]&amp;"2]") ="", 0, INDIRECT("TabReg["&amp;TabCalc[[#This Row],[Ticker]]&amp;"1]")  ),  INDIRECT("TabReg["&amp;TabCalc[[#This Row],[Ticker]]&amp;"2]") &gt; 0)),0)</f>
        <v>0</v>
      </c>
      <c r="BQ9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5" s="176" t="str">
        <f ca="1">IF(TabCalc[[#This Row],[EfCost]]+TabCalc[[#This Row],[M_V]]&lt;TabCalc[[#This Row],[NoT_GL]],"Pile","")</f>
        <v/>
      </c>
      <c r="BS95" s="167">
        <f ca="1">[1]!RTData[[#This Row],[Last trade time]]</f>
        <v>45954.651621133591</v>
      </c>
      <c r="BT95" s="177">
        <f ca="1">(TabCalc[[#This Row],[ValueBegin]]+(TabCalc[[#This Row],[M]]-TabCalc[[#This Row],[A]])*TabCalc[[#This Row],[NAfter]])*TabCalc[[#This Row],[Scale]]</f>
        <v>-55396966.799999997</v>
      </c>
      <c r="BU95" s="189" cm="1">
        <f t="array" ref="BU95">_xlfn.XLOOKUP(TabCalc[[#This Row],[Ticker]],TabReg[[#Headers],[AAPL]:[UnknownX28]],Reg!B$72:KF$72)+3</f>
        <v>4</v>
      </c>
      <c r="BV95" s="190" cm="1">
        <f t="array" ref="BV95">_xlfn.XLOOKUP(TabCalc[[#This Row],[Ticker]],TabReg[[#Headers],[AAPL]:[UnknownX28]],Reg!B$73:KF$73)+2</f>
        <v>279</v>
      </c>
      <c r="BW95" s="191">
        <f ca="1">IFERROR(MAX(TabCalc[[#This Row],[Max_SD]],TabCalc[[#This Row],[Max_PD]]),0)</f>
        <v>44706</v>
      </c>
      <c r="BX95" s="191" t="str" cm="1">
        <f t="array" ref="BX95">_xlfn.IFS(TabCalc[[#This Row],[L_TP]]&lt;0,"Purchase",TabCalc[[#This Row],[L_TP]]&gt;0,"Sale")</f>
        <v>Purchase</v>
      </c>
      <c r="BY95" s="190" cm="1">
        <f t="array" ref="BY95">INDEX(Reg!$A$1:$KF$73,TabCalc[[#This Row],[L_I1]],TabCalc[[#This Row],[L_I2]])</f>
        <v>77100</v>
      </c>
      <c r="BZ95" s="192" cm="1">
        <f t="array" ref="BZ95">INDEX(Reg!$A$1:$KF$73,TabCalc[[#This Row],[L_I1]],TabCalc[[#This Row],[L_I2]]+1)</f>
        <v>-5.34</v>
      </c>
      <c r="CA95" s="161">
        <f ca="1">TabCalc[[#This Row],[NAfter]]*(TabCalc[[#This Row],[M]]-IF(TabCalc[[#This Row],[E]]&gt;0,0,TabCalc[[#This Row],[A]]))</f>
        <v>-54985252.799999997</v>
      </c>
      <c r="CB95" s="167" cm="1">
        <f t="array" aca="1" ref="CB95" ca="1">IFERROR(MIN(_xlfn._xlws.FILTER(INDIRECT("TabReg["&amp;TabCalc[[#This Row],[Ticker]]&amp;"]"), INDIRECT("TabReg["&amp;TabCalc[[#This Row],[Ticker]]&amp;"2]")&gt;0)),0)</f>
        <v>0</v>
      </c>
      <c r="CC95" s="178" cm="1">
        <f t="array" aca="1" ref="CC95" ca="1">IFERROR(MIN(_xlfn._xlws.FILTER(INDIRECT("TabReg["&amp;TabCalc[[#This Row],[Ticker]]&amp;"1]"), INDIRECT("TabReg["&amp;TabCalc[[#This Row],[Ticker]]&amp;"2]")&gt;0)),0)</f>
        <v>0</v>
      </c>
      <c r="CD95" s="173" cm="1">
        <f t="array" aca="1" ref="CD95" ca="1">IFERROR(MIN(_xlfn._xlws.FILTER(INDIRECT("TabReg["&amp;TabCalc[[#This Row],[Ticker]]&amp;"2]"), INDIRECT("TabReg["&amp;TabCalc[[#This Row],[Ticker]]&amp;"2]")&gt;0)),0)</f>
        <v>0</v>
      </c>
      <c r="CE95" s="167" cm="1">
        <f t="array" aca="1" ref="CE95" ca="1">IFERROR(MAX(_xlfn._xlws.FILTER(INDIRECT("TabReg["&amp;TabCalc[[#This Row],[Ticker]]&amp;"]"), INDIRECT("TabReg["&amp;TabCalc[[#This Row],[Ticker]]&amp;"2]")&gt;0)),0)</f>
        <v>0</v>
      </c>
      <c r="CF95" s="178" cm="1">
        <f t="array" aca="1" ref="CF95" ca="1">IFERROR(MAX(_xlfn._xlws.FILTER(INDIRECT("TabReg["&amp;TabCalc[[#This Row],[Ticker]]&amp;"1]"), INDIRECT("TabReg["&amp;TabCalc[[#This Row],[Ticker]]&amp;"2]")&gt;0)),0)</f>
        <v>0</v>
      </c>
      <c r="CG95" s="173" cm="1">
        <f t="array" aca="1" ref="CG95" ca="1">IFERROR(MAX(_xlfn._xlws.FILTER(INDIRECT("TabReg["&amp;TabCalc[[#This Row],[Ticker]]&amp;"2]"), INDIRECT("TabReg["&amp;TabCalc[[#This Row],[Ticker]]&amp;"2]")&gt;0)),0)</f>
        <v>0</v>
      </c>
      <c r="CH95" s="167" cm="1">
        <f t="array" aca="1" ref="CH95" ca="1">MIN(_xlfn._xlws.FILTER(INDIRECT("TabReg["&amp;TabCalc[[#This Row],[Ticker]]&amp;"]"), INDIRECT("TabReg["&amp;TabCalc[[#This Row],[Ticker]]&amp;"2]")&lt;0))</f>
        <v>44706</v>
      </c>
      <c r="CI95" s="177" cm="1">
        <f t="array" aca="1" ref="CI95" ca="1">MIN(_xlfn._xlws.FILTER(INDIRECT("TabReg["&amp;TabCalc[[#This Row],[Ticker]]&amp;"1]"), INDIRECT("TabReg["&amp;TabCalc[[#This Row],[Ticker]]&amp;"2]")&lt;0))</f>
        <v>77100</v>
      </c>
      <c r="CJ95" s="173" cm="1">
        <f t="array" aca="1" ref="CJ95" ca="1">MIN(_xlfn._xlws.FILTER(INDIRECT("TabReg["&amp;TabCalc[[#This Row],[Ticker]]&amp;"2]"), INDIRECT("TabReg["&amp;TabCalc[[#This Row],[Ticker]]&amp;"2]")&lt;0))</f>
        <v>-5.34</v>
      </c>
      <c r="CK95" s="167" cm="1">
        <f t="array" aca="1" ref="CK95" ca="1">MAX(_xlfn._xlws.FILTER(INDIRECT("TabReg["&amp;TabCalc[[#This Row],[Ticker]]&amp;"]"), INDIRECT("TabReg["&amp;TabCalc[[#This Row],[Ticker]]&amp;"2]")&lt;0))</f>
        <v>44706</v>
      </c>
      <c r="CL95" s="177" cm="1">
        <f t="array" aca="1" ref="CL95" ca="1">MAX(_xlfn._xlws.FILTER(INDIRECT("TabReg["&amp;TabCalc[[#This Row],[Ticker]]&amp;"1]"), INDIRECT("TabReg["&amp;TabCalc[[#This Row],[Ticker]]&amp;"2]")&lt;0))</f>
        <v>77100</v>
      </c>
      <c r="CM95" s="173" cm="1">
        <f t="array" aca="1" ref="CM95" ca="1">MAX(_xlfn._xlws.FILTER(INDIRECT("TabReg["&amp;TabCalc[[#This Row],[Ticker]]&amp;"2]"), INDIRECT("TabReg["&amp;TabCalc[[#This Row],[Ticker]]&amp;"2]")&lt;0))</f>
        <v>-5.34</v>
      </c>
      <c r="CN95" s="167" cm="1">
        <f t="array" aca="1" ref="CN95" ca="1">IFERROR(_xlfn.XLOOKUP(TabCalc[[#This Row],[BS2P]],INDIRECT("TabReg["&amp;TabCalc[[#This Row],[Ticker]]&amp;"2]"),INDIRECT("TabReg["&amp;TabCalc[[#This Row],[Ticker]]&amp;"]")),0)</f>
        <v>0</v>
      </c>
      <c r="CO95" s="178" cm="1">
        <f t="array" aca="1" ref="CO95" ca="1">IFERROR(_xlfn.XLOOKUP(TabCalc[[#This Row],[BS2P]],INDIRECT("TabReg["&amp;TabCalc[[#This Row],[Ticker]]&amp;"2]"),INDIRECT("TabReg["&amp;TabCalc[[#This Row],[Ticker]]&amp;"1]")),0)</f>
        <v>0</v>
      </c>
      <c r="CP95" s="173">
        <f ca="1">_xlfn.MAXIFS(INDIRECT("TabReg["&amp;TabCalc[[#This Row],[Ticker]]&amp;"2]"), INDIRECT("TabReg["&amp;TabCalc[[#This Row],[Ticker]]&amp;"2]"), "&lt;" &amp; MAX(INDIRECT("TabReg["&amp;TabCalc[[#This Row],[Ticker]]&amp;"2]")))</f>
        <v>0</v>
      </c>
      <c r="CQ95" s="167" cm="1">
        <f t="array" aca="1" ref="CQ95" ca="1">IFERROR(_xlfn.XLOOKUP(TabCalc[[#This Row],[WB2P]],INDIRECT("TabReg["&amp;TabCalc[[#This Row],[Ticker]]&amp;"2]"),INDIRECT("TabReg["&amp;TabCalc[[#This Row],[Ticker]]&amp;"]")),0)</f>
        <v>0</v>
      </c>
      <c r="CR95" s="178" cm="1">
        <f t="array" aca="1" ref="CR95" ca="1">IFERROR(_xlfn.XLOOKUP(TabCalc[[#This Row],[WB2P]],INDIRECT("TabReg["&amp;TabCalc[[#This Row],[Ticker]]&amp;"2]"),INDIRECT("TabReg["&amp;TabCalc[[#This Row],[Ticker]]&amp;"1]")),0)</f>
        <v>0</v>
      </c>
      <c r="CS95" s="173">
        <f ca="1">_xlfn.MINIFS(INDIRECT("TabReg["&amp;TabCalc[[#This Row],[Ticker]]&amp;"2]"), INDIRECT("TabReg["&amp;TabCalc[[#This Row],[Ticker]]&amp;"2]"), "&gt;" &amp; MIN(INDIRECT("TabReg["&amp;TabCalc[[#This Row],[Ticker]]&amp;"2]")))</f>
        <v>0</v>
      </c>
      <c r="CT95" s="405">
        <f ca="1">IF(TabCalc[[#This Row],[M]]&lt;TabCalc[[#This Row],[L_Sp]],DesiredBuyGain/(TabCalc[[#This Row],[L_Sp]]-TabCalc[[#This Row],[M]]),0)</f>
        <v>0</v>
      </c>
      <c r="CU95" s="406">
        <f ca="1">IF(TabCalc[[#This Row],[ntoBuy]]*TabCalc[[#This Row],[M]]&lt;=0,0,TabCalc[[#This Row],[ntoBuy]]*TabCalc[[#This Row],[M]])</f>
        <v>0</v>
      </c>
      <c r="CV95" s="406">
        <f ca="1">IF(TabCalc[[#This Row],[M]]&gt;ABS(TabCalc[[#This Row],[L_Bp]]),MIN(TabCalc[[#This Row],[NAfter]],DesiredSaleGain/(TabCalc[[#This Row],[M]]+TabCalc[[#This Row],[L_Bp]])),0)/TabCalc[[#This Row],[Scale]]</f>
        <v>955.65749235474016</v>
      </c>
      <c r="CW95" s="407">
        <f ca="1">TabCalc[[#This Row],[ntoSell]]*TabCalc[[#This Row],[M]]</f>
        <v>10103.211009174312</v>
      </c>
      <c r="CX95" s="400">
        <f ca="1">_xlfn.LET(_xlpm.nToSell,IF(TabCalc[[#This Row],[M]]-TabCalc[[#This Row],[A]]&lt;=0,"",INT(DesiredSaleGain/(TabCalc[[#This Row],[M]]-IF(TabCalc[[#This Row],[E]]&gt;0,0,TabCalc[[#This Row],[A]])))),IF(_xlpm.nToSell&lt;=TabCalc[[#This Row],[NAfter]],_xlpm.nToSell,0))</f>
        <v>0</v>
      </c>
      <c r="CY95" s="338">
        <f ca="1">IFERROR(TabCalc[[#This Row],[NMA]]*TabCalc[[#This Row],[M]],"")</f>
        <v>0</v>
      </c>
      <c r="CZ95" s="337" cm="1">
        <f t="array" aca="1" ref="CZ95" ca="1">_xlfn.IFS(TabCalc[[#This Row],[M]]&gt;= TabCalc[[#This Row],[L_Sp]],(TabCalc[[#This Row],[M]]-TabCalc[[#This Row],[A]])*TabCalc[[#This Row],[NAfter]]*TabCalc[[#This Row],[Scale]],           TabCalc[[#This Row],[M]]&lt; TabCalc[[#This Row],[L_Sp]],(TabCalc[[#This Row],[M]]-TabCalc[[#This Row],[A]])*TabCalc[[#This Row],[NAfter]]*TabCalc[[#This Row],[Scale]],               TRUE,"")</f>
        <v>-54985252.799999997</v>
      </c>
      <c r="DA95" s="90">
        <f ca="1">IFERROR((TabCalc[[#This Row],[M]]+TabCalc[[#This Row],[L_Bp]])/ABS(TabCalc[[#This Row],[L_Bp]])/(TODAY()-TabCalc[[#This Row],[L_Bdate]])*360,"")</f>
        <v>0.28217528089887639</v>
      </c>
      <c r="DB95" s="312">
        <f ca="1">MEDIAN(DataShift!F794:Z794)</f>
        <v>0</v>
      </c>
      <c r="DC95" s="312" t="str" cm="1">
        <f t="array" aca="1" ref="DC9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95" s="88" t="s">
        <v>1557</v>
      </c>
      <c r="DN95" s="81">
        <v>77100</v>
      </c>
      <c r="DO95" s="317">
        <v>-5.34</v>
      </c>
    </row>
    <row r="96" spans="1:119" ht="23" thickBot="1">
      <c r="A96" s="120" t="e">
        <f>_xlfn.XLOOKUP(TabCalc[[#This Row],[Ticker]],[1]!RTData[Ticker symbol],[1]!RTData[Currency])</f>
        <v>#VALUE!</v>
      </c>
      <c r="B96" s="121" t="e">
        <f>IF(TabCalc[[#This Row],[Cur]]="GBP",0.01,1)</f>
        <v>#VALUE!</v>
      </c>
      <c r="C96" s="82" t="e">
        <f>_xlfn.XLOOKUP(TabCalc[[#This Row],[Ticker]],DM$3:DM$96,DN$3:DN$96)</f>
        <v>#VALUE!</v>
      </c>
      <c r="D96" s="1254" t="e">
        <f>_xlfn.XLOOKUP(TabCalc[[#This Row],[Ticker]],DM$3:DM$96,DO$3:DO$96)</f>
        <v>#VALUE!</v>
      </c>
      <c r="E96" s="121" t="e">
        <f t="shared" si="4"/>
        <v>#VALUE!</v>
      </c>
      <c r="F96" s="82" t="e">
        <f ca="1">TabCalc[[#This Row],[NAfter]]*TabCalc[[#This Row],[M]]*TabCalc[[#This Row],[Scale]]</f>
        <v>#VALUE!</v>
      </c>
      <c r="G96" s="82" t="e">
        <f ca="1">IFERROR(TabCalc[[#This Row],[SB]]-TabCalc[[#This Row],[SST]],TabCalc[[#This Row],[SB]])</f>
        <v>#VALUE!</v>
      </c>
      <c r="H96" s="535" t="e">
        <f>[1]!RTData[[#This Row],[Ticker symbol]]</f>
        <v>#VALUE!</v>
      </c>
      <c r="I96" s="385" t="e">
        <f>[1]!RTData[[#This Row],[M-Price]]</f>
        <v>#VALUE!</v>
      </c>
      <c r="J96" s="384">
        <v>14.337085499999999</v>
      </c>
      <c r="K96" s="383" t="e">
        <f>[1]!RTData[[#This Row],[1YT]]</f>
        <v>#VALUE!</v>
      </c>
      <c r="L96" s="384" t="e">
        <f ca="1">IF(OR(TabCalc[[#This Row],[NAfter]]=0,TabCalc[[#This Row],[EfCost]]&gt;0),0,TabCalc[[#This Row],[EfCost]]/TabCalc[[#This Row],[NAfter]]/TabCalc[[#This Row],[Scale]])</f>
        <v>#VALUE!</v>
      </c>
      <c r="M96" s="744" t="e">
        <f>[1]!RTData[[#This Row],[Change%]]</f>
        <v>#VALUE!</v>
      </c>
      <c r="N96" s="1172">
        <v>0</v>
      </c>
      <c r="O96" s="966">
        <f>TabCalc[[#This Row],[Up20]]-1+TabCalc[[#This Row],[Up20]]</f>
        <v>-1</v>
      </c>
      <c r="P96" s="966">
        <f>TabCalc[[#This Row],[Up20]]-TabCalc[[#This Row],[Up150]]</f>
        <v>0</v>
      </c>
      <c r="Q96" s="966">
        <v>0</v>
      </c>
      <c r="R96" s="966">
        <f>TabCalc[[#This Row],[Up150]]-1+TabCalc[[#This Row],[Up150]]</f>
        <v>-1</v>
      </c>
      <c r="S96" s="966">
        <f ca="1">IFERROR(SUMPRODUCT(DataShift!F1588:Z1588,DataShift!AB795:AV795)/SQRT(SUMPRODUCT(DataShift!F1588:Z1588,DataShift!F1588:Z1588)*SUMPRODUCT(DataShift!AB795:AV795,DataShift!AB795:AV795)),0)</f>
        <v>-0.40992700040968449</v>
      </c>
      <c r="T96" s="966">
        <f ca="1">IFERROR(SUMPRODUCT(DataShift!F1588:Z1588,DataShift!F795:Z795)/SQRT(SUMPRODUCT(DataShift!F1588:Z1588,DataShift!F1588:Z1588)*SUMPRODUCT(DataShift!F795:Z795,DataShift!F795:Z795)),0)</f>
        <v>6.0432823900413261E-2</v>
      </c>
      <c r="U96" s="1107">
        <v>18000</v>
      </c>
      <c r="V96" s="1107">
        <v>0</v>
      </c>
      <c r="W96" s="1107">
        <v>0</v>
      </c>
      <c r="X96" s="966" t="e">
        <f ca="1">IF(TabCalc[[#This Row],[EfCost]]+TabCalc[[#This Row],[M_V]]&lt;TabCalc[[#This Row],[NoT_GL]],"Pile","")</f>
        <v>#VALUE!</v>
      </c>
      <c r="Y96" s="538"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#VALUE!</v>
      </c>
      <c r="Z96" s="213" t="e">
        <f ca="1">MIN(TabCalc[[#This Row],[L_Bn]],TabCalc[[#This Row],[NAfter]])*(TabCalc[[#This Row],[M]]+TabCalc[[#This Row],[L_Bp]])*TabCalc[[#This Row],[Scale]]</f>
        <v>#VALUE!</v>
      </c>
      <c r="AA96" s="211" t="e" cm="1">
        <f t="array" aca="1" ref="AA96" ca="1">_xlfn.XLOOKUP(TabCalc[[#This Row],[L_Bp]],INDIRECT("TabReg["&amp;TabCalc[[#This Row],[Ticker]]&amp;"2]"),INDIRECT("TabReg["&amp;TabCalc[[#This Row],[Ticker]]&amp;"]"))</f>
        <v>#VALUE!</v>
      </c>
      <c r="AB96" s="212" t="e" cm="1">
        <f t="array" aca="1" ref="AB96" ca="1">_xlfn.XLOOKUP(TabCalc[[#This Row],[L_Bp]],INDIRECT("TabReg["&amp;TabCalc[[#This Row],[Ticker]]&amp;"2]"),INDIRECT("TabReg["&amp;TabCalc[[#This Row],[Ticker]]&amp;"1]"))</f>
        <v>#VALUE!</v>
      </c>
      <c r="AC96" s="196" t="str" cm="1">
        <f t="array" aca="1" ref="AC96" ca="1">IFERROR(INDEX(INDIRECT("TabReg["&amp;TabCalc[[#This Row],[Ticker]]&amp;"2]"),    _xlfn.XMATCH(    MAX(    _xlfn._xlws.FILTER(INDIRECT("TabReg["&amp;TabCalc[[#This Row],[Ticker]]&amp;"]"), INDIRECT("TabReg["&amp;TabCalc[[#This Row],[Ticker]]&amp;"2]")&lt;0)     ), INDIRECT("TabReg["&amp;TabCalc[[#This Row],[Ticker]]&amp;"]"),      0)), "")</f>
        <v/>
      </c>
      <c r="AD96" s="213" t="str">
        <f ca="1">IFERROR(MIN(TabCalc[[#This Row],[L_B1n]],TabCalc[[#This Row],[NAfter]])*(TabCalc[[#This Row],[M]]+TabCalc[[#This Row],[L_B1p]])*TabCalc[[#This Row],[Scale]],"")</f>
        <v/>
      </c>
      <c r="AE96" s="211" t="str" cm="1">
        <f t="array" aca="1" ref="AE9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6" s="212" cm="1">
        <f t="array" aca="1" ref="AF96" ca="1">IFERROR(_xlfn.XLOOKUP(TabCalc[[#This Row],[L_B1D]],INDIRECT("TabReg["&amp;TabCalc[[#This Row],[Ticker]]&amp;"]"),INDIRECT("TabReg["&amp;TabCalc[[#This Row],[Ticker]]&amp;"1]")),0)</f>
        <v>0</v>
      </c>
      <c r="AG96" s="196" cm="1">
        <f t="array" aca="1" ref="AG96" ca="1">IFERROR(_xlfn.XLOOKUP(TabCalc[[#This Row],[L_B1D]],INDIRECT("TabReg["&amp;TabCalc[[#This Row],[Ticker]]&amp;"]"),INDIRECT("TabReg["&amp;TabCalc[[#This Row],[Ticker]]&amp;"2]")),0)</f>
        <v>0</v>
      </c>
      <c r="AH96" s="302" t="str">
        <f ca="1">IFERROR(TabCalc[[#This Row],[L_Sn]]*(TabCalc[[#This Row],[L_Sp]]-TabCalc[[#This Row],[M]])*TabCalc[[#This Row],[Scale]],"")</f>
        <v/>
      </c>
      <c r="AI96" s="211" cm="1">
        <f t="array" aca="1" ref="AI96" ca="1">IFERROR(_xlfn.XLOOKUP(TabCalc[[#This Row],[L_Sp]],INDIRECT("TabReg["&amp;TabCalc[[#This Row],[Ticker]]&amp;"2]"),INDIRECT("TabReg["&amp;TabCalc[[#This Row],[Ticker]]&amp;"]")),0)</f>
        <v>0</v>
      </c>
      <c r="AJ96" s="212" cm="1">
        <f t="array" aca="1" ref="AJ96" ca="1">IFERROR(_xlfn.XLOOKUP(TabCalc[[#This Row],[L_Sp]],INDIRECT("TabReg["&amp;TabCalc[[#This Row],[Ticker]]&amp;"2]"),INDIRECT("TabReg["&amp;TabCalc[[#This Row],[Ticker]]&amp;"1]")),0)</f>
        <v>0</v>
      </c>
      <c r="AK96" s="196" cm="1">
        <f t="array" aca="1" ref="AK96" ca="1">IFERROR(INDEX(INDIRECT("TabReg["&amp;TabCalc[[#This Row],[Ticker]]&amp;"2]"), _xlfn.XMATCH(MAX(_xlfn._xlws.FILTER(INDIRECT("TabReg["&amp;TabCalc[[#This Row],[Ticker]]&amp;"]"), INDIRECT("TabReg["&amp;TabCalc[[#This Row],[Ticker]]&amp;"2]")&gt;0)), INDIRECT("TabReg["&amp;TabCalc[[#This Row],[Ticker]]&amp;"]"), 0)), 0)</f>
        <v>0</v>
      </c>
      <c r="AL96" s="214">
        <f ca="1">IFERROR(TabCalc[[#This Row],[L_S1n]]*(TabCalc[[#This Row],[L_S1p]]-TabCalc[[#This Row],[M]])*TabCalc[[#This Row],[Scale]],0)</f>
        <v>0</v>
      </c>
      <c r="AM96" s="211" t="str" cm="1">
        <f t="array" aca="1" ref="AM9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6" s="212" cm="1">
        <f t="array" aca="1" ref="AN96" ca="1">IFERROR(_xlfn.XLOOKUP(TabCalc[[#This Row],[L_S1D]],INDIRECT("TabReg["&amp;TabCalc[[#This Row],[Ticker]]&amp;"]"),INDIRECT("TabReg["&amp;TabCalc[[#This Row],[Ticker]]&amp;"1]")),0)</f>
        <v>0</v>
      </c>
      <c r="AO96" s="1074" cm="1">
        <f t="array" aca="1" ref="AO96" ca="1">IFERROR(_xlfn.XLOOKUP(TabCalc[[#This Row],[L_S1D]],INDIRECT("TabReg["&amp;TabCalc[[#This Row],[Ticker]]&amp;"]"),INDIRECT("TabReg["&amp;TabCalc[[#This Row],[Ticker]]&amp;"2]")),0)</f>
        <v>0</v>
      </c>
      <c r="AP96" s="336" t="e">
        <f ca="1">_xlfn.LET(_xlpm.MVOpen,[1]!RTData[[#This Row],[Open]]*TabCalc[[#This Row],[NAfter]],_xlpm.MVNow,TabCalc[[#This Row],[M]]*TabCalc[[#This Row],[NAfter]],_xlpm.MVNow-_xlpm.MVOpen)*TabCalc[[#This Row],[Scale]]</f>
        <v>#VALUE!</v>
      </c>
      <c r="AQ96" s="336">
        <f ca="1">_xlfn.LET(_xlpm.MVToday,DataShift!AV596,         _xlpm.MVY,DataShift!AU598,        _xlpm.MVYY, DataShift!AT598,                                IF(_xlpm.MVToday=_xlpm.MVY,_xlpm.MVY-_xlpm.MVYY,_xlpm.MVToday-_xlpm.MVY))</f>
        <v>450</v>
      </c>
      <c r="AR96" s="336">
        <f ca="1">_xlfn.LET(_xlpm.MVToday,DataShift!AV596,         _xlpm.MVY,DataShift!AU598,        _xlpm.MVYY, DataShift!AT598,         _xlpm.MVYYY, DataShift!AS598,                      IF(_xlpm.MVToday=_xlpm.MVY,      _xlpm.MVYY-_xlpm.MVYYY,          _xlpm.MVY-_xlpm.MVYY))</f>
        <v>1440</v>
      </c>
      <c r="AS96" s="1078" t="e">
        <f>TabCalc[[#This Row],[Y]]/TabCalc[[#This Row],[M]]</f>
        <v>#VALUE!</v>
      </c>
      <c r="AT96" s="299" t="str" cm="1">
        <f t="array" aca="1" ref="AT96" ca="1">IFERROR(_xlfn.IFS(          TabCalc[[#This Row],[E]]&gt;0, "Free Trade",      TabCalc[[#This Row],[A]]&lt;MIN(TabCalc[[#This Row],[L_Sp]],TabCalc[[#This Row],[M]]), "Buy",            TabCalc[[#This Row],[M]]&lt;TabCalc[[#This Row],[L_Sp]],       "Refill",       TabCalc[[#This Row],[M]]&gt;TabCalc[[#This Row],[L_Sp]],"S_more"),"")</f>
        <v/>
      </c>
      <c r="AU96" s="299" t="e">
        <f ca="1">IF(           AND(TabCalc[[#This Row],[E]]&lt;=0,          TabCalc[[#This Row],[A]]&gt;MIN(TabCalc[[#This Row],[M]],TabCalc[[#This Row],[L_Sp]]),             TabCalc[[#This Row],[L_Sp]]&lt;=TabCalc[[#This Row],[M]]),                       "S_more","")</f>
        <v>#VALUE!</v>
      </c>
      <c r="AV96" s="82" t="str" cm="1">
        <f t="array" aca="1" ref="AV96" ca="1">IFERROR(_xlfn.IFS(TabCalc[[#This Row],[E]]&gt;0,"Free trade",                 TabCalc[[#This Row],[A]]&lt;MAX(ABS(TabCalc[[#This Row],[L_Bp]]),TabCalc[[#This Row],[A]]),"Sell",             TabCalc[[#This Row],[M]]&gt;ABS(TabCalc[[#This Row],[L_Bp]]),"Resell",             TabCalc[[#This Row],[M]]&lt;ABS(TabCalc[[#This Row],[L_Bp]]),"B_more"),"")</f>
        <v/>
      </c>
      <c r="AW96" s="82" t="e">
        <f ca="1">TabCalc[[#This Row],[NAfter]]-TabCalc[[#This Row],[Nbegin]]</f>
        <v>#VALUE!</v>
      </c>
      <c r="AX96" s="307" t="str">
        <f>IFERROR((TabCalc[[#This Row],[M]]-TabCalc[[#This Row],[Y]])*(TabCalc[[#This Row],[M]]-TabCalc[[#This Row],[Y]])*(TabCalc[[#This Row],[M]]-TabCalc[[#This Row],[Y]])/(TabCalc[[#This Row],[Y]]*TabCalc[[#This Row],[M]]),"")</f>
        <v/>
      </c>
      <c r="AY96" s="82" t="e">
        <f t="shared" ca="1" si="5"/>
        <v>#VALUE!</v>
      </c>
      <c r="AZ96" s="90" t="e">
        <f>[1]!RTData[[#This Row],[V/VA]]</f>
        <v>#VALUE!</v>
      </c>
      <c r="BA96" s="90" t="str" cm="1">
        <f t="array" ref="BA96">IFERROR(_xlfn.IFS(TabCalc[[#This Row],[Cur]]="USD",Timer!F$27,TabCalc[[#This Row],[Cur]]="EUR",Timer!F$18,TabCalc[[#This Row],[Cur]]="GBP",Timer!F$12,TabCalc[[#This Row],[Cur]]="CAD",Timer!F$27,TabCalc[[#This Row],[Cur]]="JPY",Timer!F$31,TabCalc[[#This Row],[Cur]]="CHF",Timer!F$18),"Timing")</f>
        <v>Timing</v>
      </c>
      <c r="BB96" s="90" t="e">
        <f>IF(ISNUMBER(TabCalc[[#This Row],[TimeEX]]),TabCalc[[#This Row],[V/VA]]/TabCalc[[#This Row],[TimeEX]],TabCalc[[#This Row],[V/VA]])</f>
        <v>#VALUE!</v>
      </c>
      <c r="BC96" s="87" t="e" cm="1">
        <f t="array" ref="BC96">INDEX(TabReg[], 1, _xlfn.XMATCH(TabCalc[[#This Row],[Ticker]]&amp;1, TabReg[#Headers], 0))</f>
        <v>#VALUE!</v>
      </c>
      <c r="BD96" s="161" t="e">
        <f>TabCalc[[#This Row],[Nbegin]]*TabCalc[[#This Row],[M]]*TabCalc[[#This Row],[Scale]]+TabCalc[[#This Row],[ValueBegin]]</f>
        <v>#VALUE!</v>
      </c>
      <c r="BE96" s="339" t="e" cm="1">
        <f t="array" aca="1" ref="BE96" ca="1">_xlfn.IFS(TabCalc[[#This Row],[Cost+Gain]]&gt;0,"Free",             TabCalc[[#This Row],[GL]]&gt;0,"Gainer",                TRUE,"Looser")</f>
        <v>#VALUE!</v>
      </c>
      <c r="BF96" s="161" t="e">
        <f ca="1">TabCalc[[#This Row],[Tot_Paid]]-TabCalc[[#This Row],[ValueBegin]]</f>
        <v>#VALUE!</v>
      </c>
      <c r="BG96" s="340" t="e">
        <f ca="1">IF(TabCalc[[#This Row],[EfCost]]&gt;TabCalc[[#This Row],[ValueBegin]],       0,        TabCalc[[#This Row],[EfCost]]-TabCalc[[#This Row],[ValueBegin]]*(1+Commission))</f>
        <v>#VALUE!</v>
      </c>
      <c r="BH96" s="341" t="e">
        <f ca="1">TabCalc[[#This Row],[M_V]]+TabCalc[[#This Row],[ValueBegin]]</f>
        <v>#VALUE!</v>
      </c>
      <c r="BI96" s="161" t="e" cm="1">
        <f t="array" aca="1" ref="BI96" ca="1">SUMPRODUCT(_xlfn._xlws.FILTER(INDIRECT("TabReg["&amp;TabCalc[[#This Row],[Ticker]]&amp;"1]") * INDIRECT("TabReg["&amp;TabCalc[[#This Row],[Ticker]]&amp;"2]"), INDIRECT("TabReg["&amp;TabCalc[[#This Row],[Ticker]]&amp;"2]")&lt;0))*(1+Commission)*TabCalc[[#This Row],[Scale]]</f>
        <v>#VALUE!</v>
      </c>
      <c r="BJ96" s="161" t="e" cm="1">
        <f t="array" aca="1" ref="BJ96" ca="1">SUMPRODUCT(IF(INDIRECT("TabReg["&amp;TabCalc[[#This Row],[Ticker]]&amp;"2]") ="", 0, INDIRECT("TabReg["&amp;TabCalc[[#This Row],[Ticker]]&amp;"1]") * INDIRECT("TabReg["&amp;TabCalc[[#This Row],[Ticker]]&amp;"2]") ))*TabCalc[[#This Row],[Scale]]</f>
        <v>#VALUE!</v>
      </c>
      <c r="BK96" s="161" cm="1">
        <f t="array" aca="1" ref="BK9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96" s="161" t="e">
        <f ca="1">TabCalc[[#This Row],[M_V]]+TabCalc[[#This Row],[EfCost]]</f>
        <v>#VALUE!</v>
      </c>
      <c r="BM96" s="161" t="e">
        <f ca="1">IF(        OR( TabCalc[[#This Row],[GL]]&gt;ABS(TabCalc[[#This Row],[EfCost]]),TabCalc[[#This Row],[NAfter]]=0),             TabCalc[[#This Row],[GL]],     0)</f>
        <v>#VALUE!</v>
      </c>
      <c r="BN96" s="161" t="e" cm="1">
        <f t="array" aca="1" ref="BN96" ca="1">SUMPRODUCT(_xlfn._xlws.FILTER(IF(INDIRECT("TabReg["&amp;TabCalc[[#This Row],[Ticker]]&amp;"2]") ="", 0, INDIRECT("TabReg["&amp;TabCalc[[#This Row],[Ticker]]&amp;"1]")  ),  INDIRECT("TabReg["&amp;TabCalc[[#This Row],[Ticker]]&amp;"2]") &lt; 0))</f>
        <v>#VALUE!</v>
      </c>
      <c r="BO96" s="161" t="e">
        <f ca="1">TabCalc[[#This Row],[SB]]-TabCalc[[#This Row],[Nbegin]]</f>
        <v>#VALUE!</v>
      </c>
      <c r="BP96" s="161" cm="1">
        <f t="array" aca="1" ref="BP96" ca="1">IFERROR(SUMPRODUCT(_xlfn._xlws.FILTER(IF(INDIRECT("TabReg["&amp;TabCalc[[#This Row],[Ticker]]&amp;"2]") ="", 0, INDIRECT("TabReg["&amp;TabCalc[[#This Row],[Ticker]]&amp;"1]")  ),  INDIRECT("TabReg["&amp;TabCalc[[#This Row],[Ticker]]&amp;"2]") &gt; 0)),0)</f>
        <v>0</v>
      </c>
      <c r="BQ96"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6" s="176" t="e">
        <f ca="1">IF(TabCalc[[#This Row],[EfCost]]+TabCalc[[#This Row],[M_V]]&lt;TabCalc[[#This Row],[NoT_GL]],"Pile","")</f>
        <v>#VALUE!</v>
      </c>
      <c r="BS96" s="167" t="e">
        <f>[1]!RTData[[#This Row],[Last trade time]]</f>
        <v>#VALUE!</v>
      </c>
      <c r="BT96" s="177" t="e">
        <f ca="1">(TabCalc[[#This Row],[ValueBegin]]+(TabCalc[[#This Row],[M]]-TabCalc[[#This Row],[A]])*TabCalc[[#This Row],[NAfter]])*TabCalc[[#This Row],[Scale]]</f>
        <v>#VALUE!</v>
      </c>
      <c r="BU96" s="193" t="e" cm="1">
        <f t="array" ref="BU96">_xlfn.XLOOKUP(TabCalc[[#This Row],[Ticker]],TabReg[[#Headers],[AAPL]:[UnknownX28]],Reg!B$72:KF$72)+3</f>
        <v>#VALUE!</v>
      </c>
      <c r="BV96" s="194" t="e" cm="1">
        <f t="array" ref="BV96">_xlfn.XLOOKUP(TabCalc[[#This Row],[Ticker]],TabReg[[#Headers],[AAPL]:[UnknownX28]],Reg!B$73:KF$73)+2</f>
        <v>#VALUE!</v>
      </c>
      <c r="BW96" s="195">
        <f ca="1">IFERROR(MAX(TabCalc[[#This Row],[Max_SD]],TabCalc[[#This Row],[Max_PD]]),0)</f>
        <v>0</v>
      </c>
      <c r="BX96" s="195" t="e" cm="1">
        <f t="array" ref="BX96">_xlfn.IFS(TabCalc[[#This Row],[L_TP]]&lt;0,"Purchase",TabCalc[[#This Row],[L_TP]]&gt;0,"Sale")</f>
        <v>#VALUE!</v>
      </c>
      <c r="BY96" s="194" t="e" cm="1">
        <f t="array" ref="BY96">INDEX(Reg!$A$1:$KF$73,TabCalc[[#This Row],[L_I1]],TabCalc[[#This Row],[L_I2]])</f>
        <v>#VALUE!</v>
      </c>
      <c r="BZ96" s="196" t="e" cm="1">
        <f t="array" ref="BZ96">INDEX(Reg!$A$1:$KF$73,TabCalc[[#This Row],[L_I1]],TabCalc[[#This Row],[L_I2]]+1)</f>
        <v>#VALUE!</v>
      </c>
      <c r="CA96" s="161" t="e">
        <f ca="1">TabCalc[[#This Row],[NAfter]]*(TabCalc[[#This Row],[M]]-IF(TabCalc[[#This Row],[E]]&gt;0,0,TabCalc[[#This Row],[A]]))</f>
        <v>#VALUE!</v>
      </c>
      <c r="CB96" s="167" cm="1">
        <f t="array" aca="1" ref="CB96" ca="1">IFERROR(MIN(_xlfn._xlws.FILTER(INDIRECT("TabReg["&amp;TabCalc[[#This Row],[Ticker]]&amp;"]"), INDIRECT("TabReg["&amp;TabCalc[[#This Row],[Ticker]]&amp;"2]")&gt;0)),0)</f>
        <v>0</v>
      </c>
      <c r="CC96" s="178" cm="1">
        <f t="array" aca="1" ref="CC96" ca="1">IFERROR(MIN(_xlfn._xlws.FILTER(INDIRECT("TabReg["&amp;TabCalc[[#This Row],[Ticker]]&amp;"1]"), INDIRECT("TabReg["&amp;TabCalc[[#This Row],[Ticker]]&amp;"2]")&gt;0)),0)</f>
        <v>0</v>
      </c>
      <c r="CD96" s="173" cm="1">
        <f t="array" aca="1" ref="CD96" ca="1">IFERROR(MIN(_xlfn._xlws.FILTER(INDIRECT("TabReg["&amp;TabCalc[[#This Row],[Ticker]]&amp;"2]"), INDIRECT("TabReg["&amp;TabCalc[[#This Row],[Ticker]]&amp;"2]")&gt;0)),0)</f>
        <v>0</v>
      </c>
      <c r="CE96" s="167" cm="1">
        <f t="array" aca="1" ref="CE96" ca="1">IFERROR(MAX(_xlfn._xlws.FILTER(INDIRECT("TabReg["&amp;TabCalc[[#This Row],[Ticker]]&amp;"]"), INDIRECT("TabReg["&amp;TabCalc[[#This Row],[Ticker]]&amp;"2]")&gt;0)),0)</f>
        <v>0</v>
      </c>
      <c r="CF96" s="178" cm="1">
        <f t="array" aca="1" ref="CF96" ca="1">IFERROR(MAX(_xlfn._xlws.FILTER(INDIRECT("TabReg["&amp;TabCalc[[#This Row],[Ticker]]&amp;"1]"), INDIRECT("TabReg["&amp;TabCalc[[#This Row],[Ticker]]&amp;"2]")&gt;0)),0)</f>
        <v>0</v>
      </c>
      <c r="CG96" s="173" cm="1">
        <f t="array" aca="1" ref="CG96" ca="1">IFERROR(MAX(_xlfn._xlws.FILTER(INDIRECT("TabReg["&amp;TabCalc[[#This Row],[Ticker]]&amp;"2]"), INDIRECT("TabReg["&amp;TabCalc[[#This Row],[Ticker]]&amp;"2]")&gt;0)),0)</f>
        <v>0</v>
      </c>
      <c r="CH96" s="167" t="e" cm="1">
        <f t="array" aca="1" ref="CH96" ca="1">MIN(_xlfn._xlws.FILTER(INDIRECT("TabReg["&amp;TabCalc[[#This Row],[Ticker]]&amp;"]"), INDIRECT("TabReg["&amp;TabCalc[[#This Row],[Ticker]]&amp;"2]")&lt;0))</f>
        <v>#VALUE!</v>
      </c>
      <c r="CI96" s="177" t="e" cm="1">
        <f t="array" aca="1" ref="CI96" ca="1">MIN(_xlfn._xlws.FILTER(INDIRECT("TabReg["&amp;TabCalc[[#This Row],[Ticker]]&amp;"1]"), INDIRECT("TabReg["&amp;TabCalc[[#This Row],[Ticker]]&amp;"2]")&lt;0))</f>
        <v>#VALUE!</v>
      </c>
      <c r="CJ96" s="173" t="e" cm="1">
        <f t="array" aca="1" ref="CJ96" ca="1">MIN(_xlfn._xlws.FILTER(INDIRECT("TabReg["&amp;TabCalc[[#This Row],[Ticker]]&amp;"2]"), INDIRECT("TabReg["&amp;TabCalc[[#This Row],[Ticker]]&amp;"2]")&lt;0))</f>
        <v>#VALUE!</v>
      </c>
      <c r="CK96" s="167" t="e" cm="1">
        <f t="array" aca="1" ref="CK96" ca="1">MAX(_xlfn._xlws.FILTER(INDIRECT("TabReg["&amp;TabCalc[[#This Row],[Ticker]]&amp;"]"), INDIRECT("TabReg["&amp;TabCalc[[#This Row],[Ticker]]&amp;"2]")&lt;0))</f>
        <v>#VALUE!</v>
      </c>
      <c r="CL96" s="177" t="e" cm="1">
        <f t="array" aca="1" ref="CL96" ca="1">MAX(_xlfn._xlws.FILTER(INDIRECT("TabReg["&amp;TabCalc[[#This Row],[Ticker]]&amp;"1]"), INDIRECT("TabReg["&amp;TabCalc[[#This Row],[Ticker]]&amp;"2]")&lt;0))</f>
        <v>#VALUE!</v>
      </c>
      <c r="CM96" s="173" t="e" cm="1">
        <f t="array" aca="1" ref="CM96" ca="1">MAX(_xlfn._xlws.FILTER(INDIRECT("TabReg["&amp;TabCalc[[#This Row],[Ticker]]&amp;"2]"), INDIRECT("TabReg["&amp;TabCalc[[#This Row],[Ticker]]&amp;"2]")&lt;0))</f>
        <v>#VALUE!</v>
      </c>
      <c r="CN96" s="167" cm="1">
        <f t="array" aca="1" ref="CN96" ca="1">IFERROR(_xlfn.XLOOKUP(TabCalc[[#This Row],[BS2P]],INDIRECT("TabReg["&amp;TabCalc[[#This Row],[Ticker]]&amp;"2]"),INDIRECT("TabReg["&amp;TabCalc[[#This Row],[Ticker]]&amp;"]")),0)</f>
        <v>0</v>
      </c>
      <c r="CO96" s="178" cm="1">
        <f t="array" aca="1" ref="CO96" ca="1">IFERROR(_xlfn.XLOOKUP(TabCalc[[#This Row],[BS2P]],INDIRECT("TabReg["&amp;TabCalc[[#This Row],[Ticker]]&amp;"2]"),INDIRECT("TabReg["&amp;TabCalc[[#This Row],[Ticker]]&amp;"1]")),0)</f>
        <v>0</v>
      </c>
      <c r="CP96" s="173" t="e">
        <f ca="1">_xlfn.MAXIFS(INDIRECT("TabReg["&amp;TabCalc[[#This Row],[Ticker]]&amp;"2]"), INDIRECT("TabReg["&amp;TabCalc[[#This Row],[Ticker]]&amp;"2]"), "&lt;" &amp; MAX(INDIRECT("TabReg["&amp;TabCalc[[#This Row],[Ticker]]&amp;"2]")))</f>
        <v>#VALUE!</v>
      </c>
      <c r="CQ96" s="167" cm="1">
        <f t="array" aca="1" ref="CQ96" ca="1">IFERROR(_xlfn.XLOOKUP(TabCalc[[#This Row],[WB2P]],INDIRECT("TabReg["&amp;TabCalc[[#This Row],[Ticker]]&amp;"2]"),INDIRECT("TabReg["&amp;TabCalc[[#This Row],[Ticker]]&amp;"]")),0)</f>
        <v>0</v>
      </c>
      <c r="CR96" s="178" cm="1">
        <f t="array" aca="1" ref="CR96" ca="1">IFERROR(_xlfn.XLOOKUP(TabCalc[[#This Row],[WB2P]],INDIRECT("TabReg["&amp;TabCalc[[#This Row],[Ticker]]&amp;"2]"),INDIRECT("TabReg["&amp;TabCalc[[#This Row],[Ticker]]&amp;"1]")),0)</f>
        <v>0</v>
      </c>
      <c r="CS96" s="173" t="e">
        <f ca="1">_xlfn.MINIFS(INDIRECT("TabReg["&amp;TabCalc[[#This Row],[Ticker]]&amp;"2]"), INDIRECT("TabReg["&amp;TabCalc[[#This Row],[Ticker]]&amp;"2]"), "&gt;" &amp; MIN(INDIRECT("TabReg["&amp;TabCalc[[#This Row],[Ticker]]&amp;"2]")))</f>
        <v>#VALUE!</v>
      </c>
      <c r="CT96" s="405" t="e">
        <f ca="1">IF(TabCalc[[#This Row],[M]]&lt;TabCalc[[#This Row],[L_Sp]],DesiredBuyGain/(TabCalc[[#This Row],[L_Sp]]-TabCalc[[#This Row],[M]]),0)</f>
        <v>#VALUE!</v>
      </c>
      <c r="CU96" s="406" t="e">
        <f ca="1">IF(TabCalc[[#This Row],[ntoBuy]]*TabCalc[[#This Row],[M]]&lt;=0,0,TabCalc[[#This Row],[ntoBuy]]*TabCalc[[#This Row],[M]])</f>
        <v>#VALUE!</v>
      </c>
      <c r="CV96" s="406" t="e">
        <f ca="1">IF(TabCalc[[#This Row],[M]]&gt;ABS(TabCalc[[#This Row],[L_Bp]]),MIN(TabCalc[[#This Row],[NAfter]],DesiredSaleGain/(TabCalc[[#This Row],[M]]+TabCalc[[#This Row],[L_Bp]])),0)/TabCalc[[#This Row],[Scale]]</f>
        <v>#VALUE!</v>
      </c>
      <c r="CW96" s="407" t="e">
        <f ca="1">TabCalc[[#This Row],[ntoSell]]*TabCalc[[#This Row],[M]]</f>
        <v>#VALUE!</v>
      </c>
      <c r="CX96" s="401" t="e">
        <f ca="1">_xlfn.LET(_xlpm.nToSell,IF(TabCalc[[#This Row],[M]]-TabCalc[[#This Row],[A]]&lt;=0,"",INT(DesiredSaleGain/(TabCalc[[#This Row],[M]]-IF(TabCalc[[#This Row],[E]]&gt;0,0,TabCalc[[#This Row],[A]])))),IF(_xlpm.nToSell&lt;=TabCalc[[#This Row],[NAfter]],_xlpm.nToSell,0))</f>
        <v>#VALUE!</v>
      </c>
      <c r="CY96" s="338" t="str">
        <f ca="1">IFERROR(TabCalc[[#This Row],[NMA]]*TabCalc[[#This Row],[M]],"")</f>
        <v/>
      </c>
      <c r="CZ96" s="337" t="e" cm="1">
        <f t="array" aca="1" ref="CZ96" ca="1">_xlfn.IFS(TabCalc[[#This Row],[M]]&gt;= TabCalc[[#This Row],[L_Sp]],(TabCalc[[#This Row],[M]]-TabCalc[[#This Row],[A]])*TabCalc[[#This Row],[NAfter]]*TabCalc[[#This Row],[Scale]],           TabCalc[[#This Row],[M]]&lt; TabCalc[[#This Row],[L_Sp]],(TabCalc[[#This Row],[M]]-TabCalc[[#This Row],[A]])*TabCalc[[#This Row],[NAfter]]*TabCalc[[#This Row],[Scale]],               TRUE,"")</f>
        <v>#VALUE!</v>
      </c>
      <c r="DA96" s="90" t="str">
        <f ca="1">IFERROR((TabCalc[[#This Row],[M]]+TabCalc[[#This Row],[L_Bp]])/ABS(TabCalc[[#This Row],[L_Bp]])/(TODAY()-TabCalc[[#This Row],[L_Bdate]])*360,"")</f>
        <v/>
      </c>
      <c r="DB96" s="312">
        <f ca="1">MEDIAN(DataShift!F795:Z795)</f>
        <v>1.7380000000000002E-3</v>
      </c>
      <c r="DC96" s="312" t="e" cm="1">
        <f t="array" ref="DC96">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#VALUE!</v>
      </c>
      <c r="DM96" s="88" t="s">
        <v>2572</v>
      </c>
      <c r="DN96" s="81">
        <v>500</v>
      </c>
      <c r="DO96" s="317">
        <v>-723.74</v>
      </c>
    </row>
    <row r="97" spans="1:107" ht="23" thickBot="1">
      <c r="A97" s="218"/>
      <c r="B97" s="218"/>
      <c r="D97" s="218"/>
      <c r="E97" s="85" t="e">
        <f ca="1">SUBTOTAL(109,TabCalc[ValueBegin])</f>
        <v>#VALUE!</v>
      </c>
      <c r="F97" s="82" t="e">
        <f ca="1">SUBTOTAL(109,TabCalc[M_V])</f>
        <v>#VALUE!</v>
      </c>
      <c r="H97" t="s">
        <v>1087</v>
      </c>
      <c r="I97" s="218"/>
      <c r="J97" s="219"/>
      <c r="K97" s="34"/>
      <c r="L97" s="219"/>
      <c r="M97" s="745"/>
      <c r="N97" s="962"/>
      <c r="O97" s="961"/>
      <c r="P97" s="961"/>
      <c r="Q97" s="961"/>
      <c r="R97" s="961"/>
      <c r="S97" s="745">
        <f ca="1">SUBTOTAL(101,TabCalc[DPWC150])</f>
        <v>-0.50898373519282469</v>
      </c>
      <c r="T97" s="745">
        <f ca="1">SUBTOTAL(101,TabCalc[DPWC20])</f>
        <v>-1.8443338547676838E-2</v>
      </c>
      <c r="U97" s="745"/>
      <c r="V97" s="745"/>
      <c r="W97" s="11">
        <f>SUBTOTAL(103,TabCalc[NMZ])</f>
        <v>92</v>
      </c>
      <c r="X97" s="11">
        <f ca="1">COUNTIF(TabCalc[Type],"Pile")</f>
        <v>43</v>
      </c>
      <c r="Y97" s="218"/>
      <c r="Z97" s="370" t="e">
        <f ca="1">SUBTOTAL(109,TabCalc[Rev(MinStock)])</f>
        <v>#VALUE!</v>
      </c>
      <c r="AA97" s="371"/>
      <c r="AB97" s="371"/>
      <c r="AC97" s="371"/>
      <c r="AD97" s="370">
        <f ca="1">SUBTOTAL(109,TabCalc[ReverseS1])</f>
        <v>188340.76550800001</v>
      </c>
      <c r="AE97" s="371"/>
      <c r="AF97" s="371"/>
      <c r="AG97" s="372"/>
      <c r="AH97" s="373">
        <f ca="1">SUBTOTAL(109,TabCalc[ReverseB])</f>
        <v>-59715.199599999956</v>
      </c>
      <c r="AI97" s="374"/>
      <c r="AJ97" s="371"/>
      <c r="AK97" s="372"/>
      <c r="AL97" s="373">
        <f ca="1">SUBTOTAL(109,TabCalc[ReverseB1])</f>
        <v>-49186.393000000025</v>
      </c>
      <c r="AM97" s="220"/>
      <c r="AN97" s="369"/>
      <c r="AO97" s="369"/>
      <c r="AP97" s="1079" t="e">
        <f ca="1">SUBTOTAL(109,TabCalc[SaldOp])</f>
        <v>#VALUE!</v>
      </c>
      <c r="AQ97" s="1080"/>
      <c r="AR97" s="1080"/>
      <c r="AS97" s="1081" t="e">
        <f ca="1">SUBTOTAL(101,TabCalc[Gravity])</f>
        <v>#VALUE!</v>
      </c>
      <c r="AT97" s="1"/>
      <c r="AU97" s="1"/>
      <c r="AX97" s="307">
        <f ca="1">SUBTOTAL(105,TabCalc[Repulse])</f>
        <v>-69648.518870476211</v>
      </c>
      <c r="BC97" s="11">
        <f ca="1">SUBTOTAL(103,TabCalc[NoT_C])</f>
        <v>94</v>
      </c>
      <c r="BD97" s="160" t="e">
        <f ca="1">SUBTOTAL(109,TabCalc[NoT_GL])</f>
        <v>#VALUE!</v>
      </c>
      <c r="BE97" s="160" t="e">
        <f ca="1">SUBTOTAL(109,TabCalc[Free])</f>
        <v>#VALUE!</v>
      </c>
      <c r="BF97" s="160" t="e">
        <f ca="1">SUBTOTAL(109,TabCalc[AddBuys])</f>
        <v>#VALUE!</v>
      </c>
      <c r="BG97" s="160" t="e">
        <f ca="1">SUBTOTAL(109,TabCalc[AddCash])</f>
        <v>#VALUE!</v>
      </c>
      <c r="BH97" s="160" t="e">
        <f ca="1">SUBTOTAL(109,TabCalc[AddValue])</f>
        <v>#VALUE!</v>
      </c>
      <c r="BI97" s="160" t="e">
        <f ca="1">SUBTOTAL(109,TabCalc[Tot_Paid])</f>
        <v>#VALUE!</v>
      </c>
      <c r="BJ97" s="160" t="e">
        <f ca="1">SUBTOTAL(109,TabCalc[EfCost])</f>
        <v>#VALUE!</v>
      </c>
      <c r="BK97" s="160">
        <f ca="1">SUBTOTAL(109,TabCalc[S_Income])</f>
        <v>73434289.100897714</v>
      </c>
      <c r="BL97" s="160" t="e">
        <f ca="1">SUBTOTAL(109,TabCalc[GL])</f>
        <v>#VALUE!</v>
      </c>
      <c r="BM97" s="160" t="e">
        <f ca="1">SUBTOTAL(109,TabCalc[Cost+Gain])</f>
        <v>#VALUE!</v>
      </c>
      <c r="BN97" s="160" t="e">
        <f ca="1">SUBTOTAL(109,TabCalc[SB])</f>
        <v>#VALUE!</v>
      </c>
      <c r="BO97" s="160" t="e">
        <f ca="1">SUBTOTAL(109,TabCalc[SABT])</f>
        <v>#VALUE!</v>
      </c>
      <c r="BP97" s="160">
        <f ca="1">SUBTOTAL(109,TabCalc[SST])</f>
        <v>3700825</v>
      </c>
      <c r="BQ97" s="11"/>
      <c r="BR97" s="126"/>
      <c r="BS97" s="11"/>
      <c r="BT97" s="160" t="e">
        <f ca="1">SUBTOTAL(109,TabCalc[CostReduct])</f>
        <v>#REF!</v>
      </c>
      <c r="BU97" s="220"/>
      <c r="BV97" s="11"/>
      <c r="BW97" s="11"/>
      <c r="BX97" s="11"/>
      <c r="BY97" s="11"/>
      <c r="BZ97" s="222"/>
      <c r="CA97" s="160" t="e">
        <f ca="1">SUBTOTAL(109,TabCalc[Resale(ME)])</f>
        <v>#REF!</v>
      </c>
      <c r="CB97" s="11"/>
      <c r="CC97" s="11"/>
      <c r="CD97" s="11"/>
      <c r="CE97" s="11"/>
      <c r="CF97" s="11"/>
      <c r="CG97" s="11"/>
      <c r="CH97" s="11"/>
      <c r="CI97" s="11"/>
      <c r="CJ97" s="11"/>
      <c r="CK97" s="11"/>
      <c r="CL97" s="11"/>
      <c r="CM97" s="11"/>
      <c r="CN97" s="11"/>
      <c r="CO97" s="11"/>
      <c r="CP97" s="11"/>
      <c r="CQ97" s="11"/>
      <c r="CR97" s="11"/>
      <c r="CS97" s="221" t="e">
        <f ca="1">SUBTOTAL(109,TabCalc[WB2P])</f>
        <v>#VALUE!</v>
      </c>
      <c r="CT97" s="11">
        <f ca="1">SUBTOTAL(103,TabCalc[ntoBuy])</f>
        <v>94</v>
      </c>
      <c r="CU97" s="409" t="e">
        <f ca="1">SUBTOTAL(109,TabCalc[BuyCost])</f>
        <v>#VALUE!</v>
      </c>
      <c r="CV97" s="11"/>
      <c r="CW97" s="409" t="e">
        <f ca="1">SUBTOTAL(109,TabCalc[vReverse])</f>
        <v>#VALUE!</v>
      </c>
      <c r="CX97" s="11"/>
      <c r="CY97" s="11"/>
      <c r="CZ97" s="11"/>
      <c r="DA97" s="1161">
        <f ca="1">SUBTOTAL(101,TabCalc[Ann%RevLB])</f>
        <v>0.4552804408264412</v>
      </c>
      <c r="DB97" s="1161"/>
      <c r="DC97" s="11"/>
    </row>
    <row r="98" spans="1:107">
      <c r="AN98" s="167"/>
      <c r="AO98" s="167"/>
      <c r="BI98" s="3" t="s">
        <v>1555</v>
      </c>
      <c r="BJ98" s="333"/>
      <c r="BK98" s="139"/>
      <c r="BL98" s="139"/>
      <c r="BP98" s="139"/>
      <c r="BQ98" s="11"/>
      <c r="BR98" s="139"/>
      <c r="BS98" s="204"/>
      <c r="BT98" s="200"/>
      <c r="BU98" s="204"/>
      <c r="BV98" s="202"/>
      <c r="BW98" s="203"/>
      <c r="BX98" s="202"/>
      <c r="BY98" s="201"/>
      <c r="BZ98" s="201"/>
      <c r="CA98" s="201"/>
    </row>
    <row r="99" spans="1:107">
      <c r="K99" s="85"/>
      <c r="W99">
        <f>COUNTIF(TabCalc[NMZ],"&gt;0")</f>
        <v>0</v>
      </c>
      <c r="AX99" s="87" t="e">
        <f ca="1">SUMPRODUCT(TabCalc[M],TabCalc[Nbegin],TabCalc[Scale])</f>
        <v>#VALUE!</v>
      </c>
      <c r="AZ99" s="82" t="e">
        <f ca="1">TabCalc[[#Totals],[Free]]+TabCalc[[#Totals],[EfCost]]</f>
        <v>#VALUE!</v>
      </c>
      <c r="BQ99"/>
      <c r="BR99" s="82"/>
      <c r="CX99" s="224" t="s">
        <v>2083</v>
      </c>
    </row>
    <row r="100" spans="1:107" ht="23" thickBot="1">
      <c r="A100" t="s">
        <v>83</v>
      </c>
      <c r="B100">
        <v>4500</v>
      </c>
      <c r="H100">
        <v>4500</v>
      </c>
      <c r="BB100" t="s">
        <v>1888</v>
      </c>
      <c r="BC100" t="s">
        <v>1016</v>
      </c>
      <c r="BD100" t="s">
        <v>1900</v>
      </c>
      <c r="BE100" t="s">
        <v>1901</v>
      </c>
      <c r="BF100" t="s">
        <v>1902</v>
      </c>
      <c r="BG100" t="s">
        <v>1905</v>
      </c>
      <c r="BH100" t="s">
        <v>1872</v>
      </c>
      <c r="BI100" t="s">
        <v>1903</v>
      </c>
      <c r="BJ100" t="s">
        <v>946</v>
      </c>
      <c r="BL100" t="s">
        <v>729</v>
      </c>
      <c r="BM100" t="s">
        <v>1556</v>
      </c>
      <c r="BN100" t="s">
        <v>731</v>
      </c>
      <c r="BQ100"/>
      <c r="BR100" s="82"/>
    </row>
    <row r="101" spans="1:107">
      <c r="A101" t="s">
        <v>81</v>
      </c>
      <c r="H101">
        <v>15000</v>
      </c>
      <c r="AL101" s="1"/>
      <c r="AZ101" s="7" t="s">
        <v>1845</v>
      </c>
      <c r="BE101" s="319" t="s">
        <v>157</v>
      </c>
      <c r="BF101" s="738" t="s">
        <v>2130</v>
      </c>
      <c r="BH101" s="93">
        <f ca="1">SUMIF(TabCalc[EfCost],"&lt;0",TabCalc[EfCost])</f>
        <v>-25179463.548454709</v>
      </c>
      <c r="BQ101"/>
      <c r="BR101" s="82"/>
      <c r="BU101" t="s">
        <v>2464</v>
      </c>
    </row>
    <row r="102" spans="1:107" ht="23" thickBot="1">
      <c r="AY102" s="1" t="s">
        <v>2340</v>
      </c>
      <c r="AZ102" s="23" t="s">
        <v>2291</v>
      </c>
      <c r="BA102" s="1" t="s">
        <v>2578</v>
      </c>
      <c r="BB102" s="1" t="s">
        <v>2131</v>
      </c>
      <c r="BC102" s="319" t="s">
        <v>1836</v>
      </c>
      <c r="BD102" s="319" t="s">
        <v>1912</v>
      </c>
      <c r="BE102" s="319" t="s">
        <v>1909</v>
      </c>
      <c r="BF102" s="319" t="s">
        <v>1911</v>
      </c>
      <c r="BG102" s="319" t="s">
        <v>1914</v>
      </c>
      <c r="BH102" s="334" t="s">
        <v>2290</v>
      </c>
      <c r="BI102" s="319" t="s">
        <v>2341</v>
      </c>
      <c r="BJ102" s="334" t="s">
        <v>2296</v>
      </c>
      <c r="BK102" s="319" t="s">
        <v>2297</v>
      </c>
      <c r="BL102" s="319" t="s">
        <v>1908</v>
      </c>
      <c r="BM102" s="319" t="s">
        <v>2289</v>
      </c>
      <c r="BN102" s="319" t="s">
        <v>1903</v>
      </c>
      <c r="BO102" s="803" t="s">
        <v>2227</v>
      </c>
      <c r="BP102" s="804" t="s">
        <v>1135</v>
      </c>
      <c r="BQ102" s="804" t="s">
        <v>1132</v>
      </c>
      <c r="BR102" s="804" t="s">
        <v>1446</v>
      </c>
      <c r="BS102" s="804" t="s">
        <v>1134</v>
      </c>
      <c r="BT102" s="804" t="s">
        <v>1151</v>
      </c>
      <c r="BU102" s="319" t="s">
        <v>1016</v>
      </c>
      <c r="BV102" s="804" t="s">
        <v>1023</v>
      </c>
      <c r="BW102" s="804" t="s">
        <v>1022</v>
      </c>
    </row>
    <row r="103" spans="1:107">
      <c r="AX103" s="713" t="s">
        <v>1462</v>
      </c>
      <c r="AY103" s="93">
        <f ca="1">BI103+BD103</f>
        <v>4747690.5485424772</v>
      </c>
      <c r="AZ103" s="82">
        <f ca="1">SUMIF(TabCalc[EfCost],"&gt;0",TabCalc[EfCost])</f>
        <v>2555847.5996999992</v>
      </c>
      <c r="BA103" s="82">
        <f ca="1">SUMIF(TabCalc[EfCost],"&lt;0",TabCalc[EfCost])</f>
        <v>-25179463.548454709</v>
      </c>
      <c r="BB103" s="93">
        <f ca="1">SUMIF(TabCalc[GL],"&gt;0",TabCalc[ValueBegin])</f>
        <v>-17975153.991799995</v>
      </c>
      <c r="BC103" s="93">
        <f ca="1">SUMIF(TabCalc[GL],"&gt;0",TabCalc[M_V])</f>
        <v>30005199.299999997</v>
      </c>
      <c r="BD103" s="93">
        <f ca="1">SUMIF(TabCalc[GL],"&gt;0",TabCalc[AddBuys])</f>
        <v>-60742300.612645552</v>
      </c>
      <c r="BE103" s="93">
        <f ca="1">SUMIF(TabCalc[GL],"&gt;=0",TabCalc[AddCash])</f>
        <v>-6854952.0041087214</v>
      </c>
      <c r="BF103" s="93">
        <f ca="1">SUMIF(TabCalc[GL],"&gt;=0",TabCalc[AddValue])</f>
        <v>12030045.308200002</v>
      </c>
      <c r="BG103" s="93">
        <f ca="1">SUMIF(TabCalc[GL],"&gt;0",TabCalc[Tot_Paid])</f>
        <v>-78717454.604445562</v>
      </c>
      <c r="BH103" s="93">
        <f ca="1">SUMIF(TabCalc[GL],"&gt;0",TabCalc[EfCost])</f>
        <v>-12852610.967917001</v>
      </c>
      <c r="BI103" s="93">
        <f ca="1">SUMIF(TabCalc[GL],"&gt;0",TabCalc[S_Income])</f>
        <v>65489991.161188029</v>
      </c>
      <c r="BJ103" s="93">
        <f ca="1">SUMIF(TabCalc[GL],"&gt;=0",TabCalc[GL])</f>
        <v>17152588.332083002</v>
      </c>
      <c r="BK103" s="93">
        <f ca="1">SUMIF(TabCalc[GL],"&gt;0",TabCalc[Cost+Gain])</f>
        <v>11342880.714890001</v>
      </c>
      <c r="BL103" s="93">
        <f ca="1">Commission*(BG103-BI103)</f>
        <v>-374939.35899064731</v>
      </c>
      <c r="BM103" s="87">
        <f ca="1">SUMIF(TabCalc[GL],"&gt;0",TabCalc[AddCash])</f>
        <v>-6854952.0041087214</v>
      </c>
      <c r="BN103" s="87">
        <f ca="1">SUMIF(TabCalc[GL],"&gt;0",TabCalc[S_Income])</f>
        <v>65489991.161188029</v>
      </c>
      <c r="BO103" s="805" t="s">
        <v>2225</v>
      </c>
      <c r="BP103" s="806">
        <f ca="1">SUMIFS(TabCalc[M_V], TabCalc[Cur], "="&amp;$BP$102, TabCalc[GL], "&gt;0")</f>
        <v>6400358.0199999996</v>
      </c>
      <c r="BQ103" s="806">
        <f ca="1">SUMIFS(TabCalc[M_V], TabCalc[Cur], "="&amp;$BQ$102, TabCalc[GL], "&gt;0")</f>
        <v>21282651.279999994</v>
      </c>
      <c r="BR103" s="806">
        <f ca="1">SUMIFS(TabCalc[M_V], TabCalc[Cur], "="&amp;$BR$102, TabCalc[GL], "&gt;0")</f>
        <v>1341390</v>
      </c>
      <c r="BS103" s="806">
        <v>361201</v>
      </c>
      <c r="BT103" s="805">
        <f ca="1">SUMIF(TabCalc[Cur],"="&amp;BT102,TabCalc[M_V])</f>
        <v>0</v>
      </c>
      <c r="BU103" s="87">
        <f ca="1">SUMIF(TabCalc[Cost+Gain],"&gt;0",TabCalc[M_V])</f>
        <v>10790572.540000001</v>
      </c>
      <c r="BV103" s="87">
        <f ca="1">SUMIF(TabCalc[Free],"="&amp;BV102,TabCalc[M_V])</f>
        <v>19214626.760000002</v>
      </c>
      <c r="BW103" s="87">
        <f ca="1">SUMIF(TabCalc[Free],"="&amp;BW102,TabCalc[M_V])</f>
        <v>5348386.080000001</v>
      </c>
    </row>
    <row r="104" spans="1:107">
      <c r="AX104" s="140" t="s">
        <v>1463</v>
      </c>
      <c r="AY104" s="93">
        <f ca="1">BI104+BD104</f>
        <v>-2780028.0650047408</v>
      </c>
      <c r="AZ104" s="82">
        <f ca="1">SUMIF(TabCalc[NAfter],0,TabCalc[GL])</f>
        <v>323965.18309999997</v>
      </c>
      <c r="BB104" s="93">
        <f ca="1">SUMIF(TabCalc[GL],"&lt;0",TabCalc[ValueBegin])</f>
        <v>-7057799.564963717</v>
      </c>
      <c r="BC104" s="93">
        <f ca="1">SUMIF(TabCalc[GL],"&lt;0",TabCalc[M_V])</f>
        <v>5348386.080000001</v>
      </c>
      <c r="BD104" s="93">
        <f ca="1">SUMIF(TabCalc[GL],"&lt;0",TabCalc[AddBuys])</f>
        <v>-10724326.004714459</v>
      </c>
      <c r="BE104" s="93">
        <f ca="1">SUMIF(TabCalc[GL],"&lt;0",TabCalc[AddCash])</f>
        <v>-3242725.9203153141</v>
      </c>
      <c r="BF104" s="93">
        <f ca="1">SUMIF(TabCalc[GL],"&lt;0",TabCalc[AddValue])</f>
        <v>-1709413.4849637169</v>
      </c>
      <c r="BG104" s="93">
        <f ca="1">SUMIF(TabCalc[GL],"&lt;0",TabCalc[Tot_Paid])</f>
        <v>-17782125.569678172</v>
      </c>
      <c r="BH104" s="93">
        <f ca="1">SUMIF(TabCalc[GL],"&lt;0",TabCalc[EfCost])</f>
        <v>-9771004.9808377158</v>
      </c>
      <c r="BI104" s="93">
        <f ca="1">SUMIF(TabCalc[GL],"&lt;0",TabCalc[S_Income])</f>
        <v>7944297.9397097183</v>
      </c>
      <c r="BJ104" s="93">
        <f ca="1">SUMIF(TabCalc[GL],"&lt;0",TabCalc[GL])</f>
        <v>-4422618.9008377166</v>
      </c>
      <c r="BK104" s="93">
        <f ca="1">SUMIF(TabCalc[GL],"&lt;0",TabCalc[Cost+Gain])</f>
        <v>-28648.984799999995</v>
      </c>
      <c r="BL104" s="93">
        <f ca="1">Commission*(BG104-BI104)</f>
        <v>-66888.701124408515</v>
      </c>
      <c r="BM104" s="87">
        <f ca="1">SUMIF(TabCalc[GL],"&lt;0",TabCalc[AddCash])</f>
        <v>-3242725.9203153141</v>
      </c>
      <c r="BN104" s="87">
        <f ca="1">SUMIF(TabCalc[GL],"&lt;0",TabCalc[S_Income])</f>
        <v>7944297.9397097183</v>
      </c>
      <c r="BO104" s="364" t="s">
        <v>2226</v>
      </c>
      <c r="BP104" s="811">
        <f ca="1">SUMIFS(TabCalc[M_V], TabCalc[Cur], "="&amp;$BP$102, TabCalc[GL], "&lt;0")</f>
        <v>3025284</v>
      </c>
      <c r="BQ104" s="806">
        <f ca="1">SUMIFS(TabCalc[M_V], TabCalc[Cur], "="&amp;$BQ$102, TabCalc[GL], "&lt;0")</f>
        <v>2323102.08</v>
      </c>
      <c r="BR104" s="806">
        <f ca="1">SUMIFS(TabCalc[M_V], TabCalc[Cur], "="&amp;$BR$102, TabCalc[GL], "&lt;0")</f>
        <v>0</v>
      </c>
      <c r="BS104" s="806">
        <f ca="1">SUMIFS(TabCalc[M_V], TabCalc[Cur], BS$102, TabCalc[GL], "&lt;0")</f>
        <v>0</v>
      </c>
      <c r="BT104" s="805"/>
      <c r="BU104" s="312" t="e">
        <f ca="1">BU103/$BC$105</f>
        <v>#VALUE!</v>
      </c>
      <c r="BV104" s="312" t="e">
        <f ca="1">BV103/$BC$105</f>
        <v>#VALUE!</v>
      </c>
      <c r="BW104" s="312" t="e">
        <f ca="1">BW103/$BC$105</f>
        <v>#VALUE!</v>
      </c>
    </row>
    <row r="105" spans="1:107">
      <c r="M105" cm="1">
        <f t="array" aca="1" ref="M105" ca="1">SUMPRODUCT((ISTEXT(TabCalc[Pile?]))*(NOT(_xlfn.ISFORMULA(TabCalc[Pile?]))))</f>
        <v>0</v>
      </c>
      <c r="AX105" t="s">
        <v>1910</v>
      </c>
      <c r="AZ105" s="82">
        <f ca="1">SUM(AZ103:AZ104)</f>
        <v>2879812.7827999992</v>
      </c>
      <c r="BB105" s="93" t="e">
        <f ca="1">TabCalc[[#Totals],[ValueBegin]]</f>
        <v>#VALUE!</v>
      </c>
      <c r="BC105" s="663" t="e">
        <f ca="1">TabCalc[[#Totals],[M_V]]</f>
        <v>#VALUE!</v>
      </c>
      <c r="BL105" s="93">
        <f ca="1">SUM(BL103:BL104)</f>
        <v>-441828.06011505582</v>
      </c>
      <c r="BO105" s="812" t="s">
        <v>2228</v>
      </c>
      <c r="BP105" s="813">
        <f ca="1">BP104-F8-F7-F57</f>
        <v>-2682056</v>
      </c>
      <c r="BQ105" s="807"/>
      <c r="BR105" s="805"/>
      <c r="BS105" s="805"/>
      <c r="BT105" s="805"/>
    </row>
    <row r="106" spans="1:107">
      <c r="BA106" t="s">
        <v>2148</v>
      </c>
      <c r="BC106" s="93" t="e">
        <f ca="1">TabCalc[[#Totals],[EfCost]]</f>
        <v>#VALUE!</v>
      </c>
      <c r="BG106" s="82"/>
      <c r="BO106" s="805" t="s">
        <v>2218</v>
      </c>
      <c r="BP106" s="808">
        <f ca="1">SUMIFS(TabCalc[GL], TabCalc[Cur], BP$102, TabCalc[GL], "&gt;0")</f>
        <v>3007493.0924999998</v>
      </c>
      <c r="BQ106" s="806">
        <f ca="1">SUMIFS(TabCalc[GL], TabCalc[Cur], BQ$102, TabCalc[GL], "&gt;0")</f>
        <v>12551074.39529</v>
      </c>
      <c r="BR106" s="807">
        <f ca="1">SUMIFS(TabCalc[GL], TabCalc[Cur], BR$102, TabCalc[GL], "&gt;0")</f>
        <v>1426216.5342929999</v>
      </c>
      <c r="BS106" s="806">
        <f ca="1">SUMIFS(TabCalc[GL], TabCalc[Cur], BS$102, TabCalc[GL], "&gt;0")</f>
        <v>167804.30999999994</v>
      </c>
      <c r="BT106" s="805"/>
    </row>
    <row r="107" spans="1:107">
      <c r="BA107" t="s">
        <v>2738</v>
      </c>
      <c r="BC107" s="82" t="e">
        <f ca="1">BC105+BC106</f>
        <v>#VALUE!</v>
      </c>
      <c r="BF107" s="90" t="e">
        <f ca="1">ABS(BC107/BC106)</f>
        <v>#VALUE!</v>
      </c>
      <c r="BO107" s="805" t="s">
        <v>2219</v>
      </c>
      <c r="BP107" s="809">
        <f ca="1">SUMIFS(TabCalc[EfCost], TabCalc[Cur], BP$102, TabCalc[GL], "&gt;0")</f>
        <v>-3392864.9274999988</v>
      </c>
      <c r="BQ107" s="809">
        <f ca="1">SUMIFS(TabCalc[EfCost], TabCalc[Cur], BQ$102, TabCalc[GL], "&gt;0")</f>
        <v>-8731576.8847100027</v>
      </c>
      <c r="BR107" s="809">
        <f ca="1">SUMIFS(TabCalc[EfCost], TabCalc[Cur], BR$102, TabCalc[GL], "&gt;0")</f>
        <v>84826.534293000019</v>
      </c>
      <c r="BS107" s="809">
        <f ca="1">SUMIFS(TabCalc[EfCost], TabCalc[Cur], BS$102, TabCalc[GL], "&gt;0")</f>
        <v>-812995.69000000006</v>
      </c>
      <c r="BT107" s="805"/>
    </row>
    <row r="108" spans="1:107" hidden="1">
      <c r="BC108" s="660" t="s">
        <v>2149</v>
      </c>
      <c r="BE108" s="661" t="e">
        <f ca="1">TabCalc[[#Totals],[AddValue]]</f>
        <v>#VALUE!</v>
      </c>
      <c r="BF108" s="90" t="e">
        <f ca="1">BE108/BC107</f>
        <v>#VALUE!</v>
      </c>
      <c r="BO108" s="805" t="s">
        <v>2220</v>
      </c>
      <c r="BP108" s="810">
        <f ca="1">+ABS(BP106/BP107)</f>
        <v>0.88641698292305537</v>
      </c>
      <c r="BQ108" s="810">
        <f t="shared" ref="BQ108:BS108" ca="1" si="6">+ABS(BQ106/BQ107)</f>
        <v>1.4374350201586585</v>
      </c>
      <c r="BR108" s="810">
        <f t="shared" ca="1" si="6"/>
        <v>16.813330241298008</v>
      </c>
      <c r="BS108" s="810">
        <f t="shared" ca="1" si="6"/>
        <v>0.20640245952595385</v>
      </c>
      <c r="BT108" s="805"/>
    </row>
    <row r="109" spans="1:107" hidden="1">
      <c r="BO109" s="805"/>
      <c r="BP109" s="805"/>
      <c r="BQ109" s="805"/>
      <c r="BR109" s="807"/>
      <c r="BS109" s="805"/>
      <c r="BT109" s="805"/>
    </row>
    <row r="110" spans="1:107" hidden="1">
      <c r="BO110" s="805"/>
      <c r="BP110" s="805"/>
      <c r="BQ110" s="805"/>
      <c r="BR110" s="807"/>
      <c r="BS110" s="805"/>
      <c r="BT110" s="805"/>
    </row>
    <row r="111" spans="1:107" hidden="1">
      <c r="BO111" s="805"/>
      <c r="BP111" s="805"/>
      <c r="BQ111" s="805"/>
      <c r="BR111" s="807"/>
      <c r="BS111" s="805"/>
      <c r="BT111" s="805"/>
    </row>
    <row r="112" spans="1:107" hidden="1">
      <c r="BO112" s="805"/>
      <c r="BP112" s="805"/>
      <c r="BQ112" s="805"/>
      <c r="BR112" s="807"/>
      <c r="BS112" s="805"/>
      <c r="BT112" s="805"/>
    </row>
    <row r="113" spans="67:72" hidden="1">
      <c r="BO113" s="805"/>
      <c r="BP113" s="805"/>
      <c r="BQ113" s="805"/>
      <c r="BR113" s="807"/>
      <c r="BS113" s="805"/>
      <c r="BT113" s="805"/>
    </row>
    <row r="114" spans="67:72" hidden="1">
      <c r="BO114" s="805"/>
      <c r="BP114" s="805"/>
      <c r="BQ114" s="805"/>
      <c r="BR114" s="807"/>
      <c r="BS114" s="805"/>
      <c r="BT114" s="805"/>
    </row>
    <row r="115" spans="67:72" hidden="1">
      <c r="BO115" s="805"/>
      <c r="BP115" s="805"/>
      <c r="BQ115" s="805"/>
      <c r="BR115" s="807"/>
      <c r="BS115" s="805"/>
      <c r="BT115" s="805"/>
    </row>
    <row r="116" spans="67:72" hidden="1">
      <c r="BO116" s="805"/>
      <c r="BP116" s="805"/>
      <c r="BQ116" s="805"/>
      <c r="BR116" s="807"/>
      <c r="BS116" s="805"/>
      <c r="BT116" s="805"/>
    </row>
    <row r="117" spans="67:72" hidden="1">
      <c r="BO117" s="805"/>
      <c r="BP117" s="805"/>
      <c r="BQ117" s="805"/>
      <c r="BR117" s="807"/>
      <c r="BS117" s="805"/>
      <c r="BT117" s="805"/>
    </row>
    <row r="118" spans="67:72" hidden="1">
      <c r="BO118" s="805"/>
      <c r="BP118" s="805"/>
      <c r="BQ118" s="805"/>
      <c r="BR118" s="807"/>
      <c r="BS118" s="805"/>
      <c r="BT118" s="805"/>
    </row>
    <row r="119" spans="67:72" hidden="1">
      <c r="BO119" s="805"/>
      <c r="BP119" s="805"/>
      <c r="BQ119" s="805"/>
      <c r="BR119" s="807"/>
      <c r="BS119" s="805"/>
      <c r="BT119" s="805"/>
    </row>
    <row r="120" spans="67:72" hidden="1">
      <c r="BO120" s="805"/>
      <c r="BP120" s="805"/>
      <c r="BQ120" s="805"/>
      <c r="BR120" s="807"/>
      <c r="BS120" s="805"/>
      <c r="BT120" s="805"/>
    </row>
    <row r="121" spans="67:72" hidden="1">
      <c r="BO121" s="805"/>
      <c r="BP121" s="805"/>
      <c r="BQ121" s="805"/>
      <c r="BR121" s="807"/>
      <c r="BS121" s="805"/>
      <c r="BT121" s="805"/>
    </row>
    <row r="122" spans="67:72" hidden="1">
      <c r="BO122" s="805"/>
      <c r="BP122" s="805"/>
      <c r="BQ122" s="805"/>
      <c r="BR122" s="807"/>
      <c r="BS122" s="805"/>
      <c r="BT122" s="805"/>
    </row>
    <row r="123" spans="67:72" hidden="1">
      <c r="BO123" s="805"/>
      <c r="BP123" s="805"/>
      <c r="BQ123" s="805"/>
      <c r="BR123" s="807"/>
      <c r="BS123" s="805"/>
      <c r="BT123" s="805"/>
    </row>
    <row r="124" spans="67:72" hidden="1">
      <c r="BO124" s="805"/>
      <c r="BP124" s="805"/>
      <c r="BQ124" s="805"/>
      <c r="BR124" s="807"/>
      <c r="BS124" s="805"/>
      <c r="BT124" s="805"/>
    </row>
    <row r="125" spans="67:72" hidden="1">
      <c r="BO125" s="805"/>
      <c r="BP125" s="805"/>
      <c r="BQ125" s="805"/>
      <c r="BR125" s="807"/>
      <c r="BS125" s="805"/>
      <c r="BT125" s="805"/>
    </row>
    <row r="126" spans="67:72" hidden="1">
      <c r="BO126" s="805"/>
      <c r="BP126" s="805"/>
      <c r="BQ126" s="805"/>
      <c r="BR126" s="807"/>
      <c r="BS126" s="805"/>
      <c r="BT126" s="805"/>
    </row>
    <row r="127" spans="67:72" hidden="1">
      <c r="BO127" s="805"/>
      <c r="BP127" s="805"/>
      <c r="BQ127" s="805"/>
      <c r="BR127" s="807"/>
      <c r="BS127" s="805"/>
      <c r="BT127" s="805"/>
    </row>
    <row r="128" spans="67:72" hidden="1">
      <c r="BO128" s="805"/>
      <c r="BP128" s="805"/>
      <c r="BQ128" s="805"/>
      <c r="BR128" s="807"/>
      <c r="BS128" s="805"/>
      <c r="BT128" s="805"/>
    </row>
    <row r="129" spans="67:72" hidden="1">
      <c r="BO129" s="805"/>
      <c r="BP129" s="805"/>
      <c r="BQ129" s="805"/>
      <c r="BR129" s="807"/>
      <c r="BS129" s="805"/>
      <c r="BT129" s="805"/>
    </row>
    <row r="130" spans="67:72" hidden="1">
      <c r="BO130" s="805"/>
      <c r="BP130" s="805"/>
      <c r="BQ130" s="805"/>
      <c r="BR130" s="807"/>
      <c r="BS130" s="805"/>
      <c r="BT130" s="805"/>
    </row>
    <row r="131" spans="67:72" hidden="1">
      <c r="BO131" s="805"/>
      <c r="BP131" s="805"/>
      <c r="BQ131" s="805"/>
      <c r="BR131" s="807"/>
      <c r="BS131" s="805"/>
      <c r="BT131" s="805"/>
    </row>
    <row r="132" spans="67:72" hidden="1">
      <c r="BO132" s="805"/>
      <c r="BP132" s="805"/>
      <c r="BQ132" s="805"/>
      <c r="BR132" s="807"/>
      <c r="BS132" s="805"/>
      <c r="BT132" s="805"/>
    </row>
    <row r="133" spans="67:72" hidden="1">
      <c r="BO133" s="805"/>
      <c r="BP133" s="805"/>
      <c r="BQ133" s="805"/>
      <c r="BR133" s="807"/>
      <c r="BS133" s="805"/>
      <c r="BT133" s="805"/>
    </row>
    <row r="134" spans="67:72" hidden="1">
      <c r="BO134" s="805"/>
      <c r="BP134" s="805"/>
      <c r="BQ134" s="805"/>
      <c r="BR134" s="807"/>
      <c r="BS134" s="805"/>
      <c r="BT134" s="805"/>
    </row>
    <row r="135" spans="67:72" hidden="1">
      <c r="BO135" s="805"/>
      <c r="BP135" s="805"/>
      <c r="BQ135" s="805"/>
      <c r="BR135" s="807"/>
      <c r="BS135" s="805"/>
      <c r="BT135" s="805"/>
    </row>
    <row r="136" spans="67:72" hidden="1">
      <c r="BO136" s="805"/>
      <c r="BP136" s="805"/>
      <c r="BQ136" s="805"/>
      <c r="BR136" s="807"/>
      <c r="BS136" s="805"/>
      <c r="BT136" s="805"/>
    </row>
    <row r="137" spans="67:72" hidden="1">
      <c r="BO137" s="805"/>
      <c r="BP137" s="805"/>
      <c r="BQ137" s="805"/>
      <c r="BR137" s="807"/>
      <c r="BS137" s="805"/>
      <c r="BT137" s="805"/>
    </row>
    <row r="138" spans="67:72" hidden="1">
      <c r="BO138" s="805"/>
      <c r="BP138" s="805"/>
      <c r="BQ138" s="805"/>
      <c r="BR138" s="807"/>
      <c r="BS138" s="805"/>
      <c r="BT138" s="805"/>
    </row>
    <row r="139" spans="67:72" hidden="1">
      <c r="BO139" s="805"/>
      <c r="BP139" s="805"/>
      <c r="BQ139" s="805"/>
      <c r="BR139" s="807"/>
      <c r="BS139" s="805"/>
      <c r="BT139" s="805"/>
    </row>
    <row r="140" spans="67:72" hidden="1">
      <c r="BO140" s="805"/>
      <c r="BP140" s="805"/>
      <c r="BQ140" s="805"/>
      <c r="BR140" s="807"/>
      <c r="BS140" s="805"/>
      <c r="BT140" s="805"/>
    </row>
    <row r="141" spans="67:72" hidden="1">
      <c r="BO141" s="805"/>
      <c r="BP141" s="805"/>
      <c r="BQ141" s="805"/>
      <c r="BR141" s="807"/>
      <c r="BS141" s="805"/>
      <c r="BT141" s="805"/>
    </row>
    <row r="142" spans="67:72" hidden="1">
      <c r="BO142" s="805"/>
      <c r="BP142" s="805"/>
      <c r="BQ142" s="805"/>
      <c r="BR142" s="807"/>
      <c r="BS142" s="805"/>
      <c r="BT142" s="805"/>
    </row>
    <row r="143" spans="67:72" hidden="1">
      <c r="BO143" s="805"/>
      <c r="BP143" s="805"/>
      <c r="BQ143" s="805"/>
      <c r="BR143" s="807"/>
      <c r="BS143" s="805"/>
      <c r="BT143" s="805"/>
    </row>
    <row r="144" spans="67:72" hidden="1">
      <c r="BO144" s="805"/>
      <c r="BP144" s="805"/>
      <c r="BQ144" s="805"/>
      <c r="BR144" s="807"/>
      <c r="BS144" s="805"/>
      <c r="BT144" s="805"/>
    </row>
    <row r="145" spans="67:72" hidden="1">
      <c r="BO145" s="805"/>
      <c r="BP145" s="805"/>
      <c r="BQ145" s="805"/>
      <c r="BR145" s="807"/>
      <c r="BS145" s="805"/>
      <c r="BT145" s="805"/>
    </row>
    <row r="146" spans="67:72" hidden="1">
      <c r="BO146" s="805"/>
      <c r="BP146" s="805"/>
      <c r="BQ146" s="805"/>
      <c r="BR146" s="807"/>
      <c r="BS146" s="805"/>
      <c r="BT146" s="805"/>
    </row>
    <row r="147" spans="67:72" hidden="1">
      <c r="BO147" s="805"/>
      <c r="BP147" s="805"/>
      <c r="BQ147" s="805"/>
      <c r="BR147" s="807"/>
      <c r="BS147" s="805"/>
      <c r="BT147" s="805"/>
    </row>
    <row r="148" spans="67:72" hidden="1">
      <c r="BO148" s="805"/>
      <c r="BP148" s="805"/>
      <c r="BQ148" s="805"/>
      <c r="BR148" s="807"/>
      <c r="BS148" s="805"/>
      <c r="BT148" s="805"/>
    </row>
    <row r="149" spans="67:72" hidden="1">
      <c r="BO149" s="805"/>
      <c r="BP149" s="805"/>
      <c r="BQ149" s="805"/>
      <c r="BR149" s="807"/>
      <c r="BS149" s="805"/>
      <c r="BT149" s="805"/>
    </row>
    <row r="150" spans="67:72" hidden="1">
      <c r="BO150" s="805"/>
      <c r="BP150" s="805"/>
      <c r="BQ150" s="805"/>
      <c r="BR150" s="807"/>
      <c r="BS150" s="805"/>
      <c r="BT150" s="805"/>
    </row>
    <row r="151" spans="67:72" hidden="1">
      <c r="BO151" s="805"/>
      <c r="BP151" s="805"/>
      <c r="BQ151" s="805"/>
      <c r="BR151" s="807"/>
      <c r="BS151" s="805"/>
      <c r="BT151" s="805"/>
    </row>
    <row r="152" spans="67:72" hidden="1">
      <c r="BO152" s="805"/>
      <c r="BP152" s="805"/>
      <c r="BQ152" s="805"/>
      <c r="BR152" s="807"/>
      <c r="BS152" s="805"/>
      <c r="BT152" s="805"/>
    </row>
    <row r="153" spans="67:72" hidden="1">
      <c r="BO153" s="805"/>
      <c r="BP153" s="805"/>
      <c r="BQ153" s="805"/>
      <c r="BR153" s="807"/>
      <c r="BS153" s="805"/>
      <c r="BT153" s="805"/>
    </row>
    <row r="154" spans="67:72" hidden="1">
      <c r="BO154" s="805"/>
      <c r="BP154" s="805"/>
      <c r="BQ154" s="805"/>
      <c r="BR154" s="807"/>
      <c r="BS154" s="805"/>
      <c r="BT154" s="805"/>
    </row>
    <row r="155" spans="67:72" hidden="1">
      <c r="BO155" s="805"/>
      <c r="BP155" s="805"/>
      <c r="BQ155" s="805"/>
      <c r="BR155" s="807"/>
      <c r="BS155" s="805"/>
      <c r="BT155" s="805"/>
    </row>
    <row r="156" spans="67:72" hidden="1">
      <c r="BO156" s="805"/>
      <c r="BP156" s="805"/>
      <c r="BQ156" s="805"/>
      <c r="BR156" s="807"/>
      <c r="BS156" s="805"/>
      <c r="BT156" s="805"/>
    </row>
    <row r="157" spans="67:72" hidden="1">
      <c r="BO157" s="805"/>
      <c r="BP157" s="805"/>
      <c r="BQ157" s="805"/>
      <c r="BR157" s="807"/>
      <c r="BS157" s="805"/>
      <c r="BT157" s="805"/>
    </row>
    <row r="158" spans="67:72" hidden="1">
      <c r="BO158" s="805"/>
      <c r="BP158" s="805"/>
      <c r="BQ158" s="805"/>
      <c r="BR158" s="807"/>
      <c r="BS158" s="805"/>
      <c r="BT158" s="805"/>
    </row>
    <row r="159" spans="67:72" hidden="1">
      <c r="BO159" s="805"/>
      <c r="BP159" s="805"/>
      <c r="BQ159" s="805"/>
      <c r="BR159" s="807"/>
      <c r="BS159" s="805"/>
      <c r="BT159" s="805"/>
    </row>
    <row r="160" spans="67:72" hidden="1">
      <c r="BO160" s="805"/>
      <c r="BP160" s="805"/>
      <c r="BQ160" s="805"/>
      <c r="BR160" s="807"/>
      <c r="BS160" s="805"/>
      <c r="BT160" s="805"/>
    </row>
    <row r="161" spans="67:72" hidden="1">
      <c r="BO161" s="805"/>
      <c r="BP161" s="805"/>
      <c r="BQ161" s="805"/>
      <c r="BR161" s="807"/>
      <c r="BS161" s="805"/>
      <c r="BT161" s="805"/>
    </row>
    <row r="162" spans="67:72" hidden="1">
      <c r="BO162" s="805"/>
      <c r="BP162" s="805"/>
      <c r="BQ162" s="805"/>
      <c r="BR162" s="807"/>
      <c r="BS162" s="805"/>
      <c r="BT162" s="805"/>
    </row>
    <row r="163" spans="67:72" hidden="1">
      <c r="BO163" s="805"/>
      <c r="BP163" s="805"/>
      <c r="BQ163" s="805"/>
      <c r="BR163" s="807"/>
      <c r="BS163" s="805"/>
      <c r="BT163" s="805"/>
    </row>
    <row r="164" spans="67:72" hidden="1">
      <c r="BO164" s="805"/>
      <c r="BP164" s="805"/>
      <c r="BQ164" s="805"/>
      <c r="BR164" s="807"/>
      <c r="BS164" s="805"/>
      <c r="BT164" s="805"/>
    </row>
    <row r="165" spans="67:72" hidden="1">
      <c r="BO165" s="805"/>
      <c r="BP165" s="805"/>
      <c r="BQ165" s="805"/>
      <c r="BR165" s="807"/>
      <c r="BS165" s="805"/>
      <c r="BT165" s="805"/>
    </row>
    <row r="166" spans="67:72" hidden="1">
      <c r="BO166" s="805"/>
      <c r="BP166" s="805"/>
      <c r="BQ166" s="805"/>
      <c r="BR166" s="807"/>
      <c r="BS166" s="805"/>
      <c r="BT166" s="805"/>
    </row>
    <row r="167" spans="67:72" hidden="1">
      <c r="BO167" s="805"/>
      <c r="BP167" s="805"/>
      <c r="BQ167" s="805"/>
      <c r="BR167" s="807"/>
      <c r="BS167" s="805"/>
      <c r="BT167" s="805"/>
    </row>
    <row r="168" spans="67:72" hidden="1">
      <c r="BO168" s="805"/>
      <c r="BP168" s="805"/>
      <c r="BQ168" s="805"/>
      <c r="BR168" s="807"/>
      <c r="BS168" s="805"/>
      <c r="BT168" s="805"/>
    </row>
    <row r="169" spans="67:72" hidden="1">
      <c r="BO169" s="805"/>
      <c r="BP169" s="805"/>
      <c r="BQ169" s="805"/>
      <c r="BR169" s="807"/>
      <c r="BS169" s="805"/>
      <c r="BT169" s="805"/>
    </row>
    <row r="170" spans="67:72" hidden="1">
      <c r="BO170" s="805"/>
      <c r="BP170" s="805"/>
      <c r="BQ170" s="805"/>
      <c r="BR170" s="807"/>
      <c r="BS170" s="805"/>
      <c r="BT170" s="805"/>
    </row>
    <row r="171" spans="67:72" hidden="1">
      <c r="BO171" s="805"/>
      <c r="BP171" s="805"/>
      <c r="BQ171" s="805"/>
      <c r="BR171" s="807"/>
      <c r="BS171" s="805"/>
      <c r="BT171" s="805"/>
    </row>
    <row r="172" spans="67:72" hidden="1">
      <c r="BO172" s="805"/>
      <c r="BP172" s="805"/>
      <c r="BQ172" s="805"/>
      <c r="BR172" s="807"/>
      <c r="BS172" s="805"/>
      <c r="BT172" s="805"/>
    </row>
    <row r="173" spans="67:72" hidden="1">
      <c r="BO173" s="805"/>
      <c r="BP173" s="805"/>
      <c r="BQ173" s="805"/>
      <c r="BR173" s="807"/>
      <c r="BS173" s="805"/>
      <c r="BT173" s="805"/>
    </row>
    <row r="174" spans="67:72" hidden="1">
      <c r="BO174" s="805"/>
      <c r="BP174" s="805"/>
      <c r="BQ174" s="805"/>
      <c r="BR174" s="807"/>
      <c r="BS174" s="805"/>
      <c r="BT174" s="805"/>
    </row>
    <row r="175" spans="67:72" hidden="1">
      <c r="BO175" s="805"/>
      <c r="BP175" s="805"/>
      <c r="BQ175" s="805"/>
      <c r="BR175" s="807"/>
      <c r="BS175" s="805"/>
      <c r="BT175" s="805"/>
    </row>
    <row r="176" spans="67:72" hidden="1">
      <c r="BO176" s="805"/>
      <c r="BP176" s="805"/>
      <c r="BQ176" s="805"/>
      <c r="BR176" s="807"/>
      <c r="BS176" s="805"/>
      <c r="BT176" s="805"/>
    </row>
    <row r="177" spans="67:72" hidden="1">
      <c r="BO177" s="805"/>
      <c r="BP177" s="805"/>
      <c r="BQ177" s="805"/>
      <c r="BR177" s="807"/>
      <c r="BS177" s="805"/>
      <c r="BT177" s="805"/>
    </row>
    <row r="178" spans="67:72" hidden="1">
      <c r="BO178" s="805"/>
      <c r="BP178" s="805"/>
      <c r="BQ178" s="805"/>
      <c r="BR178" s="807"/>
      <c r="BS178" s="805"/>
      <c r="BT178" s="805"/>
    </row>
    <row r="179" spans="67:72" hidden="1">
      <c r="BO179" s="805"/>
      <c r="BP179" s="805"/>
      <c r="BQ179" s="805"/>
      <c r="BR179" s="807"/>
      <c r="BS179" s="805"/>
      <c r="BT179" s="805"/>
    </row>
    <row r="180" spans="67:72" hidden="1">
      <c r="BO180" s="805"/>
      <c r="BP180" s="805"/>
      <c r="BQ180" s="805"/>
      <c r="BR180" s="807"/>
      <c r="BS180" s="805"/>
      <c r="BT180" s="805"/>
    </row>
    <row r="181" spans="67:72" hidden="1">
      <c r="BO181" s="805"/>
      <c r="BP181" s="805"/>
      <c r="BQ181" s="805"/>
      <c r="BR181" s="807"/>
      <c r="BS181" s="805"/>
      <c r="BT181" s="805"/>
    </row>
    <row r="182" spans="67:72" hidden="1">
      <c r="BO182" s="805"/>
      <c r="BP182" s="805"/>
      <c r="BQ182" s="805"/>
      <c r="BR182" s="807"/>
      <c r="BS182" s="805"/>
      <c r="BT182" s="805"/>
    </row>
    <row r="183" spans="67:72" hidden="1">
      <c r="BO183" s="805"/>
      <c r="BP183" s="805"/>
      <c r="BQ183" s="805"/>
      <c r="BR183" s="807"/>
      <c r="BS183" s="805"/>
      <c r="BT183" s="805"/>
    </row>
    <row r="184" spans="67:72" hidden="1">
      <c r="BO184" s="805"/>
      <c r="BP184" s="805"/>
      <c r="BQ184" s="805"/>
      <c r="BR184" s="807"/>
      <c r="BS184" s="805"/>
      <c r="BT184" s="805"/>
    </row>
    <row r="185" spans="67:72" hidden="1">
      <c r="BO185" s="805"/>
      <c r="BP185" s="805"/>
      <c r="BQ185" s="805"/>
      <c r="BR185" s="807"/>
      <c r="BS185" s="805"/>
      <c r="BT185" s="805"/>
    </row>
    <row r="186" spans="67:72" hidden="1">
      <c r="BO186" s="805"/>
      <c r="BP186" s="805"/>
      <c r="BQ186" s="805"/>
      <c r="BR186" s="807"/>
      <c r="BS186" s="805"/>
      <c r="BT186" s="805"/>
    </row>
    <row r="187" spans="67:72" hidden="1">
      <c r="BO187" s="805"/>
      <c r="BP187" s="805"/>
      <c r="BQ187" s="805"/>
      <c r="BR187" s="807"/>
      <c r="BS187" s="805"/>
      <c r="BT187" s="805"/>
    </row>
    <row r="188" spans="67:72" hidden="1">
      <c r="BO188" s="805"/>
      <c r="BP188" s="805"/>
      <c r="BQ188" s="805"/>
      <c r="BR188" s="807"/>
      <c r="BS188" s="805"/>
      <c r="BT188" s="805"/>
    </row>
    <row r="189" spans="67:72" hidden="1">
      <c r="BO189" s="805"/>
      <c r="BP189" s="805"/>
      <c r="BQ189" s="805"/>
      <c r="BR189" s="807"/>
      <c r="BS189" s="805"/>
      <c r="BT189" s="805"/>
    </row>
    <row r="190" spans="67:72" hidden="1">
      <c r="BO190" s="805"/>
      <c r="BP190" s="805"/>
      <c r="BQ190" s="805"/>
      <c r="BR190" s="807"/>
      <c r="BS190" s="805"/>
      <c r="BT190" s="805"/>
    </row>
    <row r="191" spans="67:72" hidden="1">
      <c r="BO191" s="805"/>
      <c r="BP191" s="805"/>
      <c r="BQ191" s="805"/>
      <c r="BR191" s="807"/>
      <c r="BS191" s="805"/>
      <c r="BT191" s="805"/>
    </row>
    <row r="192" spans="67:72">
      <c r="BO192" s="805"/>
      <c r="BP192" s="805"/>
      <c r="BQ192" s="805"/>
      <c r="BR192" s="807"/>
      <c r="BS192" s="805"/>
      <c r="BT192" s="805"/>
    </row>
    <row r="193" spans="50:245">
      <c r="BC193" t="s">
        <v>1135</v>
      </c>
      <c r="BO193" s="805" t="s">
        <v>2224</v>
      </c>
      <c r="BP193" s="808">
        <f ca="1">SUMIFS(TabCalc[Cost+Gain], TabCalc[Cur], BP$102, TabCalc[GL], "&gt;0")</f>
        <v>1860149.6935000001</v>
      </c>
      <c r="BQ193" s="808">
        <f ca="1">SUMIFS(TabCalc[Cost+Gain], TabCalc[Cur], BQ$102, TabCalc[GL], "&gt;0")</f>
        <v>8127192.8542900011</v>
      </c>
      <c r="BR193" s="808">
        <f ca="1">SUMIFS(TabCalc[Cost+Gain], TabCalc[Cur], BR$102, TabCalc[GL], "&gt;0")</f>
        <v>1355538.1671</v>
      </c>
      <c r="BS193" s="808">
        <f ca="1">SUMIFS(TabCalc[Cost+Gain], TabCalc[Cur], BS$102, TabCalc[GL], "&gt;0")</f>
        <v>0</v>
      </c>
      <c r="BT193" s="805"/>
    </row>
    <row r="194" spans="50:245">
      <c r="BO194" s="805" t="s">
        <v>2223</v>
      </c>
      <c r="BP194" s="808">
        <f ca="1">SUMIFS(TabCalc[EfCost], TabCalc[Cur], BP$102, TabCalc[EfCost], "&gt;0")</f>
        <v>1320020.9785</v>
      </c>
      <c r="BQ194" s="808">
        <f ca="1">SUMIFS(TabCalc[EfCost], TabCalc[Cur], BQ$102, TabCalc[EfCost], "&gt;0")</f>
        <v>700288.45409999997</v>
      </c>
      <c r="BR194" s="808">
        <f ca="1">SUMIFS(TabCalc[EfCost], TabCalc[Cur], BR$102, TabCalc[EfCost], "&gt;0")</f>
        <v>535538.16709999996</v>
      </c>
      <c r="BS194" s="808">
        <f ca="1">SUMIFS(TabCalc[EfCost], TabCalc[Cur], BS$102, TabCalc[EfCost], "&gt;0")</f>
        <v>0</v>
      </c>
      <c r="BT194" s="805"/>
    </row>
    <row r="195" spans="50:245">
      <c r="BC195" t="s">
        <v>1132</v>
      </c>
    </row>
    <row r="197" spans="50:245">
      <c r="BC197" t="s">
        <v>1446</v>
      </c>
    </row>
    <row r="199" spans="50:245">
      <c r="BC199" t="s">
        <v>1134</v>
      </c>
    </row>
    <row r="200" spans="50:245">
      <c r="BE200" s="224" t="s">
        <v>2348</v>
      </c>
      <c r="BO200" s="662"/>
    </row>
    <row r="201" spans="50:245" ht="23" thickBot="1">
      <c r="AY201" s="970" t="s">
        <v>966</v>
      </c>
      <c r="AZ201" s="970" t="s">
        <v>2344</v>
      </c>
      <c r="BA201" s="970" t="str">
        <f>BD102</f>
        <v>Added Buys</v>
      </c>
      <c r="BB201" s="970" t="s">
        <v>2347</v>
      </c>
      <c r="BC201" s="970" t="str">
        <f>BI102</f>
        <v>Sales Income</v>
      </c>
      <c r="BD201" s="970" t="s">
        <v>2346</v>
      </c>
      <c r="BE201" s="970" t="s">
        <v>2350</v>
      </c>
      <c r="BF201" s="970" t="s">
        <v>2343</v>
      </c>
      <c r="BG201" s="970" t="s">
        <v>2342</v>
      </c>
      <c r="BH201" s="970" t="s">
        <v>2281</v>
      </c>
      <c r="BI201" s="970" t="s">
        <v>2353</v>
      </c>
      <c r="BJ201" s="970" t="s">
        <v>2345</v>
      </c>
      <c r="BK201" s="970" t="s">
        <v>1087</v>
      </c>
      <c r="BL201" s="970" t="s">
        <v>2349</v>
      </c>
      <c r="BM201" s="970" t="s">
        <v>2351</v>
      </c>
      <c r="BN201" s="970" t="s">
        <v>2352</v>
      </c>
      <c r="BO201" s="355" t="s">
        <v>1908</v>
      </c>
      <c r="IK201" s="287"/>
    </row>
    <row r="202" spans="50:245" ht="23" thickTop="1">
      <c r="AX202" s="672" t="s">
        <v>2222</v>
      </c>
      <c r="AY202" s="93">
        <f ca="1">BB103</f>
        <v>-17975153.991799995</v>
      </c>
      <c r="AZ202" s="93">
        <f ca="1">-AY202</f>
        <v>17975153.991799995</v>
      </c>
      <c r="BA202" s="93">
        <f ca="1">BD103</f>
        <v>-60742300.612645552</v>
      </c>
      <c r="BB202" s="93">
        <f ca="1">AY202+BA202</f>
        <v>-78717454.604445547</v>
      </c>
      <c r="BC202" s="93">
        <f ca="1">BI103</f>
        <v>65489991.161188029</v>
      </c>
      <c r="BD202" s="93">
        <f ca="1">BB202+BC202</f>
        <v>-13227463.443257518</v>
      </c>
      <c r="BE202" s="93">
        <f ca="1">BA202+BC202</f>
        <v>4747690.5485424772</v>
      </c>
      <c r="BF202" s="93">
        <f ca="1">BE202-BG202</f>
        <v>2191842.948842478</v>
      </c>
      <c r="BG202" s="93">
        <f ca="1">NetCash</f>
        <v>2555847.5996999992</v>
      </c>
      <c r="BH202" s="93">
        <f ca="1">BC103</f>
        <v>30005199.299999997</v>
      </c>
      <c r="BI202" s="93">
        <f ca="1">BH202-AZ202</f>
        <v>12030045.308200002</v>
      </c>
      <c r="BJ202" s="93">
        <f ca="1">BG202+BI202</f>
        <v>14585892.907900002</v>
      </c>
      <c r="BK202" s="93"/>
      <c r="BL202" s="90">
        <f ca="1">BH202/(-BD202)</f>
        <v>2.2684016046398265</v>
      </c>
      <c r="BM202" s="93"/>
      <c r="BN202" s="90">
        <f ca="1">BI202/-BD202</f>
        <v>0.90947484828106773</v>
      </c>
      <c r="BO202" s="93">
        <f ca="1">(BB202-BC202)*Commission</f>
        <v>-374939.35899064731</v>
      </c>
    </row>
    <row r="203" spans="50:245">
      <c r="AX203" s="672" t="s">
        <v>2106</v>
      </c>
      <c r="AY203" s="93">
        <f ca="1">BB104</f>
        <v>-7057799.564963717</v>
      </c>
      <c r="AZ203" s="93">
        <f ca="1">-AY203</f>
        <v>7057799.564963717</v>
      </c>
      <c r="BA203" s="93">
        <f ca="1">BD104</f>
        <v>-10724326.004714459</v>
      </c>
      <c r="BB203" s="93">
        <f ca="1">AY203+BA203</f>
        <v>-17782125.569678176</v>
      </c>
      <c r="BC203" s="93">
        <f ca="1">BI104</f>
        <v>7944297.9397097183</v>
      </c>
      <c r="BD203" s="93">
        <f ca="1">BB203+BC203</f>
        <v>-9837827.6299684569</v>
      </c>
      <c r="BE203" s="93">
        <f ca="1">BA203+BC203</f>
        <v>-2780028.0650047408</v>
      </c>
      <c r="BF203" s="694">
        <v>0</v>
      </c>
      <c r="BG203" s="694">
        <v>0</v>
      </c>
      <c r="BH203" s="93">
        <f ca="1">BC104</f>
        <v>5348386.080000001</v>
      </c>
      <c r="BI203" s="93">
        <f ca="1">BH203-AZ203</f>
        <v>-1709413.484963716</v>
      </c>
      <c r="BJ203" s="93">
        <f ca="1">BG203+BI203</f>
        <v>-1709413.484963716</v>
      </c>
      <c r="BK203" s="93"/>
      <c r="BL203" s="90">
        <f ca="1">BH203/(-BD203)</f>
        <v>0.54365519311473742</v>
      </c>
      <c r="BM203" s="93"/>
      <c r="BN203" s="90">
        <f ca="1">BI203/-BD203</f>
        <v>-0.17375924332689258</v>
      </c>
      <c r="BO203" s="93">
        <f ca="1">(BB203-BC203)*Commission</f>
        <v>-66888.70112440853</v>
      </c>
    </row>
    <row r="204" spans="50:245">
      <c r="AY204" s="737">
        <f t="shared" ref="AY204:AZ204" ca="1" si="7">AY202+AY203</f>
        <v>-25032953.556763712</v>
      </c>
      <c r="AZ204" s="737">
        <f t="shared" ca="1" si="7"/>
        <v>25032953.556763712</v>
      </c>
      <c r="BA204" s="737">
        <f ca="1">BA202+BA203</f>
        <v>-71466626.617360011</v>
      </c>
      <c r="BB204" s="737">
        <f t="shared" ref="BB204:BM204" ca="1" si="8">BB202+BB203</f>
        <v>-96499580.174123719</v>
      </c>
      <c r="BC204" s="737">
        <f t="shared" ca="1" si="8"/>
        <v>73434289.100897744</v>
      </c>
      <c r="BD204" s="737">
        <f t="shared" ca="1" si="8"/>
        <v>-23065291.073225975</v>
      </c>
      <c r="BE204" s="737">
        <f t="shared" ca="1" si="8"/>
        <v>1967662.4835377363</v>
      </c>
      <c r="BF204" s="737">
        <f ca="1">BF202+BF203</f>
        <v>2191842.948842478</v>
      </c>
      <c r="BG204" s="737">
        <f ca="1">BG202+BG203</f>
        <v>2555847.5996999992</v>
      </c>
      <c r="BH204" s="737">
        <f t="shared" ca="1" si="8"/>
        <v>35353585.379999995</v>
      </c>
      <c r="BI204" s="737">
        <f t="shared" ca="1" si="8"/>
        <v>10320631.823236287</v>
      </c>
      <c r="BJ204" s="737">
        <f t="shared" ca="1" si="8"/>
        <v>12876479.422936287</v>
      </c>
      <c r="BK204" s="737"/>
      <c r="BL204" s="886">
        <f ca="1">BH204/(-BD204)</f>
        <v>1.5327612934847454</v>
      </c>
      <c r="BM204" s="737">
        <f t="shared" si="8"/>
        <v>0</v>
      </c>
      <c r="BN204" s="886">
        <f ca="1">BI204/-BD204</f>
        <v>0.44745291921403074</v>
      </c>
      <c r="BO204" s="93">
        <f ca="1">(BB204-BC204)*Commission</f>
        <v>-441828.06011505576</v>
      </c>
    </row>
    <row r="216" spans="46:46">
      <c r="AT216" s="140"/>
    </row>
  </sheetData>
  <mergeCells count="1">
    <mergeCell ref="N1:T1"/>
  </mergeCells>
  <phoneticPr fontId="47" type="noConversion"/>
  <conditionalFormatting sqref="BP18 BL18">
    <cfRule type="containsText" dxfId="2084" priority="137" operator="containsText" text="Pile">
      <formula>NOT(ISERROR(SEARCH("Pile",BL18)))</formula>
    </cfRule>
  </conditionalFormatting>
  <conditionalFormatting sqref="BR2:BR97">
    <cfRule type="containsText" dxfId="2083" priority="136" operator="containsText" text="Pile">
      <formula>NOT(ISERROR(SEARCH("Pile",BR2)))</formula>
    </cfRule>
    <cfRule type="containsText" dxfId="2082" priority="138" operator="containsText" text="Trade">
      <formula>NOT(ISERROR(SEARCH("Trade",BR2)))</formula>
    </cfRule>
  </conditionalFormatting>
  <conditionalFormatting sqref="H3:J96">
    <cfRule type="expression" dxfId="2081" priority="128">
      <formula>$L3&gt;0</formula>
    </cfRule>
  </conditionalFormatting>
  <conditionalFormatting sqref="A2:A97">
    <cfRule type="containsText" dxfId="2080" priority="127" operator="containsText" text="GBP">
      <formula>NOT(ISERROR(SEARCH("GBP",A2)))</formula>
    </cfRule>
  </conditionalFormatting>
  <conditionalFormatting sqref="AT3:AU96">
    <cfRule type="containsText" dxfId="2079" priority="117" operator="containsText" text="Free">
      <formula>NOT(ISERROR(SEARCH("Free",AT3)))</formula>
    </cfRule>
    <cfRule type="containsText" dxfId="2078" priority="118" operator="containsText" text="Buy">
      <formula>NOT(ISERROR(SEARCH("Buy",AT3)))</formula>
    </cfRule>
    <cfRule type="containsText" dxfId="2077" priority="125" operator="containsText" text="Refill">
      <formula>NOT(ISERROR(SEARCH("Refill",AT3)))</formula>
    </cfRule>
    <cfRule type="containsText" dxfId="2076" priority="135" operator="containsText" text="S_more">
      <formula>NOT(ISERROR(SEARCH("S_more",AT3)))</formula>
    </cfRule>
  </conditionalFormatting>
  <conditionalFormatting sqref="AV2:AW97">
    <cfRule type="containsText" dxfId="2075" priority="115" operator="containsText" text="Free">
      <formula>NOT(ISERROR(SEARCH("Free",AV2)))</formula>
    </cfRule>
    <cfRule type="containsText" dxfId="2074" priority="116" operator="containsText" text="Sell">
      <formula>NOT(ISERROR(SEARCH("Sell",AV2)))</formula>
    </cfRule>
    <cfRule type="containsText" dxfId="2073" priority="123" operator="containsText" text="Re-Sell">
      <formula>NOT(ISERROR(SEARCH("Re-Sell",AV2)))</formula>
    </cfRule>
    <cfRule type="containsText" dxfId="2072" priority="124" operator="containsText" text="B_more">
      <formula>NOT(ISERROR(SEARCH("B_more",AV2)))</formula>
    </cfRule>
  </conditionalFormatting>
  <conditionalFormatting sqref="AW3:AW96">
    <cfRule type="cellIs" dxfId="2071" priority="119" operator="lessThan">
      <formula>0</formula>
    </cfRule>
  </conditionalFormatting>
  <conditionalFormatting sqref="AS2:AS96">
    <cfRule type="cellIs" dxfId="2070" priority="108" operator="equal">
      <formula>0</formula>
    </cfRule>
    <cfRule type="cellIs" dxfId="2069" priority="109" operator="greaterThanOrEqual">
      <formula>200%</formula>
    </cfRule>
    <cfRule type="cellIs" dxfId="2068" priority="110" operator="lessThan">
      <formula>1</formula>
    </cfRule>
  </conditionalFormatting>
  <conditionalFormatting sqref="BL3:BL96">
    <cfRule type="cellIs" dxfId="2067" priority="106" operator="greaterThan">
      <formula>0</formula>
    </cfRule>
    <cfRule type="cellIs" dxfId="2066" priority="107" operator="lessThan">
      <formula>0</formula>
    </cfRule>
  </conditionalFormatting>
  <conditionalFormatting sqref="X4 T4">
    <cfRule type="colorScale" priority="103">
      <colorScale>
        <cfvo type="min"/>
        <cfvo type="percentile" val="50"/>
        <cfvo type="max"/>
        <color rgb="FFF8696B"/>
        <color rgb="FFFFEB84"/>
        <color rgb="FF63BE7B"/>
      </colorScale>
    </cfRule>
  </conditionalFormatting>
  <conditionalFormatting sqref="X5 T5">
    <cfRule type="colorScale" priority="102">
      <colorScale>
        <cfvo type="min"/>
        <cfvo type="percentile" val="50"/>
        <cfvo type="max"/>
        <color rgb="FFF8696B"/>
        <color rgb="FFFFEB84"/>
        <color rgb="FF63BE7B"/>
      </colorScale>
    </cfRule>
  </conditionalFormatting>
  <conditionalFormatting sqref="T6 X6">
    <cfRule type="colorScale" priority="101">
      <colorScale>
        <cfvo type="min"/>
        <cfvo type="percentile" val="50"/>
        <cfvo type="max"/>
        <color rgb="FFF8696B"/>
        <color rgb="FFFFEB84"/>
        <color rgb="FF63BE7B"/>
      </colorScale>
    </cfRule>
  </conditionalFormatting>
  <conditionalFormatting sqref="X7 T7">
    <cfRule type="colorScale" priority="100">
      <colorScale>
        <cfvo type="min"/>
        <cfvo type="percentile" val="50"/>
        <cfvo type="max"/>
        <color rgb="FFF8696B"/>
        <color rgb="FFFFEB84"/>
        <color rgb="FF63BE7B"/>
      </colorScale>
    </cfRule>
  </conditionalFormatting>
  <conditionalFormatting sqref="X8:X10 T8:T10">
    <cfRule type="colorScale" priority="99">
      <colorScale>
        <cfvo type="min"/>
        <cfvo type="percentile" val="50"/>
        <cfvo type="max"/>
        <color rgb="FFF8696B"/>
        <color rgb="FFFFEB84"/>
        <color rgb="FF63BE7B"/>
      </colorScale>
    </cfRule>
  </conditionalFormatting>
  <conditionalFormatting sqref="X11 T11">
    <cfRule type="colorScale" priority="98">
      <colorScale>
        <cfvo type="min"/>
        <cfvo type="percentile" val="50"/>
        <cfvo type="max"/>
        <color rgb="FFF8696B"/>
        <color rgb="FFFFEB84"/>
        <color rgb="FF63BE7B"/>
      </colorScale>
    </cfRule>
  </conditionalFormatting>
  <conditionalFormatting sqref="X12 T12">
    <cfRule type="colorScale" priority="97">
      <colorScale>
        <cfvo type="min"/>
        <cfvo type="percentile" val="50"/>
        <cfvo type="max"/>
        <color rgb="FFF8696B"/>
        <color rgb="FFFFEB84"/>
        <color rgb="FF63BE7B"/>
      </colorScale>
    </cfRule>
  </conditionalFormatting>
  <conditionalFormatting sqref="X13 T13">
    <cfRule type="colorScale" priority="96">
      <colorScale>
        <cfvo type="min"/>
        <cfvo type="percentile" val="50"/>
        <cfvo type="max"/>
        <color rgb="FFF8696B"/>
        <color rgb="FFFFEB84"/>
        <color rgb="FF63BE7B"/>
      </colorScale>
    </cfRule>
  </conditionalFormatting>
  <conditionalFormatting sqref="T14 X14">
    <cfRule type="colorScale" priority="95">
      <colorScale>
        <cfvo type="min"/>
        <cfvo type="percentile" val="50"/>
        <cfvo type="max"/>
        <color rgb="FFF8696B"/>
        <color rgb="FFFFEB84"/>
        <color rgb="FF63BE7B"/>
      </colorScale>
    </cfRule>
  </conditionalFormatting>
  <conditionalFormatting sqref="T15 X15">
    <cfRule type="colorScale" priority="94">
      <colorScale>
        <cfvo type="min"/>
        <cfvo type="percentile" val="50"/>
        <cfvo type="max"/>
        <color rgb="FFF8696B"/>
        <color rgb="FFFFEB84"/>
        <color rgb="FF63BE7B"/>
      </colorScale>
    </cfRule>
  </conditionalFormatting>
  <conditionalFormatting sqref="T16 X16">
    <cfRule type="colorScale" priority="93">
      <colorScale>
        <cfvo type="min"/>
        <cfvo type="percentile" val="50"/>
        <cfvo type="max"/>
        <color rgb="FFF8696B"/>
        <color rgb="FFFFEB84"/>
        <color rgb="FF63BE7B"/>
      </colorScale>
    </cfRule>
  </conditionalFormatting>
  <conditionalFormatting sqref="T17 X17">
    <cfRule type="colorScale" priority="92">
      <colorScale>
        <cfvo type="min"/>
        <cfvo type="percentile" val="50"/>
        <cfvo type="max"/>
        <color rgb="FFF8696B"/>
        <color rgb="FFFFEB84"/>
        <color rgb="FF63BE7B"/>
      </colorScale>
    </cfRule>
  </conditionalFormatting>
  <conditionalFormatting sqref="T18 X18">
    <cfRule type="colorScale" priority="91">
      <colorScale>
        <cfvo type="min"/>
        <cfvo type="percentile" val="50"/>
        <cfvo type="max"/>
        <color rgb="FFF8696B"/>
        <color rgb="FFFFEB84"/>
        <color rgb="FF63BE7B"/>
      </colorScale>
    </cfRule>
  </conditionalFormatting>
  <conditionalFormatting sqref="X19 T19">
    <cfRule type="colorScale" priority="90">
      <colorScale>
        <cfvo type="min"/>
        <cfvo type="percentile" val="50"/>
        <cfvo type="max"/>
        <color rgb="FFF8696B"/>
        <color rgb="FFFFEB84"/>
        <color rgb="FF63BE7B"/>
      </colorScale>
    </cfRule>
  </conditionalFormatting>
  <conditionalFormatting sqref="X20 T20">
    <cfRule type="colorScale" priority="89">
      <colorScale>
        <cfvo type="min"/>
        <cfvo type="percentile" val="50"/>
        <cfvo type="max"/>
        <color rgb="FFF8696B"/>
        <color rgb="FFFFEB84"/>
        <color rgb="FF63BE7B"/>
      </colorScale>
    </cfRule>
  </conditionalFormatting>
  <conditionalFormatting sqref="X21 T21">
    <cfRule type="colorScale" priority="88">
      <colorScale>
        <cfvo type="min"/>
        <cfvo type="percentile" val="50"/>
        <cfvo type="max"/>
        <color rgb="FFF8696B"/>
        <color rgb="FFFFEB84"/>
        <color rgb="FF63BE7B"/>
      </colorScale>
    </cfRule>
  </conditionalFormatting>
  <conditionalFormatting sqref="X22 T22">
    <cfRule type="colorScale" priority="87">
      <colorScale>
        <cfvo type="min"/>
        <cfvo type="percentile" val="50"/>
        <cfvo type="max"/>
        <color rgb="FFF8696B"/>
        <color rgb="FFFFEB84"/>
        <color rgb="FF63BE7B"/>
      </colorScale>
    </cfRule>
  </conditionalFormatting>
  <conditionalFormatting sqref="X23 T23">
    <cfRule type="colorScale" priority="86">
      <colorScale>
        <cfvo type="min"/>
        <cfvo type="percentile" val="50"/>
        <cfvo type="max"/>
        <color rgb="FFF8696B"/>
        <color rgb="FFFFEB84"/>
        <color rgb="FF63BE7B"/>
      </colorScale>
    </cfRule>
  </conditionalFormatting>
  <conditionalFormatting sqref="X24 T24">
    <cfRule type="colorScale" priority="85">
      <colorScale>
        <cfvo type="min"/>
        <cfvo type="percentile" val="50"/>
        <cfvo type="max"/>
        <color rgb="FFF8696B"/>
        <color rgb="FFFFEB84"/>
        <color rgb="FF63BE7B"/>
      </colorScale>
    </cfRule>
  </conditionalFormatting>
  <conditionalFormatting sqref="X25 T25">
    <cfRule type="colorScale" priority="84">
      <colorScale>
        <cfvo type="min"/>
        <cfvo type="percentile" val="50"/>
        <cfvo type="max"/>
        <color rgb="FFF8696B"/>
        <color rgb="FFFFEB84"/>
        <color rgb="FF63BE7B"/>
      </colorScale>
    </cfRule>
  </conditionalFormatting>
  <conditionalFormatting sqref="T26 X26">
    <cfRule type="colorScale" priority="83">
      <colorScale>
        <cfvo type="min"/>
        <cfvo type="percentile" val="50"/>
        <cfvo type="max"/>
        <color rgb="FFF8696B"/>
        <color rgb="FFFFEB84"/>
        <color rgb="FF63BE7B"/>
      </colorScale>
    </cfRule>
  </conditionalFormatting>
  <conditionalFormatting sqref="T27 X27">
    <cfRule type="colorScale" priority="82">
      <colorScale>
        <cfvo type="min"/>
        <cfvo type="percentile" val="50"/>
        <cfvo type="max"/>
        <color rgb="FFF8696B"/>
        <color rgb="FFFFEB84"/>
        <color rgb="FF63BE7B"/>
      </colorScale>
    </cfRule>
  </conditionalFormatting>
  <conditionalFormatting sqref="T28 X28">
    <cfRule type="colorScale" priority="81">
      <colorScale>
        <cfvo type="min"/>
        <cfvo type="percentile" val="50"/>
        <cfvo type="max"/>
        <color rgb="FFF8696B"/>
        <color rgb="FFFFEB84"/>
        <color rgb="FF63BE7B"/>
      </colorScale>
    </cfRule>
  </conditionalFormatting>
  <conditionalFormatting sqref="X29 T29">
    <cfRule type="colorScale" priority="80">
      <colorScale>
        <cfvo type="min"/>
        <cfvo type="percentile" val="50"/>
        <cfvo type="max"/>
        <color rgb="FFF8696B"/>
        <color rgb="FFFFEB84"/>
        <color rgb="FF63BE7B"/>
      </colorScale>
    </cfRule>
  </conditionalFormatting>
  <conditionalFormatting sqref="X30 T30">
    <cfRule type="colorScale" priority="79">
      <colorScale>
        <cfvo type="min"/>
        <cfvo type="percentile" val="50"/>
        <cfvo type="max"/>
        <color rgb="FFF8696B"/>
        <color rgb="FFFFEB84"/>
        <color rgb="FF63BE7B"/>
      </colorScale>
    </cfRule>
  </conditionalFormatting>
  <conditionalFormatting sqref="X31 T31">
    <cfRule type="colorScale" priority="78">
      <colorScale>
        <cfvo type="min"/>
        <cfvo type="percentile" val="50"/>
        <cfvo type="max"/>
        <color rgb="FFF8696B"/>
        <color rgb="FFFFEB84"/>
        <color rgb="FF63BE7B"/>
      </colorScale>
    </cfRule>
  </conditionalFormatting>
  <conditionalFormatting sqref="X32 T32">
    <cfRule type="colorScale" priority="77">
      <colorScale>
        <cfvo type="min"/>
        <cfvo type="percentile" val="50"/>
        <cfvo type="max"/>
        <color rgb="FFF8696B"/>
        <color rgb="FFFFEB84"/>
        <color rgb="FF63BE7B"/>
      </colorScale>
    </cfRule>
  </conditionalFormatting>
  <conditionalFormatting sqref="X33 T33">
    <cfRule type="colorScale" priority="76">
      <colorScale>
        <cfvo type="min"/>
        <cfvo type="percentile" val="50"/>
        <cfvo type="max"/>
        <color rgb="FFF8696B"/>
        <color rgb="FFFFEB84"/>
        <color rgb="FF63BE7B"/>
      </colorScale>
    </cfRule>
  </conditionalFormatting>
  <conditionalFormatting sqref="X34 T34">
    <cfRule type="colorScale" priority="75">
      <colorScale>
        <cfvo type="min"/>
        <cfvo type="percentile" val="50"/>
        <cfvo type="max"/>
        <color rgb="FFF8696B"/>
        <color rgb="FFFFEB84"/>
        <color rgb="FF63BE7B"/>
      </colorScale>
    </cfRule>
  </conditionalFormatting>
  <conditionalFormatting sqref="X35 T35">
    <cfRule type="colorScale" priority="74">
      <colorScale>
        <cfvo type="min"/>
        <cfvo type="percentile" val="50"/>
        <cfvo type="max"/>
        <color rgb="FFF8696B"/>
        <color rgb="FFFFEB84"/>
        <color rgb="FF63BE7B"/>
      </colorScale>
    </cfRule>
  </conditionalFormatting>
  <conditionalFormatting sqref="X36 T36">
    <cfRule type="colorScale" priority="73">
      <colorScale>
        <cfvo type="min"/>
        <cfvo type="percentile" val="50"/>
        <cfvo type="max"/>
        <color rgb="FFF8696B"/>
        <color rgb="FFFFEB84"/>
        <color rgb="FF63BE7B"/>
      </colorScale>
    </cfRule>
  </conditionalFormatting>
  <conditionalFormatting sqref="X37 T37">
    <cfRule type="colorScale" priority="72">
      <colorScale>
        <cfvo type="min"/>
        <cfvo type="percentile" val="50"/>
        <cfvo type="max"/>
        <color rgb="FFF8696B"/>
        <color rgb="FFFFEB84"/>
        <color rgb="FF63BE7B"/>
      </colorScale>
    </cfRule>
  </conditionalFormatting>
  <conditionalFormatting sqref="T38 X38">
    <cfRule type="colorScale" priority="71">
      <colorScale>
        <cfvo type="min"/>
        <cfvo type="percentile" val="50"/>
        <cfvo type="max"/>
        <color rgb="FFF8696B"/>
        <color rgb="FFFFEB84"/>
        <color rgb="FF63BE7B"/>
      </colorScale>
    </cfRule>
  </conditionalFormatting>
  <conditionalFormatting sqref="T39 X39">
    <cfRule type="colorScale" priority="70">
      <colorScale>
        <cfvo type="min"/>
        <cfvo type="percentile" val="50"/>
        <cfvo type="max"/>
        <color rgb="FFF8696B"/>
        <color rgb="FFFFEB84"/>
        <color rgb="FF63BE7B"/>
      </colorScale>
    </cfRule>
  </conditionalFormatting>
  <conditionalFormatting sqref="T40 X40">
    <cfRule type="colorScale" priority="69">
      <colorScale>
        <cfvo type="min"/>
        <cfvo type="percentile" val="50"/>
        <cfvo type="max"/>
        <color rgb="FFF8696B"/>
        <color rgb="FFFFEB84"/>
        <color rgb="FF63BE7B"/>
      </colorScale>
    </cfRule>
  </conditionalFormatting>
  <conditionalFormatting sqref="T41 X41">
    <cfRule type="colorScale" priority="68">
      <colorScale>
        <cfvo type="min"/>
        <cfvo type="percentile" val="50"/>
        <cfvo type="max"/>
        <color rgb="FFF8696B"/>
        <color rgb="FFFFEB84"/>
        <color rgb="FF63BE7B"/>
      </colorScale>
    </cfRule>
  </conditionalFormatting>
  <conditionalFormatting sqref="T42 X42">
    <cfRule type="colorScale" priority="67">
      <colorScale>
        <cfvo type="min"/>
        <cfvo type="percentile" val="50"/>
        <cfvo type="max"/>
        <color rgb="FFF8696B"/>
        <color rgb="FFFFEB84"/>
        <color rgb="FF63BE7B"/>
      </colorScale>
    </cfRule>
  </conditionalFormatting>
  <conditionalFormatting sqref="T43 X43">
    <cfRule type="colorScale" priority="66">
      <colorScale>
        <cfvo type="min"/>
        <cfvo type="percentile" val="50"/>
        <cfvo type="max"/>
        <color rgb="FFF8696B"/>
        <color rgb="FFFFEB84"/>
        <color rgb="FF63BE7B"/>
      </colorScale>
    </cfRule>
  </conditionalFormatting>
  <conditionalFormatting sqref="T44 X44">
    <cfRule type="colorScale" priority="65">
      <colorScale>
        <cfvo type="min"/>
        <cfvo type="percentile" val="50"/>
        <cfvo type="max"/>
        <color rgb="FFF8696B"/>
        <color rgb="FFFFEB84"/>
        <color rgb="FF63BE7B"/>
      </colorScale>
    </cfRule>
  </conditionalFormatting>
  <conditionalFormatting sqref="T45 X45">
    <cfRule type="colorScale" priority="64">
      <colorScale>
        <cfvo type="min"/>
        <cfvo type="percentile" val="50"/>
        <cfvo type="max"/>
        <color rgb="FFF8696B"/>
        <color rgb="FFFFEB84"/>
        <color rgb="FF63BE7B"/>
      </colorScale>
    </cfRule>
  </conditionalFormatting>
  <conditionalFormatting sqref="T46 X46">
    <cfRule type="colorScale" priority="63">
      <colorScale>
        <cfvo type="min"/>
        <cfvo type="percentile" val="50"/>
        <cfvo type="max"/>
        <color rgb="FFF8696B"/>
        <color rgb="FFFFEB84"/>
        <color rgb="FF63BE7B"/>
      </colorScale>
    </cfRule>
  </conditionalFormatting>
  <conditionalFormatting sqref="T47 X47">
    <cfRule type="colorScale" priority="62">
      <colorScale>
        <cfvo type="min"/>
        <cfvo type="percentile" val="50"/>
        <cfvo type="max"/>
        <color rgb="FFF8696B"/>
        <color rgb="FFFFEB84"/>
        <color rgb="FF63BE7B"/>
      </colorScale>
    </cfRule>
  </conditionalFormatting>
  <conditionalFormatting sqref="T48 X48">
    <cfRule type="colorScale" priority="61">
      <colorScale>
        <cfvo type="min"/>
        <cfvo type="percentile" val="50"/>
        <cfvo type="max"/>
        <color rgb="FFF8696B"/>
        <color rgb="FFFFEB84"/>
        <color rgb="FF63BE7B"/>
      </colorScale>
    </cfRule>
  </conditionalFormatting>
  <conditionalFormatting sqref="X49 T49">
    <cfRule type="colorScale" priority="60">
      <colorScale>
        <cfvo type="min"/>
        <cfvo type="percentile" val="50"/>
        <cfvo type="max"/>
        <color rgb="FFF8696B"/>
        <color rgb="FFFFEB84"/>
        <color rgb="FF63BE7B"/>
      </colorScale>
    </cfRule>
  </conditionalFormatting>
  <conditionalFormatting sqref="T50 X50">
    <cfRule type="colorScale" priority="59">
      <colorScale>
        <cfvo type="min"/>
        <cfvo type="percentile" val="50"/>
        <cfvo type="max"/>
        <color rgb="FFF8696B"/>
        <color rgb="FFFFEB84"/>
        <color rgb="FF63BE7B"/>
      </colorScale>
    </cfRule>
  </conditionalFormatting>
  <conditionalFormatting sqref="T51 X51">
    <cfRule type="colorScale" priority="58">
      <colorScale>
        <cfvo type="min"/>
        <cfvo type="percentile" val="50"/>
        <cfvo type="max"/>
        <color rgb="FFF8696B"/>
        <color rgb="FFFFEB84"/>
        <color rgb="FF63BE7B"/>
      </colorScale>
    </cfRule>
  </conditionalFormatting>
  <conditionalFormatting sqref="T52 X52">
    <cfRule type="colorScale" priority="57">
      <colorScale>
        <cfvo type="min"/>
        <cfvo type="percentile" val="50"/>
        <cfvo type="max"/>
        <color rgb="FFF8696B"/>
        <color rgb="FFFFEB84"/>
        <color rgb="FF63BE7B"/>
      </colorScale>
    </cfRule>
  </conditionalFormatting>
  <conditionalFormatting sqref="T53 X53">
    <cfRule type="colorScale" priority="56">
      <colorScale>
        <cfvo type="min"/>
        <cfvo type="percentile" val="50"/>
        <cfvo type="max"/>
        <color rgb="FFF8696B"/>
        <color rgb="FFFFEB84"/>
        <color rgb="FF63BE7B"/>
      </colorScale>
    </cfRule>
  </conditionalFormatting>
  <conditionalFormatting sqref="T54 X54">
    <cfRule type="colorScale" priority="55">
      <colorScale>
        <cfvo type="min"/>
        <cfvo type="percentile" val="50"/>
        <cfvo type="max"/>
        <color rgb="FFF8696B"/>
        <color rgb="FFFFEB84"/>
        <color rgb="FF63BE7B"/>
      </colorScale>
    </cfRule>
  </conditionalFormatting>
  <conditionalFormatting sqref="T55 X55">
    <cfRule type="colorScale" priority="54">
      <colorScale>
        <cfvo type="min"/>
        <cfvo type="percentile" val="50"/>
        <cfvo type="max"/>
        <color rgb="FFF8696B"/>
        <color rgb="FFFFEB84"/>
        <color rgb="FF63BE7B"/>
      </colorScale>
    </cfRule>
  </conditionalFormatting>
  <conditionalFormatting sqref="T56 X56">
    <cfRule type="colorScale" priority="53">
      <colorScale>
        <cfvo type="min"/>
        <cfvo type="percentile" val="50"/>
        <cfvo type="max"/>
        <color rgb="FFF8696B"/>
        <color rgb="FFFFEB84"/>
        <color rgb="FF63BE7B"/>
      </colorScale>
    </cfRule>
  </conditionalFormatting>
  <conditionalFormatting sqref="T57 X57">
    <cfRule type="colorScale" priority="52">
      <colorScale>
        <cfvo type="min"/>
        <cfvo type="percentile" val="50"/>
        <cfvo type="max"/>
        <color rgb="FFF8696B"/>
        <color rgb="FFFFEB84"/>
        <color rgb="FF63BE7B"/>
      </colorScale>
    </cfRule>
  </conditionalFormatting>
  <conditionalFormatting sqref="T58 X58">
    <cfRule type="colorScale" priority="51">
      <colorScale>
        <cfvo type="min"/>
        <cfvo type="percentile" val="50"/>
        <cfvo type="max"/>
        <color rgb="FFF8696B"/>
        <color rgb="FFFFEB84"/>
        <color rgb="FF63BE7B"/>
      </colorScale>
    </cfRule>
  </conditionalFormatting>
  <conditionalFormatting sqref="X59 T59">
    <cfRule type="colorScale" priority="50">
      <colorScale>
        <cfvo type="min"/>
        <cfvo type="percentile" val="50"/>
        <cfvo type="max"/>
        <color rgb="FFF8696B"/>
        <color rgb="FFFFEB84"/>
        <color rgb="FF63BE7B"/>
      </colorScale>
    </cfRule>
  </conditionalFormatting>
  <conditionalFormatting sqref="X60 T60">
    <cfRule type="colorScale" priority="49">
      <colorScale>
        <cfvo type="min"/>
        <cfvo type="percentile" val="50"/>
        <cfvo type="max"/>
        <color rgb="FFF8696B"/>
        <color rgb="FFFFEB84"/>
        <color rgb="FF63BE7B"/>
      </colorScale>
    </cfRule>
  </conditionalFormatting>
  <conditionalFormatting sqref="T61 X61">
    <cfRule type="colorScale" priority="48">
      <colorScale>
        <cfvo type="min"/>
        <cfvo type="percentile" val="50"/>
        <cfvo type="max"/>
        <color rgb="FFF8696B"/>
        <color rgb="FFFFEB84"/>
        <color rgb="FF63BE7B"/>
      </colorScale>
    </cfRule>
  </conditionalFormatting>
  <conditionalFormatting sqref="T62 X62">
    <cfRule type="colorScale" priority="47">
      <colorScale>
        <cfvo type="min"/>
        <cfvo type="percentile" val="50"/>
        <cfvo type="max"/>
        <color rgb="FFF8696B"/>
        <color rgb="FFFFEB84"/>
        <color rgb="FF63BE7B"/>
      </colorScale>
    </cfRule>
  </conditionalFormatting>
  <conditionalFormatting sqref="T63 X63">
    <cfRule type="colorScale" priority="46">
      <colorScale>
        <cfvo type="min"/>
        <cfvo type="percentile" val="50"/>
        <cfvo type="max"/>
        <color rgb="FFF8696B"/>
        <color rgb="FFFFEB84"/>
        <color rgb="FF63BE7B"/>
      </colorScale>
    </cfRule>
  </conditionalFormatting>
  <conditionalFormatting sqref="T64 X64">
    <cfRule type="colorScale" priority="45">
      <colorScale>
        <cfvo type="min"/>
        <cfvo type="percentile" val="50"/>
        <cfvo type="max"/>
        <color rgb="FFF8696B"/>
        <color rgb="FFFFEB84"/>
        <color rgb="FF63BE7B"/>
      </colorScale>
    </cfRule>
  </conditionalFormatting>
  <conditionalFormatting sqref="T65 X65">
    <cfRule type="colorScale" priority="44">
      <colorScale>
        <cfvo type="min"/>
        <cfvo type="percentile" val="50"/>
        <cfvo type="max"/>
        <color rgb="FFF8696B"/>
        <color rgb="FFFFEB84"/>
        <color rgb="FF63BE7B"/>
      </colorScale>
    </cfRule>
  </conditionalFormatting>
  <conditionalFormatting sqref="T66 X66">
    <cfRule type="colorScale" priority="43">
      <colorScale>
        <cfvo type="min"/>
        <cfvo type="percentile" val="50"/>
        <cfvo type="max"/>
        <color rgb="FFF8696B"/>
        <color rgb="FFFFEB84"/>
        <color rgb="FF63BE7B"/>
      </colorScale>
    </cfRule>
  </conditionalFormatting>
  <conditionalFormatting sqref="T67 X67">
    <cfRule type="colorScale" priority="42">
      <colorScale>
        <cfvo type="min"/>
        <cfvo type="percentile" val="50"/>
        <cfvo type="max"/>
        <color rgb="FFF8696B"/>
        <color rgb="FFFFEB84"/>
        <color rgb="FF63BE7B"/>
      </colorScale>
    </cfRule>
  </conditionalFormatting>
  <conditionalFormatting sqref="T68 X68">
    <cfRule type="colorScale" priority="41">
      <colorScale>
        <cfvo type="min"/>
        <cfvo type="percentile" val="50"/>
        <cfvo type="max"/>
        <color rgb="FFF8696B"/>
        <color rgb="FFFFEB84"/>
        <color rgb="FF63BE7B"/>
      </colorScale>
    </cfRule>
  </conditionalFormatting>
  <conditionalFormatting sqref="X69 T69">
    <cfRule type="colorScale" priority="40">
      <colorScale>
        <cfvo type="min"/>
        <cfvo type="percentile" val="50"/>
        <cfvo type="max"/>
        <color rgb="FFF8696B"/>
        <color rgb="FFFFEB84"/>
        <color rgb="FF63BE7B"/>
      </colorScale>
    </cfRule>
  </conditionalFormatting>
  <conditionalFormatting sqref="X70 T70">
    <cfRule type="colorScale" priority="39">
      <colorScale>
        <cfvo type="min"/>
        <cfvo type="percentile" val="50"/>
        <cfvo type="max"/>
        <color rgb="FFF8696B"/>
        <color rgb="FFFFEB84"/>
        <color rgb="FF63BE7B"/>
      </colorScale>
    </cfRule>
  </conditionalFormatting>
  <conditionalFormatting sqref="X71 T71">
    <cfRule type="colorScale" priority="38">
      <colorScale>
        <cfvo type="min"/>
        <cfvo type="percentile" val="50"/>
        <cfvo type="max"/>
        <color rgb="FFF8696B"/>
        <color rgb="FFFFEB84"/>
        <color rgb="FF63BE7B"/>
      </colorScale>
    </cfRule>
  </conditionalFormatting>
  <conditionalFormatting sqref="T72 X72">
    <cfRule type="colorScale" priority="37">
      <colorScale>
        <cfvo type="min"/>
        <cfvo type="percentile" val="50"/>
        <cfvo type="max"/>
        <color rgb="FFF8696B"/>
        <color rgb="FFFFEB84"/>
        <color rgb="FF63BE7B"/>
      </colorScale>
    </cfRule>
  </conditionalFormatting>
  <conditionalFormatting sqref="T73 X73">
    <cfRule type="colorScale" priority="36">
      <colorScale>
        <cfvo type="min"/>
        <cfvo type="percentile" val="50"/>
        <cfvo type="max"/>
        <color rgb="FFF8696B"/>
        <color rgb="FFFFEB84"/>
        <color rgb="FF63BE7B"/>
      </colorScale>
    </cfRule>
  </conditionalFormatting>
  <conditionalFormatting sqref="T74 X74">
    <cfRule type="colorScale" priority="35">
      <colorScale>
        <cfvo type="min"/>
        <cfvo type="percentile" val="50"/>
        <cfvo type="max"/>
        <color rgb="FFF8696B"/>
        <color rgb="FFFFEB84"/>
        <color rgb="FF63BE7B"/>
      </colorScale>
    </cfRule>
  </conditionalFormatting>
  <conditionalFormatting sqref="T75 X75">
    <cfRule type="colorScale" priority="34">
      <colorScale>
        <cfvo type="min"/>
        <cfvo type="percentile" val="50"/>
        <cfvo type="max"/>
        <color rgb="FFF8696B"/>
        <color rgb="FFFFEB84"/>
        <color rgb="FF63BE7B"/>
      </colorScale>
    </cfRule>
  </conditionalFormatting>
  <conditionalFormatting sqref="T76 X76">
    <cfRule type="colorScale" priority="33">
      <colorScale>
        <cfvo type="min"/>
        <cfvo type="percentile" val="50"/>
        <cfvo type="max"/>
        <color rgb="FFF8696B"/>
        <color rgb="FFFFEB84"/>
        <color rgb="FF63BE7B"/>
      </colorScale>
    </cfRule>
  </conditionalFormatting>
  <conditionalFormatting sqref="T77 X77">
    <cfRule type="colorScale" priority="32">
      <colorScale>
        <cfvo type="min"/>
        <cfvo type="percentile" val="50"/>
        <cfvo type="max"/>
        <color rgb="FFF8696B"/>
        <color rgb="FFFFEB84"/>
        <color rgb="FF63BE7B"/>
      </colorScale>
    </cfRule>
  </conditionalFormatting>
  <conditionalFormatting sqref="T78 X78">
    <cfRule type="colorScale" priority="31">
      <colorScale>
        <cfvo type="min"/>
        <cfvo type="percentile" val="50"/>
        <cfvo type="max"/>
        <color rgb="FFF8696B"/>
        <color rgb="FFFFEB84"/>
        <color rgb="FF63BE7B"/>
      </colorScale>
    </cfRule>
  </conditionalFormatting>
  <conditionalFormatting sqref="X79 T79">
    <cfRule type="colorScale" priority="30">
      <colorScale>
        <cfvo type="min"/>
        <cfvo type="percentile" val="50"/>
        <cfvo type="max"/>
        <color rgb="FFF8696B"/>
        <color rgb="FFFFEB84"/>
        <color rgb="FF63BE7B"/>
      </colorScale>
    </cfRule>
  </conditionalFormatting>
  <conditionalFormatting sqref="T79">
    <cfRule type="colorScale" priority="29">
      <colorScale>
        <cfvo type="min"/>
        <cfvo type="percentile" val="50"/>
        <cfvo type="max"/>
        <color rgb="FFF8696B"/>
        <color rgb="FFFFEB84"/>
        <color rgb="FF63BE7B"/>
      </colorScale>
    </cfRule>
  </conditionalFormatting>
  <conditionalFormatting sqref="X80 T80">
    <cfRule type="colorScale" priority="28">
      <colorScale>
        <cfvo type="min"/>
        <cfvo type="percentile" val="50"/>
        <cfvo type="max"/>
        <color rgb="FFF8696B"/>
        <color rgb="FFFFEB84"/>
        <color rgb="FF63BE7B"/>
      </colorScale>
    </cfRule>
  </conditionalFormatting>
  <conditionalFormatting sqref="X81 T81">
    <cfRule type="colorScale" priority="27">
      <colorScale>
        <cfvo type="min"/>
        <cfvo type="percentile" val="50"/>
        <cfvo type="max"/>
        <color rgb="FFF8696B"/>
        <color rgb="FFFFEB84"/>
        <color rgb="FF63BE7B"/>
      </colorScale>
    </cfRule>
  </conditionalFormatting>
  <conditionalFormatting sqref="T82 X82">
    <cfRule type="colorScale" priority="26">
      <colorScale>
        <cfvo type="min"/>
        <cfvo type="percentile" val="50"/>
        <cfvo type="max"/>
        <color rgb="FFF8696B"/>
        <color rgb="FFFFEB84"/>
        <color rgb="FF63BE7B"/>
      </colorScale>
    </cfRule>
  </conditionalFormatting>
  <conditionalFormatting sqref="T83 X83">
    <cfRule type="colorScale" priority="25">
      <colorScale>
        <cfvo type="min"/>
        <cfvo type="percentile" val="50"/>
        <cfvo type="max"/>
        <color rgb="FFF8696B"/>
        <color rgb="FFFFEB84"/>
        <color rgb="FF63BE7B"/>
      </colorScale>
    </cfRule>
  </conditionalFormatting>
  <conditionalFormatting sqref="T84 X84">
    <cfRule type="colorScale" priority="24">
      <colorScale>
        <cfvo type="min"/>
        <cfvo type="percentile" val="50"/>
        <cfvo type="max"/>
        <color rgb="FFF8696B"/>
        <color rgb="FFFFEB84"/>
        <color rgb="FF63BE7B"/>
      </colorScale>
    </cfRule>
  </conditionalFormatting>
  <conditionalFormatting sqref="T85 X85">
    <cfRule type="colorScale" priority="23">
      <colorScale>
        <cfvo type="min"/>
        <cfvo type="percentile" val="50"/>
        <cfvo type="max"/>
        <color rgb="FFF8696B"/>
        <color rgb="FFFFEB84"/>
        <color rgb="FF63BE7B"/>
      </colorScale>
    </cfRule>
  </conditionalFormatting>
  <conditionalFormatting sqref="T86 X86">
    <cfRule type="colorScale" priority="22">
      <colorScale>
        <cfvo type="min"/>
        <cfvo type="percentile" val="50"/>
        <cfvo type="max"/>
        <color rgb="FFF8696B"/>
        <color rgb="FFFFEB84"/>
        <color rgb="FF63BE7B"/>
      </colorScale>
    </cfRule>
  </conditionalFormatting>
  <conditionalFormatting sqref="T87 X87">
    <cfRule type="colorScale" priority="21">
      <colorScale>
        <cfvo type="min"/>
        <cfvo type="percentile" val="50"/>
        <cfvo type="max"/>
        <color rgb="FFF8696B"/>
        <color rgb="FFFFEB84"/>
        <color rgb="FF63BE7B"/>
      </colorScale>
    </cfRule>
  </conditionalFormatting>
  <conditionalFormatting sqref="T88 X88">
    <cfRule type="colorScale" priority="20">
      <colorScale>
        <cfvo type="min"/>
        <cfvo type="percentile" val="50"/>
        <cfvo type="max"/>
        <color rgb="FFF8696B"/>
        <color rgb="FFFFEB84"/>
        <color rgb="FF63BE7B"/>
      </colorScale>
    </cfRule>
  </conditionalFormatting>
  <conditionalFormatting sqref="T89 X89">
    <cfRule type="colorScale" priority="19">
      <colorScale>
        <cfvo type="min"/>
        <cfvo type="percentile" val="50"/>
        <cfvo type="max"/>
        <color rgb="FFF8696B"/>
        <color rgb="FFFFEB84"/>
        <color rgb="FF63BE7B"/>
      </colorScale>
    </cfRule>
  </conditionalFormatting>
  <conditionalFormatting sqref="T90 X90">
    <cfRule type="colorScale" priority="18">
      <colorScale>
        <cfvo type="min"/>
        <cfvo type="percentile" val="50"/>
        <cfvo type="max"/>
        <color rgb="FFF8696B"/>
        <color rgb="FFFFEB84"/>
        <color rgb="FF63BE7B"/>
      </colorScale>
    </cfRule>
  </conditionalFormatting>
  <conditionalFormatting sqref="T91 X91">
    <cfRule type="colorScale" priority="17">
      <colorScale>
        <cfvo type="min"/>
        <cfvo type="percentile" val="50"/>
        <cfvo type="max"/>
        <color rgb="FFF8696B"/>
        <color rgb="FFFFEB84"/>
        <color rgb="FF63BE7B"/>
      </colorScale>
    </cfRule>
  </conditionalFormatting>
  <conditionalFormatting sqref="X92 T92">
    <cfRule type="colorScale" priority="16">
      <colorScale>
        <cfvo type="min"/>
        <cfvo type="percentile" val="50"/>
        <cfvo type="max"/>
        <color rgb="FFF8696B"/>
        <color rgb="FFFFEB84"/>
        <color rgb="FF63BE7B"/>
      </colorScale>
    </cfRule>
  </conditionalFormatting>
  <conditionalFormatting sqref="T93 X93">
    <cfRule type="colorScale" priority="15">
      <colorScale>
        <cfvo type="min"/>
        <cfvo type="percentile" val="50"/>
        <cfvo type="max"/>
        <color rgb="FFF8696B"/>
        <color rgb="FFFFEB84"/>
        <color rgb="FF63BE7B"/>
      </colorScale>
    </cfRule>
  </conditionalFormatting>
  <conditionalFormatting sqref="X94 T94">
    <cfRule type="colorScale" priority="14">
      <colorScale>
        <cfvo type="min"/>
        <cfvo type="percentile" val="50"/>
        <cfvo type="max"/>
        <color rgb="FFF8696B"/>
        <color rgb="FFFFEB84"/>
        <color rgb="FF63BE7B"/>
      </colorScale>
    </cfRule>
  </conditionalFormatting>
  <conditionalFormatting sqref="X95 T95">
    <cfRule type="colorScale" priority="13">
      <colorScale>
        <cfvo type="min"/>
        <cfvo type="percentile" val="50"/>
        <cfvo type="max"/>
        <color rgb="FFF8696B"/>
        <color rgb="FFFFEB84"/>
        <color rgb="FF63BE7B"/>
      </colorScale>
    </cfRule>
  </conditionalFormatting>
  <conditionalFormatting sqref="T96 X96">
    <cfRule type="colorScale" priority="12">
      <colorScale>
        <cfvo type="min"/>
        <cfvo type="percentile" val="50"/>
        <cfvo type="max"/>
        <color rgb="FFF8696B"/>
        <color rgb="FFFFEB84"/>
        <color rgb="FF63BE7B"/>
      </colorScale>
    </cfRule>
  </conditionalFormatting>
  <conditionalFormatting sqref="T97:X97">
    <cfRule type="colorScale" priority="10">
      <colorScale>
        <cfvo type="min"/>
        <cfvo type="percentile" val="50"/>
        <cfvo type="max"/>
        <color rgb="FFF8696B"/>
        <color rgb="FFFFEB84"/>
        <color rgb="FF63BE7B"/>
      </colorScale>
    </cfRule>
  </conditionalFormatting>
  <conditionalFormatting sqref="T97:X97">
    <cfRule type="colorScale" priority="9">
      <colorScale>
        <cfvo type="min"/>
        <cfvo type="percentile" val="50"/>
        <cfvo type="max"/>
        <color rgb="FFF8696B"/>
        <color rgb="FFFFEB84"/>
        <color rgb="FF63BE7B"/>
      </colorScale>
    </cfRule>
  </conditionalFormatting>
  <conditionalFormatting sqref="I27:J27">
    <cfRule type="expression" dxfId="2065" priority="8">
      <formula>ROW()=CELL("row")</formula>
    </cfRule>
  </conditionalFormatting>
  <conditionalFormatting sqref="A98:DN101 A3:DO97">
    <cfRule type="expression" dxfId="2064" priority="7">
      <formula>AND(ROW()&gt;2, ROW()=SelRowNum)</formula>
    </cfRule>
  </conditionalFormatting>
  <conditionalFormatting sqref="DA2:DA97">
    <cfRule type="cellIs" dxfId="2063" priority="6" operator="lessThan">
      <formula>0</formula>
    </cfRule>
  </conditionalFormatting>
  <conditionalFormatting sqref="K3:K96">
    <cfRule type="expression" dxfId="2062" priority="2061">
      <formula>$K3&gt;MAX(ABS($L3),$I3)</formula>
    </cfRule>
    <cfRule type="expression" dxfId="2061" priority="2062" stopIfTrue="1">
      <formula>$I3&gt;$L3</formula>
    </cfRule>
    <cfRule type="expression" dxfId="2060" priority="2063">
      <formula>$K3&lt;MIN(ABS($L3),$I3)</formula>
    </cfRule>
  </conditionalFormatting>
  <conditionalFormatting sqref="L3:L96 J3:J96">
    <cfRule type="expression" dxfId="2059" priority="2064">
      <formula>ABS($L3)&lt;MIN($I3,$K3)</formula>
    </cfRule>
    <cfRule type="expression" dxfId="2058" priority="2065" stopIfTrue="1">
      <formula>$I3&gt;$K3</formula>
    </cfRule>
    <cfRule type="expression" dxfId="2057" priority="2066" stopIfTrue="1">
      <formula>ABS($L3)&gt;$I3</formula>
    </cfRule>
    <cfRule type="expression" dxfId="2056" priority="2067">
      <formula>ABS($L3)&gt;MAX($I3,$K3)</formula>
    </cfRule>
  </conditionalFormatting>
  <conditionalFormatting sqref="AP1:AR1">
    <cfRule type="colorScale" priority="1">
      <colorScale>
        <cfvo type="min"/>
        <cfvo type="percentile" val="50"/>
        <cfvo type="max"/>
        <color rgb="FFF8696B"/>
        <color rgb="FFFFEB84"/>
        <color rgb="FF63BE7B"/>
      </colorScale>
    </cfRule>
  </conditionalFormatting>
  <conditionalFormatting sqref="P3:P96 T3:T96 X3:X96">
    <cfRule type="colorScale" priority="2776">
      <colorScale>
        <cfvo type="min"/>
        <cfvo type="percentile" val="50"/>
        <cfvo type="max"/>
        <color rgb="FFF8696B"/>
        <color rgb="FFFFEB84"/>
        <color rgb="FF63BE7B"/>
      </colorScale>
    </cfRule>
  </conditionalFormatting>
  <conditionalFormatting sqref="X3:X96 T3">
    <cfRule type="colorScale" priority="2779">
      <colorScale>
        <cfvo type="min"/>
        <cfvo type="percentile" val="50"/>
        <cfvo type="max"/>
        <color rgb="FFF8696B"/>
        <color rgb="FFFFEB84"/>
        <color rgb="FF63BE7B"/>
      </colorScale>
    </cfRule>
  </conditionalFormatting>
  <conditionalFormatting sqref="AP3:AP96">
    <cfRule type="colorScale" priority="2781">
      <colorScale>
        <cfvo type="min"/>
        <cfvo type="percentile" val="50"/>
        <cfvo type="max"/>
        <color rgb="FFF8696B"/>
        <color rgb="FFFFEB84"/>
        <color rgb="FF63BE7B"/>
      </colorScale>
    </cfRule>
  </conditionalFormatting>
  <conditionalFormatting sqref="AQ3:AQ96">
    <cfRule type="colorScale" priority="2782">
      <colorScale>
        <cfvo type="min"/>
        <cfvo type="percentile" val="50"/>
        <cfvo type="max"/>
        <color rgb="FFF8696B"/>
        <color rgb="FFFFEB84"/>
        <color rgb="FF63BE7B"/>
      </colorScale>
    </cfRule>
  </conditionalFormatting>
  <conditionalFormatting sqref="AR3:AR96">
    <cfRule type="colorScale" priority="2783">
      <colorScale>
        <cfvo type="min"/>
        <cfvo type="percentile" val="50"/>
        <cfvo type="max"/>
        <color rgb="FFF8696B"/>
        <color rgb="FFFFEB84"/>
        <color rgb="FF63BE7B"/>
      </colorScale>
    </cfRule>
  </conditionalFormatting>
  <conditionalFormatting sqref="M3:M96">
    <cfRule type="colorScale" priority="2784">
      <colorScale>
        <cfvo type="min"/>
        <cfvo type="percentile" val="50"/>
        <cfvo type="max"/>
        <color rgb="FFF8696B"/>
        <color rgb="FFFCFCFF"/>
        <color rgb="FF63BE7B"/>
      </colorScale>
    </cfRule>
  </conditionalFormatting>
  <pageMargins left="0.7" right="0.7" top="0.75" bottom="0.75" header="0.3" footer="0.3"/>
  <legacyDrawing r:id="rId1"/>
  <tableParts count="2">
    <tablePart r:id="rId2"/>
    <tablePart r:id="rId3"/>
  </tableParts>
  <extLst>
    <ext xmlns:x14="http://schemas.microsoft.com/office/spreadsheetml/2009/9/main" uri="{78C0D931-6437-407d-A8EE-F0AAD7539E65}">
      <x14:conditionalFormattings>
        <x14:conditionalFormatting xmlns:xm="http://schemas.microsoft.com/office/excel/2006/main">
          <x14:cfRule type="containsText" priority="113" operator="containsText" id="{04B24366-0EED-2043-A841-9DBD416BAFA4}">
            <xm:f>NOT(ISERROR(SEARCH("-",Y2)))</xm:f>
            <xm:f>"-"</xm:f>
            <x14:dxf>
              <font>
                <color rgb="FF9C0006"/>
              </font>
              <fill>
                <patternFill>
                  <bgColor rgb="FFFFC7CE"/>
                </patternFill>
              </fill>
            </x14:dxf>
          </x14:cfRule>
          <xm:sqref>Y2:Y97</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40A4D-83A6-9E4A-BB4A-E39E753E45B3}">
  <sheetPr codeName="Sheet4">
    <tabColor rgb="FFFFFF00"/>
  </sheetPr>
  <dimension ref="A1:P112"/>
  <sheetViews>
    <sheetView workbookViewId="0">
      <pane xSplit="1" ySplit="4" topLeftCell="B72" activePane="bottomRight" state="frozen"/>
      <selection pane="topRight" activeCell="B1" sqref="B1"/>
      <selection pane="bottomLeft" activeCell="A5" sqref="A5"/>
      <selection pane="bottomRight" activeCell="C95" sqref="C95"/>
    </sheetView>
  </sheetViews>
  <sheetFormatPr baseColWidth="10" defaultRowHeight="22"/>
  <cols>
    <col min="1" max="1" width="12.75" customWidth="1"/>
    <col min="3" max="3" width="69.875" customWidth="1"/>
    <col min="5" max="5" width="10.625" style="1"/>
    <col min="6" max="6" width="22" customWidth="1"/>
    <col min="10" max="10" width="51.625" bestFit="1" customWidth="1"/>
    <col min="11" max="11" width="19" customWidth="1"/>
    <col min="16" max="16" width="75.5" bestFit="1" customWidth="1"/>
  </cols>
  <sheetData>
    <row r="1" spans="1:16" ht="23" thickBot="1">
      <c r="A1" s="63"/>
      <c r="B1" s="63"/>
      <c r="C1" s="63"/>
    </row>
    <row r="2" spans="1:16" ht="23" thickBot="1">
      <c r="A2" s="63" t="s">
        <v>160</v>
      </c>
      <c r="B2" s="64">
        <f ca="1">WORKDAY(B3,-1)</f>
        <v>45954</v>
      </c>
      <c r="C2" s="63" t="s">
        <v>2661</v>
      </c>
      <c r="D2" s="1179" t="s">
        <v>2549</v>
      </c>
      <c r="E2" s="1270"/>
      <c r="F2" s="1180"/>
      <c r="G2" s="1180"/>
      <c r="H2" s="543"/>
      <c r="I2" s="69"/>
      <c r="J2" s="589" t="s">
        <v>2629</v>
      </c>
    </row>
    <row r="3" spans="1:16">
      <c r="A3" s="63" t="s">
        <v>0</v>
      </c>
      <c r="B3" s="1262">
        <f ca="1">TODAY()</f>
        <v>45956</v>
      </c>
      <c r="C3" s="1301" t="s">
        <v>2658</v>
      </c>
      <c r="D3" s="1174">
        <f ca="1">_xlfn.XLOOKUP(A3,TabCalc[Ticker],TabCalc[Ch_Today])</f>
        <v>1.2482E-2</v>
      </c>
      <c r="E3" s="1271">
        <f ca="1">_xlfn.XLOOKUP(A3,TabCalc[Ticker],TabCalc[Agiotage])</f>
        <v>0.72655349107793532</v>
      </c>
      <c r="F3" s="1136" t="str">
        <f ca="1">IFERROR( _xlfn.LET(_xlpm.nma,_xlfn.XLOOKUP(A3,TabCalc[Ticker],TabCalc[NMA]),_xlpm.revenue,_xlfn.XLOOKUP(A3,TabCalc[Ticker],TabCalc[Revenue]),_xlpm.nma&amp;"="&amp;TEXT(_xlpm.revenue,"#,#0")&amp;"@M: "&amp;H3),"")</f>
        <v>99=26,019@M: 262.82</v>
      </c>
      <c r="G3" s="1175">
        <f ca="1">IF(A3=IDTICKER,ID_Up20,_xlfn.XLOOKUP(A3,TabCalc[Ticker],TabCalc[Up20]))</f>
        <v>0.5</v>
      </c>
      <c r="H3" s="1139">
        <f ca="1">_xlfn.XLOOKUP(A3,TabCalc[Ticker],TabCalc[M])</f>
        <v>262.82</v>
      </c>
      <c r="I3" s="1168">
        <f ca="1">TODAY()</f>
        <v>45956</v>
      </c>
      <c r="J3" s="1275" t="str">
        <f ca="1">IFERROR("("&amp;TEXT(D3,"#0.0%")&amp;":"&amp;INT(100*E3)&amp;"%)@"&amp;TEXT(H3,"#,#0.#0")&amp;":("&amp;F3&amp;")"&amp;"&gt;UpMark "&amp;TEXT(G3,"#,#0%"),"Formulas ready to copy below")</f>
        <v>(1.2%:72%)@262.82:(99=26,019@M: 262.82)&gt;UpMark 50%</v>
      </c>
    </row>
    <row r="4" spans="1:16">
      <c r="A4" s="65" t="s">
        <v>161</v>
      </c>
      <c r="B4" s="1398" t="s">
        <v>2750</v>
      </c>
      <c r="C4" s="1132" t="s">
        <v>2528</v>
      </c>
      <c r="D4" s="1" t="s">
        <v>195</v>
      </c>
      <c r="E4" s="1" t="s">
        <v>661</v>
      </c>
      <c r="F4" t="s">
        <v>2540</v>
      </c>
      <c r="G4" t="s">
        <v>2529</v>
      </c>
      <c r="H4" s="1399" t="s">
        <v>2751</v>
      </c>
      <c r="I4" t="s">
        <v>2547</v>
      </c>
      <c r="J4" t="s">
        <v>1883</v>
      </c>
      <c r="K4" t="s">
        <v>188</v>
      </c>
      <c r="L4" t="s">
        <v>187</v>
      </c>
      <c r="M4" t="s">
        <v>201</v>
      </c>
      <c r="N4" t="s">
        <v>2625</v>
      </c>
      <c r="O4" t="s">
        <v>203</v>
      </c>
      <c r="P4" t="s">
        <v>2626</v>
      </c>
    </row>
    <row r="5" spans="1:16" ht="23" thickBot="1">
      <c r="A5" s="1131" t="str">
        <f ca="1">Calc!H3</f>
        <v>AAPL</v>
      </c>
      <c r="B5" s="1133">
        <v>45919</v>
      </c>
      <c r="C5" s="66" t="s">
        <v>1397</v>
      </c>
      <c r="D5" s="1174">
        <v>6.5769999999999995E-3</v>
      </c>
      <c r="E5" s="1271">
        <v>0.74760392726501756</v>
      </c>
      <c r="F5" s="1136" t="s">
        <v>2580</v>
      </c>
      <c r="G5" s="1175">
        <v>0.6</v>
      </c>
      <c r="H5" s="1139">
        <f ca="1">_xlfn.XLOOKUP(A5,TabCalc[Ticker],TabCalc[M])</f>
        <v>262.82</v>
      </c>
      <c r="I5" s="1168">
        <v>45932</v>
      </c>
      <c r="J5" s="1187" t="s">
        <v>2583</v>
      </c>
      <c r="K5" s="223" t="e">
        <f ca="1">_xlfn.XLOOKUP(G5,TabCalc[Ticker],TabCalc[Agiotage])</f>
        <v>#N/A</v>
      </c>
      <c r="L5" s="93" t="str">
        <f ca="1">IFERROR( _xlfn.LET(_xlpm.nma,_xlfn.XLOOKUP(G5,TabCalc[Ticker],TabCalc[NMA]),_xlpm.revenue,_xlfn.XLOOKUP(G5,TabCalc[Ticker],TabCalc[Revenue]),_xlpm.nma&amp;"="&amp;TEXT(_xlpm.revenue,"#,#0")&amp;"@M: "&amp;N5),"")</f>
        <v/>
      </c>
      <c r="M5" s="223" t="e">
        <f ca="1">_xlfn.XLOOKUP(G5,TabCalc[Ticker],TabCalc[Up20])</f>
        <v>#N/A</v>
      </c>
      <c r="N5" s="83" t="e">
        <f ca="1">_xlfn.XLOOKUP(G5,TabCalc[Ticker],TabCalc[M])</f>
        <v>#N/A</v>
      </c>
      <c r="O5" s="62">
        <f t="shared" ref="O5:O36" ca="1" si="0">TODAY()</f>
        <v>45956</v>
      </c>
      <c r="P5" t="str">
        <f t="shared" ref="P5:P36" ca="1" si="1">IFERROR("("&amp;TEXT(J5,"#0.0%")&amp;":"&amp;INT(100*K5)&amp;"%)@"&amp;TEXT(N5,"#,#0.#0")&amp;":("&amp;L5&amp;")"&amp;"&gt;UpMark "&amp;TEXT(M5,"#,#0%"),"Formulas ready to copy below")</f>
        <v>Formulas ready to copy below</v>
      </c>
    </row>
    <row r="6" spans="1:16" ht="23" thickBot="1">
      <c r="A6" s="1131" t="str">
        <f ca="1">Calc!H4</f>
        <v>ADEA</v>
      </c>
      <c r="B6" s="1133">
        <v>45460</v>
      </c>
      <c r="C6" s="66" t="s">
        <v>1398</v>
      </c>
      <c r="D6" s="1135">
        <v>5.4279999999999997E-3</v>
      </c>
      <c r="E6" s="1271">
        <v>1.1414229424244919</v>
      </c>
      <c r="F6" s="1136">
        <v>23137.960000000003</v>
      </c>
      <c r="G6" s="1137">
        <v>0.47619047619047616</v>
      </c>
      <c r="H6" s="1139">
        <f ca="1">_xlfn.XLOOKUP(A6,TabCalc[Ticker],TabCalc[M])</f>
        <v>17.100000000000001</v>
      </c>
      <c r="I6" s="62">
        <v>45925</v>
      </c>
      <c r="K6" s="223" t="e">
        <f ca="1">_xlfn.XLOOKUP(G6,TabCalc[Ticker],TabCalc[Agiotage])</f>
        <v>#N/A</v>
      </c>
      <c r="L6" s="93" t="str">
        <f ca="1">IFERROR( _xlfn.LET(_xlpm.nma,_xlfn.XLOOKUP(G6,TabCalc[Ticker],TabCalc[NMA]),_xlpm.revenue,_xlfn.XLOOKUP(G6,TabCalc[Ticker],TabCalc[Revenue]),_xlpm.nma&amp;"="&amp;TEXT(_xlpm.revenue,"#,#0")&amp;"@M: "&amp;N6),"")</f>
        <v/>
      </c>
      <c r="M6" s="223" t="e">
        <f ca="1">_xlfn.XLOOKUP(G6,TabCalc[Ticker],TabCalc[Up20])</f>
        <v>#N/A</v>
      </c>
      <c r="N6" s="83" t="e">
        <f ca="1">_xlfn.XLOOKUP(G6,TabCalc[Ticker],TabCalc[M])</f>
        <v>#N/A</v>
      </c>
      <c r="O6" s="62">
        <f t="shared" ca="1" si="0"/>
        <v>45956</v>
      </c>
      <c r="P6" t="str">
        <f t="shared" ca="1" si="1"/>
        <v>Formulas ready to copy below</v>
      </c>
    </row>
    <row r="7" spans="1:16" ht="23" thickBot="1">
      <c r="A7" s="1131" t="str">
        <f ca="1">Calc!H5</f>
        <v>AET</v>
      </c>
      <c r="B7" s="1133">
        <v>45938</v>
      </c>
      <c r="C7" s="1302">
        <v>46</v>
      </c>
      <c r="D7" s="1174">
        <v>2.16E-3</v>
      </c>
      <c r="E7" s="1271">
        <v>1.4121423885450242</v>
      </c>
      <c r="F7" s="1136" t="s">
        <v>2670</v>
      </c>
      <c r="G7" s="1175">
        <v>0.29411764705882354</v>
      </c>
      <c r="H7" s="1139">
        <f ca="1">_xlfn.XLOOKUP(A7,TabCalc[Ticker],TabCalc[M])</f>
        <v>45.8</v>
      </c>
      <c r="I7" s="1168">
        <v>45939</v>
      </c>
      <c r="J7" s="1275" t="s">
        <v>2677</v>
      </c>
      <c r="K7" s="223" t="e">
        <f ca="1">_xlfn.XLOOKUP(G7,TabCalc[Ticker],TabCalc[Agiotage])</f>
        <v>#N/A</v>
      </c>
      <c r="L7" s="93" t="str">
        <f ca="1">IFERROR( _xlfn.LET(_xlpm.nma,_xlfn.XLOOKUP(G7,TabCalc[Ticker],TabCalc[NMA]),_xlpm.revenue,_xlfn.XLOOKUP(G7,TabCalc[Ticker],TabCalc[Revenue]),_xlpm.nma&amp;"="&amp;TEXT(_xlpm.revenue,"#,#0")&amp;"@M: "&amp;N7),"")</f>
        <v/>
      </c>
      <c r="M7" s="223" t="e">
        <f ca="1">_xlfn.XLOOKUP(G7,TabCalc[Ticker],TabCalc[Up20])</f>
        <v>#N/A</v>
      </c>
      <c r="N7" s="83" t="e">
        <f ca="1">_xlfn.XLOOKUP(G7,TabCalc[Ticker],TabCalc[M])</f>
        <v>#N/A</v>
      </c>
      <c r="O7" s="62">
        <f t="shared" ca="1" si="0"/>
        <v>45956</v>
      </c>
      <c r="P7" t="str">
        <f t="shared" ca="1" si="1"/>
        <v>Formulas ready to copy below</v>
      </c>
    </row>
    <row r="8" spans="1:16" ht="23" thickBot="1">
      <c r="A8" s="1131" t="str">
        <f ca="1">Calc!H6</f>
        <v>AMZN</v>
      </c>
      <c r="B8" s="1133">
        <v>45933</v>
      </c>
      <c r="C8" s="66" t="s">
        <v>2590</v>
      </c>
      <c r="D8" s="1174">
        <v>-1.3039E-2</v>
      </c>
      <c r="E8" s="1271">
        <v>0.9807419355180127</v>
      </c>
      <c r="F8" s="1136" t="s">
        <v>2596</v>
      </c>
      <c r="G8" s="1175">
        <v>0</v>
      </c>
      <c r="H8" s="1139">
        <f ca="1">_xlfn.XLOOKUP(A8,TabCalc[Ticker],TabCalc[M])</f>
        <v>224.21</v>
      </c>
      <c r="I8" s="1168">
        <v>45933</v>
      </c>
      <c r="J8" s="1275" t="s">
        <v>2603</v>
      </c>
      <c r="K8" s="223" t="e">
        <f ca="1">_xlfn.XLOOKUP(G8,TabCalc[Ticker],TabCalc[Agiotage])</f>
        <v>#N/A</v>
      </c>
      <c r="L8" s="93" t="str">
        <f ca="1">IFERROR( _xlfn.LET(_xlpm.nma,_xlfn.XLOOKUP(G8,TabCalc[Ticker],TabCalc[NMA]),_xlpm.revenue,_xlfn.XLOOKUP(G8,TabCalc[Ticker],TabCalc[Revenue]),_xlpm.nma&amp;"="&amp;TEXT(_xlpm.revenue,"#,#0")&amp;"@M: "&amp;N8),"")</f>
        <v/>
      </c>
      <c r="M8" s="223" t="e">
        <f ca="1">_xlfn.XLOOKUP(G8,TabCalc[Ticker],TabCalc[Up20])</f>
        <v>#N/A</v>
      </c>
      <c r="N8" s="83" t="e">
        <f ca="1">_xlfn.XLOOKUP(G8,TabCalc[Ticker],TabCalc[M])</f>
        <v>#N/A</v>
      </c>
      <c r="O8" s="62">
        <f t="shared" ca="1" si="0"/>
        <v>45956</v>
      </c>
      <c r="P8" t="str">
        <f t="shared" ca="1" si="1"/>
        <v>Formulas ready to copy below</v>
      </c>
    </row>
    <row r="9" spans="1:16" ht="23" thickBot="1">
      <c r="A9" s="1131" t="str">
        <f ca="1">Calc!H7</f>
        <v>ALDNE</v>
      </c>
      <c r="B9" s="1133">
        <v>45460</v>
      </c>
      <c r="C9" s="66" t="s">
        <v>1399</v>
      </c>
      <c r="D9" s="310">
        <v>-2.5463E-2</v>
      </c>
      <c r="E9" s="316">
        <v>2.6456</v>
      </c>
      <c r="F9" s="93"/>
      <c r="G9" s="90">
        <v>0</v>
      </c>
      <c r="H9" s="1139">
        <f ca="1">_xlfn.XLOOKUP(A9,TabCalc[Ticker],TabCalc[M])</f>
        <v>0.82599999999999996</v>
      </c>
      <c r="I9" s="62">
        <v>45925</v>
      </c>
      <c r="K9" s="223" t="e">
        <f ca="1">_xlfn.XLOOKUP(G9,TabCalc[Ticker],TabCalc[Agiotage])</f>
        <v>#N/A</v>
      </c>
      <c r="L9" s="93" t="str">
        <f ca="1">IFERROR( _xlfn.LET(_xlpm.nma,_xlfn.XLOOKUP(G9,TabCalc[Ticker],TabCalc[NMA]),_xlpm.revenue,_xlfn.XLOOKUP(G9,TabCalc[Ticker],TabCalc[Revenue]),_xlpm.nma&amp;"="&amp;TEXT(_xlpm.revenue,"#,#0")&amp;"@M: "&amp;N9),"")</f>
        <v/>
      </c>
      <c r="M9" s="223" t="e">
        <f ca="1">_xlfn.XLOOKUP(G9,TabCalc[Ticker],TabCalc[Up20])</f>
        <v>#N/A</v>
      </c>
      <c r="N9" s="83" t="e">
        <f ca="1">_xlfn.XLOOKUP(G9,TabCalc[Ticker],TabCalc[M])</f>
        <v>#N/A</v>
      </c>
      <c r="O9" s="62">
        <f t="shared" ca="1" si="0"/>
        <v>45956</v>
      </c>
      <c r="P9" t="str">
        <f t="shared" ca="1" si="1"/>
        <v>Formulas ready to copy below</v>
      </c>
    </row>
    <row r="10" spans="1:16" ht="23" thickBot="1">
      <c r="A10" s="1131" t="str">
        <f ca="1">Calc!H8</f>
        <v>ASML</v>
      </c>
      <c r="B10" s="1133">
        <v>45460</v>
      </c>
      <c r="C10" s="66" t="s">
        <v>1400</v>
      </c>
      <c r="D10" s="1174">
        <v>4.3023999999999993E-2</v>
      </c>
      <c r="E10" s="1271">
        <v>1.1533001230453117</v>
      </c>
      <c r="F10" s="1136" t="s">
        <v>2581</v>
      </c>
      <c r="G10" s="1175">
        <v>0</v>
      </c>
      <c r="H10" s="1139">
        <f ca="1">_xlfn.XLOOKUP(A10,TabCalc[Ticker],TabCalc[M])</f>
        <v>894.4</v>
      </c>
      <c r="I10" s="1168">
        <v>45932</v>
      </c>
      <c r="J10" s="1187" t="s">
        <v>2584</v>
      </c>
      <c r="K10" s="223" t="e">
        <f ca="1">_xlfn.XLOOKUP(G10,TabCalc[Ticker],TabCalc[Agiotage])</f>
        <v>#N/A</v>
      </c>
      <c r="L10" s="93" t="str">
        <f ca="1">IFERROR( _xlfn.LET(_xlpm.nma,_xlfn.XLOOKUP(G10,TabCalc[Ticker],TabCalc[NMA]),_xlpm.revenue,_xlfn.XLOOKUP(G10,TabCalc[Ticker],TabCalc[Revenue]),_xlpm.nma&amp;"="&amp;TEXT(_xlpm.revenue,"#,#0")&amp;"@M: "&amp;N10),"")</f>
        <v/>
      </c>
      <c r="M10" s="223" t="e">
        <f ca="1">_xlfn.XLOOKUP(G10,TabCalc[Ticker],TabCalc[Up20])</f>
        <v>#N/A</v>
      </c>
      <c r="N10" s="83" t="e">
        <f ca="1">_xlfn.XLOOKUP(G10,TabCalc[Ticker],TabCalc[M])</f>
        <v>#N/A</v>
      </c>
      <c r="O10" s="62">
        <f t="shared" ca="1" si="0"/>
        <v>45956</v>
      </c>
      <c r="P10" t="str">
        <f t="shared" ca="1" si="1"/>
        <v>Formulas ready to copy below</v>
      </c>
    </row>
    <row r="11" spans="1:16" ht="23" thickBot="1">
      <c r="A11" s="1131" t="str">
        <f ca="1">Calc!H9</f>
        <v>AZN</v>
      </c>
      <c r="B11" s="1133">
        <v>45926</v>
      </c>
      <c r="C11" s="66" t="s">
        <v>2548</v>
      </c>
      <c r="D11" s="1174">
        <v>3.1280000000000001E-3</v>
      </c>
      <c r="E11" s="1271">
        <v>1.1640148335407843</v>
      </c>
      <c r="F11" s="1136" t="s">
        <v>2561</v>
      </c>
      <c r="G11" s="1175">
        <v>0.38095238095238093</v>
      </c>
      <c r="H11" s="1139">
        <f ca="1">_xlfn.XLOOKUP(A11,TabCalc[Ticker],TabCalc[M])</f>
        <v>83.29</v>
      </c>
      <c r="I11" s="1168">
        <v>45926</v>
      </c>
      <c r="J11" s="1138" t="s">
        <v>2565</v>
      </c>
      <c r="K11" s="223" t="e">
        <f ca="1">_xlfn.XLOOKUP(G11,TabCalc[Ticker],TabCalc[Agiotage])</f>
        <v>#N/A</v>
      </c>
      <c r="L11" s="93" t="str">
        <f ca="1">IFERROR( _xlfn.LET(_xlpm.nma,_xlfn.XLOOKUP(G11,TabCalc[Ticker],TabCalc[NMA]),_xlpm.revenue,_xlfn.XLOOKUP(G11,TabCalc[Ticker],TabCalc[Revenue]),_xlpm.nma&amp;"="&amp;TEXT(_xlpm.revenue,"#,#0")&amp;"@M: "&amp;N11),"")</f>
        <v/>
      </c>
      <c r="M11" s="223" t="e">
        <f ca="1">_xlfn.XLOOKUP(G11,TabCalc[Ticker],TabCalc[Up20])</f>
        <v>#N/A</v>
      </c>
      <c r="N11" s="83" t="e">
        <f ca="1">_xlfn.XLOOKUP(G11,TabCalc[Ticker],TabCalc[M])</f>
        <v>#N/A</v>
      </c>
      <c r="O11" s="62">
        <f t="shared" ca="1" si="0"/>
        <v>45956</v>
      </c>
      <c r="P11" t="str">
        <f t="shared" ca="1" si="1"/>
        <v>Formulas ready to copy below</v>
      </c>
    </row>
    <row r="12" spans="1:16" ht="23" thickBot="1">
      <c r="A12" s="1131" t="str">
        <f ca="1">Calc!H10</f>
        <v>BLDP</v>
      </c>
      <c r="B12" s="1133">
        <v>45460</v>
      </c>
      <c r="C12" s="66" t="s">
        <v>1401</v>
      </c>
      <c r="D12" s="1135">
        <v>1.3889E-2</v>
      </c>
      <c r="E12" s="1271">
        <v>3.4060040447918967</v>
      </c>
      <c r="F12" s="1136">
        <v>17394.439999999999</v>
      </c>
      <c r="G12" s="1137">
        <v>0.52380952380952384</v>
      </c>
      <c r="H12" s="1139">
        <f ca="1">_xlfn.XLOOKUP(A12,TabCalc[Ticker],TabCalc[M])</f>
        <v>3.44</v>
      </c>
      <c r="I12" s="62">
        <v>45925</v>
      </c>
      <c r="K12" s="223" t="e">
        <f ca="1">_xlfn.XLOOKUP(G12,TabCalc[Ticker],TabCalc[Agiotage])</f>
        <v>#N/A</v>
      </c>
      <c r="L12" s="93" t="str">
        <f ca="1">IFERROR( _xlfn.LET(_xlpm.nma,_xlfn.XLOOKUP(G12,TabCalc[Ticker],TabCalc[NMA]),_xlpm.revenue,_xlfn.XLOOKUP(G12,TabCalc[Ticker],TabCalc[Revenue]),_xlpm.nma&amp;"="&amp;TEXT(_xlpm.revenue,"#,#0")&amp;"@M: "&amp;N12),"")</f>
        <v/>
      </c>
      <c r="M12" s="223" t="e">
        <f ca="1">_xlfn.XLOOKUP(G12,TabCalc[Ticker],TabCalc[Up20])</f>
        <v>#N/A</v>
      </c>
      <c r="N12" s="83" t="e">
        <f ca="1">_xlfn.XLOOKUP(G12,TabCalc[Ticker],TabCalc[M])</f>
        <v>#N/A</v>
      </c>
      <c r="O12" s="62">
        <f t="shared" ca="1" si="0"/>
        <v>45956</v>
      </c>
      <c r="P12" t="str">
        <f t="shared" ca="1" si="1"/>
        <v>Formulas ready to copy below</v>
      </c>
    </row>
    <row r="13" spans="1:16" ht="23" thickBot="1">
      <c r="A13" s="1131" t="str">
        <f ca="1">Calc!H11</f>
        <v>BMRA</v>
      </c>
      <c r="B13" s="1133">
        <v>45938</v>
      </c>
      <c r="C13" s="66" t="s">
        <v>2652</v>
      </c>
      <c r="D13" s="1174">
        <v>-5.5100000000000001E-3</v>
      </c>
      <c r="E13" s="1271">
        <v>1.0094409496049843</v>
      </c>
      <c r="F13" s="1136" t="s">
        <v>2671</v>
      </c>
      <c r="G13" s="1175">
        <v>0</v>
      </c>
      <c r="H13" s="1139">
        <f ca="1">_xlfn.XLOOKUP(A13,TabCalc[Ticker],TabCalc[M])</f>
        <v>2.96</v>
      </c>
      <c r="I13" s="1168">
        <v>45939</v>
      </c>
      <c r="J13" s="1275" t="s">
        <v>2678</v>
      </c>
      <c r="K13" s="223" t="e">
        <f ca="1">_xlfn.XLOOKUP(G13,TabCalc[Ticker],TabCalc[Agiotage])</f>
        <v>#N/A</v>
      </c>
      <c r="L13" s="93" t="str">
        <f ca="1">IFERROR( _xlfn.LET(_xlpm.nma,_xlfn.XLOOKUP(G13,TabCalc[Ticker],TabCalc[NMA]),_xlpm.revenue,_xlfn.XLOOKUP(G13,TabCalc[Ticker],TabCalc[Revenue]),_xlpm.nma&amp;"="&amp;TEXT(_xlpm.revenue,"#,#0")&amp;"@M: "&amp;N13),"")</f>
        <v/>
      </c>
      <c r="M13" s="223" t="e">
        <f ca="1">_xlfn.XLOOKUP(G13,TabCalc[Ticker],TabCalc[Up20])</f>
        <v>#N/A</v>
      </c>
      <c r="N13" s="83" t="e">
        <f ca="1">_xlfn.XLOOKUP(G13,TabCalc[Ticker],TabCalc[M])</f>
        <v>#N/A</v>
      </c>
      <c r="O13" s="62">
        <f t="shared" ca="1" si="0"/>
        <v>45956</v>
      </c>
      <c r="P13" t="str">
        <f t="shared" ca="1" si="1"/>
        <v>Formulas ready to copy below</v>
      </c>
    </row>
    <row r="14" spans="1:16" ht="23" thickBot="1">
      <c r="A14" s="1131" t="str">
        <f ca="1">Calc!H12</f>
        <v>C</v>
      </c>
      <c r="B14" s="1133">
        <v>45933</v>
      </c>
      <c r="C14" s="66" t="s">
        <v>2593</v>
      </c>
      <c r="D14" s="310">
        <v>4.052E-3</v>
      </c>
      <c r="E14" s="316">
        <v>0.69965672865075734</v>
      </c>
      <c r="F14" s="93">
        <v>12750.300000000001</v>
      </c>
      <c r="G14" s="90">
        <v>0.5714285714285714</v>
      </c>
      <c r="H14" s="1139">
        <f ca="1">_xlfn.XLOOKUP(A14,TabCalc[Ticker],TabCalc[M])</f>
        <v>98.78</v>
      </c>
      <c r="I14" s="62">
        <v>45925</v>
      </c>
      <c r="J14" s="1275" t="s">
        <v>2604</v>
      </c>
      <c r="K14" s="223" t="e">
        <f ca="1">_xlfn.XLOOKUP(G14,TabCalc[Ticker],TabCalc[Agiotage])</f>
        <v>#N/A</v>
      </c>
      <c r="L14" s="93" t="str">
        <f ca="1">IFERROR( _xlfn.LET(_xlpm.nma,_xlfn.XLOOKUP(G14,TabCalc[Ticker],TabCalc[NMA]),_xlpm.revenue,_xlfn.XLOOKUP(G14,TabCalc[Ticker],TabCalc[Revenue]),_xlpm.nma&amp;"="&amp;TEXT(_xlpm.revenue,"#,#0")&amp;"@M: "&amp;N14),"")</f>
        <v/>
      </c>
      <c r="M14" s="223" t="e">
        <f ca="1">_xlfn.XLOOKUP(G14,TabCalc[Ticker],TabCalc[Up20])</f>
        <v>#N/A</v>
      </c>
      <c r="N14" s="83" t="e">
        <f ca="1">_xlfn.XLOOKUP(G14,TabCalc[Ticker],TabCalc[M])</f>
        <v>#N/A</v>
      </c>
      <c r="O14" s="62">
        <f t="shared" ca="1" si="0"/>
        <v>45956</v>
      </c>
      <c r="P14" t="str">
        <f t="shared" ca="1" si="1"/>
        <v>Formulas ready to copy below</v>
      </c>
    </row>
    <row r="15" spans="1:16" ht="23" thickBot="1">
      <c r="A15" s="1131" t="str">
        <f ca="1">Calc!H13</f>
        <v>CSCO</v>
      </c>
      <c r="B15" s="1133">
        <v>45552</v>
      </c>
      <c r="C15" s="66" t="s">
        <v>1402</v>
      </c>
      <c r="D15" s="310">
        <v>-9.5150000000000009E-3</v>
      </c>
      <c r="E15" s="316">
        <v>1.1597736739769799</v>
      </c>
      <c r="F15" s="93">
        <v>37346.548499999997</v>
      </c>
      <c r="G15" s="90">
        <v>0.47619047619047616</v>
      </c>
      <c r="H15" s="1139">
        <f ca="1">_xlfn.XLOOKUP(A15,TabCalc[Ticker],TabCalc[M])</f>
        <v>70.63</v>
      </c>
      <c r="I15" s="62">
        <v>45925</v>
      </c>
      <c r="K15" s="223" t="e">
        <f ca="1">_xlfn.XLOOKUP(G15,TabCalc[Ticker],TabCalc[Agiotage])</f>
        <v>#N/A</v>
      </c>
      <c r="L15" s="93" t="str">
        <f ca="1">IFERROR( _xlfn.LET(_xlpm.nma,_xlfn.XLOOKUP(G15,TabCalc[Ticker],TabCalc[NMA]),_xlpm.revenue,_xlfn.XLOOKUP(G15,TabCalc[Ticker],TabCalc[Revenue]),_xlpm.nma&amp;"="&amp;TEXT(_xlpm.revenue,"#,#0")&amp;"@M: "&amp;N15),"")</f>
        <v/>
      </c>
      <c r="M15" s="223" t="e">
        <f ca="1">_xlfn.XLOOKUP(G15,TabCalc[Ticker],TabCalc[Up20])</f>
        <v>#N/A</v>
      </c>
      <c r="N15" s="83" t="e">
        <f ca="1">_xlfn.XLOOKUP(G15,TabCalc[Ticker],TabCalc[M])</f>
        <v>#N/A</v>
      </c>
      <c r="O15" s="62">
        <f t="shared" ca="1" si="0"/>
        <v>45956</v>
      </c>
      <c r="P15" t="str">
        <f t="shared" ca="1" si="1"/>
        <v>Formulas ready to copy below</v>
      </c>
    </row>
    <row r="16" spans="1:16" ht="23" thickBot="1">
      <c r="A16" s="1131" t="str">
        <f ca="1">Calc!H14</f>
        <v>CVS</v>
      </c>
      <c r="B16" s="1133">
        <v>45938</v>
      </c>
      <c r="C16" s="1176" t="s">
        <v>2654</v>
      </c>
      <c r="D16" s="1174">
        <v>1.088E-3</v>
      </c>
      <c r="E16" s="1271">
        <v>0.89079459811465034</v>
      </c>
      <c r="F16" s="1136" t="s">
        <v>2637</v>
      </c>
      <c r="G16" s="1175">
        <v>0.5</v>
      </c>
      <c r="H16" s="1139">
        <f ca="1">_xlfn.XLOOKUP(A16,TabCalc[Ticker],TabCalc[M])</f>
        <v>81.93</v>
      </c>
      <c r="I16" s="1168">
        <v>45938</v>
      </c>
      <c r="J16" s="1275" t="s">
        <v>2644</v>
      </c>
      <c r="K16" s="223" t="e">
        <f ca="1">_xlfn.XLOOKUP(G16,TabCalc[Ticker],TabCalc[Agiotage])</f>
        <v>#N/A</v>
      </c>
      <c r="L16" s="93" t="str">
        <f ca="1">IFERROR( _xlfn.LET(_xlpm.nma,_xlfn.XLOOKUP(G16,TabCalc[Ticker],TabCalc[NMA]),_xlpm.revenue,_xlfn.XLOOKUP(G16,TabCalc[Ticker],TabCalc[Revenue]),_xlpm.nma&amp;"="&amp;TEXT(_xlpm.revenue,"#,#0")&amp;"@M: "&amp;N16),"")</f>
        <v/>
      </c>
      <c r="M16" s="223" t="e">
        <f ca="1">_xlfn.XLOOKUP(G16,TabCalc[Ticker],TabCalc[Up20])</f>
        <v>#N/A</v>
      </c>
      <c r="N16" s="83" t="e">
        <f ca="1">_xlfn.XLOOKUP(G16,TabCalc[Ticker],TabCalc[M])</f>
        <v>#N/A</v>
      </c>
      <c r="O16" s="62">
        <f t="shared" ca="1" si="0"/>
        <v>45956</v>
      </c>
      <c r="P16" t="str">
        <f t="shared" ca="1" si="1"/>
        <v>Formulas ready to copy below</v>
      </c>
    </row>
    <row r="17" spans="1:16" ht="23" thickBot="1">
      <c r="A17" s="1131" t="str">
        <f ca="1">Calc!H15</f>
        <v>DDD</v>
      </c>
      <c r="B17" s="1133">
        <v>45919</v>
      </c>
      <c r="C17" s="66" t="s">
        <v>2530</v>
      </c>
      <c r="D17" s="1174">
        <v>7.4150000000000006E-3</v>
      </c>
      <c r="E17" s="1271">
        <v>0.6563617881800351</v>
      </c>
      <c r="F17" s="1136" t="s">
        <v>2561</v>
      </c>
      <c r="G17" s="1175">
        <v>0.7142857142857143</v>
      </c>
      <c r="H17" s="1139">
        <f ca="1">_xlfn.XLOOKUP(A17,TabCalc[Ticker],TabCalc[M])</f>
        <v>3.13</v>
      </c>
      <c r="I17" s="1168">
        <v>45932</v>
      </c>
      <c r="J17" s="1187" t="s">
        <v>2585</v>
      </c>
      <c r="K17" s="223" t="e">
        <f ca="1">_xlfn.XLOOKUP(G17,TabCalc[Ticker],TabCalc[Agiotage])</f>
        <v>#N/A</v>
      </c>
      <c r="L17" s="93" t="str">
        <f ca="1">IFERROR( _xlfn.LET(_xlpm.nma,_xlfn.XLOOKUP(G17,TabCalc[Ticker],TabCalc[NMA]),_xlpm.revenue,_xlfn.XLOOKUP(G17,TabCalc[Ticker],TabCalc[Revenue]),_xlpm.nma&amp;"="&amp;TEXT(_xlpm.revenue,"#,#0")&amp;"@M: "&amp;N17),"")</f>
        <v/>
      </c>
      <c r="M17" s="223" t="e">
        <f ca="1">_xlfn.XLOOKUP(G17,TabCalc[Ticker],TabCalc[Up20])</f>
        <v>#N/A</v>
      </c>
      <c r="N17" s="83" t="e">
        <f ca="1">_xlfn.XLOOKUP(G17,TabCalc[Ticker],TabCalc[M])</f>
        <v>#N/A</v>
      </c>
      <c r="O17" s="62">
        <f t="shared" ca="1" si="0"/>
        <v>45956</v>
      </c>
      <c r="P17" t="str">
        <f t="shared" ca="1" si="1"/>
        <v>Formulas ready to copy below</v>
      </c>
    </row>
    <row r="18" spans="1:16" ht="23" thickBot="1">
      <c r="A18" s="1131" t="str">
        <f ca="1">Calc!H16</f>
        <v>DIS</v>
      </c>
      <c r="B18" s="1133">
        <v>45932</v>
      </c>
      <c r="C18" s="66" t="s">
        <v>2591</v>
      </c>
      <c r="D18" s="310">
        <v>-2.0068000000000003E-2</v>
      </c>
      <c r="E18" s="316">
        <v>2.6599394164335122</v>
      </c>
      <c r="F18" s="93"/>
      <c r="G18" s="90">
        <v>0.38095238095238093</v>
      </c>
      <c r="H18" s="1139">
        <f ca="1">_xlfn.XLOOKUP(A18,TabCalc[Ticker],TabCalc[M])</f>
        <v>111.68</v>
      </c>
      <c r="I18" s="62">
        <v>45925</v>
      </c>
      <c r="K18" s="223" t="e">
        <f ca="1">_xlfn.XLOOKUP(G18,TabCalc[Ticker],TabCalc[Agiotage])</f>
        <v>#N/A</v>
      </c>
      <c r="L18" s="93" t="str">
        <f ca="1">IFERROR( _xlfn.LET(_xlpm.nma,_xlfn.XLOOKUP(G18,TabCalc[Ticker],TabCalc[NMA]),_xlpm.revenue,_xlfn.XLOOKUP(G18,TabCalc[Ticker],TabCalc[Revenue]),_xlpm.nma&amp;"="&amp;TEXT(_xlpm.revenue,"#,#0")&amp;"@M: "&amp;N18),"")</f>
        <v/>
      </c>
      <c r="M18" s="223" t="e">
        <f ca="1">_xlfn.XLOOKUP(G18,TabCalc[Ticker],TabCalc[Up20])</f>
        <v>#N/A</v>
      </c>
      <c r="N18" s="83" t="e">
        <f ca="1">_xlfn.XLOOKUP(G18,TabCalc[Ticker],TabCalc[M])</f>
        <v>#N/A</v>
      </c>
      <c r="O18" s="62">
        <f t="shared" ca="1" si="0"/>
        <v>45956</v>
      </c>
      <c r="P18" t="str">
        <f t="shared" ca="1" si="1"/>
        <v>Formulas ready to copy below</v>
      </c>
    </row>
    <row r="19" spans="1:16" ht="23" thickBot="1">
      <c r="A19" s="1131" t="str">
        <f ca="1">Calc!H17</f>
        <v>DSY</v>
      </c>
      <c r="B19" s="1133">
        <v>45919</v>
      </c>
      <c r="C19" s="66" t="s">
        <v>2541</v>
      </c>
      <c r="D19" s="1174">
        <v>-3.9050000000000001E-3</v>
      </c>
      <c r="E19" s="1271">
        <v>1.0065420143941042</v>
      </c>
      <c r="F19" s="1136" t="s">
        <v>2561</v>
      </c>
      <c r="G19" s="1175">
        <v>0.61904761904761907</v>
      </c>
      <c r="H19" s="1139">
        <f ca="1">_xlfn.XLOOKUP(A19,TabCalc[Ticker],TabCalc[M])</f>
        <v>25.69</v>
      </c>
      <c r="I19" s="62">
        <v>45926</v>
      </c>
      <c r="J19" s="1138" t="s">
        <v>2566</v>
      </c>
      <c r="K19" s="223" t="e">
        <f ca="1">_xlfn.XLOOKUP(G19,TabCalc[Ticker],TabCalc[Agiotage])</f>
        <v>#N/A</v>
      </c>
      <c r="L19" s="93" t="str">
        <f ca="1">IFERROR( _xlfn.LET(_xlpm.nma,_xlfn.XLOOKUP(G19,TabCalc[Ticker],TabCalc[NMA]),_xlpm.revenue,_xlfn.XLOOKUP(G19,TabCalc[Ticker],TabCalc[Revenue]),_xlpm.nma&amp;"="&amp;TEXT(_xlpm.revenue,"#,#0")&amp;"@M: "&amp;N19),"")</f>
        <v/>
      </c>
      <c r="M19" s="223" t="e">
        <f ca="1">_xlfn.XLOOKUP(G19,TabCalc[Ticker],TabCalc[Up20])</f>
        <v>#N/A</v>
      </c>
      <c r="N19" s="83" t="e">
        <f ca="1">_xlfn.XLOOKUP(G19,TabCalc[Ticker],TabCalc[M])</f>
        <v>#N/A</v>
      </c>
      <c r="O19" s="62">
        <f t="shared" ca="1" si="0"/>
        <v>45956</v>
      </c>
      <c r="P19" t="str">
        <f t="shared" ca="1" si="1"/>
        <v>Formulas ready to copy below</v>
      </c>
    </row>
    <row r="20" spans="1:16" ht="23" thickBot="1">
      <c r="A20" s="1131" t="str">
        <f ca="1">Calc!H18</f>
        <v>DVA</v>
      </c>
      <c r="B20" s="1133">
        <v>45954</v>
      </c>
      <c r="C20" s="66" t="s">
        <v>2754</v>
      </c>
      <c r="D20" s="1174">
        <v>-1.984E-2</v>
      </c>
      <c r="E20" s="1271">
        <v>2.2751021072770938</v>
      </c>
      <c r="F20" s="1136" t="s">
        <v>2758</v>
      </c>
      <c r="G20" s="1175">
        <v>0.33333333333333331</v>
      </c>
      <c r="H20" s="1139">
        <f ca="1">_xlfn.XLOOKUP(A20,TabCalc[Ticker],TabCalc[M])</f>
        <v>129.19</v>
      </c>
      <c r="I20" s="1168">
        <v>45954</v>
      </c>
      <c r="J20" s="1275" t="s">
        <v>2763</v>
      </c>
      <c r="K20" s="223" t="e">
        <f ca="1">_xlfn.XLOOKUP(G20,TabCalc[Ticker],TabCalc[Agiotage])</f>
        <v>#N/A</v>
      </c>
      <c r="L20" s="93" t="str">
        <f ca="1">IFERROR( _xlfn.LET(_xlpm.nma,_xlfn.XLOOKUP(G20,TabCalc[Ticker],TabCalc[NMA]),_xlpm.revenue,_xlfn.XLOOKUP(G20,TabCalc[Ticker],TabCalc[Revenue]),_xlpm.nma&amp;"="&amp;TEXT(_xlpm.revenue,"#,#0")&amp;"@M: "&amp;N20),"")</f>
        <v/>
      </c>
      <c r="M20" s="223" t="e">
        <f ca="1">_xlfn.XLOOKUP(G20,TabCalc[Ticker],TabCalc[Up20])</f>
        <v>#N/A</v>
      </c>
      <c r="N20" s="83" t="e">
        <f ca="1">_xlfn.XLOOKUP(G20,TabCalc[Ticker],TabCalc[M])</f>
        <v>#N/A</v>
      </c>
      <c r="O20" s="62">
        <f t="shared" ca="1" si="0"/>
        <v>45956</v>
      </c>
      <c r="P20" t="str">
        <f t="shared" ca="1" si="1"/>
        <v>Formulas ready to copy below</v>
      </c>
    </row>
    <row r="21" spans="1:16" ht="23" thickBot="1">
      <c r="A21" s="1131" t="str">
        <f ca="1">Calc!H19</f>
        <v>DXC</v>
      </c>
      <c r="B21" s="1133">
        <v>45954</v>
      </c>
      <c r="C21" s="66" t="s">
        <v>2755</v>
      </c>
      <c r="D21" s="1174">
        <v>9.1390000000000013E-3</v>
      </c>
      <c r="E21" s="1271">
        <v>0.9805457074900148</v>
      </c>
      <c r="F21" s="1136" t="s">
        <v>2759</v>
      </c>
      <c r="G21" s="1175">
        <v>0.5</v>
      </c>
      <c r="H21" s="1139">
        <f ca="1">_xlfn.XLOOKUP(A21,TabCalc[Ticker],TabCalc[M])</f>
        <v>13.54</v>
      </c>
      <c r="I21" s="1168">
        <v>45954</v>
      </c>
      <c r="J21" s="1275" t="s">
        <v>2764</v>
      </c>
      <c r="K21" s="223" t="e">
        <f ca="1">_xlfn.XLOOKUP(G21,TabCalc[Ticker],TabCalc[Agiotage])</f>
        <v>#N/A</v>
      </c>
      <c r="L21" s="93" t="str">
        <f ca="1">IFERROR( _xlfn.LET(_xlpm.nma,_xlfn.XLOOKUP(G21,TabCalc[Ticker],TabCalc[NMA]),_xlpm.revenue,_xlfn.XLOOKUP(G21,TabCalc[Ticker],TabCalc[Revenue]),_xlpm.nma&amp;"="&amp;TEXT(_xlpm.revenue,"#,#0")&amp;"@M: "&amp;N21),"")</f>
        <v/>
      </c>
      <c r="M21" s="223" t="e">
        <f ca="1">_xlfn.XLOOKUP(G21,TabCalc[Ticker],TabCalc[Up20])</f>
        <v>#N/A</v>
      </c>
      <c r="N21" s="83" t="e">
        <f ca="1">_xlfn.XLOOKUP(G21,TabCalc[Ticker],TabCalc[M])</f>
        <v>#N/A</v>
      </c>
      <c r="O21" s="62">
        <f t="shared" ca="1" si="0"/>
        <v>45956</v>
      </c>
      <c r="P21" t="str">
        <f t="shared" ca="1" si="1"/>
        <v>Formulas ready to copy below</v>
      </c>
    </row>
    <row r="22" spans="1:16" ht="23" thickBot="1">
      <c r="A22" s="1131" t="str">
        <f ca="1">Calc!H20</f>
        <v>EOAN</v>
      </c>
      <c r="B22" s="1133">
        <v>45460</v>
      </c>
      <c r="C22" s="66" t="s">
        <v>1403</v>
      </c>
      <c r="D22" s="310">
        <v>5.1700000000000001E-3</v>
      </c>
      <c r="E22" s="316">
        <v>4.0616594839527167</v>
      </c>
      <c r="F22" s="93">
        <v>100345.30499999999</v>
      </c>
      <c r="G22" s="90">
        <v>0</v>
      </c>
      <c r="H22" s="1139">
        <f ca="1">_xlfn.XLOOKUP(A22,TabCalc[Ticker],TabCalc[M])</f>
        <v>16.085000000000001</v>
      </c>
      <c r="I22" s="62">
        <v>45925</v>
      </c>
      <c r="K22" s="223" t="e">
        <f ca="1">_xlfn.XLOOKUP(G22,TabCalc[Ticker],TabCalc[Agiotage])</f>
        <v>#N/A</v>
      </c>
      <c r="L22" s="93" t="str">
        <f ca="1">IFERROR( _xlfn.LET(_xlpm.nma,_xlfn.XLOOKUP(G22,TabCalc[Ticker],TabCalc[NMA]),_xlpm.revenue,_xlfn.XLOOKUP(G22,TabCalc[Ticker],TabCalc[Revenue]),_xlpm.nma&amp;"="&amp;TEXT(_xlpm.revenue,"#,#0")&amp;"@M: "&amp;N22),"")</f>
        <v/>
      </c>
      <c r="M22" s="223" t="e">
        <f ca="1">_xlfn.XLOOKUP(G22,TabCalc[Ticker],TabCalc[Up20])</f>
        <v>#N/A</v>
      </c>
      <c r="N22" s="83" t="e">
        <f ca="1">_xlfn.XLOOKUP(G22,TabCalc[Ticker],TabCalc[M])</f>
        <v>#N/A</v>
      </c>
      <c r="O22" s="62">
        <f t="shared" ca="1" si="0"/>
        <v>45956</v>
      </c>
      <c r="P22" t="str">
        <f t="shared" ca="1" si="1"/>
        <v>Formulas ready to copy below</v>
      </c>
    </row>
    <row r="23" spans="1:16" ht="23" thickBot="1">
      <c r="A23" s="1131" t="str">
        <f ca="1">Calc!H21</f>
        <v>EPIX</v>
      </c>
      <c r="B23" s="1133">
        <v>45553</v>
      </c>
      <c r="C23" s="66" t="s">
        <v>1404</v>
      </c>
      <c r="D23" s="310">
        <v>0</v>
      </c>
      <c r="E23" s="316">
        <v>0.12172355493878159</v>
      </c>
      <c r="F23" s="93"/>
      <c r="G23" s="90">
        <v>0</v>
      </c>
      <c r="H23" s="1139">
        <f ca="1">_xlfn.XLOOKUP(A23,TabCalc[Ticker],TabCalc[M])</f>
        <v>0.20119999999999999</v>
      </c>
      <c r="I23" s="62">
        <v>45925</v>
      </c>
      <c r="K23" s="223" t="e">
        <f ca="1">_xlfn.XLOOKUP(G23,TabCalc[Ticker],TabCalc[Agiotage])</f>
        <v>#N/A</v>
      </c>
      <c r="L23" s="93" t="str">
        <f ca="1">IFERROR( _xlfn.LET(_xlpm.nma,_xlfn.XLOOKUP(G23,TabCalc[Ticker],TabCalc[NMA]),_xlpm.revenue,_xlfn.XLOOKUP(G23,TabCalc[Ticker],TabCalc[Revenue]),_xlpm.nma&amp;"="&amp;TEXT(_xlpm.revenue,"#,#0")&amp;"@M: "&amp;N23),"")</f>
        <v/>
      </c>
      <c r="M23" s="223" t="e">
        <f ca="1">_xlfn.XLOOKUP(G23,TabCalc[Ticker],TabCalc[Up20])</f>
        <v>#N/A</v>
      </c>
      <c r="N23" s="83" t="e">
        <f ca="1">_xlfn.XLOOKUP(G23,TabCalc[Ticker],TabCalc[M])</f>
        <v>#N/A</v>
      </c>
      <c r="O23" s="62">
        <f t="shared" ca="1" si="0"/>
        <v>45956</v>
      </c>
      <c r="P23" t="str">
        <f t="shared" ca="1" si="1"/>
        <v>Formulas ready to copy below</v>
      </c>
    </row>
    <row r="24" spans="1:16" ht="23" thickBot="1">
      <c r="A24" s="1131" t="str">
        <f ca="1">Calc!H22</f>
        <v>GM</v>
      </c>
      <c r="B24" s="1133">
        <v>45460</v>
      </c>
      <c r="C24" s="66" t="s">
        <v>1405</v>
      </c>
      <c r="D24" s="310">
        <v>-4.2190000000000001E-4</v>
      </c>
      <c r="E24" s="316">
        <v>0.59540838817642716</v>
      </c>
      <c r="F24" s="93">
        <v>23575.53</v>
      </c>
      <c r="G24" s="90">
        <v>0</v>
      </c>
      <c r="H24" s="1139">
        <f ca="1">_xlfn.XLOOKUP(A24,TabCalc[Ticker],TabCalc[M])</f>
        <v>69.66</v>
      </c>
      <c r="I24" s="62">
        <v>45925</v>
      </c>
      <c r="K24" s="223" t="e">
        <f ca="1">_xlfn.XLOOKUP(G24,TabCalc[Ticker],TabCalc[Agiotage])</f>
        <v>#N/A</v>
      </c>
      <c r="L24" s="93" t="str">
        <f ca="1">IFERROR( _xlfn.LET(_xlpm.nma,_xlfn.XLOOKUP(G24,TabCalc[Ticker],TabCalc[NMA]),_xlpm.revenue,_xlfn.XLOOKUP(G24,TabCalc[Ticker],TabCalc[Revenue]),_xlpm.nma&amp;"="&amp;TEXT(_xlpm.revenue,"#,#0")&amp;"@M: "&amp;N24),"")</f>
        <v/>
      </c>
      <c r="M24" s="223" t="e">
        <f ca="1">_xlfn.XLOOKUP(G24,TabCalc[Ticker],TabCalc[Up20])</f>
        <v>#N/A</v>
      </c>
      <c r="N24" s="83" t="e">
        <f ca="1">_xlfn.XLOOKUP(G24,TabCalc[Ticker],TabCalc[M])</f>
        <v>#N/A</v>
      </c>
      <c r="O24" s="62">
        <f t="shared" ca="1" si="0"/>
        <v>45956</v>
      </c>
      <c r="P24" t="str">
        <f t="shared" ca="1" si="1"/>
        <v>Formulas ready to copy below</v>
      </c>
    </row>
    <row r="25" spans="1:16" ht="23" thickBot="1">
      <c r="A25" s="1131" t="str">
        <f ca="1">Calc!H23</f>
        <v>HPE</v>
      </c>
      <c r="B25" s="1133">
        <v>45554</v>
      </c>
      <c r="C25" s="66" t="s">
        <v>1406</v>
      </c>
      <c r="D25" s="310">
        <v>-6.9329999999999999E-3</v>
      </c>
      <c r="E25" s="316">
        <v>0.62491300777173364</v>
      </c>
      <c r="F25" s="93">
        <v>23561.100000000002</v>
      </c>
      <c r="G25" s="90">
        <v>0</v>
      </c>
      <c r="H25" s="1139">
        <f ca="1">_xlfn.XLOOKUP(A25,TabCalc[Ticker],TabCalc[M])</f>
        <v>23.5</v>
      </c>
      <c r="I25" s="62">
        <v>45925</v>
      </c>
      <c r="K25" s="223" t="e">
        <f ca="1">_xlfn.XLOOKUP(G25,TabCalc[Ticker],TabCalc[Agiotage])</f>
        <v>#N/A</v>
      </c>
      <c r="L25" s="93" t="str">
        <f ca="1">IFERROR( _xlfn.LET(_xlpm.nma,_xlfn.XLOOKUP(G25,TabCalc[Ticker],TabCalc[NMA]),_xlpm.revenue,_xlfn.XLOOKUP(G25,TabCalc[Ticker],TabCalc[Revenue]),_xlpm.nma&amp;"="&amp;TEXT(_xlpm.revenue,"#,#0")&amp;"@M: "&amp;N25),"")</f>
        <v/>
      </c>
      <c r="M25" s="223" t="e">
        <f ca="1">_xlfn.XLOOKUP(G25,TabCalc[Ticker],TabCalc[Up20])</f>
        <v>#N/A</v>
      </c>
      <c r="N25" s="83" t="e">
        <f ca="1">_xlfn.XLOOKUP(G25,TabCalc[Ticker],TabCalc[M])</f>
        <v>#N/A</v>
      </c>
      <c r="O25" s="62">
        <f t="shared" ca="1" si="0"/>
        <v>45956</v>
      </c>
      <c r="P25" t="str">
        <f t="shared" ca="1" si="1"/>
        <v>Formulas ready to copy below</v>
      </c>
    </row>
    <row r="26" spans="1:16" ht="23" thickBot="1">
      <c r="A26" s="1131" t="str">
        <f ca="1">Calc!H24</f>
        <v>HPQ</v>
      </c>
      <c r="B26" s="1133">
        <v>45460</v>
      </c>
      <c r="C26" s="66" t="s">
        <v>1407</v>
      </c>
      <c r="D26" s="310">
        <v>-4.7799999999999995E-3</v>
      </c>
      <c r="E26" s="316">
        <v>0.39284107066996649</v>
      </c>
      <c r="F26" s="93">
        <v>44518.32</v>
      </c>
      <c r="G26" s="90">
        <v>0.52380952380952384</v>
      </c>
      <c r="H26" s="1139">
        <f ca="1">_xlfn.XLOOKUP(A26,TabCalc[Ticker],TabCalc[M])</f>
        <v>27.66</v>
      </c>
      <c r="I26" s="62">
        <v>45925</v>
      </c>
      <c r="K26" s="223" t="e">
        <f ca="1">_xlfn.XLOOKUP(G26,TabCalc[Ticker],TabCalc[Agiotage])</f>
        <v>#N/A</v>
      </c>
      <c r="L26" s="93" t="str">
        <f ca="1">IFERROR( _xlfn.LET(_xlpm.nma,_xlfn.XLOOKUP(G26,TabCalc[Ticker],TabCalc[NMA]),_xlpm.revenue,_xlfn.XLOOKUP(G26,TabCalc[Ticker],TabCalc[Revenue]),_xlpm.nma&amp;"="&amp;TEXT(_xlpm.revenue,"#,#0")&amp;"@M: "&amp;N26),"")</f>
        <v/>
      </c>
      <c r="M26" s="223" t="e">
        <f ca="1">_xlfn.XLOOKUP(G26,TabCalc[Ticker],TabCalc[Up20])</f>
        <v>#N/A</v>
      </c>
      <c r="N26" s="83" t="e">
        <f ca="1">_xlfn.XLOOKUP(G26,TabCalc[Ticker],TabCalc[M])</f>
        <v>#N/A</v>
      </c>
      <c r="O26" s="62">
        <f t="shared" ca="1" si="0"/>
        <v>45956</v>
      </c>
      <c r="P26" t="str">
        <f t="shared" ca="1" si="1"/>
        <v>Formulas ready to copy below</v>
      </c>
    </row>
    <row r="27" spans="1:16" ht="23" thickBot="1">
      <c r="A27" s="1131" t="str">
        <f ca="1">Calc!H25</f>
        <v>IAG</v>
      </c>
      <c r="B27" s="1133">
        <v>45461</v>
      </c>
      <c r="C27" s="66" t="s">
        <v>1408</v>
      </c>
      <c r="D27" s="310">
        <v>-1.3020000000000002E-3</v>
      </c>
      <c r="E27" s="316">
        <v>1.4521224567749358</v>
      </c>
      <c r="F27" s="93">
        <v>10738</v>
      </c>
      <c r="G27" s="90">
        <v>0.76190476190476186</v>
      </c>
      <c r="H27" s="1139">
        <f ca="1">_xlfn.XLOOKUP(A27,TabCalc[Ticker],TabCalc[M])</f>
        <v>410</v>
      </c>
      <c r="I27" s="62">
        <v>45925</v>
      </c>
      <c r="K27" s="223" t="e">
        <f ca="1">_xlfn.XLOOKUP(G27,TabCalc[Ticker],TabCalc[Agiotage])</f>
        <v>#N/A</v>
      </c>
      <c r="L27" s="93" t="str">
        <f ca="1">IFERROR( _xlfn.LET(_xlpm.nma,_xlfn.XLOOKUP(G27,TabCalc[Ticker],TabCalc[NMA]),_xlpm.revenue,_xlfn.XLOOKUP(G27,TabCalc[Ticker],TabCalc[Revenue]),_xlpm.nma&amp;"="&amp;TEXT(_xlpm.revenue,"#,#0")&amp;"@M: "&amp;N27),"")</f>
        <v/>
      </c>
      <c r="M27" s="223" t="e">
        <f ca="1">_xlfn.XLOOKUP(G27,TabCalc[Ticker],TabCalc[Up20])</f>
        <v>#N/A</v>
      </c>
      <c r="N27" s="83" t="e">
        <f ca="1">_xlfn.XLOOKUP(G27,TabCalc[Ticker],TabCalc[M])</f>
        <v>#N/A</v>
      </c>
      <c r="O27" s="62">
        <f t="shared" ca="1" si="0"/>
        <v>45956</v>
      </c>
      <c r="P27" t="str">
        <f t="shared" ca="1" si="1"/>
        <v>Formulas ready to copy below</v>
      </c>
    </row>
    <row r="28" spans="1:16" ht="23" thickBot="1">
      <c r="A28" s="1131" t="str">
        <f ca="1">Calc!H26</f>
        <v>KR</v>
      </c>
      <c r="B28" s="1133">
        <v>45938</v>
      </c>
      <c r="C28" s="66" t="s">
        <v>2651</v>
      </c>
      <c r="D28" s="1174">
        <v>4.8989999999999997E-3</v>
      </c>
      <c r="E28" s="1271">
        <v>1.4939853457793837</v>
      </c>
      <c r="F28" s="1136" t="s">
        <v>2638</v>
      </c>
      <c r="G28" s="1175">
        <v>0.82352941176470584</v>
      </c>
      <c r="H28" s="1139">
        <f ca="1">_xlfn.XLOOKUP(A28,TabCalc[Ticker],TabCalc[M])</f>
        <v>67.11</v>
      </c>
      <c r="I28" s="1168">
        <v>45938</v>
      </c>
      <c r="J28" s="1275" t="s">
        <v>2645</v>
      </c>
      <c r="K28" s="223" t="e">
        <f ca="1">_xlfn.XLOOKUP(G28,TabCalc[Ticker],TabCalc[Agiotage])</f>
        <v>#N/A</v>
      </c>
      <c r="L28" s="93" t="str">
        <f ca="1">IFERROR( _xlfn.LET(_xlpm.nma,_xlfn.XLOOKUP(G28,TabCalc[Ticker],TabCalc[NMA]),_xlpm.revenue,_xlfn.XLOOKUP(G28,TabCalc[Ticker],TabCalc[Revenue]),_xlpm.nma&amp;"="&amp;TEXT(_xlpm.revenue,"#,#0")&amp;"@M: "&amp;N28),"")</f>
        <v/>
      </c>
      <c r="M28" s="223" t="e">
        <f ca="1">_xlfn.XLOOKUP(G28,TabCalc[Ticker],TabCalc[Up20])</f>
        <v>#N/A</v>
      </c>
      <c r="N28" s="83" t="e">
        <f ca="1">_xlfn.XLOOKUP(G28,TabCalc[Ticker],TabCalc[M])</f>
        <v>#N/A</v>
      </c>
      <c r="O28" s="62">
        <f t="shared" ca="1" si="0"/>
        <v>45956</v>
      </c>
      <c r="P28" t="str">
        <f t="shared" ca="1" si="1"/>
        <v>Formulas ready to copy below</v>
      </c>
    </row>
    <row r="29" spans="1:16" ht="23" thickBot="1">
      <c r="A29" s="1131" t="str">
        <f ca="1">Calc!H27</f>
        <v>LNSR</v>
      </c>
      <c r="B29" s="1133">
        <v>45460</v>
      </c>
      <c r="C29" s="66" t="s">
        <v>1409</v>
      </c>
      <c r="D29" s="310">
        <v>-2.4190000000000001E-3</v>
      </c>
      <c r="E29" s="316">
        <v>0.86651789386493594</v>
      </c>
      <c r="F29" s="93">
        <v>4997.4799999999996</v>
      </c>
      <c r="G29" s="90">
        <v>0.42857142857142855</v>
      </c>
      <c r="H29" s="1139">
        <f ca="1">_xlfn.XLOOKUP(A29,TabCalc[Ticker],TabCalc[M])</f>
        <v>11.97</v>
      </c>
      <c r="I29" s="62">
        <v>45925</v>
      </c>
      <c r="K29" s="223" t="e">
        <f ca="1">_xlfn.XLOOKUP(G29,TabCalc[Ticker],TabCalc[Agiotage])</f>
        <v>#N/A</v>
      </c>
      <c r="L29" s="93" t="str">
        <f ca="1">IFERROR( _xlfn.LET(_xlpm.nma,_xlfn.XLOOKUP(G29,TabCalc[Ticker],TabCalc[NMA]),_xlpm.revenue,_xlfn.XLOOKUP(G29,TabCalc[Ticker],TabCalc[Revenue]),_xlpm.nma&amp;"="&amp;TEXT(_xlpm.revenue,"#,#0")&amp;"@M: "&amp;N29),"")</f>
        <v/>
      </c>
      <c r="M29" s="223" t="e">
        <f ca="1">_xlfn.XLOOKUP(G29,TabCalc[Ticker],TabCalc[Up20])</f>
        <v>#N/A</v>
      </c>
      <c r="N29" s="83" t="e">
        <f ca="1">_xlfn.XLOOKUP(G29,TabCalc[Ticker],TabCalc[M])</f>
        <v>#N/A</v>
      </c>
      <c r="O29" s="62">
        <f t="shared" ca="1" si="0"/>
        <v>45956</v>
      </c>
      <c r="P29" t="str">
        <f t="shared" ca="1" si="1"/>
        <v>Formulas ready to copy below</v>
      </c>
    </row>
    <row r="30" spans="1:16" ht="23" thickBot="1">
      <c r="A30" s="1131" t="str">
        <f ca="1">Calc!H28</f>
        <v>LUMN</v>
      </c>
      <c r="B30" s="1133">
        <v>45553</v>
      </c>
      <c r="C30" s="66" t="s">
        <v>1410</v>
      </c>
      <c r="D30" s="310">
        <v>-7.8259999999999996E-3</v>
      </c>
      <c r="E30" s="316">
        <v>0.84274486773182655</v>
      </c>
      <c r="F30" s="93">
        <v>44795.66</v>
      </c>
      <c r="G30" s="90">
        <v>0</v>
      </c>
      <c r="H30" s="1139">
        <f ca="1">_xlfn.XLOOKUP(A30,TabCalc[Ticker],TabCalc[M])</f>
        <v>8.09</v>
      </c>
      <c r="I30" s="62">
        <v>45925</v>
      </c>
      <c r="K30" s="223" t="e">
        <f ca="1">_xlfn.XLOOKUP(G30,TabCalc[Ticker],TabCalc[Agiotage])</f>
        <v>#N/A</v>
      </c>
      <c r="L30" s="93" t="str">
        <f ca="1">IFERROR( _xlfn.LET(_xlpm.nma,_xlfn.XLOOKUP(G30,TabCalc[Ticker],TabCalc[NMA]),_xlpm.revenue,_xlfn.XLOOKUP(G30,TabCalc[Ticker],TabCalc[Revenue]),_xlpm.nma&amp;"="&amp;TEXT(_xlpm.revenue,"#,#0")&amp;"@M: "&amp;N30),"")</f>
        <v/>
      </c>
      <c r="M30" s="223" t="e">
        <f ca="1">_xlfn.XLOOKUP(G30,TabCalc[Ticker],TabCalc[Up20])</f>
        <v>#N/A</v>
      </c>
      <c r="N30" s="83" t="e">
        <f ca="1">_xlfn.XLOOKUP(G30,TabCalc[Ticker],TabCalc[M])</f>
        <v>#N/A</v>
      </c>
      <c r="O30" s="62">
        <f t="shared" ca="1" si="0"/>
        <v>45956</v>
      </c>
      <c r="P30" t="str">
        <f t="shared" ca="1" si="1"/>
        <v>Formulas ready to copy below</v>
      </c>
    </row>
    <row r="31" spans="1:16" ht="23" thickBot="1">
      <c r="A31" s="1131" t="str">
        <f ca="1">Calc!H29</f>
        <v>MRNA</v>
      </c>
      <c r="B31" s="1133">
        <v>45506</v>
      </c>
      <c r="C31" s="66" t="s">
        <v>1411</v>
      </c>
      <c r="D31" s="310">
        <v>-1.4145000000000001E-2</v>
      </c>
      <c r="E31" s="316">
        <v>0.68244646072628012</v>
      </c>
      <c r="F31" s="93"/>
      <c r="G31" s="90">
        <v>0.42857142857142855</v>
      </c>
      <c r="H31" s="1139">
        <f ca="1">_xlfn.XLOOKUP(A31,TabCalc[Ticker],TabCalc[M])</f>
        <v>26.74</v>
      </c>
      <c r="I31" s="62">
        <v>45925</v>
      </c>
      <c r="K31" s="223" t="e">
        <f ca="1">_xlfn.XLOOKUP(G31,TabCalc[Ticker],TabCalc[Agiotage])</f>
        <v>#N/A</v>
      </c>
      <c r="L31" s="93" t="str">
        <f ca="1">IFERROR( _xlfn.LET(_xlpm.nma,_xlfn.XLOOKUP(G31,TabCalc[Ticker],TabCalc[NMA]),_xlpm.revenue,_xlfn.XLOOKUP(G31,TabCalc[Ticker],TabCalc[Revenue]),_xlpm.nma&amp;"="&amp;TEXT(_xlpm.revenue,"#,#0")&amp;"@M: "&amp;N31),"")</f>
        <v/>
      </c>
      <c r="M31" s="223" t="e">
        <f ca="1">_xlfn.XLOOKUP(G31,TabCalc[Ticker],TabCalc[Up20])</f>
        <v>#N/A</v>
      </c>
      <c r="N31" s="83" t="e">
        <f ca="1">_xlfn.XLOOKUP(G31,TabCalc[Ticker],TabCalc[M])</f>
        <v>#N/A</v>
      </c>
      <c r="O31" s="62">
        <f t="shared" ca="1" si="0"/>
        <v>45956</v>
      </c>
      <c r="P31" t="str">
        <f t="shared" ca="1" si="1"/>
        <v>Formulas ready to copy below</v>
      </c>
    </row>
    <row r="32" spans="1:16" ht="23" thickBot="1">
      <c r="A32" s="1131" t="str">
        <f ca="1">Calc!H30</f>
        <v>MSFT</v>
      </c>
      <c r="B32" s="1133">
        <v>45495</v>
      </c>
      <c r="C32" s="66" t="s">
        <v>1412</v>
      </c>
      <c r="D32" s="310">
        <v>5.94E-3</v>
      </c>
      <c r="E32" s="316">
        <v>1.3059817664634426</v>
      </c>
      <c r="F32" s="93">
        <v>12786.75</v>
      </c>
      <c r="G32" s="90">
        <v>0</v>
      </c>
      <c r="H32" s="1139">
        <f ca="1">_xlfn.XLOOKUP(A32,TabCalc[Ticker],TabCalc[M])</f>
        <v>523.61</v>
      </c>
      <c r="I32" s="62">
        <v>45925</v>
      </c>
      <c r="K32" s="223" t="e">
        <f ca="1">_xlfn.XLOOKUP(G32,TabCalc[Ticker],TabCalc[Agiotage])</f>
        <v>#N/A</v>
      </c>
      <c r="L32" s="93" t="str">
        <f ca="1">IFERROR( _xlfn.LET(_xlpm.nma,_xlfn.XLOOKUP(G32,TabCalc[Ticker],TabCalc[NMA]),_xlpm.revenue,_xlfn.XLOOKUP(G32,TabCalc[Ticker],TabCalc[Revenue]),_xlpm.nma&amp;"="&amp;TEXT(_xlpm.revenue,"#,#0")&amp;"@M: "&amp;N32),"")</f>
        <v/>
      </c>
      <c r="M32" s="223" t="e">
        <f ca="1">_xlfn.XLOOKUP(G32,TabCalc[Ticker],TabCalc[Up20])</f>
        <v>#N/A</v>
      </c>
      <c r="N32" s="83" t="e">
        <f ca="1">_xlfn.XLOOKUP(G32,TabCalc[Ticker],TabCalc[M])</f>
        <v>#N/A</v>
      </c>
      <c r="O32" s="62">
        <f t="shared" ca="1" si="0"/>
        <v>45956</v>
      </c>
      <c r="P32" t="str">
        <f t="shared" ca="1" si="1"/>
        <v>Formulas ready to copy below</v>
      </c>
    </row>
    <row r="33" spans="1:16" ht="23" thickBot="1">
      <c r="A33" s="1131" t="str">
        <f ca="1">Calc!H31</f>
        <v>NEE</v>
      </c>
      <c r="B33" s="1133">
        <v>45519</v>
      </c>
      <c r="C33" s="1187" t="s">
        <v>2560</v>
      </c>
      <c r="D33" s="1174">
        <v>1.5672999999999999E-2</v>
      </c>
      <c r="E33" s="1271">
        <v>0.82798169746359851</v>
      </c>
      <c r="F33" s="1136" t="s">
        <v>2562</v>
      </c>
      <c r="G33" s="1175">
        <v>0.47619047619047616</v>
      </c>
      <c r="H33" s="1139">
        <f ca="1">_xlfn.XLOOKUP(A33,TabCalc[Ticker],TabCalc[M])</f>
        <v>84.41</v>
      </c>
      <c r="I33" s="1168">
        <v>45926</v>
      </c>
      <c r="J33" s="1187" t="s">
        <v>2567</v>
      </c>
      <c r="K33" s="223" t="e">
        <f ca="1">_xlfn.XLOOKUP(G33,TabCalc[Ticker],TabCalc[Agiotage])</f>
        <v>#N/A</v>
      </c>
      <c r="L33" s="93" t="str">
        <f ca="1">IFERROR( _xlfn.LET(_xlpm.nma,_xlfn.XLOOKUP(G33,TabCalc[Ticker],TabCalc[NMA]),_xlpm.revenue,_xlfn.XLOOKUP(G33,TabCalc[Ticker],TabCalc[Revenue]),_xlpm.nma&amp;"="&amp;TEXT(_xlpm.revenue,"#,#0")&amp;"@M: "&amp;N33),"")</f>
        <v/>
      </c>
      <c r="M33" s="223" t="e">
        <f ca="1">_xlfn.XLOOKUP(G33,TabCalc[Ticker],TabCalc[Up20])</f>
        <v>#N/A</v>
      </c>
      <c r="N33" s="83" t="e">
        <f ca="1">_xlfn.XLOOKUP(G33,TabCalc[Ticker],TabCalc[M])</f>
        <v>#N/A</v>
      </c>
      <c r="O33" s="62">
        <f t="shared" ca="1" si="0"/>
        <v>45956</v>
      </c>
      <c r="P33" t="str">
        <f t="shared" ca="1" si="1"/>
        <v>Formulas ready to copy below</v>
      </c>
    </row>
    <row r="34" spans="1:16" ht="23" thickBot="1">
      <c r="A34" s="1131" t="str">
        <f ca="1">Calc!H32</f>
        <v>NEM</v>
      </c>
      <c r="B34" s="1133">
        <v>45460</v>
      </c>
      <c r="C34" s="1176" t="s">
        <v>1413</v>
      </c>
      <c r="D34" s="1177">
        <v>4.4305000000000004E-2</v>
      </c>
      <c r="E34" s="316">
        <v>1.1654874899045418</v>
      </c>
      <c r="F34" s="93">
        <v>11205.230000000001</v>
      </c>
      <c r="G34" s="1178">
        <v>0.61904761904761907</v>
      </c>
      <c r="H34" s="1139">
        <f ca="1">_xlfn.XLOOKUP(A34,TabCalc[Ticker],TabCalc[M])</f>
        <v>83.37</v>
      </c>
      <c r="I34" s="62">
        <v>45925</v>
      </c>
      <c r="K34" s="223" t="e">
        <f ca="1">_xlfn.XLOOKUP(G34,TabCalc[Ticker],TabCalc[Agiotage])</f>
        <v>#N/A</v>
      </c>
      <c r="L34" s="93" t="str">
        <f ca="1">IFERROR( _xlfn.LET(_xlpm.nma,_xlfn.XLOOKUP(G34,TabCalc[Ticker],TabCalc[NMA]),_xlpm.revenue,_xlfn.XLOOKUP(G34,TabCalc[Ticker],TabCalc[Revenue]),_xlpm.nma&amp;"="&amp;TEXT(_xlpm.revenue,"#,#0")&amp;"@M: "&amp;N34),"")</f>
        <v/>
      </c>
      <c r="M34" s="223" t="e">
        <f ca="1">_xlfn.XLOOKUP(G34,TabCalc[Ticker],TabCalc[Up20])</f>
        <v>#N/A</v>
      </c>
      <c r="N34" s="83" t="e">
        <f ca="1">_xlfn.XLOOKUP(G34,TabCalc[Ticker],TabCalc[M])</f>
        <v>#N/A</v>
      </c>
      <c r="O34" s="62">
        <f t="shared" ca="1" si="0"/>
        <v>45956</v>
      </c>
      <c r="P34" t="str">
        <f t="shared" ca="1" si="1"/>
        <v>Formulas ready to copy below</v>
      </c>
    </row>
    <row r="35" spans="1:16" ht="23" thickBot="1">
      <c r="A35" s="1131" t="str">
        <f ca="1">Calc!H33</f>
        <v>NFLX</v>
      </c>
      <c r="B35" s="1133">
        <v>45953</v>
      </c>
      <c r="C35" s="1176" t="s">
        <v>2745</v>
      </c>
      <c r="D35" s="1174">
        <v>2.1262E-2</v>
      </c>
      <c r="E35" s="1271">
        <v>1.1193396111995468</v>
      </c>
      <c r="F35" s="1136" t="s">
        <v>2746</v>
      </c>
      <c r="G35" s="1175">
        <v>0.33333333333333331</v>
      </c>
      <c r="H35" s="1139">
        <f ca="1">_xlfn.XLOOKUP(A35,TabCalc[Ticker],TabCalc[M])</f>
        <v>1094.69</v>
      </c>
      <c r="I35" s="1168">
        <v>45953</v>
      </c>
      <c r="J35" s="1275" t="s">
        <v>2748</v>
      </c>
      <c r="K35" s="223" t="e">
        <f ca="1">_xlfn.XLOOKUP(G35,TabCalc[Ticker],TabCalc[Agiotage])</f>
        <v>#N/A</v>
      </c>
      <c r="L35" s="93" t="str">
        <f ca="1">IFERROR( _xlfn.LET(_xlpm.nma,_xlfn.XLOOKUP(G35,TabCalc[Ticker],TabCalc[NMA]),_xlpm.revenue,_xlfn.XLOOKUP(G35,TabCalc[Ticker],TabCalc[Revenue]),_xlpm.nma&amp;"="&amp;TEXT(_xlpm.revenue,"#,#0")&amp;"@M: "&amp;N35),"")</f>
        <v/>
      </c>
      <c r="M35" s="223" t="e">
        <f ca="1">_xlfn.XLOOKUP(G35,TabCalc[Ticker],TabCalc[Up20])</f>
        <v>#N/A</v>
      </c>
      <c r="N35" s="83" t="e">
        <f ca="1">_xlfn.XLOOKUP(G35,TabCalc[Ticker],TabCalc[M])</f>
        <v>#N/A</v>
      </c>
      <c r="O35" s="62">
        <f t="shared" ca="1" si="0"/>
        <v>45956</v>
      </c>
      <c r="P35" t="str">
        <f t="shared" ca="1" si="1"/>
        <v>Formulas ready to copy below</v>
      </c>
    </row>
    <row r="36" spans="1:16" ht="23" thickBot="1">
      <c r="A36" s="1131" t="str">
        <f ca="1">Calc!H34</f>
        <v>NOTE</v>
      </c>
      <c r="B36" s="1133">
        <v>45939</v>
      </c>
      <c r="C36" s="1176" t="s">
        <v>2654</v>
      </c>
      <c r="D36" s="1303">
        <v>5.0000000000000001E-3</v>
      </c>
      <c r="E36" s="1304">
        <v>0.78</v>
      </c>
      <c r="F36" s="1305" t="s">
        <v>2656</v>
      </c>
      <c r="G36" s="1306">
        <v>0.56999999999999995</v>
      </c>
      <c r="H36" s="1139">
        <f ca="1">_xlfn.XLOOKUP(A36,TabCalc[Ticker],TabCalc[M])</f>
        <v>4.37</v>
      </c>
      <c r="I36" s="1307">
        <v>45938</v>
      </c>
      <c r="J36" s="1275" t="s">
        <v>2657</v>
      </c>
      <c r="K36" s="223" t="e">
        <f ca="1">_xlfn.XLOOKUP(G36,TabCalc[Ticker],TabCalc[Agiotage])</f>
        <v>#N/A</v>
      </c>
      <c r="L36" s="93" t="str">
        <f ca="1">IFERROR( _xlfn.LET(_xlpm.nma,_xlfn.XLOOKUP(G36,TabCalc[Ticker],TabCalc[NMA]),_xlpm.revenue,_xlfn.XLOOKUP(G36,TabCalc[Ticker],TabCalc[Revenue]),_xlpm.nma&amp;"="&amp;TEXT(_xlpm.revenue,"#,#0")&amp;"@M: "&amp;N36),"")</f>
        <v/>
      </c>
      <c r="M36" s="223" t="e">
        <f ca="1">_xlfn.XLOOKUP(G36,TabCalc[Ticker],TabCalc[Up20])</f>
        <v>#N/A</v>
      </c>
      <c r="N36" s="83" t="e">
        <f ca="1">_xlfn.XLOOKUP(G36,TabCalc[Ticker],TabCalc[M])</f>
        <v>#N/A</v>
      </c>
      <c r="O36" s="62">
        <f t="shared" ca="1" si="0"/>
        <v>45956</v>
      </c>
      <c r="P36" t="str">
        <f t="shared" ca="1" si="1"/>
        <v>Formulas ready to copy below</v>
      </c>
    </row>
    <row r="37" spans="1:16" ht="23" thickBot="1">
      <c r="A37" s="1131" t="str">
        <f ca="1">Calc!H35</f>
        <v>PAAS</v>
      </c>
      <c r="B37" s="1133">
        <v>45939</v>
      </c>
      <c r="C37" s="1176" t="s">
        <v>2655</v>
      </c>
      <c r="D37" s="1303">
        <v>5.0000000000000001E-3</v>
      </c>
      <c r="E37" s="1304">
        <v>0.78</v>
      </c>
      <c r="F37" s="1305" t="s">
        <v>2656</v>
      </c>
      <c r="G37" s="1306">
        <v>0.56999999999999995</v>
      </c>
      <c r="H37" s="1139">
        <f ca="1">_xlfn.XLOOKUP(A37,TabCalc[Ticker],TabCalc[M])</f>
        <v>36.340000000000003</v>
      </c>
      <c r="I37" s="1307">
        <v>45938</v>
      </c>
      <c r="J37" s="1275" t="s">
        <v>2657</v>
      </c>
      <c r="K37" s="223" t="e">
        <f ca="1">_xlfn.XLOOKUP(G37,TabCalc[Ticker],TabCalc[Agiotage])</f>
        <v>#N/A</v>
      </c>
      <c r="L37" s="93" t="str">
        <f ca="1">IFERROR( _xlfn.LET(_xlpm.nma,_xlfn.XLOOKUP(G37,TabCalc[Ticker],TabCalc[NMA]),_xlpm.revenue,_xlfn.XLOOKUP(G37,TabCalc[Ticker],TabCalc[Revenue]),_xlpm.nma&amp;"="&amp;TEXT(_xlpm.revenue,"#,#0")&amp;"@M: "&amp;N37),"")</f>
        <v/>
      </c>
      <c r="M37" s="223" t="e">
        <f ca="1">_xlfn.XLOOKUP(G37,TabCalc[Ticker],TabCalc[Up20])</f>
        <v>#N/A</v>
      </c>
      <c r="N37" s="83" t="e">
        <f ca="1">_xlfn.XLOOKUP(G37,TabCalc[Ticker],TabCalc[M])</f>
        <v>#N/A</v>
      </c>
      <c r="O37" s="62">
        <f t="shared" ref="O37:O68" ca="1" si="2">TODAY()</f>
        <v>45956</v>
      </c>
      <c r="P37" t="str">
        <f t="shared" ref="P37:P68" ca="1" si="3">IFERROR("("&amp;TEXT(J37,"#0.0%")&amp;":"&amp;INT(100*K37)&amp;"%)@"&amp;TEXT(N37,"#,#0.#0")&amp;":("&amp;L37&amp;")"&amp;"&gt;UpMark "&amp;TEXT(M37,"#,#0%"),"Formulas ready to copy below")</f>
        <v>Formulas ready to copy below</v>
      </c>
    </row>
    <row r="38" spans="1:16" ht="23" thickBot="1">
      <c r="A38" s="1131" t="str">
        <f ca="1">Calc!H36</f>
        <v>PROF</v>
      </c>
      <c r="B38" s="1133">
        <v>45519</v>
      </c>
      <c r="C38" s="1176" t="s">
        <v>1414</v>
      </c>
      <c r="D38" s="1177">
        <v>6.6585999999999992E-2</v>
      </c>
      <c r="E38" s="316">
        <v>0.82326283787864651</v>
      </c>
      <c r="F38" s="93"/>
      <c r="G38" s="1178">
        <v>0.42857142857142855</v>
      </c>
      <c r="H38" s="1139">
        <f ca="1">_xlfn.XLOOKUP(A38,TabCalc[Ticker],TabCalc[M])</f>
        <v>5.5</v>
      </c>
      <c r="I38" s="62">
        <v>45925</v>
      </c>
      <c r="K38" s="223" t="e">
        <f ca="1">_xlfn.XLOOKUP(G38,TabCalc[Ticker],TabCalc[Agiotage])</f>
        <v>#N/A</v>
      </c>
      <c r="L38" s="93" t="str">
        <f ca="1">IFERROR( _xlfn.LET(_xlpm.nma,_xlfn.XLOOKUP(G38,TabCalc[Ticker],TabCalc[NMA]),_xlpm.revenue,_xlfn.XLOOKUP(G38,TabCalc[Ticker],TabCalc[Revenue]),_xlpm.nma&amp;"="&amp;TEXT(_xlpm.revenue,"#,#0")&amp;"@M: "&amp;N38),"")</f>
        <v/>
      </c>
      <c r="M38" s="223" t="e">
        <f ca="1">_xlfn.XLOOKUP(G38,TabCalc[Ticker],TabCalc[Up20])</f>
        <v>#N/A</v>
      </c>
      <c r="N38" s="83" t="e">
        <f ca="1">_xlfn.XLOOKUP(G38,TabCalc[Ticker],TabCalc[M])</f>
        <v>#N/A</v>
      </c>
      <c r="O38" s="62">
        <f t="shared" ca="1" si="2"/>
        <v>45956</v>
      </c>
      <c r="P38" t="str">
        <f t="shared" ca="1" si="3"/>
        <v>Formulas ready to copy below</v>
      </c>
    </row>
    <row r="39" spans="1:16" ht="23" thickBot="1">
      <c r="A39" s="1131" t="str">
        <f ca="1">Calc!H37</f>
        <v>POET</v>
      </c>
      <c r="B39" s="1133">
        <v>45938</v>
      </c>
      <c r="C39" s="1176" t="s">
        <v>2659</v>
      </c>
      <c r="D39" s="1174">
        <v>4.3343999999999994E-2</v>
      </c>
      <c r="E39" s="1271">
        <v>1.3546074840192488</v>
      </c>
      <c r="F39" s="1136" t="s">
        <v>2672</v>
      </c>
      <c r="G39" s="1175">
        <v>0.61904761904761907</v>
      </c>
      <c r="H39" s="1139">
        <f ca="1">_xlfn.XLOOKUP(A39,TabCalc[Ticker],TabCalc[M])</f>
        <v>8.23</v>
      </c>
      <c r="I39" s="1168">
        <v>45939</v>
      </c>
      <c r="J39" s="1275" t="s">
        <v>2679</v>
      </c>
      <c r="K39" s="223" t="e">
        <f ca="1">_xlfn.XLOOKUP(G39,TabCalc[Ticker],TabCalc[Agiotage])</f>
        <v>#N/A</v>
      </c>
      <c r="L39" s="93" t="str">
        <f ca="1">IFERROR( _xlfn.LET(_xlpm.nma,_xlfn.XLOOKUP(G39,TabCalc[Ticker],TabCalc[NMA]),_xlpm.revenue,_xlfn.XLOOKUP(G39,TabCalc[Ticker],TabCalc[Revenue]),_xlpm.nma&amp;"="&amp;TEXT(_xlpm.revenue,"#,#0")&amp;"@M: "&amp;N39),"")</f>
        <v/>
      </c>
      <c r="M39" s="223" t="e">
        <f ca="1">_xlfn.XLOOKUP(G39,TabCalc[Ticker],TabCalc[Up20])</f>
        <v>#N/A</v>
      </c>
      <c r="N39" s="83" t="e">
        <f ca="1">_xlfn.XLOOKUP(G39,TabCalc[Ticker],TabCalc[M])</f>
        <v>#N/A</v>
      </c>
      <c r="O39" s="62">
        <f t="shared" ca="1" si="2"/>
        <v>45956</v>
      </c>
      <c r="P39" t="str">
        <f t="shared" ca="1" si="3"/>
        <v>Formulas ready to copy below</v>
      </c>
    </row>
    <row r="40" spans="1:16" ht="23" thickBot="1">
      <c r="A40" s="1131" t="str">
        <f ca="1">Calc!H38</f>
        <v>PW</v>
      </c>
      <c r="B40" s="1133">
        <v>45939</v>
      </c>
      <c r="C40" s="1176" t="s">
        <v>2662</v>
      </c>
      <c r="D40" s="1174">
        <v>0.17005099999999998</v>
      </c>
      <c r="E40" s="1271">
        <v>13.077889924669092</v>
      </c>
      <c r="F40" s="1136" t="s">
        <v>2673</v>
      </c>
      <c r="G40" s="1175">
        <v>0.57894736842105265</v>
      </c>
      <c r="H40" s="1139">
        <f ca="1">_xlfn.XLOOKUP(A40,TabCalc[Ticker],TabCalc[M])</f>
        <v>0.75349999999999995</v>
      </c>
      <c r="I40" s="1168">
        <v>45939</v>
      </c>
      <c r="J40" s="1275" t="s">
        <v>2680</v>
      </c>
      <c r="K40" s="223" t="e">
        <f ca="1">_xlfn.XLOOKUP(G40,TabCalc[Ticker],TabCalc[Agiotage])</f>
        <v>#N/A</v>
      </c>
      <c r="L40" s="93" t="str">
        <f ca="1">IFERROR( _xlfn.LET(_xlpm.nma,_xlfn.XLOOKUP(G40,TabCalc[Ticker],TabCalc[NMA]),_xlpm.revenue,_xlfn.XLOOKUP(G40,TabCalc[Ticker],TabCalc[Revenue]),_xlpm.nma&amp;"="&amp;TEXT(_xlpm.revenue,"#,#0")&amp;"@M: "&amp;N40),"")</f>
        <v/>
      </c>
      <c r="M40" s="223" t="e">
        <f ca="1">_xlfn.XLOOKUP(G40,TabCalc[Ticker],TabCalc[Up20])</f>
        <v>#N/A</v>
      </c>
      <c r="N40" s="83" t="e">
        <f ca="1">_xlfn.XLOOKUP(G40,TabCalc[Ticker],TabCalc[M])</f>
        <v>#N/A</v>
      </c>
      <c r="O40" s="62">
        <f t="shared" ca="1" si="2"/>
        <v>45956</v>
      </c>
      <c r="P40" t="str">
        <f t="shared" ca="1" si="3"/>
        <v>Formulas ready to copy below</v>
      </c>
    </row>
    <row r="41" spans="1:16" ht="23" thickBot="1">
      <c r="A41" s="1131" t="str">
        <f ca="1">Calc!H39</f>
        <v>RIGL</v>
      </c>
      <c r="B41" s="1133">
        <v>45926</v>
      </c>
      <c r="C41" s="1186" t="s">
        <v>2559</v>
      </c>
      <c r="D41" s="1174">
        <v>-2.4390000000000002E-3</v>
      </c>
      <c r="E41" s="1271">
        <v>0.92153560404259394</v>
      </c>
      <c r="F41" s="1136" t="s">
        <v>2563</v>
      </c>
      <c r="G41" s="1175">
        <v>0</v>
      </c>
      <c r="H41" s="1139">
        <f ca="1">_xlfn.XLOOKUP(A41,TabCalc[Ticker],TabCalc[M])</f>
        <v>29.97</v>
      </c>
      <c r="I41" s="1168">
        <v>45926</v>
      </c>
      <c r="J41" s="1138" t="s">
        <v>2568</v>
      </c>
      <c r="K41" s="1298" t="e">
        <f ca="1">_xlfn.XLOOKUP(G41,TabCalc[Ticker],TabCalc[Agiotage])</f>
        <v>#N/A</v>
      </c>
      <c r="L41" s="93" t="str">
        <f ca="1">IFERROR( _xlfn.LET(_xlpm.nma,_xlfn.XLOOKUP(G41,TabCalc[Ticker],TabCalc[NMA]),_xlpm.revenue,_xlfn.XLOOKUP(G41,TabCalc[Ticker],TabCalc[Revenue]),_xlpm.nma&amp;"="&amp;TEXT(_xlpm.revenue,"#,#0")&amp;"@M: "&amp;N41),"")</f>
        <v/>
      </c>
      <c r="M41" s="223" t="e">
        <f ca="1">_xlfn.XLOOKUP(G41,TabCalc[Ticker],TabCalc[Up20])</f>
        <v>#N/A</v>
      </c>
      <c r="N41" s="83" t="e">
        <f ca="1">_xlfn.XLOOKUP(G41,TabCalc[Ticker],TabCalc[M])</f>
        <v>#N/A</v>
      </c>
      <c r="O41" s="62">
        <f t="shared" ca="1" si="2"/>
        <v>45956</v>
      </c>
      <c r="P41" t="str">
        <f t="shared" ca="1" si="3"/>
        <v>Formulas ready to copy below</v>
      </c>
    </row>
    <row r="42" spans="1:16" ht="23" thickBot="1">
      <c r="A42" s="1131" t="str">
        <f ca="1">Calc!H40</f>
        <v>RWE</v>
      </c>
      <c r="B42" s="1133">
        <v>45932</v>
      </c>
      <c r="C42" s="1176" t="s">
        <v>1415</v>
      </c>
      <c r="D42" s="1174">
        <v>4.5125999999999999E-2</v>
      </c>
      <c r="E42" s="1271">
        <v>0.67371162080178904</v>
      </c>
      <c r="F42" s="1136" t="s">
        <v>2561</v>
      </c>
      <c r="G42" s="1175">
        <v>0.33333333333333331</v>
      </c>
      <c r="H42" s="1139">
        <f ca="1">_xlfn.XLOOKUP(A42,TabCalc[Ticker],TabCalc[M])</f>
        <v>40.57</v>
      </c>
      <c r="I42" s="1168">
        <v>45932</v>
      </c>
      <c r="J42" s="1187" t="s">
        <v>2586</v>
      </c>
      <c r="K42" s="223" t="e">
        <f ca="1">_xlfn.XLOOKUP(G42,TabCalc[Ticker],TabCalc[Agiotage])</f>
        <v>#N/A</v>
      </c>
      <c r="L42" s="93" t="str">
        <f ca="1">IFERROR( _xlfn.LET(_xlpm.nma,_xlfn.XLOOKUP(G42,TabCalc[Ticker],TabCalc[NMA]),_xlpm.revenue,_xlfn.XLOOKUP(G42,TabCalc[Ticker],TabCalc[Revenue]),_xlpm.nma&amp;"="&amp;TEXT(_xlpm.revenue,"#,#0")&amp;"@M: "&amp;N42),"")</f>
        <v/>
      </c>
      <c r="M42" s="223" t="e">
        <f ca="1">_xlfn.XLOOKUP(G42,TabCalc[Ticker],TabCalc[Up20])</f>
        <v>#N/A</v>
      </c>
      <c r="N42" s="83" t="e">
        <f ca="1">_xlfn.XLOOKUP(G42,TabCalc[Ticker],TabCalc[M])</f>
        <v>#N/A</v>
      </c>
      <c r="O42" s="62">
        <f t="shared" ca="1" si="2"/>
        <v>45956</v>
      </c>
      <c r="P42" t="str">
        <f t="shared" ca="1" si="3"/>
        <v>Formulas ready to copy below</v>
      </c>
    </row>
    <row r="43" spans="1:16" ht="23" thickBot="1">
      <c r="A43" s="1131" t="str">
        <f ca="1">Calc!H41</f>
        <v>SAP</v>
      </c>
      <c r="B43" s="1133">
        <v>45926</v>
      </c>
      <c r="C43" s="1176" t="s">
        <v>2595</v>
      </c>
      <c r="D43" s="1174">
        <v>7.4489999999999999E-3</v>
      </c>
      <c r="E43" s="1271">
        <v>2.8445264488105365E-4</v>
      </c>
      <c r="F43" s="1136" t="s">
        <v>2561</v>
      </c>
      <c r="G43" s="1175">
        <v>0.83333333333333337</v>
      </c>
      <c r="H43" s="1139">
        <f ca="1">_xlfn.XLOOKUP(A43,TabCalc[Ticker],TabCalc[M])</f>
        <v>233.35</v>
      </c>
      <c r="I43" s="1168">
        <v>45933</v>
      </c>
      <c r="J43" s="1275" t="s">
        <v>2605</v>
      </c>
      <c r="K43" s="223" t="e">
        <f ca="1">_xlfn.XLOOKUP(G43,TabCalc[Ticker],TabCalc[Agiotage])</f>
        <v>#N/A</v>
      </c>
      <c r="L43" s="93" t="str">
        <f ca="1">IFERROR( _xlfn.LET(_xlpm.nma,_xlfn.XLOOKUP(G43,TabCalc[Ticker],TabCalc[NMA]),_xlpm.revenue,_xlfn.XLOOKUP(G43,TabCalc[Ticker],TabCalc[Revenue]),_xlpm.nma&amp;"="&amp;TEXT(_xlpm.revenue,"#,#0")&amp;"@M: "&amp;N43),"")</f>
        <v/>
      </c>
      <c r="M43" s="223" t="e">
        <f ca="1">_xlfn.XLOOKUP(G43,TabCalc[Ticker],TabCalc[Up20])</f>
        <v>#N/A</v>
      </c>
      <c r="N43" s="83" t="e">
        <f ca="1">_xlfn.XLOOKUP(G43,TabCalc[Ticker],TabCalc[M])</f>
        <v>#N/A</v>
      </c>
      <c r="O43" s="62">
        <f t="shared" ca="1" si="2"/>
        <v>45956</v>
      </c>
      <c r="P43" t="str">
        <f t="shared" ca="1" si="3"/>
        <v>Formulas ready to copy below</v>
      </c>
    </row>
    <row r="44" spans="1:16" ht="23" thickBot="1">
      <c r="A44" s="1131" t="str">
        <f ca="1">Calc!H42</f>
        <v>SHECY</v>
      </c>
      <c r="B44" s="1133">
        <v>45944</v>
      </c>
      <c r="C44" s="1176" t="s">
        <v>2709</v>
      </c>
      <c r="D44" s="1174">
        <v>5.6179999999999997E-3</v>
      </c>
      <c r="E44" s="1271">
        <v>1.1919431065487109</v>
      </c>
      <c r="F44" s="1136" t="s">
        <v>2711</v>
      </c>
      <c r="G44" s="1175">
        <v>0.55555555555555558</v>
      </c>
      <c r="H44" s="1139">
        <f ca="1">_xlfn.XLOOKUP(A44,TabCalc[Ticker],TabCalc[M])</f>
        <v>15.67</v>
      </c>
      <c r="I44" s="1168">
        <v>45944</v>
      </c>
      <c r="J44" s="1275" t="s">
        <v>2712</v>
      </c>
      <c r="K44" s="223" t="e">
        <f ca="1">_xlfn.XLOOKUP(G44,TabCalc[Ticker],TabCalc[Agiotage])</f>
        <v>#N/A</v>
      </c>
      <c r="L44" s="93" t="str">
        <f ca="1">IFERROR( _xlfn.LET(_xlpm.nma,_xlfn.XLOOKUP(G44,TabCalc[Ticker],TabCalc[NMA]),_xlpm.revenue,_xlfn.XLOOKUP(G44,TabCalc[Ticker],TabCalc[Revenue]),_xlpm.nma&amp;"="&amp;TEXT(_xlpm.revenue,"#,#0")&amp;"@M: "&amp;N44),"")</f>
        <v/>
      </c>
      <c r="M44" s="223" t="e">
        <f ca="1">_xlfn.XLOOKUP(G44,TabCalc[Ticker],TabCalc[Up20])</f>
        <v>#N/A</v>
      </c>
      <c r="N44" s="83" t="e">
        <f ca="1">_xlfn.XLOOKUP(G44,TabCalc[Ticker],TabCalc[M])</f>
        <v>#N/A</v>
      </c>
      <c r="O44" s="62">
        <f t="shared" ca="1" si="2"/>
        <v>45956</v>
      </c>
      <c r="P44" t="str">
        <f t="shared" ca="1" si="3"/>
        <v>Formulas ready to copy below</v>
      </c>
    </row>
    <row r="45" spans="1:16" ht="23" thickBot="1">
      <c r="A45" s="1131" t="str">
        <f ca="1">Calc!H43</f>
        <v>SSYS</v>
      </c>
      <c r="B45" s="1133">
        <v>45938</v>
      </c>
      <c r="C45" s="1176" t="s">
        <v>2660</v>
      </c>
      <c r="D45" s="1174">
        <v>-1.7564E-2</v>
      </c>
      <c r="E45" s="1271">
        <v>2.3723824396596944E-2</v>
      </c>
      <c r="F45" s="1136" t="s">
        <v>2674</v>
      </c>
      <c r="G45" s="1175">
        <v>0.6428571428571429</v>
      </c>
      <c r="H45" s="1139">
        <f ca="1">_xlfn.XLOOKUP(A45,TabCalc[Ticker],TabCalc[M])</f>
        <v>11.99</v>
      </c>
      <c r="I45" s="1168">
        <v>45939</v>
      </c>
      <c r="J45" s="1275" t="s">
        <v>2681</v>
      </c>
      <c r="K45" s="223" t="e">
        <f ca="1">_xlfn.XLOOKUP(G45,TabCalc[Ticker],TabCalc[Agiotage])</f>
        <v>#N/A</v>
      </c>
      <c r="L45" s="93" t="str">
        <f ca="1">IFERROR( _xlfn.LET(_xlpm.nma,_xlfn.XLOOKUP(G45,TabCalc[Ticker],TabCalc[NMA]),_xlpm.revenue,_xlfn.XLOOKUP(G45,TabCalc[Ticker],TabCalc[Revenue]),_xlpm.nma&amp;"="&amp;TEXT(_xlpm.revenue,"#,#0")&amp;"@M: "&amp;N45),"")</f>
        <v/>
      </c>
      <c r="M45" s="223" t="e">
        <f ca="1">_xlfn.XLOOKUP(G45,TabCalc[Ticker],TabCalc[Up20])</f>
        <v>#N/A</v>
      </c>
      <c r="N45" s="83" t="e">
        <f ca="1">_xlfn.XLOOKUP(G45,TabCalc[Ticker],TabCalc[M])</f>
        <v>#N/A</v>
      </c>
      <c r="O45" s="62">
        <f t="shared" ca="1" si="2"/>
        <v>45956</v>
      </c>
      <c r="P45" t="str">
        <f t="shared" ca="1" si="3"/>
        <v>Formulas ready to copy below</v>
      </c>
    </row>
    <row r="46" spans="1:16" ht="23" thickBot="1">
      <c r="A46" s="1131" t="str">
        <f ca="1">Calc!H44</f>
        <v>TSLA</v>
      </c>
      <c r="B46" s="1133">
        <v>45460</v>
      </c>
      <c r="C46" s="1176" t="s">
        <v>1416</v>
      </c>
      <c r="D46" s="1177">
        <v>1.6840999999999998E-2</v>
      </c>
      <c r="E46" s="316">
        <v>1.0913498515453366</v>
      </c>
      <c r="F46" s="93">
        <v>24160.59</v>
      </c>
      <c r="G46" s="1178">
        <v>0.61904761904761907</v>
      </c>
      <c r="H46" s="1139">
        <f ca="1">_xlfn.XLOOKUP(A46,TabCalc[Ticker],TabCalc[M])</f>
        <v>433.72</v>
      </c>
      <c r="I46" s="62">
        <v>45925</v>
      </c>
      <c r="K46" s="223" t="e">
        <f ca="1">_xlfn.XLOOKUP(G46,TabCalc[Ticker],TabCalc[Agiotage])</f>
        <v>#N/A</v>
      </c>
      <c r="L46" s="93" t="str">
        <f ca="1">IFERROR( _xlfn.LET(_xlpm.nma,_xlfn.XLOOKUP(G46,TabCalc[Ticker],TabCalc[NMA]),_xlpm.revenue,_xlfn.XLOOKUP(G46,TabCalc[Ticker],TabCalc[Revenue]),_xlpm.nma&amp;"="&amp;TEXT(_xlpm.revenue,"#,#0")&amp;"@M: "&amp;N46),"")</f>
        <v/>
      </c>
      <c r="M46" s="223" t="e">
        <f ca="1">_xlfn.XLOOKUP(G46,TabCalc[Ticker],TabCalc[Up20])</f>
        <v>#N/A</v>
      </c>
      <c r="N46" s="83" t="e">
        <f ca="1">_xlfn.XLOOKUP(G46,TabCalc[Ticker],TabCalc[M])</f>
        <v>#N/A</v>
      </c>
      <c r="O46" s="62">
        <f t="shared" ca="1" si="2"/>
        <v>45956</v>
      </c>
      <c r="P46" t="str">
        <f t="shared" ca="1" si="3"/>
        <v>Formulas ready to copy below</v>
      </c>
    </row>
    <row r="47" spans="1:16" ht="23" thickBot="1">
      <c r="A47" s="1131" t="str">
        <f ca="1">Calc!H45</f>
        <v>TSM</v>
      </c>
      <c r="B47" s="1133">
        <v>45525</v>
      </c>
      <c r="C47" s="1176" t="s">
        <v>1417</v>
      </c>
      <c r="D47" s="1177">
        <v>-1.3661000000000001E-2</v>
      </c>
      <c r="E47" s="316">
        <v>1.0809741863119016</v>
      </c>
      <c r="F47" s="93">
        <v>17223.050000000003</v>
      </c>
      <c r="G47" s="1178">
        <v>0.66666666666666663</v>
      </c>
      <c r="H47" s="1139">
        <f ca="1">_xlfn.XLOOKUP(A47,TabCalc[Ticker],TabCalc[M])</f>
        <v>294.95999999999998</v>
      </c>
      <c r="I47" s="62">
        <v>45925</v>
      </c>
      <c r="K47" s="223" t="e">
        <f ca="1">_xlfn.XLOOKUP(G47,TabCalc[Ticker],TabCalc[Agiotage])</f>
        <v>#N/A</v>
      </c>
      <c r="L47" s="93" t="str">
        <f ca="1">IFERROR( _xlfn.LET(_xlpm.nma,_xlfn.XLOOKUP(G47,TabCalc[Ticker],TabCalc[NMA]),_xlpm.revenue,_xlfn.XLOOKUP(G47,TabCalc[Ticker],TabCalc[Revenue]),_xlpm.nma&amp;"="&amp;TEXT(_xlpm.revenue,"#,#0")&amp;"@M: "&amp;N47),"")</f>
        <v/>
      </c>
      <c r="M47" s="223" t="e">
        <f ca="1">_xlfn.XLOOKUP(G47,TabCalc[Ticker],TabCalc[Up20])</f>
        <v>#N/A</v>
      </c>
      <c r="N47" s="83" t="e">
        <f ca="1">_xlfn.XLOOKUP(G47,TabCalc[Ticker],TabCalc[M])</f>
        <v>#N/A</v>
      </c>
      <c r="O47" s="62">
        <f t="shared" ca="1" si="2"/>
        <v>45956</v>
      </c>
      <c r="P47" t="str">
        <f t="shared" ca="1" si="3"/>
        <v>Formulas ready to copy below</v>
      </c>
    </row>
    <row r="48" spans="1:16" ht="23" thickBot="1">
      <c r="A48" s="1131" t="str">
        <f ca="1">Calc!H46</f>
        <v>UN0</v>
      </c>
      <c r="B48" s="1133">
        <v>45460</v>
      </c>
      <c r="C48" s="1176" t="s">
        <v>1418</v>
      </c>
      <c r="D48" s="1177">
        <v>-4.8209000000000002E-2</v>
      </c>
      <c r="E48" s="316">
        <v>6.2275449101796408E-2</v>
      </c>
      <c r="F48" s="93"/>
      <c r="G48" s="1178">
        <v>0</v>
      </c>
      <c r="H48" s="1139">
        <f ca="1">_xlfn.XLOOKUP(A48,TabCalc[Ticker],TabCalc[M])</f>
        <v>30.15</v>
      </c>
      <c r="I48" s="62">
        <v>45925</v>
      </c>
      <c r="K48" s="223" t="e">
        <f ca="1">_xlfn.XLOOKUP(G48,TabCalc[Ticker],TabCalc[Agiotage])</f>
        <v>#N/A</v>
      </c>
      <c r="L48" s="93" t="str">
        <f ca="1">IFERROR( _xlfn.LET(_xlpm.nma,_xlfn.XLOOKUP(G48,TabCalc[Ticker],TabCalc[NMA]),_xlpm.revenue,_xlfn.XLOOKUP(G48,TabCalc[Ticker],TabCalc[Revenue]),_xlpm.nma&amp;"="&amp;TEXT(_xlpm.revenue,"#,#0")&amp;"@M: "&amp;N48),"")</f>
        <v/>
      </c>
      <c r="M48" s="223" t="e">
        <f ca="1">_xlfn.XLOOKUP(G48,TabCalc[Ticker],TabCalc[Up20])</f>
        <v>#N/A</v>
      </c>
      <c r="N48" s="83" t="e">
        <f ca="1">_xlfn.XLOOKUP(G48,TabCalc[Ticker],TabCalc[M])</f>
        <v>#N/A</v>
      </c>
      <c r="O48" s="62">
        <f t="shared" ca="1" si="2"/>
        <v>45956</v>
      </c>
      <c r="P48" t="str">
        <f t="shared" ca="1" si="3"/>
        <v>Formulas ready to copy below</v>
      </c>
    </row>
    <row r="49" spans="1:16" ht="23" thickBot="1">
      <c r="A49" s="1131" t="str">
        <f ca="1">Calc!H47</f>
        <v>UNIT</v>
      </c>
      <c r="B49" s="1133">
        <v>45460</v>
      </c>
      <c r="C49" s="1176" t="s">
        <v>1418</v>
      </c>
      <c r="D49" s="1177">
        <v>-2.2529E-2</v>
      </c>
      <c r="E49" s="316">
        <v>0.6230414742163608</v>
      </c>
      <c r="F49" s="93"/>
      <c r="G49" s="1178">
        <v>0</v>
      </c>
      <c r="H49" s="1139">
        <f ca="1">_xlfn.XLOOKUP(A49,TabCalc[Ticker],TabCalc[M])</f>
        <v>6</v>
      </c>
      <c r="I49" s="62">
        <v>45925</v>
      </c>
      <c r="K49" s="223" t="e">
        <f ca="1">_xlfn.XLOOKUP(G49,TabCalc[Ticker],TabCalc[Agiotage])</f>
        <v>#N/A</v>
      </c>
      <c r="L49" s="93" t="str">
        <f ca="1">IFERROR( _xlfn.LET(_xlpm.nma,_xlfn.XLOOKUP(G49,TabCalc[Ticker],TabCalc[NMA]),_xlpm.revenue,_xlfn.XLOOKUP(G49,TabCalc[Ticker],TabCalc[Revenue]),_xlpm.nma&amp;"="&amp;TEXT(_xlpm.revenue,"#,#0")&amp;"@M: "&amp;N49),"")</f>
        <v/>
      </c>
      <c r="M49" s="223" t="e">
        <f ca="1">_xlfn.XLOOKUP(G49,TabCalc[Ticker],TabCalc[Up20])</f>
        <v>#N/A</v>
      </c>
      <c r="N49" s="83" t="e">
        <f ca="1">_xlfn.XLOOKUP(G49,TabCalc[Ticker],TabCalc[M])</f>
        <v>#N/A</v>
      </c>
      <c r="O49" s="62">
        <f t="shared" ca="1" si="2"/>
        <v>45956</v>
      </c>
      <c r="P49" t="str">
        <f t="shared" ca="1" si="3"/>
        <v>Formulas ready to copy below</v>
      </c>
    </row>
    <row r="50" spans="1:16" ht="23" thickBot="1">
      <c r="A50" s="1131" t="str">
        <f ca="1">Calc!H48</f>
        <v>AVGO</v>
      </c>
      <c r="B50" s="1133">
        <v>45495</v>
      </c>
      <c r="C50" s="1176" t="s">
        <v>1419</v>
      </c>
      <c r="D50" s="1177">
        <v>-4.1120000000000002E-3</v>
      </c>
      <c r="E50" s="316">
        <v>0.93803543348713303</v>
      </c>
      <c r="F50" s="93">
        <v>12037.550000000001</v>
      </c>
      <c r="G50" s="1178">
        <v>0.61904761904761907</v>
      </c>
      <c r="H50" s="1139">
        <f ca="1">_xlfn.XLOOKUP(A50,TabCalc[Ticker],TabCalc[M])</f>
        <v>354.13</v>
      </c>
      <c r="I50" s="62">
        <v>45925</v>
      </c>
      <c r="K50" s="223" t="e">
        <f ca="1">_xlfn.XLOOKUP(G50,TabCalc[Ticker],TabCalc[Agiotage])</f>
        <v>#N/A</v>
      </c>
      <c r="L50" s="93" t="str">
        <f ca="1">IFERROR( _xlfn.LET(_xlpm.nma,_xlfn.XLOOKUP(G50,TabCalc[Ticker],TabCalc[NMA]),_xlpm.revenue,_xlfn.XLOOKUP(G50,TabCalc[Ticker],TabCalc[Revenue]),_xlpm.nma&amp;"="&amp;TEXT(_xlpm.revenue,"#,#0")&amp;"@M: "&amp;N50),"")</f>
        <v/>
      </c>
      <c r="M50" s="223" t="e">
        <f ca="1">_xlfn.XLOOKUP(G50,TabCalc[Ticker],TabCalc[Up20])</f>
        <v>#N/A</v>
      </c>
      <c r="N50" s="83" t="e">
        <f ca="1">_xlfn.XLOOKUP(G50,TabCalc[Ticker],TabCalc[M])</f>
        <v>#N/A</v>
      </c>
      <c r="O50" s="62">
        <f t="shared" ca="1" si="2"/>
        <v>45956</v>
      </c>
      <c r="P50" t="str">
        <f t="shared" ca="1" si="3"/>
        <v>Formulas ready to copy below</v>
      </c>
    </row>
    <row r="51" spans="1:16" ht="23" thickBot="1">
      <c r="A51" s="1131" t="str">
        <f ca="1">Calc!H49</f>
        <v>VLVLY</v>
      </c>
      <c r="B51" s="1133">
        <v>45933</v>
      </c>
      <c r="C51" s="1176" t="s">
        <v>2594</v>
      </c>
      <c r="D51" s="1174">
        <v>1.0648999999999999E-2</v>
      </c>
      <c r="E51" s="1271">
        <v>1.3176706506242421E-2</v>
      </c>
      <c r="F51" s="1136" t="s">
        <v>2597</v>
      </c>
      <c r="G51" s="1175">
        <v>0</v>
      </c>
      <c r="H51" s="1139">
        <f ca="1">_xlfn.XLOOKUP(A51,TabCalc[Ticker],TabCalc[M])</f>
        <v>27.61</v>
      </c>
      <c r="I51" s="1168">
        <v>45933</v>
      </c>
      <c r="J51" s="1275" t="s">
        <v>2606</v>
      </c>
      <c r="K51" s="223" t="e">
        <f ca="1">_xlfn.XLOOKUP(G51,TabCalc[Ticker],TabCalc[Agiotage])</f>
        <v>#N/A</v>
      </c>
      <c r="L51" s="93" t="str">
        <f ca="1">IFERROR( _xlfn.LET(_xlpm.nma,_xlfn.XLOOKUP(G51,TabCalc[Ticker],TabCalc[NMA]),_xlpm.revenue,_xlfn.XLOOKUP(G51,TabCalc[Ticker],TabCalc[Revenue]),_xlpm.nma&amp;"="&amp;TEXT(_xlpm.revenue,"#,#0")&amp;"@M: "&amp;N51),"")</f>
        <v/>
      </c>
      <c r="M51" s="223" t="e">
        <f ca="1">_xlfn.XLOOKUP(G51,TabCalc[Ticker],TabCalc[Up20])</f>
        <v>#N/A</v>
      </c>
      <c r="N51" s="83" t="e">
        <f ca="1">_xlfn.XLOOKUP(G51,TabCalc[Ticker],TabCalc[M])</f>
        <v>#N/A</v>
      </c>
      <c r="O51" s="62">
        <f t="shared" ca="1" si="2"/>
        <v>45956</v>
      </c>
      <c r="P51" t="str">
        <f t="shared" ca="1" si="3"/>
        <v>Formulas ready to copy below</v>
      </c>
    </row>
    <row r="52" spans="1:16" ht="23" thickBot="1">
      <c r="A52" s="1131" t="str">
        <f ca="1">Calc!H50</f>
        <v>VONN</v>
      </c>
      <c r="B52" s="1133">
        <v>45946</v>
      </c>
      <c r="C52" s="1186" t="s">
        <v>2723</v>
      </c>
      <c r="D52" s="1174">
        <v>-6.6449999999999999E-3</v>
      </c>
      <c r="E52" s="1271">
        <v>0.58865979381443301</v>
      </c>
      <c r="F52" s="1136" t="s">
        <v>2726</v>
      </c>
      <c r="G52" s="1175">
        <v>0</v>
      </c>
      <c r="H52" s="1139">
        <f ca="1">_xlfn.XLOOKUP(A52,TabCalc[Ticker],TabCalc[M])</f>
        <v>61.3</v>
      </c>
      <c r="I52" s="1168">
        <v>45946</v>
      </c>
      <c r="J52" s="1275" t="s">
        <v>2728</v>
      </c>
      <c r="K52" s="223" t="e">
        <f ca="1">_xlfn.XLOOKUP(G52,TabCalc[Ticker],TabCalc[Agiotage])</f>
        <v>#N/A</v>
      </c>
      <c r="L52" s="93" t="str">
        <f ca="1">IFERROR( _xlfn.LET(_xlpm.nma,_xlfn.XLOOKUP(G52,TabCalc[Ticker],TabCalc[NMA]),_xlpm.revenue,_xlfn.XLOOKUP(G52,TabCalc[Ticker],TabCalc[Revenue]),_xlpm.nma&amp;"="&amp;TEXT(_xlpm.revenue,"#,#0")&amp;"@M: "&amp;N52),"")</f>
        <v/>
      </c>
      <c r="M52" s="223" t="e">
        <f ca="1">_xlfn.XLOOKUP(G52,TabCalc[Ticker],TabCalc[Up20])</f>
        <v>#N/A</v>
      </c>
      <c r="N52" s="83" t="e">
        <f ca="1">_xlfn.XLOOKUP(G52,TabCalc[Ticker],TabCalc[M])</f>
        <v>#N/A</v>
      </c>
      <c r="O52" s="62">
        <f t="shared" ca="1" si="2"/>
        <v>45956</v>
      </c>
      <c r="P52" t="str">
        <f t="shared" ca="1" si="3"/>
        <v>Formulas ready to copy below</v>
      </c>
    </row>
    <row r="53" spans="1:16" ht="23" thickBot="1">
      <c r="A53" s="1131" t="str">
        <f ca="1">Calc!H51</f>
        <v>VTRS</v>
      </c>
      <c r="B53" s="1133">
        <v>45938</v>
      </c>
      <c r="C53" s="66" t="s">
        <v>2627</v>
      </c>
      <c r="D53" s="1174">
        <v>9.8719999999999993E-4</v>
      </c>
      <c r="E53" s="1271">
        <v>0.61074588106158878</v>
      </c>
      <c r="F53" s="1136" t="s">
        <v>2639</v>
      </c>
      <c r="G53" s="1175">
        <v>0.46666666666666667</v>
      </c>
      <c r="H53" s="1139">
        <f ca="1">_xlfn.XLOOKUP(A53,TabCalc[Ticker],TabCalc[M])</f>
        <v>10.35</v>
      </c>
      <c r="I53" s="1168">
        <v>45938</v>
      </c>
      <c r="J53" s="1275" t="s">
        <v>2646</v>
      </c>
      <c r="K53" s="223" t="e">
        <f ca="1">_xlfn.XLOOKUP(G53,TabCalc[Ticker],TabCalc[Agiotage])</f>
        <v>#N/A</v>
      </c>
      <c r="L53" s="93" t="str">
        <f ca="1">IFERROR( _xlfn.LET(_xlpm.nma,_xlfn.XLOOKUP(G53,TabCalc[Ticker],TabCalc[NMA]),_xlpm.revenue,_xlfn.XLOOKUP(G53,TabCalc[Ticker],TabCalc[Revenue]),_xlpm.nma&amp;"="&amp;TEXT(_xlpm.revenue,"#,#0")&amp;"@M: "&amp;N53),"")</f>
        <v/>
      </c>
      <c r="M53" s="223" t="e">
        <f ca="1">_xlfn.XLOOKUP(G53,TabCalc[Ticker],TabCalc[Up20])</f>
        <v>#N/A</v>
      </c>
      <c r="N53" s="83" t="e">
        <f ca="1">_xlfn.XLOOKUP(G53,TabCalc[Ticker],TabCalc[M])</f>
        <v>#N/A</v>
      </c>
      <c r="O53" s="62">
        <f t="shared" ca="1" si="2"/>
        <v>45956</v>
      </c>
      <c r="P53" t="str">
        <f t="shared" ca="1" si="3"/>
        <v>Formulas ready to copy below</v>
      </c>
    </row>
    <row r="54" spans="1:16" ht="23" thickBot="1">
      <c r="A54" s="1131" t="str">
        <f ca="1">Calc!H52</f>
        <v>WBA</v>
      </c>
      <c r="B54" s="1133">
        <v>45460</v>
      </c>
      <c r="C54" s="66" t="s">
        <v>1420</v>
      </c>
      <c r="D54" s="310">
        <v>0</v>
      </c>
      <c r="E54" s="316">
        <v>24.33668817861566</v>
      </c>
      <c r="F54" s="93">
        <v>31195.920000000002</v>
      </c>
      <c r="G54" s="90">
        <v>0</v>
      </c>
      <c r="H54" s="1139">
        <f ca="1">_xlfn.XLOOKUP(A54,TabCalc[Ticker],TabCalc[M])</f>
        <v>11.98</v>
      </c>
      <c r="I54" s="62">
        <v>45925</v>
      </c>
      <c r="K54" s="223" t="e">
        <f ca="1">_xlfn.XLOOKUP(G54,TabCalc[Ticker],TabCalc[Agiotage])</f>
        <v>#N/A</v>
      </c>
      <c r="L54" s="93" t="str">
        <f ca="1">IFERROR( _xlfn.LET(_xlpm.nma,_xlfn.XLOOKUP(G54,TabCalc[Ticker],TabCalc[NMA]),_xlpm.revenue,_xlfn.XLOOKUP(G54,TabCalc[Ticker],TabCalc[Revenue]),_xlpm.nma&amp;"="&amp;TEXT(_xlpm.revenue,"#,#0")&amp;"@M: "&amp;N54),"")</f>
        <v/>
      </c>
      <c r="M54" s="223" t="e">
        <f ca="1">_xlfn.XLOOKUP(G54,TabCalc[Ticker],TabCalc[Up20])</f>
        <v>#N/A</v>
      </c>
      <c r="N54" s="83" t="e">
        <f ca="1">_xlfn.XLOOKUP(G54,TabCalc[Ticker],TabCalc[M])</f>
        <v>#N/A</v>
      </c>
      <c r="O54" s="62">
        <f t="shared" ca="1" si="2"/>
        <v>45956</v>
      </c>
      <c r="P54" t="str">
        <f t="shared" ca="1" si="3"/>
        <v>Formulas ready to copy below</v>
      </c>
    </row>
    <row r="55" spans="1:16" ht="23" thickBot="1">
      <c r="A55" s="1131" t="str">
        <f ca="1">Calc!H53</f>
        <v>XOM</v>
      </c>
      <c r="B55" s="1133">
        <v>45460</v>
      </c>
      <c r="C55" s="66" t="s">
        <v>2542</v>
      </c>
      <c r="D55" s="1169">
        <v>9.1660000000000005E-3</v>
      </c>
      <c r="E55" s="1272">
        <v>0.89653265895548728</v>
      </c>
      <c r="F55" s="1170" t="s">
        <v>2564</v>
      </c>
      <c r="G55" s="1171">
        <v>0.66666666666666663</v>
      </c>
      <c r="H55" s="1139">
        <f ca="1">_xlfn.XLOOKUP(A55,TabCalc[Ticker],TabCalc[M])</f>
        <v>115.39</v>
      </c>
      <c r="I55" s="62">
        <v>45925</v>
      </c>
      <c r="K55" s="223" t="e">
        <f ca="1">_xlfn.XLOOKUP(G55,TabCalc[Ticker],TabCalc[Agiotage])</f>
        <v>#N/A</v>
      </c>
      <c r="L55" s="93" t="str">
        <f ca="1">IFERROR( _xlfn.LET(_xlpm.nma,_xlfn.XLOOKUP(G55,TabCalc[Ticker],TabCalc[NMA]),_xlpm.revenue,_xlfn.XLOOKUP(G55,TabCalc[Ticker],TabCalc[Revenue]),_xlpm.nma&amp;"="&amp;TEXT(_xlpm.revenue,"#,#0")&amp;"@M: "&amp;N55),"")</f>
        <v/>
      </c>
      <c r="M55" s="223" t="e">
        <f ca="1">_xlfn.XLOOKUP(G55,TabCalc[Ticker],TabCalc[Up20])</f>
        <v>#N/A</v>
      </c>
      <c r="N55" s="83" t="e">
        <f ca="1">_xlfn.XLOOKUP(G55,TabCalc[Ticker],TabCalc[M])</f>
        <v>#N/A</v>
      </c>
      <c r="O55" s="62">
        <f t="shared" ca="1" si="2"/>
        <v>45956</v>
      </c>
      <c r="P55" t="str">
        <f t="shared" ca="1" si="3"/>
        <v>Formulas ready to copy below</v>
      </c>
    </row>
    <row r="56" spans="1:16" ht="23" thickBot="1">
      <c r="A56" s="1131" t="str">
        <f ca="1">Calc!H54</f>
        <v>XPER</v>
      </c>
      <c r="B56" s="1133">
        <v>45932</v>
      </c>
      <c r="C56" s="1176"/>
      <c r="D56" s="1174">
        <v>2.0833000000000001E-2</v>
      </c>
      <c r="E56" s="1271">
        <v>1.2604889231840475</v>
      </c>
      <c r="F56" s="1136" t="s">
        <v>2561</v>
      </c>
      <c r="G56" s="1175">
        <v>0</v>
      </c>
      <c r="H56" s="1139">
        <f ca="1">_xlfn.XLOOKUP(A56,TabCalc[Ticker],TabCalc[M])</f>
        <v>6.67</v>
      </c>
      <c r="I56" s="1168">
        <v>45933</v>
      </c>
      <c r="J56" s="1275" t="s">
        <v>2607</v>
      </c>
      <c r="K56" s="223" t="e">
        <f ca="1">_xlfn.XLOOKUP(G56,TabCalc[Ticker],TabCalc[Agiotage])</f>
        <v>#N/A</v>
      </c>
      <c r="L56" s="93" t="str">
        <f ca="1">IFERROR( _xlfn.LET(_xlpm.nma,_xlfn.XLOOKUP(G56,TabCalc[Ticker],TabCalc[NMA]),_xlpm.revenue,_xlfn.XLOOKUP(G56,TabCalc[Ticker],TabCalc[Revenue]),_xlpm.nma&amp;"="&amp;TEXT(_xlpm.revenue,"#,#0")&amp;"@M: "&amp;N56),"")</f>
        <v/>
      </c>
      <c r="M56" s="223" t="e">
        <f ca="1">_xlfn.XLOOKUP(G56,TabCalc[Ticker],TabCalc[Up20])</f>
        <v>#N/A</v>
      </c>
      <c r="N56" s="83" t="e">
        <f ca="1">_xlfn.XLOOKUP(G56,TabCalc[Ticker],TabCalc[M])</f>
        <v>#N/A</v>
      </c>
      <c r="O56" s="62">
        <f t="shared" ca="1" si="2"/>
        <v>45956</v>
      </c>
      <c r="P56" t="str">
        <f t="shared" ca="1" si="3"/>
        <v>Formulas ready to copy below</v>
      </c>
    </row>
    <row r="57" spans="1:16" ht="23" thickBot="1">
      <c r="A57" s="1131" t="str">
        <f ca="1">Calc!H55</f>
        <v>MVEALDNE</v>
      </c>
      <c r="B57" s="1133">
        <v>45919</v>
      </c>
      <c r="C57" s="66" t="s">
        <v>1421</v>
      </c>
      <c r="D57" s="310">
        <v>-2.5463E-2</v>
      </c>
      <c r="E57" s="316">
        <v>2.6456</v>
      </c>
      <c r="F57" s="93"/>
      <c r="G57" s="90">
        <v>0</v>
      </c>
      <c r="H57" s="1139">
        <f ca="1">_xlfn.XLOOKUP(A57,TabCalc[Ticker],TabCalc[M])</f>
        <v>0.82599999999999996</v>
      </c>
      <c r="I57" s="62">
        <v>45925</v>
      </c>
      <c r="K57" s="223" t="e">
        <f ca="1">_xlfn.XLOOKUP(G57,TabCalc[Ticker],TabCalc[Agiotage])</f>
        <v>#N/A</v>
      </c>
      <c r="L57" s="93" t="str">
        <f ca="1">IFERROR( _xlfn.LET(_xlpm.nma,_xlfn.XLOOKUP(G57,TabCalc[Ticker],TabCalc[NMA]),_xlpm.revenue,_xlfn.XLOOKUP(G57,TabCalc[Ticker],TabCalc[Revenue]),_xlpm.nma&amp;"="&amp;TEXT(_xlpm.revenue,"#,#0")&amp;"@M: "&amp;N57),"")</f>
        <v/>
      </c>
      <c r="M57" s="223" t="e">
        <f ca="1">_xlfn.XLOOKUP(G57,TabCalc[Ticker],TabCalc[Up20])</f>
        <v>#N/A</v>
      </c>
      <c r="N57" s="83" t="e">
        <f ca="1">_xlfn.XLOOKUP(G57,TabCalc[Ticker],TabCalc[M])</f>
        <v>#N/A</v>
      </c>
      <c r="O57" s="62">
        <f t="shared" ca="1" si="2"/>
        <v>45956</v>
      </c>
      <c r="P57" t="str">
        <f t="shared" ca="1" si="3"/>
        <v>Formulas ready to copy below</v>
      </c>
    </row>
    <row r="58" spans="1:16" ht="23" thickBot="1">
      <c r="A58" s="1131" t="str">
        <f ca="1">Calc!H56</f>
        <v>MVEDDD</v>
      </c>
      <c r="B58" s="1133">
        <v>45933</v>
      </c>
      <c r="C58" s="1134" t="s">
        <v>2591</v>
      </c>
      <c r="D58" s="1174">
        <v>4.3478000000000003E-2</v>
      </c>
      <c r="E58" s="1271">
        <v>1.4351651053846612</v>
      </c>
      <c r="F58" s="1136" t="s">
        <v>2598</v>
      </c>
      <c r="G58" s="1175">
        <v>0</v>
      </c>
      <c r="H58" s="1139">
        <f ca="1">_xlfn.XLOOKUP(A58,TabCalc[Ticker],TabCalc[M])</f>
        <v>3.13</v>
      </c>
      <c r="I58" s="1168">
        <v>45933</v>
      </c>
      <c r="J58" s="1275" t="s">
        <v>2608</v>
      </c>
      <c r="K58" s="223" t="e">
        <f ca="1">_xlfn.XLOOKUP(G58,TabCalc[Ticker],TabCalc[Agiotage])</f>
        <v>#N/A</v>
      </c>
      <c r="L58" s="93" t="str">
        <f ca="1">IFERROR( _xlfn.LET(_xlpm.nma,_xlfn.XLOOKUP(G58,TabCalc[Ticker],TabCalc[NMA]),_xlpm.revenue,_xlfn.XLOOKUP(G58,TabCalc[Ticker],TabCalc[Revenue]),_xlpm.nma&amp;"="&amp;TEXT(_xlpm.revenue,"#,#0")&amp;"@M: "&amp;N58),"")</f>
        <v/>
      </c>
      <c r="M58" s="223" t="e">
        <f ca="1">_xlfn.XLOOKUP(G58,TabCalc[Ticker],TabCalc[Up20])</f>
        <v>#N/A</v>
      </c>
      <c r="N58" s="83" t="e">
        <f ca="1">_xlfn.XLOOKUP(G58,TabCalc[Ticker],TabCalc[M])</f>
        <v>#N/A</v>
      </c>
      <c r="O58" s="62">
        <f t="shared" ca="1" si="2"/>
        <v>45956</v>
      </c>
      <c r="P58" t="str">
        <f t="shared" ca="1" si="3"/>
        <v>Formulas ready to copy below</v>
      </c>
    </row>
    <row r="59" spans="1:16" ht="23" thickBot="1">
      <c r="A59" s="1131" t="str">
        <f ca="1">Calc!H57</f>
        <v>MVEDSY</v>
      </c>
      <c r="B59" s="1133">
        <v>45919</v>
      </c>
      <c r="C59" s="66" t="s">
        <v>1422</v>
      </c>
      <c r="D59" s="310">
        <v>-1.5178000000000001E-2</v>
      </c>
      <c r="E59" s="316">
        <v>1.9266751012719989</v>
      </c>
      <c r="F59" s="93"/>
      <c r="G59" s="90">
        <v>0</v>
      </c>
      <c r="H59" s="1139">
        <f ca="1">_xlfn.XLOOKUP(A59,TabCalc[Ticker],TabCalc[M])</f>
        <v>25.69</v>
      </c>
      <c r="I59" s="62">
        <v>45925</v>
      </c>
      <c r="K59" s="223" t="e">
        <f ca="1">_xlfn.XLOOKUP(G59,TabCalc[Ticker],TabCalc[Agiotage])</f>
        <v>#N/A</v>
      </c>
      <c r="L59" s="93" t="str">
        <f ca="1">IFERROR( _xlfn.LET(_xlpm.nma,_xlfn.XLOOKUP(G59,TabCalc[Ticker],TabCalc[NMA]),_xlpm.revenue,_xlfn.XLOOKUP(G59,TabCalc[Ticker],TabCalc[Revenue]),_xlpm.nma&amp;"="&amp;TEXT(_xlpm.revenue,"#,#0")&amp;"@M: "&amp;N59),"")</f>
        <v/>
      </c>
      <c r="M59" s="223" t="e">
        <f ca="1">_xlfn.XLOOKUP(G59,TabCalc[Ticker],TabCalc[Up20])</f>
        <v>#N/A</v>
      </c>
      <c r="N59" s="83" t="e">
        <f ca="1">_xlfn.XLOOKUP(G59,TabCalc[Ticker],TabCalc[M])</f>
        <v>#N/A</v>
      </c>
      <c r="O59" s="62">
        <f t="shared" ca="1" si="2"/>
        <v>45956</v>
      </c>
      <c r="P59" t="str">
        <f t="shared" ca="1" si="3"/>
        <v>Formulas ready to copy below</v>
      </c>
    </row>
    <row r="60" spans="1:16" ht="23" thickBot="1">
      <c r="A60" s="1131" t="str">
        <f ca="1">Calc!H58</f>
        <v>MVEEOAN</v>
      </c>
      <c r="B60" s="1133">
        <v>45545</v>
      </c>
      <c r="C60" s="66" t="s">
        <v>1423</v>
      </c>
      <c r="D60" s="310">
        <v>5.1700000000000001E-3</v>
      </c>
      <c r="E60" s="316">
        <v>4.0616594839527167</v>
      </c>
      <c r="F60" s="93">
        <v>17297.16</v>
      </c>
      <c r="G60" s="90">
        <v>0.47619047619047616</v>
      </c>
      <c r="H60" s="1139">
        <f ca="1">_xlfn.XLOOKUP(A60,TabCalc[Ticker],TabCalc[M])</f>
        <v>16.085000000000001</v>
      </c>
      <c r="I60" s="62">
        <v>45925</v>
      </c>
      <c r="K60" s="223" t="e">
        <f ca="1">_xlfn.XLOOKUP(G60,TabCalc[Ticker],TabCalc[Agiotage])</f>
        <v>#N/A</v>
      </c>
      <c r="L60" s="93" t="str">
        <f ca="1">IFERROR( _xlfn.LET(_xlpm.nma,_xlfn.XLOOKUP(G60,TabCalc[Ticker],TabCalc[NMA]),_xlpm.revenue,_xlfn.XLOOKUP(G60,TabCalc[Ticker],TabCalc[Revenue]),_xlpm.nma&amp;"="&amp;TEXT(_xlpm.revenue,"#,#0")&amp;"@M: "&amp;N60),"")</f>
        <v/>
      </c>
      <c r="M60" s="223" t="e">
        <f ca="1">_xlfn.XLOOKUP(G60,TabCalc[Ticker],TabCalc[Up20])</f>
        <v>#N/A</v>
      </c>
      <c r="N60" s="83" t="e">
        <f ca="1">_xlfn.XLOOKUP(G60,TabCalc[Ticker],TabCalc[M])</f>
        <v>#N/A</v>
      </c>
      <c r="O60" s="62">
        <f t="shared" ca="1" si="2"/>
        <v>45956</v>
      </c>
      <c r="P60" t="str">
        <f t="shared" ca="1" si="3"/>
        <v>Formulas ready to copy below</v>
      </c>
    </row>
    <row r="61" spans="1:16" ht="23" thickBot="1">
      <c r="A61" s="1131" t="str">
        <f ca="1">Calc!H59</f>
        <v>MVEENI</v>
      </c>
      <c r="B61" s="1133">
        <v>45460</v>
      </c>
      <c r="C61" s="66" t="s">
        <v>1424</v>
      </c>
      <c r="D61" s="310">
        <v>-7.3850000000000001E-3</v>
      </c>
      <c r="E61" s="316">
        <v>2.7279009025590284</v>
      </c>
      <c r="F61" s="93">
        <v>60563.455999999998</v>
      </c>
      <c r="G61" s="90">
        <v>0.5714285714285714</v>
      </c>
      <c r="H61" s="1139">
        <f ca="1">_xlfn.XLOOKUP(A61,TabCalc[Ticker],TabCalc[M])</f>
        <v>15.836</v>
      </c>
      <c r="I61" s="62">
        <v>45925</v>
      </c>
      <c r="K61" s="223" t="e">
        <f ca="1">_xlfn.XLOOKUP(G61,TabCalc[Ticker],TabCalc[Agiotage])</f>
        <v>#N/A</v>
      </c>
      <c r="L61" s="93" t="str">
        <f ca="1">IFERROR( _xlfn.LET(_xlpm.nma,_xlfn.XLOOKUP(G61,TabCalc[Ticker],TabCalc[NMA]),_xlpm.revenue,_xlfn.XLOOKUP(G61,TabCalc[Ticker],TabCalc[Revenue]),_xlpm.nma&amp;"="&amp;TEXT(_xlpm.revenue,"#,#0")&amp;"@M: "&amp;N61),"")</f>
        <v/>
      </c>
      <c r="M61" s="223" t="e">
        <f ca="1">_xlfn.XLOOKUP(G61,TabCalc[Ticker],TabCalc[Up20])</f>
        <v>#N/A</v>
      </c>
      <c r="N61" s="83" t="e">
        <f ca="1">_xlfn.XLOOKUP(G61,TabCalc[Ticker],TabCalc[M])</f>
        <v>#N/A</v>
      </c>
      <c r="O61" s="62">
        <f t="shared" ca="1" si="2"/>
        <v>45956</v>
      </c>
      <c r="P61" t="str">
        <f t="shared" ca="1" si="3"/>
        <v>Formulas ready to copy below</v>
      </c>
    </row>
    <row r="62" spans="1:16" ht="23" thickBot="1">
      <c r="A62" s="1131" t="str">
        <f ca="1">Calc!H60</f>
        <v>MVEEPIX</v>
      </c>
      <c r="B62" s="1133">
        <v>45460</v>
      </c>
      <c r="C62" s="66" t="s">
        <v>1425</v>
      </c>
      <c r="D62" s="310">
        <v>0</v>
      </c>
      <c r="E62" s="316">
        <v>0.12172355493878159</v>
      </c>
      <c r="F62" s="93"/>
      <c r="G62" s="90">
        <v>0.47619047619047616</v>
      </c>
      <c r="H62" s="1139">
        <f ca="1">_xlfn.XLOOKUP(A62,TabCalc[Ticker],TabCalc[M])</f>
        <v>0.20119999999999999</v>
      </c>
      <c r="I62" s="62">
        <v>45925</v>
      </c>
      <c r="K62" s="223" t="e">
        <f ca="1">_xlfn.XLOOKUP(G62,TabCalc[Ticker],TabCalc[Agiotage])</f>
        <v>#N/A</v>
      </c>
      <c r="L62" s="93" t="str">
        <f ca="1">IFERROR( _xlfn.LET(_xlpm.nma,_xlfn.XLOOKUP(G62,TabCalc[Ticker],TabCalc[NMA]),_xlpm.revenue,_xlfn.XLOOKUP(G62,TabCalc[Ticker],TabCalc[Revenue]),_xlpm.nma&amp;"="&amp;TEXT(_xlpm.revenue,"#,#0")&amp;"@M: "&amp;N62),"")</f>
        <v/>
      </c>
      <c r="M62" s="223" t="e">
        <f ca="1">_xlfn.XLOOKUP(G62,TabCalc[Ticker],TabCalc[Up20])</f>
        <v>#N/A</v>
      </c>
      <c r="N62" s="83" t="e">
        <f ca="1">_xlfn.XLOOKUP(G62,TabCalc[Ticker],TabCalc[M])</f>
        <v>#N/A</v>
      </c>
      <c r="O62" s="62">
        <f t="shared" ca="1" si="2"/>
        <v>45956</v>
      </c>
      <c r="P62" t="str">
        <f t="shared" ca="1" si="3"/>
        <v>Formulas ready to copy below</v>
      </c>
    </row>
    <row r="63" spans="1:16" ht="23" thickBot="1">
      <c r="A63" s="1131" t="str">
        <f ca="1">Calc!H61</f>
        <v>MVEGLE</v>
      </c>
      <c r="B63" s="1133">
        <v>45939</v>
      </c>
      <c r="C63" s="66" t="s">
        <v>2717</v>
      </c>
      <c r="D63" s="1174">
        <v>1.7278999999999999E-2</v>
      </c>
      <c r="E63" s="1271">
        <v>1.0877498966927428</v>
      </c>
      <c r="F63" s="1136" t="s">
        <v>2727</v>
      </c>
      <c r="G63" s="1175">
        <v>0.77777777777777779</v>
      </c>
      <c r="H63" s="1139">
        <f ca="1">_xlfn.XLOOKUP(A63,TabCalc[Ticker],TabCalc[M])</f>
        <v>53.68</v>
      </c>
      <c r="I63" s="1168">
        <v>45946</v>
      </c>
      <c r="J63" s="1275" t="s">
        <v>2729</v>
      </c>
      <c r="K63" s="1298" t="e">
        <f ca="1">_xlfn.XLOOKUP(G63,TabCalc[Ticker],TabCalc[Agiotage])</f>
        <v>#N/A</v>
      </c>
      <c r="L63" s="93" t="str">
        <f ca="1">IFERROR( _xlfn.LET(_xlpm.nma,_xlfn.XLOOKUP(G63,TabCalc[Ticker],TabCalc[NMA]),_xlpm.revenue,_xlfn.XLOOKUP(G63,TabCalc[Ticker],TabCalc[Revenue]),_xlpm.nma&amp;"="&amp;TEXT(_xlpm.revenue,"#,#0")&amp;"@M: "&amp;N63),"")</f>
        <v/>
      </c>
      <c r="M63" s="223" t="e">
        <f ca="1">_xlfn.XLOOKUP(G63,TabCalc[Ticker],TabCalc[Up20])</f>
        <v>#N/A</v>
      </c>
      <c r="N63" s="83" t="e">
        <f ca="1">_xlfn.XLOOKUP(G63,TabCalc[Ticker],TabCalc[M])</f>
        <v>#N/A</v>
      </c>
      <c r="O63" s="62">
        <f t="shared" ca="1" si="2"/>
        <v>45956</v>
      </c>
      <c r="P63" t="str">
        <f t="shared" ca="1" si="3"/>
        <v>Formulas ready to copy below</v>
      </c>
    </row>
    <row r="64" spans="1:16" ht="23" thickBot="1">
      <c r="A64" s="1131" t="str">
        <f ca="1">Calc!H62</f>
        <v>MVEORA</v>
      </c>
      <c r="B64" s="1133">
        <v>45938</v>
      </c>
      <c r="C64" s="310" t="s">
        <v>2653</v>
      </c>
      <c r="D64" s="1174">
        <v>1.3243E-2</v>
      </c>
      <c r="E64" s="1271">
        <v>1.3549098252759246</v>
      </c>
      <c r="F64" s="1136" t="s">
        <v>2675</v>
      </c>
      <c r="G64" s="1175">
        <v>0.76470588235294112</v>
      </c>
      <c r="H64" s="1139">
        <f ca="1">_xlfn.XLOOKUP(A64,TabCalc[Ticker],TabCalc[M])</f>
        <v>13.92</v>
      </c>
      <c r="I64" s="1168">
        <v>45939</v>
      </c>
      <c r="J64" s="1275" t="s">
        <v>2682</v>
      </c>
      <c r="K64" s="1271" t="e">
        <f ca="1">_xlfn.XLOOKUP(G64,TabCalc[Ticker],TabCalc[Agiotage])</f>
        <v>#N/A</v>
      </c>
      <c r="L64" s="1136" t="str">
        <f ca="1">IFERROR( _xlfn.LET(_xlpm.nma,_xlfn.XLOOKUP(G64,TabCalc[Ticker],TabCalc[NMA]),_xlpm.revenue,_xlfn.XLOOKUP(G64,TabCalc[Ticker],TabCalc[Revenue]),_xlpm.nma&amp;"="&amp;TEXT(_xlpm.revenue,"#,#0")&amp;"@M: "&amp;N64),"")</f>
        <v/>
      </c>
      <c r="M64" s="1175" t="e">
        <f ca="1">_xlfn.XLOOKUP(G64,TabCalc[Ticker],TabCalc[Up20])</f>
        <v>#N/A</v>
      </c>
      <c r="N64" s="1139" t="e">
        <f ca="1">_xlfn.XLOOKUP(G64,TabCalc[Ticker],TabCalc[M])</f>
        <v>#N/A</v>
      </c>
      <c r="O64" s="1168">
        <f t="shared" ca="1" si="2"/>
        <v>45956</v>
      </c>
      <c r="P64" s="1275" t="str">
        <f t="shared" ca="1" si="3"/>
        <v>Formulas ready to copy below</v>
      </c>
    </row>
    <row r="65" spans="1:16" ht="23" thickBot="1">
      <c r="A65" s="1131" t="str">
        <f ca="1">Calc!H63</f>
        <v>MVERWE</v>
      </c>
      <c r="B65" s="1133">
        <v>45554</v>
      </c>
      <c r="C65" s="66" t="s">
        <v>1426</v>
      </c>
      <c r="D65" s="310">
        <v>5.6740000000000002E-3</v>
      </c>
      <c r="E65" s="316">
        <v>3.165028108686923</v>
      </c>
      <c r="F65" s="93">
        <v>75260.350000000006</v>
      </c>
      <c r="G65" s="90">
        <v>0</v>
      </c>
      <c r="H65" s="1139">
        <f ca="1">_xlfn.XLOOKUP(A65,TabCalc[Ticker],TabCalc[M])</f>
        <v>40.57</v>
      </c>
      <c r="I65" s="62">
        <v>45925</v>
      </c>
      <c r="K65" s="223" t="e">
        <f ca="1">_xlfn.XLOOKUP(G65,TabCalc[Ticker],TabCalc[Agiotage])</f>
        <v>#N/A</v>
      </c>
      <c r="L65" s="93" t="str">
        <f ca="1">IFERROR( _xlfn.LET(_xlpm.nma,_xlfn.XLOOKUP(G65,TabCalc[Ticker],TabCalc[NMA]),_xlpm.revenue,_xlfn.XLOOKUP(G65,TabCalc[Ticker],TabCalc[Revenue]),_xlpm.nma&amp;"="&amp;TEXT(_xlpm.revenue,"#,#0")&amp;"@M: "&amp;N65),"")</f>
        <v/>
      </c>
      <c r="M65" s="223" t="e">
        <f ca="1">_xlfn.XLOOKUP(G65,TabCalc[Ticker],TabCalc[Up20])</f>
        <v>#N/A</v>
      </c>
      <c r="N65" s="83" t="e">
        <f ca="1">_xlfn.XLOOKUP(G65,TabCalc[Ticker],TabCalc[M])</f>
        <v>#N/A</v>
      </c>
      <c r="O65" s="62">
        <f t="shared" ca="1" si="2"/>
        <v>45956</v>
      </c>
      <c r="P65" t="str">
        <f t="shared" ca="1" si="3"/>
        <v>Formulas ready to copy below</v>
      </c>
    </row>
    <row r="66" spans="1:16" ht="23" thickBot="1">
      <c r="A66" s="1131" t="str">
        <f ca="1">Calc!H64</f>
        <v>MVESAP</v>
      </c>
      <c r="B66" s="1133">
        <v>45460</v>
      </c>
      <c r="C66" s="66" t="s">
        <v>1427</v>
      </c>
      <c r="D66" s="310">
        <v>-8.4969999999999993E-3</v>
      </c>
      <c r="E66" s="316">
        <v>3.3634600513470878</v>
      </c>
      <c r="F66" s="93"/>
      <c r="G66" s="90">
        <v>0.42857142857142855</v>
      </c>
      <c r="H66" s="1139">
        <f ca="1">_xlfn.XLOOKUP(A66,TabCalc[Ticker],TabCalc[M])</f>
        <v>233.35</v>
      </c>
      <c r="I66" s="62">
        <v>45925</v>
      </c>
      <c r="K66" s="223" t="e">
        <f ca="1">_xlfn.XLOOKUP(G66,TabCalc[Ticker],TabCalc[Agiotage])</f>
        <v>#N/A</v>
      </c>
      <c r="L66" s="93" t="str">
        <f ca="1">IFERROR( _xlfn.LET(_xlpm.nma,_xlfn.XLOOKUP(G66,TabCalc[Ticker],TabCalc[NMA]),_xlpm.revenue,_xlfn.XLOOKUP(G66,TabCalc[Ticker],TabCalc[Revenue]),_xlpm.nma&amp;"="&amp;TEXT(_xlpm.revenue,"#,#0")&amp;"@M: "&amp;N66),"")</f>
        <v/>
      </c>
      <c r="M66" s="223" t="e">
        <f ca="1">_xlfn.XLOOKUP(G66,TabCalc[Ticker],TabCalc[Up20])</f>
        <v>#N/A</v>
      </c>
      <c r="N66" s="83" t="e">
        <f ca="1">_xlfn.XLOOKUP(G66,TabCalc[Ticker],TabCalc[M])</f>
        <v>#N/A</v>
      </c>
      <c r="O66" s="62">
        <f t="shared" ca="1" si="2"/>
        <v>45956</v>
      </c>
      <c r="P66" t="str">
        <f t="shared" ca="1" si="3"/>
        <v>Formulas ready to copy below</v>
      </c>
    </row>
    <row r="67" spans="1:16" ht="23" thickBot="1">
      <c r="A67" s="1131" t="str">
        <f ca="1">Calc!H65</f>
        <v>MVEUN0</v>
      </c>
      <c r="B67" s="1133">
        <v>45461</v>
      </c>
      <c r="C67" s="66" t="s">
        <v>1428</v>
      </c>
      <c r="D67" s="310">
        <v>-4.8209000000000002E-2</v>
      </c>
      <c r="E67" s="316">
        <v>6.2275449101796408E-2</v>
      </c>
      <c r="F67" s="93"/>
      <c r="G67" s="90">
        <v>0</v>
      </c>
      <c r="H67" s="1139">
        <f ca="1">_xlfn.XLOOKUP(A67,TabCalc[Ticker],TabCalc[M])</f>
        <v>30.15</v>
      </c>
      <c r="I67" s="62">
        <v>45925</v>
      </c>
      <c r="K67" s="223" t="e">
        <f ca="1">_xlfn.XLOOKUP(G67,TabCalc[Ticker],TabCalc[Agiotage])</f>
        <v>#N/A</v>
      </c>
      <c r="L67" s="93" t="str">
        <f ca="1">IFERROR( _xlfn.LET(_xlpm.nma,_xlfn.XLOOKUP(G67,TabCalc[Ticker],TabCalc[NMA]),_xlpm.revenue,_xlfn.XLOOKUP(G67,TabCalc[Ticker],TabCalc[Revenue]),_xlpm.nma&amp;"="&amp;TEXT(_xlpm.revenue,"#,#0")&amp;"@M: "&amp;N67),"")</f>
        <v/>
      </c>
      <c r="M67" s="223" t="e">
        <f ca="1">_xlfn.XLOOKUP(G67,TabCalc[Ticker],TabCalc[Up20])</f>
        <v>#N/A</v>
      </c>
      <c r="N67" s="83" t="e">
        <f ca="1">_xlfn.XLOOKUP(G67,TabCalc[Ticker],TabCalc[M])</f>
        <v>#N/A</v>
      </c>
      <c r="O67" s="62">
        <f t="shared" ca="1" si="2"/>
        <v>45956</v>
      </c>
      <c r="P67" t="str">
        <f t="shared" ca="1" si="3"/>
        <v>Formulas ready to copy below</v>
      </c>
    </row>
    <row r="68" spans="1:16" ht="23" thickBot="1">
      <c r="A68" s="1131" t="str">
        <f ca="1">Calc!H66</f>
        <v>SAFAAPL</v>
      </c>
      <c r="B68" s="1133">
        <v>45463</v>
      </c>
      <c r="C68" s="66" t="s">
        <v>1429</v>
      </c>
      <c r="D68" s="310">
        <v>3.0960999999999999E-2</v>
      </c>
      <c r="E68" s="316">
        <v>1.9490493965834474</v>
      </c>
      <c r="F68" s="93">
        <v>27712.685000000001</v>
      </c>
      <c r="G68" s="90">
        <v>0</v>
      </c>
      <c r="H68" s="1139">
        <f ca="1">_xlfn.XLOOKUP(A68,TabCalc[Ticker],TabCalc[M])</f>
        <v>262.82</v>
      </c>
      <c r="I68" s="62">
        <v>45925</v>
      </c>
      <c r="K68" s="223" t="e">
        <f ca="1">_xlfn.XLOOKUP(G68,TabCalc[Ticker],TabCalc[Agiotage])</f>
        <v>#N/A</v>
      </c>
      <c r="L68" s="93" t="str">
        <f ca="1">IFERROR( _xlfn.LET(_xlpm.nma,_xlfn.XLOOKUP(G68,TabCalc[Ticker],TabCalc[NMA]),_xlpm.revenue,_xlfn.XLOOKUP(G68,TabCalc[Ticker],TabCalc[Revenue]),_xlpm.nma&amp;"="&amp;TEXT(_xlpm.revenue,"#,#0")&amp;"@M: "&amp;N68),"")</f>
        <v/>
      </c>
      <c r="M68" s="223" t="e">
        <f ca="1">_xlfn.XLOOKUP(G68,TabCalc[Ticker],TabCalc[Up20])</f>
        <v>#N/A</v>
      </c>
      <c r="N68" s="83" t="e">
        <f ca="1">_xlfn.XLOOKUP(G68,TabCalc[Ticker],TabCalc[M])</f>
        <v>#N/A</v>
      </c>
      <c r="O68" s="62">
        <f t="shared" ca="1" si="2"/>
        <v>45956</v>
      </c>
      <c r="P68" t="str">
        <f t="shared" ca="1" si="3"/>
        <v>Formulas ready to copy below</v>
      </c>
    </row>
    <row r="69" spans="1:16" ht="23" thickBot="1">
      <c r="A69" s="1131" t="str">
        <f ca="1">Calc!H67</f>
        <v>SAFAMZN</v>
      </c>
      <c r="B69" s="1133">
        <v>45932</v>
      </c>
      <c r="C69" s="1176"/>
      <c r="D69" s="1174">
        <v>-1.3039E-2</v>
      </c>
      <c r="E69" s="1271">
        <v>0.9807419355180127</v>
      </c>
      <c r="F69" s="1136" t="s">
        <v>2599</v>
      </c>
      <c r="G69" s="1175">
        <v>0.5</v>
      </c>
      <c r="H69" s="1139">
        <f ca="1">_xlfn.XLOOKUP(A69,TabCalc[Ticker],TabCalc[M])</f>
        <v>224.21</v>
      </c>
      <c r="I69" s="1168">
        <v>45933</v>
      </c>
      <c r="J69" s="1275" t="s">
        <v>2609</v>
      </c>
      <c r="K69" s="223" t="e">
        <f ca="1">_xlfn.XLOOKUP(G69,TabCalc[Ticker],TabCalc[Agiotage])</f>
        <v>#N/A</v>
      </c>
      <c r="L69" s="93" t="str">
        <f ca="1">IFERROR( _xlfn.LET(_xlpm.nma,_xlfn.XLOOKUP(G69,TabCalc[Ticker],TabCalc[NMA]),_xlpm.revenue,_xlfn.XLOOKUP(G69,TabCalc[Ticker],TabCalc[Revenue]),_xlpm.nma&amp;"="&amp;TEXT(_xlpm.revenue,"#,#0")&amp;"@M: "&amp;N69),"")</f>
        <v/>
      </c>
      <c r="M69" s="223" t="e">
        <f ca="1">_xlfn.XLOOKUP(G69,TabCalc[Ticker],TabCalc[Up20])</f>
        <v>#N/A</v>
      </c>
      <c r="N69" s="83" t="e">
        <f ca="1">_xlfn.XLOOKUP(G69,TabCalc[Ticker],TabCalc[M])</f>
        <v>#N/A</v>
      </c>
      <c r="O69" s="62">
        <f t="shared" ref="O69:O98" ca="1" si="4">TODAY()</f>
        <v>45956</v>
      </c>
      <c r="P69" t="str">
        <f t="shared" ref="P69:P98" ca="1" si="5">IFERROR("("&amp;TEXT(J69,"#0.0%")&amp;":"&amp;INT(100*K69)&amp;"%)@"&amp;TEXT(N69,"#,#0.#0")&amp;":("&amp;L69&amp;")"&amp;"&gt;UpMark "&amp;TEXT(M69,"#,#0%"),"Formulas ready to copy below")</f>
        <v>Formulas ready to copy below</v>
      </c>
    </row>
    <row r="70" spans="1:16" ht="23" thickBot="1">
      <c r="A70" s="1131" t="str">
        <f ca="1">Calc!H68</f>
        <v>SAFASML</v>
      </c>
      <c r="B70" s="1133">
        <v>45953</v>
      </c>
      <c r="C70" s="66" t="s">
        <v>1430</v>
      </c>
      <c r="D70" s="1174">
        <v>2.0228000000000003E-2</v>
      </c>
      <c r="E70" s="1271">
        <v>0.93860648829515581</v>
      </c>
      <c r="F70" s="1136" t="s">
        <v>2747</v>
      </c>
      <c r="G70" s="1175">
        <v>0</v>
      </c>
      <c r="H70" s="1139">
        <f ca="1">_xlfn.XLOOKUP(A70,TabCalc[Ticker],TabCalc[M])</f>
        <v>894.4</v>
      </c>
      <c r="I70" s="1168">
        <v>45953</v>
      </c>
      <c r="J70" s="1275" t="s">
        <v>2749</v>
      </c>
      <c r="K70" s="223" t="e">
        <f ca="1">_xlfn.XLOOKUP(G70,TabCalc[Ticker],TabCalc[Agiotage])</f>
        <v>#N/A</v>
      </c>
      <c r="L70" s="93" t="str">
        <f ca="1">IFERROR( _xlfn.LET(_xlpm.nma,_xlfn.XLOOKUP(G70,TabCalc[Ticker],TabCalc[NMA]),_xlpm.revenue,_xlfn.XLOOKUP(G70,TabCalc[Ticker],TabCalc[Revenue]),_xlpm.nma&amp;"="&amp;TEXT(_xlpm.revenue,"#,#0")&amp;"@M: "&amp;N70),"")</f>
        <v/>
      </c>
      <c r="M70" s="223" t="e">
        <f ca="1">_xlfn.XLOOKUP(G70,TabCalc[Ticker],TabCalc[Up20])</f>
        <v>#N/A</v>
      </c>
      <c r="N70" s="83" t="e">
        <f ca="1">_xlfn.XLOOKUP(G70,TabCalc[Ticker],TabCalc[M])</f>
        <v>#N/A</v>
      </c>
      <c r="O70" s="62">
        <f t="shared" ca="1" si="4"/>
        <v>45956</v>
      </c>
      <c r="P70" t="str">
        <f t="shared" ca="1" si="5"/>
        <v>Formulas ready to copy below</v>
      </c>
    </row>
    <row r="71" spans="1:16" ht="23" thickBot="1">
      <c r="A71" s="1131" t="str">
        <f ca="1">Calc!H69</f>
        <v>SAFDDD</v>
      </c>
      <c r="B71" s="1133">
        <v>45506</v>
      </c>
      <c r="C71" s="1134" t="s">
        <v>2591</v>
      </c>
      <c r="D71" s="1174">
        <v>4.3478000000000003E-2</v>
      </c>
      <c r="E71" s="1271">
        <v>1.4351651053846612</v>
      </c>
      <c r="F71" s="1136" t="s">
        <v>2561</v>
      </c>
      <c r="G71" s="1175">
        <v>0.61111111111111116</v>
      </c>
      <c r="H71" s="1139">
        <f ca="1">_xlfn.XLOOKUP(A71,TabCalc[Ticker],TabCalc[M])</f>
        <v>3.13</v>
      </c>
      <c r="I71" s="1168">
        <v>45933</v>
      </c>
      <c r="J71" s="1275" t="s">
        <v>2610</v>
      </c>
      <c r="K71" s="223" t="e">
        <f ca="1">_xlfn.XLOOKUP(G71,TabCalc[Ticker],TabCalc[Agiotage])</f>
        <v>#N/A</v>
      </c>
      <c r="L71" s="93" t="str">
        <f ca="1">IFERROR( _xlfn.LET(_xlpm.nma,_xlfn.XLOOKUP(G71,TabCalc[Ticker],TabCalc[NMA]),_xlpm.revenue,_xlfn.XLOOKUP(G71,TabCalc[Ticker],TabCalc[Revenue]),_xlpm.nma&amp;"="&amp;TEXT(_xlpm.revenue,"#,#0")&amp;"@M: "&amp;N71),"")</f>
        <v/>
      </c>
      <c r="M71" s="223" t="e">
        <f ca="1">_xlfn.XLOOKUP(G71,TabCalc[Ticker],TabCalc[Up20])</f>
        <v>#N/A</v>
      </c>
      <c r="N71" s="83" t="e">
        <f ca="1">_xlfn.XLOOKUP(G71,TabCalc[Ticker],TabCalc[M])</f>
        <v>#N/A</v>
      </c>
      <c r="O71" s="62">
        <f t="shared" ca="1" si="4"/>
        <v>45956</v>
      </c>
      <c r="P71" t="str">
        <f t="shared" ca="1" si="5"/>
        <v>Formulas ready to copy below</v>
      </c>
    </row>
    <row r="72" spans="1:16" ht="23" thickBot="1">
      <c r="A72" s="1131" t="str">
        <f ca="1">Calc!H70</f>
        <v>SAFDIS</v>
      </c>
      <c r="B72" s="1133">
        <v>45938</v>
      </c>
      <c r="C72" s="66" t="s">
        <v>2633</v>
      </c>
      <c r="D72" s="1174">
        <v>-1.596E-3</v>
      </c>
      <c r="E72" s="1271">
        <v>0.62660727427071494</v>
      </c>
      <c r="F72" s="1136" t="s">
        <v>2640</v>
      </c>
      <c r="G72" s="1175">
        <v>0</v>
      </c>
      <c r="H72" s="1139">
        <f ca="1">_xlfn.XLOOKUP(A72,TabCalc[Ticker],TabCalc[M])</f>
        <v>111.68</v>
      </c>
      <c r="I72" s="1168">
        <v>45938</v>
      </c>
      <c r="J72" s="1275" t="s">
        <v>2647</v>
      </c>
      <c r="K72" s="223" t="e">
        <f ca="1">_xlfn.XLOOKUP(G72,TabCalc[Ticker],TabCalc[Agiotage])</f>
        <v>#N/A</v>
      </c>
      <c r="L72" s="93" t="str">
        <f ca="1">IFERROR( _xlfn.LET(_xlpm.nma,_xlfn.XLOOKUP(G72,TabCalc[Ticker],TabCalc[NMA]),_xlpm.revenue,_xlfn.XLOOKUP(G72,TabCalc[Ticker],TabCalc[Revenue]),_xlpm.nma&amp;"="&amp;TEXT(_xlpm.revenue,"#,#0")&amp;"@M: "&amp;N72),"")</f>
        <v/>
      </c>
      <c r="M72" s="223" t="e">
        <f ca="1">_xlfn.XLOOKUP(G72,TabCalc[Ticker],TabCalc[Up20])</f>
        <v>#N/A</v>
      </c>
      <c r="N72" s="83" t="e">
        <f ca="1">_xlfn.XLOOKUP(G72,TabCalc[Ticker],TabCalc[M])</f>
        <v>#N/A</v>
      </c>
      <c r="O72" s="62">
        <f t="shared" ca="1" si="4"/>
        <v>45956</v>
      </c>
      <c r="P72" t="str">
        <f t="shared" ca="1" si="5"/>
        <v>Formulas ready to copy below</v>
      </c>
    </row>
    <row r="73" spans="1:16" ht="23" thickBot="1">
      <c r="A73" s="1131" t="str">
        <f ca="1">Calc!H71</f>
        <v>SAFGM</v>
      </c>
      <c r="B73" s="1133">
        <v>45519</v>
      </c>
      <c r="C73" s="66" t="s">
        <v>1431</v>
      </c>
      <c r="D73" s="310">
        <v>-4.2190000000000001E-4</v>
      </c>
      <c r="E73" s="316">
        <v>0.59540838817642716</v>
      </c>
      <c r="F73" s="93">
        <v>4975.74</v>
      </c>
      <c r="G73" s="90">
        <v>0.42857142857142855</v>
      </c>
      <c r="H73" s="1139">
        <f ca="1">_xlfn.XLOOKUP(A73,TabCalc[Ticker],TabCalc[M])</f>
        <v>69.66</v>
      </c>
      <c r="I73" s="62">
        <v>45925</v>
      </c>
      <c r="K73" s="223" t="e">
        <f ca="1">_xlfn.XLOOKUP(G73,TabCalc[Ticker],TabCalc[Agiotage])</f>
        <v>#N/A</v>
      </c>
      <c r="L73" s="93" t="str">
        <f ca="1">IFERROR( _xlfn.LET(_xlpm.nma,_xlfn.XLOOKUP(G73,TabCalc[Ticker],TabCalc[NMA]),_xlpm.revenue,_xlfn.XLOOKUP(G73,TabCalc[Ticker],TabCalc[Revenue]),_xlpm.nma&amp;"="&amp;TEXT(_xlpm.revenue,"#,#0")&amp;"@M: "&amp;N73),"")</f>
        <v/>
      </c>
      <c r="M73" s="223" t="e">
        <f ca="1">_xlfn.XLOOKUP(G73,TabCalc[Ticker],TabCalc[Up20])</f>
        <v>#N/A</v>
      </c>
      <c r="N73" s="83" t="e">
        <f ca="1">_xlfn.XLOOKUP(G73,TabCalc[Ticker],TabCalc[M])</f>
        <v>#N/A</v>
      </c>
      <c r="O73" s="62">
        <f t="shared" ca="1" si="4"/>
        <v>45956</v>
      </c>
      <c r="P73" t="str">
        <f t="shared" ca="1" si="5"/>
        <v>Formulas ready to copy below</v>
      </c>
    </row>
    <row r="74" spans="1:16" ht="23" thickBot="1">
      <c r="A74" s="1131" t="str">
        <f ca="1">Calc!H72</f>
        <v>SAFIAG</v>
      </c>
      <c r="B74" s="1133">
        <v>45460</v>
      </c>
      <c r="C74" s="66" t="s">
        <v>1432</v>
      </c>
      <c r="D74" s="310">
        <v>-1.3020000000000002E-3</v>
      </c>
      <c r="E74" s="316">
        <v>1.4521224567749358</v>
      </c>
      <c r="F74" s="93">
        <v>4985.5</v>
      </c>
      <c r="G74" s="90">
        <v>0</v>
      </c>
      <c r="H74" s="1139">
        <f ca="1">_xlfn.XLOOKUP(A74,TabCalc[Ticker],TabCalc[M])</f>
        <v>410</v>
      </c>
      <c r="I74" s="62">
        <v>45925</v>
      </c>
      <c r="K74" s="223" t="e">
        <f ca="1">_xlfn.XLOOKUP(G74,TabCalc[Ticker],TabCalc[Agiotage])</f>
        <v>#N/A</v>
      </c>
      <c r="L74" s="93" t="str">
        <f ca="1">IFERROR( _xlfn.LET(_xlpm.nma,_xlfn.XLOOKUP(G74,TabCalc[Ticker],TabCalc[NMA]),_xlpm.revenue,_xlfn.XLOOKUP(G74,TabCalc[Ticker],TabCalc[Revenue]),_xlpm.nma&amp;"="&amp;TEXT(_xlpm.revenue,"#,#0")&amp;"@M: "&amp;N74),"")</f>
        <v/>
      </c>
      <c r="M74" s="223" t="e">
        <f ca="1">_xlfn.XLOOKUP(G74,TabCalc[Ticker],TabCalc[Up20])</f>
        <v>#N/A</v>
      </c>
      <c r="N74" s="83" t="e">
        <f ca="1">_xlfn.XLOOKUP(G74,TabCalc[Ticker],TabCalc[M])</f>
        <v>#N/A</v>
      </c>
      <c r="O74" s="62">
        <f t="shared" ca="1" si="4"/>
        <v>45956</v>
      </c>
      <c r="P74" t="str">
        <f t="shared" ca="1" si="5"/>
        <v>Formulas ready to copy below</v>
      </c>
    </row>
    <row r="75" spans="1:16" ht="23" thickBot="1">
      <c r="A75" s="1131" t="str">
        <f ca="1">Calc!H73</f>
        <v>SAFMRNA</v>
      </c>
      <c r="B75" s="1133">
        <v>45460</v>
      </c>
      <c r="C75" s="66" t="s">
        <v>1433</v>
      </c>
      <c r="D75" s="310">
        <v>-1.4145000000000001E-2</v>
      </c>
      <c r="E75" s="316">
        <v>0.68244646072628012</v>
      </c>
      <c r="F75" s="93"/>
      <c r="G75" s="90">
        <v>0</v>
      </c>
      <c r="H75" s="1139">
        <f ca="1">_xlfn.XLOOKUP(A75,TabCalc[Ticker],TabCalc[M])</f>
        <v>26.74</v>
      </c>
      <c r="I75" s="62">
        <v>45925</v>
      </c>
      <c r="K75" s="223" t="e">
        <f ca="1">_xlfn.XLOOKUP(G75,TabCalc[Ticker],TabCalc[Agiotage])</f>
        <v>#N/A</v>
      </c>
      <c r="L75" s="93" t="str">
        <f ca="1">IFERROR( _xlfn.LET(_xlpm.nma,_xlfn.XLOOKUP(G75,TabCalc[Ticker],TabCalc[NMA]),_xlpm.revenue,_xlfn.XLOOKUP(G75,TabCalc[Ticker],TabCalc[Revenue]),_xlpm.nma&amp;"="&amp;TEXT(_xlpm.revenue,"#,#0")&amp;"@M: "&amp;N75),"")</f>
        <v/>
      </c>
      <c r="M75" s="223" t="e">
        <f ca="1">_xlfn.XLOOKUP(G75,TabCalc[Ticker],TabCalc[Up20])</f>
        <v>#N/A</v>
      </c>
      <c r="N75" s="83" t="e">
        <f ca="1">_xlfn.XLOOKUP(G75,TabCalc[Ticker],TabCalc[M])</f>
        <v>#N/A</v>
      </c>
      <c r="O75" s="62">
        <f t="shared" ca="1" si="4"/>
        <v>45956</v>
      </c>
      <c r="P75" t="str">
        <f t="shared" ca="1" si="5"/>
        <v>Formulas ready to copy below</v>
      </c>
    </row>
    <row r="76" spans="1:16" ht="23" thickBot="1">
      <c r="A76" s="1131" t="str">
        <f ca="1">Calc!H74</f>
        <v>BLNK</v>
      </c>
      <c r="B76" s="1133">
        <v>45938</v>
      </c>
      <c r="C76" s="66" t="s">
        <v>2663</v>
      </c>
      <c r="D76" s="1174">
        <v>-2.9535999999999996E-2</v>
      </c>
      <c r="E76" s="1271">
        <v>2.2982165963309389</v>
      </c>
      <c r="F76" s="1136" t="s">
        <v>2676</v>
      </c>
      <c r="G76" s="1175">
        <v>0.5714285714285714</v>
      </c>
      <c r="H76" s="1139">
        <f ca="1">_xlfn.XLOOKUP(A76,TabCalc[Ticker],TabCalc[M])</f>
        <v>1.93</v>
      </c>
      <c r="I76" s="1168">
        <v>45939</v>
      </c>
      <c r="J76" s="1275" t="s">
        <v>2683</v>
      </c>
      <c r="K76" s="1271" t="e">
        <f ca="1">_xlfn.XLOOKUP(G76,TabCalc[Ticker],TabCalc[Agiotage])</f>
        <v>#N/A</v>
      </c>
      <c r="L76" s="1136" t="str">
        <f ca="1">IFERROR( _xlfn.LET(_xlpm.nma,_xlfn.XLOOKUP(G76,TabCalc[Ticker],TabCalc[NMA]),_xlpm.revenue,_xlfn.XLOOKUP(G76,TabCalc[Ticker],TabCalc[Revenue]),_xlpm.nma&amp;"="&amp;TEXT(_xlpm.revenue,"#,#0")&amp;"@M: "&amp;N76),"")</f>
        <v/>
      </c>
      <c r="M76" s="1175" t="e">
        <f ca="1">_xlfn.XLOOKUP(G76,TabCalc[Ticker],TabCalc[Up20])</f>
        <v>#N/A</v>
      </c>
      <c r="N76" s="1139" t="e">
        <f ca="1">_xlfn.XLOOKUP(G76,TabCalc[Ticker],TabCalc[M])</f>
        <v>#N/A</v>
      </c>
      <c r="O76" s="1168">
        <f ca="1">TODAY()</f>
        <v>45956</v>
      </c>
      <c r="P76" s="1275" t="str">
        <f ca="1">IFERROR("("&amp;TEXT(J76,"#0.0%")&amp;":"&amp;INT(100*K76)&amp;"%)@"&amp;TEXT(N76,"#,#0.#0")&amp;":("&amp;L76&amp;")"&amp;"&gt;UpMark "&amp;TEXT(M76,"#,#0%"),"Formulas ready to copy below")</f>
        <v>Formulas ready to copy below</v>
      </c>
    </row>
    <row r="77" spans="1:16" ht="23" thickBot="1">
      <c r="A77" s="1131" t="str">
        <f ca="1">Calc!H75</f>
        <v>ENI</v>
      </c>
      <c r="B77" s="1133">
        <v>45932</v>
      </c>
      <c r="C77" s="66" t="s">
        <v>1434</v>
      </c>
      <c r="D77" s="310">
        <v>-7.3850000000000001E-3</v>
      </c>
      <c r="E77" s="316">
        <v>2.7279009025590284</v>
      </c>
      <c r="F77" s="93">
        <v>91495.767999999996</v>
      </c>
      <c r="G77" s="90">
        <v>0.5714285714285714</v>
      </c>
      <c r="H77" s="1139">
        <f ca="1">_xlfn.XLOOKUP(A77,TabCalc[Ticker],TabCalc[M])</f>
        <v>15.836</v>
      </c>
      <c r="I77" s="62">
        <v>45925</v>
      </c>
      <c r="K77" s="223" t="e">
        <f ca="1">_xlfn.XLOOKUP(G77,TabCalc[Ticker],TabCalc[Agiotage])</f>
        <v>#N/A</v>
      </c>
      <c r="L77" s="93" t="str">
        <f ca="1">IFERROR( _xlfn.LET(_xlpm.nma,_xlfn.XLOOKUP(G77,TabCalc[Ticker],TabCalc[NMA]),_xlpm.revenue,_xlfn.XLOOKUP(G77,TabCalc[Ticker],TabCalc[Revenue]),_xlpm.nma&amp;"="&amp;TEXT(_xlpm.revenue,"#,#0")&amp;"@M: "&amp;N77),"")</f>
        <v/>
      </c>
      <c r="M77" s="223" t="e">
        <f ca="1">_xlfn.XLOOKUP(G77,TabCalc[Ticker],TabCalc[Up20])</f>
        <v>#N/A</v>
      </c>
      <c r="N77" s="83" t="e">
        <f ca="1">_xlfn.XLOOKUP(G77,TabCalc[Ticker],TabCalc[M])</f>
        <v>#N/A</v>
      </c>
      <c r="O77" s="62">
        <f t="shared" ca="1" si="4"/>
        <v>45956</v>
      </c>
      <c r="P77" t="str">
        <f t="shared" ca="1" si="5"/>
        <v>Formulas ready to copy below</v>
      </c>
    </row>
    <row r="78" spans="1:16" ht="23" thickBot="1">
      <c r="A78" s="1131" t="str">
        <f ca="1">Calc!H76</f>
        <v>EZJ</v>
      </c>
      <c r="B78" s="1133">
        <v>45519</v>
      </c>
      <c r="C78" s="66" t="s">
        <v>1435</v>
      </c>
      <c r="D78" s="310">
        <v>1.0704999999999999E-2</v>
      </c>
      <c r="E78" s="316">
        <v>1.1263891732660516</v>
      </c>
      <c r="F78" s="93"/>
      <c r="G78" s="90">
        <v>0.38095238095238093</v>
      </c>
      <c r="H78" s="1139">
        <f ca="1">_xlfn.XLOOKUP(A78,TabCalc[Ticker],TabCalc[M])</f>
        <v>486.1</v>
      </c>
      <c r="I78" s="62">
        <v>45925</v>
      </c>
      <c r="K78" s="223" t="e">
        <f ca="1">_xlfn.XLOOKUP(G78,TabCalc[Ticker],TabCalc[Agiotage])</f>
        <v>#N/A</v>
      </c>
      <c r="L78" s="93" t="str">
        <f ca="1">IFERROR( _xlfn.LET(_xlpm.nma,_xlfn.XLOOKUP(G78,TabCalc[Ticker],TabCalc[NMA]),_xlpm.revenue,_xlfn.XLOOKUP(G78,TabCalc[Ticker],TabCalc[Revenue]),_xlpm.nma&amp;"="&amp;TEXT(_xlpm.revenue,"#,#0")&amp;"@M: "&amp;N78),"")</f>
        <v/>
      </c>
      <c r="M78" s="223" t="e">
        <f ca="1">_xlfn.XLOOKUP(G78,TabCalc[Ticker],TabCalc[Up20])</f>
        <v>#N/A</v>
      </c>
      <c r="N78" s="83" t="e">
        <f ca="1">_xlfn.XLOOKUP(G78,TabCalc[Ticker],TabCalc[M])</f>
        <v>#N/A</v>
      </c>
      <c r="O78" s="62">
        <f t="shared" ca="1" si="4"/>
        <v>45956</v>
      </c>
      <c r="P78" t="str">
        <f t="shared" ca="1" si="5"/>
        <v>Formulas ready to copy below</v>
      </c>
    </row>
    <row r="79" spans="1:16" ht="23" thickBot="1">
      <c r="A79" s="1131" t="str">
        <f ca="1">Calc!H77</f>
        <v>F</v>
      </c>
      <c r="B79" s="1133">
        <v>45938</v>
      </c>
      <c r="C79" s="66" t="s">
        <v>2635</v>
      </c>
      <c r="D79" s="1174">
        <v>-6.1024000000000002E-2</v>
      </c>
      <c r="E79" s="1271">
        <v>2.4374684251867063</v>
      </c>
      <c r="F79" s="1136" t="s">
        <v>2641</v>
      </c>
      <c r="G79" s="1175">
        <v>0.53333333333333333</v>
      </c>
      <c r="H79" s="1139">
        <f ca="1">_xlfn.XLOOKUP(A79,TabCalc[Ticker],TabCalc[M])</f>
        <v>13.84</v>
      </c>
      <c r="I79" s="1168">
        <v>45938</v>
      </c>
      <c r="J79" s="1275" t="s">
        <v>2648</v>
      </c>
      <c r="K79" s="223" t="e">
        <f ca="1">_xlfn.XLOOKUP(G79,TabCalc[Ticker],TabCalc[Agiotage])</f>
        <v>#N/A</v>
      </c>
      <c r="L79" s="93" t="str">
        <f ca="1">IFERROR( _xlfn.LET(_xlpm.nma,_xlfn.XLOOKUP(G79,TabCalc[Ticker],TabCalc[NMA]),_xlpm.revenue,_xlfn.XLOOKUP(G79,TabCalc[Ticker],TabCalc[Revenue]),_xlpm.nma&amp;"="&amp;TEXT(_xlpm.revenue,"#,#0")&amp;"@M: "&amp;N79),"")</f>
        <v/>
      </c>
      <c r="M79" s="223" t="e">
        <f ca="1">_xlfn.XLOOKUP(G79,TabCalc[Ticker],TabCalc[Up20])</f>
        <v>#N/A</v>
      </c>
      <c r="N79" s="83" t="e">
        <f ca="1">_xlfn.XLOOKUP(G79,TabCalc[Ticker],TabCalc[M])</f>
        <v>#N/A</v>
      </c>
      <c r="O79" s="62">
        <f t="shared" ca="1" si="4"/>
        <v>45956</v>
      </c>
      <c r="P79" t="str">
        <f t="shared" ca="1" si="5"/>
        <v>Formulas ready to copy below</v>
      </c>
    </row>
    <row r="80" spans="1:16" ht="23" thickBot="1">
      <c r="A80" s="1131" t="str">
        <f ca="1">Calc!H78</f>
        <v>GLE</v>
      </c>
      <c r="B80" s="1133">
        <v>45519</v>
      </c>
      <c r="C80" s="66" t="s">
        <v>1436</v>
      </c>
      <c r="D80" s="310">
        <v>1.2891999999999999E-2</v>
      </c>
      <c r="E80" s="316">
        <v>1.7990639178995882</v>
      </c>
      <c r="F80" s="93">
        <v>4941.8999999999996</v>
      </c>
      <c r="G80" s="90">
        <v>0.5714285714285714</v>
      </c>
      <c r="H80" s="1139">
        <f ca="1">_xlfn.XLOOKUP(A80,TabCalc[Ticker],TabCalc[M])</f>
        <v>53.68</v>
      </c>
      <c r="I80" s="62">
        <v>45925</v>
      </c>
      <c r="K80" s="223" t="e">
        <f ca="1">_xlfn.XLOOKUP(G80,TabCalc[Ticker],TabCalc[Agiotage])</f>
        <v>#N/A</v>
      </c>
      <c r="L80" s="93" t="str">
        <f ca="1">IFERROR( _xlfn.LET(_xlpm.nma,_xlfn.XLOOKUP(G80,TabCalc[Ticker],TabCalc[NMA]),_xlpm.revenue,_xlfn.XLOOKUP(G80,TabCalc[Ticker],TabCalc[Revenue]),_xlpm.nma&amp;"="&amp;TEXT(_xlpm.revenue,"#,#0")&amp;"@M: "&amp;N80),"")</f>
        <v/>
      </c>
      <c r="M80" s="223" t="e">
        <f ca="1">_xlfn.XLOOKUP(G80,TabCalc[Ticker],TabCalc[Up20])</f>
        <v>#N/A</v>
      </c>
      <c r="N80" s="83" t="e">
        <f ca="1">_xlfn.XLOOKUP(G80,TabCalc[Ticker],TabCalc[M])</f>
        <v>#N/A</v>
      </c>
      <c r="O80" s="62">
        <f t="shared" ca="1" si="4"/>
        <v>45956</v>
      </c>
      <c r="P80" t="str">
        <f t="shared" ca="1" si="5"/>
        <v>Formulas ready to copy below</v>
      </c>
    </row>
    <row r="81" spans="1:16" ht="23" thickBot="1">
      <c r="A81" s="1131" t="str">
        <f ca="1">Calc!H79</f>
        <v>GNRC</v>
      </c>
      <c r="B81" s="1133">
        <v>45954</v>
      </c>
      <c r="C81" s="66" t="s">
        <v>2753</v>
      </c>
      <c r="D81" s="1174">
        <v>1.5710999999999999E-2</v>
      </c>
      <c r="E81" s="1271">
        <v>0.75616120023645961</v>
      </c>
      <c r="F81" s="1136" t="s">
        <v>2760</v>
      </c>
      <c r="G81" s="1175">
        <v>0.375</v>
      </c>
      <c r="H81" s="1139">
        <f ca="1">_xlfn.XLOOKUP(A81,TabCalc[Ticker],TabCalc[M])</f>
        <v>191.95</v>
      </c>
      <c r="I81" s="1168">
        <v>45954</v>
      </c>
      <c r="J81" s="1275" t="s">
        <v>2765</v>
      </c>
      <c r="K81" s="223" t="e">
        <f ca="1">_xlfn.XLOOKUP(G81,TabCalc[Ticker],TabCalc[Agiotage])</f>
        <v>#N/A</v>
      </c>
      <c r="L81" s="93" t="str">
        <f ca="1">IFERROR( _xlfn.LET(_xlpm.nma,_xlfn.XLOOKUP(G81,TabCalc[Ticker],TabCalc[NMA]),_xlpm.revenue,_xlfn.XLOOKUP(G81,TabCalc[Ticker],TabCalc[Revenue]),_xlpm.nma&amp;"="&amp;TEXT(_xlpm.revenue,"#,#0")&amp;"@M: "&amp;N81),"")</f>
        <v/>
      </c>
      <c r="M81" s="223" t="e">
        <f ca="1">_xlfn.XLOOKUP(G81,TabCalc[Ticker],TabCalc[Up20])</f>
        <v>#N/A</v>
      </c>
      <c r="N81" s="83" t="e">
        <f ca="1">_xlfn.XLOOKUP(G81,TabCalc[Ticker],TabCalc[M])</f>
        <v>#N/A</v>
      </c>
      <c r="O81" s="62">
        <f t="shared" ca="1" si="4"/>
        <v>45956</v>
      </c>
      <c r="P81" t="str">
        <f t="shared" ca="1" si="5"/>
        <v>Formulas ready to copy below</v>
      </c>
    </row>
    <row r="82" spans="1:16" ht="23" thickBot="1">
      <c r="A82" s="1131" t="str">
        <f ca="1">Calc!H80</f>
        <v>GS</v>
      </c>
      <c r="B82" s="1133">
        <v>45932</v>
      </c>
      <c r="C82" s="66" t="s">
        <v>1437</v>
      </c>
      <c r="D82" s="310">
        <v>2.3869999999999998E-3</v>
      </c>
      <c r="E82" s="316">
        <v>0.90497882250930028</v>
      </c>
      <c r="F82" s="93">
        <v>4837.38</v>
      </c>
      <c r="G82" s="90">
        <v>0.52380952380952384</v>
      </c>
      <c r="H82" s="1139">
        <f ca="1">_xlfn.XLOOKUP(A82,TabCalc[Ticker],TabCalc[M])</f>
        <v>783.88</v>
      </c>
      <c r="I82" s="62">
        <v>45925</v>
      </c>
      <c r="K82" s="223" t="e">
        <f ca="1">_xlfn.XLOOKUP(G82,TabCalc[Ticker],TabCalc[Agiotage])</f>
        <v>#N/A</v>
      </c>
      <c r="L82" s="93" t="str">
        <f ca="1">IFERROR( _xlfn.LET(_xlpm.nma,_xlfn.XLOOKUP(G82,TabCalc[Ticker],TabCalc[NMA]),_xlpm.revenue,_xlfn.XLOOKUP(G82,TabCalc[Ticker],TabCalc[Revenue]),_xlpm.nma&amp;"="&amp;TEXT(_xlpm.revenue,"#,#0")&amp;"@M: "&amp;N82),"")</f>
        <v/>
      </c>
      <c r="M82" s="223" t="e">
        <f ca="1">_xlfn.XLOOKUP(G82,TabCalc[Ticker],TabCalc[Up20])</f>
        <v>#N/A</v>
      </c>
      <c r="N82" s="83" t="e">
        <f ca="1">_xlfn.XLOOKUP(G82,TabCalc[Ticker],TabCalc[M])</f>
        <v>#N/A</v>
      </c>
      <c r="O82" s="62">
        <f t="shared" ca="1" si="4"/>
        <v>45956</v>
      </c>
      <c r="P82" t="str">
        <f t="shared" ca="1" si="5"/>
        <v>Formulas ready to copy below</v>
      </c>
    </row>
    <row r="83" spans="1:16" ht="23" thickBot="1">
      <c r="A83" s="1131" t="str">
        <f ca="1">Calc!H81</f>
        <v>LAZR</v>
      </c>
      <c r="B83" s="1133">
        <v>45926</v>
      </c>
      <c r="C83" s="66" t="s">
        <v>1438</v>
      </c>
      <c r="D83" s="310">
        <v>-1.5368E-2</v>
      </c>
      <c r="E83" s="316">
        <v>1.0054906020385719</v>
      </c>
      <c r="F83" s="93"/>
      <c r="G83" s="90">
        <v>0</v>
      </c>
      <c r="H83" s="1139">
        <f ca="1">_xlfn.XLOOKUP(A83,TabCalc[Ticker],TabCalc[M])</f>
        <v>2.2200000000000002</v>
      </c>
      <c r="I83" s="62">
        <v>45925</v>
      </c>
      <c r="K83" s="223" t="e">
        <f ca="1">_xlfn.XLOOKUP(G83,TabCalc[Ticker],TabCalc[Agiotage])</f>
        <v>#N/A</v>
      </c>
      <c r="L83" s="93" t="str">
        <f ca="1">IFERROR( _xlfn.LET(_xlpm.nma,_xlfn.XLOOKUP(G83,TabCalc[Ticker],TabCalc[NMA]),_xlpm.revenue,_xlfn.XLOOKUP(G83,TabCalc[Ticker],TabCalc[Revenue]),_xlpm.nma&amp;"="&amp;TEXT(_xlpm.revenue,"#,#0")&amp;"@M: "&amp;N83),"")</f>
        <v/>
      </c>
      <c r="M83" s="223" t="e">
        <f ca="1">_xlfn.XLOOKUP(G83,TabCalc[Ticker],TabCalc[Up20])</f>
        <v>#N/A</v>
      </c>
      <c r="N83" s="83" t="e">
        <f ca="1">_xlfn.XLOOKUP(G83,TabCalc[Ticker],TabCalc[M])</f>
        <v>#N/A</v>
      </c>
      <c r="O83" s="62">
        <f t="shared" ca="1" si="4"/>
        <v>45956</v>
      </c>
      <c r="P83" t="str">
        <f t="shared" ca="1" si="5"/>
        <v>Formulas ready to copy below</v>
      </c>
    </row>
    <row r="84" spans="1:16" ht="23" thickBot="1">
      <c r="A84" s="1131" t="str">
        <f ca="1">Calc!H82</f>
        <v>LUV</v>
      </c>
      <c r="B84" s="1133">
        <v>45939</v>
      </c>
      <c r="C84" s="66" t="s">
        <v>2664</v>
      </c>
      <c r="D84" s="1174">
        <v>7.4060000000000003E-3</v>
      </c>
      <c r="E84" s="1271">
        <v>0.99932469890125164</v>
      </c>
      <c r="F84" s="1136" t="s">
        <v>2741</v>
      </c>
      <c r="G84" s="1175">
        <v>0</v>
      </c>
      <c r="H84" s="1139">
        <f ca="1">_xlfn.XLOOKUP(A84,TabCalc[Ticker],TabCalc[M])</f>
        <v>32.200000000000003</v>
      </c>
      <c r="I84" s="1168">
        <v>45951</v>
      </c>
      <c r="J84" s="1275" t="s">
        <v>2742</v>
      </c>
      <c r="K84" s="223" t="e">
        <f ca="1">_xlfn.XLOOKUP(G84,TabCalc[Ticker],TabCalc[Agiotage])</f>
        <v>#N/A</v>
      </c>
      <c r="L84" s="93" t="str">
        <f ca="1">IFERROR( _xlfn.LET(_xlpm.nma,_xlfn.XLOOKUP(G84,TabCalc[Ticker],TabCalc[NMA]),_xlpm.revenue,_xlfn.XLOOKUP(G84,TabCalc[Ticker],TabCalc[Revenue]),_xlpm.nma&amp;"="&amp;TEXT(_xlpm.revenue,"#,#0")&amp;"@M: "&amp;N84),"")</f>
        <v/>
      </c>
      <c r="M84" s="223" t="e">
        <f ca="1">_xlfn.XLOOKUP(G84,TabCalc[Ticker],TabCalc[Up20])</f>
        <v>#N/A</v>
      </c>
      <c r="N84" s="83" t="e">
        <f ca="1">_xlfn.XLOOKUP(G84,TabCalc[Ticker],TabCalc[M])</f>
        <v>#N/A</v>
      </c>
      <c r="O84" s="62">
        <f t="shared" ca="1" si="4"/>
        <v>45956</v>
      </c>
      <c r="P84" t="str">
        <f t="shared" ca="1" si="5"/>
        <v>Formulas ready to copy below</v>
      </c>
    </row>
    <row r="85" spans="1:16" ht="23" thickBot="1">
      <c r="A85" s="1131" t="str">
        <f ca="1">Calc!H83</f>
        <v>MA</v>
      </c>
      <c r="B85" s="1133">
        <v>45460</v>
      </c>
      <c r="C85" s="66" t="s">
        <v>1439</v>
      </c>
      <c r="D85" s="310">
        <v>-5.1449999999999994E-3</v>
      </c>
      <c r="E85" s="316">
        <v>1.0085157514639107</v>
      </c>
      <c r="F85" s="93">
        <v>80458.83</v>
      </c>
      <c r="G85" s="90">
        <v>0</v>
      </c>
      <c r="H85" s="1139">
        <f ca="1">_xlfn.XLOOKUP(A85,TabCalc[Ticker],TabCalc[M])</f>
        <v>573.66999999999996</v>
      </c>
      <c r="I85" s="62">
        <v>45925</v>
      </c>
      <c r="K85" s="223" t="e">
        <f ca="1">_xlfn.XLOOKUP(G85,TabCalc[Ticker],TabCalc[Agiotage])</f>
        <v>#N/A</v>
      </c>
      <c r="L85" s="93" t="str">
        <f ca="1">IFERROR( _xlfn.LET(_xlpm.nma,_xlfn.XLOOKUP(G85,TabCalc[Ticker],TabCalc[NMA]),_xlpm.revenue,_xlfn.XLOOKUP(G85,TabCalc[Ticker],TabCalc[Revenue]),_xlpm.nma&amp;"="&amp;TEXT(_xlpm.revenue,"#,#0")&amp;"@M: "&amp;N85),"")</f>
        <v/>
      </c>
      <c r="M85" s="223" t="e">
        <f ca="1">_xlfn.XLOOKUP(G85,TabCalc[Ticker],TabCalc[Up20])</f>
        <v>#N/A</v>
      </c>
      <c r="N85" s="83" t="e">
        <f ca="1">_xlfn.XLOOKUP(G85,TabCalc[Ticker],TabCalc[M])</f>
        <v>#N/A</v>
      </c>
      <c r="O85" s="62">
        <f t="shared" ca="1" si="4"/>
        <v>45956</v>
      </c>
      <c r="P85" t="str">
        <f t="shared" ca="1" si="5"/>
        <v>Formulas ready to copy below</v>
      </c>
    </row>
    <row r="86" spans="1:16" ht="23" thickBot="1">
      <c r="A86" s="1131" t="str">
        <f ca="1">Calc!H84</f>
        <v>NVAX</v>
      </c>
      <c r="B86" s="1133">
        <v>45460</v>
      </c>
      <c r="C86" s="66" t="s">
        <v>1440</v>
      </c>
      <c r="D86" s="310">
        <v>1.238E-2</v>
      </c>
      <c r="E86" s="316">
        <v>0.62988447314535401</v>
      </c>
      <c r="F86" s="93"/>
      <c r="G86" s="90">
        <v>0.47619047619047616</v>
      </c>
      <c r="H86" s="1139">
        <f ca="1">_xlfn.XLOOKUP(A86,TabCalc[Ticker],TabCalc[M])</f>
        <v>8.52</v>
      </c>
      <c r="I86" s="62">
        <v>45925</v>
      </c>
      <c r="K86" s="223" t="e">
        <f ca="1">_xlfn.XLOOKUP(G86,TabCalc[Ticker],TabCalc[Agiotage])</f>
        <v>#N/A</v>
      </c>
      <c r="L86" s="93" t="str">
        <f ca="1">IFERROR( _xlfn.LET(_xlpm.nma,_xlfn.XLOOKUP(G86,TabCalc[Ticker],TabCalc[NMA]),_xlpm.revenue,_xlfn.XLOOKUP(G86,TabCalc[Ticker],TabCalc[Revenue]),_xlpm.nma&amp;"="&amp;TEXT(_xlpm.revenue,"#,#0")&amp;"@M: "&amp;N86),"")</f>
        <v/>
      </c>
      <c r="M86" s="223" t="e">
        <f ca="1">_xlfn.XLOOKUP(G86,TabCalc[Ticker],TabCalc[Up20])</f>
        <v>#N/A</v>
      </c>
      <c r="N86" s="83" t="e">
        <f ca="1">_xlfn.XLOOKUP(G86,TabCalc[Ticker],TabCalc[M])</f>
        <v>#N/A</v>
      </c>
      <c r="O86" s="62">
        <f t="shared" ca="1" si="4"/>
        <v>45956</v>
      </c>
      <c r="P86" t="str">
        <f t="shared" ca="1" si="5"/>
        <v>Formulas ready to copy below</v>
      </c>
    </row>
    <row r="87" spans="1:16" ht="23" thickBot="1">
      <c r="A87" s="1131" t="str">
        <f ca="1">Calc!H85</f>
        <v>NVS</v>
      </c>
      <c r="B87" s="1133">
        <v>45525</v>
      </c>
      <c r="C87" s="66" t="s">
        <v>1441</v>
      </c>
      <c r="D87" s="310">
        <v>6.1329999999999996E-3</v>
      </c>
      <c r="E87" s="316">
        <v>0.88233357611363206</v>
      </c>
      <c r="F87" s="93">
        <v>4921.6000000000004</v>
      </c>
      <c r="G87" s="90">
        <v>0.52380952380952384</v>
      </c>
      <c r="H87" s="1139">
        <f ca="1">_xlfn.XLOOKUP(A87,TabCalc[Ticker],TabCalc[M])</f>
        <v>130.36000000000001</v>
      </c>
      <c r="I87" s="62">
        <v>45925</v>
      </c>
      <c r="K87" s="223" t="e">
        <f ca="1">_xlfn.XLOOKUP(G87,TabCalc[Ticker],TabCalc[Agiotage])</f>
        <v>#N/A</v>
      </c>
      <c r="L87" s="93" t="str">
        <f ca="1">IFERROR( _xlfn.LET(_xlpm.nma,_xlfn.XLOOKUP(G87,TabCalc[Ticker],TabCalc[NMA]),_xlpm.revenue,_xlfn.XLOOKUP(G87,TabCalc[Ticker],TabCalc[Revenue]),_xlpm.nma&amp;"="&amp;TEXT(_xlpm.revenue,"#,#0")&amp;"@M: "&amp;N87),"")</f>
        <v/>
      </c>
      <c r="M87" s="223" t="e">
        <f ca="1">_xlfn.XLOOKUP(G87,TabCalc[Ticker],TabCalc[Up20])</f>
        <v>#N/A</v>
      </c>
      <c r="N87" s="83" t="e">
        <f ca="1">_xlfn.XLOOKUP(G87,TabCalc[Ticker],TabCalc[M])</f>
        <v>#N/A</v>
      </c>
      <c r="O87" s="62">
        <f t="shared" ca="1" si="4"/>
        <v>45956</v>
      </c>
      <c r="P87" t="str">
        <f t="shared" ca="1" si="5"/>
        <v>Formulas ready to copy below</v>
      </c>
    </row>
    <row r="88" spans="1:16" ht="23" thickBot="1">
      <c r="A88" s="1131" t="str">
        <f ca="1">Calc!H86</f>
        <v>ORA</v>
      </c>
      <c r="B88" s="1133">
        <v>45460</v>
      </c>
      <c r="C88" s="66" t="s">
        <v>2592</v>
      </c>
      <c r="D88" s="1174">
        <v>-1.5885E-2</v>
      </c>
      <c r="E88" s="1271">
        <v>0.89501001621205967</v>
      </c>
      <c r="F88" s="1136" t="s">
        <v>2561</v>
      </c>
      <c r="G88" s="1175">
        <v>0</v>
      </c>
      <c r="H88" s="1139">
        <f ca="1">_xlfn.XLOOKUP(A88,TabCalc[Ticker],TabCalc[M])</f>
        <v>13.92</v>
      </c>
      <c r="I88" s="1168">
        <v>45933</v>
      </c>
      <c r="J88" s="1275" t="s">
        <v>2611</v>
      </c>
      <c r="K88" s="223" t="e">
        <f ca="1">_xlfn.XLOOKUP(G88,TabCalc[Ticker],TabCalc[Agiotage])</f>
        <v>#N/A</v>
      </c>
      <c r="L88" s="93" t="str">
        <f ca="1">IFERROR( _xlfn.LET(_xlpm.nma,_xlfn.XLOOKUP(G88,TabCalc[Ticker],TabCalc[NMA]),_xlpm.revenue,_xlfn.XLOOKUP(G88,TabCalc[Ticker],TabCalc[Revenue]),_xlpm.nma&amp;"="&amp;TEXT(_xlpm.revenue,"#,#0")&amp;"@M: "&amp;N88),"")</f>
        <v/>
      </c>
      <c r="M88" s="223" t="e">
        <f ca="1">_xlfn.XLOOKUP(G88,TabCalc[Ticker],TabCalc[Up20])</f>
        <v>#N/A</v>
      </c>
      <c r="N88" s="83" t="e">
        <f ca="1">_xlfn.XLOOKUP(G88,TabCalc[Ticker],TabCalc[M])</f>
        <v>#N/A</v>
      </c>
      <c r="O88" s="62">
        <f t="shared" ca="1" si="4"/>
        <v>45956</v>
      </c>
      <c r="P88" t="str">
        <f t="shared" ca="1" si="5"/>
        <v>Formulas ready to copy below</v>
      </c>
    </row>
    <row r="89" spans="1:16" ht="23" thickBot="1">
      <c r="A89" s="1131" t="str">
        <f ca="1">Calc!H87</f>
        <v>OXY</v>
      </c>
      <c r="B89" s="1133">
        <v>45460</v>
      </c>
      <c r="C89" s="66" t="s">
        <v>1442</v>
      </c>
      <c r="D89" s="310">
        <v>-2.5865999999999997E-2</v>
      </c>
      <c r="E89" s="316">
        <v>1.2135663841336342</v>
      </c>
      <c r="F89" s="93"/>
      <c r="G89" s="90">
        <v>0.52380952380952384</v>
      </c>
      <c r="H89" s="1139">
        <f ca="1">_xlfn.XLOOKUP(A89,TabCalc[Ticker],TabCalc[M])</f>
        <v>42.57</v>
      </c>
      <c r="I89" s="62">
        <v>45925</v>
      </c>
      <c r="K89" s="223" t="e">
        <f ca="1">_xlfn.XLOOKUP(G89,TabCalc[Ticker],TabCalc[Agiotage])</f>
        <v>#N/A</v>
      </c>
      <c r="L89" s="93" t="str">
        <f ca="1">IFERROR( _xlfn.LET(_xlpm.nma,_xlfn.XLOOKUP(G89,TabCalc[Ticker],TabCalc[NMA]),_xlpm.revenue,_xlfn.XLOOKUP(G89,TabCalc[Ticker],TabCalc[Revenue]),_xlpm.nma&amp;"="&amp;TEXT(_xlpm.revenue,"#,#0")&amp;"@M: "&amp;N89),"")</f>
        <v/>
      </c>
      <c r="M89" s="223" t="e">
        <f ca="1">_xlfn.XLOOKUP(G89,TabCalc[Ticker],TabCalc[Up20])</f>
        <v>#N/A</v>
      </c>
      <c r="N89" s="83" t="e">
        <f ca="1">_xlfn.XLOOKUP(G89,TabCalc[Ticker],TabCalc[M])</f>
        <v>#N/A</v>
      </c>
      <c r="O89" s="62">
        <f t="shared" ca="1" si="4"/>
        <v>45956</v>
      </c>
      <c r="P89" t="str">
        <f t="shared" ca="1" si="5"/>
        <v>Formulas ready to copy below</v>
      </c>
    </row>
    <row r="90" spans="1:16" ht="23" thickBot="1">
      <c r="A90" s="1131" t="str">
        <f ca="1">Calc!H88</f>
        <v>PFE</v>
      </c>
      <c r="B90" s="1133">
        <v>45938</v>
      </c>
      <c r="C90" s="66" t="s">
        <v>2628</v>
      </c>
      <c r="D90" s="1174">
        <v>-6.2429999999999994E-3</v>
      </c>
      <c r="E90" s="1271">
        <v>0.81984541718311521</v>
      </c>
      <c r="F90" s="1136" t="s">
        <v>2642</v>
      </c>
      <c r="G90" s="1175">
        <v>0</v>
      </c>
      <c r="H90" s="1139">
        <f ca="1">_xlfn.XLOOKUP(A90,TabCalc[Ticker],TabCalc[M])</f>
        <v>24.76</v>
      </c>
      <c r="I90" s="1168">
        <v>45938</v>
      </c>
      <c r="J90" s="1275" t="s">
        <v>2649</v>
      </c>
      <c r="K90" s="223" t="e">
        <f ca="1">_xlfn.XLOOKUP(G90,TabCalc[Ticker],TabCalc[Agiotage])</f>
        <v>#N/A</v>
      </c>
      <c r="L90" s="93" t="str">
        <f ca="1">IFERROR( _xlfn.LET(_xlpm.nma,_xlfn.XLOOKUP(G90,TabCalc[Ticker],TabCalc[NMA]),_xlpm.revenue,_xlfn.XLOOKUP(G90,TabCalc[Ticker],TabCalc[Revenue]),_xlpm.nma&amp;"="&amp;TEXT(_xlpm.revenue,"#,#0")&amp;"@M: "&amp;N90),"")</f>
        <v/>
      </c>
      <c r="M90" s="223" t="e">
        <f ca="1">_xlfn.XLOOKUP(G90,TabCalc[Ticker],TabCalc[Up20])</f>
        <v>#N/A</v>
      </c>
      <c r="N90" s="83" t="e">
        <f ca="1">_xlfn.XLOOKUP(G90,TabCalc[Ticker],TabCalc[M])</f>
        <v>#N/A</v>
      </c>
      <c r="O90" s="62">
        <f t="shared" ca="1" si="4"/>
        <v>45956</v>
      </c>
      <c r="P90" t="str">
        <f t="shared" ca="1" si="5"/>
        <v>Formulas ready to copy below</v>
      </c>
    </row>
    <row r="91" spans="1:16" ht="23" thickBot="1">
      <c r="A91" s="1131" t="str">
        <f ca="1">Calc!H89</f>
        <v>RIG</v>
      </c>
      <c r="B91" s="1133">
        <v>45954</v>
      </c>
      <c r="C91" s="66" t="s">
        <v>2752</v>
      </c>
      <c r="D91" s="1174">
        <v>1.2850000000000001E-3</v>
      </c>
      <c r="E91" s="1271">
        <v>1.2627829667768748</v>
      </c>
      <c r="F91" s="1136" t="s">
        <v>2761</v>
      </c>
      <c r="G91" s="1175">
        <v>0.41666666666666669</v>
      </c>
      <c r="H91" s="1139">
        <f ca="1">_xlfn.XLOOKUP(A91,TabCalc[Ticker],TabCalc[M])</f>
        <v>3.9</v>
      </c>
      <c r="I91" s="1168">
        <v>45954</v>
      </c>
      <c r="J91" s="1275" t="s">
        <v>2766</v>
      </c>
      <c r="K91" s="223" t="e">
        <f ca="1">_xlfn.XLOOKUP(G91,TabCalc[Ticker],TabCalc[Agiotage])</f>
        <v>#N/A</v>
      </c>
      <c r="L91" s="93" t="str">
        <f ca="1">IFERROR( _xlfn.LET(_xlpm.nma,_xlfn.XLOOKUP(G91,TabCalc[Ticker],TabCalc[NMA]),_xlpm.revenue,_xlfn.XLOOKUP(G91,TabCalc[Ticker],TabCalc[Revenue]),_xlpm.nma&amp;"="&amp;TEXT(_xlpm.revenue,"#,#0")&amp;"@M: "&amp;N91),"")</f>
        <v/>
      </c>
      <c r="M91" s="223" t="e">
        <f ca="1">_xlfn.XLOOKUP(G91,TabCalc[Ticker],TabCalc[Up20])</f>
        <v>#N/A</v>
      </c>
      <c r="N91" s="83" t="e">
        <f ca="1">_xlfn.XLOOKUP(G91,TabCalc[Ticker],TabCalc[M])</f>
        <v>#N/A</v>
      </c>
      <c r="O91" s="62">
        <f t="shared" ca="1" si="4"/>
        <v>45956</v>
      </c>
      <c r="P91" t="str">
        <f t="shared" ca="1" si="5"/>
        <v>Formulas ready to copy below</v>
      </c>
    </row>
    <row r="92" spans="1:16" ht="23" thickBot="1">
      <c r="A92" s="1131" t="str">
        <f ca="1">Calc!H90</f>
        <v>RRC</v>
      </c>
      <c r="B92" s="1133">
        <v>45926</v>
      </c>
      <c r="C92" s="66" t="s">
        <v>1443</v>
      </c>
      <c r="D92" s="310">
        <v>-3.5278999999999998E-2</v>
      </c>
      <c r="E92" s="316">
        <v>1.1555488813718655</v>
      </c>
      <c r="F92" s="93">
        <v>4970.5700000000006</v>
      </c>
      <c r="G92" s="90">
        <v>0.61904761904761907</v>
      </c>
      <c r="H92" s="1139">
        <f ca="1">_xlfn.XLOOKUP(A92,TabCalc[Ticker],TabCalc[M])</f>
        <v>37.619999999999997</v>
      </c>
      <c r="I92" s="62">
        <v>45925</v>
      </c>
      <c r="K92" s="223" t="e">
        <f ca="1">_xlfn.XLOOKUP(G92,TabCalc[Ticker],TabCalc[Agiotage])</f>
        <v>#N/A</v>
      </c>
      <c r="L92" s="93" t="str">
        <f ca="1">IFERROR( _xlfn.LET(_xlpm.nma,_xlfn.XLOOKUP(G92,TabCalc[Ticker],TabCalc[NMA]),_xlpm.revenue,_xlfn.XLOOKUP(G92,TabCalc[Ticker],TabCalc[Revenue]),_xlpm.nma&amp;"="&amp;TEXT(_xlpm.revenue,"#,#0")&amp;"@M: "&amp;N92),"")</f>
        <v/>
      </c>
      <c r="M92" s="223" t="e">
        <f ca="1">_xlfn.XLOOKUP(G92,TabCalc[Ticker],TabCalc[Up20])</f>
        <v>#N/A</v>
      </c>
      <c r="N92" s="83" t="e">
        <f ca="1">_xlfn.XLOOKUP(G92,TabCalc[Ticker],TabCalc[M])</f>
        <v>#N/A</v>
      </c>
      <c r="O92" s="62">
        <f t="shared" ca="1" si="4"/>
        <v>45956</v>
      </c>
      <c r="P92" t="str">
        <f t="shared" ca="1" si="5"/>
        <v>Formulas ready to copy below</v>
      </c>
    </row>
    <row r="93" spans="1:16" ht="23" thickBot="1">
      <c r="A93" s="1131" t="str">
        <f ca="1">Calc!H91</f>
        <v>XYZ</v>
      </c>
      <c r="B93" s="1133">
        <v>45938</v>
      </c>
      <c r="C93" s="66" t="s">
        <v>2630</v>
      </c>
      <c r="D93" s="1174">
        <v>1.6200000000000003E-2</v>
      </c>
      <c r="E93" s="1271">
        <v>0.89426721175447832</v>
      </c>
      <c r="F93" s="1136" t="s">
        <v>2643</v>
      </c>
      <c r="G93" s="1175">
        <v>0.6428571428571429</v>
      </c>
      <c r="H93" s="1139">
        <f ca="1">_xlfn.XLOOKUP(A93,TabCalc[Ticker],TabCalc[M])</f>
        <v>79.540000000000006</v>
      </c>
      <c r="I93" s="1168">
        <v>45938</v>
      </c>
      <c r="J93" s="1275" t="s">
        <v>2650</v>
      </c>
      <c r="K93" s="223" t="e">
        <f ca="1">_xlfn.XLOOKUP(G93,TabCalc[Ticker],TabCalc[Agiotage])</f>
        <v>#N/A</v>
      </c>
      <c r="L93" s="93" t="str">
        <f ca="1">IFERROR( _xlfn.LET(_xlpm.nma,_xlfn.XLOOKUP(G93,TabCalc[Ticker],TabCalc[NMA]),_xlpm.revenue,_xlfn.XLOOKUP(G93,TabCalc[Ticker],TabCalc[Revenue]),_xlpm.nma&amp;"="&amp;TEXT(_xlpm.revenue,"#,#0")&amp;"@M: "&amp;N93),"")</f>
        <v/>
      </c>
      <c r="M93" s="223" t="e">
        <f ca="1">_xlfn.XLOOKUP(G93,TabCalc[Ticker],TabCalc[Up20])</f>
        <v>#N/A</v>
      </c>
      <c r="N93" s="83" t="e">
        <f ca="1">_xlfn.XLOOKUP(G93,TabCalc[Ticker],TabCalc[M])</f>
        <v>#N/A</v>
      </c>
      <c r="O93" s="62">
        <f t="shared" ca="1" si="4"/>
        <v>45956</v>
      </c>
      <c r="P93" t="str">
        <f t="shared" ca="1" si="5"/>
        <v>Formulas ready to copy below</v>
      </c>
    </row>
    <row r="94" spans="1:16" ht="23" thickBot="1">
      <c r="A94" s="1131" t="str">
        <f ca="1">Calc!H92</f>
        <v>THC</v>
      </c>
      <c r="B94" s="1133">
        <v>45939</v>
      </c>
      <c r="C94" s="66" t="s">
        <v>2756</v>
      </c>
      <c r="D94" s="1174">
        <v>1.6771000000000001E-2</v>
      </c>
      <c r="E94" s="1271">
        <v>1.7966538371064948</v>
      </c>
      <c r="F94" s="1136" t="s">
        <v>2762</v>
      </c>
      <c r="G94" s="1175">
        <v>0.42857142857142855</v>
      </c>
      <c r="H94" s="1139">
        <f ca="1">_xlfn.XLOOKUP(A94,TabCalc[Ticker],TabCalc[M])</f>
        <v>210.38</v>
      </c>
      <c r="I94" s="1168">
        <v>45954</v>
      </c>
      <c r="J94" s="1275" t="s">
        <v>2767</v>
      </c>
      <c r="K94" s="223" t="e">
        <f ca="1">_xlfn.XLOOKUP(G94,TabCalc[Ticker],TabCalc[Agiotage])</f>
        <v>#N/A</v>
      </c>
      <c r="L94" s="93" t="str">
        <f ca="1">IFERROR( _xlfn.LET(_xlpm.nma,_xlfn.XLOOKUP(G94,TabCalc[Ticker],TabCalc[NMA]),_xlpm.revenue,_xlfn.XLOOKUP(G94,TabCalc[Ticker],TabCalc[Revenue]),_xlpm.nma&amp;"="&amp;TEXT(_xlpm.revenue,"#,#0")&amp;"@M: "&amp;N94),"")</f>
        <v/>
      </c>
      <c r="M94" s="223" t="e">
        <f ca="1">_xlfn.XLOOKUP(G94,TabCalc[Ticker],TabCalc[Up20])</f>
        <v>#N/A</v>
      </c>
      <c r="N94" s="83" t="e">
        <f ca="1">_xlfn.XLOOKUP(G94,TabCalc[Ticker],TabCalc[M])</f>
        <v>#N/A</v>
      </c>
      <c r="O94" s="62">
        <f t="shared" ca="1" si="4"/>
        <v>45956</v>
      </c>
      <c r="P94" t="str">
        <f t="shared" ca="1" si="5"/>
        <v>Formulas ready to copy below</v>
      </c>
    </row>
    <row r="95" spans="1:16" ht="23" thickBot="1">
      <c r="A95" s="1131" t="str">
        <f ca="1">Calc!H93</f>
        <v>X</v>
      </c>
      <c r="B95" s="1133">
        <v>45460</v>
      </c>
      <c r="C95" s="66" t="s">
        <v>1444</v>
      </c>
      <c r="D95" s="1174">
        <v>4.3023999999999993E-2</v>
      </c>
      <c r="E95" s="1271">
        <v>1.1533001230453117</v>
      </c>
      <c r="F95" s="1136" t="s">
        <v>2582</v>
      </c>
      <c r="G95" s="1175">
        <v>0</v>
      </c>
      <c r="H95" s="1139">
        <f ca="1">_xlfn.XLOOKUP(A95,TabCalc[Ticker],TabCalc[M])</f>
        <v>54.84</v>
      </c>
      <c r="I95" s="1168">
        <v>45932</v>
      </c>
      <c r="J95" s="1187" t="s">
        <v>2587</v>
      </c>
      <c r="K95" s="223" t="e">
        <f ca="1">_xlfn.XLOOKUP(G95,TabCalc[Ticker],TabCalc[Agiotage])</f>
        <v>#N/A</v>
      </c>
      <c r="L95" s="93" t="str">
        <f ca="1">IFERROR( _xlfn.LET(_xlpm.nma,_xlfn.XLOOKUP(G95,TabCalc[Ticker],TabCalc[NMA]),_xlpm.revenue,_xlfn.XLOOKUP(G95,TabCalc[Ticker],TabCalc[Revenue]),_xlpm.nma&amp;"="&amp;TEXT(_xlpm.revenue,"#,#0")&amp;"@M: "&amp;N95),"")</f>
        <v/>
      </c>
      <c r="M95" s="223" t="e">
        <f ca="1">_xlfn.XLOOKUP(G95,TabCalc[Ticker],TabCalc[Up20])</f>
        <v>#N/A</v>
      </c>
      <c r="N95" s="83" t="e">
        <f ca="1">_xlfn.XLOOKUP(G95,TabCalc[Ticker],TabCalc[M])</f>
        <v>#N/A</v>
      </c>
      <c r="O95" s="62">
        <f t="shared" ca="1" si="4"/>
        <v>45956</v>
      </c>
      <c r="P95" t="str">
        <f t="shared" ca="1" si="5"/>
        <v>Formulas ready to copy below</v>
      </c>
    </row>
    <row r="96" spans="1:16" ht="23" thickBot="1">
      <c r="A96" s="1131" t="str">
        <f ca="1">Calc!H94</f>
        <v>JBEOAN</v>
      </c>
      <c r="B96" s="1133">
        <v>45932</v>
      </c>
      <c r="C96" s="66" t="s">
        <v>1445</v>
      </c>
      <c r="D96" s="1174">
        <v>9.2659999999999999E-3</v>
      </c>
      <c r="E96" s="1271">
        <v>1</v>
      </c>
      <c r="F96" s="1136" t="s">
        <v>2600</v>
      </c>
      <c r="G96" s="1175">
        <v>0</v>
      </c>
      <c r="H96" s="1139">
        <f ca="1">_xlfn.XLOOKUP(A96,TabCalc[Ticker],TabCalc[M])</f>
        <v>16.085000000000001</v>
      </c>
      <c r="I96" s="1168">
        <v>45933</v>
      </c>
      <c r="J96" s="1275" t="s">
        <v>2612</v>
      </c>
      <c r="K96" s="223" t="e">
        <f ca="1">_xlfn.XLOOKUP(G96,TabCalc[Ticker],TabCalc[Agiotage])</f>
        <v>#N/A</v>
      </c>
      <c r="L96" s="93" t="str">
        <f ca="1">IFERROR( _xlfn.LET(_xlpm.nma,_xlfn.XLOOKUP(G96,TabCalc[Ticker],TabCalc[NMA]),_xlpm.revenue,_xlfn.XLOOKUP(G96,TabCalc[Ticker],TabCalc[Revenue]),_xlpm.nma&amp;"="&amp;TEXT(_xlpm.revenue,"#,#0")&amp;"@M: "&amp;N96),"")</f>
        <v/>
      </c>
      <c r="M96" s="223" t="e">
        <f ca="1">_xlfn.XLOOKUP(G96,TabCalc[Ticker],TabCalc[Up20])</f>
        <v>#N/A</v>
      </c>
      <c r="N96" s="83" t="e">
        <f ca="1">_xlfn.XLOOKUP(G96,TabCalc[Ticker],TabCalc[M])</f>
        <v>#N/A</v>
      </c>
      <c r="O96" s="62">
        <f t="shared" ca="1" si="4"/>
        <v>45956</v>
      </c>
      <c r="P96" t="str">
        <f t="shared" ca="1" si="5"/>
        <v>Formulas ready to copy below</v>
      </c>
    </row>
    <row r="97" spans="1:16" ht="23" thickBot="1">
      <c r="A97" s="1131" t="str">
        <f>Calc!H95</f>
        <v>LOCK</v>
      </c>
      <c r="B97" s="1133"/>
      <c r="C97" s="1176"/>
      <c r="D97" s="1174">
        <v>2.849E-3</v>
      </c>
      <c r="E97" s="1271">
        <v>0.78368275812636634</v>
      </c>
      <c r="F97" s="1136" t="s">
        <v>2601</v>
      </c>
      <c r="G97" s="1175">
        <v>0.93333333333333335</v>
      </c>
      <c r="H97" s="1139">
        <f ca="1">_xlfn.XLOOKUP(A97,TabCalc[Ticker],TabCalc[M])</f>
        <v>10.571999999999999</v>
      </c>
      <c r="I97" s="1168">
        <v>45933</v>
      </c>
      <c r="J97" s="1275" t="s">
        <v>2613</v>
      </c>
      <c r="K97" s="223" t="e">
        <f ca="1">_xlfn.XLOOKUP(G97,TabCalc[Ticker],TabCalc[Agiotage])</f>
        <v>#N/A</v>
      </c>
      <c r="L97" s="93" t="str">
        <f ca="1">IFERROR( _xlfn.LET(_xlpm.nma,_xlfn.XLOOKUP(G97,TabCalc[Ticker],TabCalc[NMA]),_xlpm.revenue,_xlfn.XLOOKUP(G97,TabCalc[Ticker],TabCalc[Revenue]),_xlpm.nma&amp;"="&amp;TEXT(_xlpm.revenue,"#,#0")&amp;"@M: "&amp;N97),"")</f>
        <v/>
      </c>
      <c r="M97" s="223" t="e">
        <f ca="1">_xlfn.XLOOKUP(G97,TabCalc[Ticker],TabCalc[Up20])</f>
        <v>#N/A</v>
      </c>
      <c r="N97" s="83" t="e">
        <f ca="1">_xlfn.XLOOKUP(G97,TabCalc[Ticker],TabCalc[M])</f>
        <v>#N/A</v>
      </c>
      <c r="O97" s="62">
        <f t="shared" ca="1" si="4"/>
        <v>45956</v>
      </c>
      <c r="P97" t="str">
        <f t="shared" ca="1" si="5"/>
        <v>Formulas ready to copy below</v>
      </c>
    </row>
    <row r="98" spans="1:16" ht="23" thickBot="1">
      <c r="A98" s="1131" t="e">
        <f>Calc!H96</f>
        <v>#VALUE!</v>
      </c>
      <c r="B98" s="1133"/>
      <c r="C98" s="1176"/>
      <c r="D98" s="1174">
        <v>1.0024999999999999E-2</v>
      </c>
      <c r="E98" s="1271">
        <v>2.194623000480254E-3</v>
      </c>
      <c r="F98" s="1136" t="s">
        <v>2602</v>
      </c>
      <c r="G98" s="1175">
        <v>0.76923076923076927</v>
      </c>
      <c r="H98" s="1139" t="e">
        <f>_xlfn.XLOOKUP(A98,TabCalc[Ticker],TabCalc[M])</f>
        <v>#VALUE!</v>
      </c>
      <c r="I98" s="1168">
        <v>45933</v>
      </c>
      <c r="J98" s="1275" t="s">
        <v>2614</v>
      </c>
      <c r="K98" s="223" t="e">
        <f ca="1">_xlfn.XLOOKUP(G98,TabCalc[Ticker],TabCalc[Agiotage])</f>
        <v>#N/A</v>
      </c>
      <c r="L98" s="93" t="str">
        <f ca="1">IFERROR( _xlfn.LET(_xlpm.nma,_xlfn.XLOOKUP(G98,TabCalc[Ticker],TabCalc[NMA]),_xlpm.revenue,_xlfn.XLOOKUP(G98,TabCalc[Ticker],TabCalc[Revenue]),_xlpm.nma&amp;"="&amp;TEXT(_xlpm.revenue,"#,#0")&amp;"@M: "&amp;N98),"")</f>
        <v/>
      </c>
      <c r="M98" s="223" t="e">
        <f ca="1">_xlfn.XLOOKUP(G98,TabCalc[Ticker],TabCalc[Up20])</f>
        <v>#N/A</v>
      </c>
      <c r="N98" s="83" t="e">
        <f ca="1">_xlfn.XLOOKUP(G98,TabCalc[Ticker],TabCalc[M])</f>
        <v>#N/A</v>
      </c>
      <c r="O98" s="62">
        <f t="shared" ca="1" si="4"/>
        <v>45956</v>
      </c>
      <c r="P98" t="str">
        <f t="shared" ca="1" si="5"/>
        <v>Formulas ready to copy below</v>
      </c>
    </row>
    <row r="99" spans="1:16">
      <c r="A99" s="63"/>
      <c r="B99" s="63"/>
      <c r="C99" s="63"/>
    </row>
    <row r="100" spans="1:16">
      <c r="A100" s="63"/>
      <c r="B100" s="63"/>
      <c r="C100" s="63"/>
    </row>
    <row r="101" spans="1:16">
      <c r="A101" s="63"/>
      <c r="B101" s="63"/>
      <c r="C101" s="63"/>
    </row>
    <row r="102" spans="1:16">
      <c r="A102" s="63"/>
      <c r="B102" s="63"/>
      <c r="C102" s="63"/>
    </row>
    <row r="103" spans="1:16">
      <c r="A103" s="63"/>
      <c r="B103" s="63"/>
      <c r="C103" s="63"/>
    </row>
    <row r="104" spans="1:16">
      <c r="A104" s="63"/>
      <c r="B104" s="63"/>
      <c r="C104" s="63"/>
    </row>
    <row r="105" spans="1:16">
      <c r="A105" s="63"/>
      <c r="B105" s="63"/>
      <c r="C105" s="63"/>
    </row>
    <row r="106" spans="1:16">
      <c r="A106" s="63"/>
      <c r="B106" s="63"/>
      <c r="C106" s="63"/>
    </row>
    <row r="107" spans="1:16">
      <c r="A107" s="63"/>
      <c r="B107" s="63"/>
      <c r="C107" s="63"/>
    </row>
    <row r="108" spans="1:16">
      <c r="A108" s="63"/>
      <c r="B108" s="63"/>
      <c r="C108" s="63"/>
    </row>
    <row r="109" spans="1:16">
      <c r="A109" s="63"/>
      <c r="B109" s="63"/>
      <c r="C109" s="63"/>
    </row>
    <row r="110" spans="1:16">
      <c r="A110" s="63"/>
      <c r="B110" s="63"/>
      <c r="C110" s="63"/>
    </row>
    <row r="111" spans="1:16">
      <c r="A111" s="63"/>
      <c r="B111" s="63"/>
      <c r="C111" s="63"/>
    </row>
    <row r="112" spans="1:16">
      <c r="A112" s="63"/>
      <c r="B112" s="63"/>
      <c r="C112" s="63"/>
    </row>
  </sheetData>
  <phoneticPr fontId="47" type="noConversion"/>
  <conditionalFormatting sqref="G3 G5:G35 G38:G98">
    <cfRule type="cellIs" dxfId="1845" priority="37" operator="lessThan">
      <formula>0.45</formula>
    </cfRule>
    <cfRule type="cellIs" dxfId="1844" priority="38" operator="greaterThan">
      <formula>0.55</formula>
    </cfRule>
  </conditionalFormatting>
  <conditionalFormatting sqref="C71 C58 B5:B98">
    <cfRule type="colorScale" priority="2923">
      <colorScale>
        <cfvo type="min"/>
        <cfvo type="percentile" val="50"/>
        <cfvo type="max"/>
        <color rgb="FFF8696B"/>
        <color rgb="FFFCFCFF"/>
        <color rgb="FF63BE7B"/>
      </colorScale>
    </cfRule>
  </conditionalFormatting>
  <conditionalFormatting sqref="E25:E27 E38 E89 E57 E73:E75 E59:E62 E65:E68 E46:E50 E54:E55 E92 E80 E29:E34 E77:E78 E41:E42 E85:E87 E82:E83">
    <cfRule type="colorScale" priority="32">
      <colorScale>
        <cfvo type="min"/>
        <cfvo type="percentile" val="50"/>
        <cfvo type="max"/>
        <color rgb="FFF8696B"/>
        <color rgb="FFFCFCFF"/>
        <color rgb="FF63BE7B"/>
      </colorScale>
    </cfRule>
  </conditionalFormatting>
  <conditionalFormatting sqref="C71 C58 B5:B98">
    <cfRule type="colorScale" priority="31">
      <colorScale>
        <cfvo type="min"/>
        <cfvo type="percentile" val="50"/>
        <cfvo type="max"/>
        <color rgb="FFF8696B"/>
        <color rgb="FFFCFCFF"/>
        <color rgb="FF63BE7B"/>
      </colorScale>
    </cfRule>
  </conditionalFormatting>
  <conditionalFormatting sqref="J5:J20 J22:J80 J82:J90 J92:J93 J95:J98">
    <cfRule type="expression" dxfId="1843" priority="11">
      <formula>_xlfn.ISFORMULA(J5)</formula>
    </cfRule>
    <cfRule type="expression" dxfId="1842" priority="21">
      <formula>_xlfn.ISFORMULA(J5)</formula>
    </cfRule>
  </conditionalFormatting>
  <conditionalFormatting sqref="B5:B98">
    <cfRule type="colorScale" priority="20">
      <colorScale>
        <cfvo type="min"/>
        <cfvo type="percentile" val="50"/>
        <cfvo type="max"/>
        <color rgb="FFF8696B"/>
        <color rgb="FFFFEB84"/>
        <color rgb="FF63BE7B"/>
      </colorScale>
    </cfRule>
  </conditionalFormatting>
  <conditionalFormatting sqref="M64">
    <cfRule type="cellIs" dxfId="1841" priority="17" operator="lessThan">
      <formula>0.45</formula>
    </cfRule>
    <cfRule type="cellIs" dxfId="1840" priority="18" operator="greaterThan">
      <formula>0.55</formula>
    </cfRule>
  </conditionalFormatting>
  <conditionalFormatting sqref="P64">
    <cfRule type="expression" dxfId="1839" priority="16">
      <formula>_xlfn.ISFORMULA(P64)</formula>
    </cfRule>
  </conditionalFormatting>
  <conditionalFormatting sqref="M76">
    <cfRule type="cellIs" dxfId="1838" priority="14" operator="lessThan">
      <formula>0.45</formula>
    </cfRule>
    <cfRule type="cellIs" dxfId="1837" priority="15" operator="greaterThan">
      <formula>0.55</formula>
    </cfRule>
  </conditionalFormatting>
  <conditionalFormatting sqref="P76">
    <cfRule type="expression" dxfId="1836" priority="13">
      <formula>_xlfn.ISFORMULA(P76)</formula>
    </cfRule>
  </conditionalFormatting>
  <conditionalFormatting sqref="J3">
    <cfRule type="expression" dxfId="1835" priority="9">
      <formula>_xlfn.ISFORMULA(J3)</formula>
    </cfRule>
    <cfRule type="expression" dxfId="1834" priority="10">
      <formula>_xlfn.ISFORMULA(J3)</formula>
    </cfRule>
  </conditionalFormatting>
  <conditionalFormatting sqref="J21">
    <cfRule type="expression" dxfId="1833" priority="7">
      <formula>_xlfn.ISFORMULA(J21)</formula>
    </cfRule>
    <cfRule type="expression" dxfId="1832" priority="8">
      <formula>_xlfn.ISFORMULA(J21)</formula>
    </cfRule>
  </conditionalFormatting>
  <conditionalFormatting sqref="J81">
    <cfRule type="expression" dxfId="1831" priority="5">
      <formula>_xlfn.ISFORMULA(J81)</formula>
    </cfRule>
    <cfRule type="expression" dxfId="1830" priority="6">
      <formula>_xlfn.ISFORMULA(J81)</formula>
    </cfRule>
  </conditionalFormatting>
  <conditionalFormatting sqref="J91">
    <cfRule type="expression" dxfId="1829" priority="3">
      <formula>_xlfn.ISFORMULA(J91)</formula>
    </cfRule>
    <cfRule type="expression" dxfId="1828" priority="4">
      <formula>_xlfn.ISFORMULA(J91)</formula>
    </cfRule>
  </conditionalFormatting>
  <conditionalFormatting sqref="J94">
    <cfRule type="expression" dxfId="1827" priority="1">
      <formula>_xlfn.ISFORMULA(J94)</formula>
    </cfRule>
    <cfRule type="expression" dxfId="1826" priority="2">
      <formula>_xlfn.ISFORMULA(J94)</formula>
    </cfRule>
  </conditionalFormatting>
  <pageMargins left="0.7" right="0.7" top="0.75" bottom="0.75" header="0.3" footer="0.3"/>
  <drawing r:id="rId1"/>
  <legacy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27E8B-31B9-B44D-9A27-E158750C1CB2}">
  <sheetPr codeName="Sheet10">
    <tabColor rgb="FFC00000"/>
  </sheetPr>
  <dimension ref="A1:KB1824"/>
  <sheetViews>
    <sheetView tabSelected="1" topLeftCell="Y1741" zoomScale="80" zoomScaleNormal="80" workbookViewId="0">
      <selection activeCell="BE1767" sqref="BE1767"/>
    </sheetView>
  </sheetViews>
  <sheetFormatPr baseColWidth="10" defaultColWidth="11.125" defaultRowHeight="22"/>
  <cols>
    <col min="1" max="1" width="10.25" bestFit="1" customWidth="1"/>
    <col min="2" max="2" width="18.25" style="81" customWidth="1"/>
    <col min="3" max="3" width="12.5" style="1" customWidth="1"/>
    <col min="4" max="4" width="16.25" style="1" bestFit="1" customWidth="1"/>
    <col min="5" max="5" width="13.75" style="171" bestFit="1" customWidth="1"/>
    <col min="6" max="6" width="15.875" customWidth="1"/>
    <col min="7" max="7" width="15.625" customWidth="1"/>
    <col min="8" max="8" width="12.125" hidden="1" customWidth="1"/>
    <col min="9" max="9" width="14.875" hidden="1" customWidth="1"/>
    <col min="10" max="10" width="14.875" style="86" hidden="1" customWidth="1"/>
    <col min="11" max="11" width="14.25" style="88" hidden="1" customWidth="1"/>
    <col min="12" max="12" width="15" style="91" hidden="1" customWidth="1"/>
    <col min="13" max="13" width="16.75" style="1" hidden="1" customWidth="1"/>
    <col min="14" max="14" width="14" hidden="1" customWidth="1"/>
    <col min="15" max="16" width="14" style="82" hidden="1" customWidth="1"/>
    <col min="17" max="17" width="14" hidden="1" customWidth="1"/>
    <col min="18" max="18" width="14" style="87" hidden="1" customWidth="1"/>
    <col min="19" max="21" width="14" hidden="1" customWidth="1"/>
    <col min="22" max="22" width="15.75" hidden="1" customWidth="1"/>
    <col min="23" max="23" width="14.375" style="90" bestFit="1" customWidth="1"/>
    <col min="24" max="24" width="14" style="115" customWidth="1"/>
    <col min="25" max="25" width="14.625" bestFit="1" customWidth="1"/>
    <col min="26" max="26" width="15" bestFit="1" customWidth="1"/>
    <col min="27" max="27" width="14.875" customWidth="1"/>
    <col min="28" max="28" width="13.125" customWidth="1"/>
    <col min="29" max="29" width="16.5" bestFit="1" customWidth="1"/>
    <col min="30" max="43" width="11.125" hidden="1" customWidth="1"/>
    <col min="44" max="45" width="11.125" customWidth="1"/>
    <col min="46" max="46" width="12.375" customWidth="1"/>
    <col min="47" max="47" width="17.625" bestFit="1" customWidth="1"/>
    <col min="48" max="49" width="11.125" customWidth="1"/>
    <col min="50" max="50" width="13.75" bestFit="1" customWidth="1"/>
    <col min="51" max="51" width="18" customWidth="1"/>
    <col min="52" max="59" width="11.75" customWidth="1"/>
    <col min="60" max="70" width="12.875" customWidth="1"/>
    <col min="71" max="71" width="11.125" customWidth="1"/>
    <col min="72" max="72" width="12.25" bestFit="1" customWidth="1"/>
    <col min="73" max="73" width="0" hidden="1" customWidth="1"/>
    <col min="74" max="79" width="11.125" hidden="1" customWidth="1"/>
    <col min="80" max="80" width="13.375" hidden="1" customWidth="1"/>
    <col min="81" max="81" width="12.75" hidden="1" customWidth="1"/>
    <col min="82" max="82" width="13" hidden="1" customWidth="1"/>
    <col min="83" max="88" width="11.125" hidden="1" customWidth="1"/>
    <col min="89" max="90" width="12.125" hidden="1" customWidth="1"/>
    <col min="91" max="95" width="12.125" customWidth="1"/>
    <col min="96" max="113" width="12.125" hidden="1" customWidth="1"/>
    <col min="114" max="117" width="12.125" customWidth="1"/>
    <col min="118" max="135" width="12.125" hidden="1" customWidth="1"/>
    <col min="136" max="139" width="12.125" customWidth="1"/>
    <col min="140" max="144" width="12.125" hidden="1" customWidth="1"/>
    <col min="145" max="147" width="11.375" hidden="1" customWidth="1"/>
    <col min="148" max="148" width="12.625" hidden="1" customWidth="1"/>
    <col min="149" max="157" width="12.5" hidden="1" customWidth="1"/>
    <col min="158" max="159" width="12.5" customWidth="1"/>
    <col min="160" max="161" width="12.125" customWidth="1"/>
    <col min="162" max="163" width="12.125" hidden="1" customWidth="1"/>
    <col min="164" max="164" width="12.25" hidden="1" customWidth="1"/>
    <col min="165" max="179" width="12.125" hidden="1" customWidth="1"/>
    <col min="180" max="183" width="12.125" customWidth="1"/>
    <col min="184" max="201" width="12.125" hidden="1" customWidth="1"/>
    <col min="202" max="204" width="12.125" customWidth="1"/>
    <col min="205" max="205" width="17.25" customWidth="1"/>
    <col min="206" max="223" width="12.125" hidden="1" customWidth="1"/>
    <col min="224" max="226" width="12.125" customWidth="1"/>
    <col min="227" max="227" width="12.375" customWidth="1"/>
    <col min="228" max="236" width="12.375" hidden="1" customWidth="1"/>
    <col min="237" max="245" width="13.375" hidden="1" customWidth="1"/>
    <col min="246" max="247" width="13.375" customWidth="1"/>
    <col min="248" max="248" width="12.125" customWidth="1"/>
    <col min="249" max="249" width="15.625" bestFit="1" customWidth="1"/>
    <col min="250" max="267" width="12.125" hidden="1" customWidth="1"/>
    <col min="268" max="269" width="12.125" customWidth="1"/>
    <col min="272" max="288" width="12.125" hidden="1" customWidth="1"/>
    <col min="289" max="289" width="0" hidden="1" customWidth="1"/>
    <col min="294" max="311" width="0" hidden="1" customWidth="1"/>
  </cols>
  <sheetData>
    <row r="1" spans="1:248" s="110" customFormat="1" ht="26">
      <c r="A1" s="126" t="str">
        <f>IDTICKER</f>
        <v>NFLX</v>
      </c>
      <c r="B1" s="111" t="s">
        <v>189</v>
      </c>
      <c r="C1" s="111"/>
      <c r="D1" s="1200"/>
      <c r="E1" s="170" t="s">
        <v>2499</v>
      </c>
      <c r="F1" s="237" t="s">
        <v>2260</v>
      </c>
      <c r="G1" s="239" t="s">
        <v>2261</v>
      </c>
      <c r="H1" s="239" t="s">
        <v>2262</v>
      </c>
      <c r="I1" s="239" t="s">
        <v>2263</v>
      </c>
      <c r="J1" s="239" t="s">
        <v>2264</v>
      </c>
      <c r="K1" s="239" t="s">
        <v>2265</v>
      </c>
      <c r="L1" s="239" t="s">
        <v>2266</v>
      </c>
      <c r="M1" s="239" t="s">
        <v>2267</v>
      </c>
      <c r="N1" s="239" t="s">
        <v>2268</v>
      </c>
      <c r="O1" s="239" t="s">
        <v>2269</v>
      </c>
      <c r="P1" s="239" t="s">
        <v>2270</v>
      </c>
      <c r="Q1" s="239" t="s">
        <v>2271</v>
      </c>
      <c r="R1" s="239" t="s">
        <v>2272</v>
      </c>
      <c r="S1" s="239" t="s">
        <v>2273</v>
      </c>
      <c r="T1" s="239" t="s">
        <v>2274</v>
      </c>
      <c r="U1" s="239" t="s">
        <v>2275</v>
      </c>
      <c r="V1" s="239" t="s">
        <v>2276</v>
      </c>
      <c r="W1" s="239" t="s">
        <v>2277</v>
      </c>
      <c r="X1" s="239" t="s">
        <v>2515</v>
      </c>
      <c r="Y1" s="239" t="s">
        <v>2514</v>
      </c>
      <c r="Z1" s="1101" t="s">
        <v>189</v>
      </c>
      <c r="BQ1"/>
      <c r="BR1"/>
      <c r="EP1"/>
      <c r="EQ1"/>
      <c r="ER1"/>
      <c r="ES1"/>
    </row>
    <row r="2" spans="1:248" s="393" customFormat="1" ht="28" thickBot="1">
      <c r="A2" s="389"/>
      <c r="B2" s="390"/>
      <c r="C2" s="391"/>
      <c r="D2" s="392"/>
      <c r="E2" s="1100">
        <v>45954</v>
      </c>
      <c r="F2" s="1102"/>
      <c r="G2" s="1103"/>
      <c r="H2" s="1103">
        <f t="shared" ref="H2:W2" ca="1" si="0">WORKDAY(TODAY(),-1)</f>
        <v>45954</v>
      </c>
      <c r="I2" s="1103">
        <f t="shared" ca="1" si="0"/>
        <v>45954</v>
      </c>
      <c r="J2" s="1103">
        <f t="shared" ca="1" si="0"/>
        <v>45954</v>
      </c>
      <c r="K2" s="1103">
        <f t="shared" ca="1" si="0"/>
        <v>45954</v>
      </c>
      <c r="L2" s="1103">
        <f t="shared" ca="1" si="0"/>
        <v>45954</v>
      </c>
      <c r="M2" s="1103">
        <f t="shared" ca="1" si="0"/>
        <v>45954</v>
      </c>
      <c r="N2" s="1103">
        <f t="shared" ca="1" si="0"/>
        <v>45954</v>
      </c>
      <c r="O2" s="1103">
        <f t="shared" ca="1" si="0"/>
        <v>45954</v>
      </c>
      <c r="P2" s="1103">
        <f t="shared" ca="1" si="0"/>
        <v>45954</v>
      </c>
      <c r="Q2" s="1103">
        <f t="shared" ca="1" si="0"/>
        <v>45954</v>
      </c>
      <c r="R2" s="1103">
        <f t="shared" ca="1" si="0"/>
        <v>45954</v>
      </c>
      <c r="S2" s="1103">
        <f t="shared" ca="1" si="0"/>
        <v>45954</v>
      </c>
      <c r="T2" s="1103">
        <f t="shared" ca="1" si="0"/>
        <v>45954</v>
      </c>
      <c r="U2" s="1103">
        <f t="shared" ca="1" si="0"/>
        <v>45954</v>
      </c>
      <c r="V2" s="1103">
        <f t="shared" ca="1" si="0"/>
        <v>45954</v>
      </c>
      <c r="W2" s="1103">
        <f t="shared" ca="1" si="0"/>
        <v>45954</v>
      </c>
      <c r="X2" s="1103">
        <f ca="1">WORKDAY(TODAY(),-1)</f>
        <v>45954</v>
      </c>
      <c r="Y2" s="1103">
        <f ca="1">WORKDAY(TODAY(),0)</f>
        <v>45956</v>
      </c>
      <c r="Z2" s="1104">
        <f ca="1">TODAY()</f>
        <v>45956</v>
      </c>
      <c r="AW2" s="394"/>
      <c r="BQ2"/>
      <c r="BR2"/>
    </row>
    <row r="3" spans="1:248" ht="22" customHeight="1">
      <c r="D3" s="362"/>
      <c r="E3" s="395"/>
      <c r="F3" s="62">
        <f t="shared" ref="F3:X3" ca="1" si="1">WORKDAY(G3,-1)</f>
        <v>45929</v>
      </c>
      <c r="G3" s="62">
        <f t="shared" ca="1" si="1"/>
        <v>45930</v>
      </c>
      <c r="H3" s="62">
        <f t="shared" ca="1" si="1"/>
        <v>45931</v>
      </c>
      <c r="I3" s="62">
        <f t="shared" ca="1" si="1"/>
        <v>45932</v>
      </c>
      <c r="J3" s="62">
        <f t="shared" ca="1" si="1"/>
        <v>45933</v>
      </c>
      <c r="K3" s="62">
        <f t="shared" ca="1" si="1"/>
        <v>45936</v>
      </c>
      <c r="L3" s="62">
        <f t="shared" ca="1" si="1"/>
        <v>45937</v>
      </c>
      <c r="M3" s="62">
        <f t="shared" ca="1" si="1"/>
        <v>45938</v>
      </c>
      <c r="N3" s="62">
        <f t="shared" ca="1" si="1"/>
        <v>45939</v>
      </c>
      <c r="O3" s="62">
        <f t="shared" ca="1" si="1"/>
        <v>45940</v>
      </c>
      <c r="P3" s="62">
        <f t="shared" ca="1" si="1"/>
        <v>45943</v>
      </c>
      <c r="Q3" s="62">
        <f t="shared" ca="1" si="1"/>
        <v>45944</v>
      </c>
      <c r="R3" s="62">
        <f t="shared" ca="1" si="1"/>
        <v>45945</v>
      </c>
      <c r="S3" s="62">
        <f t="shared" ca="1" si="1"/>
        <v>45946</v>
      </c>
      <c r="T3" s="62">
        <f t="shared" ca="1" si="1"/>
        <v>45947</v>
      </c>
      <c r="U3" s="62">
        <f t="shared" ca="1" si="1"/>
        <v>45950</v>
      </c>
      <c r="V3" s="62">
        <f t="shared" ca="1" si="1"/>
        <v>45951</v>
      </c>
      <c r="W3" s="62">
        <f t="shared" ca="1" si="1"/>
        <v>45952</v>
      </c>
      <c r="X3" s="62">
        <f t="shared" ca="1" si="1"/>
        <v>45953</v>
      </c>
      <c r="Y3" s="62">
        <f ca="1">WORKDAY(Z3,-1)</f>
        <v>45954</v>
      </c>
      <c r="Z3" s="62">
        <f ca="1">IF(TODAY()=WORKDAY(TODAY(),0),TODAY(),WORKDAY(TODAY(),0))</f>
        <v>45956</v>
      </c>
      <c r="AA3" s="4"/>
      <c r="AB3" s="117">
        <f t="shared" ref="AB3:AV3" ca="1" si="2">F3</f>
        <v>45929</v>
      </c>
      <c r="AC3" s="117">
        <f t="shared" ca="1" si="2"/>
        <v>45930</v>
      </c>
      <c r="AD3" s="117">
        <f t="shared" ca="1" si="2"/>
        <v>45931</v>
      </c>
      <c r="AE3" s="117">
        <f t="shared" ca="1" si="2"/>
        <v>45932</v>
      </c>
      <c r="AF3" s="117">
        <f t="shared" ca="1" si="2"/>
        <v>45933</v>
      </c>
      <c r="AG3" s="117">
        <f t="shared" ca="1" si="2"/>
        <v>45936</v>
      </c>
      <c r="AH3" s="117">
        <f t="shared" ca="1" si="2"/>
        <v>45937</v>
      </c>
      <c r="AI3" s="117">
        <f t="shared" ca="1" si="2"/>
        <v>45938</v>
      </c>
      <c r="AJ3" s="117">
        <f t="shared" ca="1" si="2"/>
        <v>45939</v>
      </c>
      <c r="AK3" s="117">
        <f t="shared" ca="1" si="2"/>
        <v>45940</v>
      </c>
      <c r="AL3" s="117">
        <f t="shared" ca="1" si="2"/>
        <v>45943</v>
      </c>
      <c r="AM3" s="117">
        <f t="shared" ca="1" si="2"/>
        <v>45944</v>
      </c>
      <c r="AN3" s="117">
        <f t="shared" ca="1" si="2"/>
        <v>45945</v>
      </c>
      <c r="AO3" s="117">
        <f t="shared" ca="1" si="2"/>
        <v>45946</v>
      </c>
      <c r="AP3" s="117">
        <f t="shared" ca="1" si="2"/>
        <v>45947</v>
      </c>
      <c r="AQ3" s="117">
        <f t="shared" ca="1" si="2"/>
        <v>45950</v>
      </c>
      <c r="AR3" s="117">
        <f t="shared" ca="1" si="2"/>
        <v>45951</v>
      </c>
      <c r="AS3" s="117">
        <f t="shared" ca="1" si="2"/>
        <v>45952</v>
      </c>
      <c r="AT3" s="117">
        <f t="shared" ca="1" si="2"/>
        <v>45953</v>
      </c>
      <c r="AU3" s="117">
        <f t="shared" ca="1" si="2"/>
        <v>45954</v>
      </c>
      <c r="AV3" s="117">
        <f t="shared" ca="1" si="2"/>
        <v>45956</v>
      </c>
      <c r="AW3" s="62"/>
      <c r="EH3" s="110"/>
    </row>
    <row r="4" spans="1:248" ht="22" customHeight="1" thickBot="1">
      <c r="A4" s="237" t="s">
        <v>200</v>
      </c>
      <c r="B4" s="238" t="s">
        <v>187</v>
      </c>
      <c r="C4" s="239" t="s">
        <v>201</v>
      </c>
      <c r="D4" s="239" t="s">
        <v>202</v>
      </c>
      <c r="E4" s="240" t="s">
        <v>203</v>
      </c>
      <c r="F4" s="268" t="s">
        <v>204</v>
      </c>
      <c r="G4" s="268" t="s">
        <v>205</v>
      </c>
      <c r="H4" s="268" t="s">
        <v>206</v>
      </c>
      <c r="I4" s="268" t="s">
        <v>207</v>
      </c>
      <c r="J4" s="268" t="s">
        <v>208</v>
      </c>
      <c r="K4" s="268" t="s">
        <v>209</v>
      </c>
      <c r="L4" s="268" t="s">
        <v>210</v>
      </c>
      <c r="M4" s="268" t="s">
        <v>211</v>
      </c>
      <c r="N4" s="268" t="s">
        <v>212</v>
      </c>
      <c r="O4" s="268" t="s">
        <v>213</v>
      </c>
      <c r="P4" s="268" t="s">
        <v>214</v>
      </c>
      <c r="Q4" s="268" t="s">
        <v>215</v>
      </c>
      <c r="R4" s="268" t="s">
        <v>216</v>
      </c>
      <c r="S4" s="268" t="s">
        <v>217</v>
      </c>
      <c r="T4" s="268" t="s">
        <v>218</v>
      </c>
      <c r="U4" s="268" t="s">
        <v>219</v>
      </c>
      <c r="V4" s="268" t="s">
        <v>220</v>
      </c>
      <c r="W4" s="268" t="s">
        <v>221</v>
      </c>
      <c r="X4" s="268" t="s">
        <v>222</v>
      </c>
      <c r="Y4" s="268" t="s">
        <v>223</v>
      </c>
      <c r="Z4" s="268" t="s">
        <v>224</v>
      </c>
      <c r="AA4" s="269"/>
      <c r="AB4" s="281" t="s">
        <v>481</v>
      </c>
      <c r="AC4" s="281" t="s">
        <v>482</v>
      </c>
      <c r="AD4" s="281" t="s">
        <v>483</v>
      </c>
      <c r="AE4" s="281" t="s">
        <v>484</v>
      </c>
      <c r="AF4" s="281" t="s">
        <v>485</v>
      </c>
      <c r="AG4" s="281" t="s">
        <v>486</v>
      </c>
      <c r="AH4" s="281" t="s">
        <v>487</v>
      </c>
      <c r="AI4" s="281" t="s">
        <v>488</v>
      </c>
      <c r="AJ4" s="281" t="s">
        <v>489</v>
      </c>
      <c r="AK4" s="281" t="s">
        <v>490</v>
      </c>
      <c r="AL4" s="281" t="s">
        <v>491</v>
      </c>
      <c r="AM4" s="281" t="s">
        <v>492</v>
      </c>
      <c r="AN4" s="281" t="s">
        <v>493</v>
      </c>
      <c r="AO4" s="281" t="s">
        <v>494</v>
      </c>
      <c r="AP4" s="281" t="s">
        <v>495</v>
      </c>
      <c r="AQ4" s="281" t="s">
        <v>496</v>
      </c>
      <c r="AR4" s="281" t="s">
        <v>497</v>
      </c>
      <c r="AS4" s="281" t="s">
        <v>498</v>
      </c>
      <c r="AT4" s="281" t="s">
        <v>499</v>
      </c>
      <c r="AU4" s="281" t="s">
        <v>500</v>
      </c>
      <c r="AV4" s="281" t="s">
        <v>501</v>
      </c>
      <c r="AW4" s="269"/>
      <c r="AY4" t="s">
        <v>2217</v>
      </c>
      <c r="BA4" s="253"/>
      <c r="BS4" s="269"/>
      <c r="CP4" s="269"/>
      <c r="EH4" s="110"/>
      <c r="FD4" s="284"/>
      <c r="FZ4" s="284"/>
      <c r="GV4" s="284"/>
      <c r="HR4" s="284"/>
      <c r="IN4" s="284"/>
    </row>
    <row r="5" spans="1:248" ht="22" customHeight="1">
      <c r="A5" s="241" t="str">
        <f ca="1">[1]ExtEntry!$A3</f>
        <v>AAPL</v>
      </c>
      <c r="B5" s="242"/>
      <c r="C5" s="243"/>
      <c r="D5" s="243">
        <f>ROW()</f>
        <v>5</v>
      </c>
      <c r="E5" s="386">
        <f ca="1">[1]ExtEntry!$E3</f>
        <v>45954.999963008595</v>
      </c>
      <c r="F5" s="245">
        <v>255.46</v>
      </c>
      <c r="G5" s="245">
        <v>254.43</v>
      </c>
      <c r="H5" s="245">
        <v>254.63</v>
      </c>
      <c r="I5" s="245">
        <v>255.45</v>
      </c>
      <c r="J5" s="245">
        <v>257.13</v>
      </c>
      <c r="K5" s="245">
        <v>256.69</v>
      </c>
      <c r="L5" s="245">
        <v>256.48</v>
      </c>
      <c r="M5" s="245">
        <v>258.06</v>
      </c>
      <c r="N5" s="245">
        <v>258.06</v>
      </c>
      <c r="O5" s="245">
        <v>245.27</v>
      </c>
      <c r="P5" s="245">
        <v>247.66</v>
      </c>
      <c r="Q5" s="245">
        <v>247.77</v>
      </c>
      <c r="R5" s="245">
        <v>249.34</v>
      </c>
      <c r="S5" s="245">
        <v>247.45</v>
      </c>
      <c r="T5" s="245">
        <v>252.29</v>
      </c>
      <c r="U5" s="245">
        <v>262.24</v>
      </c>
      <c r="V5" s="245">
        <v>262.77</v>
      </c>
      <c r="W5" s="246">
        <v>262.77</v>
      </c>
      <c r="X5" s="245">
        <v>258.45</v>
      </c>
      <c r="Y5" s="245">
        <v>259.58</v>
      </c>
      <c r="Z5" s="247">
        <f ca="1">[1]ExtEntry!$F3</f>
        <v>259.58</v>
      </c>
      <c r="AA5" s="270"/>
      <c r="AB5" s="380">
        <v>10500</v>
      </c>
      <c r="AC5" s="380">
        <v>10500</v>
      </c>
      <c r="AD5" s="380">
        <v>10500</v>
      </c>
      <c r="AE5" s="380">
        <v>10500</v>
      </c>
      <c r="AF5" s="380">
        <v>10500</v>
      </c>
      <c r="AG5" s="380">
        <v>10500</v>
      </c>
      <c r="AH5" s="380">
        <v>10500</v>
      </c>
      <c r="AI5" s="380">
        <v>10300</v>
      </c>
      <c r="AJ5" s="380">
        <v>10300</v>
      </c>
      <c r="AK5" s="380">
        <v>10500</v>
      </c>
      <c r="AL5" s="380">
        <v>10500</v>
      </c>
      <c r="AM5" s="380">
        <v>10500</v>
      </c>
      <c r="AN5" s="380">
        <v>10500</v>
      </c>
      <c r="AO5" s="380">
        <v>10500</v>
      </c>
      <c r="AP5" s="380">
        <v>10500</v>
      </c>
      <c r="AQ5" s="380">
        <v>10000</v>
      </c>
      <c r="AR5" s="380">
        <v>10000</v>
      </c>
      <c r="AS5" s="380">
        <v>10000</v>
      </c>
      <c r="AT5" s="380">
        <v>10000</v>
      </c>
      <c r="AU5" s="380">
        <v>10000</v>
      </c>
      <c r="AV5" s="380">
        <f ca="1">Calc!G3</f>
        <v>10000</v>
      </c>
      <c r="AW5" s="253"/>
      <c r="AX5" s="88" t="str">
        <f ca="1">A5</f>
        <v>AAPL</v>
      </c>
      <c r="AY5" t="s">
        <v>2207</v>
      </c>
      <c r="AZ5" t="s">
        <v>2206</v>
      </c>
      <c r="BA5" s="253">
        <v>5</v>
      </c>
      <c r="BS5" s="253"/>
      <c r="CP5" s="253"/>
      <c r="EH5" s="110"/>
      <c r="FD5" s="285"/>
      <c r="FZ5" s="253"/>
      <c r="GV5" s="253"/>
      <c r="HR5" s="253"/>
      <c r="IN5" s="253"/>
    </row>
    <row r="6" spans="1:248" ht="23" customHeight="1">
      <c r="A6" s="241" t="str">
        <f ca="1">[1]ExtEntry!$A4</f>
        <v>ADEA</v>
      </c>
      <c r="B6" s="250"/>
      <c r="C6" s="251"/>
      <c r="D6" s="251">
        <f>ROW()</f>
        <v>6</v>
      </c>
      <c r="E6" s="387">
        <f ca="1">[1]ExtEntry!$E4</f>
        <v>45954.970231885934</v>
      </c>
      <c r="F6" s="253">
        <v>16.829999999999998</v>
      </c>
      <c r="G6" s="253">
        <v>16.73</v>
      </c>
      <c r="H6" s="253">
        <v>16.8</v>
      </c>
      <c r="I6" s="253">
        <v>17.09</v>
      </c>
      <c r="J6" s="253">
        <v>17.32</v>
      </c>
      <c r="K6" s="253">
        <v>18.010000000000002</v>
      </c>
      <c r="L6" s="253">
        <v>17.09</v>
      </c>
      <c r="M6" s="253">
        <v>16.54</v>
      </c>
      <c r="N6" s="253">
        <v>16.54</v>
      </c>
      <c r="O6" s="253">
        <v>15.71</v>
      </c>
      <c r="P6" s="253">
        <v>15.75</v>
      </c>
      <c r="Q6" s="253">
        <v>16.579999999999998</v>
      </c>
      <c r="R6" s="253">
        <v>17.27</v>
      </c>
      <c r="S6" s="253">
        <v>16.61</v>
      </c>
      <c r="T6" s="253">
        <v>16.559999999999999</v>
      </c>
      <c r="U6" s="253">
        <v>16.79</v>
      </c>
      <c r="V6" s="253">
        <v>17.010000000000002</v>
      </c>
      <c r="W6" s="254">
        <v>17.010000000000002</v>
      </c>
      <c r="X6" s="253">
        <v>16.82</v>
      </c>
      <c r="Y6" s="253">
        <v>16.77</v>
      </c>
      <c r="Z6" s="247">
        <f ca="1">[1]ExtEntry!$F4</f>
        <v>16.77</v>
      </c>
      <c r="AA6" s="270"/>
      <c r="AB6" s="380">
        <v>5000</v>
      </c>
      <c r="AC6" s="380">
        <v>5000</v>
      </c>
      <c r="AD6" s="380">
        <v>5000</v>
      </c>
      <c r="AE6" s="380">
        <v>5000</v>
      </c>
      <c r="AF6" s="380">
        <v>5000</v>
      </c>
      <c r="AG6" s="380">
        <v>5000</v>
      </c>
      <c r="AH6" s="380">
        <v>5000</v>
      </c>
      <c r="AI6" s="380">
        <v>5000</v>
      </c>
      <c r="AJ6" s="380">
        <v>5000</v>
      </c>
      <c r="AK6" s="380">
        <v>5000</v>
      </c>
      <c r="AL6" s="380">
        <v>5000</v>
      </c>
      <c r="AM6" s="380">
        <v>5000</v>
      </c>
      <c r="AN6" s="380">
        <v>5000</v>
      </c>
      <c r="AO6" s="380">
        <v>5000</v>
      </c>
      <c r="AP6" s="380">
        <v>5000</v>
      </c>
      <c r="AQ6" s="380">
        <v>5000</v>
      </c>
      <c r="AR6" s="380">
        <v>5000</v>
      </c>
      <c r="AS6" s="380">
        <v>5000</v>
      </c>
      <c r="AT6" s="380">
        <v>5000</v>
      </c>
      <c r="AU6" s="380">
        <v>5000</v>
      </c>
      <c r="AV6" s="380">
        <f ca="1">Calc!G4</f>
        <v>5000</v>
      </c>
      <c r="AW6" s="253"/>
      <c r="AX6" s="88" t="str">
        <f t="shared" ref="AX6:AX69" ca="1" si="3">A6</f>
        <v>ADEA</v>
      </c>
      <c r="AY6" t="s">
        <v>2208</v>
      </c>
      <c r="AZ6" t="s">
        <v>2209</v>
      </c>
      <c r="BA6" s="253">
        <v>104</v>
      </c>
      <c r="BS6" s="253"/>
      <c r="CP6" s="253"/>
      <c r="EH6" s="110"/>
      <c r="FD6" s="285"/>
      <c r="FZ6" s="253"/>
      <c r="GV6" s="253"/>
      <c r="HR6" s="253"/>
      <c r="IN6" s="253"/>
    </row>
    <row r="7" spans="1:248" ht="22" customHeight="1">
      <c r="A7" s="241" t="str">
        <f ca="1">[1]ExtEntry!$A5</f>
        <v>AET</v>
      </c>
      <c r="B7" s="242"/>
      <c r="C7" s="243"/>
      <c r="D7" s="243">
        <f>ROW()</f>
        <v>7</v>
      </c>
      <c r="E7" s="388">
        <f ca="1">[1]ExtEntry!$E5</f>
        <v>45954.649334640628</v>
      </c>
      <c r="F7" s="245">
        <v>50</v>
      </c>
      <c r="G7" s="245">
        <v>49.1</v>
      </c>
      <c r="H7" s="245">
        <v>49.2</v>
      </c>
      <c r="I7" s="245">
        <v>47.2</v>
      </c>
      <c r="J7" s="245">
        <v>47.8</v>
      </c>
      <c r="K7" s="245">
        <v>47.2</v>
      </c>
      <c r="L7" s="245">
        <v>46.3</v>
      </c>
      <c r="M7" s="245">
        <v>46.4</v>
      </c>
      <c r="N7" s="245">
        <v>45.6</v>
      </c>
      <c r="O7" s="245">
        <v>41.7</v>
      </c>
      <c r="P7" s="245">
        <v>43.3</v>
      </c>
      <c r="Q7" s="245">
        <v>42.9</v>
      </c>
      <c r="R7" s="245">
        <v>42.1</v>
      </c>
      <c r="S7" s="245">
        <v>41</v>
      </c>
      <c r="T7" s="245">
        <v>42</v>
      </c>
      <c r="U7" s="245">
        <v>42.3</v>
      </c>
      <c r="V7" s="245">
        <v>43</v>
      </c>
      <c r="W7" s="246">
        <v>43</v>
      </c>
      <c r="X7" s="245">
        <v>43.4</v>
      </c>
      <c r="Y7" s="245">
        <v>44.4</v>
      </c>
      <c r="Z7" s="247">
        <f ca="1">[1]ExtEntry!$F5</f>
        <v>44.4</v>
      </c>
      <c r="AA7" s="270"/>
      <c r="AB7" s="380">
        <v>780000</v>
      </c>
      <c r="AC7" s="380">
        <v>780000</v>
      </c>
      <c r="AD7" s="380">
        <v>780000</v>
      </c>
      <c r="AE7" s="380">
        <v>780000</v>
      </c>
      <c r="AF7" s="380">
        <v>780000</v>
      </c>
      <c r="AG7" s="380">
        <v>780000</v>
      </c>
      <c r="AH7" s="380">
        <v>780000</v>
      </c>
      <c r="AI7" s="380">
        <v>800000</v>
      </c>
      <c r="AJ7" s="380">
        <v>800000</v>
      </c>
      <c r="AK7" s="380">
        <v>820000</v>
      </c>
      <c r="AL7" s="380">
        <v>820000</v>
      </c>
      <c r="AM7" s="380">
        <v>820000</v>
      </c>
      <c r="AN7" s="380">
        <v>820000</v>
      </c>
      <c r="AO7" s="380">
        <v>820000</v>
      </c>
      <c r="AP7" s="380">
        <v>820000</v>
      </c>
      <c r="AQ7" s="380">
        <v>820000</v>
      </c>
      <c r="AR7" s="380">
        <v>820000</v>
      </c>
      <c r="AS7" s="380">
        <v>820000</v>
      </c>
      <c r="AT7" s="380">
        <v>820000</v>
      </c>
      <c r="AU7" s="380">
        <v>820000</v>
      </c>
      <c r="AV7" s="380">
        <f ca="1">Calc!G5</f>
        <v>820000</v>
      </c>
      <c r="AW7" s="253"/>
      <c r="AX7" s="88" t="str">
        <f t="shared" ca="1" si="3"/>
        <v>AET</v>
      </c>
      <c r="AY7" t="s">
        <v>2210</v>
      </c>
      <c r="AZ7" t="s">
        <v>662</v>
      </c>
      <c r="BA7" s="253">
        <v>203</v>
      </c>
      <c r="CP7" s="253"/>
      <c r="EH7" s="110"/>
      <c r="FD7" s="285"/>
      <c r="FZ7" s="253"/>
      <c r="GV7" s="253"/>
      <c r="HR7" s="253"/>
      <c r="IN7" s="253"/>
    </row>
    <row r="8" spans="1:248" ht="22" customHeight="1">
      <c r="A8" s="241" t="str">
        <f ca="1">[1]ExtEntry!$A6</f>
        <v>AMZN</v>
      </c>
      <c r="B8" s="250"/>
      <c r="C8" s="251"/>
      <c r="D8" s="251">
        <f>ROW()</f>
        <v>8</v>
      </c>
      <c r="E8" s="387">
        <f ca="1">[1]ExtEntry!$E6</f>
        <v>45954.999975635939</v>
      </c>
      <c r="F8" s="253">
        <v>219.78</v>
      </c>
      <c r="G8" s="253">
        <v>222.17</v>
      </c>
      <c r="H8" s="253">
        <v>219.57</v>
      </c>
      <c r="I8" s="253">
        <v>220.63</v>
      </c>
      <c r="J8" s="253">
        <v>222.41</v>
      </c>
      <c r="K8" s="253">
        <v>220.9</v>
      </c>
      <c r="L8" s="253">
        <v>221.78</v>
      </c>
      <c r="M8" s="253">
        <v>225.22</v>
      </c>
      <c r="N8" s="253">
        <v>225.22</v>
      </c>
      <c r="O8" s="253">
        <v>216.37</v>
      </c>
      <c r="P8" s="253">
        <v>220.07</v>
      </c>
      <c r="Q8" s="253">
        <v>216.39</v>
      </c>
      <c r="R8" s="253">
        <v>215.57</v>
      </c>
      <c r="S8" s="253">
        <v>214.47</v>
      </c>
      <c r="T8" s="253">
        <v>213.04</v>
      </c>
      <c r="U8" s="253">
        <v>216.48</v>
      </c>
      <c r="V8" s="253">
        <v>222.03</v>
      </c>
      <c r="W8" s="254">
        <v>222.03</v>
      </c>
      <c r="X8" s="253">
        <v>217.95</v>
      </c>
      <c r="Y8" s="253">
        <v>221.09</v>
      </c>
      <c r="Z8" s="247">
        <f ca="1">[1]ExtEntry!$F6</f>
        <v>221.09</v>
      </c>
      <c r="AA8" s="270"/>
      <c r="AB8" s="380">
        <v>12000</v>
      </c>
      <c r="AC8" s="380">
        <v>12000</v>
      </c>
      <c r="AD8" s="380">
        <v>12000</v>
      </c>
      <c r="AE8" s="380">
        <v>12000</v>
      </c>
      <c r="AF8" s="380">
        <v>12000</v>
      </c>
      <c r="AG8" s="380">
        <v>12000</v>
      </c>
      <c r="AH8" s="380">
        <v>12000</v>
      </c>
      <c r="AI8" s="380">
        <v>12000</v>
      </c>
      <c r="AJ8" s="380">
        <v>12000</v>
      </c>
      <c r="AK8" s="380">
        <v>12000</v>
      </c>
      <c r="AL8" s="380">
        <v>12000</v>
      </c>
      <c r="AM8" s="380">
        <v>12000</v>
      </c>
      <c r="AN8" s="380">
        <v>12000</v>
      </c>
      <c r="AO8" s="380">
        <v>12000</v>
      </c>
      <c r="AP8" s="380">
        <v>12000</v>
      </c>
      <c r="AQ8" s="380">
        <v>12000</v>
      </c>
      <c r="AR8" s="380">
        <v>12000</v>
      </c>
      <c r="AS8" s="380">
        <v>12000</v>
      </c>
      <c r="AT8" s="380">
        <v>12000</v>
      </c>
      <c r="AU8" s="380">
        <v>12000</v>
      </c>
      <c r="AV8" s="380">
        <f ca="1">Calc!G6</f>
        <v>12000</v>
      </c>
      <c r="AW8" s="253"/>
      <c r="AX8" s="88" t="str">
        <f t="shared" ca="1" si="3"/>
        <v>AMZN</v>
      </c>
      <c r="AY8" t="s">
        <v>199</v>
      </c>
      <c r="AZ8" t="s">
        <v>2211</v>
      </c>
      <c r="BA8" s="253"/>
      <c r="CP8" s="253"/>
      <c r="EH8" s="110"/>
      <c r="FD8" s="285"/>
      <c r="FZ8" s="253"/>
      <c r="GV8" s="253"/>
      <c r="HR8" s="253"/>
      <c r="IN8" s="253"/>
    </row>
    <row r="9" spans="1:248" ht="22" hidden="1" customHeight="1">
      <c r="A9" s="241" t="str">
        <f ca="1">[1]ExtEntry!$A7</f>
        <v>ALDNE</v>
      </c>
      <c r="B9" s="242"/>
      <c r="C9" s="243"/>
      <c r="D9" s="243">
        <f>ROW()</f>
        <v>9</v>
      </c>
      <c r="E9" s="388">
        <f ca="1">[1]ExtEntry!$E7</f>
        <v>45954.666666666664</v>
      </c>
      <c r="F9" s="245">
        <v>0.81</v>
      </c>
      <c r="G9" s="245">
        <v>0.86599999999999999</v>
      </c>
      <c r="H9" s="245">
        <v>0.86799999999999999</v>
      </c>
      <c r="I9" s="245">
        <v>0.88</v>
      </c>
      <c r="J9" s="245">
        <v>0.87</v>
      </c>
      <c r="K9" s="245">
        <v>0.84</v>
      </c>
      <c r="L9" s="245">
        <v>0.84</v>
      </c>
      <c r="M9" s="245">
        <v>0.82199999999999995</v>
      </c>
      <c r="N9" s="245">
        <v>0.82199999999999995</v>
      </c>
      <c r="O9" s="245">
        <v>0.83799999999999997</v>
      </c>
      <c r="P9" s="245">
        <v>0.83799999999999997</v>
      </c>
      <c r="Q9" s="245">
        <v>0.84</v>
      </c>
      <c r="R9" s="245">
        <v>0.83799999999999997</v>
      </c>
      <c r="S9" s="245">
        <v>0.83</v>
      </c>
      <c r="T9" s="245">
        <v>0.83</v>
      </c>
      <c r="U9" s="245">
        <v>0.82</v>
      </c>
      <c r="V9" s="245">
        <v>0.83</v>
      </c>
      <c r="W9" s="246">
        <v>0.83</v>
      </c>
      <c r="X9" s="245">
        <v>0.84</v>
      </c>
      <c r="Y9" s="245">
        <v>0.83799999999999997</v>
      </c>
      <c r="Z9" s="247">
        <f ca="1">[1]ExtEntry!$F7</f>
        <v>0.83799999999999997</v>
      </c>
      <c r="AA9" s="270"/>
      <c r="AB9" s="380">
        <v>2530000</v>
      </c>
      <c r="AC9" s="380">
        <v>2530000</v>
      </c>
      <c r="AD9" s="380">
        <v>2530000</v>
      </c>
      <c r="AE9" s="380">
        <v>2530000</v>
      </c>
      <c r="AF9" s="380">
        <v>2530000</v>
      </c>
      <c r="AG9" s="380">
        <v>2530000</v>
      </c>
      <c r="AH9" s="380">
        <v>2530000</v>
      </c>
      <c r="AI9" s="380">
        <v>2530000</v>
      </c>
      <c r="AJ9" s="380">
        <v>2530000</v>
      </c>
      <c r="AK9" s="380">
        <v>2530000</v>
      </c>
      <c r="AL9" s="380">
        <v>2530000</v>
      </c>
      <c r="AM9" s="380">
        <v>2530000</v>
      </c>
      <c r="AN9" s="380">
        <v>2530000</v>
      </c>
      <c r="AO9" s="380">
        <v>2530000</v>
      </c>
      <c r="AP9" s="380">
        <v>2530000</v>
      </c>
      <c r="AQ9" s="380">
        <v>2530000</v>
      </c>
      <c r="AR9" s="380">
        <v>2530000</v>
      </c>
      <c r="AS9" s="380">
        <v>2530000</v>
      </c>
      <c r="AT9" s="380">
        <v>2530000</v>
      </c>
      <c r="AU9" s="380">
        <v>2530000</v>
      </c>
      <c r="AV9" s="380">
        <f ca="1">Calc!G7</f>
        <v>2530000</v>
      </c>
      <c r="AW9" s="253"/>
      <c r="AX9" s="88" t="str">
        <f t="shared" ca="1" si="3"/>
        <v>ALDNE</v>
      </c>
      <c r="AY9" t="s">
        <v>2212</v>
      </c>
      <c r="AZ9" t="s">
        <v>177</v>
      </c>
      <c r="BA9" s="253"/>
      <c r="CP9" s="253"/>
      <c r="EH9" s="110"/>
      <c r="FD9" s="285"/>
      <c r="FZ9" s="253"/>
      <c r="GV9" s="253"/>
      <c r="HR9" s="253"/>
      <c r="IN9" s="253"/>
    </row>
    <row r="10" spans="1:248" ht="22" hidden="1" customHeight="1">
      <c r="A10" s="241" t="str">
        <f ca="1">[1]ExtEntry!$A8</f>
        <v>ASML</v>
      </c>
      <c r="B10" s="250"/>
      <c r="C10" s="251"/>
      <c r="D10" s="251">
        <f>ROW()</f>
        <v>10</v>
      </c>
      <c r="E10" s="387">
        <f ca="1">[1]ExtEntry!$E8</f>
        <v>45954.666666666664</v>
      </c>
      <c r="F10" s="253">
        <v>812.8</v>
      </c>
      <c r="G10" s="253">
        <v>825.5</v>
      </c>
      <c r="H10" s="253">
        <v>828.1</v>
      </c>
      <c r="I10" s="253">
        <v>841.4</v>
      </c>
      <c r="J10" s="253">
        <v>877.6</v>
      </c>
      <c r="K10" s="253">
        <v>897.3</v>
      </c>
      <c r="L10" s="253">
        <v>874.8</v>
      </c>
      <c r="M10" s="253">
        <v>851.8</v>
      </c>
      <c r="N10" s="253">
        <v>849.8</v>
      </c>
      <c r="O10" s="253">
        <v>813.9</v>
      </c>
      <c r="P10" s="253">
        <v>844</v>
      </c>
      <c r="Q10" s="253">
        <v>846.6</v>
      </c>
      <c r="R10" s="253">
        <v>873</v>
      </c>
      <c r="S10" s="253">
        <v>877.4</v>
      </c>
      <c r="T10" s="253">
        <v>875.7</v>
      </c>
      <c r="U10" s="253">
        <v>899</v>
      </c>
      <c r="V10" s="253">
        <v>889.8</v>
      </c>
      <c r="W10" s="254">
        <v>889.8</v>
      </c>
      <c r="X10" s="253">
        <v>870.1</v>
      </c>
      <c r="Y10" s="253">
        <v>887.7</v>
      </c>
      <c r="Z10" s="247">
        <f ca="1">[1]ExtEntry!$F8</f>
        <v>887.7</v>
      </c>
      <c r="AA10" s="270"/>
      <c r="AB10" s="380">
        <v>3800</v>
      </c>
      <c r="AC10" s="380">
        <v>4100</v>
      </c>
      <c r="AD10" s="380">
        <v>4100</v>
      </c>
      <c r="AE10" s="380">
        <v>3900</v>
      </c>
      <c r="AF10" s="380">
        <v>3900</v>
      </c>
      <c r="AG10" s="380">
        <v>3800</v>
      </c>
      <c r="AH10" s="380">
        <v>3800</v>
      </c>
      <c r="AI10" s="380">
        <v>3800</v>
      </c>
      <c r="AJ10" s="380">
        <v>3800</v>
      </c>
      <c r="AK10" s="380">
        <v>4000</v>
      </c>
      <c r="AL10" s="380">
        <v>4000</v>
      </c>
      <c r="AM10" s="380">
        <v>4000</v>
      </c>
      <c r="AN10" s="380">
        <v>3900</v>
      </c>
      <c r="AO10" s="380">
        <v>3800</v>
      </c>
      <c r="AP10" s="380">
        <v>3800</v>
      </c>
      <c r="AQ10" s="380">
        <v>3800</v>
      </c>
      <c r="AR10" s="380">
        <v>3800</v>
      </c>
      <c r="AS10" s="380">
        <v>3800</v>
      </c>
      <c r="AT10" s="380">
        <v>3800</v>
      </c>
      <c r="AU10" s="380">
        <v>3700</v>
      </c>
      <c r="AV10" s="380">
        <f ca="1">Calc!G8</f>
        <v>3700</v>
      </c>
      <c r="AW10" s="253"/>
      <c r="AX10" s="88" t="str">
        <f t="shared" ca="1" si="3"/>
        <v>ASML</v>
      </c>
      <c r="AY10" t="s">
        <v>179</v>
      </c>
      <c r="AZ10" t="s">
        <v>2213</v>
      </c>
      <c r="BA10" s="253"/>
      <c r="CP10" s="253"/>
      <c r="EH10" s="110"/>
      <c r="FD10" s="285"/>
      <c r="FZ10" s="253"/>
      <c r="GV10" s="253"/>
      <c r="HR10" s="253"/>
      <c r="IN10" s="253"/>
    </row>
    <row r="11" spans="1:248" ht="22" hidden="1" customHeight="1">
      <c r="A11" s="241" t="str">
        <f ca="1">[1]ExtEntry!$A9</f>
        <v>AZN</v>
      </c>
      <c r="B11" s="250"/>
      <c r="C11" s="251"/>
      <c r="D11" s="251">
        <f>ROW()</f>
        <v>11</v>
      </c>
      <c r="E11" s="387">
        <f ca="1">[1]ExtEntry!$E11</f>
        <v>45954.969261747654</v>
      </c>
      <c r="F11" s="253">
        <v>334.53</v>
      </c>
      <c r="G11" s="253">
        <v>327.9</v>
      </c>
      <c r="H11" s="253">
        <v>329.91</v>
      </c>
      <c r="I11" s="253">
        <v>333.39</v>
      </c>
      <c r="J11" s="253">
        <v>338.18</v>
      </c>
      <c r="K11" s="253">
        <v>335.49</v>
      </c>
      <c r="L11" s="253">
        <v>336.41</v>
      </c>
      <c r="M11" s="253">
        <v>345.5</v>
      </c>
      <c r="N11" s="253">
        <v>345.5</v>
      </c>
      <c r="O11" s="253">
        <v>324.63</v>
      </c>
      <c r="P11" s="253">
        <v>356.7</v>
      </c>
      <c r="Q11" s="253">
        <v>344.13</v>
      </c>
      <c r="R11" s="253">
        <v>351.33</v>
      </c>
      <c r="S11" s="253">
        <v>354.15</v>
      </c>
      <c r="T11" s="253">
        <v>349.33</v>
      </c>
      <c r="U11" s="253">
        <v>349.24</v>
      </c>
      <c r="V11" s="253">
        <v>342.66</v>
      </c>
      <c r="W11" s="254">
        <v>342.66</v>
      </c>
      <c r="X11" s="253">
        <v>340.3</v>
      </c>
      <c r="Y11" s="253">
        <v>344.29</v>
      </c>
      <c r="Z11" s="247">
        <f ca="1">[1]ExtEntry!$F9</f>
        <v>83.4</v>
      </c>
      <c r="AA11" s="270"/>
      <c r="AB11" s="380">
        <v>350</v>
      </c>
      <c r="AC11" s="380">
        <v>350</v>
      </c>
      <c r="AD11" s="380">
        <v>350</v>
      </c>
      <c r="AE11" s="380">
        <v>350</v>
      </c>
      <c r="AF11" s="380">
        <v>350</v>
      </c>
      <c r="AG11" s="380">
        <v>350</v>
      </c>
      <c r="AH11" s="380">
        <v>350</v>
      </c>
      <c r="AI11" s="380">
        <v>190</v>
      </c>
      <c r="AJ11" s="380">
        <v>190</v>
      </c>
      <c r="AK11" s="380">
        <v>400</v>
      </c>
      <c r="AL11" s="380">
        <v>400</v>
      </c>
      <c r="AM11" s="380">
        <v>400</v>
      </c>
      <c r="AN11" s="380">
        <v>400</v>
      </c>
      <c r="AO11" s="380">
        <v>400</v>
      </c>
      <c r="AP11" s="380">
        <v>400</v>
      </c>
      <c r="AQ11" s="380">
        <v>400</v>
      </c>
      <c r="AR11" s="380">
        <v>400</v>
      </c>
      <c r="AS11" s="380">
        <v>400</v>
      </c>
      <c r="AT11" s="380">
        <v>400</v>
      </c>
      <c r="AU11" s="380">
        <v>400</v>
      </c>
      <c r="AV11" s="380">
        <f ca="1">Calc!G9</f>
        <v>500</v>
      </c>
      <c r="AW11" s="253"/>
      <c r="AX11" s="88" t="str">
        <f t="shared" ca="1" si="3"/>
        <v>AZN</v>
      </c>
      <c r="AY11" t="s">
        <v>1016</v>
      </c>
      <c r="AZ11" t="s">
        <v>2214</v>
      </c>
      <c r="BA11" s="253"/>
      <c r="CP11" s="253"/>
      <c r="EH11" s="110"/>
      <c r="FD11" s="285"/>
      <c r="FZ11" s="253"/>
      <c r="GV11" s="253"/>
      <c r="HR11" s="253"/>
      <c r="IN11" s="253"/>
    </row>
    <row r="12" spans="1:248" ht="22" hidden="1" customHeight="1">
      <c r="A12" s="241" t="str">
        <f ca="1">[1]ExtEntry!$A10</f>
        <v>BLDP</v>
      </c>
      <c r="B12" s="250"/>
      <c r="C12" s="251"/>
      <c r="D12" s="251">
        <f>ROW()</f>
        <v>12</v>
      </c>
      <c r="E12" s="387">
        <f ca="1">[1]ExtEntry!$E12</f>
        <v>45954.999506897657</v>
      </c>
      <c r="F12" s="253">
        <v>73.760000000000005</v>
      </c>
      <c r="G12" s="253">
        <v>74.13</v>
      </c>
      <c r="H12" s="253">
        <v>76.72</v>
      </c>
      <c r="I12" s="253">
        <v>84.36</v>
      </c>
      <c r="J12" s="253">
        <v>83.65</v>
      </c>
      <c r="K12" s="253">
        <v>85.49</v>
      </c>
      <c r="L12" s="253">
        <v>85.87</v>
      </c>
      <c r="M12" s="253">
        <v>85.38</v>
      </c>
      <c r="N12" s="253">
        <v>85.38</v>
      </c>
      <c r="O12" s="253">
        <v>84.53</v>
      </c>
      <c r="P12" s="253">
        <v>84.51</v>
      </c>
      <c r="Q12" s="253">
        <v>85.12</v>
      </c>
      <c r="R12" s="253">
        <v>84.83</v>
      </c>
      <c r="S12" s="253">
        <v>83.83</v>
      </c>
      <c r="T12" s="253">
        <v>84.69</v>
      </c>
      <c r="U12" s="253">
        <v>83.87</v>
      </c>
      <c r="V12" s="253">
        <v>83.22</v>
      </c>
      <c r="W12" s="254">
        <v>83.22</v>
      </c>
      <c r="X12" s="253">
        <v>83.43</v>
      </c>
      <c r="Y12" s="253">
        <v>83.4</v>
      </c>
      <c r="Z12" s="247">
        <f ca="1">[1]ExtEntry!$F10</f>
        <v>3.28</v>
      </c>
      <c r="AA12" s="270"/>
      <c r="AB12" s="380">
        <v>1000</v>
      </c>
      <c r="AC12" s="380">
        <v>1000</v>
      </c>
      <c r="AD12" s="380">
        <v>1000</v>
      </c>
      <c r="AE12" s="380">
        <v>1000</v>
      </c>
      <c r="AF12" s="380">
        <v>1000</v>
      </c>
      <c r="AG12" s="380">
        <v>1000</v>
      </c>
      <c r="AH12" s="380">
        <v>1000</v>
      </c>
      <c r="AI12" s="380">
        <v>500</v>
      </c>
      <c r="AJ12" s="380">
        <v>500</v>
      </c>
      <c r="AK12" s="380">
        <v>500</v>
      </c>
      <c r="AL12" s="380">
        <v>500</v>
      </c>
      <c r="AM12" s="380">
        <v>500</v>
      </c>
      <c r="AN12" s="380">
        <v>500</v>
      </c>
      <c r="AO12" s="380">
        <v>500</v>
      </c>
      <c r="AP12" s="380">
        <v>500</v>
      </c>
      <c r="AQ12" s="380">
        <v>500</v>
      </c>
      <c r="AR12" s="380">
        <v>500</v>
      </c>
      <c r="AS12" s="380">
        <v>500</v>
      </c>
      <c r="AT12" s="380">
        <v>500</v>
      </c>
      <c r="AU12" s="380">
        <v>500</v>
      </c>
      <c r="AV12" s="381">
        <f ca="1">Calc!G10</f>
        <v>20000</v>
      </c>
      <c r="AW12" s="253"/>
      <c r="AX12" s="88" t="str">
        <f t="shared" ca="1" si="3"/>
        <v>BLDP</v>
      </c>
      <c r="AZ12" t="s">
        <v>2215</v>
      </c>
      <c r="BA12" s="253"/>
      <c r="CP12" s="253"/>
      <c r="EH12" s="110"/>
      <c r="FD12" s="285"/>
      <c r="FZ12" s="253"/>
      <c r="GV12" s="253"/>
      <c r="HR12" s="253"/>
      <c r="IN12" s="253"/>
    </row>
    <row r="13" spans="1:248" ht="22" hidden="1" customHeight="1">
      <c r="A13" s="241" t="str">
        <f ca="1">[1]ExtEntry!$A11</f>
        <v>BMRA</v>
      </c>
      <c r="B13" s="250"/>
      <c r="C13" s="251"/>
      <c r="D13" s="251">
        <f>ROW()</f>
        <v>13</v>
      </c>
      <c r="E13" s="387">
        <f ca="1">[1]ExtEntry!$E13</f>
        <v>45954.999660010937</v>
      </c>
      <c r="F13" s="253">
        <v>2.75</v>
      </c>
      <c r="G13" s="253">
        <v>2.74</v>
      </c>
      <c r="H13" s="253">
        <v>2.72</v>
      </c>
      <c r="I13" s="253">
        <v>2.96</v>
      </c>
      <c r="J13" s="253">
        <v>2.87</v>
      </c>
      <c r="K13" s="253">
        <v>3.65</v>
      </c>
      <c r="L13" s="253">
        <v>3.63</v>
      </c>
      <c r="M13" s="253">
        <v>3.61</v>
      </c>
      <c r="N13" s="253">
        <v>3.61</v>
      </c>
      <c r="O13" s="253">
        <v>3.27</v>
      </c>
      <c r="P13" s="253">
        <v>3.49</v>
      </c>
      <c r="Q13" s="253">
        <v>3.98</v>
      </c>
      <c r="R13" s="253">
        <v>3.76</v>
      </c>
      <c r="S13" s="253">
        <v>3.67</v>
      </c>
      <c r="T13" s="253">
        <v>3.63</v>
      </c>
      <c r="U13" s="253">
        <v>3.64</v>
      </c>
      <c r="V13" s="253">
        <v>3.33</v>
      </c>
      <c r="W13" s="254">
        <v>3.33</v>
      </c>
      <c r="X13" s="253">
        <v>3.28</v>
      </c>
      <c r="Y13" s="253">
        <v>3.28</v>
      </c>
      <c r="Z13" s="247">
        <f ca="1">[1]ExtEntry!$F11</f>
        <v>2.91</v>
      </c>
      <c r="AA13" s="270"/>
      <c r="AB13" s="380">
        <v>26000</v>
      </c>
      <c r="AC13" s="380">
        <v>26000</v>
      </c>
      <c r="AD13" s="380">
        <v>26000</v>
      </c>
      <c r="AE13" s="380">
        <v>26000</v>
      </c>
      <c r="AF13" s="380">
        <v>26000</v>
      </c>
      <c r="AG13" s="380">
        <v>26000</v>
      </c>
      <c r="AH13" s="380">
        <v>26000</v>
      </c>
      <c r="AI13" s="380">
        <v>26000</v>
      </c>
      <c r="AJ13" s="380">
        <v>26000</v>
      </c>
      <c r="AK13" s="380">
        <v>20000</v>
      </c>
      <c r="AL13" s="380">
        <v>20000</v>
      </c>
      <c r="AM13" s="380">
        <v>20000</v>
      </c>
      <c r="AN13" s="380">
        <v>20000</v>
      </c>
      <c r="AO13" s="380">
        <v>20000</v>
      </c>
      <c r="AP13" s="380">
        <v>20000</v>
      </c>
      <c r="AQ13" s="380">
        <v>20000</v>
      </c>
      <c r="AR13" s="380">
        <v>20000</v>
      </c>
      <c r="AS13" s="380">
        <v>20000</v>
      </c>
      <c r="AT13" s="380">
        <v>20000</v>
      </c>
      <c r="AU13" s="380">
        <v>20000</v>
      </c>
      <c r="AV13" s="381">
        <f ca="1">Calc!G11</f>
        <v>12500</v>
      </c>
      <c r="AW13" s="253"/>
      <c r="AX13" s="88" t="str">
        <f t="shared" ca="1" si="3"/>
        <v>BMRA</v>
      </c>
      <c r="AZ13" t="s">
        <v>2147</v>
      </c>
      <c r="BA13" s="253"/>
      <c r="CP13" s="253"/>
      <c r="EH13" s="110"/>
      <c r="FD13" s="285"/>
      <c r="FZ13" s="253"/>
      <c r="GV13" s="253"/>
      <c r="HR13" s="253"/>
      <c r="IN13" s="253"/>
    </row>
    <row r="14" spans="1:248" ht="22" hidden="1" customHeight="1">
      <c r="A14" s="241" t="str">
        <f ca="1">[1]ExtEntry!$A12</f>
        <v>C</v>
      </c>
      <c r="B14" s="250"/>
      <c r="C14" s="251"/>
      <c r="D14" s="251">
        <f>ROW()</f>
        <v>14</v>
      </c>
      <c r="E14" s="387">
        <f ca="1">[1]ExtEntry!$E14</f>
        <v>45954.999884988283</v>
      </c>
      <c r="F14" s="253">
        <v>2.81</v>
      </c>
      <c r="G14" s="253">
        <v>2.85</v>
      </c>
      <c r="H14" s="253">
        <v>2.83</v>
      </c>
      <c r="I14" s="253">
        <v>2.82</v>
      </c>
      <c r="J14" s="253">
        <v>2.76</v>
      </c>
      <c r="K14" s="253">
        <v>2.9</v>
      </c>
      <c r="L14" s="253">
        <v>2.84</v>
      </c>
      <c r="M14" s="253">
        <v>2.88</v>
      </c>
      <c r="N14" s="253">
        <v>2.88</v>
      </c>
      <c r="O14" s="253">
        <v>2.8</v>
      </c>
      <c r="P14" s="253">
        <v>2.8</v>
      </c>
      <c r="Q14" s="253">
        <v>2.88</v>
      </c>
      <c r="R14" s="253">
        <v>2.86</v>
      </c>
      <c r="S14" s="253">
        <v>3.01</v>
      </c>
      <c r="T14" s="253">
        <v>2.98</v>
      </c>
      <c r="U14" s="253">
        <v>3.12</v>
      </c>
      <c r="V14" s="253">
        <v>3.2</v>
      </c>
      <c r="W14" s="254">
        <v>3.18</v>
      </c>
      <c r="X14" s="253">
        <v>2.93</v>
      </c>
      <c r="Y14" s="253">
        <v>2.91</v>
      </c>
      <c r="Z14" s="247">
        <f ca="1">[1]ExtEntry!$F12</f>
        <v>96.69</v>
      </c>
      <c r="AA14" s="270"/>
      <c r="AB14" s="380">
        <v>12500</v>
      </c>
      <c r="AC14" s="380">
        <v>12500</v>
      </c>
      <c r="AD14" s="380">
        <v>12500</v>
      </c>
      <c r="AE14" s="380">
        <v>12500</v>
      </c>
      <c r="AF14" s="380">
        <v>12500</v>
      </c>
      <c r="AG14" s="380">
        <v>12500</v>
      </c>
      <c r="AH14" s="380">
        <v>12500</v>
      </c>
      <c r="AI14" s="380">
        <v>12500</v>
      </c>
      <c r="AJ14" s="380">
        <v>12500</v>
      </c>
      <c r="AK14" s="380">
        <v>12500</v>
      </c>
      <c r="AL14" s="380">
        <v>12500</v>
      </c>
      <c r="AM14" s="380">
        <v>12500</v>
      </c>
      <c r="AN14" s="380">
        <v>12500</v>
      </c>
      <c r="AO14" s="380">
        <v>12500</v>
      </c>
      <c r="AP14" s="380">
        <v>12500</v>
      </c>
      <c r="AQ14" s="380">
        <v>12500</v>
      </c>
      <c r="AR14" s="380">
        <v>12500</v>
      </c>
      <c r="AS14" s="380">
        <v>12500</v>
      </c>
      <c r="AT14" s="380">
        <v>12500</v>
      </c>
      <c r="AU14" s="380">
        <v>12500</v>
      </c>
      <c r="AV14" s="381">
        <f ca="1">Calc!G12</f>
        <v>5</v>
      </c>
      <c r="AW14" s="253"/>
      <c r="AX14" s="88" t="str">
        <f t="shared" ca="1" si="3"/>
        <v>C</v>
      </c>
      <c r="BA14" s="253"/>
      <c r="CP14" s="253"/>
      <c r="EH14" s="110"/>
      <c r="FD14" s="285"/>
      <c r="FZ14" s="253"/>
      <c r="GV14" s="253"/>
      <c r="HR14" s="253"/>
      <c r="IN14" s="253"/>
    </row>
    <row r="15" spans="1:248" ht="22" hidden="1" customHeight="1">
      <c r="A15" s="241" t="str">
        <f ca="1">[1]ExtEntry!$A13</f>
        <v>CSCO</v>
      </c>
      <c r="B15" s="250"/>
      <c r="C15" s="251"/>
      <c r="D15" s="251">
        <f>ROW()</f>
        <v>15</v>
      </c>
      <c r="E15" s="387">
        <f ca="1">[1]ExtEntry!$E15</f>
        <v>45954.994127685153</v>
      </c>
      <c r="F15" s="253">
        <v>103.42</v>
      </c>
      <c r="G15" s="253">
        <v>103.16</v>
      </c>
      <c r="H15" s="253">
        <v>101.5</v>
      </c>
      <c r="I15" s="253">
        <v>98.71</v>
      </c>
      <c r="J15" s="253">
        <v>97.34</v>
      </c>
      <c r="K15" s="253">
        <v>98.05</v>
      </c>
      <c r="L15" s="253">
        <v>97.8</v>
      </c>
      <c r="M15" s="253">
        <v>96.7</v>
      </c>
      <c r="N15" s="253">
        <v>96.7</v>
      </c>
      <c r="O15" s="253">
        <v>93.93</v>
      </c>
      <c r="P15" s="253">
        <v>96.1</v>
      </c>
      <c r="Q15" s="253">
        <v>99.84</v>
      </c>
      <c r="R15" s="253">
        <v>99.78</v>
      </c>
      <c r="S15" s="253">
        <v>96.26</v>
      </c>
      <c r="T15" s="253">
        <v>97.07</v>
      </c>
      <c r="U15" s="253">
        <v>99.3</v>
      </c>
      <c r="V15" s="253">
        <v>98.25</v>
      </c>
      <c r="W15" s="254">
        <v>98.25</v>
      </c>
      <c r="X15" s="253">
        <v>96.3</v>
      </c>
      <c r="Y15" s="253">
        <v>96.69</v>
      </c>
      <c r="Z15" s="247">
        <f ca="1">[1]ExtEntry!$F13</f>
        <v>70.27</v>
      </c>
      <c r="AA15" s="270"/>
      <c r="AB15" s="380">
        <v>5</v>
      </c>
      <c r="AC15" s="380">
        <v>5</v>
      </c>
      <c r="AD15" s="380">
        <v>5</v>
      </c>
      <c r="AE15" s="380">
        <v>5</v>
      </c>
      <c r="AF15" s="380">
        <v>5</v>
      </c>
      <c r="AG15" s="380">
        <v>5</v>
      </c>
      <c r="AH15" s="380">
        <v>5</v>
      </c>
      <c r="AI15" s="380">
        <v>5</v>
      </c>
      <c r="AJ15" s="380">
        <v>5</v>
      </c>
      <c r="AK15" s="380">
        <v>5</v>
      </c>
      <c r="AL15" s="380">
        <v>5</v>
      </c>
      <c r="AM15" s="380">
        <v>5</v>
      </c>
      <c r="AN15" s="380">
        <v>5</v>
      </c>
      <c r="AO15" s="380">
        <v>5</v>
      </c>
      <c r="AP15" s="380">
        <v>5</v>
      </c>
      <c r="AQ15" s="380">
        <v>5</v>
      </c>
      <c r="AR15" s="380">
        <v>5</v>
      </c>
      <c r="AS15" s="380">
        <v>5</v>
      </c>
      <c r="AT15" s="380">
        <v>5</v>
      </c>
      <c r="AU15" s="380">
        <v>5</v>
      </c>
      <c r="AV15" s="381">
        <f ca="1">Calc!G13</f>
        <v>1000</v>
      </c>
      <c r="AW15" s="253"/>
      <c r="AX15" s="88" t="str">
        <f t="shared" ca="1" si="3"/>
        <v>CSCO</v>
      </c>
      <c r="BA15" s="253"/>
      <c r="CP15" s="253"/>
      <c r="EH15" s="110"/>
      <c r="FD15" s="285"/>
      <c r="FZ15" s="253"/>
      <c r="GV15" s="253"/>
      <c r="HR15" s="253"/>
      <c r="IN15" s="253"/>
    </row>
    <row r="16" spans="1:248" ht="22" hidden="1" customHeight="1">
      <c r="A16" s="241" t="str">
        <f ca="1">[1]ExtEntry!$A14</f>
        <v>CVS</v>
      </c>
      <c r="B16" s="250"/>
      <c r="C16" s="251"/>
      <c r="D16" s="251">
        <f>ROW()</f>
        <v>16</v>
      </c>
      <c r="E16" s="387">
        <f ca="1">[1]ExtEntry!$E16</f>
        <v>45954.999477950783</v>
      </c>
      <c r="F16" s="253">
        <v>67.22</v>
      </c>
      <c r="G16" s="253">
        <v>67.72</v>
      </c>
      <c r="H16" s="253">
        <v>68.42</v>
      </c>
      <c r="I16" s="253">
        <v>68.75</v>
      </c>
      <c r="J16" s="253">
        <v>67.900000000000006</v>
      </c>
      <c r="K16" s="253">
        <v>68.91</v>
      </c>
      <c r="L16" s="253">
        <v>68.984999999999999</v>
      </c>
      <c r="M16" s="253">
        <v>70.33</v>
      </c>
      <c r="N16" s="253">
        <v>70.33</v>
      </c>
      <c r="O16" s="253">
        <v>67.94</v>
      </c>
      <c r="P16" s="253">
        <v>67.459999999999994</v>
      </c>
      <c r="Q16" s="253">
        <v>68.66</v>
      </c>
      <c r="R16" s="253">
        <v>69.52</v>
      </c>
      <c r="S16" s="253">
        <v>69.09</v>
      </c>
      <c r="T16" s="253">
        <v>70.13</v>
      </c>
      <c r="U16" s="253">
        <v>70.650000000000006</v>
      </c>
      <c r="V16" s="253">
        <v>70.72</v>
      </c>
      <c r="W16" s="254">
        <v>70.72</v>
      </c>
      <c r="X16" s="253">
        <v>70.66</v>
      </c>
      <c r="Y16" s="253">
        <v>70.27</v>
      </c>
      <c r="Z16" s="247">
        <f ca="1">[1]ExtEntry!$F14</f>
        <v>81.069999999999993</v>
      </c>
      <c r="AA16" s="270"/>
      <c r="AB16" s="380">
        <v>2000</v>
      </c>
      <c r="AC16" s="380">
        <v>2000</v>
      </c>
      <c r="AD16" s="380">
        <v>2000</v>
      </c>
      <c r="AE16" s="380">
        <v>2000</v>
      </c>
      <c r="AF16" s="380">
        <v>2000</v>
      </c>
      <c r="AG16" s="380">
        <v>2000</v>
      </c>
      <c r="AH16" s="380">
        <v>2000</v>
      </c>
      <c r="AI16" s="380">
        <v>2000</v>
      </c>
      <c r="AJ16" s="380">
        <v>2000</v>
      </c>
      <c r="AK16" s="380">
        <v>2000</v>
      </c>
      <c r="AL16" s="380">
        <v>2000</v>
      </c>
      <c r="AM16" s="380">
        <v>1000</v>
      </c>
      <c r="AN16" s="380">
        <v>1000</v>
      </c>
      <c r="AO16" s="380">
        <v>1000</v>
      </c>
      <c r="AP16" s="380">
        <v>1000</v>
      </c>
      <c r="AQ16" s="380">
        <v>1000</v>
      </c>
      <c r="AR16" s="380">
        <v>1000</v>
      </c>
      <c r="AS16" s="380">
        <v>1000</v>
      </c>
      <c r="AT16" s="380">
        <v>1000</v>
      </c>
      <c r="AU16" s="380">
        <v>1000</v>
      </c>
      <c r="AV16" s="381">
        <f ca="1">Calc!G14</f>
        <v>1</v>
      </c>
      <c r="AW16" s="253"/>
      <c r="AX16" s="88" t="str">
        <f t="shared" ca="1" si="3"/>
        <v>CVS</v>
      </c>
      <c r="BA16" s="253"/>
      <c r="CP16" s="253"/>
      <c r="EH16" s="110"/>
      <c r="FD16" s="285"/>
      <c r="FZ16" s="253"/>
      <c r="GV16" s="253"/>
      <c r="HR16" s="253"/>
      <c r="IN16" s="253"/>
    </row>
    <row r="17" spans="1:248" ht="22" hidden="1" customHeight="1">
      <c r="A17" s="241" t="str">
        <f ca="1">[1]ExtEntry!$A15</f>
        <v>DDD</v>
      </c>
      <c r="B17" s="250"/>
      <c r="C17" s="251"/>
      <c r="D17" s="251">
        <f>ROW()</f>
        <v>17</v>
      </c>
      <c r="E17" s="387">
        <f ca="1">[1]ExtEntry!$E17</f>
        <v>45954.666666666664</v>
      </c>
      <c r="F17" s="253">
        <v>75.77</v>
      </c>
      <c r="G17" s="253">
        <v>75.569999999999993</v>
      </c>
      <c r="H17" s="253">
        <v>75.39</v>
      </c>
      <c r="I17" s="253">
        <v>76.87</v>
      </c>
      <c r="J17" s="253">
        <v>77.45</v>
      </c>
      <c r="K17" s="253">
        <v>76.84</v>
      </c>
      <c r="L17" s="253">
        <v>77.12</v>
      </c>
      <c r="M17" s="253">
        <v>76.930000000000007</v>
      </c>
      <c r="N17" s="253">
        <v>76.930000000000007</v>
      </c>
      <c r="O17" s="253">
        <v>77.900000000000006</v>
      </c>
      <c r="P17" s="253">
        <v>78.44</v>
      </c>
      <c r="Q17" s="253">
        <v>79.66</v>
      </c>
      <c r="R17" s="253">
        <v>80.67</v>
      </c>
      <c r="S17" s="253">
        <v>81.37</v>
      </c>
      <c r="T17" s="253">
        <v>82.52</v>
      </c>
      <c r="U17" s="253">
        <v>82.48</v>
      </c>
      <c r="V17" s="253">
        <v>83.04</v>
      </c>
      <c r="W17" s="254">
        <v>83.04</v>
      </c>
      <c r="X17" s="253">
        <v>81.344999999999999</v>
      </c>
      <c r="Y17" s="253">
        <v>81.069999999999993</v>
      </c>
      <c r="Z17" s="247">
        <f ca="1">[1]ExtEntry!$F15</f>
        <v>3.08</v>
      </c>
      <c r="AA17" s="270"/>
      <c r="AB17" s="380">
        <v>1</v>
      </c>
      <c r="AC17" s="380">
        <v>1</v>
      </c>
      <c r="AD17" s="380">
        <v>1</v>
      </c>
      <c r="AE17" s="380">
        <v>1</v>
      </c>
      <c r="AF17" s="380">
        <v>1</v>
      </c>
      <c r="AG17" s="380">
        <v>1</v>
      </c>
      <c r="AH17" s="380">
        <v>1</v>
      </c>
      <c r="AI17" s="380">
        <v>1</v>
      </c>
      <c r="AJ17" s="380">
        <v>1</v>
      </c>
      <c r="AK17" s="380">
        <v>1</v>
      </c>
      <c r="AL17" s="380">
        <v>1</v>
      </c>
      <c r="AM17" s="380">
        <v>1</v>
      </c>
      <c r="AN17" s="380">
        <v>1</v>
      </c>
      <c r="AO17" s="380">
        <v>1</v>
      </c>
      <c r="AP17" s="380">
        <v>1</v>
      </c>
      <c r="AQ17" s="380">
        <v>1</v>
      </c>
      <c r="AR17" s="380">
        <v>1</v>
      </c>
      <c r="AS17" s="380">
        <v>1</v>
      </c>
      <c r="AT17" s="380">
        <v>1</v>
      </c>
      <c r="AU17" s="380">
        <v>1</v>
      </c>
      <c r="AV17" s="381">
        <f ca="1">Calc!G15</f>
        <v>85000</v>
      </c>
      <c r="AW17" s="253"/>
      <c r="AX17" s="88" t="str">
        <f t="shared" ca="1" si="3"/>
        <v>DDD</v>
      </c>
      <c r="BA17" s="253"/>
      <c r="CP17" s="253"/>
      <c r="EH17" s="110"/>
      <c r="FD17" s="285"/>
      <c r="FZ17" s="253"/>
      <c r="GV17" s="253"/>
      <c r="HR17" s="253"/>
      <c r="IN17" s="253"/>
    </row>
    <row r="18" spans="1:248" hidden="1">
      <c r="A18" s="241" t="str">
        <f ca="1">[1]ExtEntry!$A16</f>
        <v>DIS</v>
      </c>
      <c r="B18" s="250"/>
      <c r="C18" s="251"/>
      <c r="D18" s="251">
        <f>ROW()</f>
        <v>18</v>
      </c>
      <c r="E18" s="387">
        <f ca="1">[1]ExtEntry!$E18</f>
        <v>45954.965299791409</v>
      </c>
      <c r="F18" s="253">
        <v>3.11</v>
      </c>
      <c r="G18" s="253">
        <v>2.96</v>
      </c>
      <c r="H18" s="253">
        <v>2.9</v>
      </c>
      <c r="I18" s="253">
        <v>2.87</v>
      </c>
      <c r="J18" s="253">
        <v>2.99</v>
      </c>
      <c r="K18" s="253">
        <v>3.17</v>
      </c>
      <c r="L18" s="253">
        <v>3.14</v>
      </c>
      <c r="M18" s="253">
        <v>3.23</v>
      </c>
      <c r="N18" s="253">
        <v>3.23</v>
      </c>
      <c r="O18" s="253">
        <v>2.89</v>
      </c>
      <c r="P18" s="253">
        <v>3.11</v>
      </c>
      <c r="Q18" s="253">
        <v>3.08</v>
      </c>
      <c r="R18" s="253">
        <v>3.27</v>
      </c>
      <c r="S18" s="253">
        <v>3.26</v>
      </c>
      <c r="T18" s="253">
        <v>3.11</v>
      </c>
      <c r="U18" s="253">
        <v>3.78</v>
      </c>
      <c r="V18" s="253">
        <v>3.38</v>
      </c>
      <c r="W18" s="254">
        <v>3.38</v>
      </c>
      <c r="X18" s="253">
        <v>3.01</v>
      </c>
      <c r="Y18" s="253">
        <v>3.08</v>
      </c>
      <c r="Z18" s="247">
        <f ca="1">[1]ExtEntry!$F16</f>
        <v>113.03</v>
      </c>
      <c r="AA18" s="270"/>
      <c r="AB18" s="380">
        <v>100000</v>
      </c>
      <c r="AC18" s="380">
        <v>100000</v>
      </c>
      <c r="AD18" s="380">
        <v>100000</v>
      </c>
      <c r="AE18" s="380">
        <v>100000</v>
      </c>
      <c r="AF18" s="380">
        <v>100000</v>
      </c>
      <c r="AG18" s="380">
        <v>95000</v>
      </c>
      <c r="AH18" s="380">
        <v>85000</v>
      </c>
      <c r="AI18" s="380">
        <v>85000</v>
      </c>
      <c r="AJ18" s="380">
        <v>85000</v>
      </c>
      <c r="AK18" s="380">
        <v>85000</v>
      </c>
      <c r="AL18" s="380">
        <v>85000</v>
      </c>
      <c r="AM18" s="380">
        <v>85000</v>
      </c>
      <c r="AN18" s="380">
        <v>85000</v>
      </c>
      <c r="AO18" s="380">
        <v>85000</v>
      </c>
      <c r="AP18" s="380">
        <v>85000</v>
      </c>
      <c r="AQ18" s="380">
        <v>85000</v>
      </c>
      <c r="AR18" s="380">
        <v>85000</v>
      </c>
      <c r="AS18" s="380">
        <v>85000</v>
      </c>
      <c r="AT18" s="380">
        <v>85000</v>
      </c>
      <c r="AU18" s="380">
        <v>85000</v>
      </c>
      <c r="AV18" s="381">
        <f ca="1">Calc!G16</f>
        <v>1000</v>
      </c>
      <c r="AW18" s="253"/>
      <c r="AX18" s="88" t="str">
        <f t="shared" ca="1" si="3"/>
        <v>DIS</v>
      </c>
      <c r="BA18" s="253"/>
      <c r="CP18" s="253"/>
      <c r="EH18" s="110"/>
      <c r="FD18" s="285"/>
      <c r="FZ18" s="253"/>
      <c r="GV18" s="253"/>
      <c r="HR18" s="253"/>
      <c r="IN18" s="253"/>
    </row>
    <row r="19" spans="1:248" hidden="1">
      <c r="A19" s="241" t="str">
        <f ca="1">[1]ExtEntry!$A17</f>
        <v>DSY</v>
      </c>
      <c r="B19" s="250"/>
      <c r="C19" s="251"/>
      <c r="D19" s="251">
        <f>ROW()</f>
        <v>19</v>
      </c>
      <c r="E19" s="387">
        <f ca="1">[1]ExtEntry!$E19</f>
        <v>45954.999246943749</v>
      </c>
      <c r="F19" s="253">
        <v>113.47</v>
      </c>
      <c r="G19" s="253">
        <v>114.78</v>
      </c>
      <c r="H19" s="253">
        <v>114.5</v>
      </c>
      <c r="I19" s="253">
        <v>112.95</v>
      </c>
      <c r="J19" s="253">
        <v>112.14</v>
      </c>
      <c r="K19" s="253">
        <v>112.75</v>
      </c>
      <c r="L19" s="253">
        <v>112.53</v>
      </c>
      <c r="M19" s="253">
        <v>111.89</v>
      </c>
      <c r="N19" s="253">
        <v>111.89</v>
      </c>
      <c r="O19" s="253">
        <v>109.19</v>
      </c>
      <c r="P19" s="253">
        <v>110.27</v>
      </c>
      <c r="Q19" s="253">
        <v>111.17</v>
      </c>
      <c r="R19" s="253">
        <v>111.71</v>
      </c>
      <c r="S19" s="253">
        <v>109.88</v>
      </c>
      <c r="T19" s="253">
        <v>110.67</v>
      </c>
      <c r="U19" s="253">
        <v>111.96</v>
      </c>
      <c r="V19" s="253">
        <v>114.3</v>
      </c>
      <c r="W19" s="254">
        <v>114.3</v>
      </c>
      <c r="X19" s="253">
        <v>113.08</v>
      </c>
      <c r="Y19" s="253">
        <v>113.03</v>
      </c>
      <c r="Z19" s="247">
        <f ca="1">[1]ExtEntry!$F17</f>
        <v>26.21</v>
      </c>
      <c r="AA19" s="270"/>
      <c r="AB19" s="380">
        <v>1000</v>
      </c>
      <c r="AC19" s="380">
        <v>1000</v>
      </c>
      <c r="AD19" s="380">
        <v>1000</v>
      </c>
      <c r="AE19" s="380">
        <v>1000</v>
      </c>
      <c r="AF19" s="380">
        <v>1000</v>
      </c>
      <c r="AG19" s="380">
        <v>1000</v>
      </c>
      <c r="AH19" s="380">
        <v>1000</v>
      </c>
      <c r="AI19" s="380">
        <v>1000</v>
      </c>
      <c r="AJ19" s="380">
        <v>1000</v>
      </c>
      <c r="AK19" s="380">
        <v>1000</v>
      </c>
      <c r="AL19" s="380">
        <v>1000</v>
      </c>
      <c r="AM19" s="380">
        <v>1000</v>
      </c>
      <c r="AN19" s="380">
        <v>1000</v>
      </c>
      <c r="AO19" s="380">
        <v>1000</v>
      </c>
      <c r="AP19" s="380">
        <v>1000</v>
      </c>
      <c r="AQ19" s="380">
        <v>1000</v>
      </c>
      <c r="AR19" s="380">
        <v>1000</v>
      </c>
      <c r="AS19" s="380">
        <v>1000</v>
      </c>
      <c r="AT19" s="380">
        <v>1000</v>
      </c>
      <c r="AU19" s="380">
        <v>1000</v>
      </c>
      <c r="AV19" s="381">
        <f ca="1">Calc!G17</f>
        <v>4000</v>
      </c>
      <c r="AW19" s="253"/>
      <c r="AX19" s="88" t="str">
        <f t="shared" ca="1" si="3"/>
        <v>DSY</v>
      </c>
      <c r="BA19" s="253"/>
      <c r="CP19" s="253"/>
      <c r="EH19" s="110"/>
      <c r="FD19" s="285"/>
      <c r="FZ19" s="253"/>
      <c r="GV19" s="253"/>
      <c r="HR19" s="253"/>
      <c r="IN19" s="253"/>
    </row>
    <row r="20" spans="1:248" hidden="1">
      <c r="A20" s="241" t="str">
        <f ca="1">[1]ExtEntry!$A18</f>
        <v>DVA</v>
      </c>
      <c r="B20" s="250"/>
      <c r="C20" s="251"/>
      <c r="D20" s="251">
        <f>ROW()</f>
        <v>20</v>
      </c>
      <c r="E20" s="387">
        <f ca="1">[1]ExtEntry!$E20</f>
        <v>45954.770833333336</v>
      </c>
      <c r="F20" s="253">
        <v>28.06</v>
      </c>
      <c r="G20" s="253">
        <v>28.31</v>
      </c>
      <c r="H20" s="253">
        <v>28.51</v>
      </c>
      <c r="I20" s="253">
        <v>28.46</v>
      </c>
      <c r="J20" s="253">
        <v>29.37</v>
      </c>
      <c r="K20" s="253">
        <v>29.22</v>
      </c>
      <c r="L20" s="253">
        <v>29.05</v>
      </c>
      <c r="M20" s="253">
        <v>28.77</v>
      </c>
      <c r="N20" s="253">
        <v>28.93</v>
      </c>
      <c r="O20" s="253">
        <v>28.5</v>
      </c>
      <c r="P20" s="253">
        <v>28.81</v>
      </c>
      <c r="Q20" s="253">
        <v>28.35</v>
      </c>
      <c r="R20" s="253">
        <v>28.88</v>
      </c>
      <c r="S20" s="253">
        <v>29.38</v>
      </c>
      <c r="T20" s="253">
        <v>29.33</v>
      </c>
      <c r="U20" s="253">
        <v>29.78</v>
      </c>
      <c r="V20" s="253">
        <v>30.27</v>
      </c>
      <c r="W20" s="254">
        <v>30.27</v>
      </c>
      <c r="X20" s="253">
        <v>30.12</v>
      </c>
      <c r="Y20" s="253">
        <v>26.21</v>
      </c>
      <c r="Z20" s="247">
        <f ca="1">[1]ExtEntry!$F18</f>
        <v>128.02000000000001</v>
      </c>
      <c r="AA20" s="270"/>
      <c r="AB20" s="380">
        <v>6000</v>
      </c>
      <c r="AC20" s="380">
        <v>6000</v>
      </c>
      <c r="AD20" s="380">
        <v>6000</v>
      </c>
      <c r="AE20" s="380">
        <v>6000</v>
      </c>
      <c r="AF20" s="380">
        <v>6000</v>
      </c>
      <c r="AG20" s="380">
        <v>6000</v>
      </c>
      <c r="AH20" s="380">
        <v>4000</v>
      </c>
      <c r="AI20" s="380">
        <v>4000</v>
      </c>
      <c r="AJ20" s="380">
        <v>4000</v>
      </c>
      <c r="AK20" s="380">
        <v>4000</v>
      </c>
      <c r="AL20" s="380">
        <v>4000</v>
      </c>
      <c r="AM20" s="380">
        <v>4000</v>
      </c>
      <c r="AN20" s="380">
        <v>4000</v>
      </c>
      <c r="AO20" s="380">
        <v>4000</v>
      </c>
      <c r="AP20" s="380">
        <v>4000</v>
      </c>
      <c r="AQ20" s="380">
        <v>4000</v>
      </c>
      <c r="AR20" s="380">
        <v>4000</v>
      </c>
      <c r="AS20" s="380">
        <v>4000</v>
      </c>
      <c r="AT20" s="380">
        <v>4000</v>
      </c>
      <c r="AU20" s="380">
        <v>4000</v>
      </c>
      <c r="AV20" s="381">
        <f ca="1">Calc!G18</f>
        <v>1400</v>
      </c>
      <c r="AW20" s="253"/>
      <c r="AX20" s="88" t="str">
        <f t="shared" ca="1" si="3"/>
        <v>DVA</v>
      </c>
      <c r="BA20" s="253"/>
      <c r="CP20" s="253"/>
      <c r="EH20" s="110"/>
      <c r="FD20" s="285"/>
      <c r="FZ20" s="253"/>
      <c r="GV20" s="253"/>
      <c r="HR20" s="253"/>
      <c r="IN20" s="253"/>
    </row>
    <row r="21" spans="1:248" hidden="1">
      <c r="A21" s="241" t="str">
        <f ca="1">[1]ExtEntry!$A19</f>
        <v>DXC</v>
      </c>
      <c r="B21" s="250"/>
      <c r="C21" s="251"/>
      <c r="D21" s="251">
        <f>ROW()</f>
        <v>21</v>
      </c>
      <c r="E21" s="387">
        <f ca="1">[1]ExtEntry!$E21</f>
        <v>45938.992447279685</v>
      </c>
      <c r="F21" s="253">
        <v>130.80000000000001</v>
      </c>
      <c r="G21" s="253">
        <v>130.59</v>
      </c>
      <c r="H21" s="253">
        <v>132.87</v>
      </c>
      <c r="I21" s="253">
        <v>132.87</v>
      </c>
      <c r="J21" s="253">
        <v>132.1</v>
      </c>
      <c r="K21" s="253">
        <v>128.13999999999999</v>
      </c>
      <c r="L21" s="253">
        <v>131.04</v>
      </c>
      <c r="M21" s="253">
        <v>127.89</v>
      </c>
      <c r="N21" s="253">
        <v>127.89</v>
      </c>
      <c r="O21" s="253">
        <v>123.99</v>
      </c>
      <c r="P21" s="253">
        <v>123.91</v>
      </c>
      <c r="Q21" s="253">
        <v>126.62</v>
      </c>
      <c r="R21" s="253">
        <v>126</v>
      </c>
      <c r="S21" s="253">
        <v>125.25</v>
      </c>
      <c r="T21" s="253">
        <v>125.88</v>
      </c>
      <c r="U21" s="253">
        <v>128.05000000000001</v>
      </c>
      <c r="V21" s="253">
        <v>128.41</v>
      </c>
      <c r="W21" s="254">
        <v>128.41</v>
      </c>
      <c r="X21" s="253">
        <v>129.08000000000001</v>
      </c>
      <c r="Y21" s="253">
        <v>128.02000000000001</v>
      </c>
      <c r="Z21" s="247">
        <f ca="1">[1]ExtEntry!$F19</f>
        <v>13.37</v>
      </c>
      <c r="AA21" s="270"/>
      <c r="AB21" s="380">
        <v>1000</v>
      </c>
      <c r="AC21" s="380">
        <v>1000</v>
      </c>
      <c r="AD21" s="380">
        <v>1000</v>
      </c>
      <c r="AE21" s="380">
        <v>1000</v>
      </c>
      <c r="AF21" s="380">
        <v>1000</v>
      </c>
      <c r="AG21" s="380">
        <v>1000</v>
      </c>
      <c r="AH21" s="380">
        <v>1000</v>
      </c>
      <c r="AI21" s="380">
        <v>1400</v>
      </c>
      <c r="AJ21" s="380">
        <v>1400</v>
      </c>
      <c r="AK21" s="380">
        <v>1400</v>
      </c>
      <c r="AL21" s="380">
        <v>1400</v>
      </c>
      <c r="AM21" s="380">
        <v>1400</v>
      </c>
      <c r="AN21" s="380">
        <v>1400</v>
      </c>
      <c r="AO21" s="380">
        <v>1400</v>
      </c>
      <c r="AP21" s="380">
        <v>1400</v>
      </c>
      <c r="AQ21" s="380">
        <v>1400</v>
      </c>
      <c r="AR21" s="380">
        <v>1400</v>
      </c>
      <c r="AS21" s="380">
        <v>1400</v>
      </c>
      <c r="AT21" s="380">
        <v>1400</v>
      </c>
      <c r="AU21" s="380">
        <v>1400</v>
      </c>
      <c r="AV21" s="381">
        <f ca="1">Calc!G19</f>
        <v>6000</v>
      </c>
      <c r="AW21" s="253"/>
      <c r="AX21" s="88" t="str">
        <f t="shared" ca="1" si="3"/>
        <v>DXC</v>
      </c>
      <c r="BA21" s="253"/>
      <c r="CP21" s="253"/>
      <c r="EH21" s="110"/>
      <c r="FD21" s="285"/>
      <c r="FZ21" s="253"/>
      <c r="GV21" s="253"/>
      <c r="HR21" s="253"/>
      <c r="IN21" s="253"/>
    </row>
    <row r="22" spans="1:248" hidden="1">
      <c r="A22" s="241" t="str">
        <f ca="1">[1]ExtEntry!$A20</f>
        <v>EOAN</v>
      </c>
      <c r="B22" s="250"/>
      <c r="C22" s="251"/>
      <c r="D22" s="251">
        <f>ROW()</f>
        <v>22</v>
      </c>
      <c r="E22" s="387">
        <f ca="1">[1]ExtEntry!$E22</f>
        <v>45954.999809594534</v>
      </c>
      <c r="F22" s="253">
        <v>14.01</v>
      </c>
      <c r="G22" s="253">
        <v>13.63</v>
      </c>
      <c r="H22" s="253">
        <v>13.63</v>
      </c>
      <c r="I22" s="253">
        <v>13.8</v>
      </c>
      <c r="J22" s="253">
        <v>13.59</v>
      </c>
      <c r="K22" s="253">
        <v>13.6</v>
      </c>
      <c r="L22" s="253">
        <v>13.28</v>
      </c>
      <c r="M22" s="253">
        <v>13.34</v>
      </c>
      <c r="N22" s="253">
        <v>13.34</v>
      </c>
      <c r="O22" s="253">
        <v>12.89</v>
      </c>
      <c r="P22" s="253">
        <v>13.22</v>
      </c>
      <c r="Q22" s="253">
        <v>13.32</v>
      </c>
      <c r="R22" s="253">
        <v>13.1</v>
      </c>
      <c r="S22" s="253">
        <v>12.82</v>
      </c>
      <c r="T22" s="253">
        <v>12.85</v>
      </c>
      <c r="U22" s="253">
        <v>12.99</v>
      </c>
      <c r="V22" s="253">
        <v>13.27</v>
      </c>
      <c r="W22" s="254">
        <v>13.27</v>
      </c>
      <c r="X22" s="253">
        <v>13.27</v>
      </c>
      <c r="Y22" s="253">
        <v>13.37</v>
      </c>
      <c r="Z22" s="247">
        <f ca="1">[1]ExtEntry!$F20</f>
        <v>16.035</v>
      </c>
      <c r="AA22" s="270"/>
      <c r="AB22" s="380">
        <v>6000</v>
      </c>
      <c r="AC22" s="380">
        <v>6000</v>
      </c>
      <c r="AD22" s="380">
        <v>6000</v>
      </c>
      <c r="AE22" s="380">
        <v>6000</v>
      </c>
      <c r="AF22" s="380">
        <v>6000</v>
      </c>
      <c r="AG22" s="380">
        <v>6000</v>
      </c>
      <c r="AH22" s="380">
        <v>6000</v>
      </c>
      <c r="AI22" s="380">
        <v>6000</v>
      </c>
      <c r="AJ22" s="380">
        <v>6000</v>
      </c>
      <c r="AK22" s="380">
        <v>6000</v>
      </c>
      <c r="AL22" s="380">
        <v>6000</v>
      </c>
      <c r="AM22" s="380">
        <v>6000</v>
      </c>
      <c r="AN22" s="380">
        <v>6000</v>
      </c>
      <c r="AO22" s="380">
        <v>6000</v>
      </c>
      <c r="AP22" s="380">
        <v>6000</v>
      </c>
      <c r="AQ22" s="380">
        <v>6000</v>
      </c>
      <c r="AR22" s="380">
        <v>6000</v>
      </c>
      <c r="AS22" s="380">
        <v>6000</v>
      </c>
      <c r="AT22" s="380">
        <v>6000</v>
      </c>
      <c r="AU22" s="380">
        <v>6000</v>
      </c>
      <c r="AV22" s="381">
        <f ca="1">Calc!G20</f>
        <v>550</v>
      </c>
      <c r="AW22" s="253"/>
      <c r="AX22" s="88" t="str">
        <f t="shared" ca="1" si="3"/>
        <v>EOAN</v>
      </c>
      <c r="BA22" s="253"/>
      <c r="CP22" s="253"/>
      <c r="EH22" s="110"/>
      <c r="FD22" s="285"/>
      <c r="FZ22" s="253"/>
      <c r="GV22" s="253"/>
      <c r="HR22" s="253"/>
      <c r="IN22" s="253"/>
    </row>
    <row r="23" spans="1:248" hidden="1">
      <c r="A23" s="241" t="str">
        <f ca="1">[1]ExtEntry!$A21</f>
        <v>EPIX</v>
      </c>
      <c r="B23" s="250"/>
      <c r="C23" s="251"/>
      <c r="D23" s="251">
        <f>ROW()</f>
        <v>23</v>
      </c>
      <c r="E23" s="387">
        <f ca="1">[1]ExtEntry!$E23</f>
        <v>45954.998743008597</v>
      </c>
      <c r="F23" s="253">
        <v>16.055</v>
      </c>
      <c r="G23" s="253">
        <v>16.02</v>
      </c>
      <c r="H23" s="253">
        <v>16.07</v>
      </c>
      <c r="I23" s="253">
        <v>16.16</v>
      </c>
      <c r="J23" s="253">
        <v>15.96</v>
      </c>
      <c r="K23" s="253">
        <v>16.074999999999999</v>
      </c>
      <c r="L23" s="253">
        <v>16.114999999999998</v>
      </c>
      <c r="M23" s="253">
        <v>16.18</v>
      </c>
      <c r="N23" s="253">
        <v>16.175000000000001</v>
      </c>
      <c r="O23" s="253">
        <v>16.07</v>
      </c>
      <c r="P23" s="253">
        <v>16.260000000000002</v>
      </c>
      <c r="Q23" s="253">
        <v>16.37</v>
      </c>
      <c r="R23" s="253">
        <v>16.2</v>
      </c>
      <c r="S23" s="253">
        <v>16.25</v>
      </c>
      <c r="T23" s="253">
        <v>16.27</v>
      </c>
      <c r="U23" s="253">
        <v>16.420000000000002</v>
      </c>
      <c r="V23" s="253">
        <v>16.364999999999998</v>
      </c>
      <c r="W23" s="254">
        <v>16.364999999999998</v>
      </c>
      <c r="X23" s="253">
        <v>16.100000000000001</v>
      </c>
      <c r="Y23" s="253">
        <v>15.98</v>
      </c>
      <c r="Z23" s="247">
        <f ca="1">[1]ExtEntry!$F21</f>
        <v>0.20499999999999999</v>
      </c>
      <c r="AA23" s="270"/>
      <c r="AB23" s="380">
        <v>3750</v>
      </c>
      <c r="AC23" s="380">
        <v>3750</v>
      </c>
      <c r="AD23" s="380">
        <v>3750</v>
      </c>
      <c r="AE23" s="380">
        <v>3750</v>
      </c>
      <c r="AF23" s="380">
        <v>3750</v>
      </c>
      <c r="AG23" s="380">
        <v>550</v>
      </c>
      <c r="AH23" s="380">
        <v>550</v>
      </c>
      <c r="AI23" s="380">
        <v>550</v>
      </c>
      <c r="AJ23" s="380">
        <v>550</v>
      </c>
      <c r="AK23" s="380">
        <v>550</v>
      </c>
      <c r="AL23" s="380">
        <v>550</v>
      </c>
      <c r="AM23" s="380">
        <v>550</v>
      </c>
      <c r="AN23" s="380">
        <v>550</v>
      </c>
      <c r="AO23" s="380">
        <v>550</v>
      </c>
      <c r="AP23" s="380">
        <v>550</v>
      </c>
      <c r="AQ23" s="380">
        <v>550</v>
      </c>
      <c r="AR23" s="380">
        <v>550</v>
      </c>
      <c r="AS23" s="380">
        <v>550</v>
      </c>
      <c r="AT23" s="380">
        <v>550</v>
      </c>
      <c r="AU23" s="380">
        <v>550</v>
      </c>
      <c r="AV23" s="381">
        <f ca="1">Calc!G21</f>
        <v>30000</v>
      </c>
      <c r="AW23" s="253"/>
      <c r="AX23" s="88" t="str">
        <f t="shared" ca="1" si="3"/>
        <v>EPIX</v>
      </c>
      <c r="BA23" s="253"/>
      <c r="CP23" s="253"/>
      <c r="EH23" s="110"/>
      <c r="FD23" s="285"/>
      <c r="FZ23" s="253"/>
      <c r="GV23" s="253"/>
      <c r="HR23" s="253"/>
      <c r="IN23" s="253"/>
    </row>
    <row r="24" spans="1:248" hidden="1">
      <c r="A24" s="241" t="str">
        <f ca="1">[1]ExtEntry!$A22</f>
        <v>GM</v>
      </c>
      <c r="B24" s="250"/>
      <c r="C24" s="251"/>
      <c r="D24" s="251">
        <f>ROW()</f>
        <v>24</v>
      </c>
      <c r="E24" s="387">
        <f ca="1">[1]ExtEntry!$E24</f>
        <v>45954.999660010937</v>
      </c>
      <c r="F24" s="253">
        <v>0.20100000000000001</v>
      </c>
      <c r="G24" s="253">
        <v>0.19339999999999999</v>
      </c>
      <c r="H24" s="253">
        <v>0.191</v>
      </c>
      <c r="I24" s="253">
        <v>0.2059</v>
      </c>
      <c r="J24" s="253">
        <v>0.21740000000000001</v>
      </c>
      <c r="K24" s="253">
        <v>0.20419999999999999</v>
      </c>
      <c r="L24" s="253">
        <v>0.20499999999999999</v>
      </c>
      <c r="M24" s="253">
        <v>0.20499999999999999</v>
      </c>
      <c r="N24" s="253">
        <v>0.20499999999999999</v>
      </c>
      <c r="O24" s="253">
        <v>0.20499999999999999</v>
      </c>
      <c r="P24" s="253">
        <v>0.20499999999999999</v>
      </c>
      <c r="Q24" s="253">
        <v>0.20499999999999999</v>
      </c>
      <c r="R24" s="253">
        <v>0.20499999999999999</v>
      </c>
      <c r="S24" s="253">
        <v>0.20499999999999999</v>
      </c>
      <c r="T24" s="253">
        <v>0.20499999999999999</v>
      </c>
      <c r="U24" s="253">
        <v>0.20499999999999999</v>
      </c>
      <c r="V24" s="253">
        <v>0.20499999999999999</v>
      </c>
      <c r="W24" s="254">
        <v>0.20499999999999999</v>
      </c>
      <c r="X24" s="253">
        <v>0.20499999999999999</v>
      </c>
      <c r="Y24" s="253">
        <v>0.20499999999999999</v>
      </c>
      <c r="Z24" s="247">
        <f ca="1">[1]ExtEntry!$F22</f>
        <v>66.849999999999994</v>
      </c>
      <c r="AA24" s="270"/>
      <c r="AB24" s="380">
        <v>30000</v>
      </c>
      <c r="AC24" s="380">
        <v>30000</v>
      </c>
      <c r="AD24" s="380">
        <v>30000</v>
      </c>
      <c r="AE24" s="380">
        <v>30000</v>
      </c>
      <c r="AF24" s="380">
        <v>30000</v>
      </c>
      <c r="AG24" s="380">
        <v>30000</v>
      </c>
      <c r="AH24" s="380">
        <v>30000</v>
      </c>
      <c r="AI24" s="380">
        <v>30000</v>
      </c>
      <c r="AJ24" s="380">
        <v>30000</v>
      </c>
      <c r="AK24" s="380">
        <v>30000</v>
      </c>
      <c r="AL24" s="380">
        <v>30000</v>
      </c>
      <c r="AM24" s="380">
        <v>30000</v>
      </c>
      <c r="AN24" s="380">
        <v>30000</v>
      </c>
      <c r="AO24" s="380">
        <v>30000</v>
      </c>
      <c r="AP24" s="380">
        <v>30000</v>
      </c>
      <c r="AQ24" s="380">
        <v>30000</v>
      </c>
      <c r="AR24" s="380">
        <v>30000</v>
      </c>
      <c r="AS24" s="380">
        <v>30000</v>
      </c>
      <c r="AT24" s="380">
        <v>30000</v>
      </c>
      <c r="AU24" s="380">
        <v>30000</v>
      </c>
      <c r="AV24" s="381">
        <f ca="1">Calc!G22</f>
        <v>10</v>
      </c>
      <c r="AW24" s="253"/>
      <c r="AX24" s="88" t="str">
        <f t="shared" ca="1" si="3"/>
        <v>GM</v>
      </c>
      <c r="BA24" s="253"/>
      <c r="CP24" s="253"/>
      <c r="EH24" s="110"/>
      <c r="FD24" s="285"/>
      <c r="FZ24" s="253"/>
      <c r="GV24" s="253"/>
      <c r="HR24" s="253"/>
      <c r="IN24" s="253"/>
    </row>
    <row r="25" spans="1:248" hidden="1">
      <c r="A25" s="241" t="str">
        <f ca="1">[1]ExtEntry!$A23</f>
        <v>HPE</v>
      </c>
      <c r="B25" s="250"/>
      <c r="C25" s="251"/>
      <c r="D25" s="251">
        <f>ROW()</f>
        <v>25</v>
      </c>
      <c r="E25" s="387">
        <f ca="1">[1]ExtEntry!$E25</f>
        <v>45954.639900659378</v>
      </c>
      <c r="F25" s="253">
        <v>61.24</v>
      </c>
      <c r="G25" s="253">
        <v>61.12</v>
      </c>
      <c r="H25" s="253">
        <v>60.97</v>
      </c>
      <c r="I25" s="253">
        <v>61.34</v>
      </c>
      <c r="J25" s="253">
        <v>59.36</v>
      </c>
      <c r="K25" s="253">
        <v>58.19</v>
      </c>
      <c r="L25" s="253">
        <v>57.26</v>
      </c>
      <c r="M25" s="253">
        <v>56.4</v>
      </c>
      <c r="N25" s="253">
        <v>56.4</v>
      </c>
      <c r="O25" s="253">
        <v>55.35</v>
      </c>
      <c r="P25" s="253">
        <v>55.62</v>
      </c>
      <c r="Q25" s="253">
        <v>57.15</v>
      </c>
      <c r="R25" s="253">
        <v>57.8</v>
      </c>
      <c r="S25" s="253">
        <v>57.34</v>
      </c>
      <c r="T25" s="253">
        <v>58.38</v>
      </c>
      <c r="U25" s="253">
        <v>58</v>
      </c>
      <c r="V25" s="253">
        <v>66.62</v>
      </c>
      <c r="W25" s="254">
        <v>66.62</v>
      </c>
      <c r="X25" s="253">
        <v>67.31</v>
      </c>
      <c r="Y25" s="253">
        <v>66.849999999999994</v>
      </c>
      <c r="Z25" s="247">
        <f ca="1">[1]ExtEntry!$F23</f>
        <v>23.19</v>
      </c>
      <c r="AA25" s="270"/>
      <c r="AB25" s="380">
        <v>10</v>
      </c>
      <c r="AC25" s="380">
        <v>10</v>
      </c>
      <c r="AD25" s="380">
        <v>10</v>
      </c>
      <c r="AE25" s="380">
        <v>10</v>
      </c>
      <c r="AF25" s="380">
        <v>10</v>
      </c>
      <c r="AG25" s="380">
        <v>10</v>
      </c>
      <c r="AH25" s="380">
        <v>10</v>
      </c>
      <c r="AI25" s="380">
        <v>10</v>
      </c>
      <c r="AJ25" s="380">
        <v>10</v>
      </c>
      <c r="AK25" s="380">
        <v>10</v>
      </c>
      <c r="AL25" s="380">
        <v>10</v>
      </c>
      <c r="AM25" s="380">
        <v>10</v>
      </c>
      <c r="AN25" s="380">
        <v>10</v>
      </c>
      <c r="AO25" s="380">
        <v>10</v>
      </c>
      <c r="AP25" s="380">
        <v>10</v>
      </c>
      <c r="AQ25" s="380">
        <v>10</v>
      </c>
      <c r="AR25" s="380">
        <v>10</v>
      </c>
      <c r="AS25" s="380">
        <v>10</v>
      </c>
      <c r="AT25" s="380">
        <v>10</v>
      </c>
      <c r="AU25" s="380">
        <v>10</v>
      </c>
      <c r="AV25" s="381">
        <f ca="1">Calc!G23</f>
        <v>11000</v>
      </c>
      <c r="AW25" s="253"/>
      <c r="AX25" s="88" t="str">
        <f t="shared" ca="1" si="3"/>
        <v>HPE</v>
      </c>
      <c r="BA25" s="253"/>
      <c r="CP25" s="253"/>
      <c r="EH25" s="110"/>
      <c r="FD25" s="285"/>
      <c r="FZ25" s="253"/>
      <c r="GV25" s="253"/>
      <c r="HR25" s="253"/>
      <c r="IN25" s="253"/>
    </row>
    <row r="26" spans="1:248" hidden="1">
      <c r="A26" s="241" t="str">
        <f ca="1">[1]ExtEntry!$A24</f>
        <v>HPQ</v>
      </c>
      <c r="B26" s="250"/>
      <c r="C26" s="251"/>
      <c r="D26" s="251">
        <f>ROW()</f>
        <v>26</v>
      </c>
      <c r="E26" s="387">
        <f ca="1">[1]ExtEntry!$E26</f>
        <v>45954.999927777346</v>
      </c>
      <c r="F26" s="253">
        <v>24</v>
      </c>
      <c r="G26" s="253">
        <v>24.14</v>
      </c>
      <c r="H26" s="253">
        <v>24.56</v>
      </c>
      <c r="I26" s="253">
        <v>24.93</v>
      </c>
      <c r="J26" s="253">
        <v>24.48</v>
      </c>
      <c r="K26" s="253">
        <v>24.79</v>
      </c>
      <c r="L26" s="253">
        <v>24.91</v>
      </c>
      <c r="M26" s="253">
        <v>26.08</v>
      </c>
      <c r="N26" s="253">
        <v>26.08</v>
      </c>
      <c r="O26" s="253">
        <v>24.4</v>
      </c>
      <c r="P26" s="253">
        <v>24.8</v>
      </c>
      <c r="Q26" s="253">
        <v>25</v>
      </c>
      <c r="R26" s="253">
        <v>25.04</v>
      </c>
      <c r="S26" s="253">
        <v>22.5</v>
      </c>
      <c r="T26" s="253">
        <v>22.96</v>
      </c>
      <c r="U26" s="253">
        <v>22.87</v>
      </c>
      <c r="V26" s="253">
        <v>23.27</v>
      </c>
      <c r="W26" s="254">
        <v>23.27</v>
      </c>
      <c r="X26" s="253">
        <v>23.09</v>
      </c>
      <c r="Y26" s="253">
        <v>23.19</v>
      </c>
      <c r="Z26" s="247">
        <f ca="1">[1]ExtEntry!$F24</f>
        <v>27.83</v>
      </c>
      <c r="AA26" s="270"/>
      <c r="AB26" s="380">
        <v>10000</v>
      </c>
      <c r="AC26" s="380">
        <v>10000</v>
      </c>
      <c r="AD26" s="380">
        <v>10000</v>
      </c>
      <c r="AE26" s="380">
        <v>9200</v>
      </c>
      <c r="AF26" s="380">
        <v>9200</v>
      </c>
      <c r="AG26" s="380">
        <v>9200</v>
      </c>
      <c r="AH26" s="380">
        <v>8000</v>
      </c>
      <c r="AI26" s="380">
        <v>8000</v>
      </c>
      <c r="AJ26" s="380">
        <v>8000</v>
      </c>
      <c r="AK26" s="380">
        <v>9200</v>
      </c>
      <c r="AL26" s="380">
        <v>9200</v>
      </c>
      <c r="AM26" s="380">
        <v>9200</v>
      </c>
      <c r="AN26" s="380">
        <v>9200</v>
      </c>
      <c r="AO26" s="380">
        <v>9200</v>
      </c>
      <c r="AP26" s="380">
        <v>11000</v>
      </c>
      <c r="AQ26" s="380">
        <v>11000</v>
      </c>
      <c r="AR26" s="380">
        <v>11000</v>
      </c>
      <c r="AS26" s="380">
        <v>11000</v>
      </c>
      <c r="AT26" s="380">
        <v>11000</v>
      </c>
      <c r="AU26" s="380">
        <v>11000</v>
      </c>
      <c r="AV26" s="381">
        <f ca="1">Calc!G24</f>
        <v>5000</v>
      </c>
      <c r="AW26" s="253"/>
      <c r="AX26" s="88" t="str">
        <f t="shared" ca="1" si="3"/>
        <v>HPQ</v>
      </c>
      <c r="BA26" s="253"/>
      <c r="CP26" s="253"/>
      <c r="EH26" s="110"/>
      <c r="FD26" s="285"/>
      <c r="FZ26" s="253"/>
      <c r="GV26" s="253"/>
      <c r="HR26" s="253"/>
      <c r="IN26" s="253"/>
    </row>
    <row r="27" spans="1:248" hidden="1">
      <c r="A27" s="241" t="str">
        <f ca="1">[1]ExtEntry!$A25</f>
        <v>IAG</v>
      </c>
      <c r="B27" s="250"/>
      <c r="C27" s="251"/>
      <c r="D27" s="251">
        <f>ROW()</f>
        <v>27</v>
      </c>
      <c r="E27" s="387">
        <f ca="1">[1]ExtEntry!$E27</f>
        <v>45954.840321863281</v>
      </c>
      <c r="F27" s="253">
        <v>26.71</v>
      </c>
      <c r="G27" s="253">
        <v>26.89</v>
      </c>
      <c r="H27" s="253">
        <v>27.23</v>
      </c>
      <c r="I27" s="253">
        <v>26.7</v>
      </c>
      <c r="J27" s="253">
        <v>26.48</v>
      </c>
      <c r="K27" s="253">
        <v>26.61</v>
      </c>
      <c r="L27" s="253">
        <v>26.55</v>
      </c>
      <c r="M27" s="253">
        <v>27.03</v>
      </c>
      <c r="N27" s="253">
        <v>27.03</v>
      </c>
      <c r="O27" s="253">
        <v>25.55</v>
      </c>
      <c r="P27" s="253">
        <v>27.35</v>
      </c>
      <c r="Q27" s="253">
        <v>28.54</v>
      </c>
      <c r="R27" s="253">
        <v>28.61</v>
      </c>
      <c r="S27" s="253">
        <v>27.2</v>
      </c>
      <c r="T27" s="253">
        <v>27.37</v>
      </c>
      <c r="U27" s="253">
        <v>27.66</v>
      </c>
      <c r="V27" s="253">
        <v>28.16</v>
      </c>
      <c r="W27" s="254">
        <v>28.16</v>
      </c>
      <c r="X27" s="253">
        <v>27.66</v>
      </c>
      <c r="Y27" s="253">
        <v>27.83</v>
      </c>
      <c r="Z27" s="247">
        <f ca="1">[1]ExtEntry!$F25</f>
        <v>403.5</v>
      </c>
      <c r="AA27" s="270"/>
      <c r="AB27" s="380">
        <v>1000</v>
      </c>
      <c r="AC27" s="380">
        <v>1000</v>
      </c>
      <c r="AD27" s="380">
        <v>1000</v>
      </c>
      <c r="AE27" s="380">
        <v>1000</v>
      </c>
      <c r="AF27" s="380">
        <v>1000</v>
      </c>
      <c r="AG27" s="380">
        <v>1000</v>
      </c>
      <c r="AH27" s="380">
        <v>1000</v>
      </c>
      <c r="AI27" s="380">
        <v>1000</v>
      </c>
      <c r="AJ27" s="380">
        <v>1000</v>
      </c>
      <c r="AK27" s="380">
        <v>5000</v>
      </c>
      <c r="AL27" s="380">
        <v>5000</v>
      </c>
      <c r="AM27" s="380">
        <v>4000</v>
      </c>
      <c r="AN27" s="380">
        <v>5000</v>
      </c>
      <c r="AO27" s="380">
        <v>5000</v>
      </c>
      <c r="AP27" s="380">
        <v>5000</v>
      </c>
      <c r="AQ27" s="380">
        <v>5000</v>
      </c>
      <c r="AR27" s="380">
        <v>5000</v>
      </c>
      <c r="AS27" s="380">
        <v>5000</v>
      </c>
      <c r="AT27" s="380">
        <v>5000</v>
      </c>
      <c r="AU27" s="380">
        <v>5000</v>
      </c>
      <c r="AV27" s="381">
        <f ca="1">Calc!G25</f>
        <v>200000</v>
      </c>
      <c r="AW27" s="253"/>
      <c r="AX27" s="88" t="str">
        <f t="shared" ca="1" si="3"/>
        <v>IAG</v>
      </c>
      <c r="BA27" s="253"/>
      <c r="CP27" s="253"/>
      <c r="EH27" s="110"/>
      <c r="FD27" s="285"/>
      <c r="FZ27" s="253"/>
      <c r="GV27" s="253"/>
      <c r="HR27" s="253"/>
      <c r="IN27" s="253"/>
    </row>
    <row r="28" spans="1:248" hidden="1">
      <c r="A28" s="241" t="str">
        <f ca="1">[1]ExtEntry!$A26</f>
        <v>KR</v>
      </c>
      <c r="B28" s="250"/>
      <c r="C28" s="251"/>
      <c r="D28" s="251">
        <f>ROW()</f>
        <v>28</v>
      </c>
      <c r="E28" s="387">
        <f ca="1">[1]ExtEntry!$E28</f>
        <v>45954.999517661716</v>
      </c>
      <c r="F28" s="253">
        <v>381.7</v>
      </c>
      <c r="G28" s="253">
        <v>384.1</v>
      </c>
      <c r="H28" s="253">
        <v>386.1</v>
      </c>
      <c r="I28" s="253">
        <v>379.4</v>
      </c>
      <c r="J28" s="253">
        <v>386.6</v>
      </c>
      <c r="K28" s="253">
        <v>387.8</v>
      </c>
      <c r="L28" s="253">
        <v>389.7</v>
      </c>
      <c r="M28" s="253">
        <v>400</v>
      </c>
      <c r="N28" s="253">
        <v>412.8</v>
      </c>
      <c r="O28" s="253">
        <v>408</v>
      </c>
      <c r="P28" s="253">
        <v>408.2</v>
      </c>
      <c r="Q28" s="253">
        <v>408</v>
      </c>
      <c r="R28" s="253">
        <v>407.5</v>
      </c>
      <c r="S28" s="253">
        <v>406.3</v>
      </c>
      <c r="T28" s="253">
        <v>391.2</v>
      </c>
      <c r="U28" s="253">
        <v>396</v>
      </c>
      <c r="V28" s="253">
        <v>393.8</v>
      </c>
      <c r="W28" s="254">
        <v>393.8</v>
      </c>
      <c r="X28" s="253">
        <v>402.6</v>
      </c>
      <c r="Y28" s="253">
        <v>403.5</v>
      </c>
      <c r="Z28" s="247">
        <f ca="1">[1]ExtEntry!$F26</f>
        <v>68.66</v>
      </c>
      <c r="AA28" s="270"/>
      <c r="AB28" s="380">
        <v>270000</v>
      </c>
      <c r="AC28" s="380">
        <v>270000</v>
      </c>
      <c r="AD28" s="380">
        <v>270000</v>
      </c>
      <c r="AE28" s="380">
        <v>270000</v>
      </c>
      <c r="AF28" s="380">
        <v>260000</v>
      </c>
      <c r="AG28" s="380">
        <v>260000</v>
      </c>
      <c r="AH28" s="380">
        <v>250000</v>
      </c>
      <c r="AI28" s="380">
        <v>240000</v>
      </c>
      <c r="AJ28" s="380">
        <v>240000</v>
      </c>
      <c r="AK28" s="380">
        <v>240000</v>
      </c>
      <c r="AL28" s="380">
        <v>240000</v>
      </c>
      <c r="AM28" s="380">
        <v>240000</v>
      </c>
      <c r="AN28" s="380">
        <v>240000</v>
      </c>
      <c r="AO28" s="380">
        <v>240000</v>
      </c>
      <c r="AP28" s="380">
        <v>240000</v>
      </c>
      <c r="AQ28" s="380">
        <v>240000</v>
      </c>
      <c r="AR28" s="380">
        <v>230000</v>
      </c>
      <c r="AS28" s="380">
        <v>230000</v>
      </c>
      <c r="AT28" s="380">
        <v>220000</v>
      </c>
      <c r="AU28" s="380">
        <v>200000</v>
      </c>
      <c r="AV28" s="381">
        <f ca="1">Calc!G26</f>
        <v>5000</v>
      </c>
      <c r="AW28" s="253"/>
      <c r="AX28" s="88" t="str">
        <f t="shared" ca="1" si="3"/>
        <v>KR</v>
      </c>
      <c r="BA28" s="253"/>
      <c r="CP28" s="253"/>
      <c r="EH28" s="110"/>
      <c r="FD28" s="285"/>
      <c r="FZ28" s="253"/>
      <c r="GV28" s="253"/>
      <c r="HR28" s="253"/>
      <c r="IN28" s="253"/>
    </row>
    <row r="29" spans="1:248" hidden="1">
      <c r="A29" s="241" t="str">
        <f ca="1">[1]ExtEntry!$A27</f>
        <v>LNSR</v>
      </c>
      <c r="B29" s="250"/>
      <c r="C29" s="251"/>
      <c r="D29" s="251">
        <f>ROW()</f>
        <v>29</v>
      </c>
      <c r="E29" s="387">
        <f ca="1">[1]ExtEntry!$E29</f>
        <v>45954.999891851563</v>
      </c>
      <c r="F29" s="253">
        <v>65.459999999999994</v>
      </c>
      <c r="G29" s="253">
        <v>66.430000000000007</v>
      </c>
      <c r="H29" s="253">
        <v>67.41</v>
      </c>
      <c r="I29" s="253">
        <v>66.510000000000005</v>
      </c>
      <c r="J29" s="253">
        <v>66.36</v>
      </c>
      <c r="K29" s="253">
        <v>64.8</v>
      </c>
      <c r="L29" s="253">
        <v>66.88</v>
      </c>
      <c r="M29" s="253">
        <v>68.12</v>
      </c>
      <c r="N29" s="253">
        <v>68.12</v>
      </c>
      <c r="O29" s="253">
        <v>67.78</v>
      </c>
      <c r="P29" s="253">
        <v>67.13</v>
      </c>
      <c r="Q29" s="253">
        <v>69.13</v>
      </c>
      <c r="R29" s="253">
        <v>69.099999999999994</v>
      </c>
      <c r="S29" s="253">
        <v>68.88</v>
      </c>
      <c r="T29" s="253">
        <v>68.989999999999995</v>
      </c>
      <c r="U29" s="253">
        <v>69.150000000000006</v>
      </c>
      <c r="V29" s="253">
        <v>67.599999999999994</v>
      </c>
      <c r="W29" s="254">
        <v>67.599999999999994</v>
      </c>
      <c r="X29" s="253">
        <v>68.599999999999994</v>
      </c>
      <c r="Y29" s="253">
        <v>68.66</v>
      </c>
      <c r="Z29" s="247">
        <f ca="1">[1]ExtEntry!$F27</f>
        <v>11.98</v>
      </c>
      <c r="AA29" s="270"/>
      <c r="AB29" s="380">
        <v>2660</v>
      </c>
      <c r="AC29" s="380">
        <v>2660</v>
      </c>
      <c r="AD29" s="380">
        <v>2660</v>
      </c>
      <c r="AE29" s="380">
        <v>2660</v>
      </c>
      <c r="AF29" s="380">
        <v>2660</v>
      </c>
      <c r="AG29" s="380">
        <v>2660</v>
      </c>
      <c r="AH29" s="380">
        <v>2660</v>
      </c>
      <c r="AI29" s="380">
        <v>2660</v>
      </c>
      <c r="AJ29" s="380">
        <v>2660</v>
      </c>
      <c r="AK29" s="380">
        <v>2660</v>
      </c>
      <c r="AL29" s="380">
        <v>2660</v>
      </c>
      <c r="AM29" s="380">
        <v>2660</v>
      </c>
      <c r="AN29" s="380">
        <v>2660</v>
      </c>
      <c r="AO29" s="380">
        <v>2660</v>
      </c>
      <c r="AP29" s="380">
        <v>4000</v>
      </c>
      <c r="AQ29" s="380">
        <v>4000</v>
      </c>
      <c r="AR29" s="380">
        <v>4000</v>
      </c>
      <c r="AS29" s="380">
        <v>4000</v>
      </c>
      <c r="AT29" s="380">
        <v>4000</v>
      </c>
      <c r="AU29" s="380">
        <v>5000</v>
      </c>
      <c r="AV29" s="381">
        <f ca="1">Calc!G27</f>
        <v>0</v>
      </c>
      <c r="AW29" s="253"/>
      <c r="AX29" s="88" t="str">
        <f t="shared" ca="1" si="3"/>
        <v>LNSR</v>
      </c>
      <c r="BA29" s="253"/>
      <c r="CP29" s="253"/>
      <c r="EH29" s="110"/>
      <c r="FD29" s="285"/>
      <c r="FZ29" s="253"/>
      <c r="GV29" s="253"/>
      <c r="HR29" s="253"/>
      <c r="IN29" s="253"/>
    </row>
    <row r="30" spans="1:248" hidden="1">
      <c r="A30" s="241" t="str">
        <f ca="1">[1]ExtEntry!$A28</f>
        <v>LUMN</v>
      </c>
      <c r="B30" s="250"/>
      <c r="C30" s="251"/>
      <c r="D30" s="251">
        <f>ROW()</f>
        <v>30</v>
      </c>
      <c r="E30" s="387">
        <f ca="1">[1]ExtEntry!$E30</f>
        <v>45954.999993089841</v>
      </c>
      <c r="F30" s="253">
        <v>12.35</v>
      </c>
      <c r="G30" s="253">
        <v>12.24</v>
      </c>
      <c r="H30" s="253">
        <v>12.35</v>
      </c>
      <c r="I30" s="253">
        <v>12.27</v>
      </c>
      <c r="J30" s="253">
        <v>12.43</v>
      </c>
      <c r="K30" s="253">
        <v>12.08</v>
      </c>
      <c r="L30" s="253">
        <v>12.06</v>
      </c>
      <c r="M30" s="253">
        <v>12.18</v>
      </c>
      <c r="N30" s="253">
        <v>12.18</v>
      </c>
      <c r="O30" s="253">
        <v>11.89</v>
      </c>
      <c r="P30" s="253">
        <v>11.97</v>
      </c>
      <c r="Q30" s="253">
        <v>11.98</v>
      </c>
      <c r="R30" s="253">
        <v>11.61</v>
      </c>
      <c r="S30" s="253">
        <v>11.82</v>
      </c>
      <c r="T30" s="253">
        <v>11.85</v>
      </c>
      <c r="U30" s="253">
        <v>12.28</v>
      </c>
      <c r="V30" s="253">
        <v>12.26</v>
      </c>
      <c r="W30" s="254">
        <v>12.26</v>
      </c>
      <c r="X30" s="253">
        <v>12.22</v>
      </c>
      <c r="Y30" s="253">
        <v>11.98</v>
      </c>
      <c r="Z30" s="247">
        <f ca="1">[1]ExtEntry!$F28</f>
        <v>7.79</v>
      </c>
      <c r="AA30" s="270"/>
      <c r="AB30" s="380">
        <v>0</v>
      </c>
      <c r="AC30" s="380">
        <v>0</v>
      </c>
      <c r="AD30" s="380">
        <v>0</v>
      </c>
      <c r="AE30" s="380">
        <v>0</v>
      </c>
      <c r="AF30" s="380">
        <v>0</v>
      </c>
      <c r="AG30" s="380">
        <v>0</v>
      </c>
      <c r="AH30" s="380">
        <v>0</v>
      </c>
      <c r="AI30" s="380">
        <v>0</v>
      </c>
      <c r="AJ30" s="380">
        <v>0</v>
      </c>
      <c r="AK30" s="380">
        <v>0</v>
      </c>
      <c r="AL30" s="380">
        <v>0</v>
      </c>
      <c r="AM30" s="380">
        <v>0</v>
      </c>
      <c r="AN30" s="380">
        <v>0</v>
      </c>
      <c r="AO30" s="380">
        <v>0</v>
      </c>
      <c r="AP30" s="380">
        <v>0</v>
      </c>
      <c r="AQ30" s="380">
        <v>0</v>
      </c>
      <c r="AR30" s="380">
        <v>0</v>
      </c>
      <c r="AS30" s="380">
        <v>0</v>
      </c>
      <c r="AT30" s="380">
        <v>0</v>
      </c>
      <c r="AU30" s="380">
        <v>0</v>
      </c>
      <c r="AV30" s="381">
        <f ca="1">Calc!G28</f>
        <v>10</v>
      </c>
      <c r="AW30" s="253"/>
      <c r="AX30" s="88" t="str">
        <f t="shared" ca="1" si="3"/>
        <v>LUMN</v>
      </c>
      <c r="BA30" s="253"/>
      <c r="CP30" s="253"/>
      <c r="EH30" s="110"/>
      <c r="FD30" s="285"/>
      <c r="FZ30" s="253"/>
      <c r="GV30" s="253"/>
      <c r="HR30" s="253"/>
      <c r="IN30" s="253"/>
    </row>
    <row r="31" spans="1:248" hidden="1">
      <c r="A31" s="241" t="str">
        <f ca="1">[1]ExtEntry!$A29</f>
        <v>MRNA</v>
      </c>
      <c r="B31" s="250"/>
      <c r="C31" s="251"/>
      <c r="D31" s="251">
        <f>ROW()</f>
        <v>31</v>
      </c>
      <c r="E31" s="387">
        <f ca="1">[1]ExtEntry!$E31</f>
        <v>45954.999849108593</v>
      </c>
      <c r="F31" s="253">
        <v>5.92</v>
      </c>
      <c r="G31" s="253">
        <v>5.89</v>
      </c>
      <c r="H31" s="253">
        <v>6.12</v>
      </c>
      <c r="I31" s="253">
        <v>6.07</v>
      </c>
      <c r="J31" s="253">
        <v>6.38</v>
      </c>
      <c r="K31" s="253">
        <v>7.16</v>
      </c>
      <c r="L31" s="253">
        <v>6.91</v>
      </c>
      <c r="M31" s="253">
        <v>7.04</v>
      </c>
      <c r="N31" s="253">
        <v>7.04</v>
      </c>
      <c r="O31" s="253">
        <v>6.58</v>
      </c>
      <c r="P31" s="253">
        <v>6.75</v>
      </c>
      <c r="Q31" s="253">
        <v>6.87</v>
      </c>
      <c r="R31" s="253">
        <v>7.27</v>
      </c>
      <c r="S31" s="253">
        <v>7.02</v>
      </c>
      <c r="T31" s="253">
        <v>6.9</v>
      </c>
      <c r="U31" s="253">
        <v>7.16</v>
      </c>
      <c r="V31" s="253">
        <v>7.17</v>
      </c>
      <c r="W31" s="254">
        <v>7.17</v>
      </c>
      <c r="X31" s="253">
        <v>7.04</v>
      </c>
      <c r="Y31" s="253">
        <v>7.79</v>
      </c>
      <c r="Z31" s="247">
        <f ca="1">[1]ExtEntry!$F29</f>
        <v>26.25</v>
      </c>
      <c r="AA31" s="270"/>
      <c r="AB31" s="380">
        <v>1000</v>
      </c>
      <c r="AC31" s="380">
        <v>1000</v>
      </c>
      <c r="AD31" s="380">
        <v>1000</v>
      </c>
      <c r="AE31" s="380">
        <v>1000</v>
      </c>
      <c r="AF31" s="380">
        <v>1000</v>
      </c>
      <c r="AG31" s="380">
        <v>1000</v>
      </c>
      <c r="AH31" s="380">
        <v>1000</v>
      </c>
      <c r="AI31" s="380">
        <v>10</v>
      </c>
      <c r="AJ31" s="380">
        <v>10</v>
      </c>
      <c r="AK31" s="380">
        <v>10</v>
      </c>
      <c r="AL31" s="380">
        <v>10</v>
      </c>
      <c r="AM31" s="380">
        <v>10</v>
      </c>
      <c r="AN31" s="380">
        <v>10</v>
      </c>
      <c r="AO31" s="380">
        <v>10</v>
      </c>
      <c r="AP31" s="380">
        <v>10</v>
      </c>
      <c r="AQ31" s="380">
        <v>10</v>
      </c>
      <c r="AR31" s="380">
        <v>10</v>
      </c>
      <c r="AS31" s="380">
        <v>10</v>
      </c>
      <c r="AT31" s="380">
        <v>10</v>
      </c>
      <c r="AU31" s="380">
        <v>10</v>
      </c>
      <c r="AV31" s="381">
        <f ca="1">Calc!G29</f>
        <v>12000</v>
      </c>
      <c r="AW31" s="253"/>
      <c r="AX31" s="88" t="str">
        <f t="shared" ca="1" si="3"/>
        <v>MRNA</v>
      </c>
      <c r="BA31" s="253"/>
      <c r="CP31" s="253"/>
      <c r="EH31" s="110"/>
      <c r="FD31" s="285"/>
      <c r="FZ31" s="253"/>
      <c r="GV31" s="253"/>
      <c r="HR31" s="253"/>
      <c r="IN31" s="253"/>
    </row>
    <row r="32" spans="1:248" hidden="1">
      <c r="A32" s="241" t="str">
        <f ca="1">[1]ExtEntry!$A30</f>
        <v>MSFT</v>
      </c>
      <c r="B32" s="250"/>
      <c r="C32" s="251"/>
      <c r="D32" s="251">
        <f>ROW()</f>
        <v>32</v>
      </c>
      <c r="E32" s="387">
        <f ca="1">[1]ExtEntry!$E32</f>
        <v>45954.999974409373</v>
      </c>
      <c r="F32" s="253">
        <v>24.49</v>
      </c>
      <c r="G32" s="253">
        <v>25.33</v>
      </c>
      <c r="H32" s="253">
        <v>25.83</v>
      </c>
      <c r="I32" s="253">
        <v>27.6</v>
      </c>
      <c r="J32" s="253">
        <v>28.37</v>
      </c>
      <c r="K32" s="253">
        <v>27.54</v>
      </c>
      <c r="L32" s="253">
        <v>27.34</v>
      </c>
      <c r="M32" s="253">
        <v>27.92</v>
      </c>
      <c r="N32" s="253">
        <v>27.92</v>
      </c>
      <c r="O32" s="253">
        <v>26.83</v>
      </c>
      <c r="P32" s="253">
        <v>26.74</v>
      </c>
      <c r="Q32" s="253">
        <v>26.25</v>
      </c>
      <c r="R32" s="253">
        <v>27.72</v>
      </c>
      <c r="S32" s="253">
        <v>27.14</v>
      </c>
      <c r="T32" s="253">
        <v>26.01</v>
      </c>
      <c r="U32" s="253">
        <v>27.24</v>
      </c>
      <c r="V32" s="253">
        <v>27.49</v>
      </c>
      <c r="W32" s="254">
        <v>27.49</v>
      </c>
      <c r="X32" s="253">
        <v>26.85</v>
      </c>
      <c r="Y32" s="253">
        <v>26.25</v>
      </c>
      <c r="Z32" s="247">
        <f ca="1">[1]ExtEntry!$F30</f>
        <v>520.55999999999995</v>
      </c>
      <c r="AA32" s="270"/>
      <c r="AB32" s="380">
        <v>12000</v>
      </c>
      <c r="AC32" s="380">
        <v>12000</v>
      </c>
      <c r="AD32" s="380">
        <v>12000</v>
      </c>
      <c r="AE32" s="380">
        <v>12000</v>
      </c>
      <c r="AF32" s="380">
        <v>12000</v>
      </c>
      <c r="AG32" s="380">
        <v>12000</v>
      </c>
      <c r="AH32" s="380">
        <v>12000</v>
      </c>
      <c r="AI32" s="380">
        <v>12000</v>
      </c>
      <c r="AJ32" s="380">
        <v>12000</v>
      </c>
      <c r="AK32" s="380">
        <v>12000</v>
      </c>
      <c r="AL32" s="380">
        <v>12000</v>
      </c>
      <c r="AM32" s="380">
        <v>12000</v>
      </c>
      <c r="AN32" s="380">
        <v>12000</v>
      </c>
      <c r="AO32" s="380">
        <v>12000</v>
      </c>
      <c r="AP32" s="380">
        <v>12000</v>
      </c>
      <c r="AQ32" s="380">
        <v>12000</v>
      </c>
      <c r="AR32" s="380">
        <v>12000</v>
      </c>
      <c r="AS32" s="380">
        <v>12000</v>
      </c>
      <c r="AT32" s="380">
        <v>12000</v>
      </c>
      <c r="AU32" s="380">
        <v>12000</v>
      </c>
      <c r="AV32" s="381">
        <f ca="1">Calc!G30</f>
        <v>9800</v>
      </c>
      <c r="AW32" s="253"/>
      <c r="AX32" s="88" t="str">
        <f t="shared" ca="1" si="3"/>
        <v>MSFT</v>
      </c>
      <c r="BA32" s="253"/>
      <c r="CP32" s="253"/>
      <c r="EH32" s="110"/>
      <c r="FD32" s="285"/>
      <c r="FZ32" s="253"/>
      <c r="GV32" s="253"/>
      <c r="HR32" s="253"/>
      <c r="IN32" s="253"/>
    </row>
    <row r="33" spans="1:248" hidden="1">
      <c r="A33" s="241" t="str">
        <f ca="1">[1]ExtEntry!$A31</f>
        <v>NEE</v>
      </c>
      <c r="B33" s="250"/>
      <c r="C33" s="251"/>
      <c r="D33" s="251">
        <f>ROW()</f>
        <v>33</v>
      </c>
      <c r="E33" s="387">
        <f ca="1">[1]ExtEntry!$E33</f>
        <v>45954.999961203124</v>
      </c>
      <c r="F33" s="253">
        <v>511.46</v>
      </c>
      <c r="G33" s="253">
        <v>514.6</v>
      </c>
      <c r="H33" s="253">
        <v>517.95000000000005</v>
      </c>
      <c r="I33" s="253">
        <v>519.71</v>
      </c>
      <c r="J33" s="253">
        <v>515.74</v>
      </c>
      <c r="K33" s="253">
        <v>528.57000000000005</v>
      </c>
      <c r="L33" s="253">
        <v>523.98</v>
      </c>
      <c r="M33" s="253">
        <v>524.85</v>
      </c>
      <c r="N33" s="253">
        <v>524.85</v>
      </c>
      <c r="O33" s="253">
        <v>510.96</v>
      </c>
      <c r="P33" s="253">
        <v>514.04999999999995</v>
      </c>
      <c r="Q33" s="253">
        <v>513.57000000000005</v>
      </c>
      <c r="R33" s="253">
        <v>513.42999999999995</v>
      </c>
      <c r="S33" s="253">
        <v>511.61</v>
      </c>
      <c r="T33" s="253">
        <v>513.58000000000004</v>
      </c>
      <c r="U33" s="253">
        <v>516.79</v>
      </c>
      <c r="V33" s="253">
        <v>517.66</v>
      </c>
      <c r="W33" s="254">
        <v>517.66</v>
      </c>
      <c r="X33" s="253">
        <v>520.54</v>
      </c>
      <c r="Y33" s="253">
        <v>520.55999999999995</v>
      </c>
      <c r="Z33" s="247">
        <f ca="1">[1]ExtEntry!$F31</f>
        <v>83.25</v>
      </c>
      <c r="AA33" s="270"/>
      <c r="AB33" s="380">
        <v>9800</v>
      </c>
      <c r="AC33" s="380">
        <v>9800</v>
      </c>
      <c r="AD33" s="380">
        <v>9800</v>
      </c>
      <c r="AE33" s="380">
        <v>9800</v>
      </c>
      <c r="AF33" s="380">
        <v>9800</v>
      </c>
      <c r="AG33" s="380">
        <v>9650</v>
      </c>
      <c r="AH33" s="380">
        <v>9650</v>
      </c>
      <c r="AI33" s="380">
        <v>9650</v>
      </c>
      <c r="AJ33" s="380">
        <v>9650</v>
      </c>
      <c r="AK33" s="380">
        <v>9800</v>
      </c>
      <c r="AL33" s="380">
        <v>9800</v>
      </c>
      <c r="AM33" s="380">
        <v>9800</v>
      </c>
      <c r="AN33" s="380">
        <v>9800</v>
      </c>
      <c r="AO33" s="380">
        <v>9800</v>
      </c>
      <c r="AP33" s="380">
        <v>9800</v>
      </c>
      <c r="AQ33" s="380">
        <v>9800</v>
      </c>
      <c r="AR33" s="380">
        <v>9800</v>
      </c>
      <c r="AS33" s="380">
        <v>9800</v>
      </c>
      <c r="AT33" s="380">
        <v>9800</v>
      </c>
      <c r="AU33" s="380">
        <v>9800</v>
      </c>
      <c r="AV33" s="381">
        <f ca="1">Calc!G31</f>
        <v>400</v>
      </c>
      <c r="AW33" s="253"/>
      <c r="AX33" s="88" t="str">
        <f t="shared" ca="1" si="3"/>
        <v>NEE</v>
      </c>
      <c r="BA33" s="253"/>
      <c r="CP33" s="253"/>
      <c r="EH33" s="110"/>
      <c r="FD33" s="285"/>
      <c r="FZ33" s="253"/>
      <c r="GV33" s="253"/>
      <c r="HR33" s="253"/>
      <c r="IN33" s="253"/>
    </row>
    <row r="34" spans="1:248" hidden="1">
      <c r="A34" s="241" t="str">
        <f ca="1">[1]ExtEntry!$A32</f>
        <v>NEM</v>
      </c>
      <c r="B34" s="250"/>
      <c r="C34" s="251"/>
      <c r="D34" s="251">
        <f>ROW()</f>
        <v>34</v>
      </c>
      <c r="E34" s="387">
        <f ca="1">[1]ExtEntry!$E34</f>
        <v>45954.988893668749</v>
      </c>
      <c r="F34" s="253">
        <v>75.849999999999994</v>
      </c>
      <c r="G34" s="253">
        <v>76.209999999999994</v>
      </c>
      <c r="H34" s="253">
        <v>75.489999999999995</v>
      </c>
      <c r="I34" s="253">
        <v>78.67</v>
      </c>
      <c r="J34" s="253">
        <v>78.180000000000007</v>
      </c>
      <c r="K34" s="253">
        <v>82.11</v>
      </c>
      <c r="L34" s="253">
        <v>83.21</v>
      </c>
      <c r="M34" s="253">
        <v>84.04</v>
      </c>
      <c r="N34" s="253">
        <v>84.04</v>
      </c>
      <c r="O34" s="253">
        <v>83.35</v>
      </c>
      <c r="P34" s="253">
        <v>84.3</v>
      </c>
      <c r="Q34" s="253">
        <v>84.64</v>
      </c>
      <c r="R34" s="253">
        <v>85.79</v>
      </c>
      <c r="S34" s="253">
        <v>85.05</v>
      </c>
      <c r="T34" s="253">
        <v>84.53</v>
      </c>
      <c r="U34" s="253">
        <v>84.77</v>
      </c>
      <c r="V34" s="253">
        <v>83.99</v>
      </c>
      <c r="W34" s="254">
        <v>83.99</v>
      </c>
      <c r="X34" s="253">
        <v>82.84</v>
      </c>
      <c r="Y34" s="253">
        <v>83.25</v>
      </c>
      <c r="Z34" s="247">
        <f ca="1">[1]ExtEntry!$F32</f>
        <v>88.91</v>
      </c>
      <c r="AA34" s="270"/>
      <c r="AB34" s="380">
        <v>1200</v>
      </c>
      <c r="AC34" s="380">
        <v>1200</v>
      </c>
      <c r="AD34" s="380">
        <v>1200</v>
      </c>
      <c r="AE34" s="380">
        <v>1200</v>
      </c>
      <c r="AF34" s="380">
        <v>1200</v>
      </c>
      <c r="AG34" s="380">
        <v>700</v>
      </c>
      <c r="AH34" s="380">
        <v>700</v>
      </c>
      <c r="AI34" s="380">
        <v>700</v>
      </c>
      <c r="AJ34" s="380">
        <v>700</v>
      </c>
      <c r="AK34" s="380">
        <v>700</v>
      </c>
      <c r="AL34" s="380">
        <v>400</v>
      </c>
      <c r="AM34" s="380">
        <v>400</v>
      </c>
      <c r="AN34" s="380">
        <v>400</v>
      </c>
      <c r="AO34" s="380">
        <v>400</v>
      </c>
      <c r="AP34" s="380">
        <v>400</v>
      </c>
      <c r="AQ34" s="380">
        <v>400</v>
      </c>
      <c r="AR34" s="380">
        <v>400</v>
      </c>
      <c r="AS34" s="380">
        <v>400</v>
      </c>
      <c r="AT34" s="380">
        <v>400</v>
      </c>
      <c r="AU34" s="380">
        <v>400</v>
      </c>
      <c r="AV34" s="381">
        <f ca="1">Calc!G32</f>
        <v>17000</v>
      </c>
      <c r="AW34" s="253"/>
      <c r="AX34" s="88" t="str">
        <f t="shared" ca="1" si="3"/>
        <v>NEM</v>
      </c>
      <c r="BA34" s="253"/>
      <c r="CP34" s="253"/>
      <c r="EH34" s="110"/>
      <c r="FD34" s="285"/>
      <c r="FZ34" s="253"/>
      <c r="GV34" s="253"/>
      <c r="HR34" s="253"/>
      <c r="IN34" s="253"/>
    </row>
    <row r="35" spans="1:248" hidden="1">
      <c r="A35" s="241" t="str">
        <f ca="1">[1]ExtEntry!$A33</f>
        <v>NFLX</v>
      </c>
      <c r="B35" s="250"/>
      <c r="C35" s="251"/>
      <c r="D35" s="251">
        <f>ROW()</f>
        <v>35</v>
      </c>
      <c r="E35" s="387">
        <f ca="1">[1]ExtEntry!$E35</f>
        <v>45954.998963726561</v>
      </c>
      <c r="F35" s="253">
        <v>85.25</v>
      </c>
      <c r="G35" s="253">
        <v>84.54</v>
      </c>
      <c r="H35" s="253">
        <v>84.31</v>
      </c>
      <c r="I35" s="253">
        <v>85.95</v>
      </c>
      <c r="J35" s="253">
        <v>86.43</v>
      </c>
      <c r="K35" s="253">
        <v>88.51</v>
      </c>
      <c r="L35" s="253">
        <v>86.95</v>
      </c>
      <c r="M35" s="253">
        <v>88.4</v>
      </c>
      <c r="N35" s="253">
        <v>88.4</v>
      </c>
      <c r="O35" s="253">
        <v>85.14</v>
      </c>
      <c r="P35" s="253">
        <v>89.4</v>
      </c>
      <c r="Q35" s="253">
        <v>90.54</v>
      </c>
      <c r="R35" s="253">
        <v>93.58</v>
      </c>
      <c r="S35" s="253">
        <v>98.27</v>
      </c>
      <c r="T35" s="253">
        <v>90.77</v>
      </c>
      <c r="U35" s="253">
        <v>94.89</v>
      </c>
      <c r="V35" s="253">
        <v>86.32</v>
      </c>
      <c r="W35" s="254">
        <v>86.32</v>
      </c>
      <c r="X35" s="253">
        <v>87.01</v>
      </c>
      <c r="Y35" s="253">
        <v>88.91</v>
      </c>
      <c r="Z35" s="247">
        <f ca="1">[1]ExtEntry!$F33</f>
        <v>1113.5899999999999</v>
      </c>
      <c r="AA35" s="270"/>
      <c r="AB35" s="380">
        <v>14000</v>
      </c>
      <c r="AC35" s="380">
        <v>14000</v>
      </c>
      <c r="AD35" s="380">
        <v>14000</v>
      </c>
      <c r="AE35" s="380">
        <v>14000</v>
      </c>
      <c r="AF35" s="380">
        <v>14000</v>
      </c>
      <c r="AG35" s="380">
        <v>14000</v>
      </c>
      <c r="AH35" s="380">
        <v>14000</v>
      </c>
      <c r="AI35" s="380">
        <v>14000</v>
      </c>
      <c r="AJ35" s="380">
        <v>14000</v>
      </c>
      <c r="AK35" s="380">
        <v>14000</v>
      </c>
      <c r="AL35" s="380">
        <v>14000</v>
      </c>
      <c r="AM35" s="380">
        <v>14000</v>
      </c>
      <c r="AN35" s="380">
        <v>14000</v>
      </c>
      <c r="AO35" s="380">
        <v>14000</v>
      </c>
      <c r="AP35" s="380">
        <v>13000</v>
      </c>
      <c r="AQ35" s="380">
        <v>17000</v>
      </c>
      <c r="AR35" s="380">
        <v>17000</v>
      </c>
      <c r="AS35" s="380">
        <v>17000</v>
      </c>
      <c r="AT35" s="380">
        <v>15000</v>
      </c>
      <c r="AU35" s="380">
        <v>17000</v>
      </c>
      <c r="AV35" s="381">
        <f ca="1">Calc!G33</f>
        <v>3000</v>
      </c>
      <c r="AW35" s="253"/>
      <c r="AX35" s="88" t="str">
        <f t="shared" ca="1" si="3"/>
        <v>NFLX</v>
      </c>
      <c r="BA35" s="253"/>
      <c r="CP35" s="253"/>
      <c r="EH35" s="110"/>
      <c r="FD35" s="285"/>
      <c r="FZ35" s="253"/>
      <c r="GV35" s="253"/>
      <c r="HR35" s="253"/>
      <c r="IN35" s="253"/>
    </row>
    <row r="36" spans="1:248" hidden="1">
      <c r="A36" s="241" t="str">
        <f ca="1">[1]ExtEntry!$A34</f>
        <v>NOTE</v>
      </c>
      <c r="B36" s="250"/>
      <c r="C36" s="251"/>
      <c r="D36" s="251">
        <f>ROW()</f>
        <v>36</v>
      </c>
      <c r="E36" s="387">
        <f ca="1">[1]ExtEntry!$E36</f>
        <v>45954.84032655078</v>
      </c>
      <c r="F36" s="253">
        <v>1210.6099999999999</v>
      </c>
      <c r="G36" s="253">
        <v>1206.4100000000001</v>
      </c>
      <c r="H36" s="253">
        <v>1198.92</v>
      </c>
      <c r="I36" s="253">
        <v>1170.9000000000001</v>
      </c>
      <c r="J36" s="253">
        <v>1162.53</v>
      </c>
      <c r="K36" s="253">
        <v>1163.31</v>
      </c>
      <c r="L36" s="253">
        <v>1191.06</v>
      </c>
      <c r="M36" s="253">
        <v>1214.25</v>
      </c>
      <c r="N36" s="253">
        <v>1214.25</v>
      </c>
      <c r="O36" s="253">
        <v>1220.08</v>
      </c>
      <c r="P36" s="253">
        <v>1219.03</v>
      </c>
      <c r="Q36" s="253">
        <v>1215.3499999999999</v>
      </c>
      <c r="R36" s="253">
        <v>1203.29</v>
      </c>
      <c r="S36" s="253">
        <v>1183.5899999999999</v>
      </c>
      <c r="T36" s="253">
        <v>1199.3599999999999</v>
      </c>
      <c r="U36" s="253">
        <v>1238.56</v>
      </c>
      <c r="V36" s="253">
        <v>1241.3499999999999</v>
      </c>
      <c r="W36" s="254">
        <v>1241.3499999999999</v>
      </c>
      <c r="X36" s="253">
        <v>1116.3699999999999</v>
      </c>
      <c r="Y36" s="253">
        <v>1113.5899999999999</v>
      </c>
      <c r="Z36" s="247">
        <f ca="1">[1]ExtEntry!$F34</f>
        <v>4.45</v>
      </c>
      <c r="AA36" s="270"/>
      <c r="AB36" s="380">
        <v>600</v>
      </c>
      <c r="AC36" s="380">
        <v>600</v>
      </c>
      <c r="AD36" s="380">
        <v>600</v>
      </c>
      <c r="AE36" s="380">
        <v>600</v>
      </c>
      <c r="AF36" s="380">
        <v>600</v>
      </c>
      <c r="AG36" s="380">
        <v>800</v>
      </c>
      <c r="AH36" s="380">
        <v>800</v>
      </c>
      <c r="AI36" s="380">
        <v>700</v>
      </c>
      <c r="AJ36" s="380">
        <v>700</v>
      </c>
      <c r="AK36" s="380">
        <v>700</v>
      </c>
      <c r="AL36" s="380">
        <v>700</v>
      </c>
      <c r="AM36" s="380">
        <v>700</v>
      </c>
      <c r="AN36" s="380">
        <v>800</v>
      </c>
      <c r="AO36" s="380">
        <v>800</v>
      </c>
      <c r="AP36" s="380">
        <v>700</v>
      </c>
      <c r="AQ36" s="380">
        <v>700</v>
      </c>
      <c r="AR36" s="380">
        <v>2000</v>
      </c>
      <c r="AS36" s="380">
        <v>2000</v>
      </c>
      <c r="AT36" s="380">
        <v>2500</v>
      </c>
      <c r="AU36" s="380">
        <v>3000</v>
      </c>
      <c r="AV36" s="381">
        <f ca="1">Calc!G34</f>
        <v>26667</v>
      </c>
      <c r="AW36" s="253"/>
      <c r="AX36" s="88" t="str">
        <f t="shared" ca="1" si="3"/>
        <v>NOTE</v>
      </c>
      <c r="BA36" s="253"/>
      <c r="CP36" s="253"/>
      <c r="EH36" s="110"/>
      <c r="FD36" s="285"/>
      <c r="FZ36" s="253"/>
      <c r="GV36" s="253"/>
      <c r="HR36" s="253"/>
      <c r="IN36" s="253"/>
    </row>
    <row r="37" spans="1:248" hidden="1">
      <c r="A37" s="241" t="str">
        <f ca="1">[1]ExtEntry!$A35</f>
        <v>PAAS</v>
      </c>
      <c r="B37" s="250"/>
      <c r="C37" s="251"/>
      <c r="D37" s="251">
        <f>ROW()</f>
        <v>37</v>
      </c>
      <c r="E37" s="387">
        <f ca="1">[1]ExtEntry!$E37</f>
        <v>45954.999822685153</v>
      </c>
      <c r="F37" s="253">
        <v>4.55</v>
      </c>
      <c r="G37" s="253">
        <v>4.66</v>
      </c>
      <c r="H37" s="253">
        <v>4.63</v>
      </c>
      <c r="I37" s="253">
        <v>4.68</v>
      </c>
      <c r="J37" s="253">
        <v>4.97</v>
      </c>
      <c r="K37" s="253">
        <v>5.14</v>
      </c>
      <c r="L37" s="253">
        <v>5.05</v>
      </c>
      <c r="M37" s="253">
        <v>5.29</v>
      </c>
      <c r="N37" s="253">
        <v>5.29</v>
      </c>
      <c r="O37" s="253">
        <v>4.66</v>
      </c>
      <c r="P37" s="253">
        <v>4.6100000000000003</v>
      </c>
      <c r="Q37" s="253">
        <v>4.7300000000000004</v>
      </c>
      <c r="R37" s="253">
        <v>4.67</v>
      </c>
      <c r="S37" s="253">
        <v>4.3899999999999997</v>
      </c>
      <c r="T37" s="253">
        <v>4.25</v>
      </c>
      <c r="U37" s="253">
        <v>4.45</v>
      </c>
      <c r="V37" s="253">
        <v>4.49</v>
      </c>
      <c r="W37" s="254">
        <v>4.49</v>
      </c>
      <c r="X37" s="253">
        <v>4.24</v>
      </c>
      <c r="Y37" s="253">
        <v>4.45</v>
      </c>
      <c r="Z37" s="247">
        <f ca="1">[1]ExtEntry!$F35</f>
        <v>36.22</v>
      </c>
      <c r="AA37" s="270"/>
      <c r="AB37" s="380">
        <v>26667</v>
      </c>
      <c r="AC37" s="380">
        <v>26667</v>
      </c>
      <c r="AD37" s="380">
        <v>26667</v>
      </c>
      <c r="AE37" s="380">
        <v>26667</v>
      </c>
      <c r="AF37" s="380">
        <v>26667</v>
      </c>
      <c r="AG37" s="380">
        <v>26667</v>
      </c>
      <c r="AH37" s="380">
        <v>26667</v>
      </c>
      <c r="AI37" s="380">
        <v>26667</v>
      </c>
      <c r="AJ37" s="380">
        <v>26667</v>
      </c>
      <c r="AK37" s="380">
        <v>26667</v>
      </c>
      <c r="AL37" s="380">
        <v>26667</v>
      </c>
      <c r="AM37" s="380">
        <v>26667</v>
      </c>
      <c r="AN37" s="380">
        <v>26667</v>
      </c>
      <c r="AO37" s="380">
        <v>26667</v>
      </c>
      <c r="AP37" s="380">
        <v>26667</v>
      </c>
      <c r="AQ37" s="380">
        <v>26667</v>
      </c>
      <c r="AR37" s="380">
        <v>26667</v>
      </c>
      <c r="AS37" s="380">
        <v>26667</v>
      </c>
      <c r="AT37" s="380">
        <v>26667</v>
      </c>
      <c r="AU37" s="380">
        <v>26667</v>
      </c>
      <c r="AV37" s="381">
        <f ca="1">Calc!G35</f>
        <v>4000</v>
      </c>
      <c r="AW37" s="253"/>
      <c r="AX37" s="88" t="str">
        <f t="shared" ca="1" si="3"/>
        <v>PAAS</v>
      </c>
      <c r="BA37" s="253"/>
      <c r="CP37" s="253"/>
      <c r="EH37" s="110"/>
      <c r="FD37" s="285"/>
      <c r="FZ37" s="253"/>
      <c r="GV37" s="253"/>
      <c r="HR37" s="253"/>
      <c r="IN37" s="253"/>
    </row>
    <row r="38" spans="1:248" hidden="1">
      <c r="A38" s="241" t="str">
        <f ca="1">[1]ExtEntry!$A36</f>
        <v>PROF</v>
      </c>
      <c r="B38" s="250"/>
      <c r="C38" s="251"/>
      <c r="D38" s="251">
        <f>ROW()</f>
        <v>38</v>
      </c>
      <c r="E38" s="387">
        <f ca="1">[1]ExtEntry!$E38</f>
        <v>45954.976756562501</v>
      </c>
      <c r="F38" s="253">
        <v>38.36</v>
      </c>
      <c r="G38" s="253">
        <v>38.81</v>
      </c>
      <c r="H38" s="253">
        <v>38.729999999999997</v>
      </c>
      <c r="I38" s="253">
        <v>39.28</v>
      </c>
      <c r="J38" s="253">
        <v>39.19</v>
      </c>
      <c r="K38" s="253">
        <v>40.03</v>
      </c>
      <c r="L38" s="253">
        <v>39.36</v>
      </c>
      <c r="M38" s="253">
        <v>39.79</v>
      </c>
      <c r="N38" s="253">
        <v>39.79</v>
      </c>
      <c r="O38" s="253">
        <v>38.5</v>
      </c>
      <c r="P38" s="253">
        <v>40.83</v>
      </c>
      <c r="Q38" s="253">
        <v>39.54</v>
      </c>
      <c r="R38" s="253">
        <v>41.01</v>
      </c>
      <c r="S38" s="253">
        <v>42.03</v>
      </c>
      <c r="T38" s="253">
        <v>38.44</v>
      </c>
      <c r="U38" s="253">
        <v>39.380000000000003</v>
      </c>
      <c r="V38" s="253">
        <v>35.44</v>
      </c>
      <c r="W38" s="254">
        <v>35.44</v>
      </c>
      <c r="X38" s="253">
        <v>35.880000000000003</v>
      </c>
      <c r="Y38" s="253">
        <v>36.22</v>
      </c>
      <c r="Z38" s="247">
        <f ca="1">[1]ExtEntry!$F36</f>
        <v>5.306</v>
      </c>
      <c r="AA38" s="270"/>
      <c r="AB38" s="380">
        <v>2500</v>
      </c>
      <c r="AC38" s="380">
        <v>2500</v>
      </c>
      <c r="AD38" s="380">
        <v>2500</v>
      </c>
      <c r="AE38" s="380">
        <v>2500</v>
      </c>
      <c r="AF38" s="380">
        <v>2500</v>
      </c>
      <c r="AG38" s="380">
        <v>2500</v>
      </c>
      <c r="AH38" s="380">
        <v>2500</v>
      </c>
      <c r="AI38" s="380">
        <v>2500</v>
      </c>
      <c r="AJ38" s="380">
        <v>2500</v>
      </c>
      <c r="AK38" s="380">
        <v>2500</v>
      </c>
      <c r="AL38" s="380">
        <v>2500</v>
      </c>
      <c r="AM38" s="380">
        <v>2500</v>
      </c>
      <c r="AN38" s="380">
        <v>2500</v>
      </c>
      <c r="AO38" s="380">
        <v>2500</v>
      </c>
      <c r="AP38" s="380">
        <v>2500</v>
      </c>
      <c r="AQ38" s="380">
        <v>4000</v>
      </c>
      <c r="AR38" s="380">
        <v>4000</v>
      </c>
      <c r="AS38" s="380">
        <v>4000</v>
      </c>
      <c r="AT38" s="380">
        <v>4000</v>
      </c>
      <c r="AU38" s="380">
        <v>4000</v>
      </c>
      <c r="AV38" s="381">
        <f ca="1">Calc!G36</f>
        <v>4000</v>
      </c>
      <c r="AW38" s="253"/>
      <c r="AX38" s="88" t="str">
        <f t="shared" ca="1" si="3"/>
        <v>PROF</v>
      </c>
      <c r="BA38" s="253"/>
      <c r="CP38" s="253"/>
      <c r="EH38" s="110"/>
      <c r="FD38" s="285"/>
      <c r="FZ38" s="253"/>
      <c r="GV38" s="253"/>
      <c r="HR38" s="253"/>
      <c r="IN38" s="253"/>
    </row>
    <row r="39" spans="1:248" hidden="1">
      <c r="A39" s="241" t="str">
        <f ca="1">[1]ExtEntry!$A37</f>
        <v>POET</v>
      </c>
      <c r="B39" s="250"/>
      <c r="C39" s="251"/>
      <c r="D39" s="251">
        <f>ROW()</f>
        <v>39</v>
      </c>
      <c r="E39" s="387">
        <f ca="1">[1]ExtEntry!$E39</f>
        <v>45954.874653957813</v>
      </c>
      <c r="F39" s="253">
        <v>5.22</v>
      </c>
      <c r="G39" s="253">
        <v>5.0999999999999996</v>
      </c>
      <c r="H39" s="253">
        <v>4.8899999999999997</v>
      </c>
      <c r="I39" s="253">
        <v>4.9400000000000004</v>
      </c>
      <c r="J39" s="253">
        <v>5.31</v>
      </c>
      <c r="K39" s="253">
        <v>5.78</v>
      </c>
      <c r="L39" s="253">
        <v>6.46</v>
      </c>
      <c r="M39" s="253">
        <v>6.74</v>
      </c>
      <c r="N39" s="253">
        <v>6.74</v>
      </c>
      <c r="O39" s="253">
        <v>5.87</v>
      </c>
      <c r="P39" s="253">
        <v>5.98</v>
      </c>
      <c r="Q39" s="253">
        <v>5.83</v>
      </c>
      <c r="R39" s="253">
        <v>5.76</v>
      </c>
      <c r="S39" s="253">
        <v>5.56</v>
      </c>
      <c r="T39" s="253">
        <v>5.53</v>
      </c>
      <c r="U39" s="253">
        <v>5.78</v>
      </c>
      <c r="V39" s="253">
        <v>5.86</v>
      </c>
      <c r="W39" s="254">
        <v>5.86</v>
      </c>
      <c r="X39" s="253">
        <v>5.42</v>
      </c>
      <c r="Y39" s="253">
        <v>5.306</v>
      </c>
      <c r="Z39" s="247">
        <f ca="1">[1]ExtEntry!$F37</f>
        <v>7.31</v>
      </c>
      <c r="AA39" s="270"/>
      <c r="AB39" s="380">
        <v>6000</v>
      </c>
      <c r="AC39" s="380">
        <v>6000</v>
      </c>
      <c r="AD39" s="380">
        <v>6000</v>
      </c>
      <c r="AE39" s="380">
        <v>6000</v>
      </c>
      <c r="AF39" s="380">
        <v>6000</v>
      </c>
      <c r="AG39" s="380">
        <v>6000</v>
      </c>
      <c r="AH39" s="380">
        <v>6000</v>
      </c>
      <c r="AI39" s="380">
        <v>6000</v>
      </c>
      <c r="AJ39" s="380">
        <v>6000</v>
      </c>
      <c r="AK39" s="380">
        <v>6000</v>
      </c>
      <c r="AL39" s="380">
        <v>6000</v>
      </c>
      <c r="AM39" s="380">
        <v>4000</v>
      </c>
      <c r="AN39" s="380">
        <v>4000</v>
      </c>
      <c r="AO39" s="380">
        <v>4000</v>
      </c>
      <c r="AP39" s="380">
        <v>4000</v>
      </c>
      <c r="AQ39" s="380">
        <v>4000</v>
      </c>
      <c r="AR39" s="380">
        <v>4000</v>
      </c>
      <c r="AS39" s="380">
        <v>4000</v>
      </c>
      <c r="AT39" s="380">
        <v>4000</v>
      </c>
      <c r="AU39" s="380">
        <v>4000</v>
      </c>
      <c r="AV39" s="381">
        <f ca="1">Calc!G37</f>
        <v>45000</v>
      </c>
      <c r="AW39" s="253"/>
      <c r="AX39" s="88" t="str">
        <f t="shared" ca="1" si="3"/>
        <v>POET</v>
      </c>
      <c r="BA39" s="253"/>
      <c r="CP39" s="253"/>
      <c r="EH39" s="110"/>
      <c r="FD39" s="285"/>
      <c r="FZ39" s="253"/>
      <c r="GV39" s="253"/>
      <c r="HR39" s="253"/>
      <c r="IN39" s="253"/>
    </row>
    <row r="40" spans="1:248" hidden="1">
      <c r="A40" s="241" t="str">
        <f ca="1">[1]ExtEntry!$A38</f>
        <v>PW</v>
      </c>
      <c r="B40" s="250"/>
      <c r="C40" s="251"/>
      <c r="D40" s="251">
        <f>ROW()</f>
        <v>40</v>
      </c>
      <c r="E40" s="387">
        <f ca="1">[1]ExtEntry!$E40</f>
        <v>45954.770833333336</v>
      </c>
      <c r="F40" s="253">
        <v>5.76</v>
      </c>
      <c r="G40" s="253">
        <v>5.49</v>
      </c>
      <c r="H40" s="253">
        <v>5.54</v>
      </c>
      <c r="I40" s="253">
        <v>5.94</v>
      </c>
      <c r="J40" s="253">
        <v>6.5</v>
      </c>
      <c r="K40" s="253">
        <v>6.38</v>
      </c>
      <c r="L40" s="253">
        <v>7.88</v>
      </c>
      <c r="M40" s="253">
        <v>9.2200000000000006</v>
      </c>
      <c r="N40" s="253">
        <v>9.2200000000000006</v>
      </c>
      <c r="O40" s="253">
        <v>7.63</v>
      </c>
      <c r="P40" s="253">
        <v>8.43</v>
      </c>
      <c r="Q40" s="253">
        <v>9.0500000000000007</v>
      </c>
      <c r="R40" s="253">
        <v>8.32</v>
      </c>
      <c r="S40" s="253">
        <v>7.56</v>
      </c>
      <c r="T40" s="253">
        <v>7.02</v>
      </c>
      <c r="U40" s="253">
        <v>7.59</v>
      </c>
      <c r="V40" s="253">
        <v>7.45</v>
      </c>
      <c r="W40" s="254">
        <v>7.45</v>
      </c>
      <c r="X40" s="253">
        <v>7.37</v>
      </c>
      <c r="Y40" s="253">
        <v>7.31</v>
      </c>
      <c r="Z40" s="247">
        <f ca="1">[1]ExtEntry!$F38</f>
        <v>0.70289999999999997</v>
      </c>
      <c r="AA40" s="270"/>
      <c r="AB40" s="380">
        <v>50000</v>
      </c>
      <c r="AC40" s="380">
        <v>50000</v>
      </c>
      <c r="AD40" s="380">
        <v>50000</v>
      </c>
      <c r="AE40" s="380">
        <v>50000</v>
      </c>
      <c r="AF40" s="380">
        <v>50000</v>
      </c>
      <c r="AG40" s="380">
        <v>47500</v>
      </c>
      <c r="AH40" s="380">
        <v>45000</v>
      </c>
      <c r="AI40" s="380">
        <v>45000</v>
      </c>
      <c r="AJ40" s="380">
        <v>45000</v>
      </c>
      <c r="AK40" s="380">
        <v>45000</v>
      </c>
      <c r="AL40" s="380">
        <v>45000</v>
      </c>
      <c r="AM40" s="380">
        <v>45000</v>
      </c>
      <c r="AN40" s="380">
        <v>45000</v>
      </c>
      <c r="AO40" s="380">
        <v>45000</v>
      </c>
      <c r="AP40" s="380">
        <v>45000</v>
      </c>
      <c r="AQ40" s="380">
        <v>45000</v>
      </c>
      <c r="AR40" s="380">
        <v>45000</v>
      </c>
      <c r="AS40" s="380">
        <v>45000</v>
      </c>
      <c r="AT40" s="380">
        <v>45000</v>
      </c>
      <c r="AU40" s="380">
        <v>45000</v>
      </c>
      <c r="AV40" s="381">
        <f ca="1">Calc!G38</f>
        <v>10000</v>
      </c>
      <c r="AW40" s="253"/>
      <c r="AX40" s="88" t="str">
        <f t="shared" ca="1" si="3"/>
        <v>PW</v>
      </c>
      <c r="BA40" s="253"/>
      <c r="CP40" s="253"/>
      <c r="EH40" s="110"/>
      <c r="FD40" s="285"/>
      <c r="FZ40" s="253"/>
      <c r="GV40" s="253"/>
      <c r="HR40" s="253"/>
      <c r="IN40" s="253"/>
    </row>
    <row r="41" spans="1:248" hidden="1">
      <c r="A41" s="241" t="str">
        <f ca="1">[1]ExtEntry!$A39</f>
        <v>RIGL</v>
      </c>
      <c r="B41" s="250"/>
      <c r="C41" s="251"/>
      <c r="D41" s="251">
        <f>ROW()</f>
        <v>41</v>
      </c>
      <c r="E41" s="387">
        <f ca="1">[1]ExtEntry!$E41</f>
        <v>45954.770833333336</v>
      </c>
      <c r="F41" s="253">
        <v>0.99350000000000005</v>
      </c>
      <c r="G41" s="253">
        <v>1.07</v>
      </c>
      <c r="H41" s="253">
        <v>1.01</v>
      </c>
      <c r="I41" s="253">
        <v>1.01</v>
      </c>
      <c r="J41" s="253">
        <v>1.0386</v>
      </c>
      <c r="K41" s="253">
        <v>1.05</v>
      </c>
      <c r="L41" s="253">
        <v>1.04</v>
      </c>
      <c r="M41" s="253">
        <v>0.99739999999999995</v>
      </c>
      <c r="N41" s="253">
        <v>0.99739999999999995</v>
      </c>
      <c r="O41" s="253">
        <v>0.9264</v>
      </c>
      <c r="P41" s="253">
        <v>0.91180000000000005</v>
      </c>
      <c r="Q41" s="253">
        <v>0.87939999999999996</v>
      </c>
      <c r="R41" s="253">
        <v>0.91279999999999994</v>
      </c>
      <c r="S41" s="253">
        <v>0.89990000000000003</v>
      </c>
      <c r="T41" s="253">
        <v>0.82040000000000002</v>
      </c>
      <c r="U41" s="253">
        <v>0.78110000000000002</v>
      </c>
      <c r="V41" s="253">
        <v>0.7641</v>
      </c>
      <c r="W41" s="254">
        <v>0.7641</v>
      </c>
      <c r="X41" s="253">
        <v>0.70950000000000002</v>
      </c>
      <c r="Y41" s="253">
        <v>0.70289999999999997</v>
      </c>
      <c r="Z41" s="247">
        <f ca="1">[1]ExtEntry!$F39</f>
        <v>29.39</v>
      </c>
      <c r="AA41" s="270"/>
      <c r="AB41" s="380">
        <v>10000</v>
      </c>
      <c r="AC41" s="380">
        <v>10000</v>
      </c>
      <c r="AD41" s="380">
        <v>10000</v>
      </c>
      <c r="AE41" s="380">
        <v>10000</v>
      </c>
      <c r="AF41" s="380">
        <v>10000</v>
      </c>
      <c r="AG41" s="380">
        <v>10000</v>
      </c>
      <c r="AH41" s="380">
        <v>10000</v>
      </c>
      <c r="AI41" s="380">
        <v>10000</v>
      </c>
      <c r="AJ41" s="380">
        <v>10000</v>
      </c>
      <c r="AK41" s="380">
        <v>10000</v>
      </c>
      <c r="AL41" s="380">
        <v>10000</v>
      </c>
      <c r="AM41" s="380">
        <v>10000</v>
      </c>
      <c r="AN41" s="380">
        <v>10000</v>
      </c>
      <c r="AO41" s="380">
        <v>10000</v>
      </c>
      <c r="AP41" s="380">
        <v>10000</v>
      </c>
      <c r="AQ41" s="380">
        <v>10000</v>
      </c>
      <c r="AR41" s="380">
        <v>10000</v>
      </c>
      <c r="AS41" s="380">
        <v>10000</v>
      </c>
      <c r="AT41" s="380">
        <v>10000</v>
      </c>
      <c r="AU41" s="380">
        <v>10000</v>
      </c>
      <c r="AV41" s="381">
        <f ca="1">Calc!G39</f>
        <v>2000</v>
      </c>
      <c r="AW41" s="253"/>
      <c r="AX41" s="88" t="str">
        <f t="shared" ca="1" si="3"/>
        <v>RIGL</v>
      </c>
      <c r="BA41" s="253"/>
      <c r="CP41" s="253"/>
      <c r="EH41" s="110"/>
      <c r="FD41" s="285"/>
      <c r="FZ41" s="253"/>
      <c r="GV41" s="253"/>
      <c r="HR41" s="253"/>
      <c r="IN41" s="253"/>
    </row>
    <row r="42" spans="1:248" hidden="1">
      <c r="A42" s="241" t="str">
        <f ca="1">[1]ExtEntry!$A40</f>
        <v>RWE</v>
      </c>
      <c r="B42" s="250"/>
      <c r="C42" s="251"/>
      <c r="D42" s="251">
        <f>ROW()</f>
        <v>42</v>
      </c>
      <c r="E42" s="387">
        <f ca="1">[1]ExtEntry!$E42</f>
        <v>45955.006944444445</v>
      </c>
      <c r="F42" s="253">
        <v>28.63</v>
      </c>
      <c r="G42" s="253">
        <v>28.75</v>
      </c>
      <c r="H42" s="253">
        <v>28.33</v>
      </c>
      <c r="I42" s="253">
        <v>28.16</v>
      </c>
      <c r="J42" s="253">
        <v>28.12</v>
      </c>
      <c r="K42" s="253">
        <v>28.9</v>
      </c>
      <c r="L42" s="253">
        <v>29.5</v>
      </c>
      <c r="M42" s="253">
        <v>28.76</v>
      </c>
      <c r="N42" s="253">
        <v>28.76</v>
      </c>
      <c r="O42" s="253">
        <v>28.18</v>
      </c>
      <c r="P42" s="253">
        <v>26.83</v>
      </c>
      <c r="Q42" s="253">
        <v>27.38</v>
      </c>
      <c r="R42" s="253">
        <v>28.11</v>
      </c>
      <c r="S42" s="253">
        <v>28.11</v>
      </c>
      <c r="T42" s="253">
        <v>27.94</v>
      </c>
      <c r="U42" s="253">
        <v>29.46</v>
      </c>
      <c r="V42" s="253">
        <v>30.27</v>
      </c>
      <c r="W42" s="254">
        <v>30.27</v>
      </c>
      <c r="X42" s="253">
        <v>30.69</v>
      </c>
      <c r="Y42" s="253">
        <v>29.39</v>
      </c>
      <c r="Z42" s="247">
        <f ca="1">[1]ExtEntry!$F40</f>
        <v>40.44</v>
      </c>
      <c r="AA42" s="270"/>
      <c r="AB42" s="380">
        <v>4000</v>
      </c>
      <c r="AC42" s="380">
        <v>4000</v>
      </c>
      <c r="AD42" s="380">
        <v>4000</v>
      </c>
      <c r="AE42" s="380">
        <v>4000</v>
      </c>
      <c r="AF42" s="380">
        <v>4000</v>
      </c>
      <c r="AG42" s="380">
        <v>4000</v>
      </c>
      <c r="AH42" s="380">
        <v>4000</v>
      </c>
      <c r="AI42" s="380">
        <v>4000</v>
      </c>
      <c r="AJ42" s="380">
        <v>4000</v>
      </c>
      <c r="AK42" s="380">
        <v>4000</v>
      </c>
      <c r="AL42" s="380">
        <v>4000</v>
      </c>
      <c r="AM42" s="380">
        <v>4000</v>
      </c>
      <c r="AN42" s="380">
        <v>4000</v>
      </c>
      <c r="AO42" s="380">
        <v>4000</v>
      </c>
      <c r="AP42" s="380">
        <v>4000</v>
      </c>
      <c r="AQ42" s="380">
        <v>2000</v>
      </c>
      <c r="AR42" s="380">
        <v>2000</v>
      </c>
      <c r="AS42" s="380">
        <v>2000</v>
      </c>
      <c r="AT42" s="380">
        <v>2000</v>
      </c>
      <c r="AU42" s="380">
        <v>2000</v>
      </c>
      <c r="AV42" s="381">
        <f ca="1">Calc!G40</f>
        <v>50</v>
      </c>
      <c r="AW42" s="253"/>
      <c r="AX42" s="88" t="str">
        <f t="shared" ca="1" si="3"/>
        <v>RWE</v>
      </c>
      <c r="BA42" s="253"/>
      <c r="CP42" s="253"/>
      <c r="EH42" s="110"/>
      <c r="FD42" s="285"/>
      <c r="FZ42" s="253"/>
      <c r="GV42" s="253"/>
      <c r="HR42" s="253"/>
      <c r="IN42" s="253"/>
    </row>
    <row r="43" spans="1:248" hidden="1">
      <c r="A43" s="241" t="str">
        <f ca="1">[1]ExtEntry!$A41</f>
        <v>SAP</v>
      </c>
      <c r="B43" s="250"/>
      <c r="C43" s="251"/>
      <c r="D43" s="251">
        <f>ROW()</f>
        <v>43</v>
      </c>
      <c r="E43" s="387">
        <f ca="1">[1]ExtEntry!$E43</f>
        <v>45954.987047603907</v>
      </c>
      <c r="F43" s="253">
        <v>37.909999999999997</v>
      </c>
      <c r="G43" s="253">
        <v>37.78</v>
      </c>
      <c r="H43" s="253">
        <v>37.92</v>
      </c>
      <c r="I43" s="253">
        <v>39.04</v>
      </c>
      <c r="J43" s="253">
        <v>38.93</v>
      </c>
      <c r="K43" s="253">
        <v>39.78</v>
      </c>
      <c r="L43" s="253">
        <v>39.72</v>
      </c>
      <c r="M43" s="253">
        <v>40.49</v>
      </c>
      <c r="N43" s="253">
        <v>40.22</v>
      </c>
      <c r="O43" s="253">
        <v>40.33</v>
      </c>
      <c r="P43" s="253">
        <v>40.96</v>
      </c>
      <c r="Q43" s="253">
        <v>40.58</v>
      </c>
      <c r="R43" s="253">
        <v>40.770000000000003</v>
      </c>
      <c r="S43" s="253">
        <v>41.38</v>
      </c>
      <c r="T43" s="253">
        <v>41.06</v>
      </c>
      <c r="U43" s="253">
        <v>40.92</v>
      </c>
      <c r="V43" s="253">
        <v>40.47</v>
      </c>
      <c r="W43" s="254">
        <v>40.47</v>
      </c>
      <c r="X43" s="253">
        <v>40.22</v>
      </c>
      <c r="Y43" s="253">
        <v>40</v>
      </c>
      <c r="Z43" s="247">
        <f ca="1">[1]ExtEntry!$F41</f>
        <v>242</v>
      </c>
      <c r="AA43" s="270"/>
      <c r="AB43" s="380">
        <v>50</v>
      </c>
      <c r="AC43" s="380">
        <v>50</v>
      </c>
      <c r="AD43" s="380">
        <v>50</v>
      </c>
      <c r="AE43" s="380">
        <v>50</v>
      </c>
      <c r="AF43" s="380">
        <v>50</v>
      </c>
      <c r="AG43" s="380">
        <v>50</v>
      </c>
      <c r="AH43" s="380">
        <v>50</v>
      </c>
      <c r="AI43" s="380">
        <v>50</v>
      </c>
      <c r="AJ43" s="380">
        <v>50</v>
      </c>
      <c r="AK43" s="380">
        <v>50</v>
      </c>
      <c r="AL43" s="380">
        <v>50</v>
      </c>
      <c r="AM43" s="380">
        <v>50</v>
      </c>
      <c r="AN43" s="380">
        <v>50</v>
      </c>
      <c r="AO43" s="380">
        <v>50</v>
      </c>
      <c r="AP43" s="380">
        <v>50</v>
      </c>
      <c r="AQ43" s="380">
        <v>50</v>
      </c>
      <c r="AR43" s="380">
        <v>50</v>
      </c>
      <c r="AS43" s="380">
        <v>50</v>
      </c>
      <c r="AT43" s="380">
        <v>50</v>
      </c>
      <c r="AU43" s="380">
        <v>50</v>
      </c>
      <c r="AV43" s="381">
        <f ca="1">Calc!G41</f>
        <v>3800</v>
      </c>
      <c r="AW43" s="253"/>
      <c r="AX43" s="88" t="str">
        <f t="shared" ca="1" si="3"/>
        <v>SAP</v>
      </c>
      <c r="BA43" s="253"/>
      <c r="CP43" s="253"/>
      <c r="EH43" s="110"/>
      <c r="FD43" s="285"/>
      <c r="FZ43" s="253"/>
      <c r="GV43" s="253"/>
      <c r="HR43" s="253"/>
      <c r="IN43" s="253"/>
    </row>
    <row r="44" spans="1:248" hidden="1">
      <c r="A44" s="241" t="str">
        <f ca="1">[1]ExtEntry!$A42</f>
        <v>SHECY</v>
      </c>
      <c r="B44" s="250"/>
      <c r="C44" s="251"/>
      <c r="D44" s="251">
        <f>ROW()</f>
        <v>44</v>
      </c>
      <c r="E44" s="387">
        <f ca="1">[1]ExtEntry!$E44</f>
        <v>45954.999995960156</v>
      </c>
      <c r="F44" s="253">
        <v>225.15</v>
      </c>
      <c r="G44" s="253">
        <v>225.55</v>
      </c>
      <c r="H44" s="253">
        <v>227.9</v>
      </c>
      <c r="I44" s="253">
        <v>227.8</v>
      </c>
      <c r="J44" s="253">
        <v>232.1</v>
      </c>
      <c r="K44" s="253">
        <v>231.6</v>
      </c>
      <c r="L44" s="253">
        <v>235</v>
      </c>
      <c r="M44" s="253">
        <v>237.2</v>
      </c>
      <c r="N44" s="253">
        <v>237.8</v>
      </c>
      <c r="O44" s="253">
        <v>230.55</v>
      </c>
      <c r="P44" s="253">
        <v>231.4</v>
      </c>
      <c r="Q44" s="253">
        <v>232.7</v>
      </c>
      <c r="R44" s="253">
        <v>234.2</v>
      </c>
      <c r="S44" s="253">
        <v>233.2</v>
      </c>
      <c r="T44" s="253">
        <v>230.95</v>
      </c>
      <c r="U44" s="253">
        <v>238.6</v>
      </c>
      <c r="V44" s="253">
        <v>240.4</v>
      </c>
      <c r="W44" s="254">
        <v>240.4</v>
      </c>
      <c r="X44" s="253">
        <v>236.85</v>
      </c>
      <c r="Y44" s="253">
        <v>242</v>
      </c>
      <c r="Z44" s="247">
        <f ca="1">[1]ExtEntry!$F42</f>
        <v>16.149999999999999</v>
      </c>
      <c r="AA44" s="270"/>
      <c r="AB44" s="380">
        <v>3500</v>
      </c>
      <c r="AC44" s="380">
        <v>3500</v>
      </c>
      <c r="AD44" s="380">
        <v>3500</v>
      </c>
      <c r="AE44" s="380">
        <v>4000</v>
      </c>
      <c r="AF44" s="380">
        <v>4000</v>
      </c>
      <c r="AG44" s="380">
        <v>4000</v>
      </c>
      <c r="AH44" s="380">
        <v>4000</v>
      </c>
      <c r="AI44" s="380">
        <v>4000</v>
      </c>
      <c r="AJ44" s="380">
        <v>3800</v>
      </c>
      <c r="AK44" s="380">
        <v>3800</v>
      </c>
      <c r="AL44" s="380">
        <v>3800</v>
      </c>
      <c r="AM44" s="380">
        <v>3800</v>
      </c>
      <c r="AN44" s="380">
        <v>3800</v>
      </c>
      <c r="AO44" s="380">
        <v>3800</v>
      </c>
      <c r="AP44" s="380">
        <v>3800</v>
      </c>
      <c r="AQ44" s="380">
        <v>3800</v>
      </c>
      <c r="AR44" s="380">
        <v>3800</v>
      </c>
      <c r="AS44" s="380">
        <v>3800</v>
      </c>
      <c r="AT44" s="380">
        <v>3800</v>
      </c>
      <c r="AU44" s="380">
        <v>3800</v>
      </c>
      <c r="AV44" s="381">
        <f ca="1">Calc!G42</f>
        <v>22368</v>
      </c>
      <c r="AW44" s="253"/>
      <c r="AX44" s="88" t="str">
        <f t="shared" ca="1" si="3"/>
        <v>SHECY</v>
      </c>
      <c r="BA44" s="253"/>
      <c r="CP44" s="253"/>
      <c r="EH44" s="110"/>
      <c r="FD44" s="285"/>
      <c r="FZ44" s="253"/>
      <c r="GV44" s="253"/>
      <c r="HR44" s="253"/>
      <c r="IN44" s="253"/>
    </row>
    <row r="45" spans="1:248" hidden="1">
      <c r="A45" s="241" t="str">
        <f ca="1">[1]ExtEntry!$A43</f>
        <v>SSYS</v>
      </c>
      <c r="B45" s="250"/>
      <c r="C45" s="251"/>
      <c r="D45" s="251">
        <f>ROW()</f>
        <v>45</v>
      </c>
      <c r="E45" s="387">
        <f ca="1">[1]ExtEntry!$E45</f>
        <v>45954.999973113285</v>
      </c>
      <c r="F45" s="253">
        <v>15.94</v>
      </c>
      <c r="G45" s="253">
        <v>16.2301</v>
      </c>
      <c r="H45" s="253">
        <v>16.3</v>
      </c>
      <c r="I45" s="253">
        <v>16.46</v>
      </c>
      <c r="J45" s="253">
        <v>16.520800000000001</v>
      </c>
      <c r="K45" s="253">
        <v>17.43</v>
      </c>
      <c r="L45" s="253">
        <v>17.079999999999998</v>
      </c>
      <c r="M45" s="253">
        <v>16.78</v>
      </c>
      <c r="N45" s="253">
        <v>16.78</v>
      </c>
      <c r="O45" s="253">
        <v>15.83</v>
      </c>
      <c r="P45" s="253">
        <v>16.399999999999999</v>
      </c>
      <c r="Q45" s="253">
        <v>16.61</v>
      </c>
      <c r="R45" s="253">
        <v>16.54</v>
      </c>
      <c r="S45" s="253">
        <v>16.45</v>
      </c>
      <c r="T45" s="253">
        <v>16.5</v>
      </c>
      <c r="U45" s="253">
        <v>16.34</v>
      </c>
      <c r="V45" s="253">
        <v>16.27</v>
      </c>
      <c r="W45" s="254">
        <v>16.27</v>
      </c>
      <c r="X45" s="253">
        <v>16.04</v>
      </c>
      <c r="Y45" s="253">
        <v>16.149999999999999</v>
      </c>
      <c r="Z45" s="247">
        <f ca="1">[1]ExtEntry!$F43</f>
        <v>11.78</v>
      </c>
      <c r="AA45" s="270"/>
      <c r="AB45" s="380">
        <v>23000</v>
      </c>
      <c r="AC45" s="380">
        <v>23000</v>
      </c>
      <c r="AD45" s="380">
        <v>23000</v>
      </c>
      <c r="AE45" s="380">
        <v>23000</v>
      </c>
      <c r="AF45" s="380">
        <v>23000</v>
      </c>
      <c r="AG45" s="380">
        <v>23000</v>
      </c>
      <c r="AH45" s="380">
        <v>23000</v>
      </c>
      <c r="AI45" s="380">
        <v>23000</v>
      </c>
      <c r="AJ45" s="380">
        <v>23000</v>
      </c>
      <c r="AK45" s="380">
        <v>23000</v>
      </c>
      <c r="AL45" s="380">
        <v>23000</v>
      </c>
      <c r="AM45" s="380">
        <v>22851</v>
      </c>
      <c r="AN45" s="380">
        <v>22368</v>
      </c>
      <c r="AO45" s="380">
        <v>22368</v>
      </c>
      <c r="AP45" s="380">
        <v>22368</v>
      </c>
      <c r="AQ45" s="380">
        <v>22368</v>
      </c>
      <c r="AR45" s="380">
        <v>22368</v>
      </c>
      <c r="AS45" s="380">
        <v>22368</v>
      </c>
      <c r="AT45" s="380">
        <v>22368</v>
      </c>
      <c r="AU45" s="380">
        <v>22368</v>
      </c>
      <c r="AV45" s="381">
        <f ca="1">Calc!G43</f>
        <v>16000</v>
      </c>
      <c r="AW45" s="253"/>
      <c r="AX45" s="88" t="str">
        <f t="shared" ca="1" si="3"/>
        <v>SSYS</v>
      </c>
      <c r="BA45" s="253"/>
      <c r="CP45" s="253"/>
      <c r="EH45" s="110"/>
      <c r="FD45" s="285"/>
      <c r="FZ45" s="253"/>
      <c r="GV45" s="253"/>
      <c r="HR45" s="253"/>
      <c r="IN45" s="253"/>
    </row>
    <row r="46" spans="1:248" hidden="1">
      <c r="A46" s="241" t="str">
        <f ca="1">[1]ExtEntry!$A44</f>
        <v>TSLA</v>
      </c>
      <c r="B46" s="250"/>
      <c r="C46" s="251"/>
      <c r="D46" s="251">
        <f>ROW()</f>
        <v>46</v>
      </c>
      <c r="E46" s="387">
        <f ca="1">[1]ExtEntry!$E46</f>
        <v>45954.836805555555</v>
      </c>
      <c r="F46" s="253">
        <v>11.62</v>
      </c>
      <c r="G46" s="253">
        <v>11.31</v>
      </c>
      <c r="H46" s="253">
        <v>11.2</v>
      </c>
      <c r="I46" s="253">
        <v>11.08</v>
      </c>
      <c r="J46" s="253">
        <v>11.58</v>
      </c>
      <c r="K46" s="253">
        <v>11.88</v>
      </c>
      <c r="L46" s="253">
        <v>11.55</v>
      </c>
      <c r="M46" s="253">
        <v>11.49</v>
      </c>
      <c r="N46" s="253">
        <v>11.49</v>
      </c>
      <c r="O46" s="253">
        <v>10.42</v>
      </c>
      <c r="P46" s="253">
        <v>10.87</v>
      </c>
      <c r="Q46" s="253">
        <v>10.86</v>
      </c>
      <c r="R46" s="253">
        <v>11.54</v>
      </c>
      <c r="S46" s="253">
        <v>11.48</v>
      </c>
      <c r="T46" s="253">
        <v>10.92</v>
      </c>
      <c r="U46" s="253">
        <v>12.44</v>
      </c>
      <c r="V46" s="253">
        <v>12.35</v>
      </c>
      <c r="W46" s="254">
        <v>12.35</v>
      </c>
      <c r="X46" s="253">
        <v>11.3</v>
      </c>
      <c r="Y46" s="253">
        <v>11.78</v>
      </c>
      <c r="Z46" s="247">
        <f ca="1">[1]ExtEntry!$F44</f>
        <v>448.98</v>
      </c>
      <c r="AA46" s="270"/>
      <c r="AB46" s="380">
        <v>16000</v>
      </c>
      <c r="AC46" s="380">
        <v>16000</v>
      </c>
      <c r="AD46" s="380">
        <v>16000</v>
      </c>
      <c r="AE46" s="380">
        <v>16000</v>
      </c>
      <c r="AF46" s="380">
        <v>16000</v>
      </c>
      <c r="AG46" s="380">
        <v>16000</v>
      </c>
      <c r="AH46" s="380">
        <v>16000</v>
      </c>
      <c r="AI46" s="380">
        <v>16000</v>
      </c>
      <c r="AJ46" s="380">
        <v>16000</v>
      </c>
      <c r="AK46" s="380">
        <v>16000</v>
      </c>
      <c r="AL46" s="380">
        <v>16000</v>
      </c>
      <c r="AM46" s="380">
        <v>16000</v>
      </c>
      <c r="AN46" s="380">
        <v>16000</v>
      </c>
      <c r="AO46" s="380">
        <v>16000</v>
      </c>
      <c r="AP46" s="380">
        <v>16000</v>
      </c>
      <c r="AQ46" s="380">
        <v>16000</v>
      </c>
      <c r="AR46" s="380">
        <v>16000</v>
      </c>
      <c r="AS46" s="380">
        <v>16000</v>
      </c>
      <c r="AT46" s="380">
        <v>16000</v>
      </c>
      <c r="AU46" s="380">
        <v>16000</v>
      </c>
      <c r="AV46" s="381">
        <f ca="1">Calc!G44</f>
        <v>1</v>
      </c>
      <c r="AW46" s="253"/>
      <c r="AX46" s="88" t="str">
        <f t="shared" ca="1" si="3"/>
        <v>TSLA</v>
      </c>
      <c r="BA46" s="253"/>
      <c r="CP46" s="253"/>
      <c r="EH46" s="110"/>
      <c r="FD46" s="285"/>
      <c r="FZ46" s="253"/>
      <c r="GV46" s="253"/>
      <c r="HR46" s="253"/>
      <c r="IN46" s="253"/>
    </row>
    <row r="47" spans="1:248" hidden="1">
      <c r="A47" s="241" t="str">
        <f ca="1">[1]ExtEntry!$A45</f>
        <v>TSM</v>
      </c>
      <c r="B47" s="250"/>
      <c r="C47" s="251"/>
      <c r="D47" s="251">
        <f>ROW()</f>
        <v>47</v>
      </c>
      <c r="E47" s="387">
        <f ca="1">[1]ExtEntry!$E47</f>
        <v>45954.994566863279</v>
      </c>
      <c r="F47" s="253">
        <v>440.4</v>
      </c>
      <c r="G47" s="253">
        <v>443.21</v>
      </c>
      <c r="H47" s="253">
        <v>444.72</v>
      </c>
      <c r="I47" s="253">
        <v>459.46</v>
      </c>
      <c r="J47" s="253">
        <v>436</v>
      </c>
      <c r="K47" s="253">
        <v>453.25</v>
      </c>
      <c r="L47" s="253">
        <v>433.09</v>
      </c>
      <c r="M47" s="253">
        <v>438.69</v>
      </c>
      <c r="N47" s="253">
        <v>438.69</v>
      </c>
      <c r="O47" s="253">
        <v>413.49</v>
      </c>
      <c r="P47" s="253">
        <v>435.9</v>
      </c>
      <c r="Q47" s="253">
        <v>429.24</v>
      </c>
      <c r="R47" s="253">
        <v>435.15</v>
      </c>
      <c r="S47" s="253">
        <v>428.75</v>
      </c>
      <c r="T47" s="253">
        <v>439.31</v>
      </c>
      <c r="U47" s="253">
        <v>447.43</v>
      </c>
      <c r="V47" s="253">
        <v>442.6</v>
      </c>
      <c r="W47" s="254">
        <v>442.6</v>
      </c>
      <c r="X47" s="253">
        <v>438.97</v>
      </c>
      <c r="Y47" s="253">
        <v>448.98</v>
      </c>
      <c r="Z47" s="247">
        <f ca="1">[1]ExtEntry!$F45</f>
        <v>290.73</v>
      </c>
      <c r="AA47" s="270"/>
      <c r="AB47" s="380">
        <v>10</v>
      </c>
      <c r="AC47" s="380">
        <v>10</v>
      </c>
      <c r="AD47" s="380">
        <v>10</v>
      </c>
      <c r="AE47" s="380">
        <v>10</v>
      </c>
      <c r="AF47" s="380">
        <v>10</v>
      </c>
      <c r="AG47" s="380">
        <v>10</v>
      </c>
      <c r="AH47" s="380">
        <v>10</v>
      </c>
      <c r="AI47" s="380">
        <v>10</v>
      </c>
      <c r="AJ47" s="380">
        <v>10</v>
      </c>
      <c r="AK47" s="380">
        <v>10</v>
      </c>
      <c r="AL47" s="380">
        <v>1</v>
      </c>
      <c r="AM47" s="380">
        <v>1</v>
      </c>
      <c r="AN47" s="380">
        <v>1</v>
      </c>
      <c r="AO47" s="380">
        <v>1</v>
      </c>
      <c r="AP47" s="380">
        <v>1</v>
      </c>
      <c r="AQ47" s="380">
        <v>1</v>
      </c>
      <c r="AR47" s="380">
        <v>1</v>
      </c>
      <c r="AS47" s="380">
        <v>1</v>
      </c>
      <c r="AT47" s="380">
        <v>1</v>
      </c>
      <c r="AU47" s="380">
        <v>1</v>
      </c>
      <c r="AV47" s="381">
        <f ca="1">Calc!G45</f>
        <v>4800</v>
      </c>
      <c r="AW47" s="253"/>
      <c r="AX47" s="88" t="str">
        <f t="shared" ca="1" si="3"/>
        <v>TSM</v>
      </c>
      <c r="BA47" s="253"/>
      <c r="CP47" s="253"/>
      <c r="EH47" s="110"/>
      <c r="FD47" s="285"/>
      <c r="FZ47" s="253"/>
      <c r="GV47" s="253"/>
      <c r="HR47" s="253"/>
      <c r="IN47" s="253"/>
    </row>
    <row r="48" spans="1:248" hidden="1">
      <c r="A48" s="241" t="str">
        <f ca="1">[1]ExtEntry!$A46</f>
        <v>UN0</v>
      </c>
      <c r="B48" s="250"/>
      <c r="C48" s="251"/>
      <c r="D48" s="251">
        <f>ROW()</f>
        <v>48</v>
      </c>
      <c r="E48" s="387">
        <f ca="1">[1]ExtEntry!$E48</f>
        <v>45954.999835983595</v>
      </c>
      <c r="F48" s="253">
        <v>273.36</v>
      </c>
      <c r="G48" s="253">
        <v>273.23</v>
      </c>
      <c r="H48" s="253">
        <v>279.29000000000002</v>
      </c>
      <c r="I48" s="253">
        <v>288.47000000000003</v>
      </c>
      <c r="J48" s="253">
        <v>288.11</v>
      </c>
      <c r="K48" s="253">
        <v>302.39999999999998</v>
      </c>
      <c r="L48" s="253">
        <v>294.02999999999997</v>
      </c>
      <c r="M48" s="253">
        <v>304.52</v>
      </c>
      <c r="N48" s="253">
        <v>304.52</v>
      </c>
      <c r="O48" s="253">
        <v>280.66000000000003</v>
      </c>
      <c r="P48" s="253">
        <v>302.89</v>
      </c>
      <c r="Q48" s="253">
        <v>295.94</v>
      </c>
      <c r="R48" s="253">
        <v>304.70999999999998</v>
      </c>
      <c r="S48" s="253">
        <v>299.83999999999997</v>
      </c>
      <c r="T48" s="253">
        <v>295.08</v>
      </c>
      <c r="U48" s="253">
        <v>297.7</v>
      </c>
      <c r="V48" s="253">
        <v>294.51</v>
      </c>
      <c r="W48" s="254">
        <v>294.51</v>
      </c>
      <c r="X48" s="253">
        <v>288.88</v>
      </c>
      <c r="Y48" s="253">
        <v>290.73</v>
      </c>
      <c r="Z48" s="247">
        <f ca="1">[1]ExtEntry!$F46</f>
        <v>30.95</v>
      </c>
      <c r="AA48" s="270"/>
      <c r="AB48" s="380">
        <v>4500</v>
      </c>
      <c r="AC48" s="380">
        <v>4500</v>
      </c>
      <c r="AD48" s="380">
        <v>4500</v>
      </c>
      <c r="AE48" s="380">
        <v>4500</v>
      </c>
      <c r="AF48" s="380">
        <v>4500</v>
      </c>
      <c r="AG48" s="380">
        <v>4500</v>
      </c>
      <c r="AH48" s="380">
        <v>4500</v>
      </c>
      <c r="AI48" s="380">
        <v>4500</v>
      </c>
      <c r="AJ48" s="380">
        <v>4500</v>
      </c>
      <c r="AK48" s="380">
        <v>4500</v>
      </c>
      <c r="AL48" s="380">
        <v>4500</v>
      </c>
      <c r="AM48" s="380">
        <v>4500</v>
      </c>
      <c r="AN48" s="380">
        <v>4500</v>
      </c>
      <c r="AO48" s="380">
        <v>4000</v>
      </c>
      <c r="AP48" s="380">
        <v>4000</v>
      </c>
      <c r="AQ48" s="380">
        <v>4000</v>
      </c>
      <c r="AR48" s="380">
        <v>4800</v>
      </c>
      <c r="AS48" s="380">
        <v>4800</v>
      </c>
      <c r="AT48" s="380">
        <v>4800</v>
      </c>
      <c r="AU48" s="380">
        <v>4800</v>
      </c>
      <c r="AV48" s="381">
        <f ca="1">Calc!G46</f>
        <v>3000</v>
      </c>
      <c r="AW48" s="253"/>
      <c r="AX48" s="88" t="str">
        <f t="shared" ca="1" si="3"/>
        <v>UN0</v>
      </c>
      <c r="BA48" s="253"/>
      <c r="CP48" s="253"/>
      <c r="EH48" s="110"/>
      <c r="FD48" s="285"/>
      <c r="FZ48" s="253"/>
      <c r="GV48" s="253"/>
      <c r="HR48" s="253"/>
      <c r="IN48" s="253"/>
    </row>
    <row r="49" spans="1:248" hidden="1">
      <c r="A49" s="241" t="str">
        <f ca="1">[1]ExtEntry!$A47</f>
        <v>UNIT</v>
      </c>
      <c r="B49" s="250"/>
      <c r="C49" s="251"/>
      <c r="D49" s="251">
        <f>ROW()</f>
        <v>49</v>
      </c>
      <c r="E49" s="387">
        <f ca="1">[1]ExtEntry!$E49</f>
        <v>45955.006944444445</v>
      </c>
      <c r="F49" s="253">
        <v>34.1</v>
      </c>
      <c r="G49" s="253">
        <v>35</v>
      </c>
      <c r="H49" s="253">
        <v>34.1</v>
      </c>
      <c r="I49" s="253">
        <v>34</v>
      </c>
      <c r="J49" s="253">
        <v>33.799999999999997</v>
      </c>
      <c r="K49" s="253">
        <v>33.15</v>
      </c>
      <c r="L49" s="253">
        <v>32.049999999999997</v>
      </c>
      <c r="M49" s="253">
        <v>32.6</v>
      </c>
      <c r="N49" s="253">
        <v>33</v>
      </c>
      <c r="O49" s="253">
        <v>31.8</v>
      </c>
      <c r="P49" s="253">
        <v>31.9</v>
      </c>
      <c r="Q49" s="253">
        <v>31.55</v>
      </c>
      <c r="R49" s="253">
        <v>31.6</v>
      </c>
      <c r="S49" s="253">
        <v>31.75</v>
      </c>
      <c r="T49" s="253">
        <v>31.55</v>
      </c>
      <c r="U49" s="253">
        <v>33</v>
      </c>
      <c r="V49" s="253">
        <v>31.7</v>
      </c>
      <c r="W49" s="254">
        <v>31.7</v>
      </c>
      <c r="X49" s="253">
        <v>31.8</v>
      </c>
      <c r="Y49" s="253">
        <v>30.95</v>
      </c>
      <c r="Z49" s="247">
        <f ca="1">[1]ExtEntry!$F47</f>
        <v>5.8</v>
      </c>
      <c r="AA49" s="270"/>
      <c r="AB49" s="380">
        <v>3000</v>
      </c>
      <c r="AC49" s="380">
        <v>3000</v>
      </c>
      <c r="AD49" s="380">
        <v>3000</v>
      </c>
      <c r="AE49" s="380">
        <v>3000</v>
      </c>
      <c r="AF49" s="380">
        <v>3000</v>
      </c>
      <c r="AG49" s="380">
        <v>3000</v>
      </c>
      <c r="AH49" s="380">
        <v>3000</v>
      </c>
      <c r="AI49" s="380">
        <v>3000</v>
      </c>
      <c r="AJ49" s="380">
        <v>3000</v>
      </c>
      <c r="AK49" s="380">
        <v>3000</v>
      </c>
      <c r="AL49" s="380">
        <v>3000</v>
      </c>
      <c r="AM49" s="380">
        <v>3000</v>
      </c>
      <c r="AN49" s="380">
        <v>3000</v>
      </c>
      <c r="AO49" s="380">
        <v>3000</v>
      </c>
      <c r="AP49" s="380">
        <v>3000</v>
      </c>
      <c r="AQ49" s="380">
        <v>3000</v>
      </c>
      <c r="AR49" s="380">
        <v>3000</v>
      </c>
      <c r="AS49" s="380">
        <v>3000</v>
      </c>
      <c r="AT49" s="380">
        <v>3000</v>
      </c>
      <c r="AU49" s="380">
        <v>3000</v>
      </c>
      <c r="AV49" s="381">
        <f ca="1">Calc!G47</f>
        <v>7235</v>
      </c>
      <c r="AW49" s="253"/>
      <c r="AX49" s="88" t="str">
        <f t="shared" ca="1" si="3"/>
        <v>UNIT</v>
      </c>
      <c r="BA49" s="253"/>
      <c r="CP49" s="253"/>
      <c r="EH49" s="110"/>
      <c r="FD49" s="285"/>
      <c r="FZ49" s="253"/>
      <c r="GV49" s="253"/>
      <c r="HR49" s="253"/>
      <c r="IN49" s="253"/>
    </row>
    <row r="50" spans="1:248" hidden="1">
      <c r="A50" s="241" t="str">
        <f ca="1">[1]ExtEntry!$A48</f>
        <v>AVGO</v>
      </c>
      <c r="B50" s="250"/>
      <c r="C50" s="251"/>
      <c r="D50" s="251">
        <f>ROW()</f>
        <v>50</v>
      </c>
      <c r="E50" s="387">
        <f ca="1">[1]ExtEntry!$E50</f>
        <v>45954.652777777781</v>
      </c>
      <c r="F50" s="253">
        <v>6.19</v>
      </c>
      <c r="G50" s="253">
        <v>6.04</v>
      </c>
      <c r="H50" s="253">
        <v>6.12</v>
      </c>
      <c r="I50" s="253">
        <v>6.05</v>
      </c>
      <c r="J50" s="253">
        <v>5.79</v>
      </c>
      <c r="K50" s="253">
        <v>6.11</v>
      </c>
      <c r="L50" s="253">
        <v>6.01</v>
      </c>
      <c r="M50" s="253">
        <v>6.13</v>
      </c>
      <c r="N50" s="253">
        <v>6.13</v>
      </c>
      <c r="O50" s="253">
        <v>5.73</v>
      </c>
      <c r="P50" s="253">
        <v>5.45</v>
      </c>
      <c r="Q50" s="253">
        <v>5.36</v>
      </c>
      <c r="R50" s="253">
        <v>5.72</v>
      </c>
      <c r="S50" s="253">
        <v>5.61</v>
      </c>
      <c r="T50" s="253">
        <v>5.65</v>
      </c>
      <c r="U50" s="253">
        <v>5.6</v>
      </c>
      <c r="V50" s="253">
        <v>5.6</v>
      </c>
      <c r="W50" s="254">
        <v>5.6</v>
      </c>
      <c r="X50" s="253">
        <v>5.55</v>
      </c>
      <c r="Y50" s="253">
        <v>5.8</v>
      </c>
      <c r="Z50" s="247">
        <f ca="1">[1]ExtEntry!$F48</f>
        <v>344.29</v>
      </c>
      <c r="AA50" s="270"/>
      <c r="AB50" s="380">
        <v>18087</v>
      </c>
      <c r="AC50" s="380">
        <v>18087</v>
      </c>
      <c r="AD50" s="380">
        <v>18087</v>
      </c>
      <c r="AE50" s="380">
        <v>18087</v>
      </c>
      <c r="AF50" s="380">
        <v>18087</v>
      </c>
      <c r="AG50" s="380">
        <v>18087</v>
      </c>
      <c r="AH50" s="380">
        <v>18087</v>
      </c>
      <c r="AI50" s="380">
        <v>18087</v>
      </c>
      <c r="AJ50" s="380">
        <v>18087</v>
      </c>
      <c r="AK50" s="380">
        <v>18087</v>
      </c>
      <c r="AL50" s="380">
        <v>18087</v>
      </c>
      <c r="AM50" s="380">
        <v>18087</v>
      </c>
      <c r="AN50" s="380">
        <v>18087</v>
      </c>
      <c r="AO50" s="380">
        <v>18087</v>
      </c>
      <c r="AP50" s="380">
        <v>7235</v>
      </c>
      <c r="AQ50" s="380">
        <v>7235</v>
      </c>
      <c r="AR50" s="380">
        <v>7235</v>
      </c>
      <c r="AS50" s="380">
        <v>7235</v>
      </c>
      <c r="AT50" s="380">
        <v>7235</v>
      </c>
      <c r="AU50" s="380">
        <v>7235</v>
      </c>
      <c r="AV50" s="381">
        <f ca="1">Calc!G48</f>
        <v>400</v>
      </c>
      <c r="AW50" s="253"/>
      <c r="AX50" s="88" t="str">
        <f t="shared" ca="1" si="3"/>
        <v>AVGO</v>
      </c>
      <c r="BA50" s="253"/>
      <c r="CP50" s="253"/>
      <c r="EH50" s="110"/>
      <c r="FD50" s="285"/>
      <c r="FZ50" s="253"/>
      <c r="GV50" s="253"/>
      <c r="HR50" s="253"/>
      <c r="IN50" s="253"/>
    </row>
    <row r="51" spans="1:248" hidden="1">
      <c r="A51" s="241" t="str">
        <f ca="1">[1]ExtEntry!$A49</f>
        <v>VLVLY</v>
      </c>
      <c r="B51" s="250"/>
      <c r="C51" s="251"/>
      <c r="D51" s="251">
        <f>ROW()</f>
        <v>51</v>
      </c>
      <c r="E51" s="387">
        <f ca="1">[1]ExtEntry!$E49</f>
        <v>45955.006944444445</v>
      </c>
      <c r="F51" s="253">
        <v>29.36</v>
      </c>
      <c r="G51" s="253">
        <v>28.56</v>
      </c>
      <c r="H51" s="253">
        <v>28.69</v>
      </c>
      <c r="I51" s="253">
        <v>28.77</v>
      </c>
      <c r="J51" s="253">
        <v>29.11</v>
      </c>
      <c r="K51" s="253">
        <v>29.35</v>
      </c>
      <c r="L51" s="253">
        <v>28.58</v>
      </c>
      <c r="M51" s="253">
        <v>28.5</v>
      </c>
      <c r="N51" s="253">
        <v>28.5</v>
      </c>
      <c r="O51" s="253">
        <v>27.8</v>
      </c>
      <c r="P51" s="253">
        <v>27.9</v>
      </c>
      <c r="Q51" s="253">
        <v>27.65</v>
      </c>
      <c r="R51" s="253">
        <v>27.81</v>
      </c>
      <c r="S51" s="253">
        <v>28.16</v>
      </c>
      <c r="T51" s="253">
        <v>26.36</v>
      </c>
      <c r="U51" s="253">
        <v>27.09</v>
      </c>
      <c r="V51" s="253">
        <v>27.33</v>
      </c>
      <c r="W51" s="254">
        <v>27.33</v>
      </c>
      <c r="X51" s="253">
        <v>27.18</v>
      </c>
      <c r="Y51" s="253">
        <v>27.41</v>
      </c>
      <c r="Z51" s="247">
        <f ca="1">[1]ExtEntry!$F49</f>
        <v>27.41</v>
      </c>
      <c r="AA51" s="270"/>
      <c r="AB51" s="380">
        <v>1500</v>
      </c>
      <c r="AC51" s="380">
        <v>1500</v>
      </c>
      <c r="AD51" s="380">
        <v>1500</v>
      </c>
      <c r="AE51" s="380">
        <v>1500</v>
      </c>
      <c r="AF51" s="380">
        <v>1500</v>
      </c>
      <c r="AG51" s="380">
        <v>1500</v>
      </c>
      <c r="AH51" s="380">
        <v>1500</v>
      </c>
      <c r="AI51" s="380">
        <v>1500</v>
      </c>
      <c r="AJ51" s="380">
        <v>1500</v>
      </c>
      <c r="AK51" s="380">
        <v>1500</v>
      </c>
      <c r="AL51" s="380">
        <v>1500</v>
      </c>
      <c r="AM51" s="380">
        <v>1500</v>
      </c>
      <c r="AN51" s="380">
        <v>1500</v>
      </c>
      <c r="AO51" s="380">
        <v>1500</v>
      </c>
      <c r="AP51" s="380">
        <v>1500</v>
      </c>
      <c r="AQ51" s="380">
        <v>1500</v>
      </c>
      <c r="AR51" s="380">
        <v>1500</v>
      </c>
      <c r="AS51" s="380">
        <v>1500</v>
      </c>
      <c r="AT51" s="380">
        <v>1500</v>
      </c>
      <c r="AU51" s="380">
        <v>1500</v>
      </c>
      <c r="AV51" s="380">
        <f ca="1">Calc!G49</f>
        <v>1500</v>
      </c>
      <c r="AW51" s="253"/>
      <c r="AX51" s="88" t="str">
        <f t="shared" ca="1" si="3"/>
        <v>VLVLY</v>
      </c>
      <c r="BA51" s="253"/>
      <c r="CP51" s="253"/>
      <c r="EH51" s="110"/>
      <c r="FD51" s="285"/>
      <c r="FZ51" s="253"/>
      <c r="GV51" s="253"/>
      <c r="HR51" s="253"/>
      <c r="IN51" s="253"/>
    </row>
    <row r="52" spans="1:248" hidden="1">
      <c r="A52" s="241" t="str">
        <f ca="1">[1]ExtEntry!$A50</f>
        <v>VONN</v>
      </c>
      <c r="B52" s="250"/>
      <c r="C52" s="251"/>
      <c r="D52" s="251">
        <f>ROW()</f>
        <v>52</v>
      </c>
      <c r="E52" s="387">
        <f ca="1">[1]ExtEntry!$E50</f>
        <v>45954.652777777781</v>
      </c>
      <c r="F52" s="253">
        <v>59.7</v>
      </c>
      <c r="G52" s="253">
        <v>60.1</v>
      </c>
      <c r="H52" s="253">
        <v>59.9</v>
      </c>
      <c r="I52" s="253">
        <v>59.8</v>
      </c>
      <c r="J52" s="253">
        <v>60</v>
      </c>
      <c r="K52" s="253">
        <v>60.8</v>
      </c>
      <c r="L52" s="253">
        <v>60.8</v>
      </c>
      <c r="M52" s="253">
        <v>61.1</v>
      </c>
      <c r="N52" s="253">
        <v>61.4</v>
      </c>
      <c r="O52" s="253">
        <v>60.9</v>
      </c>
      <c r="P52" s="253">
        <v>60.5</v>
      </c>
      <c r="Q52" s="253">
        <v>60.7</v>
      </c>
      <c r="R52" s="253">
        <v>60.2</v>
      </c>
      <c r="S52" s="253">
        <v>59.8</v>
      </c>
      <c r="T52" s="253">
        <v>59</v>
      </c>
      <c r="U52" s="253">
        <v>59.1</v>
      </c>
      <c r="V52" s="253">
        <v>58.7</v>
      </c>
      <c r="W52" s="254">
        <v>58.7</v>
      </c>
      <c r="X52" s="253">
        <v>60.3</v>
      </c>
      <c r="Y52" s="253">
        <v>61.1</v>
      </c>
      <c r="Z52" s="247">
        <f ca="1">[1]ExtEntry!$F50</f>
        <v>61.1</v>
      </c>
      <c r="AA52" s="270"/>
      <c r="AB52" s="380">
        <v>16000</v>
      </c>
      <c r="AC52" s="380">
        <v>16000</v>
      </c>
      <c r="AD52" s="380">
        <v>16000</v>
      </c>
      <c r="AE52" s="380">
        <v>16000</v>
      </c>
      <c r="AF52" s="380">
        <v>15000</v>
      </c>
      <c r="AG52" s="380">
        <v>15000</v>
      </c>
      <c r="AH52" s="380">
        <v>15000</v>
      </c>
      <c r="AI52" s="380">
        <v>14000</v>
      </c>
      <c r="AJ52" s="380">
        <v>14000</v>
      </c>
      <c r="AK52" s="380">
        <v>14000</v>
      </c>
      <c r="AL52" s="380">
        <v>14000</v>
      </c>
      <c r="AM52" s="380">
        <v>14000</v>
      </c>
      <c r="AN52" s="380">
        <v>15000</v>
      </c>
      <c r="AO52" s="380">
        <v>16000</v>
      </c>
      <c r="AP52" s="380">
        <v>16000</v>
      </c>
      <c r="AQ52" s="380">
        <v>16000</v>
      </c>
      <c r="AR52" s="380">
        <v>16000</v>
      </c>
      <c r="AS52" s="380">
        <v>16000</v>
      </c>
      <c r="AT52" s="380">
        <v>16000</v>
      </c>
      <c r="AU52" s="380">
        <v>16000</v>
      </c>
      <c r="AV52" s="380">
        <f ca="1">Calc!G50</f>
        <v>16000</v>
      </c>
      <c r="AW52" s="253"/>
      <c r="AX52" s="88" t="str">
        <f t="shared" ca="1" si="3"/>
        <v>VONN</v>
      </c>
      <c r="BA52" s="253"/>
      <c r="CP52" s="253"/>
      <c r="EH52" s="110"/>
      <c r="FD52" s="285"/>
      <c r="FZ52" s="253"/>
      <c r="GV52" s="253"/>
      <c r="HR52" s="253"/>
      <c r="IN52" s="253"/>
    </row>
    <row r="53" spans="1:248" hidden="1">
      <c r="A53" s="241" t="str">
        <f ca="1">[1]ExtEntry!$A51</f>
        <v>VTRS</v>
      </c>
      <c r="B53" s="250"/>
      <c r="C53" s="251"/>
      <c r="D53" s="251">
        <f>ROW()</f>
        <v>53</v>
      </c>
      <c r="E53" s="387">
        <f ca="1">[1]ExtEntry!$E51</f>
        <v>45954.955811678126</v>
      </c>
      <c r="F53" s="253">
        <v>9.52</v>
      </c>
      <c r="G53" s="253">
        <v>9.6199999999999992</v>
      </c>
      <c r="H53" s="253">
        <v>9.9</v>
      </c>
      <c r="I53" s="253">
        <v>10.09</v>
      </c>
      <c r="J53" s="253">
        <v>10.11</v>
      </c>
      <c r="K53" s="253">
        <v>10.130000000000001</v>
      </c>
      <c r="L53" s="253">
        <v>10.14</v>
      </c>
      <c r="M53" s="253">
        <v>9.9700000000000006</v>
      </c>
      <c r="N53" s="253">
        <v>9.9700000000000006</v>
      </c>
      <c r="O53" s="253">
        <v>9.74</v>
      </c>
      <c r="P53" s="253">
        <v>9.86</v>
      </c>
      <c r="Q53" s="253">
        <v>9.93</v>
      </c>
      <c r="R53" s="253">
        <v>9.98</v>
      </c>
      <c r="S53" s="253">
        <v>10.1</v>
      </c>
      <c r="T53" s="253">
        <v>10.17</v>
      </c>
      <c r="U53" s="253">
        <v>10.31</v>
      </c>
      <c r="V53" s="253">
        <v>10.39</v>
      </c>
      <c r="W53" s="254">
        <v>10.39</v>
      </c>
      <c r="X53" s="253">
        <v>10.41</v>
      </c>
      <c r="Y53" s="253">
        <v>10.31</v>
      </c>
      <c r="Z53" s="247">
        <f ca="1">[1]ExtEntry!$F51</f>
        <v>10.31</v>
      </c>
      <c r="AA53" s="270"/>
      <c r="AB53" s="380">
        <v>10000</v>
      </c>
      <c r="AC53" s="380">
        <v>10000</v>
      </c>
      <c r="AD53" s="380">
        <v>10000</v>
      </c>
      <c r="AE53" s="380">
        <v>10000</v>
      </c>
      <c r="AF53" s="380">
        <v>10000</v>
      </c>
      <c r="AG53" s="380">
        <v>10000</v>
      </c>
      <c r="AH53" s="380">
        <v>10000</v>
      </c>
      <c r="AI53" s="380">
        <v>10000</v>
      </c>
      <c r="AJ53" s="380">
        <v>10000</v>
      </c>
      <c r="AK53" s="380">
        <v>10000</v>
      </c>
      <c r="AL53" s="380">
        <v>10000</v>
      </c>
      <c r="AM53" s="380">
        <v>10000</v>
      </c>
      <c r="AN53" s="380">
        <v>5000</v>
      </c>
      <c r="AO53" s="380">
        <v>5000</v>
      </c>
      <c r="AP53" s="380">
        <v>5000</v>
      </c>
      <c r="AQ53" s="380">
        <v>5000</v>
      </c>
      <c r="AR53" s="380">
        <v>5000</v>
      </c>
      <c r="AS53" s="380">
        <v>5000</v>
      </c>
      <c r="AT53" s="380">
        <v>5000</v>
      </c>
      <c r="AU53" s="380">
        <v>5000</v>
      </c>
      <c r="AV53" s="380">
        <f ca="1">Calc!G51</f>
        <v>5000</v>
      </c>
      <c r="AW53" s="253"/>
      <c r="AX53" s="88" t="str">
        <f t="shared" ca="1" si="3"/>
        <v>VTRS</v>
      </c>
      <c r="BA53" s="253"/>
      <c r="CP53" s="253"/>
      <c r="EH53" s="110"/>
      <c r="FD53" s="285"/>
      <c r="FZ53" s="253"/>
      <c r="GV53" s="253"/>
      <c r="HR53" s="253"/>
      <c r="IN53" s="253"/>
    </row>
    <row r="54" spans="1:248" hidden="1">
      <c r="A54" s="241" t="str">
        <f ca="1">[1]ExtEntry!$A52</f>
        <v>WBA</v>
      </c>
      <c r="B54" s="250"/>
      <c r="C54" s="251"/>
      <c r="D54" s="251">
        <f>ROW()</f>
        <v>54</v>
      </c>
      <c r="E54" s="387">
        <f ca="1">[1]ExtEntry!$E52</f>
        <v>45896.992190289064</v>
      </c>
      <c r="F54" s="253">
        <v>11.92</v>
      </c>
      <c r="G54" s="253">
        <v>11.92</v>
      </c>
      <c r="H54" s="253">
        <v>11.92</v>
      </c>
      <c r="I54" s="253">
        <v>11.92</v>
      </c>
      <c r="J54" s="253">
        <v>11.92</v>
      </c>
      <c r="K54" s="253">
        <v>11.92</v>
      </c>
      <c r="L54" s="253">
        <v>11.92</v>
      </c>
      <c r="M54" s="253">
        <v>11.92</v>
      </c>
      <c r="N54" s="253">
        <v>11.92</v>
      </c>
      <c r="O54" s="253">
        <v>11.92</v>
      </c>
      <c r="P54" s="253">
        <v>11.92</v>
      </c>
      <c r="Q54" s="253">
        <v>11.92</v>
      </c>
      <c r="R54" s="253">
        <v>11.92</v>
      </c>
      <c r="S54" s="253">
        <v>11.92</v>
      </c>
      <c r="T54" s="253">
        <v>11.92</v>
      </c>
      <c r="U54" s="253">
        <v>11.92</v>
      </c>
      <c r="V54" s="253">
        <v>11.92</v>
      </c>
      <c r="W54" s="254">
        <v>11.92</v>
      </c>
      <c r="X54" s="253">
        <v>11.92</v>
      </c>
      <c r="Y54" s="253">
        <v>11.92</v>
      </c>
      <c r="Z54" s="247">
        <f ca="1">[1]ExtEntry!$F52</f>
        <v>11.92</v>
      </c>
      <c r="AA54" s="270"/>
      <c r="AB54" s="380">
        <v>3000</v>
      </c>
      <c r="AC54" s="380">
        <v>3000</v>
      </c>
      <c r="AD54" s="380">
        <v>3000</v>
      </c>
      <c r="AE54" s="380">
        <v>3000</v>
      </c>
      <c r="AF54" s="380">
        <v>3000</v>
      </c>
      <c r="AG54" s="380">
        <v>3000</v>
      </c>
      <c r="AH54" s="380">
        <v>3000</v>
      </c>
      <c r="AI54" s="380">
        <v>3000</v>
      </c>
      <c r="AJ54" s="380">
        <v>3000</v>
      </c>
      <c r="AK54" s="380">
        <v>3000</v>
      </c>
      <c r="AL54" s="380">
        <v>3000</v>
      </c>
      <c r="AM54" s="380">
        <v>3000</v>
      </c>
      <c r="AN54" s="380">
        <v>3000</v>
      </c>
      <c r="AO54" s="380">
        <v>3000</v>
      </c>
      <c r="AP54" s="380">
        <v>3000</v>
      </c>
      <c r="AQ54" s="380">
        <v>3000</v>
      </c>
      <c r="AR54" s="380">
        <v>3000</v>
      </c>
      <c r="AS54" s="380">
        <v>3000</v>
      </c>
      <c r="AT54" s="380">
        <v>3000</v>
      </c>
      <c r="AU54" s="380">
        <v>3000</v>
      </c>
      <c r="AV54" s="380">
        <f ca="1">Calc!G52</f>
        <v>3000</v>
      </c>
      <c r="AW54" s="253"/>
      <c r="AX54" s="88" t="str">
        <f t="shared" ca="1" si="3"/>
        <v>WBA</v>
      </c>
      <c r="BA54" s="253"/>
      <c r="CP54" s="253"/>
      <c r="EH54" s="110"/>
      <c r="FD54" s="285"/>
      <c r="FZ54" s="253"/>
      <c r="GV54" s="253"/>
      <c r="HR54" s="253"/>
      <c r="IN54" s="253"/>
    </row>
    <row r="55" spans="1:248" hidden="1">
      <c r="A55" s="241" t="str">
        <f ca="1">[1]ExtEntry!$A53</f>
        <v>XOM</v>
      </c>
      <c r="B55" s="250"/>
      <c r="C55" s="251"/>
      <c r="D55" s="251">
        <f>ROW()</f>
        <v>55</v>
      </c>
      <c r="E55" s="387">
        <f ca="1">[1]ExtEntry!$E53</f>
        <v>45954.999659142966</v>
      </c>
      <c r="F55" s="253">
        <v>117.22</v>
      </c>
      <c r="G55" s="253">
        <v>114.22</v>
      </c>
      <c r="H55" s="253">
        <v>112.75</v>
      </c>
      <c r="I55" s="253">
        <v>111.99</v>
      </c>
      <c r="J55" s="253">
        <v>111.29</v>
      </c>
      <c r="K55" s="253">
        <v>114.2</v>
      </c>
      <c r="L55" s="253">
        <v>114.26</v>
      </c>
      <c r="M55" s="253">
        <v>114.02</v>
      </c>
      <c r="N55" s="253">
        <v>114.02</v>
      </c>
      <c r="O55" s="253">
        <v>110.73</v>
      </c>
      <c r="P55" s="253">
        <v>112.24</v>
      </c>
      <c r="Q55" s="253">
        <v>112.29</v>
      </c>
      <c r="R55" s="253">
        <v>111.61</v>
      </c>
      <c r="S55" s="253">
        <v>110.64</v>
      </c>
      <c r="T55" s="253">
        <v>112.24</v>
      </c>
      <c r="U55" s="253">
        <v>112.7</v>
      </c>
      <c r="V55" s="253">
        <v>112.71</v>
      </c>
      <c r="W55" s="254">
        <v>112.71</v>
      </c>
      <c r="X55" s="253">
        <v>114.71</v>
      </c>
      <c r="Y55" s="253">
        <v>115.98</v>
      </c>
      <c r="Z55" s="247">
        <f ca="1">[1]ExtEntry!$F53</f>
        <v>115.98</v>
      </c>
      <c r="AA55" s="270"/>
      <c r="AB55" s="380">
        <v>500</v>
      </c>
      <c r="AC55" s="380">
        <v>500</v>
      </c>
      <c r="AD55" s="380">
        <v>500</v>
      </c>
      <c r="AE55" s="380">
        <v>500</v>
      </c>
      <c r="AF55" s="380">
        <v>500</v>
      </c>
      <c r="AG55" s="380">
        <v>500</v>
      </c>
      <c r="AH55" s="380">
        <v>500</v>
      </c>
      <c r="AI55" s="380">
        <v>500</v>
      </c>
      <c r="AJ55" s="380">
        <v>500</v>
      </c>
      <c r="AK55" s="380">
        <v>500</v>
      </c>
      <c r="AL55" s="380">
        <v>500</v>
      </c>
      <c r="AM55" s="380">
        <v>500</v>
      </c>
      <c r="AN55" s="380">
        <v>500</v>
      </c>
      <c r="AO55" s="380">
        <v>500</v>
      </c>
      <c r="AP55" s="380">
        <v>500</v>
      </c>
      <c r="AQ55" s="380">
        <v>500</v>
      </c>
      <c r="AR55" s="380">
        <v>500</v>
      </c>
      <c r="AS55" s="380">
        <v>500</v>
      </c>
      <c r="AT55" s="380">
        <v>500</v>
      </c>
      <c r="AU55" s="380">
        <v>500</v>
      </c>
      <c r="AV55" s="380">
        <f ca="1">Calc!G53</f>
        <v>500</v>
      </c>
      <c r="AW55" s="253"/>
      <c r="AX55" s="88" t="str">
        <f t="shared" ca="1" si="3"/>
        <v>XOM</v>
      </c>
      <c r="BA55" s="253"/>
      <c r="CP55" s="253"/>
      <c r="EH55" s="110"/>
      <c r="FD55" s="285"/>
      <c r="FZ55" s="253"/>
      <c r="GV55" s="253"/>
      <c r="HR55" s="253"/>
      <c r="IN55" s="253"/>
    </row>
    <row r="56" spans="1:248" hidden="1">
      <c r="A56" s="241" t="str">
        <f ca="1">[1]ExtEntry!$A54</f>
        <v>XPER</v>
      </c>
      <c r="B56" s="250"/>
      <c r="C56" s="251"/>
      <c r="D56" s="251">
        <f>ROW()</f>
        <v>56</v>
      </c>
      <c r="E56" s="387">
        <f ca="1">[1]ExtEntry!$E54</f>
        <v>45954.958333356248</v>
      </c>
      <c r="F56" s="253">
        <v>6.6</v>
      </c>
      <c r="G56" s="253">
        <v>6.62</v>
      </c>
      <c r="H56" s="253">
        <v>6.48</v>
      </c>
      <c r="I56" s="253">
        <v>6.57</v>
      </c>
      <c r="J56" s="253">
        <v>6.72</v>
      </c>
      <c r="K56" s="253">
        <v>6.88</v>
      </c>
      <c r="L56" s="253">
        <v>6.58</v>
      </c>
      <c r="M56" s="253">
        <v>6.64</v>
      </c>
      <c r="N56" s="253">
        <v>6.64</v>
      </c>
      <c r="O56" s="253">
        <v>6.29</v>
      </c>
      <c r="P56" s="253">
        <v>6.49</v>
      </c>
      <c r="Q56" s="253">
        <v>6.71</v>
      </c>
      <c r="R56" s="253">
        <v>6.76</v>
      </c>
      <c r="S56" s="253">
        <v>6.72</v>
      </c>
      <c r="T56" s="253">
        <v>6.61</v>
      </c>
      <c r="U56" s="253">
        <v>6.73</v>
      </c>
      <c r="V56" s="253">
        <v>6.78</v>
      </c>
      <c r="W56" s="254">
        <v>6.78</v>
      </c>
      <c r="X56" s="253">
        <v>6.55</v>
      </c>
      <c r="Y56" s="253">
        <v>6.61</v>
      </c>
      <c r="Z56" s="247">
        <f ca="1">[1]ExtEntry!$F54</f>
        <v>6.61</v>
      </c>
      <c r="AA56" s="270"/>
      <c r="AB56" s="380">
        <v>5000</v>
      </c>
      <c r="AC56" s="380">
        <v>5000</v>
      </c>
      <c r="AD56" s="380">
        <v>5000</v>
      </c>
      <c r="AE56" s="380">
        <v>5000</v>
      </c>
      <c r="AF56" s="380">
        <v>5000</v>
      </c>
      <c r="AG56" s="380">
        <v>5000</v>
      </c>
      <c r="AH56" s="380">
        <v>5000</v>
      </c>
      <c r="AI56" s="380">
        <v>10000</v>
      </c>
      <c r="AJ56" s="380">
        <v>10000</v>
      </c>
      <c r="AK56" s="380">
        <v>10000</v>
      </c>
      <c r="AL56" s="380">
        <v>10000</v>
      </c>
      <c r="AM56" s="380">
        <v>10000</v>
      </c>
      <c r="AN56" s="380">
        <v>10000</v>
      </c>
      <c r="AO56" s="380">
        <v>10000</v>
      </c>
      <c r="AP56" s="380">
        <v>10000</v>
      </c>
      <c r="AQ56" s="380">
        <v>10000</v>
      </c>
      <c r="AR56" s="380">
        <v>10000</v>
      </c>
      <c r="AS56" s="380">
        <v>10000</v>
      </c>
      <c r="AT56" s="380">
        <v>10000</v>
      </c>
      <c r="AU56" s="380">
        <v>10000</v>
      </c>
      <c r="AV56" s="380">
        <f ca="1">Calc!G54</f>
        <v>10000</v>
      </c>
      <c r="AW56" s="253"/>
      <c r="AX56" s="88" t="str">
        <f t="shared" ca="1" si="3"/>
        <v>XPER</v>
      </c>
      <c r="BA56" s="253"/>
      <c r="CP56" s="253"/>
      <c r="EH56" s="110"/>
      <c r="FD56" s="285"/>
      <c r="FZ56" s="253"/>
      <c r="GV56" s="253"/>
      <c r="HR56" s="253"/>
      <c r="IN56" s="253"/>
    </row>
    <row r="57" spans="1:248" hidden="1">
      <c r="A57" s="241" t="str">
        <f ca="1">[1]ExtEntry!$A55</f>
        <v>MVEALDNE</v>
      </c>
      <c r="B57" s="250"/>
      <c r="C57" s="251"/>
      <c r="D57" s="251">
        <f>ROW()</f>
        <v>57</v>
      </c>
      <c r="E57" s="387">
        <f ca="1">[1]ExtEntry!$E55</f>
        <v>45954.666666666664</v>
      </c>
      <c r="F57" s="253">
        <v>0.81</v>
      </c>
      <c r="G57" s="253">
        <v>0.86599999999999999</v>
      </c>
      <c r="H57" s="253">
        <v>0.86799999999999999</v>
      </c>
      <c r="I57" s="253">
        <v>0.88</v>
      </c>
      <c r="J57" s="253">
        <v>0.87</v>
      </c>
      <c r="K57" s="253">
        <v>0.84</v>
      </c>
      <c r="L57" s="253">
        <v>0.84</v>
      </c>
      <c r="M57" s="253">
        <v>0.82199999999999995</v>
      </c>
      <c r="N57" s="253">
        <v>0.82199999999999995</v>
      </c>
      <c r="O57" s="253">
        <v>0.83799999999999997</v>
      </c>
      <c r="P57" s="253">
        <v>0.83799999999999997</v>
      </c>
      <c r="Q57" s="253">
        <v>0.84</v>
      </c>
      <c r="R57" s="253">
        <v>0.83799999999999997</v>
      </c>
      <c r="S57" s="253">
        <v>0.83</v>
      </c>
      <c r="T57" s="253">
        <v>0.83</v>
      </c>
      <c r="U57" s="253">
        <v>0.82</v>
      </c>
      <c r="V57" s="253">
        <v>0.83</v>
      </c>
      <c r="W57" s="254">
        <v>0.83</v>
      </c>
      <c r="X57" s="253">
        <v>0.84</v>
      </c>
      <c r="Y57" s="253">
        <v>0.83799999999999997</v>
      </c>
      <c r="Z57" s="247">
        <f ca="1">[1]ExtEntry!$F55</f>
        <v>0.83799999999999997</v>
      </c>
      <c r="AA57" s="270"/>
      <c r="AB57" s="380">
        <v>505000</v>
      </c>
      <c r="AC57" s="380">
        <v>505000</v>
      </c>
      <c r="AD57" s="380">
        <v>505000</v>
      </c>
      <c r="AE57" s="380">
        <v>505000</v>
      </c>
      <c r="AF57" s="380">
        <v>505000</v>
      </c>
      <c r="AG57" s="380">
        <v>505000</v>
      </c>
      <c r="AH57" s="380">
        <v>505000</v>
      </c>
      <c r="AI57" s="380">
        <v>505000</v>
      </c>
      <c r="AJ57" s="380">
        <v>505000</v>
      </c>
      <c r="AK57" s="380">
        <v>505000</v>
      </c>
      <c r="AL57" s="380">
        <v>505000</v>
      </c>
      <c r="AM57" s="380">
        <v>505000</v>
      </c>
      <c r="AN57" s="380">
        <v>505000</v>
      </c>
      <c r="AO57" s="380">
        <v>505000</v>
      </c>
      <c r="AP57" s="380">
        <v>505000</v>
      </c>
      <c r="AQ57" s="380">
        <v>505000</v>
      </c>
      <c r="AR57" s="380">
        <v>505000</v>
      </c>
      <c r="AS57" s="380">
        <v>505000</v>
      </c>
      <c r="AT57" s="380">
        <v>505000</v>
      </c>
      <c r="AU57" s="380">
        <v>505000</v>
      </c>
      <c r="AV57" s="380">
        <f ca="1">Calc!G55</f>
        <v>505000</v>
      </c>
      <c r="AW57" s="253"/>
      <c r="AX57" s="88" t="str">
        <f t="shared" ca="1" si="3"/>
        <v>MVEALDNE</v>
      </c>
      <c r="BA57" s="253"/>
      <c r="CP57" s="253"/>
      <c r="EH57" s="110"/>
      <c r="FD57" s="285"/>
      <c r="FZ57" s="253"/>
      <c r="GV57" s="253"/>
      <c r="HR57" s="253"/>
      <c r="IN57" s="253"/>
    </row>
    <row r="58" spans="1:248" hidden="1">
      <c r="A58" s="241" t="str">
        <f ca="1">[1]ExtEntry!$A56</f>
        <v>MVEDDD</v>
      </c>
      <c r="B58" s="250"/>
      <c r="C58" s="251"/>
      <c r="D58" s="251">
        <f>ROW()</f>
        <v>58</v>
      </c>
      <c r="E58" s="387">
        <f ca="1">[1]ExtEntry!$E56</f>
        <v>45954.994127685153</v>
      </c>
      <c r="F58" s="253">
        <v>3.11</v>
      </c>
      <c r="G58" s="253">
        <v>2.96</v>
      </c>
      <c r="H58" s="253">
        <v>2.9</v>
      </c>
      <c r="I58" s="253">
        <v>2.87</v>
      </c>
      <c r="J58" s="253">
        <v>2.99</v>
      </c>
      <c r="K58" s="253">
        <v>3.17</v>
      </c>
      <c r="L58" s="253">
        <v>3.14</v>
      </c>
      <c r="M58" s="253">
        <v>3.23</v>
      </c>
      <c r="N58" s="253">
        <v>3.23</v>
      </c>
      <c r="O58" s="253">
        <v>2.89</v>
      </c>
      <c r="P58" s="253">
        <v>3.11</v>
      </c>
      <c r="Q58" s="253">
        <v>3.08</v>
      </c>
      <c r="R58" s="253">
        <v>3.27</v>
      </c>
      <c r="S58" s="253">
        <v>3.26</v>
      </c>
      <c r="T58" s="253">
        <v>3.11</v>
      </c>
      <c r="U58" s="253">
        <v>3.78</v>
      </c>
      <c r="V58" s="253">
        <v>3.38</v>
      </c>
      <c r="W58" s="254">
        <v>3.38</v>
      </c>
      <c r="X58" s="253">
        <v>3.01</v>
      </c>
      <c r="Y58" s="253">
        <v>3.08</v>
      </c>
      <c r="Z58" s="247">
        <f ca="1">[1]ExtEntry!$F56</f>
        <v>3.08</v>
      </c>
      <c r="AA58" s="270"/>
      <c r="AB58" s="380">
        <v>10000</v>
      </c>
      <c r="AC58" s="380">
        <v>10000</v>
      </c>
      <c r="AD58" s="380">
        <v>10000</v>
      </c>
      <c r="AE58" s="380">
        <v>10000</v>
      </c>
      <c r="AF58" s="380">
        <v>10000</v>
      </c>
      <c r="AG58" s="380">
        <v>10000</v>
      </c>
      <c r="AH58" s="380">
        <v>10000</v>
      </c>
      <c r="AI58" s="380">
        <v>10000</v>
      </c>
      <c r="AJ58" s="380">
        <v>10000</v>
      </c>
      <c r="AK58" s="380">
        <v>10000</v>
      </c>
      <c r="AL58" s="380">
        <v>10000</v>
      </c>
      <c r="AM58" s="380">
        <v>10000</v>
      </c>
      <c r="AN58" s="380">
        <v>10000</v>
      </c>
      <c r="AO58" s="380">
        <v>10000</v>
      </c>
      <c r="AP58" s="380">
        <v>10000</v>
      </c>
      <c r="AQ58" s="380">
        <v>10000</v>
      </c>
      <c r="AR58" s="380">
        <v>10000</v>
      </c>
      <c r="AS58" s="380">
        <v>10000</v>
      </c>
      <c r="AT58" s="380">
        <v>10000</v>
      </c>
      <c r="AU58" s="380">
        <v>10000</v>
      </c>
      <c r="AV58" s="380">
        <f ca="1">Calc!G56</f>
        <v>10000</v>
      </c>
      <c r="AW58" s="253"/>
      <c r="AX58" s="88" t="str">
        <f t="shared" ca="1" si="3"/>
        <v>MVEDDD</v>
      </c>
      <c r="BA58" s="253"/>
      <c r="CP58" s="253"/>
      <c r="EH58" s="110"/>
      <c r="FD58" s="285"/>
      <c r="FZ58" s="253"/>
      <c r="GV58" s="253"/>
      <c r="HR58" s="253"/>
      <c r="IN58" s="253"/>
    </row>
    <row r="59" spans="1:248" hidden="1">
      <c r="A59" s="241" t="str">
        <f ca="1">[1]ExtEntry!$A57</f>
        <v>MVEDSY</v>
      </c>
      <c r="B59" s="250"/>
      <c r="C59" s="251"/>
      <c r="D59" s="251">
        <f>ROW()</f>
        <v>59</v>
      </c>
      <c r="E59" s="387">
        <f ca="1">[1]ExtEntry!$E57</f>
        <v>45954.666666666664</v>
      </c>
      <c r="F59" s="253">
        <v>28.06</v>
      </c>
      <c r="G59" s="253">
        <v>1.07</v>
      </c>
      <c r="H59" s="253">
        <v>1.04</v>
      </c>
      <c r="I59" s="253">
        <v>1.03</v>
      </c>
      <c r="J59" s="253">
        <v>1.05</v>
      </c>
      <c r="K59" s="253">
        <v>1.04</v>
      </c>
      <c r="L59" s="253">
        <v>29.05</v>
      </c>
      <c r="M59" s="253">
        <v>28.77</v>
      </c>
      <c r="N59" s="253">
        <v>28.93</v>
      </c>
      <c r="O59" s="253">
        <v>28.5</v>
      </c>
      <c r="P59" s="253">
        <v>28.81</v>
      </c>
      <c r="Q59" s="253">
        <v>28.35</v>
      </c>
      <c r="R59" s="253">
        <v>28.88</v>
      </c>
      <c r="S59" s="253">
        <v>29.38</v>
      </c>
      <c r="T59" s="253">
        <v>29.33</v>
      </c>
      <c r="U59" s="253">
        <v>29.78</v>
      </c>
      <c r="V59" s="253">
        <v>30.27</v>
      </c>
      <c r="W59" s="254">
        <v>30.27</v>
      </c>
      <c r="X59" s="253">
        <v>30.12</v>
      </c>
      <c r="Y59" s="253">
        <v>26.21</v>
      </c>
      <c r="Z59" s="247">
        <f ca="1">[1]ExtEntry!$F57</f>
        <v>26.21</v>
      </c>
      <c r="AA59" s="270"/>
      <c r="AB59" s="380">
        <v>12000</v>
      </c>
      <c r="AC59" s="380">
        <v>12000</v>
      </c>
      <c r="AD59" s="380">
        <v>12000</v>
      </c>
      <c r="AE59" s="380">
        <v>12000</v>
      </c>
      <c r="AF59" s="380">
        <v>12000</v>
      </c>
      <c r="AG59" s="380">
        <v>12000</v>
      </c>
      <c r="AH59" s="380">
        <v>12000</v>
      </c>
      <c r="AI59" s="380">
        <v>12000</v>
      </c>
      <c r="AJ59" s="380">
        <v>12000</v>
      </c>
      <c r="AK59" s="380">
        <v>12000</v>
      </c>
      <c r="AL59" s="380">
        <v>12000</v>
      </c>
      <c r="AM59" s="380">
        <v>12000</v>
      </c>
      <c r="AN59" s="380">
        <v>12000</v>
      </c>
      <c r="AO59" s="380">
        <v>12000</v>
      </c>
      <c r="AP59" s="380">
        <v>12000</v>
      </c>
      <c r="AQ59" s="380">
        <v>12000</v>
      </c>
      <c r="AR59" s="380">
        <v>12000</v>
      </c>
      <c r="AS59" s="380">
        <v>12000</v>
      </c>
      <c r="AT59" s="380">
        <v>12000</v>
      </c>
      <c r="AU59" s="380">
        <v>12000</v>
      </c>
      <c r="AV59" s="380">
        <f ca="1">Calc!G57</f>
        <v>12000</v>
      </c>
      <c r="AW59" s="253"/>
      <c r="AX59" s="88" t="str">
        <f t="shared" ca="1" si="3"/>
        <v>MVEDSY</v>
      </c>
      <c r="BA59" s="253"/>
      <c r="CP59" s="253"/>
      <c r="EH59" s="110"/>
      <c r="FD59" s="285"/>
      <c r="FZ59" s="253"/>
      <c r="GV59" s="253"/>
      <c r="HR59" s="253"/>
      <c r="IN59" s="253"/>
    </row>
    <row r="60" spans="1:248" hidden="1">
      <c r="A60" s="241" t="str">
        <f ca="1">[1]ExtEntry!$A58</f>
        <v>MVEEOAN</v>
      </c>
      <c r="B60" s="250"/>
      <c r="C60" s="251"/>
      <c r="D60" s="251">
        <f>ROW()</f>
        <v>60</v>
      </c>
      <c r="E60" s="387">
        <f ca="1">[1]ExtEntry!$E58</f>
        <v>45954.770833333336</v>
      </c>
      <c r="F60" s="253">
        <v>16.055</v>
      </c>
      <c r="G60" s="253">
        <v>16.02</v>
      </c>
      <c r="H60" s="253">
        <v>16.07</v>
      </c>
      <c r="I60" s="253">
        <v>16.16</v>
      </c>
      <c r="J60" s="253">
        <v>15.96</v>
      </c>
      <c r="K60" s="253">
        <v>16.074999999999999</v>
      </c>
      <c r="L60" s="253">
        <v>16.114999999999998</v>
      </c>
      <c r="M60" s="253">
        <v>16.18</v>
      </c>
      <c r="N60" s="253">
        <v>16.175000000000001</v>
      </c>
      <c r="O60" s="253">
        <v>16.07</v>
      </c>
      <c r="P60" s="253">
        <v>16.260000000000002</v>
      </c>
      <c r="Q60" s="253">
        <v>16.37</v>
      </c>
      <c r="R60" s="253">
        <v>16.2</v>
      </c>
      <c r="S60" s="253">
        <v>16.25</v>
      </c>
      <c r="T60" s="253">
        <v>16.27</v>
      </c>
      <c r="U60" s="253">
        <v>16.420000000000002</v>
      </c>
      <c r="V60" s="253">
        <v>16.364999999999998</v>
      </c>
      <c r="W60" s="254">
        <v>16.364999999999998</v>
      </c>
      <c r="X60" s="253">
        <v>16.100000000000001</v>
      </c>
      <c r="Y60" s="253">
        <v>15.98</v>
      </c>
      <c r="Z60" s="247">
        <f ca="1">[1]ExtEntry!$F58</f>
        <v>16.035</v>
      </c>
      <c r="AA60" s="270"/>
      <c r="AB60" s="380">
        <v>10</v>
      </c>
      <c r="AC60" s="380">
        <v>10</v>
      </c>
      <c r="AD60" s="380">
        <v>10</v>
      </c>
      <c r="AE60" s="380">
        <v>10</v>
      </c>
      <c r="AF60" s="380">
        <v>10</v>
      </c>
      <c r="AG60" s="380">
        <v>10</v>
      </c>
      <c r="AH60" s="380">
        <v>10</v>
      </c>
      <c r="AI60" s="380">
        <v>10</v>
      </c>
      <c r="AJ60" s="380">
        <v>10</v>
      </c>
      <c r="AK60" s="380">
        <v>10</v>
      </c>
      <c r="AL60" s="380">
        <v>10</v>
      </c>
      <c r="AM60" s="380">
        <v>10</v>
      </c>
      <c r="AN60" s="380">
        <v>10</v>
      </c>
      <c r="AO60" s="380">
        <v>10</v>
      </c>
      <c r="AP60" s="380">
        <v>10</v>
      </c>
      <c r="AQ60" s="380">
        <v>10</v>
      </c>
      <c r="AR60" s="380">
        <v>10</v>
      </c>
      <c r="AS60" s="380">
        <v>10</v>
      </c>
      <c r="AT60" s="380">
        <v>10</v>
      </c>
      <c r="AU60" s="380">
        <v>10</v>
      </c>
      <c r="AV60" s="380">
        <f ca="1">Calc!G58</f>
        <v>10</v>
      </c>
      <c r="AW60" s="253"/>
      <c r="AX60" s="88" t="str">
        <f t="shared" ca="1" si="3"/>
        <v>MVEEOAN</v>
      </c>
      <c r="BA60" s="253"/>
      <c r="CP60" s="253"/>
      <c r="EH60" s="110"/>
      <c r="FD60" s="285"/>
      <c r="FZ60" s="253"/>
      <c r="GV60" s="253"/>
      <c r="HR60" s="253"/>
      <c r="IN60" s="253"/>
    </row>
    <row r="61" spans="1:248" hidden="1">
      <c r="A61" s="241" t="str">
        <f ca="1">[1]ExtEntry!$A59</f>
        <v>MVEENI</v>
      </c>
      <c r="B61" s="250"/>
      <c r="C61" s="251"/>
      <c r="D61" s="251">
        <f>ROW()</f>
        <v>61</v>
      </c>
      <c r="E61" s="387">
        <f ca="1">[1]ExtEntry!$E59</f>
        <v>45954.666666666664</v>
      </c>
      <c r="F61" s="253">
        <v>15.346</v>
      </c>
      <c r="G61" s="253">
        <v>15.082000000000001</v>
      </c>
      <c r="H61" s="253">
        <v>14.866</v>
      </c>
      <c r="I61" s="253">
        <v>14.986000000000001</v>
      </c>
      <c r="J61" s="253">
        <v>14.875999999999999</v>
      </c>
      <c r="K61" s="253">
        <v>15.108000000000001</v>
      </c>
      <c r="L61" s="253">
        <v>15.173999999999999</v>
      </c>
      <c r="M61" s="253">
        <v>15.286</v>
      </c>
      <c r="N61" s="253">
        <v>15.378</v>
      </c>
      <c r="O61" s="253">
        <v>14.954000000000001</v>
      </c>
      <c r="P61" s="253">
        <v>14.972</v>
      </c>
      <c r="Q61" s="253">
        <v>14.7</v>
      </c>
      <c r="R61" s="253">
        <v>14.722</v>
      </c>
      <c r="S61" s="253">
        <v>14.766</v>
      </c>
      <c r="T61" s="253">
        <v>14.843999999999999</v>
      </c>
      <c r="U61" s="253">
        <v>14.875999999999999</v>
      </c>
      <c r="V61" s="253">
        <v>14.9</v>
      </c>
      <c r="W61" s="254">
        <v>14.9</v>
      </c>
      <c r="X61" s="253">
        <v>15.125999999999999</v>
      </c>
      <c r="Y61" s="253">
        <v>15.586</v>
      </c>
      <c r="Z61" s="247">
        <f ca="1">[1]ExtEntry!$F59</f>
        <v>15.586</v>
      </c>
      <c r="AA61" s="270"/>
      <c r="AB61" s="380">
        <v>40000</v>
      </c>
      <c r="AC61" s="380">
        <v>40000</v>
      </c>
      <c r="AD61" s="380">
        <v>40000</v>
      </c>
      <c r="AE61" s="380">
        <v>40000</v>
      </c>
      <c r="AF61" s="380">
        <v>40000</v>
      </c>
      <c r="AG61" s="380">
        <v>36000</v>
      </c>
      <c r="AH61" s="380">
        <v>36000</v>
      </c>
      <c r="AI61" s="380">
        <v>36000</v>
      </c>
      <c r="AJ61" s="380">
        <v>36000</v>
      </c>
      <c r="AK61" s="380">
        <v>36000</v>
      </c>
      <c r="AL61" s="380">
        <v>36000</v>
      </c>
      <c r="AM61" s="380">
        <v>36000</v>
      </c>
      <c r="AN61" s="380">
        <v>36000</v>
      </c>
      <c r="AO61" s="380">
        <v>36000</v>
      </c>
      <c r="AP61" s="380">
        <v>36000</v>
      </c>
      <c r="AQ61" s="380">
        <v>36000</v>
      </c>
      <c r="AR61" s="380">
        <v>36000</v>
      </c>
      <c r="AS61" s="380">
        <v>36000</v>
      </c>
      <c r="AT61" s="380">
        <v>36000</v>
      </c>
      <c r="AU61" s="380">
        <v>36000</v>
      </c>
      <c r="AV61" s="380">
        <f ca="1">Calc!G59</f>
        <v>36000</v>
      </c>
      <c r="AW61" s="253"/>
      <c r="AX61" s="88" t="str">
        <f t="shared" ca="1" si="3"/>
        <v>MVEENI</v>
      </c>
      <c r="BA61" s="253"/>
      <c r="CP61" s="253"/>
      <c r="EH61" s="110"/>
      <c r="FD61" s="285"/>
      <c r="FZ61" s="253"/>
      <c r="GV61" s="253"/>
      <c r="HR61" s="253"/>
      <c r="IN61" s="253"/>
    </row>
    <row r="62" spans="1:248" hidden="1">
      <c r="A62" s="241" t="str">
        <f ca="1">[1]ExtEntry!$A60</f>
        <v>MVEEPIX</v>
      </c>
      <c r="B62" s="250"/>
      <c r="C62" s="251"/>
      <c r="D62" s="251">
        <f>ROW()</f>
        <v>62</v>
      </c>
      <c r="E62" s="387">
        <f ca="1">[1]ExtEntry!$E60</f>
        <v>45938.992447279685</v>
      </c>
      <c r="F62" s="253">
        <v>0.20100000000000001</v>
      </c>
      <c r="G62" s="253">
        <v>0.19339999999999999</v>
      </c>
      <c r="H62" s="253">
        <v>0.191</v>
      </c>
      <c r="I62" s="253">
        <v>0.2059</v>
      </c>
      <c r="J62" s="253">
        <v>0.21740000000000001</v>
      </c>
      <c r="K62" s="253">
        <v>0.20419999999999999</v>
      </c>
      <c r="L62" s="253">
        <v>0.20499999999999999</v>
      </c>
      <c r="M62" s="253">
        <v>0.20499999999999999</v>
      </c>
      <c r="N62" s="253">
        <v>0.20499999999999999</v>
      </c>
      <c r="O62" s="253">
        <v>0.20499999999999999</v>
      </c>
      <c r="P62" s="253">
        <v>0.20499999999999999</v>
      </c>
      <c r="Q62" s="253">
        <v>0.20499999999999999</v>
      </c>
      <c r="R62" s="253">
        <v>0.20499999999999999</v>
      </c>
      <c r="S62" s="253">
        <v>0.20499999999999999</v>
      </c>
      <c r="T62" s="253">
        <v>0.20499999999999999</v>
      </c>
      <c r="U62" s="253">
        <v>0.20499999999999999</v>
      </c>
      <c r="V62" s="253">
        <v>0.20499999999999999</v>
      </c>
      <c r="W62" s="254">
        <v>0.20499999999999999</v>
      </c>
      <c r="X62" s="253">
        <v>0.20499999999999999</v>
      </c>
      <c r="Y62" s="253">
        <v>0.20499999999999999</v>
      </c>
      <c r="Z62" s="247">
        <f ca="1">[1]ExtEntry!$F60</f>
        <v>0.20499999999999999</v>
      </c>
      <c r="AA62" s="270"/>
      <c r="AB62" s="380">
        <v>12000</v>
      </c>
      <c r="AC62" s="380">
        <v>12000</v>
      </c>
      <c r="AD62" s="380">
        <v>12000</v>
      </c>
      <c r="AE62" s="380">
        <v>12000</v>
      </c>
      <c r="AF62" s="380">
        <v>12000</v>
      </c>
      <c r="AG62" s="380">
        <v>12000</v>
      </c>
      <c r="AH62" s="380">
        <v>12000</v>
      </c>
      <c r="AI62" s="380">
        <v>12000</v>
      </c>
      <c r="AJ62" s="380">
        <v>12000</v>
      </c>
      <c r="AK62" s="380">
        <v>12000</v>
      </c>
      <c r="AL62" s="380">
        <v>12000</v>
      </c>
      <c r="AM62" s="380">
        <v>12000</v>
      </c>
      <c r="AN62" s="380">
        <v>12000</v>
      </c>
      <c r="AO62" s="380">
        <v>12000</v>
      </c>
      <c r="AP62" s="380">
        <v>12000</v>
      </c>
      <c r="AQ62" s="380">
        <v>12000</v>
      </c>
      <c r="AR62" s="380">
        <v>12000</v>
      </c>
      <c r="AS62" s="380">
        <v>12000</v>
      </c>
      <c r="AT62" s="380">
        <v>12000</v>
      </c>
      <c r="AU62" s="380">
        <v>12000</v>
      </c>
      <c r="AV62" s="380">
        <f ca="1">Calc!G60</f>
        <v>12000</v>
      </c>
      <c r="AW62" s="253"/>
      <c r="AX62" s="88" t="str">
        <f t="shared" ca="1" si="3"/>
        <v>MVEEPIX</v>
      </c>
      <c r="BA62" s="253"/>
      <c r="CP62" s="253"/>
      <c r="EH62" s="110"/>
      <c r="FD62" s="285"/>
      <c r="FZ62" s="253"/>
      <c r="GV62" s="253"/>
      <c r="HR62" s="253"/>
      <c r="IN62" s="253"/>
    </row>
    <row r="63" spans="1:248" hidden="1">
      <c r="A63" s="241" t="str">
        <f ca="1">[1]ExtEntry!$A61</f>
        <v>MVEGLE</v>
      </c>
      <c r="B63" s="250"/>
      <c r="C63" s="251"/>
      <c r="D63" s="251">
        <f>ROW()</f>
        <v>63</v>
      </c>
      <c r="E63" s="387">
        <f ca="1">[1]ExtEntry!$E61</f>
        <v>45954.666666666664</v>
      </c>
      <c r="F63" s="253">
        <v>57.36</v>
      </c>
      <c r="G63" s="253">
        <v>56.62</v>
      </c>
      <c r="H63" s="253">
        <v>56.36</v>
      </c>
      <c r="I63" s="253">
        <v>56.82</v>
      </c>
      <c r="J63" s="253">
        <v>56.72</v>
      </c>
      <c r="K63" s="253">
        <v>53.72</v>
      </c>
      <c r="L63" s="253">
        <v>53.3</v>
      </c>
      <c r="M63" s="253">
        <v>54.42</v>
      </c>
      <c r="N63" s="253">
        <v>54.36</v>
      </c>
      <c r="O63" s="253">
        <v>53.86</v>
      </c>
      <c r="P63" s="253">
        <v>53.72</v>
      </c>
      <c r="Q63" s="253">
        <v>55.02</v>
      </c>
      <c r="R63" s="253">
        <v>55.56</v>
      </c>
      <c r="S63" s="253">
        <v>56.52</v>
      </c>
      <c r="T63" s="253">
        <v>53.64</v>
      </c>
      <c r="U63" s="253">
        <v>53</v>
      </c>
      <c r="V63" s="253">
        <v>53.12</v>
      </c>
      <c r="W63" s="254">
        <v>53.12</v>
      </c>
      <c r="X63" s="253">
        <v>52.88</v>
      </c>
      <c r="Y63" s="253">
        <v>53.58</v>
      </c>
      <c r="Z63" s="247">
        <f ca="1">[1]ExtEntry!$F61</f>
        <v>53.58</v>
      </c>
      <c r="AA63" s="270"/>
      <c r="AB63" s="380">
        <v>2000</v>
      </c>
      <c r="AC63" s="380">
        <v>2000</v>
      </c>
      <c r="AD63" s="380">
        <v>2000</v>
      </c>
      <c r="AE63" s="380">
        <v>2000</v>
      </c>
      <c r="AF63" s="380">
        <v>2000</v>
      </c>
      <c r="AG63" s="380">
        <v>2000</v>
      </c>
      <c r="AH63" s="380">
        <v>4000</v>
      </c>
      <c r="AI63" s="380">
        <v>6000</v>
      </c>
      <c r="AJ63" s="380">
        <v>6000</v>
      </c>
      <c r="AK63" s="380">
        <v>6000</v>
      </c>
      <c r="AL63" s="380">
        <v>6000</v>
      </c>
      <c r="AM63" s="380">
        <v>6000</v>
      </c>
      <c r="AN63" s="380">
        <v>6000</v>
      </c>
      <c r="AO63" s="380">
        <v>7000</v>
      </c>
      <c r="AP63" s="380">
        <v>7000</v>
      </c>
      <c r="AQ63" s="380">
        <v>7000</v>
      </c>
      <c r="AR63" s="380">
        <v>7000</v>
      </c>
      <c r="AS63" s="380">
        <v>7000</v>
      </c>
      <c r="AT63" s="380">
        <v>7000</v>
      </c>
      <c r="AU63" s="380">
        <v>7000</v>
      </c>
      <c r="AV63" s="380">
        <f ca="1">Calc!G61</f>
        <v>7000</v>
      </c>
      <c r="AW63" s="253"/>
      <c r="AX63" s="88" t="str">
        <f t="shared" ca="1" si="3"/>
        <v>MVEGLE</v>
      </c>
      <c r="BA63" s="253"/>
      <c r="CP63" s="253"/>
      <c r="EH63" s="110"/>
      <c r="FD63" s="285"/>
      <c r="FZ63" s="253"/>
      <c r="GV63" s="253"/>
      <c r="HR63" s="253"/>
      <c r="IN63" s="253"/>
    </row>
    <row r="64" spans="1:248" hidden="1">
      <c r="A64" s="241" t="str">
        <f ca="1">[1]ExtEntry!$A62</f>
        <v>MVEORA</v>
      </c>
      <c r="B64" s="250"/>
      <c r="C64" s="251"/>
      <c r="D64" s="251">
        <f>ROW()</f>
        <v>64</v>
      </c>
      <c r="E64" s="387">
        <f ca="1">[1]ExtEntry!$E62</f>
        <v>45954.666666666664</v>
      </c>
      <c r="F64" s="253">
        <v>13.76</v>
      </c>
      <c r="G64" s="253">
        <v>47.86</v>
      </c>
      <c r="H64" s="253">
        <v>13.81</v>
      </c>
      <c r="I64" s="253">
        <v>13.705</v>
      </c>
      <c r="J64" s="253">
        <v>13.535</v>
      </c>
      <c r="K64" s="253">
        <v>13.185</v>
      </c>
      <c r="L64" s="253">
        <v>13.215</v>
      </c>
      <c r="M64" s="253">
        <v>13.39</v>
      </c>
      <c r="N64" s="253">
        <v>13.56</v>
      </c>
      <c r="O64" s="253">
        <v>13.59</v>
      </c>
      <c r="P64" s="253">
        <v>13.43</v>
      </c>
      <c r="Q64" s="253">
        <v>13.57</v>
      </c>
      <c r="R64" s="253">
        <v>14.015000000000001</v>
      </c>
      <c r="S64" s="253">
        <v>14.085000000000001</v>
      </c>
      <c r="T64" s="253">
        <v>14.335000000000001</v>
      </c>
      <c r="U64" s="253">
        <v>14.16</v>
      </c>
      <c r="V64" s="253">
        <v>14.125</v>
      </c>
      <c r="W64" s="254">
        <v>14.125</v>
      </c>
      <c r="X64" s="253">
        <v>14.07</v>
      </c>
      <c r="Y64" s="253">
        <v>14.15</v>
      </c>
      <c r="Z64" s="247">
        <f ca="1">[1]ExtEntry!$F62</f>
        <v>14.15</v>
      </c>
      <c r="AA64" s="270"/>
      <c r="AB64" s="380">
        <v>19800</v>
      </c>
      <c r="AC64" s="380">
        <v>19800</v>
      </c>
      <c r="AD64" s="380">
        <v>19800</v>
      </c>
      <c r="AE64" s="380">
        <v>19800</v>
      </c>
      <c r="AF64" s="380">
        <v>19800</v>
      </c>
      <c r="AG64" s="380">
        <v>19800</v>
      </c>
      <c r="AH64" s="380">
        <v>19800</v>
      </c>
      <c r="AI64" s="380">
        <v>19800</v>
      </c>
      <c r="AJ64" s="380">
        <v>19800</v>
      </c>
      <c r="AK64" s="380">
        <v>19800</v>
      </c>
      <c r="AL64" s="380">
        <v>19800</v>
      </c>
      <c r="AM64" s="380">
        <v>19800</v>
      </c>
      <c r="AN64" s="380">
        <v>19800</v>
      </c>
      <c r="AO64" s="380">
        <v>19800</v>
      </c>
      <c r="AP64" s="380">
        <v>19800</v>
      </c>
      <c r="AQ64" s="380">
        <v>19800</v>
      </c>
      <c r="AR64" s="380">
        <v>19800</v>
      </c>
      <c r="AS64" s="380">
        <v>19800</v>
      </c>
      <c r="AT64" s="380">
        <v>19800</v>
      </c>
      <c r="AU64" s="380">
        <v>19800</v>
      </c>
      <c r="AV64" s="380">
        <f ca="1">Calc!G62</f>
        <v>19800</v>
      </c>
      <c r="AW64" s="253"/>
      <c r="AX64" s="88" t="str">
        <f t="shared" ca="1" si="3"/>
        <v>MVEORA</v>
      </c>
      <c r="BA64" s="253"/>
      <c r="CP64" s="253"/>
      <c r="EH64" s="110"/>
      <c r="FD64" s="285"/>
      <c r="FZ64" s="253"/>
      <c r="GV64" s="253"/>
      <c r="HR64" s="253"/>
      <c r="IN64" s="253"/>
    </row>
    <row r="65" spans="1:248" hidden="1">
      <c r="A65" s="241" t="str">
        <f ca="1">[1]ExtEntry!$A63</f>
        <v>MVERWE</v>
      </c>
      <c r="B65" s="250"/>
      <c r="C65" s="251"/>
      <c r="D65" s="251">
        <f>ROW()</f>
        <v>65</v>
      </c>
      <c r="E65" s="387">
        <f ca="1">[1]ExtEntry!$E63</f>
        <v>45954.770833333336</v>
      </c>
      <c r="F65" s="253">
        <v>37.909999999999997</v>
      </c>
      <c r="G65" s="253">
        <v>37.78</v>
      </c>
      <c r="H65" s="253">
        <v>37.92</v>
      </c>
      <c r="I65" s="253">
        <v>39.04</v>
      </c>
      <c r="J65" s="253">
        <v>38.93</v>
      </c>
      <c r="K65" s="253">
        <v>39.78</v>
      </c>
      <c r="L65" s="253">
        <v>39.72</v>
      </c>
      <c r="M65" s="253">
        <v>40.49</v>
      </c>
      <c r="N65" s="253">
        <v>40.22</v>
      </c>
      <c r="O65" s="253">
        <v>40.33</v>
      </c>
      <c r="P65" s="253">
        <v>40.96</v>
      </c>
      <c r="Q65" s="253">
        <v>40.58</v>
      </c>
      <c r="R65" s="253">
        <v>40.770000000000003</v>
      </c>
      <c r="S65" s="253">
        <v>41.38</v>
      </c>
      <c r="T65" s="253">
        <v>41.06</v>
      </c>
      <c r="U65" s="253">
        <v>40.92</v>
      </c>
      <c r="V65" s="253">
        <v>40.47</v>
      </c>
      <c r="W65" s="254">
        <v>40.47</v>
      </c>
      <c r="X65" s="253">
        <v>40.22</v>
      </c>
      <c r="Y65" s="253">
        <v>40</v>
      </c>
      <c r="Z65" s="247">
        <f ca="1">[1]ExtEntry!$F63</f>
        <v>40.44</v>
      </c>
      <c r="AA65" s="270"/>
      <c r="AB65" s="380">
        <v>1</v>
      </c>
      <c r="AC65" s="380">
        <v>1</v>
      </c>
      <c r="AD65" s="380">
        <v>1</v>
      </c>
      <c r="AE65" s="380">
        <v>1</v>
      </c>
      <c r="AF65" s="380">
        <v>1</v>
      </c>
      <c r="AG65" s="380">
        <v>1</v>
      </c>
      <c r="AH65" s="380">
        <v>1</v>
      </c>
      <c r="AI65" s="380">
        <v>1</v>
      </c>
      <c r="AJ65" s="380">
        <v>1</v>
      </c>
      <c r="AK65" s="380">
        <v>1</v>
      </c>
      <c r="AL65" s="380">
        <v>1</v>
      </c>
      <c r="AM65" s="380">
        <v>1</v>
      </c>
      <c r="AN65" s="380">
        <v>1</v>
      </c>
      <c r="AO65" s="380">
        <v>1</v>
      </c>
      <c r="AP65" s="380">
        <v>1</v>
      </c>
      <c r="AQ65" s="380">
        <v>1</v>
      </c>
      <c r="AR65" s="380">
        <v>1</v>
      </c>
      <c r="AS65" s="380">
        <v>1</v>
      </c>
      <c r="AT65" s="380">
        <v>1</v>
      </c>
      <c r="AU65" s="380">
        <v>1</v>
      </c>
      <c r="AV65" s="380">
        <f ca="1">Calc!G63</f>
        <v>1</v>
      </c>
      <c r="AW65" s="253"/>
      <c r="AX65" s="88" t="str">
        <f t="shared" ca="1" si="3"/>
        <v>MVERWE</v>
      </c>
      <c r="BA65" s="253"/>
      <c r="CP65" s="253"/>
      <c r="EH65" s="110"/>
      <c r="FD65" s="285"/>
      <c r="FZ65" s="253"/>
      <c r="GV65" s="253"/>
      <c r="HR65" s="253"/>
      <c r="IN65" s="253"/>
    </row>
    <row r="66" spans="1:248" hidden="1">
      <c r="A66" s="241" t="str">
        <f ca="1">[1]ExtEntry!$A64</f>
        <v>MVESAP</v>
      </c>
      <c r="B66" s="250"/>
      <c r="C66" s="251"/>
      <c r="D66" s="251">
        <f>ROW()</f>
        <v>66</v>
      </c>
      <c r="E66" s="387">
        <f ca="1">[1]ExtEntry!$E64</f>
        <v>45954.770833333336</v>
      </c>
      <c r="F66" s="253">
        <v>225.15</v>
      </c>
      <c r="G66" s="253">
        <v>225.55</v>
      </c>
      <c r="H66" s="253">
        <v>227.9</v>
      </c>
      <c r="I66" s="253">
        <v>227.8</v>
      </c>
      <c r="J66" s="253">
        <v>232.1</v>
      </c>
      <c r="K66" s="253">
        <v>231.6</v>
      </c>
      <c r="L66" s="253">
        <v>235</v>
      </c>
      <c r="M66" s="253">
        <v>237.2</v>
      </c>
      <c r="N66" s="253">
        <v>237.8</v>
      </c>
      <c r="O66" s="253">
        <v>230.55</v>
      </c>
      <c r="P66" s="253">
        <v>231.4</v>
      </c>
      <c r="Q66" s="253">
        <v>232.7</v>
      </c>
      <c r="R66" s="253">
        <v>234.2</v>
      </c>
      <c r="S66" s="253">
        <v>233.2</v>
      </c>
      <c r="T66" s="253">
        <v>230.95</v>
      </c>
      <c r="U66" s="253">
        <v>238.6</v>
      </c>
      <c r="V66" s="253">
        <v>240.4</v>
      </c>
      <c r="W66" s="254">
        <v>240.4</v>
      </c>
      <c r="X66" s="253">
        <v>236.85</v>
      </c>
      <c r="Y66" s="253">
        <v>242</v>
      </c>
      <c r="Z66" s="247">
        <f ca="1">[1]ExtEntry!$F64</f>
        <v>242</v>
      </c>
      <c r="AA66" s="270"/>
      <c r="AB66" s="380">
        <v>401</v>
      </c>
      <c r="AC66" s="380">
        <v>401</v>
      </c>
      <c r="AD66" s="380">
        <v>401</v>
      </c>
      <c r="AE66" s="380">
        <v>401</v>
      </c>
      <c r="AF66" s="380">
        <v>401</v>
      </c>
      <c r="AG66" s="380">
        <v>401</v>
      </c>
      <c r="AH66" s="380">
        <v>401</v>
      </c>
      <c r="AI66" s="380">
        <v>401</v>
      </c>
      <c r="AJ66" s="380">
        <v>401</v>
      </c>
      <c r="AK66" s="380">
        <v>401</v>
      </c>
      <c r="AL66" s="380">
        <v>401</v>
      </c>
      <c r="AM66" s="380">
        <v>401</v>
      </c>
      <c r="AN66" s="380">
        <v>401</v>
      </c>
      <c r="AO66" s="380">
        <v>401</v>
      </c>
      <c r="AP66" s="380">
        <v>401</v>
      </c>
      <c r="AQ66" s="380">
        <v>401</v>
      </c>
      <c r="AR66" s="380">
        <v>401</v>
      </c>
      <c r="AS66" s="380">
        <v>401</v>
      </c>
      <c r="AT66" s="380">
        <v>401</v>
      </c>
      <c r="AU66" s="380">
        <v>401</v>
      </c>
      <c r="AV66" s="380">
        <f ca="1">Calc!G64</f>
        <v>401</v>
      </c>
      <c r="AW66" s="253"/>
      <c r="AX66" s="88" t="str">
        <f t="shared" ca="1" si="3"/>
        <v>MVESAP</v>
      </c>
      <c r="BA66" s="253"/>
      <c r="CP66" s="253"/>
      <c r="EH66" s="110"/>
      <c r="FD66" s="285"/>
      <c r="FZ66" s="253"/>
      <c r="GV66" s="253"/>
      <c r="HR66" s="253"/>
      <c r="IN66" s="253"/>
    </row>
    <row r="67" spans="1:248" hidden="1">
      <c r="A67" s="241" t="str">
        <f ca="1">[1]ExtEntry!$A65</f>
        <v>MVEUN0</v>
      </c>
      <c r="B67" s="250"/>
      <c r="C67" s="251"/>
      <c r="D67" s="251">
        <f>ROW()</f>
        <v>67</v>
      </c>
      <c r="E67" s="387">
        <f ca="1">[1]ExtEntry!$E65</f>
        <v>45954.836805555555</v>
      </c>
      <c r="F67" s="253">
        <v>34.1</v>
      </c>
      <c r="G67" s="253">
        <v>35</v>
      </c>
      <c r="H67" s="253">
        <v>34.1</v>
      </c>
      <c r="I67" s="253">
        <v>34</v>
      </c>
      <c r="J67" s="253">
        <v>33.799999999999997</v>
      </c>
      <c r="K67" s="253">
        <v>33.15</v>
      </c>
      <c r="L67" s="253">
        <v>32.049999999999997</v>
      </c>
      <c r="M67" s="253">
        <v>32.6</v>
      </c>
      <c r="N67" s="253">
        <v>33</v>
      </c>
      <c r="O67" s="253">
        <v>31.8</v>
      </c>
      <c r="P67" s="253">
        <v>31.9</v>
      </c>
      <c r="Q67" s="253">
        <v>31.55</v>
      </c>
      <c r="R67" s="253">
        <v>31.6</v>
      </c>
      <c r="S67" s="253">
        <v>31.75</v>
      </c>
      <c r="T67" s="253">
        <v>31.55</v>
      </c>
      <c r="U67" s="253">
        <v>33</v>
      </c>
      <c r="V67" s="253">
        <v>31.7</v>
      </c>
      <c r="W67" s="254">
        <v>31.7</v>
      </c>
      <c r="X67" s="253">
        <v>31.8</v>
      </c>
      <c r="Y67" s="253">
        <v>30.95</v>
      </c>
      <c r="Z67" s="247">
        <f ca="1">[1]ExtEntry!$F65</f>
        <v>30.95</v>
      </c>
      <c r="AA67" s="270"/>
      <c r="AB67" s="380">
        <v>560</v>
      </c>
      <c r="AC67" s="380">
        <v>560</v>
      </c>
      <c r="AD67" s="380">
        <v>560</v>
      </c>
      <c r="AE67" s="380">
        <v>560</v>
      </c>
      <c r="AF67" s="380">
        <v>560</v>
      </c>
      <c r="AG67" s="380">
        <v>560</v>
      </c>
      <c r="AH67" s="380">
        <v>560</v>
      </c>
      <c r="AI67" s="380">
        <v>560</v>
      </c>
      <c r="AJ67" s="380">
        <v>560</v>
      </c>
      <c r="AK67" s="380">
        <v>560</v>
      </c>
      <c r="AL67" s="380">
        <v>560</v>
      </c>
      <c r="AM67" s="380">
        <v>560</v>
      </c>
      <c r="AN67" s="380">
        <v>560</v>
      </c>
      <c r="AO67" s="380">
        <v>560</v>
      </c>
      <c r="AP67" s="380">
        <v>560</v>
      </c>
      <c r="AQ67" s="380">
        <v>560</v>
      </c>
      <c r="AR67" s="380">
        <v>560</v>
      </c>
      <c r="AS67" s="380">
        <v>560</v>
      </c>
      <c r="AT67" s="380">
        <v>560</v>
      </c>
      <c r="AU67" s="380">
        <v>560</v>
      </c>
      <c r="AV67" s="380">
        <f ca="1">Calc!G65</f>
        <v>560</v>
      </c>
      <c r="AW67" s="253"/>
      <c r="AX67" s="88" t="str">
        <f t="shared" ca="1" si="3"/>
        <v>MVEUN0</v>
      </c>
      <c r="BA67" s="253"/>
      <c r="CP67" s="253"/>
      <c r="EH67" s="110"/>
      <c r="FD67" s="285"/>
      <c r="FZ67" s="253"/>
      <c r="GV67" s="253"/>
      <c r="HR67" s="253"/>
      <c r="IN67" s="253"/>
    </row>
    <row r="68" spans="1:248" hidden="1">
      <c r="A68" s="241" t="str">
        <f ca="1">[1]ExtEntry!$A66</f>
        <v>SAFAAPL</v>
      </c>
      <c r="B68" s="250"/>
      <c r="C68" s="251"/>
      <c r="D68" s="251">
        <f>ROW()</f>
        <v>68</v>
      </c>
      <c r="E68" s="387">
        <f ca="1">[1]ExtEntry!$E66</f>
        <v>45954.999963008595</v>
      </c>
      <c r="F68" s="253">
        <v>255.46</v>
      </c>
      <c r="G68" s="253">
        <v>254.43</v>
      </c>
      <c r="H68" s="253">
        <v>254.63</v>
      </c>
      <c r="I68" s="253">
        <v>255.45</v>
      </c>
      <c r="J68" s="253">
        <v>257.13</v>
      </c>
      <c r="K68" s="253">
        <v>256.69</v>
      </c>
      <c r="L68" s="253">
        <v>256.48</v>
      </c>
      <c r="M68" s="253">
        <v>258.06</v>
      </c>
      <c r="N68" s="253">
        <v>258.06</v>
      </c>
      <c r="O68" s="253">
        <v>245.27</v>
      </c>
      <c r="P68" s="253">
        <v>247.66</v>
      </c>
      <c r="Q68" s="253">
        <v>247.77</v>
      </c>
      <c r="R68" s="253">
        <v>249.34</v>
      </c>
      <c r="S68" s="253">
        <v>247.45</v>
      </c>
      <c r="T68" s="253">
        <v>252.29</v>
      </c>
      <c r="U68" s="253">
        <v>262.24</v>
      </c>
      <c r="V68" s="253">
        <v>262.77</v>
      </c>
      <c r="W68" s="254">
        <v>262.77</v>
      </c>
      <c r="X68" s="253">
        <v>258.45</v>
      </c>
      <c r="Y68" s="253">
        <v>259.58</v>
      </c>
      <c r="Z68" s="247">
        <f ca="1">[1]ExtEntry!$F66</f>
        <v>259.58</v>
      </c>
      <c r="AA68" s="270"/>
      <c r="AB68" s="380">
        <v>500</v>
      </c>
      <c r="AC68" s="380">
        <v>500</v>
      </c>
      <c r="AD68" s="380">
        <v>500</v>
      </c>
      <c r="AE68" s="380">
        <v>500</v>
      </c>
      <c r="AF68" s="380">
        <v>500</v>
      </c>
      <c r="AG68" s="380">
        <v>350</v>
      </c>
      <c r="AH68" s="380">
        <v>350</v>
      </c>
      <c r="AI68" s="380">
        <v>350</v>
      </c>
      <c r="AJ68" s="380">
        <v>350</v>
      </c>
      <c r="AK68" s="380">
        <v>350</v>
      </c>
      <c r="AL68" s="380">
        <v>350</v>
      </c>
      <c r="AM68" s="380">
        <v>350</v>
      </c>
      <c r="AN68" s="380">
        <v>350</v>
      </c>
      <c r="AO68" s="380">
        <v>350</v>
      </c>
      <c r="AP68" s="380">
        <v>350</v>
      </c>
      <c r="AQ68" s="380">
        <v>350</v>
      </c>
      <c r="AR68" s="380">
        <v>350</v>
      </c>
      <c r="AS68" s="380">
        <v>350</v>
      </c>
      <c r="AT68" s="380">
        <v>350</v>
      </c>
      <c r="AU68" s="380">
        <v>350</v>
      </c>
      <c r="AV68" s="380">
        <f ca="1">Calc!G66</f>
        <v>350</v>
      </c>
      <c r="AW68" s="253"/>
      <c r="AX68" s="88" t="str">
        <f t="shared" ca="1" si="3"/>
        <v>SAFAAPL</v>
      </c>
      <c r="BA68" s="253"/>
      <c r="CP68" s="253"/>
      <c r="EH68" s="110"/>
      <c r="FD68" s="285"/>
      <c r="FZ68" s="253"/>
      <c r="GV68" s="253"/>
      <c r="HR68" s="253"/>
      <c r="IN68" s="253"/>
    </row>
    <row r="69" spans="1:248" hidden="1">
      <c r="A69" s="241" t="str">
        <f ca="1">[1]ExtEntry!$A67</f>
        <v>SAFAMZN</v>
      </c>
      <c r="B69" s="250"/>
      <c r="C69" s="251"/>
      <c r="D69" s="251">
        <f>ROW()</f>
        <v>69</v>
      </c>
      <c r="E69" s="387">
        <f ca="1">[1]ExtEntry!$E67</f>
        <v>45954.999975635939</v>
      </c>
      <c r="F69" s="253">
        <v>219.78</v>
      </c>
      <c r="G69" s="253">
        <v>222.17</v>
      </c>
      <c r="H69" s="253">
        <v>219.57</v>
      </c>
      <c r="I69" s="253">
        <v>220.63</v>
      </c>
      <c r="J69" s="253">
        <v>222.41</v>
      </c>
      <c r="K69" s="253">
        <v>220.9</v>
      </c>
      <c r="L69" s="253">
        <v>221.78</v>
      </c>
      <c r="M69" s="253">
        <v>225.22</v>
      </c>
      <c r="N69" s="253">
        <v>225.22</v>
      </c>
      <c r="O69" s="253">
        <v>216.37</v>
      </c>
      <c r="P69" s="253">
        <v>220.07</v>
      </c>
      <c r="Q69" s="253">
        <v>216.39</v>
      </c>
      <c r="R69" s="253">
        <v>215.57</v>
      </c>
      <c r="S69" s="253">
        <v>214.47</v>
      </c>
      <c r="T69" s="253">
        <v>213.04</v>
      </c>
      <c r="U69" s="253">
        <v>216.48</v>
      </c>
      <c r="V69" s="253">
        <v>222.03</v>
      </c>
      <c r="W69" s="254">
        <v>222.03</v>
      </c>
      <c r="X69" s="253">
        <v>217.95</v>
      </c>
      <c r="Y69" s="253">
        <v>221.09</v>
      </c>
      <c r="Z69" s="247">
        <f ca="1">[1]ExtEntry!$F67</f>
        <v>221.09</v>
      </c>
      <c r="AA69" s="270"/>
      <c r="AB69" s="380">
        <v>2000</v>
      </c>
      <c r="AC69" s="380">
        <v>2000</v>
      </c>
      <c r="AD69" s="380">
        <v>2000</v>
      </c>
      <c r="AE69" s="380">
        <v>2000</v>
      </c>
      <c r="AF69" s="380">
        <v>2000</v>
      </c>
      <c r="AG69" s="380">
        <v>2000</v>
      </c>
      <c r="AH69" s="380">
        <v>2000</v>
      </c>
      <c r="AI69" s="380">
        <v>2000</v>
      </c>
      <c r="AJ69" s="380">
        <v>2000</v>
      </c>
      <c r="AK69" s="380">
        <v>2000</v>
      </c>
      <c r="AL69" s="380">
        <v>2000</v>
      </c>
      <c r="AM69" s="380">
        <v>2000</v>
      </c>
      <c r="AN69" s="380">
        <v>2000</v>
      </c>
      <c r="AO69" s="380">
        <v>2000</v>
      </c>
      <c r="AP69" s="380">
        <v>2000</v>
      </c>
      <c r="AQ69" s="380">
        <v>1500</v>
      </c>
      <c r="AR69" s="380">
        <v>1500</v>
      </c>
      <c r="AS69" s="380">
        <v>1500</v>
      </c>
      <c r="AT69" s="380">
        <v>1500</v>
      </c>
      <c r="AU69" s="380">
        <v>1500</v>
      </c>
      <c r="AV69" s="380">
        <f ca="1">Calc!G67</f>
        <v>1500</v>
      </c>
      <c r="AW69" s="253"/>
      <c r="AX69" s="88" t="str">
        <f t="shared" ca="1" si="3"/>
        <v>SAFAMZN</v>
      </c>
      <c r="BA69" s="253"/>
      <c r="CP69" s="253"/>
      <c r="EH69" s="110"/>
      <c r="FD69" s="285"/>
      <c r="FZ69" s="253"/>
      <c r="GV69" s="253"/>
      <c r="HR69" s="253"/>
      <c r="IN69" s="253"/>
    </row>
    <row r="70" spans="1:248" hidden="1">
      <c r="A70" s="241" t="str">
        <f ca="1">[1]ExtEntry!$A68</f>
        <v>SAFASML</v>
      </c>
      <c r="B70" s="250"/>
      <c r="C70" s="251"/>
      <c r="D70" s="251">
        <f>ROW()</f>
        <v>70</v>
      </c>
      <c r="E70" s="387">
        <f ca="1">[1]ExtEntry!$E68</f>
        <v>45954.666666666664</v>
      </c>
      <c r="F70" s="253">
        <v>812.8</v>
      </c>
      <c r="G70" s="253">
        <v>962.61</v>
      </c>
      <c r="H70" s="253">
        <v>968.09</v>
      </c>
      <c r="I70" s="253">
        <v>1003.27</v>
      </c>
      <c r="J70" s="253">
        <v>1030.17</v>
      </c>
      <c r="K70" s="253">
        <v>897.3</v>
      </c>
      <c r="L70" s="253">
        <v>874.8</v>
      </c>
      <c r="M70" s="253">
        <v>851.8</v>
      </c>
      <c r="N70" s="253">
        <v>849.8</v>
      </c>
      <c r="O70" s="253">
        <v>813.9</v>
      </c>
      <c r="P70" s="253">
        <v>844</v>
      </c>
      <c r="Q70" s="253">
        <v>846.6</v>
      </c>
      <c r="R70" s="253">
        <v>873</v>
      </c>
      <c r="S70" s="253">
        <v>877.4</v>
      </c>
      <c r="T70" s="253">
        <v>875.7</v>
      </c>
      <c r="U70" s="253">
        <v>899</v>
      </c>
      <c r="V70" s="253">
        <v>889.8</v>
      </c>
      <c r="W70" s="254">
        <v>889.8</v>
      </c>
      <c r="X70" s="253">
        <v>870.1</v>
      </c>
      <c r="Y70" s="253">
        <v>887.7</v>
      </c>
      <c r="Z70" s="247">
        <f ca="1">[1]ExtEntry!$F68</f>
        <v>887.7</v>
      </c>
      <c r="AA70" s="270"/>
      <c r="AB70" s="380">
        <v>250</v>
      </c>
      <c r="AC70" s="380">
        <v>250</v>
      </c>
      <c r="AD70" s="380">
        <v>250</v>
      </c>
      <c r="AE70" s="380">
        <v>250</v>
      </c>
      <c r="AF70" s="380">
        <v>250</v>
      </c>
      <c r="AG70" s="380">
        <v>250</v>
      </c>
      <c r="AH70" s="380">
        <v>250</v>
      </c>
      <c r="AI70" s="380">
        <v>250</v>
      </c>
      <c r="AJ70" s="380">
        <v>250</v>
      </c>
      <c r="AK70" s="380">
        <v>250</v>
      </c>
      <c r="AL70" s="380">
        <v>250</v>
      </c>
      <c r="AM70" s="380">
        <v>250</v>
      </c>
      <c r="AN70" s="380">
        <v>250</v>
      </c>
      <c r="AO70" s="380">
        <v>250</v>
      </c>
      <c r="AP70" s="380">
        <v>250</v>
      </c>
      <c r="AQ70" s="380">
        <v>250</v>
      </c>
      <c r="AR70" s="380">
        <v>250</v>
      </c>
      <c r="AS70" s="380">
        <v>250</v>
      </c>
      <c r="AT70" s="380">
        <v>250</v>
      </c>
      <c r="AU70" s="380">
        <v>250</v>
      </c>
      <c r="AV70" s="380">
        <f ca="1">Calc!G68</f>
        <v>250</v>
      </c>
      <c r="AW70" s="253"/>
      <c r="AX70" s="88" t="str">
        <f t="shared" ref="AX70:AX98" ca="1" si="4">A70</f>
        <v>SAFASML</v>
      </c>
      <c r="BA70" s="253"/>
      <c r="CP70" s="253"/>
      <c r="EH70" s="110"/>
      <c r="FD70" s="285"/>
      <c r="FZ70" s="253"/>
      <c r="GV70" s="253"/>
      <c r="HR70" s="253"/>
      <c r="IN70" s="253"/>
    </row>
    <row r="71" spans="1:248" hidden="1">
      <c r="A71" s="241" t="str">
        <f ca="1">[1]ExtEntry!$A69</f>
        <v>SAFDDD</v>
      </c>
      <c r="B71" s="250"/>
      <c r="C71" s="251"/>
      <c r="D71" s="251">
        <f>ROW()</f>
        <v>71</v>
      </c>
      <c r="E71" s="387">
        <f ca="1">[1]ExtEntry!$E69</f>
        <v>45954.994127685153</v>
      </c>
      <c r="F71" s="253">
        <v>3.11</v>
      </c>
      <c r="G71" s="253">
        <v>2.96</v>
      </c>
      <c r="H71" s="253">
        <v>2.9</v>
      </c>
      <c r="I71" s="253">
        <v>2.87</v>
      </c>
      <c r="J71" s="253">
        <v>2.99</v>
      </c>
      <c r="K71" s="253">
        <v>3.17</v>
      </c>
      <c r="L71" s="253">
        <v>3.14</v>
      </c>
      <c r="M71" s="253">
        <v>3.23</v>
      </c>
      <c r="N71" s="253">
        <v>3.23</v>
      </c>
      <c r="O71" s="253">
        <v>2.89</v>
      </c>
      <c r="P71" s="253">
        <v>3.11</v>
      </c>
      <c r="Q71" s="253">
        <v>3.08</v>
      </c>
      <c r="R71" s="253">
        <v>3.27</v>
      </c>
      <c r="S71" s="253">
        <v>3.26</v>
      </c>
      <c r="T71" s="253">
        <v>3.11</v>
      </c>
      <c r="U71" s="253">
        <v>3.78</v>
      </c>
      <c r="V71" s="253">
        <v>3.38</v>
      </c>
      <c r="W71" s="254">
        <v>3.38</v>
      </c>
      <c r="X71" s="253">
        <v>3.01</v>
      </c>
      <c r="Y71" s="253">
        <v>3.08</v>
      </c>
      <c r="Z71" s="247">
        <f ca="1">[1]ExtEntry!$F69</f>
        <v>3.08</v>
      </c>
      <c r="AA71" s="270"/>
      <c r="AB71" s="380">
        <v>121000</v>
      </c>
      <c r="AC71" s="380">
        <v>121000</v>
      </c>
      <c r="AD71" s="380">
        <v>121000</v>
      </c>
      <c r="AE71" s="380">
        <v>121000</v>
      </c>
      <c r="AF71" s="380">
        <v>121000</v>
      </c>
      <c r="AG71" s="380">
        <v>110000</v>
      </c>
      <c r="AH71" s="380">
        <v>110000</v>
      </c>
      <c r="AI71" s="380">
        <v>110000</v>
      </c>
      <c r="AJ71" s="380">
        <v>110000</v>
      </c>
      <c r="AK71" s="380">
        <v>110000</v>
      </c>
      <c r="AL71" s="380">
        <v>110000</v>
      </c>
      <c r="AM71" s="380">
        <v>110000</v>
      </c>
      <c r="AN71" s="380">
        <v>110000</v>
      </c>
      <c r="AO71" s="380">
        <v>110000</v>
      </c>
      <c r="AP71" s="380">
        <v>110000</v>
      </c>
      <c r="AQ71" s="380">
        <v>110000</v>
      </c>
      <c r="AR71" s="380">
        <v>110000</v>
      </c>
      <c r="AS71" s="380">
        <v>110000</v>
      </c>
      <c r="AT71" s="380">
        <v>110000</v>
      </c>
      <c r="AU71" s="380">
        <v>110000</v>
      </c>
      <c r="AV71" s="380">
        <f ca="1">Calc!G69</f>
        <v>110000</v>
      </c>
      <c r="AW71" s="253"/>
      <c r="AX71" s="88" t="str">
        <f t="shared" ca="1" si="4"/>
        <v>SAFDDD</v>
      </c>
      <c r="BA71" s="253"/>
      <c r="CP71" s="253"/>
      <c r="EH71" s="110"/>
      <c r="FD71" s="285"/>
      <c r="FZ71" s="253"/>
      <c r="GV71" s="253"/>
      <c r="HR71" s="253"/>
      <c r="IN71" s="253"/>
    </row>
    <row r="72" spans="1:248" hidden="1">
      <c r="A72" s="241" t="str">
        <f ca="1">[1]ExtEntry!$A70</f>
        <v>SAFDIS</v>
      </c>
      <c r="B72" s="250"/>
      <c r="C72" s="251"/>
      <c r="D72" s="251">
        <f>ROW()</f>
        <v>72</v>
      </c>
      <c r="E72" s="387">
        <f ca="1">[1]ExtEntry!$E70</f>
        <v>45954.999477950783</v>
      </c>
      <c r="F72" s="253">
        <v>113.47</v>
      </c>
      <c r="G72" s="253">
        <v>114.78</v>
      </c>
      <c r="H72" s="253">
        <v>114.5</v>
      </c>
      <c r="I72" s="253">
        <v>112.95</v>
      </c>
      <c r="J72" s="253">
        <v>112.14</v>
      </c>
      <c r="K72" s="253">
        <v>112.75</v>
      </c>
      <c r="L72" s="253">
        <v>112.53</v>
      </c>
      <c r="M72" s="253">
        <v>111.89</v>
      </c>
      <c r="N72" s="253">
        <v>111.89</v>
      </c>
      <c r="O72" s="253">
        <v>109.19</v>
      </c>
      <c r="P72" s="253">
        <v>110.27</v>
      </c>
      <c r="Q72" s="253">
        <v>111.17</v>
      </c>
      <c r="R72" s="253">
        <v>111.71</v>
      </c>
      <c r="S72" s="253">
        <v>109.88</v>
      </c>
      <c r="T72" s="253">
        <v>110.67</v>
      </c>
      <c r="U72" s="253">
        <v>111.96</v>
      </c>
      <c r="V72" s="253">
        <v>114.3</v>
      </c>
      <c r="W72" s="254">
        <v>114.3</v>
      </c>
      <c r="X72" s="253">
        <v>113.08</v>
      </c>
      <c r="Y72" s="253">
        <v>113.03</v>
      </c>
      <c r="Z72" s="247">
        <f ca="1">[1]ExtEntry!$F70</f>
        <v>113.03</v>
      </c>
      <c r="AA72" s="270"/>
      <c r="AB72" s="380">
        <v>670</v>
      </c>
      <c r="AC72" s="380">
        <v>670</v>
      </c>
      <c r="AD72" s="380">
        <v>670</v>
      </c>
      <c r="AE72" s="380">
        <v>670</v>
      </c>
      <c r="AF72" s="380">
        <v>670</v>
      </c>
      <c r="AG72" s="380">
        <v>1200</v>
      </c>
      <c r="AH72" s="380">
        <v>1200</v>
      </c>
      <c r="AI72" s="380">
        <v>1200</v>
      </c>
      <c r="AJ72" s="380">
        <v>1200</v>
      </c>
      <c r="AK72" s="380">
        <v>1200</v>
      </c>
      <c r="AL72" s="380">
        <v>1200</v>
      </c>
      <c r="AM72" s="380">
        <v>1200</v>
      </c>
      <c r="AN72" s="380">
        <v>1200</v>
      </c>
      <c r="AO72" s="380">
        <v>1200</v>
      </c>
      <c r="AP72" s="380">
        <v>1200</v>
      </c>
      <c r="AQ72" s="380">
        <v>1200</v>
      </c>
      <c r="AR72" s="380">
        <v>1200</v>
      </c>
      <c r="AS72" s="380">
        <v>1200</v>
      </c>
      <c r="AT72" s="380">
        <v>1200</v>
      </c>
      <c r="AU72" s="380">
        <v>1200</v>
      </c>
      <c r="AV72" s="380">
        <f ca="1">Calc!G70</f>
        <v>1200</v>
      </c>
      <c r="AW72" s="253"/>
      <c r="AX72" s="88" t="str">
        <f t="shared" ca="1" si="4"/>
        <v>SAFDIS</v>
      </c>
      <c r="BA72" s="253"/>
      <c r="CP72" s="253"/>
      <c r="EH72" s="110"/>
      <c r="FD72" s="285"/>
      <c r="FZ72" s="253"/>
      <c r="GV72" s="253"/>
      <c r="HR72" s="253"/>
      <c r="IN72" s="253"/>
    </row>
    <row r="73" spans="1:248" hidden="1">
      <c r="A73" s="241" t="str">
        <f ca="1">[1]ExtEntry!$A71</f>
        <v>SAFGM</v>
      </c>
      <c r="B73" s="250"/>
      <c r="C73" s="251"/>
      <c r="D73" s="251">
        <f>ROW()</f>
        <v>73</v>
      </c>
      <c r="E73" s="387">
        <f ca="1">[1]ExtEntry!$E71</f>
        <v>45954.999809594534</v>
      </c>
      <c r="F73" s="253">
        <v>61.24</v>
      </c>
      <c r="G73" s="253">
        <v>61.12</v>
      </c>
      <c r="H73" s="253">
        <v>60.97</v>
      </c>
      <c r="I73" s="253">
        <v>61.34</v>
      </c>
      <c r="J73" s="253">
        <v>59.36</v>
      </c>
      <c r="K73" s="253">
        <v>58.19</v>
      </c>
      <c r="L73" s="253">
        <v>57.26</v>
      </c>
      <c r="M73" s="253">
        <v>56.4</v>
      </c>
      <c r="N73" s="253">
        <v>56.4</v>
      </c>
      <c r="O73" s="253">
        <v>55.35</v>
      </c>
      <c r="P73" s="253">
        <v>55.62</v>
      </c>
      <c r="Q73" s="253">
        <v>57.15</v>
      </c>
      <c r="R73" s="253">
        <v>57.8</v>
      </c>
      <c r="S73" s="253">
        <v>57.34</v>
      </c>
      <c r="T73" s="253">
        <v>58.38</v>
      </c>
      <c r="U73" s="253">
        <v>58</v>
      </c>
      <c r="V73" s="253">
        <v>66.62</v>
      </c>
      <c r="W73" s="254">
        <v>66.62</v>
      </c>
      <c r="X73" s="253">
        <v>67.31</v>
      </c>
      <c r="Y73" s="253">
        <v>66.849999999999994</v>
      </c>
      <c r="Z73" s="247">
        <f ca="1">[1]ExtEntry!$F71</f>
        <v>66.849999999999994</v>
      </c>
      <c r="AA73" s="270"/>
      <c r="AB73" s="380">
        <v>0</v>
      </c>
      <c r="AC73" s="380">
        <v>0</v>
      </c>
      <c r="AD73" s="380">
        <v>0</v>
      </c>
      <c r="AE73" s="380">
        <v>0</v>
      </c>
      <c r="AF73" s="380">
        <v>0</v>
      </c>
      <c r="AG73" s="380">
        <v>0</v>
      </c>
      <c r="AH73" s="380">
        <v>0</v>
      </c>
      <c r="AI73" s="380">
        <v>0</v>
      </c>
      <c r="AJ73" s="380">
        <v>0</v>
      </c>
      <c r="AK73" s="380">
        <v>0</v>
      </c>
      <c r="AL73" s="380">
        <v>0</v>
      </c>
      <c r="AM73" s="380">
        <v>0</v>
      </c>
      <c r="AN73" s="380">
        <v>0</v>
      </c>
      <c r="AO73" s="380">
        <v>0</v>
      </c>
      <c r="AP73" s="380">
        <v>0</v>
      </c>
      <c r="AQ73" s="380">
        <v>0</v>
      </c>
      <c r="AR73" s="380">
        <v>0</v>
      </c>
      <c r="AS73" s="380">
        <v>0</v>
      </c>
      <c r="AT73" s="380">
        <v>0</v>
      </c>
      <c r="AU73" s="380">
        <v>0</v>
      </c>
      <c r="AV73" s="380">
        <f ca="1">Calc!G71</f>
        <v>0</v>
      </c>
      <c r="AW73" s="253"/>
      <c r="AX73" s="88" t="str">
        <f t="shared" ca="1" si="4"/>
        <v>SAFGM</v>
      </c>
      <c r="BA73" s="253"/>
      <c r="CP73" s="253"/>
      <c r="EH73" s="110"/>
      <c r="FD73" s="285"/>
      <c r="FZ73" s="253"/>
      <c r="GV73" s="253"/>
      <c r="HR73" s="253"/>
      <c r="IN73" s="253"/>
    </row>
    <row r="74" spans="1:248" hidden="1">
      <c r="A74" s="241" t="str">
        <f ca="1">[1]ExtEntry!$A72</f>
        <v>SAFIAG</v>
      </c>
      <c r="B74" s="250"/>
      <c r="C74" s="251"/>
      <c r="D74" s="251">
        <f>ROW()</f>
        <v>74</v>
      </c>
      <c r="E74" s="387">
        <f ca="1">[1]ExtEntry!$E72</f>
        <v>45954.639900659378</v>
      </c>
      <c r="F74" s="253">
        <v>381.7</v>
      </c>
      <c r="G74" s="253">
        <v>384.1</v>
      </c>
      <c r="H74" s="253">
        <v>386.1</v>
      </c>
      <c r="I74" s="253">
        <v>379.4</v>
      </c>
      <c r="J74" s="253">
        <v>386.6</v>
      </c>
      <c r="K74" s="253">
        <v>387.8</v>
      </c>
      <c r="L74" s="253">
        <v>389.7</v>
      </c>
      <c r="M74" s="253">
        <v>400</v>
      </c>
      <c r="N74" s="253">
        <v>412.8</v>
      </c>
      <c r="O74" s="253">
        <v>408</v>
      </c>
      <c r="P74" s="253">
        <v>408.2</v>
      </c>
      <c r="Q74" s="253">
        <v>408</v>
      </c>
      <c r="R74" s="253">
        <v>407.5</v>
      </c>
      <c r="S74" s="253">
        <v>406.3</v>
      </c>
      <c r="T74" s="253">
        <v>391.2</v>
      </c>
      <c r="U74" s="253">
        <v>396</v>
      </c>
      <c r="V74" s="253">
        <v>393.8</v>
      </c>
      <c r="W74" s="254">
        <v>393.8</v>
      </c>
      <c r="X74" s="253">
        <v>402.6</v>
      </c>
      <c r="Y74" s="253">
        <v>403.5</v>
      </c>
      <c r="Z74" s="247">
        <f ca="1">[1]ExtEntry!$F72</f>
        <v>403.5</v>
      </c>
      <c r="AA74" s="270"/>
      <c r="AB74" s="380">
        <v>0</v>
      </c>
      <c r="AC74" s="380">
        <v>0</v>
      </c>
      <c r="AD74" s="380">
        <v>0</v>
      </c>
      <c r="AE74" s="380">
        <v>0</v>
      </c>
      <c r="AF74" s="380">
        <v>0</v>
      </c>
      <c r="AG74" s="380">
        <v>0</v>
      </c>
      <c r="AH74" s="380">
        <v>0</v>
      </c>
      <c r="AI74" s="380">
        <v>0</v>
      </c>
      <c r="AJ74" s="380">
        <v>0</v>
      </c>
      <c r="AK74" s="380">
        <v>0</v>
      </c>
      <c r="AL74" s="380">
        <v>0</v>
      </c>
      <c r="AM74" s="380">
        <v>0</v>
      </c>
      <c r="AN74" s="380">
        <v>0</v>
      </c>
      <c r="AO74" s="380">
        <v>0</v>
      </c>
      <c r="AP74" s="380">
        <v>0</v>
      </c>
      <c r="AQ74" s="380">
        <v>0</v>
      </c>
      <c r="AR74" s="380">
        <v>0</v>
      </c>
      <c r="AS74" s="380">
        <v>0</v>
      </c>
      <c r="AT74" s="380">
        <v>0</v>
      </c>
      <c r="AU74" s="380">
        <v>0</v>
      </c>
      <c r="AV74" s="380">
        <f ca="1">Calc!G72</f>
        <v>0</v>
      </c>
      <c r="AW74" s="253"/>
      <c r="AX74" s="88" t="str">
        <f t="shared" ca="1" si="4"/>
        <v>SAFIAG</v>
      </c>
      <c r="BA74" s="253"/>
      <c r="CP74" s="253"/>
      <c r="EH74" s="110"/>
      <c r="FD74" s="285"/>
      <c r="FZ74" s="253"/>
      <c r="GV74" s="253"/>
      <c r="HR74" s="253"/>
      <c r="IN74" s="253"/>
    </row>
    <row r="75" spans="1:248" hidden="1">
      <c r="A75" s="241" t="str">
        <f ca="1">[1]ExtEntry!$A73</f>
        <v>SAFMRNA</v>
      </c>
      <c r="B75" s="250"/>
      <c r="C75" s="251"/>
      <c r="D75" s="251">
        <f>ROW()</f>
        <v>75</v>
      </c>
      <c r="E75" s="387">
        <f ca="1">[1]ExtEntry!$E73</f>
        <v>45954.999891851563</v>
      </c>
      <c r="F75" s="253">
        <v>24.49</v>
      </c>
      <c r="G75" s="253">
        <v>25.33</v>
      </c>
      <c r="H75" s="253">
        <v>25.83</v>
      </c>
      <c r="I75" s="253">
        <v>27.6</v>
      </c>
      <c r="J75" s="253">
        <v>28.37</v>
      </c>
      <c r="K75" s="253">
        <v>27.54</v>
      </c>
      <c r="L75" s="253">
        <v>27.34</v>
      </c>
      <c r="M75" s="253">
        <v>27.92</v>
      </c>
      <c r="N75" s="253">
        <v>27.92</v>
      </c>
      <c r="O75" s="253">
        <v>26.83</v>
      </c>
      <c r="P75" s="253">
        <v>26.74</v>
      </c>
      <c r="Q75" s="253">
        <v>26.25</v>
      </c>
      <c r="R75" s="253">
        <v>27.72</v>
      </c>
      <c r="S75" s="253">
        <v>27.14</v>
      </c>
      <c r="T75" s="253">
        <v>26.01</v>
      </c>
      <c r="U75" s="253">
        <v>27.24</v>
      </c>
      <c r="V75" s="253">
        <v>27.49</v>
      </c>
      <c r="W75" s="254">
        <v>27.49</v>
      </c>
      <c r="X75" s="253">
        <v>26.85</v>
      </c>
      <c r="Y75" s="253">
        <v>26.25</v>
      </c>
      <c r="Z75" s="247">
        <f ca="1">[1]ExtEntry!$F73</f>
        <v>26.25</v>
      </c>
      <c r="AA75" s="270"/>
      <c r="AB75" s="380">
        <v>5000</v>
      </c>
      <c r="AC75" s="380">
        <v>5000</v>
      </c>
      <c r="AD75" s="380">
        <v>5000</v>
      </c>
      <c r="AE75" s="380">
        <v>5000</v>
      </c>
      <c r="AF75" s="380">
        <v>5000</v>
      </c>
      <c r="AG75" s="380">
        <v>5000</v>
      </c>
      <c r="AH75" s="380">
        <v>5000</v>
      </c>
      <c r="AI75" s="380">
        <v>5000</v>
      </c>
      <c r="AJ75" s="380">
        <v>5000</v>
      </c>
      <c r="AK75" s="380">
        <v>5000</v>
      </c>
      <c r="AL75" s="380">
        <v>5000</v>
      </c>
      <c r="AM75" s="380">
        <v>5000</v>
      </c>
      <c r="AN75" s="380">
        <v>5000</v>
      </c>
      <c r="AO75" s="380">
        <v>5000</v>
      </c>
      <c r="AP75" s="380">
        <v>5000</v>
      </c>
      <c r="AQ75" s="380">
        <v>5000</v>
      </c>
      <c r="AR75" s="380">
        <v>5000</v>
      </c>
      <c r="AS75" s="380">
        <v>5000</v>
      </c>
      <c r="AT75" s="380">
        <v>5000</v>
      </c>
      <c r="AU75" s="380">
        <v>5000</v>
      </c>
      <c r="AV75" s="380">
        <f ca="1">Calc!G73</f>
        <v>5000</v>
      </c>
      <c r="AW75" s="253"/>
      <c r="AX75" s="88" t="str">
        <f t="shared" ca="1" si="4"/>
        <v>SAFMRNA</v>
      </c>
      <c r="BA75" s="253"/>
      <c r="CP75" s="253"/>
      <c r="EH75" s="110"/>
      <c r="FD75" s="285"/>
      <c r="FZ75" s="253"/>
      <c r="GV75" s="253"/>
      <c r="HR75" s="253"/>
      <c r="IN75" s="253"/>
    </row>
    <row r="76" spans="1:248" hidden="1">
      <c r="A76" s="241" t="str">
        <f ca="1">[1]ExtEntry!$A74</f>
        <v>BLNK</v>
      </c>
      <c r="B76" s="250"/>
      <c r="C76" s="251"/>
      <c r="D76" s="251">
        <f>ROW()</f>
        <v>76</v>
      </c>
      <c r="E76" s="387">
        <f ca="1">[1]ExtEntry!$E74</f>
        <v>45954.998928159373</v>
      </c>
      <c r="F76" s="253">
        <v>1.52</v>
      </c>
      <c r="G76" s="253">
        <v>1.75</v>
      </c>
      <c r="H76" s="253">
        <v>1.64</v>
      </c>
      <c r="I76" s="253">
        <v>1.81</v>
      </c>
      <c r="J76" s="253">
        <v>1.76</v>
      </c>
      <c r="K76" s="253">
        <v>2.5</v>
      </c>
      <c r="L76" s="253">
        <v>2.37</v>
      </c>
      <c r="M76" s="253">
        <v>2.2999999999999998</v>
      </c>
      <c r="N76" s="253">
        <v>2.2999999999999998</v>
      </c>
      <c r="O76" s="253">
        <v>2.02</v>
      </c>
      <c r="P76" s="253">
        <v>2.23</v>
      </c>
      <c r="Q76" s="253">
        <v>2.27</v>
      </c>
      <c r="R76" s="253">
        <v>2.16</v>
      </c>
      <c r="S76" s="253">
        <v>1.91</v>
      </c>
      <c r="T76" s="253">
        <v>1.82</v>
      </c>
      <c r="U76" s="253">
        <v>1.89</v>
      </c>
      <c r="V76" s="253">
        <v>1.77</v>
      </c>
      <c r="W76" s="254">
        <v>1.77</v>
      </c>
      <c r="X76" s="253">
        <v>1.79</v>
      </c>
      <c r="Y76" s="253">
        <v>1.79</v>
      </c>
      <c r="Z76" s="247">
        <f ca="1">[1]ExtEntry!$F74</f>
        <v>1.79</v>
      </c>
      <c r="AA76" s="270"/>
      <c r="AB76" s="380">
        <v>132000</v>
      </c>
      <c r="AC76" s="380">
        <v>132000</v>
      </c>
      <c r="AD76" s="380">
        <v>132000</v>
      </c>
      <c r="AE76" s="380">
        <v>132000</v>
      </c>
      <c r="AF76" s="380">
        <v>132000</v>
      </c>
      <c r="AG76" s="380">
        <v>132000</v>
      </c>
      <c r="AH76" s="380">
        <v>132000</v>
      </c>
      <c r="AI76" s="380">
        <v>132000</v>
      </c>
      <c r="AJ76" s="380">
        <v>132000</v>
      </c>
      <c r="AK76" s="380">
        <v>132000</v>
      </c>
      <c r="AL76" s="380">
        <v>132000</v>
      </c>
      <c r="AM76" s="380">
        <v>132000</v>
      </c>
      <c r="AN76" s="380">
        <v>120000</v>
      </c>
      <c r="AO76" s="380">
        <v>120000</v>
      </c>
      <c r="AP76" s="380">
        <v>120000</v>
      </c>
      <c r="AQ76" s="380">
        <v>120000</v>
      </c>
      <c r="AR76" s="380">
        <v>120000</v>
      </c>
      <c r="AS76" s="380">
        <v>120000</v>
      </c>
      <c r="AT76" s="380">
        <v>120000</v>
      </c>
      <c r="AU76" s="380">
        <v>120000</v>
      </c>
      <c r="AV76" s="380">
        <f ca="1">Calc!G74</f>
        <v>120000</v>
      </c>
      <c r="AW76" s="253"/>
      <c r="AX76" s="88" t="str">
        <f t="shared" ca="1" si="4"/>
        <v>BLNK</v>
      </c>
      <c r="BA76" s="253"/>
      <c r="CP76" s="253"/>
      <c r="EH76" s="110"/>
      <c r="FD76" s="285"/>
      <c r="FZ76" s="253"/>
      <c r="GV76" s="253"/>
      <c r="HR76" s="253"/>
      <c r="IN76" s="253"/>
    </row>
    <row r="77" spans="1:248" hidden="1">
      <c r="A77" s="241" t="str">
        <f ca="1">[1]ExtEntry!$A75</f>
        <v>ENI</v>
      </c>
      <c r="B77" s="250"/>
      <c r="C77" s="251"/>
      <c r="D77" s="251">
        <f>ROW()</f>
        <v>77</v>
      </c>
      <c r="E77" s="387">
        <f ca="1">[1]ExtEntry!$E75</f>
        <v>45954.666666666664</v>
      </c>
      <c r="F77" s="253">
        <v>15.346</v>
      </c>
      <c r="G77" s="253">
        <v>15.082000000000001</v>
      </c>
      <c r="H77" s="253">
        <v>14.866</v>
      </c>
      <c r="I77" s="253">
        <v>14.986000000000001</v>
      </c>
      <c r="J77" s="253">
        <v>14.875999999999999</v>
      </c>
      <c r="K77" s="253">
        <v>15.108000000000001</v>
      </c>
      <c r="L77" s="253">
        <v>15.173999999999999</v>
      </c>
      <c r="M77" s="253">
        <v>15.286</v>
      </c>
      <c r="N77" s="253">
        <v>15.378</v>
      </c>
      <c r="O77" s="253">
        <v>14.954000000000001</v>
      </c>
      <c r="P77" s="253">
        <v>14.972</v>
      </c>
      <c r="Q77" s="253">
        <v>14.7</v>
      </c>
      <c r="R77" s="253">
        <v>14.722</v>
      </c>
      <c r="S77" s="253">
        <v>14.766</v>
      </c>
      <c r="T77" s="253">
        <v>14.843999999999999</v>
      </c>
      <c r="U77" s="253">
        <v>14.875999999999999</v>
      </c>
      <c r="V77" s="253">
        <v>14.9</v>
      </c>
      <c r="W77" s="254">
        <v>14.9</v>
      </c>
      <c r="X77" s="253">
        <v>15.125999999999999</v>
      </c>
      <c r="Y77" s="253">
        <v>15.586</v>
      </c>
      <c r="Z77" s="247">
        <f ca="1">[1]ExtEntry!$F75</f>
        <v>15.586</v>
      </c>
      <c r="AA77" s="270"/>
      <c r="AB77" s="380">
        <v>22000</v>
      </c>
      <c r="AC77" s="380">
        <v>22000</v>
      </c>
      <c r="AD77" s="380">
        <v>22000</v>
      </c>
      <c r="AE77" s="380">
        <v>22000</v>
      </c>
      <c r="AF77" s="380">
        <v>22000</v>
      </c>
      <c r="AG77" s="380">
        <v>22000</v>
      </c>
      <c r="AH77" s="380">
        <v>22000</v>
      </c>
      <c r="AI77" s="380">
        <v>22000</v>
      </c>
      <c r="AJ77" s="380">
        <v>22000</v>
      </c>
      <c r="AK77" s="380">
        <v>22000</v>
      </c>
      <c r="AL77" s="380">
        <v>22000</v>
      </c>
      <c r="AM77" s="380">
        <v>22000</v>
      </c>
      <c r="AN77" s="380">
        <v>22000</v>
      </c>
      <c r="AO77" s="380">
        <v>22000</v>
      </c>
      <c r="AP77" s="380">
        <v>22000</v>
      </c>
      <c r="AQ77" s="380">
        <v>22000</v>
      </c>
      <c r="AR77" s="380">
        <v>22000</v>
      </c>
      <c r="AS77" s="380">
        <v>22000</v>
      </c>
      <c r="AT77" s="380">
        <v>22000</v>
      </c>
      <c r="AU77" s="380">
        <v>22000</v>
      </c>
      <c r="AV77" s="380">
        <f ca="1">Calc!G75</f>
        <v>22000</v>
      </c>
      <c r="AW77" s="253"/>
      <c r="AX77" s="88" t="str">
        <f t="shared" ca="1" si="4"/>
        <v>ENI</v>
      </c>
      <c r="BA77" s="253"/>
      <c r="CP77" s="253"/>
      <c r="EH77" s="110"/>
      <c r="FD77" s="285"/>
      <c r="FZ77" s="253"/>
      <c r="GV77" s="253"/>
      <c r="HR77" s="253"/>
      <c r="IN77" s="253"/>
    </row>
    <row r="78" spans="1:248" hidden="1">
      <c r="A78" s="241" t="str">
        <f ca="1">[1]ExtEntry!$A76</f>
        <v>EZJ</v>
      </c>
      <c r="B78" s="250"/>
      <c r="C78" s="251"/>
      <c r="D78" s="251">
        <f>ROW()</f>
        <v>78</v>
      </c>
      <c r="E78" s="387">
        <f ca="1">[1]ExtEntry!$E76</f>
        <v>45954.643421411718</v>
      </c>
      <c r="F78" s="253">
        <v>455.3</v>
      </c>
      <c r="G78" s="253">
        <v>460.6</v>
      </c>
      <c r="H78" s="253">
        <v>464</v>
      </c>
      <c r="I78" s="253">
        <v>462.3</v>
      </c>
      <c r="J78" s="253">
        <v>463.1</v>
      </c>
      <c r="K78" s="253">
        <v>468.1</v>
      </c>
      <c r="L78" s="253">
        <v>465.4</v>
      </c>
      <c r="M78" s="253">
        <v>471.5</v>
      </c>
      <c r="N78" s="253">
        <v>471.5</v>
      </c>
      <c r="O78" s="253">
        <v>462.9</v>
      </c>
      <c r="P78" s="253">
        <v>464</v>
      </c>
      <c r="Q78" s="253">
        <v>501.2</v>
      </c>
      <c r="R78" s="253">
        <v>480.7</v>
      </c>
      <c r="S78" s="253">
        <v>489.7</v>
      </c>
      <c r="T78" s="253">
        <v>487.9</v>
      </c>
      <c r="U78" s="253">
        <v>486</v>
      </c>
      <c r="V78" s="253">
        <v>480.3</v>
      </c>
      <c r="W78" s="254">
        <v>480.3</v>
      </c>
      <c r="X78" s="253">
        <v>493.3</v>
      </c>
      <c r="Y78" s="253">
        <v>479.5</v>
      </c>
      <c r="Z78" s="247">
        <f ca="1">[1]ExtEntry!$F76</f>
        <v>479.5</v>
      </c>
      <c r="AA78" s="270"/>
      <c r="AB78" s="380">
        <v>40000</v>
      </c>
      <c r="AC78" s="380">
        <v>40000</v>
      </c>
      <c r="AD78" s="380">
        <v>40000</v>
      </c>
      <c r="AE78" s="380">
        <v>40000</v>
      </c>
      <c r="AF78" s="380">
        <v>40000</v>
      </c>
      <c r="AG78" s="380">
        <v>40000</v>
      </c>
      <c r="AH78" s="380">
        <v>40000</v>
      </c>
      <c r="AI78" s="380">
        <v>40000</v>
      </c>
      <c r="AJ78" s="380">
        <v>40000</v>
      </c>
      <c r="AK78" s="380">
        <v>40000</v>
      </c>
      <c r="AL78" s="380">
        <v>40000</v>
      </c>
      <c r="AM78" s="380">
        <v>40000</v>
      </c>
      <c r="AN78" s="380">
        <v>40000</v>
      </c>
      <c r="AO78" s="380">
        <v>40000</v>
      </c>
      <c r="AP78" s="380">
        <v>40000</v>
      </c>
      <c r="AQ78" s="380">
        <v>40000</v>
      </c>
      <c r="AR78" s="380">
        <v>30000</v>
      </c>
      <c r="AS78" s="380">
        <v>30000</v>
      </c>
      <c r="AT78" s="380">
        <v>30000</v>
      </c>
      <c r="AU78" s="380">
        <v>30000</v>
      </c>
      <c r="AV78" s="380">
        <f ca="1">Calc!G76</f>
        <v>30000</v>
      </c>
      <c r="AW78" s="253"/>
      <c r="AX78" s="88" t="str">
        <f t="shared" ca="1" si="4"/>
        <v>EZJ</v>
      </c>
      <c r="BA78" s="253"/>
      <c r="CP78" s="253"/>
      <c r="EH78" s="110"/>
      <c r="FD78" s="285"/>
      <c r="FZ78" s="253"/>
      <c r="GV78" s="253"/>
      <c r="HR78" s="253"/>
      <c r="IN78" s="253"/>
    </row>
    <row r="79" spans="1:248" hidden="1">
      <c r="A79" s="241" t="str">
        <f ca="1">[1]ExtEntry!$A77</f>
        <v>F</v>
      </c>
      <c r="B79" s="250"/>
      <c r="C79" s="251"/>
      <c r="D79" s="251">
        <f>ROW()</f>
        <v>79</v>
      </c>
      <c r="E79" s="387">
        <f ca="1">[1]ExtEntry!$E77</f>
        <v>45954.999877800779</v>
      </c>
      <c r="F79" s="253">
        <v>12.01</v>
      </c>
      <c r="G79" s="253">
        <v>12.09</v>
      </c>
      <c r="H79" s="253">
        <v>11.96</v>
      </c>
      <c r="I79" s="253">
        <v>12.27</v>
      </c>
      <c r="J79" s="253">
        <v>12.22</v>
      </c>
      <c r="K79" s="253">
        <v>12.7</v>
      </c>
      <c r="L79" s="253">
        <v>11.92</v>
      </c>
      <c r="M79" s="253">
        <v>11.74</v>
      </c>
      <c r="N79" s="253">
        <v>11.74</v>
      </c>
      <c r="O79" s="253">
        <v>11.41</v>
      </c>
      <c r="P79" s="253">
        <v>11.54</v>
      </c>
      <c r="Q79" s="253">
        <v>11.65</v>
      </c>
      <c r="R79" s="253">
        <v>11.76</v>
      </c>
      <c r="S79" s="253">
        <v>11.74</v>
      </c>
      <c r="T79" s="253">
        <v>11.92</v>
      </c>
      <c r="U79" s="253">
        <v>11.99</v>
      </c>
      <c r="V79" s="253">
        <v>12.56</v>
      </c>
      <c r="W79" s="254">
        <v>12.56</v>
      </c>
      <c r="X79" s="253">
        <v>12.43</v>
      </c>
      <c r="Y79" s="253">
        <v>12.34</v>
      </c>
      <c r="Z79" s="247">
        <f ca="1">[1]ExtEntry!$F77</f>
        <v>12.34</v>
      </c>
      <c r="AA79" s="270"/>
      <c r="AB79" s="380">
        <v>3000</v>
      </c>
      <c r="AC79" s="380">
        <v>3000</v>
      </c>
      <c r="AD79" s="380">
        <v>3000</v>
      </c>
      <c r="AE79" s="380">
        <v>3000</v>
      </c>
      <c r="AF79" s="380">
        <v>3000</v>
      </c>
      <c r="AG79" s="380">
        <v>3000</v>
      </c>
      <c r="AH79" s="380">
        <v>3000</v>
      </c>
      <c r="AI79" s="380">
        <v>3000</v>
      </c>
      <c r="AJ79" s="380">
        <v>3000</v>
      </c>
      <c r="AK79" s="380">
        <v>3000</v>
      </c>
      <c r="AL79" s="380">
        <v>3000</v>
      </c>
      <c r="AM79" s="380">
        <v>3000</v>
      </c>
      <c r="AN79" s="380">
        <v>3000</v>
      </c>
      <c r="AO79" s="380">
        <v>3000</v>
      </c>
      <c r="AP79" s="380">
        <v>0</v>
      </c>
      <c r="AQ79" s="380">
        <v>0</v>
      </c>
      <c r="AR79" s="380">
        <v>0</v>
      </c>
      <c r="AS79" s="380">
        <v>0</v>
      </c>
      <c r="AT79" s="380">
        <v>0</v>
      </c>
      <c r="AU79" s="380">
        <v>0</v>
      </c>
      <c r="AV79" s="380">
        <f ca="1">Calc!G77</f>
        <v>0</v>
      </c>
      <c r="AW79" s="253"/>
      <c r="AX79" s="88" t="str">
        <f t="shared" ca="1" si="4"/>
        <v>F</v>
      </c>
      <c r="BA79" s="253"/>
      <c r="CP79" s="253"/>
      <c r="EH79" s="110"/>
      <c r="FD79" s="285"/>
      <c r="FZ79" s="253"/>
      <c r="GV79" s="253"/>
      <c r="HR79" s="253"/>
      <c r="IN79" s="253"/>
    </row>
    <row r="80" spans="1:248" hidden="1">
      <c r="A80" s="241" t="str">
        <f ca="1">[1]ExtEntry!$A78</f>
        <v>GLE</v>
      </c>
      <c r="B80" s="250"/>
      <c r="C80" s="251"/>
      <c r="D80" s="251">
        <f>ROW()</f>
        <v>80</v>
      </c>
      <c r="E80" s="387">
        <f ca="1">[1]ExtEntry!$E78</f>
        <v>45954.666666666664</v>
      </c>
      <c r="F80" s="253">
        <v>57.36</v>
      </c>
      <c r="G80" s="253">
        <v>56.62</v>
      </c>
      <c r="H80" s="253">
        <v>56.36</v>
      </c>
      <c r="I80" s="253">
        <v>56.82</v>
      </c>
      <c r="J80" s="253">
        <v>56.72</v>
      </c>
      <c r="K80" s="253">
        <v>53.72</v>
      </c>
      <c r="L80" s="253">
        <v>53.3</v>
      </c>
      <c r="M80" s="253">
        <v>54.42</v>
      </c>
      <c r="N80" s="253">
        <v>54.36</v>
      </c>
      <c r="O80" s="253">
        <v>53.86</v>
      </c>
      <c r="P80" s="253">
        <v>53.72</v>
      </c>
      <c r="Q80" s="253">
        <v>55.02</v>
      </c>
      <c r="R80" s="253">
        <v>55.56</v>
      </c>
      <c r="S80" s="253">
        <v>56.52</v>
      </c>
      <c r="T80" s="253">
        <v>53.64</v>
      </c>
      <c r="U80" s="253">
        <v>53</v>
      </c>
      <c r="V80" s="253">
        <v>53.12</v>
      </c>
      <c r="W80" s="254">
        <v>53.12</v>
      </c>
      <c r="X80" s="253">
        <v>52.88</v>
      </c>
      <c r="Y80" s="253">
        <v>53.58</v>
      </c>
      <c r="Z80" s="247">
        <f ca="1">[1]ExtEntry!$F78</f>
        <v>53.58</v>
      </c>
      <c r="AA80" s="270"/>
      <c r="AB80" s="380">
        <v>0</v>
      </c>
      <c r="AC80" s="380">
        <v>0</v>
      </c>
      <c r="AD80" s="380">
        <v>0</v>
      </c>
      <c r="AE80" s="380">
        <v>0</v>
      </c>
      <c r="AF80" s="380">
        <v>0</v>
      </c>
      <c r="AG80" s="380">
        <v>0</v>
      </c>
      <c r="AH80" s="380">
        <v>0</v>
      </c>
      <c r="AI80" s="380">
        <v>0</v>
      </c>
      <c r="AJ80" s="380">
        <v>0</v>
      </c>
      <c r="AK80" s="380">
        <v>0</v>
      </c>
      <c r="AL80" s="380">
        <v>0</v>
      </c>
      <c r="AM80" s="380">
        <v>0</v>
      </c>
      <c r="AN80" s="380">
        <v>0</v>
      </c>
      <c r="AO80" s="380">
        <v>0</v>
      </c>
      <c r="AP80" s="380">
        <v>0</v>
      </c>
      <c r="AQ80" s="380">
        <v>0</v>
      </c>
      <c r="AR80" s="380">
        <v>0</v>
      </c>
      <c r="AS80" s="380">
        <v>0</v>
      </c>
      <c r="AT80" s="380">
        <v>0</v>
      </c>
      <c r="AU80" s="380">
        <v>0</v>
      </c>
      <c r="AV80" s="380">
        <f ca="1">Calc!G78</f>
        <v>0</v>
      </c>
      <c r="AW80" s="253"/>
      <c r="AX80" s="88" t="str">
        <f t="shared" ca="1" si="4"/>
        <v>GLE</v>
      </c>
      <c r="BA80" s="253"/>
      <c r="CP80" s="253"/>
      <c r="EH80" s="110"/>
      <c r="FD80" s="285"/>
      <c r="FZ80" s="253"/>
      <c r="GV80" s="253"/>
      <c r="HR80" s="253"/>
      <c r="IN80" s="253"/>
    </row>
    <row r="81" spans="1:248" hidden="1">
      <c r="A81" s="241" t="str">
        <f ca="1">[1]ExtEntry!$A79</f>
        <v>GNRC</v>
      </c>
      <c r="B81" s="250"/>
      <c r="C81" s="251"/>
      <c r="D81" s="251">
        <f>ROW()</f>
        <v>81</v>
      </c>
      <c r="E81" s="387">
        <f ca="1">[1]ExtEntry!$E79</f>
        <v>45954.992194907034</v>
      </c>
      <c r="F81" s="253">
        <v>168.27</v>
      </c>
      <c r="G81" s="253">
        <v>165.82</v>
      </c>
      <c r="H81" s="253">
        <v>167.4</v>
      </c>
      <c r="I81" s="253">
        <v>167.89</v>
      </c>
      <c r="J81" s="253">
        <v>169.99</v>
      </c>
      <c r="K81" s="253">
        <v>164.13</v>
      </c>
      <c r="L81" s="253">
        <v>166.95</v>
      </c>
      <c r="M81" s="253">
        <v>171.33</v>
      </c>
      <c r="N81" s="253">
        <v>171.33</v>
      </c>
      <c r="O81" s="253">
        <v>170.08</v>
      </c>
      <c r="P81" s="253">
        <v>174.12</v>
      </c>
      <c r="Q81" s="253">
        <v>183.82</v>
      </c>
      <c r="R81" s="253">
        <v>191.67</v>
      </c>
      <c r="S81" s="253">
        <v>192.64</v>
      </c>
      <c r="T81" s="253">
        <v>190.49</v>
      </c>
      <c r="U81" s="253">
        <v>195.77</v>
      </c>
      <c r="V81" s="253">
        <v>192.5</v>
      </c>
      <c r="W81" s="254">
        <v>192.5</v>
      </c>
      <c r="X81" s="253">
        <v>183.09</v>
      </c>
      <c r="Y81" s="253">
        <v>189.04</v>
      </c>
      <c r="Z81" s="247">
        <f ca="1">[1]ExtEntry!$F79</f>
        <v>189.04</v>
      </c>
      <c r="AA81" s="270"/>
      <c r="AB81" s="380">
        <v>800</v>
      </c>
      <c r="AC81" s="380">
        <v>800</v>
      </c>
      <c r="AD81" s="380">
        <v>800</v>
      </c>
      <c r="AE81" s="380">
        <v>800</v>
      </c>
      <c r="AF81" s="380">
        <v>800</v>
      </c>
      <c r="AG81" s="380">
        <v>800</v>
      </c>
      <c r="AH81" s="380">
        <v>800</v>
      </c>
      <c r="AI81" s="380">
        <v>800</v>
      </c>
      <c r="AJ81" s="380">
        <v>800</v>
      </c>
      <c r="AK81" s="380">
        <v>800</v>
      </c>
      <c r="AL81" s="380">
        <v>800</v>
      </c>
      <c r="AM81" s="380">
        <v>800</v>
      </c>
      <c r="AN81" s="380">
        <v>600</v>
      </c>
      <c r="AO81" s="380">
        <v>600</v>
      </c>
      <c r="AP81" s="380">
        <v>600</v>
      </c>
      <c r="AQ81" s="380">
        <v>600</v>
      </c>
      <c r="AR81" s="380">
        <v>900</v>
      </c>
      <c r="AS81" s="380">
        <v>900</v>
      </c>
      <c r="AT81" s="380">
        <v>900</v>
      </c>
      <c r="AU81" s="380">
        <v>900</v>
      </c>
      <c r="AV81" s="380">
        <f ca="1">Calc!G79</f>
        <v>900</v>
      </c>
      <c r="AW81" s="253"/>
      <c r="AX81" s="88" t="str">
        <f t="shared" ca="1" si="4"/>
        <v>GNRC</v>
      </c>
      <c r="BA81" s="253"/>
      <c r="CP81" s="253"/>
      <c r="EH81" s="110"/>
      <c r="FD81" s="285"/>
      <c r="FZ81" s="253"/>
      <c r="GV81" s="253"/>
      <c r="HR81" s="253"/>
      <c r="IN81" s="253"/>
    </row>
    <row r="82" spans="1:248" hidden="1">
      <c r="A82" s="241" t="str">
        <f ca="1">[1]ExtEntry!$A80</f>
        <v>GS</v>
      </c>
      <c r="B82" s="250"/>
      <c r="C82" s="251"/>
      <c r="D82" s="251">
        <f>ROW()</f>
        <v>82</v>
      </c>
      <c r="E82" s="387">
        <f ca="1">[1]ExtEntry!$E80</f>
        <v>45954.999808414061</v>
      </c>
      <c r="F82" s="253">
        <v>802.51</v>
      </c>
      <c r="G82" s="253">
        <v>804.12</v>
      </c>
      <c r="H82" s="253">
        <v>796.35</v>
      </c>
      <c r="I82" s="253">
        <v>785.51</v>
      </c>
      <c r="J82" s="253">
        <v>779.38</v>
      </c>
      <c r="K82" s="253">
        <v>796.78</v>
      </c>
      <c r="L82" s="253">
        <v>789.65</v>
      </c>
      <c r="M82" s="253">
        <v>776.51</v>
      </c>
      <c r="N82" s="253">
        <v>776.51</v>
      </c>
      <c r="O82" s="253">
        <v>764.36</v>
      </c>
      <c r="P82" s="253">
        <v>786.78</v>
      </c>
      <c r="Q82" s="253">
        <v>770.76</v>
      </c>
      <c r="R82" s="253">
        <v>767.93</v>
      </c>
      <c r="S82" s="253">
        <v>758.09</v>
      </c>
      <c r="T82" s="253">
        <v>750.77</v>
      </c>
      <c r="U82" s="253">
        <v>763.32</v>
      </c>
      <c r="V82" s="253">
        <v>758.98</v>
      </c>
      <c r="W82" s="254">
        <v>758.98</v>
      </c>
      <c r="X82" s="253">
        <v>744.6</v>
      </c>
      <c r="Y82" s="253">
        <v>750.78</v>
      </c>
      <c r="Z82" s="247">
        <f ca="1">[1]ExtEntry!$F80</f>
        <v>750.78</v>
      </c>
      <c r="AA82" s="270"/>
      <c r="AB82" s="380">
        <v>0</v>
      </c>
      <c r="AC82" s="380">
        <v>0</v>
      </c>
      <c r="AD82" s="380">
        <v>0</v>
      </c>
      <c r="AE82" s="380">
        <v>0</v>
      </c>
      <c r="AF82" s="380">
        <v>0</v>
      </c>
      <c r="AG82" s="380">
        <v>0</v>
      </c>
      <c r="AH82" s="380">
        <v>0</v>
      </c>
      <c r="AI82" s="380">
        <v>0</v>
      </c>
      <c r="AJ82" s="380">
        <v>0</v>
      </c>
      <c r="AK82" s="380">
        <v>0</v>
      </c>
      <c r="AL82" s="380">
        <v>0</v>
      </c>
      <c r="AM82" s="380">
        <v>0</v>
      </c>
      <c r="AN82" s="380">
        <v>0</v>
      </c>
      <c r="AO82" s="380">
        <v>0</v>
      </c>
      <c r="AP82" s="380">
        <v>0</v>
      </c>
      <c r="AQ82" s="380">
        <v>0</v>
      </c>
      <c r="AR82" s="380">
        <v>0</v>
      </c>
      <c r="AS82" s="380">
        <v>0</v>
      </c>
      <c r="AT82" s="380">
        <v>0</v>
      </c>
      <c r="AU82" s="380">
        <v>0</v>
      </c>
      <c r="AV82" s="380">
        <f ca="1">Calc!G80</f>
        <v>0</v>
      </c>
      <c r="AW82" s="253"/>
      <c r="AX82" s="88" t="str">
        <f t="shared" ca="1" si="4"/>
        <v>GS</v>
      </c>
      <c r="BA82" s="253"/>
      <c r="CP82" s="253"/>
      <c r="EH82" s="110"/>
      <c r="FD82" s="285"/>
      <c r="FZ82" s="253"/>
      <c r="GV82" s="253"/>
      <c r="HR82" s="253"/>
      <c r="IN82" s="253"/>
    </row>
    <row r="83" spans="1:248" hidden="1">
      <c r="A83" s="241" t="str">
        <f ca="1">[1]ExtEntry!$A81</f>
        <v>LAZR</v>
      </c>
      <c r="B83" s="250"/>
      <c r="C83" s="251"/>
      <c r="D83" s="251">
        <f>ROW()</f>
        <v>83</v>
      </c>
      <c r="E83" s="387">
        <f ca="1">[1]ExtEntry!$E81</f>
        <v>45954.999899258597</v>
      </c>
      <c r="F83" s="253">
        <v>2.02</v>
      </c>
      <c r="G83" s="253">
        <v>2.0099999999999998</v>
      </c>
      <c r="H83" s="253">
        <v>1.91</v>
      </c>
      <c r="I83" s="253">
        <v>1.9650000000000001</v>
      </c>
      <c r="J83" s="253">
        <v>2.17</v>
      </c>
      <c r="K83" s="253">
        <v>2.2400000000000002</v>
      </c>
      <c r="L83" s="253">
        <v>2.0499999999999998</v>
      </c>
      <c r="M83" s="253">
        <v>2.21</v>
      </c>
      <c r="N83" s="253">
        <v>2.21</v>
      </c>
      <c r="O83" s="253">
        <v>1.94</v>
      </c>
      <c r="P83" s="253">
        <v>2.1</v>
      </c>
      <c r="Q83" s="253">
        <v>2.09</v>
      </c>
      <c r="R83" s="253">
        <v>2.02</v>
      </c>
      <c r="S83" s="253">
        <v>1.89</v>
      </c>
      <c r="T83" s="253">
        <v>1.94</v>
      </c>
      <c r="U83" s="253">
        <v>2</v>
      </c>
      <c r="V83" s="253">
        <v>1.8149999999999999</v>
      </c>
      <c r="W83" s="254">
        <v>1.8149999999999999</v>
      </c>
      <c r="X83" s="253">
        <v>1.72</v>
      </c>
      <c r="Y83" s="253">
        <v>1.69</v>
      </c>
      <c r="Z83" s="247">
        <f ca="1">[1]ExtEntry!$F81</f>
        <v>1.69</v>
      </c>
      <c r="AA83" s="270"/>
      <c r="AB83" s="380">
        <v>15518</v>
      </c>
      <c r="AC83" s="380">
        <v>15518</v>
      </c>
      <c r="AD83" s="380">
        <v>15518</v>
      </c>
      <c r="AE83" s="380">
        <v>15518</v>
      </c>
      <c r="AF83" s="380">
        <v>15518</v>
      </c>
      <c r="AG83" s="380">
        <v>15518</v>
      </c>
      <c r="AH83" s="380">
        <v>15518</v>
      </c>
      <c r="AI83" s="380">
        <v>15518</v>
      </c>
      <c r="AJ83" s="380">
        <v>15518</v>
      </c>
      <c r="AK83" s="380">
        <v>15518</v>
      </c>
      <c r="AL83" s="380">
        <v>15518</v>
      </c>
      <c r="AM83" s="380">
        <v>15518</v>
      </c>
      <c r="AN83" s="380">
        <v>15518</v>
      </c>
      <c r="AO83" s="380">
        <v>15518</v>
      </c>
      <c r="AP83" s="380">
        <v>15518</v>
      </c>
      <c r="AQ83" s="380">
        <v>15518</v>
      </c>
      <c r="AR83" s="380">
        <v>15518</v>
      </c>
      <c r="AS83" s="380">
        <v>15518</v>
      </c>
      <c r="AT83" s="380">
        <v>15518</v>
      </c>
      <c r="AU83" s="380">
        <v>15518</v>
      </c>
      <c r="AV83" s="380">
        <f ca="1">Calc!G81</f>
        <v>15518</v>
      </c>
      <c r="AW83" s="253"/>
      <c r="AX83" s="88" t="str">
        <f t="shared" ca="1" si="4"/>
        <v>LAZR</v>
      </c>
      <c r="BA83" s="253"/>
      <c r="CP83" s="253"/>
      <c r="EH83" s="110"/>
      <c r="FD83" s="285"/>
      <c r="FZ83" s="253"/>
      <c r="GV83" s="253"/>
      <c r="HR83" s="253"/>
      <c r="IN83" s="253"/>
    </row>
    <row r="84" spans="1:248" hidden="1">
      <c r="A84" s="241" t="str">
        <f ca="1">[1]ExtEntry!$A82</f>
        <v>LUV</v>
      </c>
      <c r="B84" s="250"/>
      <c r="C84" s="251"/>
      <c r="D84" s="251">
        <f>ROW()</f>
        <v>84</v>
      </c>
      <c r="E84" s="387">
        <f ca="1">[1]ExtEntry!$E82</f>
        <v>45954.999700196095</v>
      </c>
      <c r="F84" s="253">
        <v>32.53</v>
      </c>
      <c r="G84" s="253">
        <v>32.76</v>
      </c>
      <c r="H84" s="253">
        <v>31.91</v>
      </c>
      <c r="I84" s="253">
        <v>32.28</v>
      </c>
      <c r="J84" s="253">
        <v>32.31</v>
      </c>
      <c r="K84" s="253">
        <v>32.58</v>
      </c>
      <c r="L84" s="253">
        <v>32.39</v>
      </c>
      <c r="M84" s="253">
        <v>32.450000000000003</v>
      </c>
      <c r="N84" s="253">
        <v>32.450000000000003</v>
      </c>
      <c r="O84" s="253">
        <v>31.29</v>
      </c>
      <c r="P84" s="253">
        <v>31.9</v>
      </c>
      <c r="Q84" s="253">
        <v>33.42</v>
      </c>
      <c r="R84" s="253">
        <v>33.56</v>
      </c>
      <c r="S84" s="253">
        <v>33.29</v>
      </c>
      <c r="T84" s="253">
        <v>33.520000000000003</v>
      </c>
      <c r="U84" s="253">
        <v>34.43</v>
      </c>
      <c r="V84" s="253">
        <v>34.68</v>
      </c>
      <c r="W84" s="254">
        <v>34.68</v>
      </c>
      <c r="X84" s="253">
        <v>33.76</v>
      </c>
      <c r="Y84" s="253">
        <v>31.65</v>
      </c>
      <c r="Z84" s="247">
        <f ca="1">[1]ExtEntry!$F82</f>
        <v>31.65</v>
      </c>
      <c r="AA84" s="270"/>
      <c r="AB84" s="380">
        <v>1200</v>
      </c>
      <c r="AC84" s="380">
        <v>1200</v>
      </c>
      <c r="AD84" s="380">
        <v>1200</v>
      </c>
      <c r="AE84" s="380">
        <v>1200</v>
      </c>
      <c r="AF84" s="380">
        <v>1200</v>
      </c>
      <c r="AG84" s="380">
        <v>1200</v>
      </c>
      <c r="AH84" s="380">
        <v>1200</v>
      </c>
      <c r="AI84" s="380">
        <v>1200</v>
      </c>
      <c r="AJ84" s="380">
        <v>1200</v>
      </c>
      <c r="AK84" s="380">
        <v>1200</v>
      </c>
      <c r="AL84" s="380">
        <v>1200</v>
      </c>
      <c r="AM84" s="380">
        <v>1200</v>
      </c>
      <c r="AN84" s="380">
        <v>1200</v>
      </c>
      <c r="AO84" s="380">
        <v>1200</v>
      </c>
      <c r="AP84" s="380">
        <v>1200</v>
      </c>
      <c r="AQ84" s="380">
        <v>1200</v>
      </c>
      <c r="AR84" s="380">
        <v>1200</v>
      </c>
      <c r="AS84" s="380">
        <v>1200</v>
      </c>
      <c r="AT84" s="380">
        <v>1200</v>
      </c>
      <c r="AU84" s="380">
        <v>1200</v>
      </c>
      <c r="AV84" s="380">
        <f ca="1">Calc!G82</f>
        <v>1200</v>
      </c>
      <c r="AW84" s="253"/>
      <c r="AX84" s="88" t="str">
        <f t="shared" ca="1" si="4"/>
        <v>LUV</v>
      </c>
      <c r="BA84" s="253"/>
      <c r="CP84" s="253"/>
      <c r="EH84" s="110"/>
      <c r="FD84" s="285"/>
      <c r="FZ84" s="253"/>
      <c r="GV84" s="253"/>
      <c r="HR84" s="253"/>
      <c r="IN84" s="253"/>
    </row>
    <row r="85" spans="1:248" hidden="1">
      <c r="A85" s="241" t="str">
        <f ca="1">[1]ExtEntry!$A83</f>
        <v>MA</v>
      </c>
      <c r="B85" s="250"/>
      <c r="C85" s="251"/>
      <c r="D85" s="251">
        <f>ROW()</f>
        <v>85</v>
      </c>
      <c r="E85" s="387">
        <f ca="1">[1]ExtEntry!$E83</f>
        <v>45954.997747291403</v>
      </c>
      <c r="F85" s="253">
        <v>565.13</v>
      </c>
      <c r="G85" s="253">
        <v>568.14</v>
      </c>
      <c r="H85" s="253">
        <v>568.80999999999995</v>
      </c>
      <c r="I85" s="253">
        <v>573.77</v>
      </c>
      <c r="J85" s="253">
        <v>577.33000000000004</v>
      </c>
      <c r="K85" s="253">
        <v>578.80999999999995</v>
      </c>
      <c r="L85" s="253">
        <v>579.84</v>
      </c>
      <c r="M85" s="253">
        <v>575.67999999999995</v>
      </c>
      <c r="N85" s="253">
        <v>575.67999999999995</v>
      </c>
      <c r="O85" s="253">
        <v>557.48</v>
      </c>
      <c r="P85" s="253">
        <v>559.24</v>
      </c>
      <c r="Q85" s="253">
        <v>567.91999999999996</v>
      </c>
      <c r="R85" s="253">
        <v>562.80999999999995</v>
      </c>
      <c r="S85" s="253">
        <v>549.88</v>
      </c>
      <c r="T85" s="253">
        <v>560.97</v>
      </c>
      <c r="U85" s="253">
        <v>566.36</v>
      </c>
      <c r="V85" s="253">
        <v>572.03</v>
      </c>
      <c r="W85" s="254">
        <v>572.03</v>
      </c>
      <c r="X85" s="253">
        <v>571.36</v>
      </c>
      <c r="Y85" s="253">
        <v>573.77</v>
      </c>
      <c r="Z85" s="247">
        <f ca="1">[1]ExtEntry!$F83</f>
        <v>573.77</v>
      </c>
      <c r="AA85" s="270"/>
      <c r="AB85" s="380">
        <v>200</v>
      </c>
      <c r="AC85" s="380">
        <v>200</v>
      </c>
      <c r="AD85" s="380">
        <v>200</v>
      </c>
      <c r="AE85" s="380">
        <v>200</v>
      </c>
      <c r="AF85" s="380">
        <v>200</v>
      </c>
      <c r="AG85" s="380">
        <v>200</v>
      </c>
      <c r="AH85" s="380">
        <v>200</v>
      </c>
      <c r="AI85" s="380">
        <v>200</v>
      </c>
      <c r="AJ85" s="380">
        <v>200</v>
      </c>
      <c r="AK85" s="380">
        <v>200</v>
      </c>
      <c r="AL85" s="380">
        <v>200</v>
      </c>
      <c r="AM85" s="380">
        <v>200</v>
      </c>
      <c r="AN85" s="380">
        <v>200</v>
      </c>
      <c r="AO85" s="380">
        <v>200</v>
      </c>
      <c r="AP85" s="380">
        <v>200</v>
      </c>
      <c r="AQ85" s="380">
        <v>200</v>
      </c>
      <c r="AR85" s="380">
        <v>200</v>
      </c>
      <c r="AS85" s="380">
        <v>200</v>
      </c>
      <c r="AT85" s="380">
        <v>200</v>
      </c>
      <c r="AU85" s="380">
        <v>200</v>
      </c>
      <c r="AV85" s="380">
        <f ca="1">Calc!G83</f>
        <v>200</v>
      </c>
      <c r="AW85" s="253"/>
      <c r="AX85" s="88" t="str">
        <f t="shared" ca="1" si="4"/>
        <v>MA</v>
      </c>
      <c r="BA85" s="253"/>
      <c r="CP85" s="253"/>
      <c r="EH85" s="110"/>
      <c r="FD85" s="285"/>
      <c r="FZ85" s="253"/>
      <c r="GV85" s="253"/>
      <c r="HR85" s="253"/>
      <c r="IN85" s="253"/>
    </row>
    <row r="86" spans="1:248" hidden="1">
      <c r="A86" s="241" t="str">
        <f ca="1">[1]ExtEntry!$A84</f>
        <v>NVAX</v>
      </c>
      <c r="B86" s="250"/>
      <c r="C86" s="251"/>
      <c r="D86" s="251">
        <f>ROW()</f>
        <v>86</v>
      </c>
      <c r="E86" s="387">
        <f ca="1">[1]ExtEntry!$E84</f>
        <v>45954.999671608595</v>
      </c>
      <c r="F86" s="253">
        <v>8.5500000000000007</v>
      </c>
      <c r="G86" s="253">
        <v>8.57</v>
      </c>
      <c r="H86" s="253">
        <v>8.67</v>
      </c>
      <c r="I86" s="253">
        <v>9.5</v>
      </c>
      <c r="J86" s="253">
        <v>9.5500000000000007</v>
      </c>
      <c r="K86" s="253">
        <v>9.08</v>
      </c>
      <c r="L86" s="253">
        <v>9.2200000000000006</v>
      </c>
      <c r="M86" s="253">
        <v>8.9</v>
      </c>
      <c r="N86" s="253">
        <v>8.9</v>
      </c>
      <c r="O86" s="253">
        <v>8.33</v>
      </c>
      <c r="P86" s="253">
        <v>8.6199999999999992</v>
      </c>
      <c r="Q86" s="253">
        <v>8.89</v>
      </c>
      <c r="R86" s="253">
        <v>8.91</v>
      </c>
      <c r="S86" s="253">
        <v>8.48</v>
      </c>
      <c r="T86" s="253">
        <v>8.1</v>
      </c>
      <c r="U86" s="253">
        <v>8.7899999999999991</v>
      </c>
      <c r="V86" s="253">
        <v>8.59</v>
      </c>
      <c r="W86" s="254">
        <v>8.59</v>
      </c>
      <c r="X86" s="253">
        <v>8.4600000000000009</v>
      </c>
      <c r="Y86" s="253">
        <v>8.36</v>
      </c>
      <c r="Z86" s="247">
        <f ca="1">[1]ExtEntry!$F84</f>
        <v>8.36</v>
      </c>
      <c r="AA86" s="270"/>
      <c r="AB86" s="380">
        <v>11000</v>
      </c>
      <c r="AC86" s="380">
        <v>11000</v>
      </c>
      <c r="AD86" s="380">
        <v>11000</v>
      </c>
      <c r="AE86" s="380">
        <v>11000</v>
      </c>
      <c r="AF86" s="380">
        <v>11000</v>
      </c>
      <c r="AG86" s="380">
        <v>11000</v>
      </c>
      <c r="AH86" s="380">
        <v>11000</v>
      </c>
      <c r="AI86" s="380">
        <v>11000</v>
      </c>
      <c r="AJ86" s="380">
        <v>11000</v>
      </c>
      <c r="AK86" s="380">
        <v>11000</v>
      </c>
      <c r="AL86" s="380">
        <v>6500</v>
      </c>
      <c r="AM86" s="380">
        <v>6500</v>
      </c>
      <c r="AN86" s="380">
        <v>6500</v>
      </c>
      <c r="AO86" s="380">
        <v>6500</v>
      </c>
      <c r="AP86" s="380">
        <v>6500</v>
      </c>
      <c r="AQ86" s="380">
        <v>6500</v>
      </c>
      <c r="AR86" s="380">
        <v>6500</v>
      </c>
      <c r="AS86" s="380">
        <v>6500</v>
      </c>
      <c r="AT86" s="380">
        <v>6500</v>
      </c>
      <c r="AU86" s="380">
        <v>6500</v>
      </c>
      <c r="AV86" s="380">
        <f ca="1">Calc!G84</f>
        <v>6500</v>
      </c>
      <c r="AW86" s="253"/>
      <c r="AX86" s="88" t="str">
        <f t="shared" ca="1" si="4"/>
        <v>NVAX</v>
      </c>
      <c r="BA86" s="253"/>
      <c r="CP86" s="253"/>
      <c r="EH86" s="110"/>
      <c r="FD86" s="285"/>
      <c r="FZ86" s="253"/>
      <c r="GV86" s="253"/>
      <c r="HR86" s="253"/>
      <c r="IN86" s="253"/>
    </row>
    <row r="87" spans="1:248" hidden="1">
      <c r="A87" s="241" t="str">
        <f ca="1">[1]ExtEntry!$A85</f>
        <v>NVS</v>
      </c>
      <c r="B87" s="250"/>
      <c r="C87" s="251"/>
      <c r="D87" s="251">
        <f>ROW()</f>
        <v>87</v>
      </c>
      <c r="E87" s="387">
        <f ca="1">[1]ExtEntry!$E85</f>
        <v>45954.996331735936</v>
      </c>
      <c r="F87" s="253">
        <v>123.65</v>
      </c>
      <c r="G87" s="253">
        <v>124.1</v>
      </c>
      <c r="H87" s="253">
        <v>128.24</v>
      </c>
      <c r="I87" s="253">
        <v>131.72</v>
      </c>
      <c r="J87" s="253">
        <v>130.97</v>
      </c>
      <c r="K87" s="253">
        <v>132.25</v>
      </c>
      <c r="L87" s="253">
        <v>131.55000000000001</v>
      </c>
      <c r="M87" s="253">
        <v>132.31</v>
      </c>
      <c r="N87" s="253">
        <v>132.31</v>
      </c>
      <c r="O87" s="253">
        <v>130.03</v>
      </c>
      <c r="P87" s="253">
        <v>129.12</v>
      </c>
      <c r="Q87" s="253">
        <v>130.26</v>
      </c>
      <c r="R87" s="253">
        <v>129.97</v>
      </c>
      <c r="S87" s="253">
        <v>130.77000000000001</v>
      </c>
      <c r="T87" s="253">
        <v>131.43</v>
      </c>
      <c r="U87" s="253">
        <v>131.79</v>
      </c>
      <c r="V87" s="253">
        <v>131.34</v>
      </c>
      <c r="W87" s="254">
        <v>131.34</v>
      </c>
      <c r="X87" s="253">
        <v>131.43</v>
      </c>
      <c r="Y87" s="253">
        <v>131.63999999999999</v>
      </c>
      <c r="Z87" s="247">
        <f ca="1">[1]ExtEntry!$F85</f>
        <v>131.63999999999999</v>
      </c>
      <c r="AA87" s="270"/>
      <c r="AB87" s="380">
        <v>0</v>
      </c>
      <c r="AC87" s="380">
        <v>0</v>
      </c>
      <c r="AD87" s="380">
        <v>0</v>
      </c>
      <c r="AE87" s="380">
        <v>0</v>
      </c>
      <c r="AF87" s="380">
        <v>0</v>
      </c>
      <c r="AG87" s="380">
        <v>0</v>
      </c>
      <c r="AH87" s="380">
        <v>0</v>
      </c>
      <c r="AI87" s="380">
        <v>0</v>
      </c>
      <c r="AJ87" s="380">
        <v>0</v>
      </c>
      <c r="AK87" s="380">
        <v>0</v>
      </c>
      <c r="AL87" s="380">
        <v>0</v>
      </c>
      <c r="AM87" s="380">
        <v>0</v>
      </c>
      <c r="AN87" s="380">
        <v>0</v>
      </c>
      <c r="AO87" s="380">
        <v>0</v>
      </c>
      <c r="AP87" s="380">
        <v>0</v>
      </c>
      <c r="AQ87" s="380">
        <v>0</v>
      </c>
      <c r="AR87" s="380">
        <v>0</v>
      </c>
      <c r="AS87" s="380">
        <v>0</v>
      </c>
      <c r="AT87" s="380">
        <v>0</v>
      </c>
      <c r="AU87" s="380">
        <v>0</v>
      </c>
      <c r="AV87" s="380">
        <f ca="1">Calc!G85</f>
        <v>0</v>
      </c>
      <c r="AW87" s="253"/>
      <c r="AX87" s="88" t="str">
        <f t="shared" ca="1" si="4"/>
        <v>NVS</v>
      </c>
      <c r="BA87" s="253"/>
      <c r="CP87" s="253"/>
      <c r="EH87" s="110"/>
      <c r="FD87" s="285"/>
      <c r="FZ87" s="253"/>
      <c r="GV87" s="253"/>
      <c r="HR87" s="253"/>
      <c r="IN87" s="253"/>
    </row>
    <row r="88" spans="1:248" hidden="1">
      <c r="A88" s="241" t="str">
        <f ca="1">[1]ExtEntry!$A86</f>
        <v>ORA</v>
      </c>
      <c r="B88" s="250"/>
      <c r="C88" s="251"/>
      <c r="D88" s="251">
        <f>ROW()</f>
        <v>88</v>
      </c>
      <c r="E88" s="387">
        <f ca="1">[1]ExtEntry!$E86</f>
        <v>45954.666666666664</v>
      </c>
      <c r="F88" s="253">
        <v>13.76</v>
      </c>
      <c r="G88" s="253">
        <v>13.7</v>
      </c>
      <c r="H88" s="253">
        <v>13.81</v>
      </c>
      <c r="I88" s="253">
        <v>13.705</v>
      </c>
      <c r="J88" s="253">
        <v>13.535</v>
      </c>
      <c r="K88" s="253">
        <v>13.185</v>
      </c>
      <c r="L88" s="253">
        <v>13.215</v>
      </c>
      <c r="M88" s="253">
        <v>13.39</v>
      </c>
      <c r="N88" s="253">
        <v>13.56</v>
      </c>
      <c r="O88" s="253">
        <v>13.59</v>
      </c>
      <c r="P88" s="253">
        <v>13.43</v>
      </c>
      <c r="Q88" s="253">
        <v>13.57</v>
      </c>
      <c r="R88" s="253">
        <v>14.015000000000001</v>
      </c>
      <c r="S88" s="253">
        <v>14.085000000000001</v>
      </c>
      <c r="T88" s="253">
        <v>14.335000000000001</v>
      </c>
      <c r="U88" s="253">
        <v>14.16</v>
      </c>
      <c r="V88" s="253">
        <v>14.125</v>
      </c>
      <c r="W88" s="254">
        <v>14.125</v>
      </c>
      <c r="X88" s="253">
        <v>14.07</v>
      </c>
      <c r="Y88" s="253">
        <v>14.15</v>
      </c>
      <c r="Z88" s="247">
        <f ca="1">[1]ExtEntry!$F86</f>
        <v>14.15</v>
      </c>
      <c r="AA88" s="270"/>
      <c r="AB88" s="380">
        <v>1200</v>
      </c>
      <c r="AC88" s="380">
        <v>1200</v>
      </c>
      <c r="AD88" s="380">
        <v>1200</v>
      </c>
      <c r="AE88" s="380">
        <v>1200</v>
      </c>
      <c r="AF88" s="380">
        <v>1200</v>
      </c>
      <c r="AG88" s="380">
        <v>1200</v>
      </c>
      <c r="AH88" s="380">
        <v>1200</v>
      </c>
      <c r="AI88" s="380">
        <v>1200</v>
      </c>
      <c r="AJ88" s="380">
        <v>1200</v>
      </c>
      <c r="AK88" s="380">
        <v>1200</v>
      </c>
      <c r="AL88" s="380">
        <v>1200</v>
      </c>
      <c r="AM88" s="380">
        <v>1200</v>
      </c>
      <c r="AN88" s="380">
        <v>1200</v>
      </c>
      <c r="AO88" s="380">
        <v>1200</v>
      </c>
      <c r="AP88" s="380">
        <v>1200</v>
      </c>
      <c r="AQ88" s="380">
        <v>1200</v>
      </c>
      <c r="AR88" s="380">
        <v>1200</v>
      </c>
      <c r="AS88" s="380">
        <v>1200</v>
      </c>
      <c r="AT88" s="380">
        <v>1200</v>
      </c>
      <c r="AU88" s="380">
        <v>1200</v>
      </c>
      <c r="AV88" s="380">
        <f ca="1">Calc!G86</f>
        <v>1200</v>
      </c>
      <c r="AW88" s="253"/>
      <c r="AX88" s="88" t="str">
        <f t="shared" ca="1" si="4"/>
        <v>ORA</v>
      </c>
      <c r="BA88" s="253"/>
      <c r="CP88" s="253"/>
      <c r="EH88" s="110"/>
      <c r="FD88" s="285"/>
      <c r="FZ88" s="253"/>
      <c r="GV88" s="253"/>
      <c r="HR88" s="253"/>
      <c r="IN88" s="253"/>
    </row>
    <row r="89" spans="1:248" hidden="1">
      <c r="A89" s="241" t="str">
        <f ca="1">[1]ExtEntry!$A87</f>
        <v>OXY</v>
      </c>
      <c r="B89" s="250"/>
      <c r="C89" s="251"/>
      <c r="D89" s="251">
        <f>ROW()</f>
        <v>89</v>
      </c>
      <c r="E89" s="387">
        <f ca="1">[1]ExtEntry!$E87</f>
        <v>45954.999583876561</v>
      </c>
      <c r="F89" s="253">
        <v>47.47</v>
      </c>
      <c r="G89" s="253">
        <v>48.1</v>
      </c>
      <c r="H89" s="253">
        <v>47.25</v>
      </c>
      <c r="I89" s="253">
        <v>47.72</v>
      </c>
      <c r="J89" s="253">
        <v>44.23</v>
      </c>
      <c r="K89" s="253">
        <v>45.4</v>
      </c>
      <c r="L89" s="253">
        <v>45.33</v>
      </c>
      <c r="M89" s="253">
        <v>45.04</v>
      </c>
      <c r="N89" s="253">
        <v>45.04</v>
      </c>
      <c r="O89" s="253">
        <v>42.15</v>
      </c>
      <c r="P89" s="253">
        <v>42.42</v>
      </c>
      <c r="Q89" s="253">
        <v>42.28</v>
      </c>
      <c r="R89" s="253">
        <v>41.88</v>
      </c>
      <c r="S89" s="253">
        <v>41.04</v>
      </c>
      <c r="T89" s="253">
        <v>40.9</v>
      </c>
      <c r="U89" s="253">
        <v>41.03</v>
      </c>
      <c r="V89" s="253">
        <v>40.909999999999997</v>
      </c>
      <c r="W89" s="254">
        <v>40.909999999999997</v>
      </c>
      <c r="X89" s="253">
        <v>41.73</v>
      </c>
      <c r="Y89" s="253">
        <v>42.88</v>
      </c>
      <c r="Z89" s="247">
        <f ca="1">[1]ExtEntry!$F87</f>
        <v>42.88</v>
      </c>
      <c r="AA89" s="270"/>
      <c r="AB89" s="380">
        <v>4000</v>
      </c>
      <c r="AC89" s="380">
        <v>4000</v>
      </c>
      <c r="AD89" s="380">
        <v>4000</v>
      </c>
      <c r="AE89" s="380">
        <v>4000</v>
      </c>
      <c r="AF89" s="380">
        <v>4000</v>
      </c>
      <c r="AG89" s="380">
        <v>4000</v>
      </c>
      <c r="AH89" s="380">
        <v>4000</v>
      </c>
      <c r="AI89" s="380">
        <v>4000</v>
      </c>
      <c r="AJ89" s="380">
        <v>4000</v>
      </c>
      <c r="AK89" s="380">
        <v>4000</v>
      </c>
      <c r="AL89" s="380">
        <v>4000</v>
      </c>
      <c r="AM89" s="380">
        <v>4000</v>
      </c>
      <c r="AN89" s="380">
        <v>4000</v>
      </c>
      <c r="AO89" s="380">
        <v>4000</v>
      </c>
      <c r="AP89" s="380">
        <v>4000</v>
      </c>
      <c r="AQ89" s="380">
        <v>4000</v>
      </c>
      <c r="AR89" s="380">
        <v>4000</v>
      </c>
      <c r="AS89" s="380">
        <v>4000</v>
      </c>
      <c r="AT89" s="380">
        <v>4000</v>
      </c>
      <c r="AU89" s="380">
        <v>4000</v>
      </c>
      <c r="AV89" s="380">
        <f ca="1">Calc!G87</f>
        <v>4000</v>
      </c>
      <c r="AW89" s="253"/>
      <c r="AX89" s="88" t="str">
        <f t="shared" ca="1" si="4"/>
        <v>OXY</v>
      </c>
      <c r="AY89" t="s">
        <v>190</v>
      </c>
      <c r="AZ89" t="s">
        <v>178</v>
      </c>
      <c r="BA89" s="253">
        <v>5</v>
      </c>
      <c r="CP89" s="253"/>
      <c r="EH89" s="110"/>
      <c r="FD89" s="285"/>
      <c r="FZ89" s="253"/>
      <c r="GV89" s="253"/>
      <c r="HR89" s="253"/>
      <c r="IN89" s="253"/>
    </row>
    <row r="90" spans="1:248" hidden="1">
      <c r="A90" s="241" t="str">
        <f ca="1">[1]ExtEntry!$A88</f>
        <v>PFE</v>
      </c>
      <c r="B90" s="250"/>
      <c r="C90" s="251"/>
      <c r="D90" s="251">
        <f>ROW()</f>
        <v>90</v>
      </c>
      <c r="E90" s="387">
        <f ca="1">[1]ExtEntry!$E88</f>
        <v>45954.999986191404</v>
      </c>
      <c r="F90" s="253">
        <v>23.76</v>
      </c>
      <c r="G90" s="253">
        <v>23.85</v>
      </c>
      <c r="H90" s="253">
        <v>25.48</v>
      </c>
      <c r="I90" s="253">
        <v>27.21</v>
      </c>
      <c r="J90" s="253">
        <v>27.08</v>
      </c>
      <c r="K90" s="253">
        <v>26.43</v>
      </c>
      <c r="L90" s="253">
        <v>26.27</v>
      </c>
      <c r="M90" s="253">
        <v>25.68</v>
      </c>
      <c r="N90" s="253">
        <v>25.68</v>
      </c>
      <c r="O90" s="253">
        <v>24.78</v>
      </c>
      <c r="P90" s="253">
        <v>24.73</v>
      </c>
      <c r="Q90" s="253">
        <v>24.52</v>
      </c>
      <c r="R90" s="253">
        <v>24.39</v>
      </c>
      <c r="S90" s="253">
        <v>24.23</v>
      </c>
      <c r="T90" s="253">
        <v>24.51</v>
      </c>
      <c r="U90" s="253">
        <v>24.69</v>
      </c>
      <c r="V90" s="253">
        <v>24.85</v>
      </c>
      <c r="W90" s="254">
        <v>24.85</v>
      </c>
      <c r="X90" s="253">
        <v>24.72</v>
      </c>
      <c r="Y90" s="253">
        <v>24.67</v>
      </c>
      <c r="Z90" s="247">
        <f ca="1">[1]ExtEntry!$F88</f>
        <v>24.67</v>
      </c>
      <c r="AA90" s="270"/>
      <c r="AB90" s="380">
        <v>1600</v>
      </c>
      <c r="AC90" s="380">
        <v>1600</v>
      </c>
      <c r="AD90" s="380">
        <v>1600</v>
      </c>
      <c r="AE90" s="380">
        <v>1600</v>
      </c>
      <c r="AF90" s="380">
        <v>1600</v>
      </c>
      <c r="AG90" s="380">
        <v>1600</v>
      </c>
      <c r="AH90" s="380">
        <v>1600</v>
      </c>
      <c r="AI90" s="380">
        <v>1600</v>
      </c>
      <c r="AJ90" s="380">
        <v>1600</v>
      </c>
      <c r="AK90" s="380">
        <v>1600</v>
      </c>
      <c r="AL90" s="380">
        <v>1600</v>
      </c>
      <c r="AM90" s="380">
        <v>1600</v>
      </c>
      <c r="AN90" s="380">
        <v>1600</v>
      </c>
      <c r="AO90" s="380">
        <v>1600</v>
      </c>
      <c r="AP90" s="380">
        <v>1600</v>
      </c>
      <c r="AQ90" s="380">
        <v>1600</v>
      </c>
      <c r="AR90" s="380">
        <v>1600</v>
      </c>
      <c r="AS90" s="380">
        <v>1600</v>
      </c>
      <c r="AT90" s="380">
        <v>1600</v>
      </c>
      <c r="AU90" s="380">
        <v>1600</v>
      </c>
      <c r="AV90" s="380">
        <f ca="1">Calc!G88</f>
        <v>1600</v>
      </c>
      <c r="AW90" s="253"/>
      <c r="AX90" s="88" t="str">
        <f t="shared" ca="1" si="4"/>
        <v>PFE</v>
      </c>
      <c r="AY90" t="s">
        <v>191</v>
      </c>
      <c r="AZ90" t="s">
        <v>2202</v>
      </c>
      <c r="BA90" s="253">
        <v>104</v>
      </c>
      <c r="CP90" s="253"/>
      <c r="EH90" s="110"/>
      <c r="FD90" s="285"/>
      <c r="FZ90" s="253"/>
      <c r="GV90" s="253"/>
      <c r="HR90" s="253"/>
      <c r="IN90" s="253"/>
    </row>
    <row r="91" spans="1:248" hidden="1">
      <c r="A91" s="241" t="str">
        <f ca="1">[1]ExtEntry!$A89</f>
        <v>RIG</v>
      </c>
      <c r="B91" s="250"/>
      <c r="C91" s="251"/>
      <c r="D91" s="251">
        <f>ROW()</f>
        <v>91</v>
      </c>
      <c r="E91" s="387">
        <f ca="1">[1]ExtEntry!$E89</f>
        <v>45954.999287060156</v>
      </c>
      <c r="F91" s="253">
        <v>3.19</v>
      </c>
      <c r="G91" s="253">
        <v>3.11</v>
      </c>
      <c r="H91" s="253">
        <v>3.12</v>
      </c>
      <c r="I91" s="253">
        <v>3.23</v>
      </c>
      <c r="J91" s="253">
        <v>3.3</v>
      </c>
      <c r="K91" s="253">
        <v>3.43</v>
      </c>
      <c r="L91" s="253">
        <v>3.46</v>
      </c>
      <c r="M91" s="253">
        <v>3.4</v>
      </c>
      <c r="N91" s="253">
        <v>3.4</v>
      </c>
      <c r="O91" s="253">
        <v>3.08</v>
      </c>
      <c r="P91" s="253">
        <v>3.2</v>
      </c>
      <c r="Q91" s="253">
        <v>3.12</v>
      </c>
      <c r="R91" s="253">
        <v>3.31</v>
      </c>
      <c r="S91" s="253">
        <v>3.23</v>
      </c>
      <c r="T91" s="253">
        <v>3.26</v>
      </c>
      <c r="U91" s="253">
        <v>3.29</v>
      </c>
      <c r="V91" s="253">
        <v>3.31</v>
      </c>
      <c r="W91" s="254">
        <v>3.31</v>
      </c>
      <c r="X91" s="253">
        <v>3.42</v>
      </c>
      <c r="Y91" s="253">
        <v>3.89</v>
      </c>
      <c r="Z91" s="247">
        <f ca="1">[1]ExtEntry!$F89</f>
        <v>3.89</v>
      </c>
      <c r="AA91" s="270"/>
      <c r="AB91" s="380">
        <v>48000</v>
      </c>
      <c r="AC91" s="380">
        <v>48000</v>
      </c>
      <c r="AD91" s="380">
        <v>48000</v>
      </c>
      <c r="AE91" s="380">
        <v>48000</v>
      </c>
      <c r="AF91" s="380">
        <v>48000</v>
      </c>
      <c r="AG91" s="380">
        <v>48000</v>
      </c>
      <c r="AH91" s="380">
        <v>48000</v>
      </c>
      <c r="AI91" s="380">
        <v>48000</v>
      </c>
      <c r="AJ91" s="380">
        <v>48000</v>
      </c>
      <c r="AK91" s="380">
        <v>48000</v>
      </c>
      <c r="AL91" s="380">
        <v>48000</v>
      </c>
      <c r="AM91" s="380">
        <v>48000</v>
      </c>
      <c r="AN91" s="380">
        <v>48000</v>
      </c>
      <c r="AO91" s="380">
        <v>48000</v>
      </c>
      <c r="AP91" s="380">
        <v>48000</v>
      </c>
      <c r="AQ91" s="380">
        <v>48000</v>
      </c>
      <c r="AR91" s="380">
        <v>48000</v>
      </c>
      <c r="AS91" s="380">
        <v>48000</v>
      </c>
      <c r="AT91" s="380">
        <v>48000</v>
      </c>
      <c r="AU91" s="380">
        <v>48000</v>
      </c>
      <c r="AV91" s="380">
        <f ca="1">Calc!G89</f>
        <v>48000</v>
      </c>
      <c r="AW91" s="253"/>
      <c r="AX91" s="88" t="str">
        <f t="shared" ca="1" si="4"/>
        <v>RIG</v>
      </c>
      <c r="AY91" t="s">
        <v>139</v>
      </c>
      <c r="AZ91" t="s">
        <v>2203</v>
      </c>
      <c r="BA91" s="253">
        <v>203</v>
      </c>
      <c r="CP91" s="253"/>
      <c r="EH91" s="110"/>
      <c r="FD91" s="285"/>
      <c r="FZ91" s="253"/>
      <c r="GV91" s="253"/>
      <c r="HR91" s="253"/>
      <c r="IN91" s="253"/>
    </row>
    <row r="92" spans="1:248">
      <c r="A92" s="241" t="str">
        <f ca="1">[1]ExtEntry!$A90</f>
        <v>RRC</v>
      </c>
      <c r="B92" s="250"/>
      <c r="C92" s="251"/>
      <c r="D92" s="251">
        <f>ROW()</f>
        <v>92</v>
      </c>
      <c r="E92" s="387">
        <f ca="1">[1]ExtEntry!$E90</f>
        <v>45954.958333344533</v>
      </c>
      <c r="F92" s="253">
        <v>37.65</v>
      </c>
      <c r="G92" s="253">
        <v>37.380000000000003</v>
      </c>
      <c r="H92" s="253">
        <v>37.64</v>
      </c>
      <c r="I92" s="253">
        <v>39.729999999999997</v>
      </c>
      <c r="J92" s="253">
        <v>38.57</v>
      </c>
      <c r="K92" s="253">
        <v>38.79</v>
      </c>
      <c r="L92" s="253">
        <v>39.36</v>
      </c>
      <c r="M92" s="253">
        <v>39.549999999999997</v>
      </c>
      <c r="N92" s="253">
        <v>39.549999999999997</v>
      </c>
      <c r="O92" s="253">
        <v>36.36</v>
      </c>
      <c r="P92" s="253">
        <v>36.97</v>
      </c>
      <c r="Q92" s="253">
        <v>36.130000000000003</v>
      </c>
      <c r="R92" s="253">
        <v>37.159999999999997</v>
      </c>
      <c r="S92" s="253">
        <v>35.700000000000003</v>
      </c>
      <c r="T92" s="253">
        <v>35.97</v>
      </c>
      <c r="U92" s="253">
        <v>37.119999999999997</v>
      </c>
      <c r="V92" s="253">
        <v>36.79</v>
      </c>
      <c r="W92" s="254">
        <v>36.79</v>
      </c>
      <c r="X92" s="253">
        <v>36.25</v>
      </c>
      <c r="Y92" s="253">
        <v>37.5</v>
      </c>
      <c r="Z92" s="247">
        <f ca="1">[1]ExtEntry!$F90</f>
        <v>37.5</v>
      </c>
      <c r="AA92" s="270"/>
      <c r="AB92" s="380">
        <v>0</v>
      </c>
      <c r="AC92" s="380">
        <v>0</v>
      </c>
      <c r="AD92" s="380">
        <v>0</v>
      </c>
      <c r="AE92" s="380">
        <v>0</v>
      </c>
      <c r="AF92" s="380">
        <v>0</v>
      </c>
      <c r="AG92" s="380">
        <v>0</v>
      </c>
      <c r="AH92" s="380">
        <v>0</v>
      </c>
      <c r="AI92" s="380">
        <v>0</v>
      </c>
      <c r="AJ92" s="380">
        <v>0</v>
      </c>
      <c r="AK92" s="380">
        <v>0</v>
      </c>
      <c r="AL92" s="380">
        <v>0</v>
      </c>
      <c r="AM92" s="380">
        <v>0</v>
      </c>
      <c r="AN92" s="380">
        <v>0</v>
      </c>
      <c r="AO92" s="380">
        <v>0</v>
      </c>
      <c r="AP92" s="380">
        <v>0</v>
      </c>
      <c r="AQ92" s="380">
        <v>0</v>
      </c>
      <c r="AR92" s="380">
        <v>0</v>
      </c>
      <c r="AS92" s="380">
        <v>0</v>
      </c>
      <c r="AT92" s="380">
        <v>0</v>
      </c>
      <c r="AU92" s="380">
        <v>0</v>
      </c>
      <c r="AV92" s="380">
        <f ca="1">Calc!G90</f>
        <v>0</v>
      </c>
      <c r="AW92" s="253"/>
      <c r="AX92" s="88" t="str">
        <f t="shared" ca="1" si="4"/>
        <v>RRC</v>
      </c>
      <c r="AY92" t="s">
        <v>192</v>
      </c>
      <c r="AZ92" t="s">
        <v>1894</v>
      </c>
      <c r="BA92" s="253">
        <v>302</v>
      </c>
      <c r="CP92" s="253"/>
      <c r="EH92" s="110"/>
      <c r="FD92" s="285"/>
      <c r="FZ92" s="253"/>
      <c r="GV92" s="253"/>
      <c r="HR92" s="253"/>
      <c r="IN92" s="253"/>
    </row>
    <row r="93" spans="1:248">
      <c r="A93" s="241" t="str">
        <f ca="1">[1]ExtEntry!$A91</f>
        <v>XYZ</v>
      </c>
      <c r="B93" s="242"/>
      <c r="C93" s="243"/>
      <c r="D93" s="243">
        <f>ROW()</f>
        <v>93</v>
      </c>
      <c r="E93" s="388">
        <f ca="1">[1]ExtEntry!$E91</f>
        <v>45954.99857752266</v>
      </c>
      <c r="F93" s="245">
        <v>73.67</v>
      </c>
      <c r="G93" s="245">
        <v>75.39</v>
      </c>
      <c r="H93" s="245">
        <v>72.27</v>
      </c>
      <c r="I93" s="245">
        <v>73.400000000000006</v>
      </c>
      <c r="J93" s="245">
        <v>76.81</v>
      </c>
      <c r="K93" s="245">
        <v>77.78</v>
      </c>
      <c r="L93" s="245">
        <v>79.02</v>
      </c>
      <c r="M93" s="245">
        <v>81.11</v>
      </c>
      <c r="N93" s="245">
        <v>81.11</v>
      </c>
      <c r="O93" s="245">
        <v>74.67</v>
      </c>
      <c r="P93" s="245">
        <v>75.02</v>
      </c>
      <c r="Q93" s="245">
        <v>76.180000000000007</v>
      </c>
      <c r="R93" s="245">
        <v>76.13</v>
      </c>
      <c r="S93" s="245">
        <v>74.540000000000006</v>
      </c>
      <c r="T93" s="245">
        <v>75.2</v>
      </c>
      <c r="U93" s="245">
        <v>76.5</v>
      </c>
      <c r="V93" s="245">
        <v>77.73</v>
      </c>
      <c r="W93" s="246">
        <v>77.73</v>
      </c>
      <c r="X93" s="245">
        <v>75.92</v>
      </c>
      <c r="Y93" s="245">
        <v>78.56</v>
      </c>
      <c r="Z93" s="247">
        <f ca="1">[1]ExtEntry!$F91</f>
        <v>78.56</v>
      </c>
      <c r="AA93" s="270"/>
      <c r="AB93" s="380">
        <v>600</v>
      </c>
      <c r="AC93" s="380">
        <v>600</v>
      </c>
      <c r="AD93" s="380">
        <v>600</v>
      </c>
      <c r="AE93" s="380">
        <v>600</v>
      </c>
      <c r="AF93" s="380">
        <v>600</v>
      </c>
      <c r="AG93" s="380">
        <v>600</v>
      </c>
      <c r="AH93" s="380">
        <v>600</v>
      </c>
      <c r="AI93" s="380">
        <v>600</v>
      </c>
      <c r="AJ93" s="380">
        <v>600</v>
      </c>
      <c r="AK93" s="380">
        <v>600</v>
      </c>
      <c r="AL93" s="380">
        <v>600</v>
      </c>
      <c r="AM93" s="380">
        <v>600</v>
      </c>
      <c r="AN93" s="380">
        <v>600</v>
      </c>
      <c r="AO93" s="380">
        <v>600</v>
      </c>
      <c r="AP93" s="380">
        <v>600</v>
      </c>
      <c r="AQ93" s="380">
        <v>600</v>
      </c>
      <c r="AR93" s="380">
        <v>600</v>
      </c>
      <c r="AS93" s="380">
        <v>600</v>
      </c>
      <c r="AT93" s="380">
        <v>600</v>
      </c>
      <c r="AU93" s="380">
        <v>600</v>
      </c>
      <c r="AV93" s="380">
        <f ca="1">Calc!G91</f>
        <v>600</v>
      </c>
      <c r="AW93" s="253"/>
      <c r="AX93" s="88" t="str">
        <f t="shared" ca="1" si="4"/>
        <v>XYZ</v>
      </c>
      <c r="AY93" t="s">
        <v>193</v>
      </c>
      <c r="AZ93" t="s">
        <v>2204</v>
      </c>
      <c r="BA93" s="253">
        <v>401</v>
      </c>
      <c r="CP93" s="253"/>
      <c r="EH93" s="110"/>
      <c r="FD93" s="285"/>
      <c r="FZ93" s="253"/>
      <c r="GV93" s="253"/>
      <c r="HR93" s="253"/>
      <c r="IN93" s="253"/>
    </row>
    <row r="94" spans="1:248">
      <c r="A94" s="241" t="str">
        <f ca="1">[1]ExtEntry!$A92</f>
        <v>THC</v>
      </c>
      <c r="B94" s="250"/>
      <c r="C94" s="251"/>
      <c r="D94" s="251">
        <f>ROW()</f>
        <v>94</v>
      </c>
      <c r="E94" s="387">
        <f ca="1">[1]ExtEntry!$E92</f>
        <v>45954.958333344533</v>
      </c>
      <c r="F94" s="253">
        <v>202</v>
      </c>
      <c r="G94" s="253">
        <v>201.2</v>
      </c>
      <c r="H94" s="253">
        <v>203.04</v>
      </c>
      <c r="I94" s="253">
        <v>201.34</v>
      </c>
      <c r="J94" s="253">
        <v>203.38</v>
      </c>
      <c r="K94" s="253">
        <v>199.76</v>
      </c>
      <c r="L94" s="253">
        <v>204.83</v>
      </c>
      <c r="M94" s="253">
        <v>200.48</v>
      </c>
      <c r="N94" s="253">
        <v>200.48</v>
      </c>
      <c r="O94" s="253">
        <v>189.58</v>
      </c>
      <c r="P94" s="253">
        <v>190</v>
      </c>
      <c r="Q94" s="253">
        <v>196.33</v>
      </c>
      <c r="R94" s="253">
        <v>199.23</v>
      </c>
      <c r="S94" s="253">
        <v>199.13</v>
      </c>
      <c r="T94" s="253">
        <v>200</v>
      </c>
      <c r="U94" s="253">
        <v>202.11</v>
      </c>
      <c r="V94" s="253">
        <v>202.35</v>
      </c>
      <c r="W94" s="254">
        <v>202.35</v>
      </c>
      <c r="X94" s="253">
        <v>205.12</v>
      </c>
      <c r="Y94" s="253">
        <v>206.91</v>
      </c>
      <c r="Z94" s="247">
        <f ca="1">[1]ExtEntry!$F92</f>
        <v>206.91</v>
      </c>
      <c r="AA94" s="270"/>
      <c r="AB94" s="380">
        <v>2200</v>
      </c>
      <c r="AC94" s="380">
        <v>2200</v>
      </c>
      <c r="AD94" s="380">
        <v>2200</v>
      </c>
      <c r="AE94" s="380">
        <v>2200</v>
      </c>
      <c r="AF94" s="380">
        <v>2200</v>
      </c>
      <c r="AG94" s="380">
        <v>1200</v>
      </c>
      <c r="AH94" s="380">
        <v>1500</v>
      </c>
      <c r="AI94" s="380">
        <v>1500</v>
      </c>
      <c r="AJ94" s="380">
        <v>1500</v>
      </c>
      <c r="AK94" s="380">
        <v>1500</v>
      </c>
      <c r="AL94" s="380">
        <v>1500</v>
      </c>
      <c r="AM94" s="380">
        <v>1500</v>
      </c>
      <c r="AN94" s="380">
        <v>1500</v>
      </c>
      <c r="AO94" s="380">
        <v>1500</v>
      </c>
      <c r="AP94" s="380">
        <v>1500</v>
      </c>
      <c r="AQ94" s="380">
        <v>1500</v>
      </c>
      <c r="AR94" s="380">
        <v>1500</v>
      </c>
      <c r="AS94" s="380">
        <v>1500</v>
      </c>
      <c r="AT94" s="380">
        <v>1500</v>
      </c>
      <c r="AU94" s="380">
        <v>1500</v>
      </c>
      <c r="AV94" s="380">
        <f ca="1">Calc!G92</f>
        <v>1500</v>
      </c>
      <c r="AW94" s="253"/>
      <c r="AX94" s="88" t="str">
        <f t="shared" ca="1" si="4"/>
        <v>THC</v>
      </c>
      <c r="AY94" t="s">
        <v>2205</v>
      </c>
      <c r="AZ94" t="s">
        <v>1836</v>
      </c>
      <c r="BA94" s="253">
        <v>500</v>
      </c>
      <c r="CP94" s="253"/>
      <c r="EH94" s="110"/>
      <c r="FD94" s="285"/>
      <c r="FZ94" s="253"/>
      <c r="GV94" s="253"/>
      <c r="HR94" s="253"/>
      <c r="IN94" s="253"/>
    </row>
    <row r="95" spans="1:248">
      <c r="A95" s="241" t="str">
        <f ca="1">[1]ExtEntry!$A93</f>
        <v>X</v>
      </c>
      <c r="B95" s="242"/>
      <c r="C95" s="243"/>
      <c r="D95" s="243">
        <f>ROW()</f>
        <v>95</v>
      </c>
      <c r="E95" s="388">
        <f ca="1">[1]ExtEntry!$E93</f>
        <v>45825.999177476566</v>
      </c>
      <c r="F95" s="245">
        <v>54.85</v>
      </c>
      <c r="G95" s="245">
        <v>54.85</v>
      </c>
      <c r="H95" s="245">
        <v>54.85</v>
      </c>
      <c r="I95" s="245">
        <v>54.85</v>
      </c>
      <c r="J95" s="245">
        <v>54.85</v>
      </c>
      <c r="K95" s="245">
        <v>54.85</v>
      </c>
      <c r="L95" s="245">
        <v>54.85</v>
      </c>
      <c r="M95" s="245">
        <v>54.85</v>
      </c>
      <c r="N95" s="245">
        <v>54.85</v>
      </c>
      <c r="O95" s="245">
        <v>54.85</v>
      </c>
      <c r="P95" s="245">
        <v>54.85</v>
      </c>
      <c r="Q95" s="245">
        <v>54.85</v>
      </c>
      <c r="R95" s="245">
        <v>54.85</v>
      </c>
      <c r="S95" s="245">
        <v>54.85</v>
      </c>
      <c r="T95" s="245">
        <v>54.85</v>
      </c>
      <c r="U95" s="245">
        <v>54.85</v>
      </c>
      <c r="V95" s="245">
        <v>54.85</v>
      </c>
      <c r="W95" s="246">
        <v>54.85</v>
      </c>
      <c r="X95" s="245">
        <v>54.85</v>
      </c>
      <c r="Y95" s="245">
        <v>54.85</v>
      </c>
      <c r="Z95" s="247">
        <f ca="1">[1]ExtEntry!$F93</f>
        <v>54.85</v>
      </c>
      <c r="AA95" s="270"/>
      <c r="AB95" s="380">
        <v>10</v>
      </c>
      <c r="AC95" s="380">
        <v>10</v>
      </c>
      <c r="AD95" s="380">
        <v>10</v>
      </c>
      <c r="AE95" s="380">
        <v>10</v>
      </c>
      <c r="AF95" s="380">
        <v>10</v>
      </c>
      <c r="AG95" s="380">
        <v>10</v>
      </c>
      <c r="AH95" s="380">
        <v>10</v>
      </c>
      <c r="AI95" s="380">
        <v>10</v>
      </c>
      <c r="AJ95" s="380">
        <v>10</v>
      </c>
      <c r="AK95" s="380">
        <v>10</v>
      </c>
      <c r="AL95" s="380">
        <v>10</v>
      </c>
      <c r="AM95" s="380">
        <v>10</v>
      </c>
      <c r="AN95" s="380">
        <v>10</v>
      </c>
      <c r="AO95" s="380">
        <v>10</v>
      </c>
      <c r="AP95" s="380">
        <v>10</v>
      </c>
      <c r="AQ95" s="380">
        <v>10</v>
      </c>
      <c r="AR95" s="380">
        <v>10</v>
      </c>
      <c r="AS95" s="380">
        <v>10</v>
      </c>
      <c r="AT95" s="380">
        <v>10</v>
      </c>
      <c r="AU95" s="380">
        <v>10</v>
      </c>
      <c r="AV95" s="380">
        <f ca="1">Calc!G93</f>
        <v>10</v>
      </c>
      <c r="AW95" s="253"/>
      <c r="AX95" s="88" t="str">
        <f t="shared" ca="1" si="4"/>
        <v>X</v>
      </c>
      <c r="AY95" t="s">
        <v>195</v>
      </c>
      <c r="AZ95" t="s">
        <v>702</v>
      </c>
      <c r="BA95" s="253">
        <v>599</v>
      </c>
      <c r="CP95" s="253"/>
      <c r="EH95" s="110"/>
      <c r="FD95" s="285"/>
      <c r="FZ95" s="253"/>
      <c r="GV95" s="253"/>
      <c r="HR95" s="253"/>
      <c r="IN95" s="253"/>
    </row>
    <row r="96" spans="1:248">
      <c r="A96" s="241" t="str">
        <f ca="1">[1]ExtEntry!$A94</f>
        <v>JBEOAN</v>
      </c>
      <c r="B96" s="250"/>
      <c r="C96" s="251"/>
      <c r="D96" s="251">
        <f>ROW()</f>
        <v>96</v>
      </c>
      <c r="E96" s="387">
        <f ca="1">[1]ExtEntry!$E94</f>
        <v>45954.770833333336</v>
      </c>
      <c r="F96" s="253">
        <v>10.273999999999999</v>
      </c>
      <c r="G96" s="253">
        <v>10.352</v>
      </c>
      <c r="H96" s="253">
        <v>10.298</v>
      </c>
      <c r="I96" s="253">
        <v>10.278</v>
      </c>
      <c r="J96" s="253">
        <v>10.36</v>
      </c>
      <c r="K96" s="253">
        <v>10.5</v>
      </c>
      <c r="L96" s="253">
        <v>10.358000000000001</v>
      </c>
      <c r="M96" s="253">
        <v>10.375999999999999</v>
      </c>
      <c r="N96" s="253">
        <v>10.55</v>
      </c>
      <c r="O96" s="253">
        <v>10.56</v>
      </c>
      <c r="P96" s="253">
        <v>10.3</v>
      </c>
      <c r="Q96" s="253">
        <v>10.208</v>
      </c>
      <c r="R96" s="253">
        <v>10.353999999999999</v>
      </c>
      <c r="S96" s="253">
        <v>10.356</v>
      </c>
      <c r="T96" s="253">
        <v>10.156000000000001</v>
      </c>
      <c r="U96" s="253">
        <v>10.25</v>
      </c>
      <c r="V96" s="253">
        <v>10.465999999999999</v>
      </c>
      <c r="W96" s="254">
        <v>10.465999999999999</v>
      </c>
      <c r="X96" s="253">
        <v>10.353999999999999</v>
      </c>
      <c r="Y96" s="253">
        <v>10.384</v>
      </c>
      <c r="Z96" s="247">
        <f ca="1">[1]ExtEntry!$F94</f>
        <v>16.035</v>
      </c>
      <c r="AA96" s="270"/>
      <c r="AB96" s="381">
        <v>77100</v>
      </c>
      <c r="AC96" s="381">
        <v>77100</v>
      </c>
      <c r="AD96" s="381">
        <v>77100</v>
      </c>
      <c r="AE96" s="381">
        <v>77100</v>
      </c>
      <c r="AF96" s="381">
        <v>77100</v>
      </c>
      <c r="AG96" s="381">
        <v>77100</v>
      </c>
      <c r="AH96" s="381">
        <v>77100</v>
      </c>
      <c r="AI96" s="381">
        <v>77100</v>
      </c>
      <c r="AJ96" s="381">
        <v>77100</v>
      </c>
      <c r="AK96" s="381">
        <v>77100</v>
      </c>
      <c r="AL96" s="381">
        <v>77100</v>
      </c>
      <c r="AM96" s="381">
        <v>77100</v>
      </c>
      <c r="AN96" s="381">
        <v>77100</v>
      </c>
      <c r="AO96" s="381">
        <v>77100</v>
      </c>
      <c r="AP96" s="381">
        <v>77100</v>
      </c>
      <c r="AQ96" s="381">
        <v>77100</v>
      </c>
      <c r="AR96" s="381">
        <v>77100</v>
      </c>
      <c r="AS96" s="381">
        <v>77100</v>
      </c>
      <c r="AT96" s="381">
        <v>77100</v>
      </c>
      <c r="AU96" s="381">
        <v>77100</v>
      </c>
      <c r="AV96" s="380">
        <f ca="1">Calc!G94</f>
        <v>18000</v>
      </c>
      <c r="AW96" s="253"/>
      <c r="AX96" s="88" t="str">
        <f t="shared" ca="1" si="4"/>
        <v>JBEOAN</v>
      </c>
      <c r="AY96" t="s">
        <v>2207</v>
      </c>
      <c r="AZ96" t="s">
        <v>2206</v>
      </c>
      <c r="BA96" s="253">
        <v>698</v>
      </c>
      <c r="CP96" s="253"/>
      <c r="EH96" s="110"/>
      <c r="FD96" s="285"/>
      <c r="FZ96" s="253"/>
      <c r="GV96" s="253"/>
      <c r="HR96" s="253"/>
      <c r="IN96" s="253"/>
    </row>
    <row r="97" spans="1:248">
      <c r="A97" s="241" t="str">
        <f>[1]ExtEntry!$A95</f>
        <v>LOCK</v>
      </c>
      <c r="D97" s="251">
        <f>ROW()</f>
        <v>97</v>
      </c>
      <c r="E97" s="387">
        <f ca="1">[1]ExtEntry!$E95</f>
        <v>45954.651621133591</v>
      </c>
      <c r="F97" s="245">
        <v>812.8</v>
      </c>
      <c r="G97" s="245">
        <v>825.5</v>
      </c>
      <c r="H97" s="245">
        <v>828.1</v>
      </c>
      <c r="I97" s="245">
        <v>841.4</v>
      </c>
      <c r="J97" s="245">
        <v>877.6</v>
      </c>
      <c r="K97" s="245">
        <v>897.3</v>
      </c>
      <c r="L97" s="245">
        <v>874.8</v>
      </c>
      <c r="M97" s="245">
        <v>851.8</v>
      </c>
      <c r="N97" s="245">
        <v>849.8</v>
      </c>
      <c r="O97" s="245">
        <v>813.9</v>
      </c>
      <c r="P97" s="245">
        <v>844</v>
      </c>
      <c r="Q97" s="245">
        <v>846.6</v>
      </c>
      <c r="R97" s="245">
        <v>873</v>
      </c>
      <c r="S97" s="245">
        <v>877.4</v>
      </c>
      <c r="T97" s="245">
        <v>875.7</v>
      </c>
      <c r="U97" s="245">
        <v>899</v>
      </c>
      <c r="V97" s="245">
        <v>889.8</v>
      </c>
      <c r="W97" s="246">
        <v>889.8</v>
      </c>
      <c r="X97" s="245">
        <v>870.1</v>
      </c>
      <c r="Y97" s="245">
        <v>887.7</v>
      </c>
      <c r="Z97" s="247">
        <f ca="1">[1]ExtEntry!$F95</f>
        <v>10.426</v>
      </c>
      <c r="AA97" s="270"/>
      <c r="AB97" s="380">
        <v>500</v>
      </c>
      <c r="AC97" s="380">
        <v>200</v>
      </c>
      <c r="AD97" s="380">
        <v>200</v>
      </c>
      <c r="AE97" s="380">
        <v>200</v>
      </c>
      <c r="AF97" s="380">
        <v>200</v>
      </c>
      <c r="AG97" s="380">
        <v>200</v>
      </c>
      <c r="AH97" s="380">
        <v>200</v>
      </c>
      <c r="AI97" s="380">
        <v>200</v>
      </c>
      <c r="AJ97" s="380">
        <v>200</v>
      </c>
      <c r="AK97" s="380">
        <v>200</v>
      </c>
      <c r="AL97" s="380">
        <v>200</v>
      </c>
      <c r="AM97" s="380">
        <v>200</v>
      </c>
      <c r="AN97" s="380">
        <v>200</v>
      </c>
      <c r="AO97" s="380">
        <v>200</v>
      </c>
      <c r="AP97" s="380">
        <v>200</v>
      </c>
      <c r="AQ97" s="380">
        <v>200</v>
      </c>
      <c r="AR97" s="380">
        <v>200</v>
      </c>
      <c r="AS97" s="380">
        <v>200</v>
      </c>
      <c r="AT97" s="380">
        <v>200</v>
      </c>
      <c r="AU97" s="380">
        <v>200</v>
      </c>
      <c r="AV97" s="380">
        <f ca="1">Calc!G95</f>
        <v>77100</v>
      </c>
      <c r="AW97" s="258"/>
      <c r="AX97" s="88" t="str">
        <f t="shared" si="4"/>
        <v>LOCK</v>
      </c>
      <c r="AY97" t="s">
        <v>2208</v>
      </c>
      <c r="AZ97" t="s">
        <v>2209</v>
      </c>
      <c r="BA97" s="253">
        <v>797</v>
      </c>
      <c r="CP97" s="253"/>
      <c r="EH97" s="110"/>
      <c r="FD97" s="285"/>
      <c r="FZ97" s="253"/>
      <c r="GV97" s="253"/>
      <c r="HR97" s="253"/>
      <c r="IN97" s="253"/>
    </row>
    <row r="98" spans="1:248">
      <c r="A98" s="241" t="str">
        <f>[1]ExtEntry!$A96</f>
        <v>Total</v>
      </c>
      <c r="D98" s="251">
        <f>ROW()</f>
        <v>98</v>
      </c>
      <c r="E98" s="387">
        <f>[1]ExtEntry!$E96</f>
        <v>0</v>
      </c>
      <c r="F98" s="253">
        <v>16.055</v>
      </c>
      <c r="G98" s="253">
        <v>16.02</v>
      </c>
      <c r="H98" s="253">
        <v>16.07</v>
      </c>
      <c r="I98" s="253">
        <v>16.16</v>
      </c>
      <c r="J98" s="253">
        <v>15.96</v>
      </c>
      <c r="K98" s="253">
        <v>16.074999999999999</v>
      </c>
      <c r="L98" s="253">
        <v>16.114999999999998</v>
      </c>
      <c r="M98" s="253">
        <v>16.18</v>
      </c>
      <c r="N98" s="253">
        <v>16.175000000000001</v>
      </c>
      <c r="O98" s="253">
        <v>16.07</v>
      </c>
      <c r="P98" s="253">
        <v>16.260000000000002</v>
      </c>
      <c r="Q98" s="253">
        <v>16.37</v>
      </c>
      <c r="R98" s="253">
        <v>16.2</v>
      </c>
      <c r="S98" s="253">
        <v>16.25</v>
      </c>
      <c r="T98" s="253">
        <v>16.27</v>
      </c>
      <c r="U98" s="253">
        <v>16.420000000000002</v>
      </c>
      <c r="V98" s="253">
        <v>16.364999999999998</v>
      </c>
      <c r="W98" s="254">
        <v>16.364999999999998</v>
      </c>
      <c r="X98" s="253">
        <v>16.100000000000001</v>
      </c>
      <c r="Y98" s="253">
        <v>15.98</v>
      </c>
      <c r="Z98" s="247">
        <f>[1]ExtEntry!$F96</f>
        <v>0</v>
      </c>
      <c r="AA98" s="270"/>
      <c r="AB98" s="380">
        <v>21000</v>
      </c>
      <c r="AC98" s="380">
        <v>21000</v>
      </c>
      <c r="AD98" s="380">
        <v>21000</v>
      </c>
      <c r="AE98" s="380">
        <v>21000</v>
      </c>
      <c r="AF98" s="380">
        <v>21000</v>
      </c>
      <c r="AG98" s="380">
        <v>18000</v>
      </c>
      <c r="AH98" s="380">
        <v>18000</v>
      </c>
      <c r="AI98" s="380">
        <v>18000</v>
      </c>
      <c r="AJ98" s="380">
        <v>18000</v>
      </c>
      <c r="AK98" s="380">
        <v>18000</v>
      </c>
      <c r="AL98" s="380">
        <v>18000</v>
      </c>
      <c r="AM98" s="380">
        <v>18000</v>
      </c>
      <c r="AN98" s="380">
        <v>18000</v>
      </c>
      <c r="AO98" s="380">
        <v>18000</v>
      </c>
      <c r="AP98" s="380">
        <v>18000</v>
      </c>
      <c r="AQ98" s="380">
        <v>18000</v>
      </c>
      <c r="AR98" s="380">
        <v>18000</v>
      </c>
      <c r="AS98" s="380">
        <v>18000</v>
      </c>
      <c r="AT98" s="380">
        <v>18000</v>
      </c>
      <c r="AU98" s="380">
        <v>18000</v>
      </c>
      <c r="AV98" s="380" t="e">
        <f ca="1">Calc!G96</f>
        <v>#VALUE!</v>
      </c>
      <c r="AW98" s="258"/>
      <c r="AX98" s="88" t="str">
        <f t="shared" si="4"/>
        <v>Total</v>
      </c>
      <c r="AY98" t="s">
        <v>2210</v>
      </c>
      <c r="AZ98" t="s">
        <v>662</v>
      </c>
      <c r="BA98" s="253">
        <v>896</v>
      </c>
      <c r="BT98" s="93"/>
      <c r="CP98" s="253"/>
      <c r="EH98" s="110"/>
      <c r="FD98" s="285"/>
      <c r="FZ98" s="253"/>
      <c r="GV98" s="253"/>
      <c r="HR98" s="253"/>
      <c r="IN98" s="253"/>
    </row>
    <row r="99" spans="1:248">
      <c r="A99" s="88"/>
      <c r="F99" s="88"/>
      <c r="AA99" s="270"/>
      <c r="AW99" s="258"/>
      <c r="AX99" s="88"/>
      <c r="AY99" t="s">
        <v>199</v>
      </c>
      <c r="AZ99" t="s">
        <v>2211</v>
      </c>
      <c r="BA99" s="253">
        <v>995</v>
      </c>
      <c r="CP99" s="253"/>
      <c r="EH99" s="110"/>
      <c r="FD99" s="285"/>
      <c r="FZ99" s="253"/>
      <c r="GV99" s="253"/>
      <c r="HR99" s="253"/>
      <c r="IN99" s="253"/>
    </row>
    <row r="100" spans="1:248">
      <c r="A100" s="88"/>
      <c r="F100" s="88"/>
      <c r="AA100" s="273"/>
      <c r="AW100" s="271"/>
      <c r="AX100" s="88"/>
      <c r="AY100" t="s">
        <v>2212</v>
      </c>
      <c r="AZ100" t="s">
        <v>177</v>
      </c>
      <c r="BA100" s="253">
        <v>1094</v>
      </c>
      <c r="CP100" s="272"/>
      <c r="EH100" s="110"/>
      <c r="FD100" s="286"/>
      <c r="FZ100" s="272"/>
      <c r="GV100" s="272"/>
      <c r="HR100" s="272"/>
      <c r="IN100" s="272"/>
    </row>
    <row r="101" spans="1:248">
      <c r="A101" s="88"/>
      <c r="F101" s="88"/>
      <c r="AW101" s="274"/>
      <c r="AX101" s="88"/>
      <c r="AY101" t="s">
        <v>179</v>
      </c>
      <c r="AZ101" t="s">
        <v>2213</v>
      </c>
      <c r="BA101" s="253">
        <v>1193</v>
      </c>
      <c r="EH101" s="110"/>
    </row>
    <row r="102" spans="1:248" ht="27">
      <c r="A102" s="88"/>
      <c r="D102" s="118">
        <f ca="1">E5</f>
        <v>45954.999963008595</v>
      </c>
      <c r="E102" s="1264"/>
      <c r="F102" s="112"/>
      <c r="G102" s="112"/>
      <c r="H102" s="112"/>
      <c r="I102" s="112"/>
      <c r="J102" s="112"/>
      <c r="K102" s="112"/>
      <c r="L102" s="112"/>
      <c r="M102" s="112"/>
      <c r="N102" s="112"/>
      <c r="O102" s="112"/>
      <c r="P102" s="112"/>
      <c r="Q102" s="112"/>
      <c r="R102" s="112"/>
      <c r="S102" s="112"/>
      <c r="T102" s="112"/>
      <c r="U102" s="112"/>
      <c r="V102" s="112"/>
      <c r="W102" s="112"/>
      <c r="X102" s="113"/>
      <c r="Y102" s="113"/>
      <c r="Z102" s="113"/>
      <c r="AW102" s="274"/>
      <c r="AX102" s="88"/>
      <c r="AY102" t="s">
        <v>2501</v>
      </c>
      <c r="AZ102" t="s">
        <v>2214</v>
      </c>
      <c r="BA102" s="253">
        <v>1292</v>
      </c>
      <c r="EH102" s="110"/>
    </row>
    <row r="103" spans="1:248">
      <c r="F103" s="117">
        <f t="shared" ref="F103:Z103" ca="1" si="5">F3</f>
        <v>45929</v>
      </c>
      <c r="G103" s="117">
        <f t="shared" ca="1" si="5"/>
        <v>45930</v>
      </c>
      <c r="H103" s="117">
        <f t="shared" ca="1" si="5"/>
        <v>45931</v>
      </c>
      <c r="I103" s="117">
        <f t="shared" ca="1" si="5"/>
        <v>45932</v>
      </c>
      <c r="J103" s="117">
        <f t="shared" ca="1" si="5"/>
        <v>45933</v>
      </c>
      <c r="K103" s="117">
        <f t="shared" ca="1" si="5"/>
        <v>45936</v>
      </c>
      <c r="L103" s="117">
        <f t="shared" ca="1" si="5"/>
        <v>45937</v>
      </c>
      <c r="M103" s="117">
        <f t="shared" ca="1" si="5"/>
        <v>45938</v>
      </c>
      <c r="N103" s="117">
        <f t="shared" ca="1" si="5"/>
        <v>45939</v>
      </c>
      <c r="O103" s="117">
        <f t="shared" ca="1" si="5"/>
        <v>45940</v>
      </c>
      <c r="P103" s="117">
        <f t="shared" ca="1" si="5"/>
        <v>45943</v>
      </c>
      <c r="Q103" s="117">
        <f t="shared" ca="1" si="5"/>
        <v>45944</v>
      </c>
      <c r="R103" s="117">
        <f t="shared" ca="1" si="5"/>
        <v>45945</v>
      </c>
      <c r="S103" s="117">
        <f t="shared" ca="1" si="5"/>
        <v>45946</v>
      </c>
      <c r="T103" s="117">
        <f t="shared" ca="1" si="5"/>
        <v>45947</v>
      </c>
      <c r="U103" s="117">
        <f t="shared" ca="1" si="5"/>
        <v>45950</v>
      </c>
      <c r="V103" s="117">
        <f t="shared" ca="1" si="5"/>
        <v>45951</v>
      </c>
      <c r="W103" s="117">
        <f t="shared" ca="1" si="5"/>
        <v>45952</v>
      </c>
      <c r="X103" s="117">
        <f t="shared" ca="1" si="5"/>
        <v>45953</v>
      </c>
      <c r="Y103" s="117">
        <f t="shared" ca="1" si="5"/>
        <v>45954</v>
      </c>
      <c r="Z103" s="117">
        <f t="shared" ca="1" si="5"/>
        <v>45956</v>
      </c>
      <c r="AB103" s="117">
        <f t="shared" ref="AB103:AV103" ca="1" si="6">F103</f>
        <v>45929</v>
      </c>
      <c r="AC103" s="117">
        <f t="shared" ca="1" si="6"/>
        <v>45930</v>
      </c>
      <c r="AD103" s="117">
        <f t="shared" ca="1" si="6"/>
        <v>45931</v>
      </c>
      <c r="AE103" s="117">
        <f t="shared" ca="1" si="6"/>
        <v>45932</v>
      </c>
      <c r="AF103" s="117">
        <f t="shared" ca="1" si="6"/>
        <v>45933</v>
      </c>
      <c r="AG103" s="117">
        <f t="shared" ca="1" si="6"/>
        <v>45936</v>
      </c>
      <c r="AH103" s="117">
        <f t="shared" ca="1" si="6"/>
        <v>45937</v>
      </c>
      <c r="AI103" s="117">
        <f t="shared" ca="1" si="6"/>
        <v>45938</v>
      </c>
      <c r="AJ103" s="117">
        <f t="shared" ca="1" si="6"/>
        <v>45939</v>
      </c>
      <c r="AK103" s="117">
        <f t="shared" ca="1" si="6"/>
        <v>45940</v>
      </c>
      <c r="AL103" s="117">
        <f t="shared" ca="1" si="6"/>
        <v>45943</v>
      </c>
      <c r="AM103" s="117">
        <f t="shared" ca="1" si="6"/>
        <v>45944</v>
      </c>
      <c r="AN103" s="117">
        <f t="shared" ca="1" si="6"/>
        <v>45945</v>
      </c>
      <c r="AO103" s="117">
        <f t="shared" ca="1" si="6"/>
        <v>45946</v>
      </c>
      <c r="AP103" s="117">
        <f t="shared" ca="1" si="6"/>
        <v>45947</v>
      </c>
      <c r="AQ103" s="117">
        <f t="shared" ca="1" si="6"/>
        <v>45950</v>
      </c>
      <c r="AR103" s="117">
        <f t="shared" ca="1" si="6"/>
        <v>45951</v>
      </c>
      <c r="AS103" s="117">
        <f t="shared" ca="1" si="6"/>
        <v>45952</v>
      </c>
      <c r="AT103" s="117">
        <f t="shared" ca="1" si="6"/>
        <v>45953</v>
      </c>
      <c r="AU103" s="117">
        <f t="shared" ca="1" si="6"/>
        <v>45954</v>
      </c>
      <c r="AV103" s="117">
        <f t="shared" ca="1" si="6"/>
        <v>45956</v>
      </c>
      <c r="AW103" s="274"/>
      <c r="AX103" s="88"/>
      <c r="AY103" t="s">
        <v>1016</v>
      </c>
      <c r="AZ103" t="s">
        <v>2215</v>
      </c>
      <c r="BA103" s="253">
        <v>1391</v>
      </c>
      <c r="EH103" s="110"/>
    </row>
    <row r="104" spans="1:248">
      <c r="A104" s="260" t="s">
        <v>477</v>
      </c>
      <c r="B104" s="261" t="s">
        <v>478</v>
      </c>
      <c r="C104" s="261" t="s">
        <v>479</v>
      </c>
      <c r="D104" s="1201" t="s">
        <v>202</v>
      </c>
      <c r="E104" s="240" t="s">
        <v>480</v>
      </c>
      <c r="F104" s="268" t="s">
        <v>225</v>
      </c>
      <c r="G104" s="268" t="s">
        <v>226</v>
      </c>
      <c r="H104" s="268" t="s">
        <v>227</v>
      </c>
      <c r="I104" s="268" t="s">
        <v>228</v>
      </c>
      <c r="J104" s="268" t="s">
        <v>229</v>
      </c>
      <c r="K104" s="268" t="s">
        <v>230</v>
      </c>
      <c r="L104" s="268" t="s">
        <v>231</v>
      </c>
      <c r="M104" s="268" t="s">
        <v>232</v>
      </c>
      <c r="N104" s="268" t="s">
        <v>233</v>
      </c>
      <c r="O104" s="268" t="s">
        <v>234</v>
      </c>
      <c r="P104" s="268" t="s">
        <v>235</v>
      </c>
      <c r="Q104" s="268" t="s">
        <v>236</v>
      </c>
      <c r="R104" s="268" t="s">
        <v>237</v>
      </c>
      <c r="S104" s="268" t="s">
        <v>238</v>
      </c>
      <c r="T104" s="268" t="s">
        <v>239</v>
      </c>
      <c r="U104" s="268" t="s">
        <v>240</v>
      </c>
      <c r="V104" s="268" t="s">
        <v>241</v>
      </c>
      <c r="W104" s="268" t="s">
        <v>242</v>
      </c>
      <c r="X104" s="268" t="s">
        <v>243</v>
      </c>
      <c r="Y104" s="268" t="s">
        <v>244</v>
      </c>
      <c r="Z104" s="268" t="s">
        <v>245</v>
      </c>
      <c r="AB104" s="281" t="s">
        <v>502</v>
      </c>
      <c r="AC104" s="281" t="s">
        <v>503</v>
      </c>
      <c r="AD104" s="281" t="s">
        <v>504</v>
      </c>
      <c r="AE104" s="281" t="s">
        <v>505</v>
      </c>
      <c r="AF104" s="281" t="s">
        <v>506</v>
      </c>
      <c r="AG104" s="281" t="s">
        <v>507</v>
      </c>
      <c r="AH104" s="281" t="s">
        <v>508</v>
      </c>
      <c r="AI104" s="281" t="s">
        <v>509</v>
      </c>
      <c r="AJ104" s="281" t="s">
        <v>510</v>
      </c>
      <c r="AK104" s="281" t="s">
        <v>511</v>
      </c>
      <c r="AL104" s="281" t="s">
        <v>512</v>
      </c>
      <c r="AM104" s="281" t="s">
        <v>513</v>
      </c>
      <c r="AN104" s="281" t="s">
        <v>514</v>
      </c>
      <c r="AO104" s="281" t="s">
        <v>515</v>
      </c>
      <c r="AP104" s="281" t="s">
        <v>516</v>
      </c>
      <c r="AQ104" s="281" t="s">
        <v>517</v>
      </c>
      <c r="AR104" s="281" t="s">
        <v>518</v>
      </c>
      <c r="AS104" s="281" t="s">
        <v>519</v>
      </c>
      <c r="AT104" s="281" t="s">
        <v>520</v>
      </c>
      <c r="AU104" s="281" t="s">
        <v>521</v>
      </c>
      <c r="AV104" s="281" t="s">
        <v>522</v>
      </c>
      <c r="AW104" s="274"/>
      <c r="AY104" t="s">
        <v>2500</v>
      </c>
      <c r="AZ104" t="s">
        <v>2147</v>
      </c>
      <c r="BA104" s="253">
        <v>1490</v>
      </c>
      <c r="EH104" s="110"/>
    </row>
    <row r="105" spans="1:248">
      <c r="A105" s="241" t="str">
        <f t="shared" ref="A105:A136" ca="1" si="7">A5</f>
        <v>AAPL</v>
      </c>
      <c r="B105" s="242" t="str">
        <f ca="1">[1]ExtEntry!$D3</f>
        <v>USD</v>
      </c>
      <c r="C105" s="243"/>
      <c r="D105" s="1202">
        <f>ROW()</f>
        <v>105</v>
      </c>
      <c r="E105" s="244"/>
      <c r="F105" s="245">
        <v>254.5</v>
      </c>
      <c r="G105" s="245">
        <v>254.85499999999999</v>
      </c>
      <c r="H105" s="245">
        <v>255.04</v>
      </c>
      <c r="I105" s="245">
        <v>256.57499999999999</v>
      </c>
      <c r="J105" s="245">
        <v>254.66499999999999</v>
      </c>
      <c r="K105" s="245">
        <v>256.80500000000001</v>
      </c>
      <c r="L105" s="245">
        <v>256.52</v>
      </c>
      <c r="M105" s="245">
        <v>257.80500000000001</v>
      </c>
      <c r="N105" s="245">
        <v>257.80500000000001</v>
      </c>
      <c r="O105" s="245">
        <v>249.46</v>
      </c>
      <c r="P105" s="245">
        <v>246.57</v>
      </c>
      <c r="Q105" s="245">
        <v>249.38</v>
      </c>
      <c r="R105" s="245">
        <v>248.25</v>
      </c>
      <c r="S105" s="245">
        <v>248.02</v>
      </c>
      <c r="T105" s="245">
        <v>255.88499999999999</v>
      </c>
      <c r="U105" s="245">
        <v>261.88</v>
      </c>
      <c r="V105" s="245">
        <v>262.64999999999998</v>
      </c>
      <c r="W105" s="245">
        <v>262.64999999999998</v>
      </c>
      <c r="X105" s="245">
        <v>259.94</v>
      </c>
      <c r="Y105" s="245">
        <v>261.19</v>
      </c>
      <c r="Z105" s="247">
        <f ca="1">[1]ExtEntry!$G3</f>
        <v>261.19</v>
      </c>
      <c r="AB105" s="1210">
        <v>0.34335381523758768</v>
      </c>
      <c r="AC105" s="1210">
        <v>0.6620030829176593</v>
      </c>
      <c r="AD105" s="1210">
        <v>0.85139417027874309</v>
      </c>
      <c r="AE105" s="1210">
        <v>0.74760392726501756</v>
      </c>
      <c r="AF105" s="1210">
        <v>0.85579692879906644</v>
      </c>
      <c r="AG105" s="1210">
        <v>0.55016944057399586</v>
      </c>
      <c r="AH105" s="1210">
        <v>0.63371776264376167</v>
      </c>
      <c r="AI105" s="1210">
        <v>0.67921718002891496</v>
      </c>
      <c r="AJ105" s="1210">
        <v>1.0764920203183254E-3</v>
      </c>
      <c r="AK105" s="1210">
        <v>0.63933086100887959</v>
      </c>
      <c r="AL105" s="1210">
        <v>0.60657144989722056</v>
      </c>
      <c r="AM105" s="1210">
        <v>0.39265376879586078</v>
      </c>
      <c r="AN105" s="1210">
        <v>0.75344364335389391</v>
      </c>
      <c r="AO105" s="1210">
        <v>0.94159957139339034</v>
      </c>
      <c r="AP105" s="1210">
        <v>1.7373275336209155</v>
      </c>
      <c r="AQ105" s="1210">
        <v>0.86578114345634261</v>
      </c>
      <c r="AR105" s="1210">
        <v>0.80723094074890434</v>
      </c>
      <c r="AS105" s="1210">
        <v>0.80726296983213941</v>
      </c>
      <c r="AT105" s="1210">
        <v>0.61447361422266678</v>
      </c>
      <c r="AU105" s="1210">
        <v>0.72431334071401965</v>
      </c>
      <c r="AV105" s="1210">
        <f ca="1">Calc!BB3</f>
        <v>0.72655349107793532</v>
      </c>
      <c r="AW105" s="274"/>
      <c r="AX105" s="88" t="str">
        <f t="shared" ref="AX105:AX136" ca="1" si="8">A105</f>
        <v>AAPL</v>
      </c>
      <c r="AY105" t="s">
        <v>1016</v>
      </c>
      <c r="AZ105" t="s">
        <v>1016</v>
      </c>
      <c r="BA105" s="253">
        <v>1589</v>
      </c>
      <c r="EH105" s="110"/>
    </row>
    <row r="106" spans="1:248">
      <c r="A106" s="241" t="str">
        <f t="shared" ca="1" si="7"/>
        <v>ADEA</v>
      </c>
      <c r="B106" s="250" t="str">
        <f ca="1">[1]ExtEntry!$D4</f>
        <v>USD</v>
      </c>
      <c r="C106" s="251"/>
      <c r="D106" s="841">
        <f>ROW()</f>
        <v>106</v>
      </c>
      <c r="E106" s="252"/>
      <c r="F106" s="253">
        <v>16.98</v>
      </c>
      <c r="G106" s="253">
        <v>16.670000000000002</v>
      </c>
      <c r="H106" s="253">
        <v>16.64</v>
      </c>
      <c r="I106" s="253">
        <v>17.16</v>
      </c>
      <c r="J106" s="253">
        <v>17.37</v>
      </c>
      <c r="K106" s="253">
        <v>18.059999999999999</v>
      </c>
      <c r="L106" s="253">
        <v>17.16</v>
      </c>
      <c r="M106" s="253">
        <v>16.52</v>
      </c>
      <c r="N106" s="253">
        <v>16.52</v>
      </c>
      <c r="O106" s="253">
        <v>16.11</v>
      </c>
      <c r="P106" s="253">
        <v>15.45</v>
      </c>
      <c r="Q106" s="253">
        <v>16.82</v>
      </c>
      <c r="R106" s="253">
        <v>17.309999999999999</v>
      </c>
      <c r="S106" s="253">
        <v>16.46</v>
      </c>
      <c r="T106" s="253">
        <v>16.66</v>
      </c>
      <c r="U106" s="253">
        <v>16.809999999999999</v>
      </c>
      <c r="V106" s="253">
        <v>17.010000000000002</v>
      </c>
      <c r="W106" s="253">
        <v>17.010000000000002</v>
      </c>
      <c r="X106" s="253">
        <v>16.8</v>
      </c>
      <c r="Y106" s="253">
        <v>17.09</v>
      </c>
      <c r="Z106" s="247">
        <f ca="1">[1]ExtEntry!$G4</f>
        <v>17.09</v>
      </c>
      <c r="AA106" s="275"/>
      <c r="AB106" s="1255">
        <v>0.20333939274088048</v>
      </c>
      <c r="AC106" s="1255">
        <v>1.2108577306138832</v>
      </c>
      <c r="AD106" s="1255">
        <v>1.0187221077432551</v>
      </c>
      <c r="AE106" s="1255">
        <v>1.7121422579449463</v>
      </c>
      <c r="AF106" s="1255">
        <v>1.2675411327621502</v>
      </c>
      <c r="AG106" s="1255">
        <v>1.8375389519345344</v>
      </c>
      <c r="AH106" s="1255">
        <v>0.90906789999817916</v>
      </c>
      <c r="AI106" s="1255">
        <v>1.1272434961591562</v>
      </c>
      <c r="AJ106" s="1255">
        <v>1.1274237328459733</v>
      </c>
      <c r="AK106" s="1255">
        <v>0.76073206789305592</v>
      </c>
      <c r="AL106" s="1255">
        <v>1.3069500825111233</v>
      </c>
      <c r="AM106" s="1255">
        <v>0.61555108031539063</v>
      </c>
      <c r="AN106" s="1255">
        <v>0.75660112241377864</v>
      </c>
      <c r="AO106" s="1255">
        <v>0.94764519528264723</v>
      </c>
      <c r="AP106" s="1255">
        <v>0.54967207745857927</v>
      </c>
      <c r="AQ106" s="1255">
        <v>0.5190497228898604</v>
      </c>
      <c r="AR106" s="1255">
        <v>0.70321921661977926</v>
      </c>
      <c r="AS106" s="1255">
        <v>0.70321921661977926</v>
      </c>
      <c r="AT106" s="1255">
        <v>0.55193031269098103</v>
      </c>
      <c r="AU106" s="1255">
        <v>0.68484341580886332</v>
      </c>
      <c r="AV106" s="1210">
        <f ca="1">Calc!BB4</f>
        <v>0.68498517708641593</v>
      </c>
      <c r="AW106" s="275"/>
      <c r="AX106" s="88" t="str">
        <f t="shared" ca="1" si="8"/>
        <v>ADEA</v>
      </c>
      <c r="CP106" s="275"/>
      <c r="EH106" s="110"/>
    </row>
    <row r="107" spans="1:248">
      <c r="A107" s="241" t="str">
        <f t="shared" ca="1" si="7"/>
        <v>AET</v>
      </c>
      <c r="B107" s="242" t="str">
        <f ca="1">[1]ExtEntry!$D5</f>
        <v>GBp</v>
      </c>
      <c r="C107" s="243"/>
      <c r="D107" s="1202">
        <f>ROW()</f>
        <v>107</v>
      </c>
      <c r="E107" s="244"/>
      <c r="F107" s="245">
        <v>49.4</v>
      </c>
      <c r="G107" s="245">
        <v>49</v>
      </c>
      <c r="H107" s="245">
        <v>49.2</v>
      </c>
      <c r="I107" s="245">
        <v>47</v>
      </c>
      <c r="J107" s="245">
        <v>47</v>
      </c>
      <c r="K107" s="245">
        <v>48</v>
      </c>
      <c r="L107" s="245">
        <v>48.5</v>
      </c>
      <c r="M107" s="245">
        <v>46.1</v>
      </c>
      <c r="N107" s="245" t="e" vm="411">
        <v>#VALUE!</v>
      </c>
      <c r="O107" s="245">
        <v>43</v>
      </c>
      <c r="P107" s="245">
        <v>43.9</v>
      </c>
      <c r="Q107" s="245">
        <v>43</v>
      </c>
      <c r="R107" s="245">
        <v>42.2</v>
      </c>
      <c r="S107" s="245">
        <v>41</v>
      </c>
      <c r="T107" s="245">
        <v>42</v>
      </c>
      <c r="U107" s="245">
        <v>42.1</v>
      </c>
      <c r="V107" s="245">
        <v>43.7</v>
      </c>
      <c r="W107" s="245">
        <v>43.7</v>
      </c>
      <c r="X107" s="245">
        <v>44.3</v>
      </c>
      <c r="Y107" s="245">
        <v>44.9</v>
      </c>
      <c r="Z107" s="247">
        <f ca="1">[1]ExtEntry!$G5</f>
        <v>44.9</v>
      </c>
      <c r="AA107" s="276"/>
      <c r="AB107" s="1210">
        <v>0.907327878250899</v>
      </c>
      <c r="AC107" s="1210">
        <v>0.75374732892062335</v>
      </c>
      <c r="AD107" s="1210">
        <v>1.0358517597448236</v>
      </c>
      <c r="AE107" s="1210">
        <v>1.2491204289415025</v>
      </c>
      <c r="AF107" s="1210">
        <v>1.0144314541060087</v>
      </c>
      <c r="AG107" s="1210">
        <v>2.1325840857633871</v>
      </c>
      <c r="AH107" s="1210">
        <v>1.4121423885450242</v>
      </c>
      <c r="AI107" s="1210">
        <v>3.6792672705150737</v>
      </c>
      <c r="AJ107" s="1210">
        <v>0.25542174875199425</v>
      </c>
      <c r="AK107" s="1210">
        <v>2.0817309199867604</v>
      </c>
      <c r="AL107" s="1210">
        <v>2.9322457014441752</v>
      </c>
      <c r="AM107" s="1210">
        <v>1.4961007392557324</v>
      </c>
      <c r="AN107" s="1210">
        <v>1.1407004134820198</v>
      </c>
      <c r="AO107" s="1210">
        <v>0.9813619864071671</v>
      </c>
      <c r="AP107" s="1210">
        <v>0.4496659715786222</v>
      </c>
      <c r="AQ107" s="1210">
        <v>1.0057408679000763</v>
      </c>
      <c r="AR107" s="1210">
        <v>0.61415197439046798</v>
      </c>
      <c r="AS107" s="1210">
        <v>0.61415197439046798</v>
      </c>
      <c r="AT107" s="1210">
        <v>0.49391772032458953</v>
      </c>
      <c r="AU107" s="1210">
        <v>0.26970466125684089</v>
      </c>
      <c r="AV107" s="1210">
        <f ca="1">Calc!BB5</f>
        <v>0.26618830322220155</v>
      </c>
      <c r="AW107" s="276"/>
      <c r="AX107" s="88" t="str">
        <f t="shared" ca="1" si="8"/>
        <v>AET</v>
      </c>
      <c r="AY107" t="s">
        <v>2502</v>
      </c>
      <c r="BA107" s="253">
        <f>ROW(A1697)</f>
        <v>1697</v>
      </c>
      <c r="CP107" s="276"/>
      <c r="EH107" s="110"/>
    </row>
    <row r="108" spans="1:248">
      <c r="A108" s="241" t="str">
        <f t="shared" ca="1" si="7"/>
        <v>AMZN</v>
      </c>
      <c r="B108" s="250" t="str">
        <f ca="1">[1]ExtEntry!$D6</f>
        <v>USD</v>
      </c>
      <c r="C108" s="251"/>
      <c r="D108" s="841">
        <f>ROW()</f>
        <v>108</v>
      </c>
      <c r="E108" s="252"/>
      <c r="F108" s="253">
        <v>219.94</v>
      </c>
      <c r="G108" s="253">
        <v>222.03</v>
      </c>
      <c r="H108" s="253">
        <v>217.36</v>
      </c>
      <c r="I108" s="253">
        <v>221.01</v>
      </c>
      <c r="J108" s="253">
        <v>223.44</v>
      </c>
      <c r="K108" s="253">
        <v>220.88</v>
      </c>
      <c r="L108" s="253">
        <v>222.92</v>
      </c>
      <c r="M108" s="253">
        <v>224.995</v>
      </c>
      <c r="N108" s="253">
        <v>224.995</v>
      </c>
      <c r="O108" s="253">
        <v>217.5</v>
      </c>
      <c r="P108" s="253">
        <v>215.5</v>
      </c>
      <c r="Q108" s="253">
        <v>216.31</v>
      </c>
      <c r="R108" s="253">
        <v>215.67</v>
      </c>
      <c r="S108" s="253">
        <v>214.56</v>
      </c>
      <c r="T108" s="253">
        <v>213.88</v>
      </c>
      <c r="U108" s="253">
        <v>218.43</v>
      </c>
      <c r="V108" s="253">
        <v>219.3</v>
      </c>
      <c r="W108" s="253">
        <v>219.3</v>
      </c>
      <c r="X108" s="253">
        <v>219</v>
      </c>
      <c r="Y108" s="253">
        <v>221.97</v>
      </c>
      <c r="Z108" s="247">
        <f ca="1">[1]ExtEntry!$G6</f>
        <v>221.97</v>
      </c>
      <c r="AA108" s="277"/>
      <c r="AB108" s="1255">
        <v>0.48726660255424947</v>
      </c>
      <c r="AC108" s="1255">
        <v>1.1525927368726032</v>
      </c>
      <c r="AD108" s="1255">
        <v>1.0223634799340917</v>
      </c>
      <c r="AE108" s="1255">
        <v>0.94380405335090123</v>
      </c>
      <c r="AF108" s="1255">
        <v>0.9807419355180127</v>
      </c>
      <c r="AG108" s="1255">
        <v>0.68467105858958432</v>
      </c>
      <c r="AH108" s="1255">
        <v>1.0309924378960396</v>
      </c>
      <c r="AI108" s="1255">
        <v>1.0092612784550983</v>
      </c>
      <c r="AJ108" s="1255">
        <v>2.4891146986118595E-3</v>
      </c>
      <c r="AK108" s="1255">
        <v>0.79546193457259129</v>
      </c>
      <c r="AL108" s="1255">
        <v>0.94732269094894184</v>
      </c>
      <c r="AM108" s="1255">
        <v>0.76307702905125563</v>
      </c>
      <c r="AN108" s="1255">
        <v>0.89533238299505757</v>
      </c>
      <c r="AO108" s="1255">
        <v>0.97221744725581261</v>
      </c>
      <c r="AP108" s="1255">
        <v>0.79809917993253798</v>
      </c>
      <c r="AQ108" s="1255">
        <v>1.015253951189238</v>
      </c>
      <c r="AR108" s="1255">
        <v>0.90204044987612564</v>
      </c>
      <c r="AS108" s="1255">
        <v>0.90220558528560924</v>
      </c>
      <c r="AT108" s="1255">
        <v>0.64920445918256142</v>
      </c>
      <c r="AU108" s="1255">
        <v>0.80093660307369696</v>
      </c>
      <c r="AV108" s="1210">
        <f ca="1">Calc!BB6</f>
        <v>0.80389560397611193</v>
      </c>
      <c r="AW108" s="279"/>
      <c r="AX108" s="88" t="str">
        <f t="shared" ca="1" si="8"/>
        <v>AMZN</v>
      </c>
      <c r="BA108" s="253">
        <v>1886</v>
      </c>
      <c r="CP108" s="277"/>
      <c r="EH108" s="110"/>
    </row>
    <row r="109" spans="1:248">
      <c r="A109" s="241" t="str">
        <f t="shared" ca="1" si="7"/>
        <v>ALDNE</v>
      </c>
      <c r="B109" s="242" t="str">
        <f ca="1">[1]ExtEntry!$D7</f>
        <v>EUR</v>
      </c>
      <c r="C109" s="243"/>
      <c r="D109" s="1202">
        <f>ROW()</f>
        <v>109</v>
      </c>
      <c r="E109" s="244"/>
      <c r="F109" s="245">
        <v>0.8</v>
      </c>
      <c r="G109" s="245">
        <v>0.85</v>
      </c>
      <c r="H109" s="245">
        <v>0.84</v>
      </c>
      <c r="I109" s="245">
        <v>0.87</v>
      </c>
      <c r="J109" s="245">
        <v>0.86799999999999999</v>
      </c>
      <c r="K109" s="245">
        <v>0.84</v>
      </c>
      <c r="L109" s="245">
        <v>0.82199999999999995</v>
      </c>
      <c r="M109" s="245">
        <v>0.84</v>
      </c>
      <c r="N109" s="245">
        <v>0.82199999999999995</v>
      </c>
      <c r="O109" s="245">
        <v>0.83799999999999997</v>
      </c>
      <c r="P109" s="245">
        <v>0.83599999999999997</v>
      </c>
      <c r="Q109" s="245">
        <v>0.82</v>
      </c>
      <c r="R109" s="245">
        <v>0.82</v>
      </c>
      <c r="S109" s="245">
        <v>0.82799999999999996</v>
      </c>
      <c r="T109" s="245">
        <v>0.81</v>
      </c>
      <c r="U109" s="245">
        <v>0.81</v>
      </c>
      <c r="V109" s="245">
        <v>0.82</v>
      </c>
      <c r="W109" s="245">
        <v>0.82</v>
      </c>
      <c r="X109" s="245">
        <v>0.84</v>
      </c>
      <c r="Y109" s="245">
        <v>0.82</v>
      </c>
      <c r="Z109" s="247">
        <f ca="1">[1]ExtEntry!$G7</f>
        <v>0.82</v>
      </c>
      <c r="AA109" s="277"/>
      <c r="AB109" s="1210">
        <v>0.21026119402985075</v>
      </c>
      <c r="AC109" s="1210">
        <v>0.78321033210332103</v>
      </c>
      <c r="AD109" s="1210">
        <v>0.60409356725146202</v>
      </c>
      <c r="AE109" s="1210">
        <v>0.89696394686907022</v>
      </c>
      <c r="AF109" s="1210">
        <v>0.93548387096774188</v>
      </c>
      <c r="AG109" s="1210">
        <v>0.23984374999999999</v>
      </c>
      <c r="AH109" s="1210">
        <v>0.41233140655105971</v>
      </c>
      <c r="AI109" s="1210">
        <v>0.24022038567493112</v>
      </c>
      <c r="AJ109" s="1210">
        <v>0.20495867768595041</v>
      </c>
      <c r="AK109" s="1210">
        <v>0.62363013698630132</v>
      </c>
      <c r="AL109" s="1210">
        <v>0.19280821917808219</v>
      </c>
      <c r="AM109" s="1210">
        <v>1.2678929765886289</v>
      </c>
      <c r="AN109" s="1210">
        <v>0.38364312267657991</v>
      </c>
      <c r="AO109" s="1210">
        <v>0.51637931034482754</v>
      </c>
      <c r="AP109" s="1210">
        <v>2.8112820512820513</v>
      </c>
      <c r="AQ109" s="1210">
        <v>18.112820512820512</v>
      </c>
      <c r="AR109" s="1210">
        <v>2.5646017699115045</v>
      </c>
      <c r="AS109" s="1210">
        <v>2.5646017699115045</v>
      </c>
      <c r="AT109" s="1210">
        <v>0.39964726631393299</v>
      </c>
      <c r="AU109" s="1210">
        <v>1.8546737213403881</v>
      </c>
      <c r="AV109" s="1210">
        <f ca="1">Calc!BB7</f>
        <v>1.7439469320066334</v>
      </c>
      <c r="AW109" s="279"/>
      <c r="AX109" s="88" t="str">
        <f t="shared" ca="1" si="8"/>
        <v>ALDNE</v>
      </c>
      <c r="BA109" s="253">
        <v>1985</v>
      </c>
      <c r="CP109" s="277"/>
      <c r="EH109" s="110"/>
    </row>
    <row r="110" spans="1:248">
      <c r="A110" s="241" t="str">
        <f t="shared" ca="1" si="7"/>
        <v>ASML</v>
      </c>
      <c r="B110" s="250" t="str">
        <f ca="1">[1]ExtEntry!$D8</f>
        <v>EUR</v>
      </c>
      <c r="C110" s="251"/>
      <c r="D110" s="841">
        <f>ROW()</f>
        <v>110</v>
      </c>
      <c r="E110" s="252"/>
      <c r="F110" s="253">
        <v>820.9</v>
      </c>
      <c r="G110" s="253">
        <v>825</v>
      </c>
      <c r="H110" s="253">
        <v>818</v>
      </c>
      <c r="I110" s="253">
        <v>859.9</v>
      </c>
      <c r="J110" s="253">
        <v>869.2</v>
      </c>
      <c r="K110" s="253">
        <v>889.9</v>
      </c>
      <c r="L110" s="253">
        <v>850</v>
      </c>
      <c r="M110" s="253">
        <v>850.8</v>
      </c>
      <c r="N110" s="253">
        <v>845.1</v>
      </c>
      <c r="O110" s="253">
        <v>823.2</v>
      </c>
      <c r="P110" s="253">
        <v>834.7</v>
      </c>
      <c r="Q110" s="253">
        <v>875.6</v>
      </c>
      <c r="R110" s="253">
        <v>883.7</v>
      </c>
      <c r="S110" s="253">
        <v>859.6</v>
      </c>
      <c r="T110" s="253">
        <v>884</v>
      </c>
      <c r="U110" s="253">
        <v>890</v>
      </c>
      <c r="V110" s="253">
        <v>876.7</v>
      </c>
      <c r="W110" s="253">
        <v>876.7</v>
      </c>
      <c r="X110" s="253">
        <v>872</v>
      </c>
      <c r="Y110" s="253">
        <v>900</v>
      </c>
      <c r="Z110" s="247">
        <f ca="1">[1]ExtEntry!$G8</f>
        <v>900</v>
      </c>
      <c r="AA110" s="277"/>
      <c r="AB110" s="1255">
        <v>0.59236707549376733</v>
      </c>
      <c r="AC110" s="1255">
        <v>0.6366384832180374</v>
      </c>
      <c r="AD110" s="1255">
        <v>0.91347351844561264</v>
      </c>
      <c r="AE110" s="1255">
        <v>1.1533001230453117</v>
      </c>
      <c r="AF110" s="1255">
        <v>0.78368275812636634</v>
      </c>
      <c r="AG110" s="1255">
        <v>0.89831266224401496</v>
      </c>
      <c r="AH110" s="1255">
        <v>1.5464584920030464</v>
      </c>
      <c r="AI110" s="1255">
        <v>1.0812065688661876</v>
      </c>
      <c r="AJ110" s="1255">
        <v>0.24814102564102564</v>
      </c>
      <c r="AK110" s="1255">
        <v>1.0146557796154749</v>
      </c>
      <c r="AL110" s="1255">
        <v>0.9212649675214567</v>
      </c>
      <c r="AM110" s="1255">
        <v>1.4815572344549928</v>
      </c>
      <c r="AN110" s="1255">
        <v>0.87383194989810631</v>
      </c>
      <c r="AO110" s="1255">
        <v>1.0246818701744351</v>
      </c>
      <c r="AP110" s="1255">
        <v>0.63246115718234674</v>
      </c>
      <c r="AQ110" s="1255">
        <v>0.53697097512153269</v>
      </c>
      <c r="AR110" s="1255">
        <v>0.66238980546663384</v>
      </c>
      <c r="AS110" s="1255">
        <v>0.66238980546663384</v>
      </c>
      <c r="AT110" s="1255">
        <v>0.93860648829515581</v>
      </c>
      <c r="AU110" s="1255">
        <v>0.62959608538686995</v>
      </c>
      <c r="AV110" s="1210">
        <f ca="1">Calc!BB8</f>
        <v>0.67346169889261154</v>
      </c>
      <c r="AW110" s="279"/>
      <c r="AX110" s="88" t="str">
        <f t="shared" ca="1" si="8"/>
        <v>ASML</v>
      </c>
      <c r="BA110" s="253">
        <v>2084</v>
      </c>
      <c r="CP110" s="277"/>
      <c r="EH110" s="110"/>
    </row>
    <row r="111" spans="1:248">
      <c r="A111" s="241" t="str">
        <f t="shared" ca="1" si="7"/>
        <v>AZN</v>
      </c>
      <c r="B111" s="242" t="str">
        <f ca="1">[1]ExtEntry!$D11</f>
        <v>USD</v>
      </c>
      <c r="C111" s="243"/>
      <c r="D111" s="1202">
        <f>ROW()</f>
        <v>111</v>
      </c>
      <c r="E111" s="244"/>
      <c r="F111" s="253">
        <v>336.39</v>
      </c>
      <c r="G111" s="253">
        <v>330.12</v>
      </c>
      <c r="H111" s="253">
        <v>328.14499999999998</v>
      </c>
      <c r="I111" s="253">
        <v>347.61</v>
      </c>
      <c r="J111" s="253">
        <v>341.5</v>
      </c>
      <c r="K111" s="253">
        <v>337.02499999999998</v>
      </c>
      <c r="L111" s="253">
        <v>333.82</v>
      </c>
      <c r="M111" s="253">
        <v>345.75</v>
      </c>
      <c r="N111" s="253">
        <v>345.75</v>
      </c>
      <c r="O111" s="253">
        <v>352.96</v>
      </c>
      <c r="P111" s="253">
        <v>350.15</v>
      </c>
      <c r="Q111" s="253">
        <v>354.69</v>
      </c>
      <c r="R111" s="253">
        <v>356.8</v>
      </c>
      <c r="S111" s="253">
        <v>349.61</v>
      </c>
      <c r="T111" s="253">
        <v>353.8</v>
      </c>
      <c r="U111" s="253">
        <v>350</v>
      </c>
      <c r="V111" s="253">
        <v>347.3</v>
      </c>
      <c r="W111" s="253">
        <v>347.3</v>
      </c>
      <c r="X111" s="253">
        <v>340.4</v>
      </c>
      <c r="Y111" s="253">
        <v>352.51</v>
      </c>
      <c r="Z111" s="247">
        <f ca="1">[1]ExtEntry!$G9</f>
        <v>83.45</v>
      </c>
      <c r="AA111" s="277"/>
      <c r="AB111" s="1255">
        <v>0.30968070241037315</v>
      </c>
      <c r="AC111" s="1255">
        <v>0.70753077181072321</v>
      </c>
      <c r="AD111" s="1255">
        <v>0.73836777914155716</v>
      </c>
      <c r="AE111" s="1255">
        <v>0.70015586573005784</v>
      </c>
      <c r="AF111" s="1255">
        <v>0.51428711700345742</v>
      </c>
      <c r="AG111" s="1255">
        <v>0.63776429662332179</v>
      </c>
      <c r="AH111" s="1255">
        <v>0.75881902422532099</v>
      </c>
      <c r="AI111" s="1255">
        <v>0.6208601679881427</v>
      </c>
      <c r="AJ111" s="1255">
        <v>3.1332120227757338E-3</v>
      </c>
      <c r="AK111" s="1255">
        <v>1.6729233379582078</v>
      </c>
      <c r="AL111" s="1255">
        <v>0.80216446760711146</v>
      </c>
      <c r="AM111" s="1255">
        <v>0.55451763111355123</v>
      </c>
      <c r="AN111" s="1255">
        <v>0.80853902009610334</v>
      </c>
      <c r="AO111" s="1255">
        <v>0.86132830987641518</v>
      </c>
      <c r="AP111" s="1255">
        <v>0.65379784733096658</v>
      </c>
      <c r="AQ111" s="1255">
        <v>0.63751111342154199</v>
      </c>
      <c r="AR111" s="1255">
        <v>0.79592749244558147</v>
      </c>
      <c r="AS111" s="1255">
        <v>0.79597652339876246</v>
      </c>
      <c r="AT111" s="1255">
        <v>0.57076066215276466</v>
      </c>
      <c r="AU111" s="1255">
        <v>0.73545962785661001</v>
      </c>
      <c r="AV111" s="1210">
        <f ca="1">Calc!BB9</f>
        <v>0.4078571579102292</v>
      </c>
      <c r="AW111" s="279"/>
      <c r="AX111" s="88" t="str">
        <f t="shared" ca="1" si="8"/>
        <v>AZN</v>
      </c>
      <c r="BA111" s="253">
        <v>2183</v>
      </c>
      <c r="CP111" s="277"/>
      <c r="EH111" s="110"/>
    </row>
    <row r="112" spans="1:248" hidden="1">
      <c r="A112" s="241" t="str">
        <f t="shared" ca="1" si="7"/>
        <v>BLDP</v>
      </c>
      <c r="B112" s="250" t="str">
        <f ca="1">[1]ExtEntry!$D12</f>
        <v>USD</v>
      </c>
      <c r="C112" s="251"/>
      <c r="D112" s="841">
        <f>ROW()</f>
        <v>112</v>
      </c>
      <c r="E112" s="252"/>
      <c r="F112" s="253">
        <v>74.19</v>
      </c>
      <c r="G112" s="253">
        <v>74.430000000000007</v>
      </c>
      <c r="H112" s="253">
        <v>81.034999999999997</v>
      </c>
      <c r="I112" s="253">
        <v>83.4</v>
      </c>
      <c r="J112" s="253">
        <v>84.3</v>
      </c>
      <c r="K112" s="253">
        <v>85.42</v>
      </c>
      <c r="L112" s="253">
        <v>86.35</v>
      </c>
      <c r="M112" s="253">
        <v>85.9</v>
      </c>
      <c r="N112" s="253">
        <v>85.9</v>
      </c>
      <c r="O112" s="253">
        <v>84.34</v>
      </c>
      <c r="P112" s="253">
        <v>84.56</v>
      </c>
      <c r="Q112" s="253">
        <v>83.53</v>
      </c>
      <c r="R112" s="253">
        <v>83.52</v>
      </c>
      <c r="S112" s="253">
        <v>83.834999999999994</v>
      </c>
      <c r="T112" s="253">
        <v>84.86</v>
      </c>
      <c r="U112" s="253">
        <v>83.84</v>
      </c>
      <c r="V112" s="253">
        <v>83.45</v>
      </c>
      <c r="W112" s="253">
        <v>83.45</v>
      </c>
      <c r="X112" s="253">
        <v>83.17</v>
      </c>
      <c r="Y112" s="253">
        <v>83.45</v>
      </c>
      <c r="Z112" s="247">
        <f ca="1">[1]ExtEntry!$G10</f>
        <v>3.38</v>
      </c>
      <c r="AA112" s="277"/>
      <c r="AB112" s="1255">
        <v>0.8283652274922102</v>
      </c>
      <c r="AC112" s="1255">
        <v>1.9677971237753069</v>
      </c>
      <c r="AD112" s="1255">
        <v>3.5448177237561902</v>
      </c>
      <c r="AE112" s="1255">
        <v>1.227354701454207</v>
      </c>
      <c r="AF112" s="1255">
        <v>1.3144845989344098</v>
      </c>
      <c r="AG112" s="1255">
        <v>0.73986907862738882</v>
      </c>
      <c r="AH112" s="1255">
        <v>1.3965951761515101</v>
      </c>
      <c r="AI112" s="1255">
        <v>1.8797129223989613</v>
      </c>
      <c r="AJ112" s="1255">
        <v>8.4298399798080732E-4</v>
      </c>
      <c r="AK112" s="1255">
        <v>1.0737376100429734</v>
      </c>
      <c r="AL112" s="1255">
        <v>0.85264563029176133</v>
      </c>
      <c r="AM112" s="1255">
        <v>0.57689105706104093</v>
      </c>
      <c r="AN112" s="1255">
        <v>0.73687209526747599</v>
      </c>
      <c r="AO112" s="1255">
        <v>0.52712289405301316</v>
      </c>
      <c r="AP112" s="1255">
        <v>0.8536911725936368</v>
      </c>
      <c r="AQ112" s="1255">
        <v>0.95222591345228724</v>
      </c>
      <c r="AR112" s="1255">
        <v>0.54512429566236764</v>
      </c>
      <c r="AS112" s="1255">
        <v>0.54512429566236764</v>
      </c>
      <c r="AT112" s="1255">
        <v>0.36231390855907697</v>
      </c>
      <c r="AU112" s="1255">
        <v>0.40783556958149653</v>
      </c>
      <c r="AV112" s="1265">
        <f ca="1">Calc!BB10</f>
        <v>0.56929470019675199</v>
      </c>
      <c r="AW112" s="279"/>
      <c r="AX112" s="88" t="str">
        <f t="shared" ca="1" si="8"/>
        <v>BLDP</v>
      </c>
      <c r="BA112" s="253">
        <v>2282</v>
      </c>
      <c r="CP112" s="277"/>
      <c r="EH112" s="110"/>
    </row>
    <row r="113" spans="1:138" hidden="1">
      <c r="A113" s="241" t="str">
        <f t="shared" ca="1" si="7"/>
        <v>BMRA</v>
      </c>
      <c r="B113" s="242" t="str">
        <f ca="1">[1]ExtEntry!$D13</f>
        <v>USD</v>
      </c>
      <c r="C113" s="243"/>
      <c r="D113" s="1202">
        <f>ROW()</f>
        <v>113</v>
      </c>
      <c r="E113" s="244"/>
      <c r="F113" s="253">
        <v>2.76</v>
      </c>
      <c r="G113" s="253">
        <v>2.68</v>
      </c>
      <c r="H113" s="253">
        <v>2.74</v>
      </c>
      <c r="I113" s="253">
        <v>2.97</v>
      </c>
      <c r="J113" s="253">
        <v>2.96</v>
      </c>
      <c r="K113" s="253">
        <v>3.63</v>
      </c>
      <c r="L113" s="253">
        <v>3.59</v>
      </c>
      <c r="M113" s="253">
        <v>3.52</v>
      </c>
      <c r="N113" s="253">
        <v>3.52</v>
      </c>
      <c r="O113" s="253">
        <v>3.45</v>
      </c>
      <c r="P113" s="253">
        <v>3.35</v>
      </c>
      <c r="Q113" s="253">
        <v>4.01</v>
      </c>
      <c r="R113" s="253">
        <v>3.86</v>
      </c>
      <c r="S113" s="253">
        <v>3.54</v>
      </c>
      <c r="T113" s="253">
        <v>3.72</v>
      </c>
      <c r="U113" s="253">
        <v>3.64</v>
      </c>
      <c r="V113" s="253">
        <v>3.15</v>
      </c>
      <c r="W113" s="253">
        <v>3.15</v>
      </c>
      <c r="X113" s="253">
        <v>3.2650000000000001</v>
      </c>
      <c r="Y113" s="253">
        <v>3.38</v>
      </c>
      <c r="Z113" s="247">
        <f ca="1">[1]ExtEntry!$G11</f>
        <v>2.9</v>
      </c>
      <c r="AA113" s="277"/>
      <c r="AB113" s="1255">
        <v>0.89597967467227368</v>
      </c>
      <c r="AC113" s="1255">
        <v>1.1135808583437472</v>
      </c>
      <c r="AD113" s="1255">
        <v>1.4582475280690101</v>
      </c>
      <c r="AE113" s="1255">
        <v>0.89727061108701123</v>
      </c>
      <c r="AF113" s="1255">
        <v>2.9149620524903859</v>
      </c>
      <c r="AG113" s="1255">
        <v>1.577486906917333</v>
      </c>
      <c r="AH113" s="1255">
        <v>1.0094409496049843</v>
      </c>
      <c r="AI113" s="1255">
        <v>0.98030834231175079</v>
      </c>
      <c r="AJ113" s="1255">
        <v>2.258696833676457E-3</v>
      </c>
      <c r="AK113" s="1255">
        <v>0.85799295288672783</v>
      </c>
      <c r="AL113" s="1255">
        <v>1.5514271573646514</v>
      </c>
      <c r="AM113" s="1255">
        <v>0.89121284358231889</v>
      </c>
      <c r="AN113" s="1255">
        <v>0.73939403349519239</v>
      </c>
      <c r="AO113" s="1255">
        <v>0.76126302878191787</v>
      </c>
      <c r="AP113" s="1255">
        <v>0.64564488925847696</v>
      </c>
      <c r="AQ113" s="1255">
        <v>0.66233479003030804</v>
      </c>
      <c r="AR113" s="1255">
        <v>0.87384978754815712</v>
      </c>
      <c r="AS113" s="1255">
        <v>0.87385057262587107</v>
      </c>
      <c r="AT113" s="1255">
        <v>0.53149565957757405</v>
      </c>
      <c r="AU113" s="1255">
        <v>0.56891564421659602</v>
      </c>
      <c r="AV113" s="1265">
        <f ca="1">Calc!BB11</f>
        <v>0.12168445010747878</v>
      </c>
      <c r="AW113" s="279"/>
      <c r="AX113" s="88" t="str">
        <f t="shared" ca="1" si="8"/>
        <v>BMRA</v>
      </c>
      <c r="BA113" s="253">
        <v>2381</v>
      </c>
      <c r="CP113" s="277"/>
      <c r="EH113" s="110"/>
    </row>
    <row r="114" spans="1:138" hidden="1">
      <c r="A114" s="241" t="str">
        <f t="shared" ca="1" si="7"/>
        <v>C</v>
      </c>
      <c r="B114" s="250" t="str">
        <f ca="1">[1]ExtEntry!$D14</f>
        <v>USD</v>
      </c>
      <c r="C114" s="251"/>
      <c r="D114" s="841">
        <f>ROW()</f>
        <v>114</v>
      </c>
      <c r="E114" s="252"/>
      <c r="F114" s="253">
        <v>2.85</v>
      </c>
      <c r="G114" s="253">
        <v>2.8050000000000002</v>
      </c>
      <c r="H114" s="253">
        <v>2.7675000000000001</v>
      </c>
      <c r="I114" s="253">
        <v>2.7650000000000001</v>
      </c>
      <c r="J114" s="253">
        <v>2.73</v>
      </c>
      <c r="K114" s="253">
        <v>2.89</v>
      </c>
      <c r="L114" s="253">
        <v>2.81</v>
      </c>
      <c r="M114" s="253">
        <v>2.9</v>
      </c>
      <c r="N114" s="253">
        <v>2.9</v>
      </c>
      <c r="O114" s="253">
        <v>2.76</v>
      </c>
      <c r="P114" s="253">
        <v>2.78</v>
      </c>
      <c r="Q114" s="253">
        <v>2.84</v>
      </c>
      <c r="R114" s="253">
        <v>2.6850000000000001</v>
      </c>
      <c r="S114" s="253">
        <v>2.96</v>
      </c>
      <c r="T114" s="253">
        <v>3.01</v>
      </c>
      <c r="U114" s="253">
        <v>3.12</v>
      </c>
      <c r="V114" s="253">
        <v>3.1871</v>
      </c>
      <c r="W114" s="253">
        <v>3.1871</v>
      </c>
      <c r="X114" s="253">
        <v>2.93</v>
      </c>
      <c r="Y114" s="253">
        <v>2.9</v>
      </c>
      <c r="Z114" s="247">
        <f ca="1">[1]ExtEntry!$G12</f>
        <v>97.385000000000005</v>
      </c>
      <c r="AA114" s="277"/>
      <c r="AB114" s="1255">
        <v>5.0609239744072262E-2</v>
      </c>
      <c r="AC114" s="1255">
        <v>5.4382688182512913E-2</v>
      </c>
      <c r="AD114" s="1255">
        <v>0.11209887507400829</v>
      </c>
      <c r="AE114" s="1255">
        <v>9.7105832814399662E-2</v>
      </c>
      <c r="AF114" s="1255">
        <v>0.13849302292425314</v>
      </c>
      <c r="AG114" s="1255">
        <v>7.5358263024647071E-2</v>
      </c>
      <c r="AH114" s="1255">
        <v>8.0831498010123251E-2</v>
      </c>
      <c r="AI114" s="1255">
        <v>0.49911429898942966</v>
      </c>
      <c r="AJ114" s="1255">
        <v>0.49911429898942966</v>
      </c>
      <c r="AK114" s="1255">
        <v>0.4524304795270418</v>
      </c>
      <c r="AL114" s="1255">
        <v>1.1737423364407491</v>
      </c>
      <c r="AM114" s="1255">
        <v>0.49645097634965984</v>
      </c>
      <c r="AN114" s="1255">
        <v>123.89530412667656</v>
      </c>
      <c r="AO114" s="1255">
        <v>0.61085988980211225</v>
      </c>
      <c r="AP114" s="1255">
        <v>0.62386259839179026</v>
      </c>
      <c r="AQ114" s="1255">
        <v>0.21131875466216482</v>
      </c>
      <c r="AR114" s="1255">
        <v>0.414327884742477</v>
      </c>
      <c r="AS114" s="1255">
        <v>0.41722107180097223</v>
      </c>
      <c r="AT114" s="1255">
        <v>9.5077810806084975E-2</v>
      </c>
      <c r="AU114" s="1255">
        <v>0.12064370544007937</v>
      </c>
      <c r="AV114" s="1265">
        <f ca="1">Calc!BB12</f>
        <v>0.82499260016945075</v>
      </c>
      <c r="AW114" s="279"/>
      <c r="AX114" s="88" t="str">
        <f t="shared" ca="1" si="8"/>
        <v>C</v>
      </c>
      <c r="BA114" s="253">
        <v>2480</v>
      </c>
      <c r="CP114" s="277"/>
      <c r="EH114" s="110"/>
    </row>
    <row r="115" spans="1:138" hidden="1">
      <c r="A115" s="241" t="str">
        <f t="shared" ca="1" si="7"/>
        <v>CSCO</v>
      </c>
      <c r="B115" s="242" t="str">
        <f ca="1">[1]ExtEntry!$D15</f>
        <v>USD</v>
      </c>
      <c r="C115" s="243"/>
      <c r="D115" s="1202">
        <f>ROW()</f>
        <v>115</v>
      </c>
      <c r="E115" s="244"/>
      <c r="F115" s="253">
        <v>104.22</v>
      </c>
      <c r="G115" s="253">
        <v>103.095</v>
      </c>
      <c r="H115" s="253">
        <v>100.94</v>
      </c>
      <c r="I115" s="253">
        <v>99.08</v>
      </c>
      <c r="J115" s="253">
        <v>97.34</v>
      </c>
      <c r="K115" s="253">
        <v>98.444999999999993</v>
      </c>
      <c r="L115" s="253">
        <v>98.19</v>
      </c>
      <c r="M115" s="253">
        <v>97.02</v>
      </c>
      <c r="N115" s="253">
        <v>97.02</v>
      </c>
      <c r="O115" s="253">
        <v>95.61</v>
      </c>
      <c r="P115" s="253">
        <v>95.47</v>
      </c>
      <c r="Q115" s="253">
        <v>101.09</v>
      </c>
      <c r="R115" s="253">
        <v>100.21</v>
      </c>
      <c r="S115" s="253">
        <v>96.204999999999998</v>
      </c>
      <c r="T115" s="253">
        <v>97.465000000000003</v>
      </c>
      <c r="U115" s="253">
        <v>98.924999999999997</v>
      </c>
      <c r="V115" s="253">
        <v>98.19</v>
      </c>
      <c r="W115" s="253">
        <v>98.19</v>
      </c>
      <c r="X115" s="253">
        <v>96.814999999999998</v>
      </c>
      <c r="Y115" s="253">
        <v>97.385000000000005</v>
      </c>
      <c r="Z115" s="247">
        <f ca="1">[1]ExtEntry!$G13</f>
        <v>70.635000000000005</v>
      </c>
      <c r="AA115" s="277"/>
      <c r="AB115" s="1255">
        <v>0.36203657256752914</v>
      </c>
      <c r="AC115" s="1255">
        <v>1.3847273685552373</v>
      </c>
      <c r="AD115" s="1255">
        <v>1.0319395504795021</v>
      </c>
      <c r="AE115" s="1255">
        <v>1.0906048416682002</v>
      </c>
      <c r="AF115" s="1255">
        <v>1.0321605772728237</v>
      </c>
      <c r="AG115" s="1255">
        <v>0.62492852610072003</v>
      </c>
      <c r="AH115" s="1255">
        <v>0.6352420576057981</v>
      </c>
      <c r="AI115" s="1255">
        <v>0.8596377780042288</v>
      </c>
      <c r="AJ115" s="1255">
        <v>3.2374545023106246E-4</v>
      </c>
      <c r="AK115" s="1255">
        <v>1.3729851952686778</v>
      </c>
      <c r="AL115" s="1255">
        <v>2.4140723563409954</v>
      </c>
      <c r="AM115" s="1255">
        <v>0.8825744736162493</v>
      </c>
      <c r="AN115" s="1255">
        <v>1.4168334603509216</v>
      </c>
      <c r="AO115" s="1255">
        <v>0.96946530439533352</v>
      </c>
      <c r="AP115" s="1255">
        <v>0.76341975204250734</v>
      </c>
      <c r="AQ115" s="1255">
        <v>0.62057464446164723</v>
      </c>
      <c r="AR115" s="1255">
        <v>0.97318446620920207</v>
      </c>
      <c r="AS115" s="1255">
        <v>0.97318467270014852</v>
      </c>
      <c r="AT115" s="1255">
        <v>0.56342415209949348</v>
      </c>
      <c r="AU115" s="1255">
        <v>0.81580242414209403</v>
      </c>
      <c r="AV115" s="1265">
        <f ca="1">Calc!BB13</f>
        <v>0.69410491809962072</v>
      </c>
      <c r="AW115" s="279"/>
      <c r="AX115" s="88" t="str">
        <f t="shared" ca="1" si="8"/>
        <v>CSCO</v>
      </c>
      <c r="BA115" s="253">
        <v>2579</v>
      </c>
      <c r="CP115" s="277"/>
      <c r="EH115" s="110"/>
    </row>
    <row r="116" spans="1:138" hidden="1">
      <c r="A116" s="241" t="str">
        <f t="shared" ca="1" si="7"/>
        <v>CVS</v>
      </c>
      <c r="B116" s="250" t="str">
        <f ca="1">[1]ExtEntry!$D16</f>
        <v>USD</v>
      </c>
      <c r="C116" s="251"/>
      <c r="D116" s="841">
        <f>ROW()</f>
        <v>116</v>
      </c>
      <c r="E116" s="252"/>
      <c r="F116" s="253">
        <v>67.790000000000006</v>
      </c>
      <c r="G116" s="253">
        <v>67.704999999999998</v>
      </c>
      <c r="H116" s="253">
        <v>67.900000000000006</v>
      </c>
      <c r="I116" s="253">
        <v>69.174999999999997</v>
      </c>
      <c r="J116" s="253">
        <v>67.95</v>
      </c>
      <c r="K116" s="253">
        <v>68.915000000000006</v>
      </c>
      <c r="L116" s="253">
        <v>69.81</v>
      </c>
      <c r="M116" s="253">
        <v>70.31</v>
      </c>
      <c r="N116" s="253">
        <v>70.31</v>
      </c>
      <c r="O116" s="253">
        <v>68.53</v>
      </c>
      <c r="P116" s="253">
        <v>67.010000000000005</v>
      </c>
      <c r="Q116" s="253">
        <v>69.17</v>
      </c>
      <c r="R116" s="253">
        <v>69.78</v>
      </c>
      <c r="S116" s="253">
        <v>69.06</v>
      </c>
      <c r="T116" s="253">
        <v>70.12</v>
      </c>
      <c r="U116" s="253">
        <v>70.58</v>
      </c>
      <c r="V116" s="253">
        <v>70.86</v>
      </c>
      <c r="W116" s="253">
        <v>70.86</v>
      </c>
      <c r="X116" s="253">
        <v>70.599999999999994</v>
      </c>
      <c r="Y116" s="253">
        <v>70.635000000000005</v>
      </c>
      <c r="Z116" s="247">
        <f ca="1">[1]ExtEntry!$G14</f>
        <v>81.52</v>
      </c>
      <c r="AA116" s="277"/>
      <c r="AB116" s="1255">
        <v>0.26844545051736662</v>
      </c>
      <c r="AC116" s="1255">
        <v>1.1084249387843803</v>
      </c>
      <c r="AD116" s="1255">
        <v>0.82439297801057088</v>
      </c>
      <c r="AE116" s="1255">
        <v>0.85618128431094598</v>
      </c>
      <c r="AF116" s="1255">
        <v>0.6032615244896713</v>
      </c>
      <c r="AG116" s="1255">
        <v>0.89079459811465034</v>
      </c>
      <c r="AH116" s="1255">
        <v>1.8593208588692522</v>
      </c>
      <c r="AI116" s="1255">
        <v>1.1037602761124676</v>
      </c>
      <c r="AJ116" s="1255">
        <v>3.0102072207287148E-4</v>
      </c>
      <c r="AK116" s="1255">
        <v>0.72308457725233799</v>
      </c>
      <c r="AL116" s="1255">
        <v>0.73044471084879892</v>
      </c>
      <c r="AM116" s="1255">
        <v>0.48667546794322358</v>
      </c>
      <c r="AN116" s="1255">
        <v>0.70748798961228643</v>
      </c>
      <c r="AO116" s="1255">
        <v>0.83297563355667836</v>
      </c>
      <c r="AP116" s="1255">
        <v>0.6235406940957775</v>
      </c>
      <c r="AQ116" s="1255">
        <v>0.81338717372499358</v>
      </c>
      <c r="AR116" s="1255">
        <v>0.77829062859573483</v>
      </c>
      <c r="AS116" s="1255">
        <v>0.77833481973087859</v>
      </c>
      <c r="AT116" s="1255">
        <v>0.76463055642963029</v>
      </c>
      <c r="AU116" s="1255">
        <v>0.69374426425554125</v>
      </c>
      <c r="AV116" s="1265">
        <f ca="1">Calc!BB14</f>
        <v>0.76801882949153322</v>
      </c>
      <c r="AW116" s="279"/>
      <c r="AX116" s="88" t="str">
        <f t="shared" ca="1" si="8"/>
        <v>CVS</v>
      </c>
      <c r="BA116" s="253">
        <v>2678</v>
      </c>
      <c r="CP116" s="277"/>
      <c r="EH116" s="110"/>
    </row>
    <row r="117" spans="1:138" hidden="1">
      <c r="A117" s="241" t="str">
        <f t="shared" ca="1" si="7"/>
        <v>DDD</v>
      </c>
      <c r="B117" s="242" t="str">
        <f ca="1">[1]ExtEntry!$D17</f>
        <v>EUR</v>
      </c>
      <c r="C117" s="243"/>
      <c r="D117" s="1202">
        <f>ROW()</f>
        <v>117</v>
      </c>
      <c r="E117" s="244"/>
      <c r="F117" s="253">
        <v>75.400000000000006</v>
      </c>
      <c r="G117" s="253">
        <v>75.23</v>
      </c>
      <c r="H117" s="253">
        <v>75.3</v>
      </c>
      <c r="I117" s="253">
        <v>76.349999999999994</v>
      </c>
      <c r="J117" s="253">
        <v>77.45</v>
      </c>
      <c r="K117" s="253">
        <v>77.5</v>
      </c>
      <c r="L117" s="253">
        <v>77.349999999999994</v>
      </c>
      <c r="M117" s="253">
        <v>77.25</v>
      </c>
      <c r="N117" s="253">
        <v>77.25</v>
      </c>
      <c r="O117" s="253">
        <v>77.45</v>
      </c>
      <c r="P117" s="253">
        <v>78.3</v>
      </c>
      <c r="Q117" s="253">
        <v>79.98</v>
      </c>
      <c r="R117" s="253">
        <v>80.73</v>
      </c>
      <c r="S117" s="253">
        <v>81.400000000000006</v>
      </c>
      <c r="T117" s="253">
        <v>82.46</v>
      </c>
      <c r="U117" s="253">
        <v>82.36</v>
      </c>
      <c r="V117" s="253">
        <v>82.96</v>
      </c>
      <c r="W117" s="253">
        <v>82.96</v>
      </c>
      <c r="X117" s="253">
        <v>81.239999999999995</v>
      </c>
      <c r="Y117" s="253">
        <v>81.52</v>
      </c>
      <c r="Z117" s="247">
        <f ca="1">[1]ExtEntry!$G15</f>
        <v>3.18</v>
      </c>
      <c r="AA117" s="277"/>
      <c r="AB117" s="1255">
        <v>0.39411030362788757</v>
      </c>
      <c r="AC117" s="1255">
        <v>1.0217007371414868</v>
      </c>
      <c r="AD117" s="1255">
        <v>1.5316851230324677</v>
      </c>
      <c r="AE117" s="1255">
        <v>0.6563617881800351</v>
      </c>
      <c r="AF117" s="1255">
        <v>0.94129346293074301</v>
      </c>
      <c r="AG117" s="1255">
        <v>0.60755435763190968</v>
      </c>
      <c r="AH117" s="1255">
        <v>0.6834890223797182</v>
      </c>
      <c r="AI117" s="1255">
        <v>0.81109936618250622</v>
      </c>
      <c r="AJ117" s="1255">
        <v>1.607360074537918E-5</v>
      </c>
      <c r="AK117" s="1255">
        <v>0.86415070874579636</v>
      </c>
      <c r="AL117" s="1255">
        <v>1.2565254500172465</v>
      </c>
      <c r="AM117" s="1255">
        <v>0.585578409073232</v>
      </c>
      <c r="AN117" s="1255">
        <v>0.91157753100070571</v>
      </c>
      <c r="AO117" s="1255">
        <v>0.9511277027891395</v>
      </c>
      <c r="AP117" s="1255">
        <v>0.77681624909509983</v>
      </c>
      <c r="AQ117" s="1255">
        <v>0.85329448220896442</v>
      </c>
      <c r="AR117" s="1255">
        <v>0.87843111892721493</v>
      </c>
      <c r="AS117" s="1255">
        <v>0.87849413419100419</v>
      </c>
      <c r="AT117" s="1255">
        <v>0.81876217254205175</v>
      </c>
      <c r="AU117" s="1255">
        <v>0.7671670269382217</v>
      </c>
      <c r="AV117" s="1265">
        <f ca="1">Calc!BB15</f>
        <v>0.66744662603510774</v>
      </c>
      <c r="AW117" s="279"/>
      <c r="AX117" s="88" t="str">
        <f t="shared" ca="1" si="8"/>
        <v>DDD</v>
      </c>
      <c r="BA117" s="253">
        <v>2777</v>
      </c>
      <c r="CP117" s="277"/>
      <c r="EH117" s="110"/>
    </row>
    <row r="118" spans="1:138" hidden="1">
      <c r="A118" s="241" t="str">
        <f t="shared" ca="1" si="7"/>
        <v>DIS</v>
      </c>
      <c r="B118" s="250" t="str">
        <f ca="1">[1]ExtEntry!$D18</f>
        <v>USD</v>
      </c>
      <c r="C118" s="251"/>
      <c r="D118" s="841">
        <f>ROW()</f>
        <v>118</v>
      </c>
      <c r="E118" s="252"/>
      <c r="F118" s="253">
        <v>3.27</v>
      </c>
      <c r="G118" s="253">
        <v>2.95</v>
      </c>
      <c r="H118" s="253">
        <v>2.89</v>
      </c>
      <c r="I118" s="253">
        <v>2.94</v>
      </c>
      <c r="J118" s="253">
        <v>3.01</v>
      </c>
      <c r="K118" s="253">
        <v>3.17</v>
      </c>
      <c r="L118" s="253">
        <v>3.18</v>
      </c>
      <c r="M118" s="253">
        <v>3.28</v>
      </c>
      <c r="N118" s="253">
        <v>3.28</v>
      </c>
      <c r="O118" s="253">
        <v>3.01</v>
      </c>
      <c r="P118" s="253">
        <v>2.94</v>
      </c>
      <c r="Q118" s="253">
        <v>3.21</v>
      </c>
      <c r="R118" s="253">
        <v>3.31</v>
      </c>
      <c r="S118" s="253">
        <v>3.18</v>
      </c>
      <c r="T118" s="253">
        <v>3.24</v>
      </c>
      <c r="U118" s="253">
        <v>3.66</v>
      </c>
      <c r="V118" s="253">
        <v>3.37</v>
      </c>
      <c r="W118" s="253">
        <v>3.37</v>
      </c>
      <c r="X118" s="253">
        <v>3.08</v>
      </c>
      <c r="Y118" s="253">
        <v>3.18</v>
      </c>
      <c r="Z118" s="247">
        <f ca="1">[1]ExtEntry!$G16</f>
        <v>113.23</v>
      </c>
      <c r="AA118" s="277"/>
      <c r="AB118" s="1255">
        <v>1.0226394241983316</v>
      </c>
      <c r="AC118" s="1255">
        <v>1.0959401648213758</v>
      </c>
      <c r="AD118" s="1255">
        <v>0.68888273561923841</v>
      </c>
      <c r="AE118" s="1255">
        <v>1.0972538253620534</v>
      </c>
      <c r="AF118" s="1255">
        <v>1.4351651053846612</v>
      </c>
      <c r="AG118" s="1255">
        <v>2.0876865676272205</v>
      </c>
      <c r="AH118" s="1255">
        <v>0.97688192721519429</v>
      </c>
      <c r="AI118" s="1255">
        <v>1.0101029924812388</v>
      </c>
      <c r="AJ118" s="1255">
        <v>1.5309370908856782E-4</v>
      </c>
      <c r="AK118" s="1255">
        <v>0.90020863838029908</v>
      </c>
      <c r="AL118" s="1255">
        <v>0.6190723562989483</v>
      </c>
      <c r="AM118" s="1255">
        <v>0.64307343677691386</v>
      </c>
      <c r="AN118" s="1255">
        <v>1.0942968182263135</v>
      </c>
      <c r="AO118" s="1255">
        <v>0.82300357163750415</v>
      </c>
      <c r="AP118" s="1255">
        <v>1.5671814220431834</v>
      </c>
      <c r="AQ118" s="1255">
        <v>1.2154801258593895</v>
      </c>
      <c r="AR118" s="1255">
        <v>0.97920444289454789</v>
      </c>
      <c r="AS118" s="1255">
        <v>0.97921204565739195</v>
      </c>
      <c r="AT118" s="1255">
        <v>0.55260867669021085</v>
      </c>
      <c r="AU118" s="1255">
        <v>0.66203796015800986</v>
      </c>
      <c r="AV118" s="1265">
        <f ca="1">Calc!BB16</f>
        <v>0.69922147030240689</v>
      </c>
      <c r="AW118" s="279"/>
      <c r="AX118" s="88" t="str">
        <f t="shared" ca="1" si="8"/>
        <v>DIS</v>
      </c>
      <c r="BA118" s="253">
        <v>2876</v>
      </c>
      <c r="CP118" s="277"/>
      <c r="EH118" s="110"/>
    </row>
    <row r="119" spans="1:138" hidden="1">
      <c r="A119" s="241" t="str">
        <f t="shared" ca="1" si="7"/>
        <v>DSY</v>
      </c>
      <c r="B119" s="242" t="str">
        <f ca="1">[1]ExtEntry!$D19</f>
        <v>USD</v>
      </c>
      <c r="C119" s="243"/>
      <c r="D119" s="1202">
        <f>ROW()</f>
        <v>119</v>
      </c>
      <c r="E119" s="244"/>
      <c r="F119" s="253">
        <v>113.48</v>
      </c>
      <c r="G119" s="253">
        <v>114.53</v>
      </c>
      <c r="H119" s="253">
        <v>114.08</v>
      </c>
      <c r="I119" s="253">
        <v>112.97499999999999</v>
      </c>
      <c r="J119" s="253">
        <v>112.035</v>
      </c>
      <c r="K119" s="253">
        <v>112.63</v>
      </c>
      <c r="L119" s="253">
        <v>112.80500000000001</v>
      </c>
      <c r="M119" s="253">
        <v>111.82</v>
      </c>
      <c r="N119" s="253">
        <v>111.82</v>
      </c>
      <c r="O119" s="253">
        <v>110.16</v>
      </c>
      <c r="P119" s="253">
        <v>109.77</v>
      </c>
      <c r="Q119" s="253">
        <v>111.55</v>
      </c>
      <c r="R119" s="253">
        <v>111.79</v>
      </c>
      <c r="S119" s="253">
        <v>109.74</v>
      </c>
      <c r="T119" s="253">
        <v>111.03</v>
      </c>
      <c r="U119" s="253">
        <v>112.25</v>
      </c>
      <c r="V119" s="253">
        <v>114</v>
      </c>
      <c r="W119" s="253">
        <v>114</v>
      </c>
      <c r="X119" s="253">
        <v>113.17</v>
      </c>
      <c r="Y119" s="253">
        <v>113.23</v>
      </c>
      <c r="Z119" s="247">
        <f ca="1">[1]ExtEntry!$G17</f>
        <v>26.3</v>
      </c>
      <c r="AA119" s="277"/>
      <c r="AB119" s="1255">
        <v>0.41346545440982724</v>
      </c>
      <c r="AC119" s="1255">
        <v>1.1550299769093002</v>
      </c>
      <c r="AD119" s="1255">
        <v>1.1791646696353564</v>
      </c>
      <c r="AE119" s="1255">
        <v>1.0382794237080208</v>
      </c>
      <c r="AF119" s="1255">
        <v>0.83750720166140002</v>
      </c>
      <c r="AG119" s="1255">
        <v>0.62660727427071494</v>
      </c>
      <c r="AH119" s="1255">
        <v>0.8214907220884109</v>
      </c>
      <c r="AI119" s="1255">
        <v>0.75209997443630194</v>
      </c>
      <c r="AJ119" s="1255">
        <v>7.9585534651777979E-4</v>
      </c>
      <c r="AK119" s="1255">
        <v>0.81134767892391135</v>
      </c>
      <c r="AL119" s="1255">
        <v>0.85301167510938047</v>
      </c>
      <c r="AM119" s="1255">
        <v>0.50262524901304584</v>
      </c>
      <c r="AN119" s="1255">
        <v>0.8465237465149057</v>
      </c>
      <c r="AO119" s="1255">
        <v>1.1438019472378613</v>
      </c>
      <c r="AP119" s="1255">
        <v>0.88033970715874299</v>
      </c>
      <c r="AQ119" s="1255">
        <v>0.88166346203234114</v>
      </c>
      <c r="AR119" s="1255">
        <v>0.78694006290939056</v>
      </c>
      <c r="AS119" s="1255">
        <v>0.78694838836868952</v>
      </c>
      <c r="AT119" s="1255">
        <v>0.76978575783389658</v>
      </c>
      <c r="AU119" s="1255">
        <v>0.69813840971538321</v>
      </c>
      <c r="AV119" s="1265">
        <f ca="1">Calc!BB17</f>
        <v>2.1661298761699901</v>
      </c>
      <c r="AW119" s="279"/>
      <c r="AX119" s="88" t="str">
        <f t="shared" ca="1" si="8"/>
        <v>DSY</v>
      </c>
      <c r="BA119" s="253">
        <v>2975</v>
      </c>
      <c r="CP119" s="277"/>
      <c r="EH119" s="110"/>
    </row>
    <row r="120" spans="1:138" hidden="1">
      <c r="A120" s="241" t="str">
        <f t="shared" ca="1" si="7"/>
        <v>DVA</v>
      </c>
      <c r="B120" s="250" t="str">
        <f ca="1">[1]ExtEntry!$D20</f>
        <v>EUR</v>
      </c>
      <c r="C120" s="251"/>
      <c r="D120" s="841">
        <f>ROW()</f>
        <v>120</v>
      </c>
      <c r="E120" s="252"/>
      <c r="F120" s="253">
        <v>28.15</v>
      </c>
      <c r="G120" s="253">
        <v>28.28</v>
      </c>
      <c r="H120" s="253">
        <v>28.23</v>
      </c>
      <c r="I120" s="253">
        <v>28.54</v>
      </c>
      <c r="J120" s="253">
        <v>29.48</v>
      </c>
      <c r="K120" s="253">
        <v>29.35</v>
      </c>
      <c r="L120" s="253">
        <v>29</v>
      </c>
      <c r="M120" s="253">
        <v>28.83</v>
      </c>
      <c r="N120" s="253">
        <v>29.09</v>
      </c>
      <c r="O120" s="253">
        <v>28.5</v>
      </c>
      <c r="P120" s="253">
        <v>28.65</v>
      </c>
      <c r="Q120" s="253">
        <v>28.59</v>
      </c>
      <c r="R120" s="253">
        <v>28.83</v>
      </c>
      <c r="S120" s="253">
        <v>29.02</v>
      </c>
      <c r="T120" s="253">
        <v>29.45</v>
      </c>
      <c r="U120" s="253">
        <v>29.79</v>
      </c>
      <c r="V120" s="253">
        <v>30.05</v>
      </c>
      <c r="W120" s="253">
        <v>30.05</v>
      </c>
      <c r="X120" s="253">
        <v>26</v>
      </c>
      <c r="Y120" s="253">
        <v>26.3</v>
      </c>
      <c r="Z120" s="247">
        <f ca="1">[1]ExtEntry!$G18</f>
        <v>129.29</v>
      </c>
      <c r="AA120" s="277"/>
      <c r="AB120" s="1255">
        <v>0.70832393054718734</v>
      </c>
      <c r="AC120" s="1255">
        <v>0.86298022676233777</v>
      </c>
      <c r="AD120" s="1255">
        <v>0.81713734836816598</v>
      </c>
      <c r="AE120" s="1255">
        <v>0.93649513613077762</v>
      </c>
      <c r="AF120" s="1255">
        <v>0.79600791932477333</v>
      </c>
      <c r="AG120" s="1255">
        <v>0.90955111700605962</v>
      </c>
      <c r="AH120" s="1255">
        <v>0.74384021221814778</v>
      </c>
      <c r="AI120" s="1255">
        <v>0.74847641164470557</v>
      </c>
      <c r="AJ120" s="1255">
        <v>7.9689654240220592E-2</v>
      </c>
      <c r="AK120" s="1255">
        <v>0.872915092674316</v>
      </c>
      <c r="AL120" s="1255">
        <v>1.4749027360988527</v>
      </c>
      <c r="AM120" s="1255">
        <v>1.2615483322108398</v>
      </c>
      <c r="AN120" s="1255">
        <v>0.9765418502202643</v>
      </c>
      <c r="AO120" s="1255">
        <v>1.1551305544346169</v>
      </c>
      <c r="AP120" s="1255">
        <v>0.69999801538736328</v>
      </c>
      <c r="AQ120" s="1255">
        <v>0.9729700694888288</v>
      </c>
      <c r="AR120" s="1255">
        <v>1.2820478126657329</v>
      </c>
      <c r="AS120" s="1255">
        <v>1.2820478126657329</v>
      </c>
      <c r="AT120" s="1255">
        <v>5.2664647136247069</v>
      </c>
      <c r="AU120" s="1255">
        <v>2.2751021072770938</v>
      </c>
      <c r="AV120" s="1265">
        <f ca="1">Calc!BB18</f>
        <v>0.98065088856976168</v>
      </c>
      <c r="AW120" s="279"/>
      <c r="AX120" s="88" t="str">
        <f t="shared" ca="1" si="8"/>
        <v>DVA</v>
      </c>
      <c r="BA120" s="253">
        <v>3074</v>
      </c>
      <c r="CP120" s="277"/>
      <c r="EH120" s="110"/>
    </row>
    <row r="121" spans="1:138" hidden="1">
      <c r="A121" s="241" t="str">
        <f t="shared" ca="1" si="7"/>
        <v>DXC</v>
      </c>
      <c r="B121" s="242" t="str">
        <f ca="1">[1]ExtEntry!$D21</f>
        <v>USD</v>
      </c>
      <c r="C121" s="243"/>
      <c r="D121" s="1202">
        <f>ROW()</f>
        <v>121</v>
      </c>
      <c r="E121" s="244"/>
      <c r="F121" s="253">
        <v>130.72999999999999</v>
      </c>
      <c r="G121" s="253">
        <v>130.63999999999999</v>
      </c>
      <c r="H121" s="253">
        <v>132.74</v>
      </c>
      <c r="I121" s="253">
        <v>132.51</v>
      </c>
      <c r="J121" s="253">
        <v>132.6</v>
      </c>
      <c r="K121" s="253">
        <v>129.41</v>
      </c>
      <c r="L121" s="253">
        <v>131.26</v>
      </c>
      <c r="M121" s="253">
        <v>128.59</v>
      </c>
      <c r="N121" s="253">
        <v>128.59</v>
      </c>
      <c r="O121" s="253">
        <v>124</v>
      </c>
      <c r="P121" s="253">
        <v>123.84</v>
      </c>
      <c r="Q121" s="253">
        <v>126.06</v>
      </c>
      <c r="R121" s="253">
        <v>126</v>
      </c>
      <c r="S121" s="253">
        <v>125.37</v>
      </c>
      <c r="T121" s="253">
        <v>126.43</v>
      </c>
      <c r="U121" s="253">
        <v>128.09</v>
      </c>
      <c r="V121" s="253">
        <v>128.44999999999999</v>
      </c>
      <c r="W121" s="253">
        <v>128.44999999999999</v>
      </c>
      <c r="X121" s="253">
        <v>128.21</v>
      </c>
      <c r="Y121" s="253">
        <v>129.29</v>
      </c>
      <c r="Z121" s="247">
        <f ca="1">[1]ExtEntry!$G19</f>
        <v>13.51</v>
      </c>
      <c r="AA121" s="277"/>
      <c r="AB121" s="1255">
        <v>0.14855714264684955</v>
      </c>
      <c r="AC121" s="1255">
        <v>0.79554886070555242</v>
      </c>
      <c r="AD121" s="1255">
        <v>0.91146137284779238</v>
      </c>
      <c r="AE121" s="1255">
        <v>0.84943477252493216</v>
      </c>
      <c r="AF121" s="1255">
        <v>0.96095485443674045</v>
      </c>
      <c r="AG121" s="1255">
        <v>0.8146497987889032</v>
      </c>
      <c r="AH121" s="1255">
        <v>0.83201556390835429</v>
      </c>
      <c r="AI121" s="1255">
        <v>0.86135787199987957</v>
      </c>
      <c r="AJ121" s="1255">
        <v>0.86136288944805561</v>
      </c>
      <c r="AK121" s="1255">
        <v>0.57549526564766096</v>
      </c>
      <c r="AL121" s="1255">
        <v>0.95368745108945219</v>
      </c>
      <c r="AM121" s="1255">
        <v>0.62744913119307544</v>
      </c>
      <c r="AN121" s="1255">
        <v>0.69290828363798096</v>
      </c>
      <c r="AO121" s="1255">
        <v>0.50495891443259588</v>
      </c>
      <c r="AP121" s="1255">
        <v>0.63132102769934428</v>
      </c>
      <c r="AQ121" s="1255">
        <v>0.48659804048343974</v>
      </c>
      <c r="AR121" s="1255">
        <v>0.80818960925515593</v>
      </c>
      <c r="AS121" s="1255">
        <v>0.80818960925515593</v>
      </c>
      <c r="AT121" s="1255">
        <v>0.74611570293863072</v>
      </c>
      <c r="AU121" s="1255">
        <v>0.9805457074900148</v>
      </c>
      <c r="AV121" s="1265">
        <f ca="1">Calc!BB19</f>
        <v>0.75184594229407342</v>
      </c>
      <c r="AW121" s="279"/>
      <c r="AX121" s="88" t="str">
        <f t="shared" ca="1" si="8"/>
        <v>DXC</v>
      </c>
      <c r="BA121" s="253">
        <v>3173</v>
      </c>
      <c r="CP121" s="277"/>
      <c r="EH121" s="110"/>
    </row>
    <row r="122" spans="1:138" hidden="1">
      <c r="A122" s="241" t="str">
        <f t="shared" ca="1" si="7"/>
        <v>EOAN</v>
      </c>
      <c r="B122" s="250" t="str">
        <f ca="1">[1]ExtEntry!$D22</f>
        <v>USD</v>
      </c>
      <c r="C122" s="251"/>
      <c r="D122" s="841">
        <f>ROW()</f>
        <v>122</v>
      </c>
      <c r="E122" s="252"/>
      <c r="F122" s="253">
        <v>14.03</v>
      </c>
      <c r="G122" s="253">
        <v>13.61</v>
      </c>
      <c r="H122" s="253">
        <v>13.55</v>
      </c>
      <c r="I122" s="253">
        <v>13.84</v>
      </c>
      <c r="J122" s="253">
        <v>13.66</v>
      </c>
      <c r="K122" s="253">
        <v>13.62</v>
      </c>
      <c r="L122" s="253">
        <v>13.36</v>
      </c>
      <c r="M122" s="253">
        <v>13.38</v>
      </c>
      <c r="N122" s="253">
        <v>13.38</v>
      </c>
      <c r="O122" s="253">
        <v>13.04</v>
      </c>
      <c r="P122" s="253">
        <v>13.01</v>
      </c>
      <c r="Q122" s="253">
        <v>13.36</v>
      </c>
      <c r="R122" s="253">
        <v>13.07</v>
      </c>
      <c r="S122" s="253">
        <v>12.69</v>
      </c>
      <c r="T122" s="253">
        <v>12.97</v>
      </c>
      <c r="U122" s="253">
        <v>13</v>
      </c>
      <c r="V122" s="253">
        <v>13.2</v>
      </c>
      <c r="W122" s="253">
        <v>13.2</v>
      </c>
      <c r="X122" s="253">
        <v>13.13</v>
      </c>
      <c r="Y122" s="253">
        <v>13.51</v>
      </c>
      <c r="Z122" s="247">
        <f ca="1">[1]ExtEntry!$G20</f>
        <v>15.97</v>
      </c>
      <c r="AA122" s="277"/>
      <c r="AB122" s="1255">
        <v>0.56217228341242931</v>
      </c>
      <c r="AC122" s="1255">
        <v>0.78902573818826238</v>
      </c>
      <c r="AD122" s="1255">
        <v>0.97447092508686539</v>
      </c>
      <c r="AE122" s="1255">
        <v>0.89980860979177002</v>
      </c>
      <c r="AF122" s="1255">
        <v>1.3232750584422104</v>
      </c>
      <c r="AG122" s="1255">
        <v>1.075447760293067</v>
      </c>
      <c r="AH122" s="1255">
        <v>0.69118173331459043</v>
      </c>
      <c r="AI122" s="1255">
        <v>0.66153207577208828</v>
      </c>
      <c r="AJ122" s="1255">
        <v>1.0338102472305515E-6</v>
      </c>
      <c r="AK122" s="1255">
        <v>0.66893714428734929</v>
      </c>
      <c r="AL122" s="1255">
        <v>0.72205758724366276</v>
      </c>
      <c r="AM122" s="1255">
        <v>0.45319555984811399</v>
      </c>
      <c r="AN122" s="1255">
        <v>1.1550204298735525</v>
      </c>
      <c r="AO122" s="1255">
        <v>0.60663797155780075</v>
      </c>
      <c r="AP122" s="1255">
        <v>0.75635487595636086</v>
      </c>
      <c r="AQ122" s="1255">
        <v>0.79138027962719248</v>
      </c>
      <c r="AR122" s="1255">
        <v>0.90762737606983701</v>
      </c>
      <c r="AS122" s="1255">
        <v>0.90762737606983701</v>
      </c>
      <c r="AT122" s="1255">
        <v>0.91871160050536138</v>
      </c>
      <c r="AU122" s="1255">
        <v>0.75176230736812832</v>
      </c>
      <c r="AV122" s="1265">
        <f ca="1">Calc!BB20</f>
        <v>1.1313503925264488</v>
      </c>
      <c r="AW122" s="279"/>
      <c r="AX122" s="88" t="str">
        <f t="shared" ca="1" si="8"/>
        <v>EOAN</v>
      </c>
      <c r="BA122" s="253">
        <v>3272</v>
      </c>
      <c r="CP122" s="277"/>
      <c r="EH122" s="110"/>
    </row>
    <row r="123" spans="1:138" hidden="1">
      <c r="A123" s="241" t="str">
        <f t="shared" ca="1" si="7"/>
        <v>EPIX</v>
      </c>
      <c r="B123" s="242" t="str">
        <f ca="1">[1]ExtEntry!$D23</f>
        <v>USD</v>
      </c>
      <c r="C123" s="243"/>
      <c r="D123" s="1202">
        <f>ROW()</f>
        <v>123</v>
      </c>
      <c r="E123" s="244"/>
      <c r="F123" s="253">
        <v>16.094999999999999</v>
      </c>
      <c r="G123" s="253">
        <v>15.97</v>
      </c>
      <c r="H123" s="253">
        <v>15.96</v>
      </c>
      <c r="I123" s="253">
        <v>16.114999999999998</v>
      </c>
      <c r="J123" s="253">
        <v>15.95</v>
      </c>
      <c r="K123" s="253">
        <v>16.085000000000001</v>
      </c>
      <c r="L123" s="253">
        <v>16.14</v>
      </c>
      <c r="M123" s="253">
        <v>16.215</v>
      </c>
      <c r="N123" s="253">
        <v>16.155000000000001</v>
      </c>
      <c r="O123" s="253">
        <v>16.184999999999999</v>
      </c>
      <c r="P123" s="253">
        <v>16.164999999999999</v>
      </c>
      <c r="Q123" s="253">
        <v>16.37</v>
      </c>
      <c r="R123" s="253">
        <v>16.239999999999998</v>
      </c>
      <c r="S123" s="253">
        <v>16.164999999999999</v>
      </c>
      <c r="T123" s="253">
        <v>16.315000000000001</v>
      </c>
      <c r="U123" s="253">
        <v>16.355</v>
      </c>
      <c r="V123" s="253">
        <v>16.3</v>
      </c>
      <c r="W123" s="253">
        <v>16.3</v>
      </c>
      <c r="X123" s="253">
        <v>16.13</v>
      </c>
      <c r="Y123" s="253">
        <v>15.984999999999999</v>
      </c>
      <c r="Z123" s="247">
        <f ca="1">[1]ExtEntry!$G21</f>
        <v>0.2</v>
      </c>
      <c r="AA123" s="277"/>
      <c r="AB123" s="1255">
        <v>0.43442717427033395</v>
      </c>
      <c r="AC123" s="1255">
        <v>1.7058625149945997E-3</v>
      </c>
      <c r="AD123" s="1255">
        <v>3.4969240432460366E-4</v>
      </c>
      <c r="AE123" s="1255">
        <v>1.7624729470001165E-3</v>
      </c>
      <c r="AF123" s="1255">
        <v>2.194623000480254E-3</v>
      </c>
      <c r="AG123" s="1255">
        <v>6.3332612984405611E-4</v>
      </c>
      <c r="AH123" s="1255">
        <v>1.9361104585727759E-3</v>
      </c>
      <c r="AI123" s="1255">
        <v>3.9956139271869742E-3</v>
      </c>
      <c r="AJ123" s="1255">
        <v>8.4903157336163441E-4</v>
      </c>
      <c r="AK123" s="1255">
        <v>1.7252574899351656E-3</v>
      </c>
      <c r="AL123" s="1255">
        <v>1.0223008095157225E-3</v>
      </c>
      <c r="AM123" s="1255">
        <v>1.8751914365397946E-3</v>
      </c>
      <c r="AN123" s="1255">
        <v>2.621069224044295E-3</v>
      </c>
      <c r="AO123" s="1255">
        <v>1.6947205747222455E-3</v>
      </c>
      <c r="AP123" s="1255">
        <v>2.8769426684523477E-3</v>
      </c>
      <c r="AQ123" s="1255">
        <v>3.9924448583246409E-3</v>
      </c>
      <c r="AR123" s="1255">
        <v>2.9646218410092277E-3</v>
      </c>
      <c r="AS123" s="1255">
        <v>2.9646218410092277E-3</v>
      </c>
      <c r="AT123" s="1255">
        <v>2.0957802059433446E-3</v>
      </c>
      <c r="AU123" s="1255">
        <v>1.3643016391740198E-3</v>
      </c>
      <c r="AV123" s="1265">
        <f ca="1">Calc!BB21</f>
        <v>1.8522760022071003</v>
      </c>
      <c r="AW123" s="279"/>
      <c r="AX123" s="88" t="str">
        <f t="shared" ca="1" si="8"/>
        <v>EPIX</v>
      </c>
      <c r="BA123" s="253">
        <v>3371</v>
      </c>
      <c r="CP123" s="277"/>
      <c r="EH123" s="110"/>
    </row>
    <row r="124" spans="1:138" hidden="1">
      <c r="A124" s="241" t="str">
        <f t="shared" ca="1" si="7"/>
        <v>GM</v>
      </c>
      <c r="B124" s="250" t="str">
        <f ca="1">[1]ExtEntry!$D24</f>
        <v>USD</v>
      </c>
      <c r="C124" s="251"/>
      <c r="D124" s="841">
        <f>ROW()</f>
        <v>124</v>
      </c>
      <c r="E124" s="252"/>
      <c r="F124" s="253">
        <v>0.19750000000000001</v>
      </c>
      <c r="G124" s="253">
        <v>0.19989999999999999</v>
      </c>
      <c r="H124" s="253">
        <v>0.19</v>
      </c>
      <c r="I124" s="253">
        <v>0.21</v>
      </c>
      <c r="J124" s="253">
        <v>0.2036</v>
      </c>
      <c r="K124" s="253">
        <v>0.21870000000000001</v>
      </c>
      <c r="L124" s="253">
        <v>0.2</v>
      </c>
      <c r="M124" s="253">
        <v>0.2</v>
      </c>
      <c r="N124" s="253">
        <v>0.2</v>
      </c>
      <c r="O124" s="253">
        <v>0.2</v>
      </c>
      <c r="P124" s="253">
        <v>0.2</v>
      </c>
      <c r="Q124" s="253">
        <v>0.2</v>
      </c>
      <c r="R124" s="253">
        <v>0.2</v>
      </c>
      <c r="S124" s="253">
        <v>0.2</v>
      </c>
      <c r="T124" s="253">
        <v>0.2</v>
      </c>
      <c r="U124" s="253">
        <v>0.2</v>
      </c>
      <c r="V124" s="253">
        <v>0.2</v>
      </c>
      <c r="W124" s="253">
        <v>0.2</v>
      </c>
      <c r="X124" s="253">
        <v>0.2</v>
      </c>
      <c r="Y124" s="253">
        <v>0.2</v>
      </c>
      <c r="Z124" s="247">
        <f ca="1">[1]ExtEntry!$G22</f>
        <v>67.459999999999994</v>
      </c>
      <c r="AA124" s="277"/>
      <c r="AB124" s="1255">
        <v>9.8718739972466329E-2</v>
      </c>
      <c r="AC124" s="1255">
        <v>0.31690225656802479</v>
      </c>
      <c r="AD124" s="1255">
        <v>0.30406149810499283</v>
      </c>
      <c r="AE124" s="1255">
        <v>0.96766757765851497</v>
      </c>
      <c r="AF124" s="1255">
        <v>0.72460437220039386</v>
      </c>
      <c r="AG124" s="1255">
        <v>0.94412588991954383</v>
      </c>
      <c r="AH124" s="1255">
        <v>1.9007138990500012</v>
      </c>
      <c r="AI124" s="1255">
        <v>1.8522760022071003</v>
      </c>
      <c r="AJ124" s="1255">
        <v>1.8522760022071003</v>
      </c>
      <c r="AK124" s="1255">
        <v>1.8522760022071003</v>
      </c>
      <c r="AL124" s="1255">
        <v>1.8522760022071003</v>
      </c>
      <c r="AM124" s="1255">
        <v>1.8522760022071003</v>
      </c>
      <c r="AN124" s="1255">
        <v>1.8522760022071003</v>
      </c>
      <c r="AO124" s="1255">
        <v>1.8522760022071003</v>
      </c>
      <c r="AP124" s="1255">
        <v>1.8522760022071003</v>
      </c>
      <c r="AQ124" s="1255">
        <v>1.8522760022071003</v>
      </c>
      <c r="AR124" s="1255">
        <v>1.8522760022071003</v>
      </c>
      <c r="AS124" s="1255">
        <v>1.8522760022071003</v>
      </c>
      <c r="AT124" s="1255">
        <v>1.8522760022071003</v>
      </c>
      <c r="AU124" s="1255">
        <v>1.8522760022071003</v>
      </c>
      <c r="AV124" s="1265">
        <f ca="1">Calc!BB22</f>
        <v>1.2198274247603278</v>
      </c>
      <c r="AW124" s="279"/>
      <c r="AX124" s="88" t="str">
        <f t="shared" ca="1" si="8"/>
        <v>GM</v>
      </c>
      <c r="BA124" s="253">
        <v>3470</v>
      </c>
      <c r="CP124" s="277"/>
      <c r="EH124" s="110"/>
    </row>
    <row r="125" spans="1:138" hidden="1">
      <c r="A125" s="241" t="str">
        <f t="shared" ca="1" si="7"/>
        <v>HPE</v>
      </c>
      <c r="B125" s="242" t="str">
        <f ca="1">[1]ExtEntry!$D25</f>
        <v>GBp</v>
      </c>
      <c r="C125" s="243"/>
      <c r="D125" s="1202">
        <f>ROW()</f>
        <v>125</v>
      </c>
      <c r="E125" s="244"/>
      <c r="F125" s="253">
        <v>61.8</v>
      </c>
      <c r="G125" s="253">
        <v>61.71</v>
      </c>
      <c r="H125" s="253">
        <v>60.94</v>
      </c>
      <c r="I125" s="253">
        <v>61.48</v>
      </c>
      <c r="J125" s="253">
        <v>59.32</v>
      </c>
      <c r="K125" s="253">
        <v>58.63</v>
      </c>
      <c r="L125" s="253">
        <v>57.33</v>
      </c>
      <c r="M125" s="253">
        <v>56.78</v>
      </c>
      <c r="N125" s="253">
        <v>56.78</v>
      </c>
      <c r="O125" s="253">
        <v>55.82</v>
      </c>
      <c r="P125" s="253">
        <v>54.6</v>
      </c>
      <c r="Q125" s="253">
        <v>57.2</v>
      </c>
      <c r="R125" s="253">
        <v>57.884999999999998</v>
      </c>
      <c r="S125" s="253">
        <v>57.73</v>
      </c>
      <c r="T125" s="253">
        <v>58.54</v>
      </c>
      <c r="U125" s="253">
        <v>63.76</v>
      </c>
      <c r="V125" s="253">
        <v>67.05</v>
      </c>
      <c r="W125" s="253">
        <v>67.05</v>
      </c>
      <c r="X125" s="253">
        <v>67.97</v>
      </c>
      <c r="Y125" s="253">
        <v>67.459999999999994</v>
      </c>
      <c r="Z125" s="247">
        <f ca="1">[1]ExtEntry!$G23</f>
        <v>23.66</v>
      </c>
      <c r="AA125" s="277"/>
      <c r="AB125" s="1255">
        <v>0.43009211028623129</v>
      </c>
      <c r="AC125" s="1255">
        <v>0.95521142220805966</v>
      </c>
      <c r="AD125" s="1255">
        <v>1.0911125697301081</v>
      </c>
      <c r="AE125" s="1255">
        <v>1.2905186856872632</v>
      </c>
      <c r="AF125" s="1255">
        <v>1.751637942704976</v>
      </c>
      <c r="AG125" s="1255">
        <v>1.3648769711527287</v>
      </c>
      <c r="AH125" s="1255">
        <v>0.6761256804640885</v>
      </c>
      <c r="AI125" s="1255">
        <v>0.68205621671548589</v>
      </c>
      <c r="AJ125" s="1255">
        <v>3.1089155926909392E-5</v>
      </c>
      <c r="AK125" s="1255">
        <v>0.50033669179380358</v>
      </c>
      <c r="AL125" s="1255">
        <v>1.0529401626284398</v>
      </c>
      <c r="AM125" s="1255">
        <v>0.68116440055188077</v>
      </c>
      <c r="AN125" s="1255">
        <v>0.75419760970212113</v>
      </c>
      <c r="AO125" s="1255">
        <v>0.99417900387791502</v>
      </c>
      <c r="AP125" s="1255">
        <v>1.2955149742773697</v>
      </c>
      <c r="AQ125" s="1255">
        <v>5.4018802671740422</v>
      </c>
      <c r="AR125" s="1255">
        <v>1.9704623898806355</v>
      </c>
      <c r="AS125" s="1255">
        <v>1.9705173545024051</v>
      </c>
      <c r="AT125" s="1255">
        <v>1.2596415025948138</v>
      </c>
      <c r="AU125" s="1255">
        <v>1.2180288765240113</v>
      </c>
      <c r="AV125" s="1265">
        <f ca="1">Calc!BB23</f>
        <v>0.56340141882800843</v>
      </c>
      <c r="AW125" s="279"/>
      <c r="AX125" s="88" t="str">
        <f t="shared" ca="1" si="8"/>
        <v>HPE</v>
      </c>
      <c r="BA125" s="253">
        <v>3569</v>
      </c>
      <c r="CP125" s="277"/>
      <c r="EH125" s="110"/>
    </row>
    <row r="126" spans="1:138" hidden="1">
      <c r="A126" s="241" t="str">
        <f t="shared" ca="1" si="7"/>
        <v>HPQ</v>
      </c>
      <c r="B126" s="250" t="str">
        <f ca="1">[1]ExtEntry!$D26</f>
        <v>USD</v>
      </c>
      <c r="C126" s="251"/>
      <c r="D126" s="841">
        <f>ROW()</f>
        <v>126</v>
      </c>
      <c r="E126" s="252"/>
      <c r="F126" s="253">
        <v>24.32</v>
      </c>
      <c r="G126" s="253">
        <v>24.1</v>
      </c>
      <c r="H126" s="253">
        <v>24.38</v>
      </c>
      <c r="I126" s="253">
        <v>25.17</v>
      </c>
      <c r="J126" s="253">
        <v>24.6</v>
      </c>
      <c r="K126" s="253">
        <v>25.46</v>
      </c>
      <c r="L126" s="253">
        <v>24.86</v>
      </c>
      <c r="M126" s="253">
        <v>26.04</v>
      </c>
      <c r="N126" s="253">
        <v>26.04</v>
      </c>
      <c r="O126" s="253">
        <v>25.01</v>
      </c>
      <c r="P126" s="253">
        <v>24.31</v>
      </c>
      <c r="Q126" s="253">
        <v>25.25</v>
      </c>
      <c r="R126" s="253">
        <v>22.97</v>
      </c>
      <c r="S126" s="253">
        <v>22.35</v>
      </c>
      <c r="T126" s="253">
        <v>23.065000000000001</v>
      </c>
      <c r="U126" s="253">
        <v>22.96</v>
      </c>
      <c r="V126" s="253">
        <v>23.14</v>
      </c>
      <c r="W126" s="253">
        <v>23.14</v>
      </c>
      <c r="X126" s="253">
        <v>23.14</v>
      </c>
      <c r="Y126" s="253">
        <v>23.66</v>
      </c>
      <c r="Z126" s="247">
        <f ca="1">[1]ExtEntry!$G24</f>
        <v>28.26</v>
      </c>
      <c r="AA126" s="277"/>
      <c r="AB126" s="1255">
        <v>0.24492429357552087</v>
      </c>
      <c r="AC126" s="1255">
        <v>0.92031339914516541</v>
      </c>
      <c r="AD126" s="1255">
        <v>1.1116328326798421</v>
      </c>
      <c r="AE126" s="1255">
        <v>0.68927574412106618</v>
      </c>
      <c r="AF126" s="1255">
        <v>0.82210265385879699</v>
      </c>
      <c r="AG126" s="1255">
        <v>0.87928748954417402</v>
      </c>
      <c r="AH126" s="1255">
        <v>1.1736480835332328</v>
      </c>
      <c r="AI126" s="1255">
        <v>0.82673417968880625</v>
      </c>
      <c r="AJ126" s="1255">
        <v>4.905782069745785E-5</v>
      </c>
      <c r="AK126" s="1255">
        <v>1.5091352837970815</v>
      </c>
      <c r="AL126" s="1255">
        <v>1.4374948855322061</v>
      </c>
      <c r="AM126" s="1255">
        <v>1.4920703466272041</v>
      </c>
      <c r="AN126" s="1255">
        <v>3.0558414464938299</v>
      </c>
      <c r="AO126" s="1255">
        <v>2.3353131464191823</v>
      </c>
      <c r="AP126" s="1255">
        <v>2.0086307622244406</v>
      </c>
      <c r="AQ126" s="1255">
        <v>2.5717468887075294</v>
      </c>
      <c r="AR126" s="1255">
        <v>1.4840864923363435</v>
      </c>
      <c r="AS126" s="1255">
        <v>1.4840852862048535</v>
      </c>
      <c r="AT126" s="1255">
        <v>0.87724076472502532</v>
      </c>
      <c r="AU126" s="1255">
        <v>0.56563566243556174</v>
      </c>
      <c r="AV126" s="1265">
        <f ca="1">Calc!BB24</f>
        <v>0.71094852552131327</v>
      </c>
      <c r="AW126" s="279"/>
      <c r="AX126" s="88" t="str">
        <f t="shared" ca="1" si="8"/>
        <v>HPQ</v>
      </c>
      <c r="BA126" s="253">
        <v>3668</v>
      </c>
      <c r="CP126" s="277"/>
      <c r="EH126" s="110"/>
    </row>
    <row r="127" spans="1:138" hidden="1">
      <c r="A127" s="241" t="str">
        <f t="shared" ca="1" si="7"/>
        <v>IAG</v>
      </c>
      <c r="B127" s="242" t="str">
        <f ca="1">[1]ExtEntry!$D27</f>
        <v>USD</v>
      </c>
      <c r="C127" s="243"/>
      <c r="D127" s="1202">
        <f>ROW()</f>
        <v>127</v>
      </c>
      <c r="E127" s="244"/>
      <c r="F127" s="253">
        <v>26.88</v>
      </c>
      <c r="G127" s="253">
        <v>26.9</v>
      </c>
      <c r="H127" s="253">
        <v>27.19</v>
      </c>
      <c r="I127" s="253">
        <v>26.76</v>
      </c>
      <c r="J127" s="253">
        <v>26.61</v>
      </c>
      <c r="K127" s="253">
        <v>26.78</v>
      </c>
      <c r="L127" s="253">
        <v>26.58</v>
      </c>
      <c r="M127" s="253">
        <v>27.16</v>
      </c>
      <c r="N127" s="253">
        <v>27.16</v>
      </c>
      <c r="O127" s="253">
        <v>26.09</v>
      </c>
      <c r="P127" s="253">
        <v>27.61</v>
      </c>
      <c r="Q127" s="253">
        <v>28.85</v>
      </c>
      <c r="R127" s="253">
        <v>28.69</v>
      </c>
      <c r="S127" s="253">
        <v>27.1</v>
      </c>
      <c r="T127" s="253">
        <v>27.56</v>
      </c>
      <c r="U127" s="253">
        <v>27.73</v>
      </c>
      <c r="V127" s="253">
        <v>27.2</v>
      </c>
      <c r="W127" s="253">
        <v>27.2</v>
      </c>
      <c r="X127" s="253">
        <v>27.78</v>
      </c>
      <c r="Y127" s="253">
        <v>28.26</v>
      </c>
      <c r="Z127" s="247">
        <f ca="1">[1]ExtEntry!$G25</f>
        <v>407.6</v>
      </c>
      <c r="AA127" s="277"/>
      <c r="AB127" s="1255">
        <v>0.29267982822354532</v>
      </c>
      <c r="AC127" s="1255">
        <v>0.7982943960713148</v>
      </c>
      <c r="AD127" s="1255">
        <v>1.4400950542070374</v>
      </c>
      <c r="AE127" s="1255">
        <v>1.0874278833552322</v>
      </c>
      <c r="AF127" s="1255">
        <v>1.0452765206184185</v>
      </c>
      <c r="AG127" s="1255">
        <v>1.5273843445664426</v>
      </c>
      <c r="AH127" s="1255">
        <v>2.1485278909918941</v>
      </c>
      <c r="AI127" s="1255">
        <v>1.011522249459812</v>
      </c>
      <c r="AJ127" s="1255">
        <v>7.2108314278395024E-5</v>
      </c>
      <c r="AK127" s="1255">
        <v>1.3467086405431277</v>
      </c>
      <c r="AL127" s="1255">
        <v>1.9877102347325035</v>
      </c>
      <c r="AM127" s="1255">
        <v>1.2903675431804529</v>
      </c>
      <c r="AN127" s="1255">
        <v>2.1861402823373002</v>
      </c>
      <c r="AO127" s="1255">
        <v>0.91401756913961008</v>
      </c>
      <c r="AP127" s="1255">
        <v>0.58095213224478581</v>
      </c>
      <c r="AQ127" s="1255">
        <v>0.66983644290413091</v>
      </c>
      <c r="AR127" s="1255">
        <v>0.72782972275004665</v>
      </c>
      <c r="AS127" s="1255">
        <v>0.72782972275004665</v>
      </c>
      <c r="AT127" s="1255">
        <v>0.98794391915320234</v>
      </c>
      <c r="AU127" s="1255">
        <v>0.71089841747584015</v>
      </c>
      <c r="AV127" s="1265">
        <f ca="1">Calc!BB25</f>
        <v>1.2126103721618735</v>
      </c>
      <c r="AW127" s="279"/>
      <c r="AX127" s="88" t="str">
        <f t="shared" ca="1" si="8"/>
        <v>IAG</v>
      </c>
      <c r="BA127" s="253">
        <v>3767</v>
      </c>
      <c r="CP127" s="277"/>
      <c r="EH127" s="110"/>
    </row>
    <row r="128" spans="1:138" hidden="1">
      <c r="A128" s="241" t="str">
        <f t="shared" ca="1" si="7"/>
        <v>KR</v>
      </c>
      <c r="B128" s="250" t="str">
        <f ca="1">[1]ExtEntry!$D28</f>
        <v>USD</v>
      </c>
      <c r="C128" s="251"/>
      <c r="D128" s="841">
        <f>ROW()</f>
        <v>128</v>
      </c>
      <c r="E128" s="252"/>
      <c r="F128" s="253">
        <v>384.1</v>
      </c>
      <c r="G128" s="253">
        <v>384.8</v>
      </c>
      <c r="H128" s="253">
        <v>384.8</v>
      </c>
      <c r="I128" s="253">
        <v>381.6</v>
      </c>
      <c r="J128" s="253">
        <v>387.9</v>
      </c>
      <c r="K128" s="253">
        <v>388.2</v>
      </c>
      <c r="L128" s="253">
        <v>390</v>
      </c>
      <c r="M128" s="253">
        <v>402.7</v>
      </c>
      <c r="N128" s="253">
        <v>413.9</v>
      </c>
      <c r="O128" s="253">
        <v>408.2</v>
      </c>
      <c r="P128" s="253">
        <v>407.9</v>
      </c>
      <c r="Q128" s="253">
        <v>412.1</v>
      </c>
      <c r="R128" s="253">
        <v>409.9</v>
      </c>
      <c r="S128" s="253">
        <v>402</v>
      </c>
      <c r="T128" s="253">
        <v>394.7</v>
      </c>
      <c r="U128" s="253">
        <v>398</v>
      </c>
      <c r="V128" s="253">
        <v>400</v>
      </c>
      <c r="W128" s="253">
        <v>400</v>
      </c>
      <c r="X128" s="253">
        <v>400.5</v>
      </c>
      <c r="Y128" s="253">
        <v>407.6</v>
      </c>
      <c r="Z128" s="247">
        <f ca="1">[1]ExtEntry!$G26</f>
        <v>68.87</v>
      </c>
      <c r="AA128" s="277"/>
      <c r="AB128" s="1255">
        <v>1.0382460586257636</v>
      </c>
      <c r="AC128" s="1255">
        <v>1.0008868879948811</v>
      </c>
      <c r="AD128" s="1255">
        <v>1.3621319538052388</v>
      </c>
      <c r="AE128" s="1255">
        <v>0.90848314773519045</v>
      </c>
      <c r="AF128" s="1255">
        <v>0.69408969524923347</v>
      </c>
      <c r="AG128" s="1255">
        <v>1.4939853457793837</v>
      </c>
      <c r="AH128" s="1255">
        <v>2.6031754314741851</v>
      </c>
      <c r="AI128" s="1255">
        <v>2.1665004161018793</v>
      </c>
      <c r="AJ128" s="1255">
        <v>0.29705126000213555</v>
      </c>
      <c r="AK128" s="1255">
        <v>0.58935974166197558</v>
      </c>
      <c r="AL128" s="1255">
        <v>0.85468700062329439</v>
      </c>
      <c r="AM128" s="1255">
        <v>0.97428559115998292</v>
      </c>
      <c r="AN128" s="1255">
        <v>0.66279256341103421</v>
      </c>
      <c r="AO128" s="1255">
        <v>0.90880882613755443</v>
      </c>
      <c r="AP128" s="1255">
        <v>0.61999341459571478</v>
      </c>
      <c r="AQ128" s="1255">
        <v>0.52750861861252885</v>
      </c>
      <c r="AR128" s="1255">
        <v>0.88356348219671166</v>
      </c>
      <c r="AS128" s="1255">
        <v>0.88356348219671166</v>
      </c>
      <c r="AT128" s="1255">
        <v>0.72426202212246571</v>
      </c>
      <c r="AU128" s="1255">
        <v>1.079762418214359</v>
      </c>
      <c r="AV128" s="1265">
        <f ca="1">Calc!BB26</f>
        <v>0.90546778801189931</v>
      </c>
      <c r="AW128" s="279"/>
      <c r="AX128" s="88" t="str">
        <f t="shared" ca="1" si="8"/>
        <v>KR</v>
      </c>
      <c r="BA128" s="253">
        <v>3866</v>
      </c>
      <c r="CP128" s="277"/>
      <c r="EH128" s="110"/>
    </row>
    <row r="129" spans="1:138" hidden="1">
      <c r="A129" s="241" t="str">
        <f t="shared" ca="1" si="7"/>
        <v>LNSR</v>
      </c>
      <c r="B129" s="242" t="str">
        <f ca="1">[1]ExtEntry!$D29</f>
        <v>USD</v>
      </c>
      <c r="C129" s="243"/>
      <c r="D129" s="1202">
        <f>ROW()</f>
        <v>129</v>
      </c>
      <c r="E129" s="244"/>
      <c r="F129" s="253">
        <v>65.47</v>
      </c>
      <c r="G129" s="253">
        <v>66.28</v>
      </c>
      <c r="H129" s="253">
        <v>67.08</v>
      </c>
      <c r="I129" s="253">
        <v>66.2</v>
      </c>
      <c r="J129" s="253">
        <v>66.27</v>
      </c>
      <c r="K129" s="253">
        <v>64.930000000000007</v>
      </c>
      <c r="L129" s="253">
        <v>67.2</v>
      </c>
      <c r="M129" s="253">
        <v>68.459999999999994</v>
      </c>
      <c r="N129" s="253">
        <v>68.459999999999994</v>
      </c>
      <c r="O129" s="253">
        <v>66.989999999999995</v>
      </c>
      <c r="P129" s="253">
        <v>67.75</v>
      </c>
      <c r="Q129" s="253">
        <v>68.87</v>
      </c>
      <c r="R129" s="253">
        <v>68.959999999999994</v>
      </c>
      <c r="S129" s="253">
        <v>69.37</v>
      </c>
      <c r="T129" s="253">
        <v>69</v>
      </c>
      <c r="U129" s="253">
        <v>68.75</v>
      </c>
      <c r="V129" s="253">
        <v>67.790000000000006</v>
      </c>
      <c r="W129" s="253">
        <v>67.790000000000006</v>
      </c>
      <c r="X129" s="253">
        <v>68.680000000000007</v>
      </c>
      <c r="Y129" s="253">
        <v>68.87</v>
      </c>
      <c r="Z129" s="247">
        <f ca="1">[1]ExtEntry!$G27</f>
        <v>12.18</v>
      </c>
      <c r="AA129" s="277"/>
      <c r="AB129" s="1255">
        <v>0.28176866848215565</v>
      </c>
      <c r="AC129" s="1255">
        <v>0.93117873984741129</v>
      </c>
      <c r="AD129" s="1255">
        <v>0.95010981719276977</v>
      </c>
      <c r="AE129" s="1255">
        <v>0.53678619514422221</v>
      </c>
      <c r="AF129" s="1255">
        <v>0.5180085606454673</v>
      </c>
      <c r="AG129" s="1255">
        <v>0.83128375675903166</v>
      </c>
      <c r="AH129" s="1255">
        <v>0.89344756683835946</v>
      </c>
      <c r="AI129" s="1255">
        <v>0.71210631513614797</v>
      </c>
      <c r="AJ129" s="1255">
        <v>8.5794154819719509E-6</v>
      </c>
      <c r="AK129" s="1255">
        <v>0.77980827070065095</v>
      </c>
      <c r="AL129" s="1255">
        <v>0.73886116913484023</v>
      </c>
      <c r="AM129" s="1255">
        <v>0.46054764034943496</v>
      </c>
      <c r="AN129" s="1255">
        <v>0.5935507210314559</v>
      </c>
      <c r="AO129" s="1255">
        <v>0.73656239569887283</v>
      </c>
      <c r="AP129" s="1255">
        <v>0.57420556183947657</v>
      </c>
      <c r="AQ129" s="1255">
        <v>0.82478815996850641</v>
      </c>
      <c r="AR129" s="1255">
        <v>0.94227211360923591</v>
      </c>
      <c r="AS129" s="1255">
        <v>0.94227424685428129</v>
      </c>
      <c r="AT129" s="1255">
        <v>0.7295502249070227</v>
      </c>
      <c r="AU129" s="1255">
        <v>0.90460365503203155</v>
      </c>
      <c r="AV129" s="1265">
        <f ca="1">Calc!BB27</f>
        <v>0.99786689419795227</v>
      </c>
      <c r="AW129" s="279"/>
      <c r="AX129" s="88" t="str">
        <f t="shared" ca="1" si="8"/>
        <v>LNSR</v>
      </c>
      <c r="BA129" s="253">
        <v>3965</v>
      </c>
      <c r="CP129" s="277"/>
      <c r="EH129" s="110"/>
    </row>
    <row r="130" spans="1:138" hidden="1">
      <c r="A130" s="241" t="str">
        <f t="shared" ca="1" si="7"/>
        <v>LUMN</v>
      </c>
      <c r="B130" s="250" t="str">
        <f ca="1">[1]ExtEntry!$D30</f>
        <v>USD</v>
      </c>
      <c r="C130" s="251"/>
      <c r="D130" s="841">
        <f>ROW()</f>
        <v>130</v>
      </c>
      <c r="E130" s="252"/>
      <c r="F130" s="253">
        <v>12.35</v>
      </c>
      <c r="G130" s="253">
        <v>12.2</v>
      </c>
      <c r="H130" s="253">
        <v>12.36</v>
      </c>
      <c r="I130" s="253">
        <v>12.28</v>
      </c>
      <c r="J130" s="253">
        <v>12.4</v>
      </c>
      <c r="K130" s="253">
        <v>12.09</v>
      </c>
      <c r="L130" s="253">
        <v>12.103400000000001</v>
      </c>
      <c r="M130" s="253">
        <v>12.2</v>
      </c>
      <c r="N130" s="253">
        <v>12.2</v>
      </c>
      <c r="O130" s="253">
        <v>11.89</v>
      </c>
      <c r="P130" s="253">
        <v>11.91</v>
      </c>
      <c r="Q130" s="253">
        <v>12.01</v>
      </c>
      <c r="R130" s="253">
        <v>11.61</v>
      </c>
      <c r="S130" s="253">
        <v>11.77</v>
      </c>
      <c r="T130" s="253">
        <v>11.88</v>
      </c>
      <c r="U130" s="253">
        <v>12.22</v>
      </c>
      <c r="V130" s="253">
        <v>12.15</v>
      </c>
      <c r="W130" s="253">
        <v>12.15</v>
      </c>
      <c r="X130" s="253">
        <v>12.21</v>
      </c>
      <c r="Y130" s="253">
        <v>12.18</v>
      </c>
      <c r="Z130" s="247">
        <f ca="1">[1]ExtEntry!$G28</f>
        <v>8.0299999999999994</v>
      </c>
      <c r="AA130" s="277"/>
      <c r="AB130" s="1255">
        <v>0.13718605293017266</v>
      </c>
      <c r="AC130" s="1255">
        <v>0.28278868468920532</v>
      </c>
      <c r="AD130" s="1255">
        <v>0.62077313672163614</v>
      </c>
      <c r="AE130" s="1255">
        <v>0.59623708843154721</v>
      </c>
      <c r="AF130" s="1255">
        <v>0.56231080117283461</v>
      </c>
      <c r="AG130" s="1255">
        <v>0.68264593309647636</v>
      </c>
      <c r="AH130" s="1255">
        <v>0.26207293465180764</v>
      </c>
      <c r="AI130" s="1255">
        <v>1.5456300657592905</v>
      </c>
      <c r="AJ130" s="1255">
        <v>1.5456300657592905</v>
      </c>
      <c r="AK130" s="1255">
        <v>0.59597967334845958</v>
      </c>
      <c r="AL130" s="1255">
        <v>1.0141960606404294</v>
      </c>
      <c r="AM130" s="1255">
        <v>0.73281258974211705</v>
      </c>
      <c r="AN130" s="1255">
        <v>0.66009214782864423</v>
      </c>
      <c r="AO130" s="1255">
        <v>0.76877748836414872</v>
      </c>
      <c r="AP130" s="1255">
        <v>1.2625117008076279</v>
      </c>
      <c r="AQ130" s="1255">
        <v>1.3002552042688713</v>
      </c>
      <c r="AR130" s="1255">
        <v>1.3522182070598803</v>
      </c>
      <c r="AS130" s="1255">
        <v>1.3522182070598803</v>
      </c>
      <c r="AT130" s="1255">
        <v>0.70939429609896121</v>
      </c>
      <c r="AU130" s="1255">
        <v>0.99786689419795227</v>
      </c>
      <c r="AV130" s="1265">
        <f ca="1">Calc!BB28</f>
        <v>1.5440348459384818</v>
      </c>
      <c r="AW130" s="279"/>
      <c r="AX130" s="88" t="str">
        <f t="shared" ca="1" si="8"/>
        <v>LUMN</v>
      </c>
      <c r="BA130" s="253">
        <v>4064</v>
      </c>
      <c r="CP130" s="277"/>
      <c r="EH130" s="110"/>
    </row>
    <row r="131" spans="1:138" hidden="1">
      <c r="A131" s="241" t="str">
        <f t="shared" ca="1" si="7"/>
        <v>MRNA</v>
      </c>
      <c r="B131" s="242" t="str">
        <f ca="1">[1]ExtEntry!$D31</f>
        <v>USD</v>
      </c>
      <c r="C131" s="243"/>
      <c r="D131" s="1202">
        <f>ROW()</f>
        <v>131</v>
      </c>
      <c r="E131" s="244"/>
      <c r="F131" s="253">
        <v>5.8849999999999998</v>
      </c>
      <c r="G131" s="253">
        <v>5.85</v>
      </c>
      <c r="H131" s="253">
        <v>6.05</v>
      </c>
      <c r="I131" s="253">
        <v>6.24</v>
      </c>
      <c r="J131" s="253">
        <v>6.32</v>
      </c>
      <c r="K131" s="253">
        <v>7.15</v>
      </c>
      <c r="L131" s="253">
        <v>6.92</v>
      </c>
      <c r="M131" s="253">
        <v>7.02</v>
      </c>
      <c r="N131" s="253">
        <v>7.02</v>
      </c>
      <c r="O131" s="253">
        <v>6.665</v>
      </c>
      <c r="P131" s="253">
        <v>6.55</v>
      </c>
      <c r="Q131" s="253">
        <v>7.07</v>
      </c>
      <c r="R131" s="253">
        <v>7.31</v>
      </c>
      <c r="S131" s="253">
        <v>6.96</v>
      </c>
      <c r="T131" s="253">
        <v>7</v>
      </c>
      <c r="U131" s="253">
        <v>7.08</v>
      </c>
      <c r="V131" s="253">
        <v>7.07</v>
      </c>
      <c r="W131" s="253">
        <v>7.07</v>
      </c>
      <c r="X131" s="253">
        <v>7.25</v>
      </c>
      <c r="Y131" s="253">
        <v>8.0299999999999994</v>
      </c>
      <c r="Z131" s="247">
        <f ca="1">[1]ExtEntry!$G29</f>
        <v>26.52</v>
      </c>
      <c r="AA131" s="277"/>
      <c r="AB131" s="1255">
        <v>0.25128089587827895</v>
      </c>
      <c r="AC131" s="1255">
        <v>0.81260470947298025</v>
      </c>
      <c r="AD131" s="1255">
        <v>0.63688361340714605</v>
      </c>
      <c r="AE131" s="1255">
        <v>0.80231926004550647</v>
      </c>
      <c r="AF131" s="1255">
        <v>0.66525235416124928</v>
      </c>
      <c r="AG131" s="1255">
        <v>0.77809726860694739</v>
      </c>
      <c r="AH131" s="1255">
        <v>0.44803245453157259</v>
      </c>
      <c r="AI131" s="1255">
        <v>0.51474867226989307</v>
      </c>
      <c r="AJ131" s="1255">
        <v>2.7885771594198953E-4</v>
      </c>
      <c r="AK131" s="1255">
        <v>0.51008026160862563</v>
      </c>
      <c r="AL131" s="1255">
        <v>0.6025645032075615</v>
      </c>
      <c r="AM131" s="1255">
        <v>0.55850831081474261</v>
      </c>
      <c r="AN131" s="1255">
        <v>0.55661194174857531</v>
      </c>
      <c r="AO131" s="1255">
        <v>0.57304661604382467</v>
      </c>
      <c r="AP131" s="1255">
        <v>0.51878582771656068</v>
      </c>
      <c r="AQ131" s="1255">
        <v>0.63437631993723498</v>
      </c>
      <c r="AR131" s="1255">
        <v>0.79514935195499259</v>
      </c>
      <c r="AS131" s="1255">
        <v>0.79520198711722623</v>
      </c>
      <c r="AT131" s="1255">
        <v>1.5561201664581401</v>
      </c>
      <c r="AU131" s="1255">
        <v>1.5376647273642639</v>
      </c>
      <c r="AV131" s="1265">
        <f ca="1">Calc!BB29</f>
        <v>0.66029390577287095</v>
      </c>
      <c r="AW131" s="279"/>
      <c r="AX131" s="88" t="str">
        <f t="shared" ca="1" si="8"/>
        <v>MRNA</v>
      </c>
      <c r="BA131" s="253">
        <v>4163</v>
      </c>
      <c r="CP131" s="277"/>
      <c r="EH131" s="110"/>
    </row>
    <row r="132" spans="1:138" hidden="1">
      <c r="A132" s="241" t="str">
        <f t="shared" ca="1" si="7"/>
        <v>MSFT</v>
      </c>
      <c r="B132" s="250" t="str">
        <f ca="1">[1]ExtEntry!$D32</f>
        <v>USD</v>
      </c>
      <c r="C132" s="251"/>
      <c r="D132" s="841">
        <f>ROW()</f>
        <v>132</v>
      </c>
      <c r="E132" s="252"/>
      <c r="F132" s="253">
        <v>24.82</v>
      </c>
      <c r="G132" s="253">
        <v>25.1</v>
      </c>
      <c r="H132" s="253">
        <v>26.12</v>
      </c>
      <c r="I132" s="253">
        <v>28.02</v>
      </c>
      <c r="J132" s="253">
        <v>28.66</v>
      </c>
      <c r="K132" s="253">
        <v>27.614999999999998</v>
      </c>
      <c r="L132" s="253">
        <v>27.37</v>
      </c>
      <c r="M132" s="253">
        <v>28.1</v>
      </c>
      <c r="N132" s="253">
        <v>28.1</v>
      </c>
      <c r="O132" s="253">
        <v>27.24</v>
      </c>
      <c r="P132" s="253">
        <v>26.32</v>
      </c>
      <c r="Q132" s="253">
        <v>26.57</v>
      </c>
      <c r="R132" s="253">
        <v>27.844999999999999</v>
      </c>
      <c r="S132" s="253">
        <v>26.42</v>
      </c>
      <c r="T132" s="253">
        <v>26.41</v>
      </c>
      <c r="U132" s="253">
        <v>27.25</v>
      </c>
      <c r="V132" s="253">
        <v>27.21</v>
      </c>
      <c r="W132" s="253">
        <v>27.21</v>
      </c>
      <c r="X132" s="253">
        <v>25.82</v>
      </c>
      <c r="Y132" s="253">
        <v>26.52</v>
      </c>
      <c r="Z132" s="247">
        <f ca="1">[1]ExtEntry!$G30</f>
        <v>522.79</v>
      </c>
      <c r="AA132" s="277"/>
      <c r="AB132" s="1255">
        <v>0.31191736643712459</v>
      </c>
      <c r="AC132" s="1255">
        <v>0.76344100373625934</v>
      </c>
      <c r="AD132" s="1255">
        <v>1.41140620373484</v>
      </c>
      <c r="AE132" s="1255">
        <v>0.7954547506213423</v>
      </c>
      <c r="AF132" s="1255">
        <v>0.66071108480140983</v>
      </c>
      <c r="AG132" s="1255">
        <v>0.4977611883971983</v>
      </c>
      <c r="AH132" s="1255">
        <v>1.0365696713590091</v>
      </c>
      <c r="AI132" s="1255">
        <v>0.57117799143781767</v>
      </c>
      <c r="AJ132" s="1255">
        <v>7.4067725906355394E-4</v>
      </c>
      <c r="AK132" s="1255">
        <v>0.7176790380978022</v>
      </c>
      <c r="AL132" s="1255">
        <v>0.60182849497342061</v>
      </c>
      <c r="AM132" s="1255">
        <v>0.55183080617723457</v>
      </c>
      <c r="AN132" s="1255">
        <v>0.68106523740567049</v>
      </c>
      <c r="AO132" s="1255">
        <v>0.8901075085454867</v>
      </c>
      <c r="AP132" s="1255">
        <v>1.0920877480360058</v>
      </c>
      <c r="AQ132" s="1255">
        <v>0.58337054498431395</v>
      </c>
      <c r="AR132" s="1255">
        <v>0.70843140830169582</v>
      </c>
      <c r="AS132" s="1255">
        <v>0.71264852075918106</v>
      </c>
      <c r="AT132" s="1255">
        <v>0.87973962211205969</v>
      </c>
      <c r="AU132" s="1255">
        <v>0.6585892112132421</v>
      </c>
      <c r="AV132" s="1265">
        <f ca="1">Calc!BB30</f>
        <v>0.82918306541212305</v>
      </c>
      <c r="AW132" s="279"/>
      <c r="AX132" s="88" t="str">
        <f t="shared" ca="1" si="8"/>
        <v>MSFT</v>
      </c>
      <c r="BA132" s="253">
        <v>4262</v>
      </c>
      <c r="CP132" s="277"/>
      <c r="EH132" s="110"/>
    </row>
    <row r="133" spans="1:138" hidden="1">
      <c r="A133" s="241" t="str">
        <f t="shared" ca="1" si="7"/>
        <v>NEE</v>
      </c>
      <c r="B133" s="242" t="str">
        <f ca="1">[1]ExtEntry!$D33</f>
        <v>USD</v>
      </c>
      <c r="C133" s="243"/>
      <c r="D133" s="1202">
        <f>ROW()</f>
        <v>133</v>
      </c>
      <c r="E133" s="244"/>
      <c r="F133" s="253">
        <v>511.21</v>
      </c>
      <c r="G133" s="253">
        <v>513.24</v>
      </c>
      <c r="H133" s="253">
        <v>514.79999999999995</v>
      </c>
      <c r="I133" s="253">
        <v>517.64</v>
      </c>
      <c r="J133" s="253">
        <v>517.1</v>
      </c>
      <c r="K133" s="253">
        <v>528.28499999999997</v>
      </c>
      <c r="L133" s="253">
        <v>523.28</v>
      </c>
      <c r="M133" s="253">
        <v>522.33500000000004</v>
      </c>
      <c r="N133" s="253">
        <v>522.33500000000004</v>
      </c>
      <c r="O133" s="253">
        <v>516.02</v>
      </c>
      <c r="P133" s="253">
        <v>510</v>
      </c>
      <c r="Q133" s="253">
        <v>514.95000000000005</v>
      </c>
      <c r="R133" s="253">
        <v>512.58000000000004</v>
      </c>
      <c r="S133" s="253">
        <v>509.04</v>
      </c>
      <c r="T133" s="253">
        <v>514.61</v>
      </c>
      <c r="U133" s="253">
        <v>517.5</v>
      </c>
      <c r="V133" s="253">
        <v>521.15</v>
      </c>
      <c r="W133" s="253">
        <v>521.15</v>
      </c>
      <c r="X133" s="253">
        <v>522.46</v>
      </c>
      <c r="Y133" s="253">
        <v>522.79</v>
      </c>
      <c r="Z133" s="247">
        <f ca="1">[1]ExtEntry!$G31</f>
        <v>83.58</v>
      </c>
      <c r="AA133" s="277"/>
      <c r="AB133" s="1255">
        <v>0.36762882406650876</v>
      </c>
      <c r="AC133" s="1255">
        <v>0.95998780180387311</v>
      </c>
      <c r="AD133" s="1255">
        <v>1.105917571699554</v>
      </c>
      <c r="AE133" s="1255">
        <v>1.0527820967823556</v>
      </c>
      <c r="AF133" s="1255">
        <v>0.744774053558793</v>
      </c>
      <c r="AG133" s="1255">
        <v>0.72380514220703995</v>
      </c>
      <c r="AH133" s="1255">
        <v>0.66612086516052404</v>
      </c>
      <c r="AI133" s="1255">
        <v>0.92012443981421299</v>
      </c>
      <c r="AJ133" s="1255">
        <v>1.5097292856098802E-3</v>
      </c>
      <c r="AK133" s="1255">
        <v>0.71990860494719222</v>
      </c>
      <c r="AL133" s="1255">
        <v>0.68902944612026418</v>
      </c>
      <c r="AM133" s="1255">
        <v>0.46282941301935088</v>
      </c>
      <c r="AN133" s="1255">
        <v>0.79103754530934811</v>
      </c>
      <c r="AO133" s="1255">
        <v>1.0339002887440607</v>
      </c>
      <c r="AP133" s="1255">
        <v>0.76814982197929815</v>
      </c>
      <c r="AQ133" s="1255">
        <v>0.82069361306253552</v>
      </c>
      <c r="AR133" s="1255">
        <v>0.96644224946369739</v>
      </c>
      <c r="AS133" s="1255">
        <v>0.96647974570210671</v>
      </c>
      <c r="AT133" s="1255">
        <v>0.73842700630239333</v>
      </c>
      <c r="AU133" s="1255">
        <v>0.82617251519368551</v>
      </c>
      <c r="AV133" s="1265">
        <f ca="1">Calc!BB31</f>
        <v>0.61039410669672867</v>
      </c>
      <c r="AW133" s="279"/>
      <c r="AX133" s="88" t="str">
        <f t="shared" ca="1" si="8"/>
        <v>NEE</v>
      </c>
      <c r="BA133" s="253">
        <v>4361</v>
      </c>
      <c r="CP133" s="277"/>
      <c r="EH133" s="110"/>
    </row>
    <row r="134" spans="1:138" hidden="1">
      <c r="A134" s="241" t="str">
        <f t="shared" ca="1" si="7"/>
        <v>NEM</v>
      </c>
      <c r="B134" s="250" t="str">
        <f ca="1">[1]ExtEntry!$D34</f>
        <v>USD</v>
      </c>
      <c r="C134" s="251"/>
      <c r="D134" s="841">
        <f>ROW()</f>
        <v>134</v>
      </c>
      <c r="E134" s="252"/>
      <c r="F134" s="253">
        <v>75.625</v>
      </c>
      <c r="G134" s="253">
        <v>76.459999999999994</v>
      </c>
      <c r="H134" s="253">
        <v>76.325000000000003</v>
      </c>
      <c r="I134" s="253">
        <v>78.64</v>
      </c>
      <c r="J134" s="253">
        <v>78.45</v>
      </c>
      <c r="K134" s="253">
        <v>83.13</v>
      </c>
      <c r="L134" s="253">
        <v>83.7</v>
      </c>
      <c r="M134" s="253">
        <v>84.46</v>
      </c>
      <c r="N134" s="253">
        <v>84.46</v>
      </c>
      <c r="O134" s="253">
        <v>83.22</v>
      </c>
      <c r="P134" s="253">
        <v>84.19</v>
      </c>
      <c r="Q134" s="253">
        <v>85.04</v>
      </c>
      <c r="R134" s="253">
        <v>86.22</v>
      </c>
      <c r="S134" s="253">
        <v>85.45</v>
      </c>
      <c r="T134" s="253">
        <v>85.19</v>
      </c>
      <c r="U134" s="253">
        <v>85</v>
      </c>
      <c r="V134" s="253">
        <v>84.07</v>
      </c>
      <c r="W134" s="253">
        <v>84.07</v>
      </c>
      <c r="X134" s="253">
        <v>83.89</v>
      </c>
      <c r="Y134" s="253">
        <v>83.58</v>
      </c>
      <c r="Z134" s="247">
        <f ca="1">[1]ExtEntry!$G32</f>
        <v>82.54</v>
      </c>
      <c r="AA134" s="277"/>
      <c r="AB134" s="1255">
        <v>0.33752858823186127</v>
      </c>
      <c r="AC134" s="1255">
        <v>0.95560163931657294</v>
      </c>
      <c r="AD134" s="1255">
        <v>1.511756215940953</v>
      </c>
      <c r="AE134" s="1255">
        <v>0.90242733233665839</v>
      </c>
      <c r="AF134" s="1255">
        <v>1.1832636652302997</v>
      </c>
      <c r="AG134" s="1255">
        <v>1.540204747626096</v>
      </c>
      <c r="AH134" s="1255">
        <v>1.2804002694121044</v>
      </c>
      <c r="AI134" s="1255">
        <v>0.68046373059962617</v>
      </c>
      <c r="AJ134" s="1255">
        <v>2.2911411210189831E-4</v>
      </c>
      <c r="AK134" s="1255">
        <v>0.7810903429086361</v>
      </c>
      <c r="AL134" s="1255">
        <v>0.80985333101938861</v>
      </c>
      <c r="AM134" s="1255">
        <v>0.61611036751258641</v>
      </c>
      <c r="AN134" s="1255">
        <v>0.78374842490654884</v>
      </c>
      <c r="AO134" s="1255">
        <v>0.85775774189495779</v>
      </c>
      <c r="AP134" s="1255">
        <v>0.49045133395317253</v>
      </c>
      <c r="AQ134" s="1255">
        <v>0.69706675358816927</v>
      </c>
      <c r="AR134" s="1255">
        <v>0.88360520054394565</v>
      </c>
      <c r="AS134" s="1255">
        <v>0.88360548852870313</v>
      </c>
      <c r="AT134" s="1255">
        <v>0.54348858705048197</v>
      </c>
      <c r="AU134" s="1255">
        <v>0.60980803050369836</v>
      </c>
      <c r="AV134" s="1265">
        <f ca="1">Calc!BB32</f>
        <v>1.6303912010571617</v>
      </c>
      <c r="AW134" s="279"/>
      <c r="AX134" s="88" t="str">
        <f t="shared" ca="1" si="8"/>
        <v>NEM</v>
      </c>
      <c r="BA134" s="253">
        <v>4460</v>
      </c>
      <c r="CP134" s="277"/>
      <c r="EH134" s="110"/>
    </row>
    <row r="135" spans="1:138" hidden="1">
      <c r="A135" s="241" t="str">
        <f t="shared" ca="1" si="7"/>
        <v>NFLX</v>
      </c>
      <c r="B135" s="242" t="str">
        <f ca="1">[1]ExtEntry!$D35</f>
        <v>USD</v>
      </c>
      <c r="C135" s="243"/>
      <c r="D135" s="1202">
        <f>ROW()</f>
        <v>135</v>
      </c>
      <c r="E135" s="244"/>
      <c r="F135" s="253">
        <v>87.93</v>
      </c>
      <c r="G135" s="253">
        <v>83.57</v>
      </c>
      <c r="H135" s="253">
        <v>84.97</v>
      </c>
      <c r="I135" s="253">
        <v>86.93</v>
      </c>
      <c r="J135" s="253">
        <v>86.17</v>
      </c>
      <c r="K135" s="253">
        <v>88.64</v>
      </c>
      <c r="L135" s="253">
        <v>88.81</v>
      </c>
      <c r="M135" s="253">
        <v>88.54</v>
      </c>
      <c r="N135" s="253">
        <v>88.54</v>
      </c>
      <c r="O135" s="253">
        <v>88</v>
      </c>
      <c r="P135" s="253">
        <v>87.7</v>
      </c>
      <c r="Q135" s="253">
        <v>92.26</v>
      </c>
      <c r="R135" s="253">
        <v>95.04</v>
      </c>
      <c r="S135" s="253">
        <v>96.36</v>
      </c>
      <c r="T135" s="253">
        <v>93.86</v>
      </c>
      <c r="U135" s="253">
        <v>89.03</v>
      </c>
      <c r="V135" s="253">
        <v>83.09</v>
      </c>
      <c r="W135" s="253">
        <v>83.09</v>
      </c>
      <c r="X135" s="253">
        <v>89.15</v>
      </c>
      <c r="Y135" s="253">
        <v>82.54</v>
      </c>
      <c r="Z135" s="247">
        <f ca="1">[1]ExtEntry!$G33</f>
        <v>1111</v>
      </c>
      <c r="AA135" s="277"/>
      <c r="AB135" s="1255">
        <v>0.67557803367489599</v>
      </c>
      <c r="AC135" s="1255">
        <v>1.1183310007836755</v>
      </c>
      <c r="AD135" s="1255">
        <v>0.94815969694291125</v>
      </c>
      <c r="AE135" s="1255">
        <v>1.0146735398758842</v>
      </c>
      <c r="AF135" s="1255">
        <v>0.64566621491984777</v>
      </c>
      <c r="AG135" s="1255">
        <v>0.74442744603141142</v>
      </c>
      <c r="AH135" s="1255">
        <v>0.85436339304225273</v>
      </c>
      <c r="AI135" s="1255">
        <v>0.89063494650373998</v>
      </c>
      <c r="AJ135" s="1255">
        <v>1.5541500376295659E-3</v>
      </c>
      <c r="AK135" s="1255">
        <v>0.79505362312829442</v>
      </c>
      <c r="AL135" s="1255">
        <v>0.73614304363528482</v>
      </c>
      <c r="AM135" s="1255">
        <v>0.58182048030769118</v>
      </c>
      <c r="AN135" s="1255">
        <v>1.0799935463894499</v>
      </c>
      <c r="AO135" s="1255">
        <v>1.6389004097376347</v>
      </c>
      <c r="AP135" s="1255">
        <v>0.94729675777519262</v>
      </c>
      <c r="AQ135" s="1255">
        <v>1.3575846715291022</v>
      </c>
      <c r="AR135" s="1255">
        <v>1.1985824101588962</v>
      </c>
      <c r="AS135" s="1255">
        <v>1.1985872034550706</v>
      </c>
      <c r="AT135" s="1255">
        <v>1.1193396111995468</v>
      </c>
      <c r="AU135" s="1255">
        <v>1.626865193587236</v>
      </c>
      <c r="AV135" s="1265">
        <f ca="1">Calc!BB33</f>
        <v>1.5614994580883679</v>
      </c>
      <c r="AW135" s="279"/>
      <c r="AX135" s="88" t="str">
        <f t="shared" ca="1" si="8"/>
        <v>NFLX</v>
      </c>
      <c r="BA135" s="253">
        <v>4559</v>
      </c>
      <c r="CP135" s="277"/>
      <c r="EH135" s="110"/>
    </row>
    <row r="136" spans="1:138" hidden="1">
      <c r="A136" s="241" t="str">
        <f t="shared" ca="1" si="7"/>
        <v>NOTE</v>
      </c>
      <c r="B136" s="250" t="str">
        <f ca="1">[1]ExtEntry!$D36</f>
        <v>USD</v>
      </c>
      <c r="C136" s="251"/>
      <c r="D136" s="841">
        <f>ROW()</f>
        <v>136</v>
      </c>
      <c r="E136" s="252"/>
      <c r="F136" s="253">
        <v>1205</v>
      </c>
      <c r="G136" s="253">
        <v>1206.4100000000001</v>
      </c>
      <c r="H136" s="253">
        <v>1175.49</v>
      </c>
      <c r="I136" s="253">
        <v>1161.5</v>
      </c>
      <c r="J136" s="253">
        <v>1165</v>
      </c>
      <c r="K136" s="253">
        <v>1177.79</v>
      </c>
      <c r="L136" s="253">
        <v>1197.1099999999999</v>
      </c>
      <c r="M136" s="253">
        <v>1214.25</v>
      </c>
      <c r="N136" s="253">
        <v>1214.25</v>
      </c>
      <c r="O136" s="253">
        <v>1221.3499999999999</v>
      </c>
      <c r="P136" s="253">
        <v>1214.75</v>
      </c>
      <c r="Q136" s="253">
        <v>1213.01</v>
      </c>
      <c r="R136" s="253">
        <v>1212.1500000000001</v>
      </c>
      <c r="S136" s="253">
        <v>1183.5999999999999</v>
      </c>
      <c r="T136" s="253">
        <v>1207.875</v>
      </c>
      <c r="U136" s="253">
        <v>1242.83</v>
      </c>
      <c r="V136" s="253">
        <v>1142.9000000000001</v>
      </c>
      <c r="W136" s="253">
        <v>1142.9000000000001</v>
      </c>
      <c r="X136" s="253">
        <v>1126.9000000000001</v>
      </c>
      <c r="Y136" s="253">
        <v>1111</v>
      </c>
      <c r="Z136" s="247">
        <f ca="1">[1]ExtEntry!$G34</f>
        <v>4.4800000000000004</v>
      </c>
      <c r="AA136" s="277"/>
      <c r="AB136" s="1255">
        <v>0.60587869139821493</v>
      </c>
      <c r="AC136" s="1255">
        <v>1.3692402538946986</v>
      </c>
      <c r="AD136" s="1255">
        <v>1.4483946160728345</v>
      </c>
      <c r="AE136" s="1255">
        <v>1.6034332877883439</v>
      </c>
      <c r="AF136" s="1255">
        <v>1.0307873341891314</v>
      </c>
      <c r="AG136" s="1255">
        <v>1.075023114945324</v>
      </c>
      <c r="AH136" s="1255">
        <v>0.9140343980501674</v>
      </c>
      <c r="AI136" s="1255">
        <v>0.90109661651698192</v>
      </c>
      <c r="AJ136" s="1255">
        <v>9.7401799027195546E-4</v>
      </c>
      <c r="AK136" s="1255">
        <v>0.71381633850995163</v>
      </c>
      <c r="AL136" s="1255">
        <v>0.70670703237535137</v>
      </c>
      <c r="AM136" s="1255">
        <v>0.43091709232963743</v>
      </c>
      <c r="AN136" s="1255">
        <v>0.88190796320128106</v>
      </c>
      <c r="AO136" s="1255">
        <v>0.9582596111095989</v>
      </c>
      <c r="AP136" s="1255">
        <v>1.2981285340576534</v>
      </c>
      <c r="AQ136" s="1255">
        <v>1.9413076509623137</v>
      </c>
      <c r="AR136" s="1255">
        <v>4.466409653455476</v>
      </c>
      <c r="AS136" s="1255">
        <v>4.4668826575591396</v>
      </c>
      <c r="AT136" s="1255">
        <v>1.8388845903905087</v>
      </c>
      <c r="AU136" s="1255">
        <v>1.5521820491512814</v>
      </c>
      <c r="AV136" s="1265">
        <f ca="1">Calc!BB34</f>
        <v>0.73766131524346279</v>
      </c>
      <c r="AW136" s="279"/>
      <c r="AX136" s="88" t="str">
        <f t="shared" ca="1" si="8"/>
        <v>NOTE</v>
      </c>
      <c r="BA136" s="253">
        <v>4658</v>
      </c>
      <c r="CP136" s="277"/>
      <c r="EH136" s="110"/>
    </row>
    <row r="137" spans="1:138" hidden="1">
      <c r="A137" s="241" t="str">
        <f t="shared" ref="A137:A168" ca="1" si="9">A37</f>
        <v>PAAS</v>
      </c>
      <c r="B137" s="242" t="str">
        <f ca="1">[1]ExtEntry!$D37</f>
        <v>USD</v>
      </c>
      <c r="C137" s="243"/>
      <c r="D137" s="1202">
        <f>ROW()</f>
        <v>137</v>
      </c>
      <c r="E137" s="244"/>
      <c r="F137" s="253">
        <v>4.6399999999999997</v>
      </c>
      <c r="G137" s="253">
        <v>4.6500000000000004</v>
      </c>
      <c r="H137" s="253">
        <v>4.5599999999999996</v>
      </c>
      <c r="I137" s="253">
        <v>4.7300000000000004</v>
      </c>
      <c r="J137" s="253">
        <v>5.09</v>
      </c>
      <c r="K137" s="253">
        <v>5.2</v>
      </c>
      <c r="L137" s="253">
        <v>5.0999999999999996</v>
      </c>
      <c r="M137" s="253">
        <v>5.32</v>
      </c>
      <c r="N137" s="253">
        <v>5.32</v>
      </c>
      <c r="O137" s="253">
        <v>4.8</v>
      </c>
      <c r="P137" s="253">
        <v>4.53</v>
      </c>
      <c r="Q137" s="253">
        <v>4.93</v>
      </c>
      <c r="R137" s="253">
        <v>4.68</v>
      </c>
      <c r="S137" s="253">
        <v>4.34</v>
      </c>
      <c r="T137" s="253">
        <v>4.37</v>
      </c>
      <c r="U137" s="253">
        <v>4.46</v>
      </c>
      <c r="V137" s="253">
        <v>4.5</v>
      </c>
      <c r="W137" s="253">
        <v>4.5</v>
      </c>
      <c r="X137" s="253">
        <v>4.2699999999999996</v>
      </c>
      <c r="Y137" s="253">
        <v>4.4800000000000004</v>
      </c>
      <c r="Z137" s="247">
        <f ca="1">[1]ExtEntry!$G35</f>
        <v>35.619999999999997</v>
      </c>
      <c r="AA137" s="277"/>
      <c r="AB137" s="1255">
        <v>0.29609142283645362</v>
      </c>
      <c r="AC137" s="1255">
        <v>0.40784816679317493</v>
      </c>
      <c r="AD137" s="1255">
        <v>0.41860663318613262</v>
      </c>
      <c r="AE137" s="1255">
        <v>0.75302256054998751</v>
      </c>
      <c r="AF137" s="1255">
        <v>1.7313082280271757</v>
      </c>
      <c r="AG137" s="1255">
        <v>0.87204599639004265</v>
      </c>
      <c r="AH137" s="1255">
        <v>0.86453338069583407</v>
      </c>
      <c r="AI137" s="1255">
        <v>1.1352976270918278</v>
      </c>
      <c r="AJ137" s="1255">
        <v>2.8511815098406965E-3</v>
      </c>
      <c r="AK137" s="1255">
        <v>0.93201192583242243</v>
      </c>
      <c r="AL137" s="1255">
        <v>0.82179547644923823</v>
      </c>
      <c r="AM137" s="1255">
        <v>0.81423601543124824</v>
      </c>
      <c r="AN137" s="1255">
        <v>1.3290193768942387</v>
      </c>
      <c r="AO137" s="1255">
        <v>0.89102842629193557</v>
      </c>
      <c r="AP137" s="1255">
        <v>0.66600253186408498</v>
      </c>
      <c r="AQ137" s="1255">
        <v>0.47786254516728355</v>
      </c>
      <c r="AR137" s="1255">
        <v>0.69580783253227063</v>
      </c>
      <c r="AS137" s="1255">
        <v>0.69580783253227063</v>
      </c>
      <c r="AT137" s="1255">
        <v>0.68196739189705002</v>
      </c>
      <c r="AU137" s="1255">
        <v>0.73667907647482966</v>
      </c>
      <c r="AV137" s="1265">
        <f ca="1">Calc!BB35</f>
        <v>0.52479457239055072</v>
      </c>
      <c r="AW137" s="279"/>
      <c r="AX137" s="88" t="str">
        <f t="shared" ref="AX137:AX168" ca="1" si="10">A137</f>
        <v>PAAS</v>
      </c>
      <c r="BA137" s="253">
        <v>4757</v>
      </c>
      <c r="CP137" s="277"/>
      <c r="EH137" s="110"/>
    </row>
    <row r="138" spans="1:138" hidden="1">
      <c r="A138" s="241" t="str">
        <f t="shared" ca="1" si="9"/>
        <v>PROF</v>
      </c>
      <c r="B138" s="250" t="str">
        <f ca="1">[1]ExtEntry!$D38</f>
        <v>USD</v>
      </c>
      <c r="C138" s="251"/>
      <c r="D138" s="841">
        <f>ROW()</f>
        <v>138</v>
      </c>
      <c r="E138" s="252"/>
      <c r="F138" s="253">
        <v>39.380000000000003</v>
      </c>
      <c r="G138" s="253">
        <v>37.81</v>
      </c>
      <c r="H138" s="253">
        <v>39.57</v>
      </c>
      <c r="I138" s="253">
        <v>39.83</v>
      </c>
      <c r="J138" s="253">
        <v>39.5</v>
      </c>
      <c r="K138" s="253">
        <v>40</v>
      </c>
      <c r="L138" s="253">
        <v>40.64</v>
      </c>
      <c r="M138" s="253">
        <v>40.545000000000002</v>
      </c>
      <c r="N138" s="253">
        <v>40.545000000000002</v>
      </c>
      <c r="O138" s="253">
        <v>40.159999999999997</v>
      </c>
      <c r="P138" s="253">
        <v>39.85</v>
      </c>
      <c r="Q138" s="253">
        <v>40.44</v>
      </c>
      <c r="R138" s="253">
        <v>41.6</v>
      </c>
      <c r="S138" s="253">
        <v>40.950000000000003</v>
      </c>
      <c r="T138" s="253">
        <v>39.409999999999997</v>
      </c>
      <c r="U138" s="253">
        <v>36.049999999999997</v>
      </c>
      <c r="V138" s="253">
        <v>34.36</v>
      </c>
      <c r="W138" s="253">
        <v>34.36</v>
      </c>
      <c r="X138" s="253">
        <v>36.950000000000003</v>
      </c>
      <c r="Y138" s="253">
        <v>35.619999999999997</v>
      </c>
      <c r="Z138" s="247">
        <f ca="1">[1]ExtEntry!$G36</f>
        <v>5.38</v>
      </c>
      <c r="AA138" s="277"/>
      <c r="AB138" s="1255">
        <v>0.48007010746199452</v>
      </c>
      <c r="AC138" s="1255">
        <v>0.91451477514539348</v>
      </c>
      <c r="AD138" s="1255">
        <v>0.85592714884799082</v>
      </c>
      <c r="AE138" s="1255">
        <v>0.89352227482746427</v>
      </c>
      <c r="AF138" s="1255">
        <v>0.62208086588405498</v>
      </c>
      <c r="AG138" s="1255">
        <v>0.56772170556096224</v>
      </c>
      <c r="AH138" s="1255">
        <v>1.1343852539063863</v>
      </c>
      <c r="AI138" s="1255">
        <v>1.3456052135933205</v>
      </c>
      <c r="AJ138" s="1255">
        <v>2.8877847253551514E-3</v>
      </c>
      <c r="AK138" s="1255">
        <v>1.0261715396055837</v>
      </c>
      <c r="AL138" s="1255">
        <v>1.0418068687774156</v>
      </c>
      <c r="AM138" s="1255">
        <v>0.76687161679430604</v>
      </c>
      <c r="AN138" s="1255">
        <v>1.0212383039709105</v>
      </c>
      <c r="AO138" s="1255">
        <v>1.2920173521623526</v>
      </c>
      <c r="AP138" s="1255">
        <v>0.68061552419611904</v>
      </c>
      <c r="AQ138" s="1255">
        <v>1.3565011172883199</v>
      </c>
      <c r="AR138" s="1255">
        <v>0.92575741302016068</v>
      </c>
      <c r="AS138" s="1255">
        <v>0.92576737037744627</v>
      </c>
      <c r="AT138" s="1255">
        <v>0.47076347077658948</v>
      </c>
      <c r="AU138" s="1255">
        <v>0.52309837743145404</v>
      </c>
      <c r="AV138" s="1265">
        <f ca="1">Calc!BB36</f>
        <v>0.70349137663733641</v>
      </c>
      <c r="AW138" s="279"/>
      <c r="AX138" s="88" t="str">
        <f t="shared" ca="1" si="10"/>
        <v>PROF</v>
      </c>
      <c r="BA138" s="253">
        <v>4856</v>
      </c>
      <c r="CP138" s="277"/>
      <c r="EH138" s="110"/>
    </row>
    <row r="139" spans="1:138" hidden="1">
      <c r="A139" s="241" t="str">
        <f t="shared" ca="1" si="9"/>
        <v>POET</v>
      </c>
      <c r="B139" s="242" t="str">
        <f ca="1">[1]ExtEntry!$D39</f>
        <v>USD</v>
      </c>
      <c r="C139" s="243"/>
      <c r="D139" s="1202">
        <f>ROW()</f>
        <v>139</v>
      </c>
      <c r="E139" s="244"/>
      <c r="F139" s="253">
        <v>5.25</v>
      </c>
      <c r="G139" s="253">
        <v>5.09</v>
      </c>
      <c r="H139" s="253">
        <v>4.9000000000000004</v>
      </c>
      <c r="I139" s="253">
        <v>4.91</v>
      </c>
      <c r="J139" s="253">
        <v>5.34</v>
      </c>
      <c r="K139" s="253">
        <v>5.92</v>
      </c>
      <c r="L139" s="253">
        <v>6.4</v>
      </c>
      <c r="M139" s="253">
        <v>6.81</v>
      </c>
      <c r="N139" s="253">
        <v>6.81</v>
      </c>
      <c r="O139" s="253">
        <v>5.91</v>
      </c>
      <c r="P139" s="253">
        <v>5.95</v>
      </c>
      <c r="Q139" s="253">
        <v>5.89</v>
      </c>
      <c r="R139" s="253">
        <v>5.77</v>
      </c>
      <c r="S139" s="253">
        <v>5.54</v>
      </c>
      <c r="T139" s="253">
        <v>5.6</v>
      </c>
      <c r="U139" s="253">
        <v>5.83</v>
      </c>
      <c r="V139" s="253">
        <v>5.7</v>
      </c>
      <c r="W139" s="253">
        <v>5.7</v>
      </c>
      <c r="X139" s="253">
        <v>5.6</v>
      </c>
      <c r="Y139" s="253">
        <v>5.38</v>
      </c>
      <c r="Z139" s="247">
        <f ca="1">[1]ExtEntry!$G37</f>
        <v>7.5750000000000002</v>
      </c>
      <c r="AA139" s="277"/>
      <c r="AB139" s="1255">
        <v>0.13851115964833996</v>
      </c>
      <c r="AC139" s="1255">
        <v>0.35526326221566806</v>
      </c>
      <c r="AD139" s="1255">
        <v>0.37817385322189101</v>
      </c>
      <c r="AE139" s="1255">
        <v>0.77943792804849243</v>
      </c>
      <c r="AF139" s="1255">
        <v>0.45116354283778165</v>
      </c>
      <c r="AG139" s="1255">
        <v>1.4346646277472939</v>
      </c>
      <c r="AH139" s="1255">
        <v>1.3546074840192488</v>
      </c>
      <c r="AI139" s="1255">
        <v>1.4220764922035205</v>
      </c>
      <c r="AJ139" s="1255">
        <v>1.4220764922035205</v>
      </c>
      <c r="AK139" s="1255">
        <v>0.28204333965746442</v>
      </c>
      <c r="AL139" s="1255">
        <v>0.43079191898099811</v>
      </c>
      <c r="AM139" s="1255">
        <v>0.22563622657204502</v>
      </c>
      <c r="AN139" s="1255">
        <v>0.35328250851794318</v>
      </c>
      <c r="AO139" s="1255">
        <v>8.5319958125173928E-2</v>
      </c>
      <c r="AP139" s="1255">
        <v>0.32619071593998589</v>
      </c>
      <c r="AQ139" s="1255">
        <v>0.14379855669130578</v>
      </c>
      <c r="AR139" s="1255">
        <v>0.43676550598476604</v>
      </c>
      <c r="AS139" s="1255">
        <v>0.43676550598476604</v>
      </c>
      <c r="AT139" s="1255">
        <v>0.28369034019859002</v>
      </c>
      <c r="AU139" s="1255">
        <v>0.70349137663733641</v>
      </c>
      <c r="AV139" s="1265">
        <f ca="1">Calc!BB37</f>
        <v>1.322523558249018</v>
      </c>
      <c r="AW139" s="279"/>
      <c r="AX139" s="88" t="str">
        <f t="shared" ca="1" si="10"/>
        <v>POET</v>
      </c>
      <c r="BA139" s="253">
        <v>4955</v>
      </c>
      <c r="CP139" s="277"/>
      <c r="EH139" s="110"/>
    </row>
    <row r="140" spans="1:138" hidden="1">
      <c r="A140" s="241" t="str">
        <f t="shared" ca="1" si="9"/>
        <v>PW</v>
      </c>
      <c r="B140" s="250" t="str">
        <f ca="1">[1]ExtEntry!$D40</f>
        <v>EUR</v>
      </c>
      <c r="C140" s="251"/>
      <c r="D140" s="841">
        <f>ROW()</f>
        <v>140</v>
      </c>
      <c r="E140" s="252"/>
      <c r="F140" s="253">
        <v>5.83</v>
      </c>
      <c r="G140" s="253">
        <v>5.48</v>
      </c>
      <c r="H140" s="253">
        <v>5.5250000000000004</v>
      </c>
      <c r="I140" s="253">
        <v>6.26</v>
      </c>
      <c r="J140" s="253">
        <v>6.51</v>
      </c>
      <c r="K140" s="253">
        <v>6.73</v>
      </c>
      <c r="L140" s="253">
        <v>8.5250000000000004</v>
      </c>
      <c r="M140" s="253">
        <v>9.2550000000000008</v>
      </c>
      <c r="N140" s="253">
        <v>9.2550000000000008</v>
      </c>
      <c r="O140" s="253">
        <v>7.91</v>
      </c>
      <c r="P140" s="253">
        <v>8</v>
      </c>
      <c r="Q140" s="253">
        <v>9.35</v>
      </c>
      <c r="R140" s="253">
        <v>8.56</v>
      </c>
      <c r="S140" s="253">
        <v>7.4</v>
      </c>
      <c r="T140" s="253">
        <v>7.19</v>
      </c>
      <c r="U140" s="253">
        <v>7.8949999999999996</v>
      </c>
      <c r="V140" s="253">
        <v>7.74</v>
      </c>
      <c r="W140" s="253">
        <v>7.74</v>
      </c>
      <c r="X140" s="253">
        <v>7.2750000000000004</v>
      </c>
      <c r="Y140" s="253">
        <v>7.5750000000000002</v>
      </c>
      <c r="Z140" s="247">
        <f ca="1">[1]ExtEntry!$G38</f>
        <v>0.71</v>
      </c>
      <c r="AA140" s="277"/>
      <c r="AB140" s="1255">
        <v>1.6811801116672636</v>
      </c>
      <c r="AC140" s="1255">
        <v>1.3704612122937074</v>
      </c>
      <c r="AD140" s="1255">
        <v>1.8656956262858693</v>
      </c>
      <c r="AE140" s="1255">
        <v>2.4056369656617056</v>
      </c>
      <c r="AF140" s="1255">
        <v>1.6110364169686029</v>
      </c>
      <c r="AG140" s="1255">
        <v>13.588874401236973</v>
      </c>
      <c r="AH140" s="1255">
        <v>13.077889924669092</v>
      </c>
      <c r="AI140" s="1255">
        <v>4.7274719570118906</v>
      </c>
      <c r="AJ140" s="1255">
        <v>1.0923340372171226E-2</v>
      </c>
      <c r="AK140" s="1255">
        <v>1.9620816670992864</v>
      </c>
      <c r="AL140" s="1255">
        <v>1.9951578742484031</v>
      </c>
      <c r="AM140" s="1255">
        <v>1.7350178573023305</v>
      </c>
      <c r="AN140" s="1255">
        <v>1.0962783350362724</v>
      </c>
      <c r="AO140" s="1255">
        <v>0.86713133451711966</v>
      </c>
      <c r="AP140" s="1255">
        <v>0.98463979046828165</v>
      </c>
      <c r="AQ140" s="1255">
        <v>0.90922091106489467</v>
      </c>
      <c r="AR140" s="1255">
        <v>1.8875301669134383</v>
      </c>
      <c r="AS140" s="1255">
        <v>1.887625254673692</v>
      </c>
      <c r="AT140" s="1255">
        <v>0.78222876062564051</v>
      </c>
      <c r="AU140" s="1255">
        <v>1.3153972389448818</v>
      </c>
      <c r="AV140" s="1265">
        <f ca="1">Calc!BB38</f>
        <v>4.7314187776941727</v>
      </c>
      <c r="AW140" s="279"/>
      <c r="AX140" s="88" t="str">
        <f t="shared" ca="1" si="10"/>
        <v>PW</v>
      </c>
      <c r="BA140" s="253">
        <v>5054</v>
      </c>
      <c r="CP140" s="277"/>
      <c r="EH140" s="110"/>
    </row>
    <row r="141" spans="1:138" hidden="1">
      <c r="A141" s="241" t="str">
        <f t="shared" ca="1" si="9"/>
        <v>RIGL</v>
      </c>
      <c r="B141" s="242" t="str">
        <f ca="1">[1]ExtEntry!$D41</f>
        <v>EUR</v>
      </c>
      <c r="C141" s="243"/>
      <c r="D141" s="1202">
        <f>ROW()</f>
        <v>141</v>
      </c>
      <c r="E141" s="244"/>
      <c r="F141" s="253">
        <v>1</v>
      </c>
      <c r="G141" s="253">
        <v>1.05</v>
      </c>
      <c r="H141" s="253">
        <v>0.97</v>
      </c>
      <c r="I141" s="253">
        <v>1.04</v>
      </c>
      <c r="J141" s="253">
        <v>1.03</v>
      </c>
      <c r="K141" s="253">
        <v>1.05</v>
      </c>
      <c r="L141" s="253">
        <v>1.05</v>
      </c>
      <c r="M141" s="253">
        <v>0.99</v>
      </c>
      <c r="N141" s="253">
        <v>0.99</v>
      </c>
      <c r="O141" s="253">
        <v>0.90149999999999997</v>
      </c>
      <c r="P141" s="253">
        <v>0.8619</v>
      </c>
      <c r="Q141" s="253">
        <v>0.9</v>
      </c>
      <c r="R141" s="253">
        <v>0.93989999999999996</v>
      </c>
      <c r="S141" s="253">
        <v>0.9</v>
      </c>
      <c r="T141" s="253">
        <v>0.84</v>
      </c>
      <c r="U141" s="253">
        <v>0.78</v>
      </c>
      <c r="V141" s="253">
        <v>0.72</v>
      </c>
      <c r="W141" s="253">
        <v>0.72</v>
      </c>
      <c r="X141" s="253">
        <v>0.69</v>
      </c>
      <c r="Y141" s="253">
        <v>0.71</v>
      </c>
      <c r="Z141" s="247">
        <f ca="1">[1]ExtEntry!$G39</f>
        <v>29.71</v>
      </c>
      <c r="AA141" s="277"/>
      <c r="AB141" s="1255">
        <v>0.24663992203259219</v>
      </c>
      <c r="AC141" s="1255">
        <v>0.15087754660216643</v>
      </c>
      <c r="AD141" s="1255">
        <v>0.1855009865684947</v>
      </c>
      <c r="AE141" s="1255">
        <v>0.2313994644442216</v>
      </c>
      <c r="AF141" s="1255">
        <v>0.11602875287042508</v>
      </c>
      <c r="AG141" s="1255">
        <v>0.18389385396721281</v>
      </c>
      <c r="AH141" s="1255">
        <v>0.46994380649890055</v>
      </c>
      <c r="AI141" s="1255">
        <v>0.35483652051673575</v>
      </c>
      <c r="AJ141" s="1255">
        <v>0.35504980731476771</v>
      </c>
      <c r="AK141" s="1255">
        <v>0.31013114208991016</v>
      </c>
      <c r="AL141" s="1255">
        <v>0.39466161114621889</v>
      </c>
      <c r="AM141" s="1255">
        <v>9.7452967722995928E-2</v>
      </c>
      <c r="AN141" s="1255">
        <v>0.32614738526147385</v>
      </c>
      <c r="AO141" s="1255">
        <v>0.34969690598829672</v>
      </c>
      <c r="AP141" s="1255">
        <v>0.10088357948748428</v>
      </c>
      <c r="AQ141" s="1255">
        <v>0.27680494148891199</v>
      </c>
      <c r="AR141" s="1255">
        <v>0.31051960755253877</v>
      </c>
      <c r="AS141" s="1255">
        <v>0.31051960755253877</v>
      </c>
      <c r="AT141" s="1255">
        <v>2.6567245037696949</v>
      </c>
      <c r="AU141" s="1255">
        <v>4.5799264275562246</v>
      </c>
      <c r="AV141" s="1265">
        <f ca="1">Calc!BB39</f>
        <v>0.48854361342578145</v>
      </c>
      <c r="AW141" s="279"/>
      <c r="AX141" s="88" t="str">
        <f t="shared" ca="1" si="10"/>
        <v>RIGL</v>
      </c>
      <c r="BA141" s="253">
        <v>5153</v>
      </c>
      <c r="CP141" s="277"/>
      <c r="EH141" s="110"/>
    </row>
    <row r="142" spans="1:138" hidden="1">
      <c r="A142" s="241" t="str">
        <f t="shared" ca="1" si="9"/>
        <v>RWE</v>
      </c>
      <c r="B142" s="250" t="str">
        <f ca="1">[1]ExtEntry!$D42</f>
        <v>USD</v>
      </c>
      <c r="C142" s="251"/>
      <c r="D142" s="841">
        <f>ROW()</f>
        <v>142</v>
      </c>
      <c r="E142" s="252"/>
      <c r="F142" s="253">
        <v>28.72</v>
      </c>
      <c r="G142" s="253">
        <v>28.64</v>
      </c>
      <c r="H142" s="253">
        <v>28.32</v>
      </c>
      <c r="I142" s="253">
        <v>28.48</v>
      </c>
      <c r="J142" s="253">
        <v>28.04</v>
      </c>
      <c r="K142" s="253">
        <v>28.95</v>
      </c>
      <c r="L142" s="253">
        <v>30.25</v>
      </c>
      <c r="M142" s="253">
        <v>28.55</v>
      </c>
      <c r="N142" s="253">
        <v>28.55</v>
      </c>
      <c r="O142" s="253">
        <v>28.25</v>
      </c>
      <c r="P142" s="253">
        <v>26.49</v>
      </c>
      <c r="Q142" s="253">
        <v>27.45</v>
      </c>
      <c r="R142" s="253">
        <v>28.45</v>
      </c>
      <c r="S142" s="253">
        <v>28.02</v>
      </c>
      <c r="T142" s="253">
        <v>28.3</v>
      </c>
      <c r="U142" s="253">
        <v>29.5</v>
      </c>
      <c r="V142" s="253">
        <v>30.25</v>
      </c>
      <c r="W142" s="253">
        <v>30.25</v>
      </c>
      <c r="X142" s="253">
        <v>30.69</v>
      </c>
      <c r="Y142" s="253">
        <v>29.71</v>
      </c>
      <c r="Z142" s="247">
        <f ca="1">[1]ExtEntry!$G40</f>
        <v>40.33</v>
      </c>
      <c r="AA142" s="277"/>
      <c r="AB142" s="1255">
        <v>0.28123016894208758</v>
      </c>
      <c r="AC142" s="1255">
        <v>0.90912914456620786</v>
      </c>
      <c r="AD142" s="1255">
        <v>0.62481439165691366</v>
      </c>
      <c r="AE142" s="1255">
        <v>0.66959708205446489</v>
      </c>
      <c r="AF142" s="1255">
        <v>0.6987246878321125</v>
      </c>
      <c r="AG142" s="1255">
        <v>1.0216745834298486</v>
      </c>
      <c r="AH142" s="1255">
        <v>1.6756964306587812</v>
      </c>
      <c r="AI142" s="1255">
        <v>0.7678482015735415</v>
      </c>
      <c r="AJ142" s="1255">
        <v>1.4368253995898517E-4</v>
      </c>
      <c r="AK142" s="1255">
        <v>0.94310378225490499</v>
      </c>
      <c r="AL142" s="1255">
        <v>0.59891528659324278</v>
      </c>
      <c r="AM142" s="1255">
        <v>0.37785167191409857</v>
      </c>
      <c r="AN142" s="1255">
        <v>0.53181731409441602</v>
      </c>
      <c r="AO142" s="1255">
        <v>0.607124315426256</v>
      </c>
      <c r="AP142" s="1255">
        <v>0.53916974850022703</v>
      </c>
      <c r="AQ142" s="1255">
        <v>0.63169977724235127</v>
      </c>
      <c r="AR142" s="1255">
        <v>0.97536825715181963</v>
      </c>
      <c r="AS142" s="1255">
        <v>0.97536825715181963</v>
      </c>
      <c r="AT142" s="1255">
        <v>0.71945610330754073</v>
      </c>
      <c r="AU142" s="1255">
        <v>0.48854032891128196</v>
      </c>
      <c r="AV142" s="1265">
        <f ca="1">Calc!BB40</f>
        <v>0.73562425007112731</v>
      </c>
      <c r="AW142" s="279"/>
      <c r="AX142" s="88" t="str">
        <f t="shared" ca="1" si="10"/>
        <v>RWE</v>
      </c>
      <c r="BA142" s="253">
        <v>5252</v>
      </c>
      <c r="CP142" s="277"/>
      <c r="EH142" s="110"/>
    </row>
    <row r="143" spans="1:138" hidden="1">
      <c r="A143" s="241" t="str">
        <f t="shared" ca="1" si="9"/>
        <v>SAP</v>
      </c>
      <c r="B143" s="242" t="str">
        <f ca="1">[1]ExtEntry!$D43</f>
        <v>USD</v>
      </c>
      <c r="C143" s="243"/>
      <c r="D143" s="1202">
        <f>ROW()</f>
        <v>143</v>
      </c>
      <c r="E143" s="244"/>
      <c r="F143" s="253">
        <v>37.950000000000003</v>
      </c>
      <c r="G143" s="253">
        <v>37.729999999999997</v>
      </c>
      <c r="H143" s="253">
        <v>37.78</v>
      </c>
      <c r="I143" s="253">
        <v>39.17</v>
      </c>
      <c r="J143" s="253">
        <v>39.01</v>
      </c>
      <c r="K143" s="253">
        <v>39.76</v>
      </c>
      <c r="L143" s="253">
        <v>40.14</v>
      </c>
      <c r="M143" s="253">
        <v>40.409999999999997</v>
      </c>
      <c r="N143" s="253">
        <v>40.44</v>
      </c>
      <c r="O143" s="253">
        <v>40.42</v>
      </c>
      <c r="P143" s="253">
        <v>40.700000000000003</v>
      </c>
      <c r="Q143" s="253">
        <v>40.67</v>
      </c>
      <c r="R143" s="253">
        <v>40.85</v>
      </c>
      <c r="S143" s="253">
        <v>41.14</v>
      </c>
      <c r="T143" s="253">
        <v>40.86</v>
      </c>
      <c r="U143" s="253">
        <v>40.869999999999997</v>
      </c>
      <c r="V143" s="253">
        <v>40.58</v>
      </c>
      <c r="W143" s="253">
        <v>40.58</v>
      </c>
      <c r="X143" s="253">
        <v>39.78</v>
      </c>
      <c r="Y143" s="253">
        <v>40.340000000000003</v>
      </c>
      <c r="Z143" s="247">
        <f ca="1">[1]ExtEntry!$G41</f>
        <v>241.25</v>
      </c>
      <c r="AA143" s="277"/>
      <c r="AB143" s="1255">
        <v>0.67930387037516304</v>
      </c>
      <c r="AC143" s="1255">
        <v>3.1406518793673024E-3</v>
      </c>
      <c r="AD143" s="1255">
        <v>5.4373114161189061E-3</v>
      </c>
      <c r="AE143" s="1255">
        <v>3.4137619204209144E-3</v>
      </c>
      <c r="AF143" s="1255">
        <v>2.8445264488105365E-4</v>
      </c>
      <c r="AG143" s="1255">
        <v>3.5403091583539113E-3</v>
      </c>
      <c r="AH143" s="1255">
        <v>6.6089191787183947E-3</v>
      </c>
      <c r="AI143" s="1255">
        <v>4.1801317832710792E-3</v>
      </c>
      <c r="AJ143" s="1255">
        <v>1.3359168364373559E-3</v>
      </c>
      <c r="AK143" s="1255">
        <v>2.3245952394333096E-3</v>
      </c>
      <c r="AL143" s="1255">
        <v>1.0585849090342457E-3</v>
      </c>
      <c r="AM143" s="1255">
        <v>3.3320044160942098E-3</v>
      </c>
      <c r="AN143" s="1255">
        <v>3.4787200771112009E-3</v>
      </c>
      <c r="AO143" s="1255">
        <v>2.6549612375659317E-3</v>
      </c>
      <c r="AP143" s="1255">
        <v>1.819630684912659E-3</v>
      </c>
      <c r="AQ143" s="1255">
        <v>2.6084812905962816E-3</v>
      </c>
      <c r="AR143" s="1255">
        <v>1.7585367412511838E-2</v>
      </c>
      <c r="AS143" s="1255">
        <v>1.7585367412511838E-2</v>
      </c>
      <c r="AT143" s="1255">
        <v>1.3090727062124202E-3</v>
      </c>
      <c r="AU143" s="1255">
        <v>1.0127996926676795E-3</v>
      </c>
      <c r="AV143" s="1265">
        <f ca="1">Calc!BB41</f>
        <v>1.4654710415921433</v>
      </c>
      <c r="AW143" s="279"/>
      <c r="AX143" s="88" t="str">
        <f t="shared" ca="1" si="10"/>
        <v>SAP</v>
      </c>
      <c r="BA143" s="253">
        <v>5351</v>
      </c>
      <c r="CP143" s="277"/>
      <c r="EH143" s="110"/>
    </row>
    <row r="144" spans="1:138" hidden="1">
      <c r="A144" s="241" t="str">
        <f t="shared" ca="1" si="9"/>
        <v>SHECY</v>
      </c>
      <c r="B144" s="250" t="str">
        <f ca="1">[1]ExtEntry!$D44</f>
        <v>USD</v>
      </c>
      <c r="C144" s="251"/>
      <c r="D144" s="841">
        <f>ROW()</f>
        <v>144</v>
      </c>
      <c r="E144" s="252"/>
      <c r="F144" s="253">
        <v>225.55</v>
      </c>
      <c r="G144" s="253">
        <v>225</v>
      </c>
      <c r="H144" s="253">
        <v>225.05</v>
      </c>
      <c r="I144" s="253">
        <v>227.6</v>
      </c>
      <c r="J144" s="253">
        <v>232.65</v>
      </c>
      <c r="K144" s="253">
        <v>233.95</v>
      </c>
      <c r="L144" s="253">
        <v>235.45</v>
      </c>
      <c r="M144" s="253">
        <v>239</v>
      </c>
      <c r="N144" s="253">
        <v>238.8</v>
      </c>
      <c r="O144" s="253">
        <v>231.8</v>
      </c>
      <c r="P144" s="253">
        <v>230.95</v>
      </c>
      <c r="Q144" s="253">
        <v>231.8</v>
      </c>
      <c r="R144" s="253">
        <v>231.2</v>
      </c>
      <c r="S144" s="253">
        <v>229.25</v>
      </c>
      <c r="T144" s="253">
        <v>233.8</v>
      </c>
      <c r="U144" s="253">
        <v>238.15</v>
      </c>
      <c r="V144" s="253">
        <v>241.15</v>
      </c>
      <c r="W144" s="253">
        <v>241.15</v>
      </c>
      <c r="X144" s="253">
        <v>239.4</v>
      </c>
      <c r="Y144" s="253">
        <v>241.25</v>
      </c>
      <c r="Z144" s="247">
        <f ca="1">[1]ExtEntry!$G42</f>
        <v>15.75</v>
      </c>
      <c r="AA144" s="277"/>
      <c r="AB144" s="1255">
        <v>0.44086191545011039</v>
      </c>
      <c r="AC144" s="1255">
        <v>0.55511577534698064</v>
      </c>
      <c r="AD144" s="1255">
        <v>0.64017437892785478</v>
      </c>
      <c r="AE144" s="1255">
        <v>0.63414698704612471</v>
      </c>
      <c r="AF144" s="1255">
        <v>0.61075735566378986</v>
      </c>
      <c r="AG144" s="1255">
        <v>1.0780274269159444</v>
      </c>
      <c r="AH144" s="1255">
        <v>1.0605568789784043</v>
      </c>
      <c r="AI144" s="1255">
        <v>0.78926746602173248</v>
      </c>
      <c r="AJ144" s="1255">
        <v>0.13228531525700854</v>
      </c>
      <c r="AK144" s="1255">
        <v>0.65498967042905398</v>
      </c>
      <c r="AL144" s="1255">
        <v>1.1919431065487109</v>
      </c>
      <c r="AM144" s="1255">
        <v>0.97916485351189575</v>
      </c>
      <c r="AN144" s="1255">
        <v>1.035415409827209</v>
      </c>
      <c r="AO144" s="1255">
        <v>1.0497599001618751</v>
      </c>
      <c r="AP144" s="1255">
        <v>1.2601543085273403</v>
      </c>
      <c r="AQ144" s="1255">
        <v>1.2221288444286464</v>
      </c>
      <c r="AR144" s="1255">
        <v>1.4835821527107771</v>
      </c>
      <c r="AS144" s="1255">
        <v>1.4835821527107771</v>
      </c>
      <c r="AT144" s="1255">
        <v>2.6649710633079384</v>
      </c>
      <c r="AU144" s="1255">
        <v>1.514105482432194</v>
      </c>
      <c r="AV144" s="1265">
        <f ca="1">Calc!BB42</f>
        <v>2.6870142640134636E-2</v>
      </c>
      <c r="AW144" s="279"/>
      <c r="AX144" s="88" t="str">
        <f t="shared" ca="1" si="10"/>
        <v>SHECY</v>
      </c>
      <c r="BA144" s="253">
        <v>5450</v>
      </c>
      <c r="CP144" s="277"/>
      <c r="EH144" s="110"/>
    </row>
    <row r="145" spans="1:138" hidden="1">
      <c r="A145" s="241" t="str">
        <f t="shared" ca="1" si="9"/>
        <v>SSYS</v>
      </c>
      <c r="B145" s="242" t="str">
        <f ca="1">[1]ExtEntry!$D45</f>
        <v>USD</v>
      </c>
      <c r="C145" s="243"/>
      <c r="D145" s="1202">
        <f>ROW()</f>
        <v>145</v>
      </c>
      <c r="E145" s="244"/>
      <c r="F145" s="253">
        <v>16.71</v>
      </c>
      <c r="G145" s="253">
        <v>16.524999999999999</v>
      </c>
      <c r="H145" s="253">
        <v>16.5</v>
      </c>
      <c r="I145" s="253">
        <v>16.2</v>
      </c>
      <c r="J145" s="253">
        <v>16.52</v>
      </c>
      <c r="K145" s="253">
        <v>17.93</v>
      </c>
      <c r="L145" s="253">
        <v>16.690000000000001</v>
      </c>
      <c r="M145" s="253">
        <v>16.399999999999999</v>
      </c>
      <c r="N145" s="253">
        <v>16.399999999999999</v>
      </c>
      <c r="O145" s="253">
        <v>16</v>
      </c>
      <c r="P145" s="253">
        <v>16.884</v>
      </c>
      <c r="Q145" s="253">
        <v>15.86</v>
      </c>
      <c r="R145" s="253">
        <v>16.46</v>
      </c>
      <c r="S145" s="253">
        <v>16</v>
      </c>
      <c r="T145" s="253">
        <v>15.77</v>
      </c>
      <c r="U145" s="253">
        <v>16.2</v>
      </c>
      <c r="V145" s="253">
        <v>15.775</v>
      </c>
      <c r="W145" s="253">
        <v>15.775</v>
      </c>
      <c r="X145" s="253">
        <v>16.690000000000001</v>
      </c>
      <c r="Y145" s="253">
        <v>15.75</v>
      </c>
      <c r="Z145" s="247">
        <f ca="1">[1]ExtEntry!$G43</f>
        <v>11.923999999999999</v>
      </c>
      <c r="AA145" s="277"/>
      <c r="AB145" s="1255">
        <v>1.4658948891666119E-2</v>
      </c>
      <c r="AC145" s="1255">
        <v>1.8363371264443422E-2</v>
      </c>
      <c r="AD145" s="1255">
        <v>2.564982639617917E-2</v>
      </c>
      <c r="AE145" s="1255">
        <v>1.5447295653135715E-2</v>
      </c>
      <c r="AF145" s="1255">
        <v>2.4616293135907363E-2</v>
      </c>
      <c r="AG145" s="1255">
        <v>3.5438684139733292E-2</v>
      </c>
      <c r="AH145" s="1255">
        <v>2.3723824396596944E-2</v>
      </c>
      <c r="AI145" s="1255">
        <v>7.9538903874084826E-2</v>
      </c>
      <c r="AJ145" s="1255">
        <v>7.9474828368508652E-2</v>
      </c>
      <c r="AK145" s="1255">
        <v>6.7207709133964136E-2</v>
      </c>
      <c r="AL145" s="1255">
        <v>3.6620393132719919E-2</v>
      </c>
      <c r="AM145" s="1255">
        <v>3.535648347899379E-2</v>
      </c>
      <c r="AN145" s="1255">
        <v>6.1078787442914166E-2</v>
      </c>
      <c r="AO145" s="1255">
        <v>3.2400491969840108E-2</v>
      </c>
      <c r="AP145" s="1255">
        <v>4.3984663769129663E-2</v>
      </c>
      <c r="AQ145" s="1255">
        <v>2.3490461660072886E-2</v>
      </c>
      <c r="AR145" s="1255">
        <v>2.6674979357281667E-2</v>
      </c>
      <c r="AS145" s="1255">
        <v>2.6674979357281667E-2</v>
      </c>
      <c r="AT145" s="1255">
        <v>3.0973564445025758E-2</v>
      </c>
      <c r="AU145" s="1255">
        <v>2.6870142640134636E-2</v>
      </c>
      <c r="AV145" s="1265">
        <f ca="1">Calc!BB43</f>
        <v>0.83446883714636</v>
      </c>
      <c r="AW145" s="279"/>
      <c r="AX145" s="88" t="str">
        <f t="shared" ca="1" si="10"/>
        <v>SSYS</v>
      </c>
      <c r="BA145" s="253">
        <v>5549</v>
      </c>
      <c r="CP145" s="277"/>
      <c r="EH145" s="110"/>
    </row>
    <row r="146" spans="1:138" hidden="1">
      <c r="A146" s="241" t="str">
        <f t="shared" ca="1" si="9"/>
        <v>TSLA</v>
      </c>
      <c r="B146" s="250" t="str">
        <f ca="1">[1]ExtEntry!$D46</f>
        <v>EUR</v>
      </c>
      <c r="C146" s="251"/>
      <c r="D146" s="841">
        <f>ROW()</f>
        <v>146</v>
      </c>
      <c r="E146" s="252"/>
      <c r="F146" s="253">
        <v>11.74</v>
      </c>
      <c r="G146" s="253">
        <v>11.39</v>
      </c>
      <c r="H146" s="253">
        <v>11.08</v>
      </c>
      <c r="I146" s="253">
        <v>11.24</v>
      </c>
      <c r="J146" s="253">
        <v>11.61</v>
      </c>
      <c r="K146" s="253">
        <v>11.96</v>
      </c>
      <c r="L146" s="253">
        <v>11.54</v>
      </c>
      <c r="M146" s="253">
        <v>11.49</v>
      </c>
      <c r="N146" s="253">
        <v>11.49</v>
      </c>
      <c r="O146" s="253">
        <v>10.65</v>
      </c>
      <c r="P146" s="253">
        <v>10.7</v>
      </c>
      <c r="Q146" s="253">
        <v>11.08</v>
      </c>
      <c r="R146" s="253">
        <v>11.93</v>
      </c>
      <c r="S146" s="253">
        <v>11.29</v>
      </c>
      <c r="T146" s="253">
        <v>11.154999999999999</v>
      </c>
      <c r="U146" s="253">
        <v>12.625</v>
      </c>
      <c r="V146" s="253">
        <v>12.21</v>
      </c>
      <c r="W146" s="253">
        <v>12.21</v>
      </c>
      <c r="X146" s="253">
        <v>11.3</v>
      </c>
      <c r="Y146" s="253">
        <v>11.923999999999999</v>
      </c>
      <c r="Z146" s="247">
        <f ca="1">[1]ExtEntry!$G44</f>
        <v>446.83</v>
      </c>
      <c r="AA146" s="277"/>
      <c r="AB146" s="1255">
        <v>0.2829274497456491</v>
      </c>
      <c r="AC146" s="1255">
        <v>0.50972257607270743</v>
      </c>
      <c r="AD146" s="1255">
        <v>0.52574698089049732</v>
      </c>
      <c r="AE146" s="1255">
        <v>0.67371162080178904</v>
      </c>
      <c r="AF146" s="1255">
        <v>0.65607133822413355</v>
      </c>
      <c r="AG146" s="1255">
        <v>0.80893199413475059</v>
      </c>
      <c r="AH146" s="1255">
        <v>0.66486855827669289</v>
      </c>
      <c r="AI146" s="1255">
        <v>0.48783863339286959</v>
      </c>
      <c r="AJ146" s="1255">
        <v>1.1834083357447191E-3</v>
      </c>
      <c r="AK146" s="1255">
        <v>0.57329505135757641</v>
      </c>
      <c r="AL146" s="1255">
        <v>0.66479875569407576</v>
      </c>
      <c r="AM146" s="1255">
        <v>0.61099516340325066</v>
      </c>
      <c r="AN146" s="1255">
        <v>1.11202453187186</v>
      </c>
      <c r="AO146" s="1255">
        <v>0.65580465962526879</v>
      </c>
      <c r="AP146" s="1255">
        <v>2.910354231859221</v>
      </c>
      <c r="AQ146" s="1255">
        <v>2.1985103034462545</v>
      </c>
      <c r="AR146" s="1255">
        <v>1.5191974079765986</v>
      </c>
      <c r="AS146" s="1255">
        <v>1.5192904190875867</v>
      </c>
      <c r="AT146" s="1255">
        <v>1.5504808410485886</v>
      </c>
      <c r="AU146" s="1255">
        <v>0.82854509982713709</v>
      </c>
      <c r="AV146" s="1265">
        <f ca="1">Calc!BB44</f>
        <v>1.0540454973134783</v>
      </c>
      <c r="AW146" s="279"/>
      <c r="AX146" s="88" t="str">
        <f t="shared" ca="1" si="10"/>
        <v>TSLA</v>
      </c>
      <c r="BA146" s="253">
        <v>5648</v>
      </c>
      <c r="CP146" s="277"/>
      <c r="EH146" s="110"/>
    </row>
    <row r="147" spans="1:138" hidden="1">
      <c r="A147" s="241" t="str">
        <f t="shared" ca="1" si="9"/>
        <v>TSM</v>
      </c>
      <c r="B147" s="242" t="str">
        <f ca="1">[1]ExtEntry!$D47</f>
        <v>USD</v>
      </c>
      <c r="C147" s="243"/>
      <c r="D147" s="1202">
        <f>ROW()</f>
        <v>147</v>
      </c>
      <c r="E147" s="244"/>
      <c r="F147" s="253">
        <v>444.33</v>
      </c>
      <c r="G147" s="253">
        <v>441.52</v>
      </c>
      <c r="H147" s="253">
        <v>443.8</v>
      </c>
      <c r="I147" s="253">
        <v>470.54</v>
      </c>
      <c r="J147" s="253">
        <v>443.28500000000003</v>
      </c>
      <c r="K147" s="253">
        <v>447.82</v>
      </c>
      <c r="L147" s="253">
        <v>437.57</v>
      </c>
      <c r="M147" s="253">
        <v>431.81</v>
      </c>
      <c r="N147" s="253">
        <v>431.81</v>
      </c>
      <c r="O147" s="253">
        <v>423.07</v>
      </c>
      <c r="P147" s="253">
        <v>426.65</v>
      </c>
      <c r="Q147" s="253">
        <v>434.82</v>
      </c>
      <c r="R147" s="253">
        <v>434.73</v>
      </c>
      <c r="S147" s="253">
        <v>425.5</v>
      </c>
      <c r="T147" s="253">
        <v>443.86500000000001</v>
      </c>
      <c r="U147" s="253">
        <v>445.755</v>
      </c>
      <c r="V147" s="253">
        <v>443.45</v>
      </c>
      <c r="W147" s="253">
        <v>443.45</v>
      </c>
      <c r="X147" s="253">
        <v>420</v>
      </c>
      <c r="Y147" s="253">
        <v>446.83</v>
      </c>
      <c r="Z147" s="247">
        <f ca="1">[1]ExtEntry!$G45</f>
        <v>295.57</v>
      </c>
      <c r="AA147" s="277"/>
      <c r="AB147" s="1255">
        <v>0.61180924516747059</v>
      </c>
      <c r="AC147" s="1255">
        <v>0.81134201178806598</v>
      </c>
      <c r="AD147" s="1255">
        <v>1.0766865868906199</v>
      </c>
      <c r="AE147" s="1255">
        <v>1.4870472808997748</v>
      </c>
      <c r="AF147" s="1255">
        <v>1.406103939800035</v>
      </c>
      <c r="AG147" s="1255">
        <v>1.0491034845650344</v>
      </c>
      <c r="AH147" s="1255">
        <v>0.71812295398936465</v>
      </c>
      <c r="AI147" s="1255">
        <v>0.70458729318859559</v>
      </c>
      <c r="AJ147" s="1255">
        <v>5.0608812303752117E-3</v>
      </c>
      <c r="AK147" s="1255">
        <v>0.79678868720077156</v>
      </c>
      <c r="AL147" s="1255">
        <v>0.71742718948264472</v>
      </c>
      <c r="AM147" s="1255">
        <v>0.65092030446675231</v>
      </c>
      <c r="AN147" s="1255">
        <v>0.76927828517685259</v>
      </c>
      <c r="AO147" s="1255">
        <v>0.90731582652005316</v>
      </c>
      <c r="AP147" s="1255">
        <v>0.66394148517749874</v>
      </c>
      <c r="AQ147" s="1255">
        <v>0.59112200036449147</v>
      </c>
      <c r="AR147" s="1255">
        <v>0.86182232256813707</v>
      </c>
      <c r="AS147" s="1255">
        <v>0.86256970631351648</v>
      </c>
      <c r="AT147" s="1255">
        <v>1.4249487358445652</v>
      </c>
      <c r="AU147" s="1255">
        <v>1.0477103714449929</v>
      </c>
      <c r="AV147" s="1265">
        <f ca="1">Calc!BB45</f>
        <v>0.60274669526661961</v>
      </c>
      <c r="AW147" s="279"/>
      <c r="AX147" s="88" t="str">
        <f t="shared" ca="1" si="10"/>
        <v>TSM</v>
      </c>
      <c r="BA147" s="253">
        <v>5747</v>
      </c>
      <c r="CP147" s="277"/>
      <c r="EH147" s="110"/>
    </row>
    <row r="148" spans="1:138" hidden="1">
      <c r="A148" s="241" t="str">
        <f t="shared" ca="1" si="9"/>
        <v>UN0</v>
      </c>
      <c r="B148" s="250" t="str">
        <f ca="1">[1]ExtEntry!$D48</f>
        <v>USD</v>
      </c>
      <c r="C148" s="251"/>
      <c r="D148" s="841">
        <f>ROW()</f>
        <v>148</v>
      </c>
      <c r="E148" s="252"/>
      <c r="F148" s="253">
        <v>276.45</v>
      </c>
      <c r="G148" s="253">
        <v>275.32</v>
      </c>
      <c r="H148" s="253">
        <v>278.435</v>
      </c>
      <c r="I148" s="253">
        <v>296.52</v>
      </c>
      <c r="J148" s="253">
        <v>292.86</v>
      </c>
      <c r="K148" s="253">
        <v>306.62</v>
      </c>
      <c r="L148" s="253">
        <v>295</v>
      </c>
      <c r="M148" s="253">
        <v>302.30500000000001</v>
      </c>
      <c r="N148" s="253">
        <v>302.30500000000001</v>
      </c>
      <c r="O148" s="253">
        <v>297.99</v>
      </c>
      <c r="P148" s="253">
        <v>295.63</v>
      </c>
      <c r="Q148" s="253">
        <v>306.18</v>
      </c>
      <c r="R148" s="253">
        <v>310.93</v>
      </c>
      <c r="S148" s="253">
        <v>298.39499999999998</v>
      </c>
      <c r="T148" s="253">
        <v>300</v>
      </c>
      <c r="U148" s="253">
        <v>299</v>
      </c>
      <c r="V148" s="253">
        <v>293</v>
      </c>
      <c r="W148" s="253">
        <v>293</v>
      </c>
      <c r="X148" s="253">
        <v>289.8</v>
      </c>
      <c r="Y148" s="253">
        <v>295.57</v>
      </c>
      <c r="Z148" s="247">
        <f ca="1">[1]ExtEntry!$G46</f>
        <v>31</v>
      </c>
      <c r="AA148" s="277"/>
      <c r="AB148" s="1255">
        <v>0.41388122437641267</v>
      </c>
      <c r="AC148" s="1255">
        <v>0.70827050596397945</v>
      </c>
      <c r="AD148" s="1255">
        <v>1.2394400937445103</v>
      </c>
      <c r="AE148" s="1255">
        <v>0.85040331224114762</v>
      </c>
      <c r="AF148" s="1255">
        <v>0.87987704504708741</v>
      </c>
      <c r="AG148" s="1255">
        <v>1.0801594310391209</v>
      </c>
      <c r="AH148" s="1255">
        <v>1.060866267045232</v>
      </c>
      <c r="AI148" s="1255">
        <v>0.83265843775263804</v>
      </c>
      <c r="AJ148" s="1255">
        <v>5.2197371151912536E-3</v>
      </c>
      <c r="AK148" s="1255">
        <v>1.5645665724200977</v>
      </c>
      <c r="AL148" s="1255">
        <v>1.2417617423362584</v>
      </c>
      <c r="AM148" s="1255">
        <v>1.2637628073714362</v>
      </c>
      <c r="AN148" s="1255">
        <v>1.96843000951859</v>
      </c>
      <c r="AO148" s="1255">
        <v>1.2625571766894672</v>
      </c>
      <c r="AP148" s="1255">
        <v>0.92922352875506087</v>
      </c>
      <c r="AQ148" s="1255">
        <v>0.76301880538428424</v>
      </c>
      <c r="AR148" s="1255">
        <v>1.0505439646118693</v>
      </c>
      <c r="AS148" s="1255">
        <v>1.0506142270792374</v>
      </c>
      <c r="AT148" s="1255">
        <v>0.69864389458113563</v>
      </c>
      <c r="AU148" s="1255">
        <v>0.6007698365315336</v>
      </c>
      <c r="AV148" s="1265">
        <f ca="1">Calc!BB46</f>
        <v>3.907563025210084E-2</v>
      </c>
      <c r="AW148" s="279"/>
      <c r="AX148" s="88" t="str">
        <f t="shared" ca="1" si="10"/>
        <v>UN0</v>
      </c>
      <c r="BA148" s="253">
        <v>5846</v>
      </c>
      <c r="CP148" s="277"/>
      <c r="EH148" s="110"/>
    </row>
    <row r="149" spans="1:138" hidden="1">
      <c r="A149" s="241" t="str">
        <f t="shared" ca="1" si="9"/>
        <v>UNIT</v>
      </c>
      <c r="B149" s="242" t="e">
        <f>[1]ExtEntry!#REF!</f>
        <v>#REF!</v>
      </c>
      <c r="C149" s="243"/>
      <c r="D149" s="1202">
        <f>ROW()</f>
        <v>149</v>
      </c>
      <c r="E149" s="244"/>
      <c r="F149" s="253">
        <v>34.4</v>
      </c>
      <c r="G149" s="253">
        <v>34.200000000000003</v>
      </c>
      <c r="H149" s="253">
        <v>34.1</v>
      </c>
      <c r="I149" s="253">
        <v>34.15</v>
      </c>
      <c r="J149" s="253">
        <v>34.049999999999997</v>
      </c>
      <c r="K149" s="253">
        <v>33.15</v>
      </c>
      <c r="L149" s="253">
        <v>31.8</v>
      </c>
      <c r="M149" s="253">
        <v>32.4</v>
      </c>
      <c r="N149" s="253">
        <v>32.25</v>
      </c>
      <c r="O149" s="253">
        <v>32.549999999999997</v>
      </c>
      <c r="P149" s="253">
        <v>32</v>
      </c>
      <c r="Q149" s="253">
        <v>31.75</v>
      </c>
      <c r="R149" s="253">
        <v>31.7</v>
      </c>
      <c r="S149" s="253">
        <v>31.35</v>
      </c>
      <c r="T149" s="253">
        <v>32.049999999999997</v>
      </c>
      <c r="U149" s="253">
        <v>32.1</v>
      </c>
      <c r="V149" s="253">
        <v>31.6</v>
      </c>
      <c r="W149" s="253">
        <v>31.6</v>
      </c>
      <c r="X149" s="253">
        <v>31.3</v>
      </c>
      <c r="Y149" s="253">
        <v>31</v>
      </c>
      <c r="Z149" s="247">
        <f ca="1">[1]ExtEntry!$G47</f>
        <v>5.97</v>
      </c>
      <c r="AA149" s="277"/>
      <c r="AB149" s="1255">
        <v>0.11872146118721461</v>
      </c>
      <c r="AC149" s="1255">
        <v>0.18584474885844748</v>
      </c>
      <c r="AD149" s="1255">
        <v>0.13216630196936544</v>
      </c>
      <c r="AE149" s="1255">
        <v>1.9313304721030042E-3</v>
      </c>
      <c r="AF149" s="1255">
        <v>2.2629310344827586E-2</v>
      </c>
      <c r="AG149" s="1255">
        <v>8.461538461538462E-2</v>
      </c>
      <c r="AH149" s="1255">
        <v>0.11540229885057471</v>
      </c>
      <c r="AI149" s="1255">
        <v>1.2837837837837839E-2</v>
      </c>
      <c r="AJ149" s="1255">
        <v>1.2337662337662338E-2</v>
      </c>
      <c r="AK149" s="1255">
        <v>0.17391304347826086</v>
      </c>
      <c r="AL149" s="1255">
        <v>5.6710775047258983E-3</v>
      </c>
      <c r="AM149" s="1255">
        <v>6.1450381679389314E-2</v>
      </c>
      <c r="AN149" s="1255">
        <v>1.2727272727272728E-2</v>
      </c>
      <c r="AO149" s="1255">
        <v>3.1596638655462188E-2</v>
      </c>
      <c r="AP149" s="1255">
        <v>1.2522361359570662E-3</v>
      </c>
      <c r="AQ149" s="1255">
        <v>1.9856887298747763E-2</v>
      </c>
      <c r="AR149" s="1255">
        <v>0.1020952380952381</v>
      </c>
      <c r="AS149" s="1255">
        <v>0.1020952380952381</v>
      </c>
      <c r="AT149" s="1255">
        <v>2.4789915966386553E-2</v>
      </c>
      <c r="AU149" s="1255">
        <v>3.907563025210084E-2</v>
      </c>
      <c r="AV149" s="1265">
        <f ca="1">Calc!BB47</f>
        <v>0.78130773010126597</v>
      </c>
      <c r="AW149" s="279"/>
      <c r="AX149" s="88" t="str">
        <f t="shared" ca="1" si="10"/>
        <v>UNIT</v>
      </c>
      <c r="BA149" s="253">
        <v>5945</v>
      </c>
      <c r="CP149" s="277"/>
      <c r="EH149" s="110"/>
    </row>
    <row r="150" spans="1:138" hidden="1">
      <c r="A150" s="241" t="str">
        <f t="shared" ca="1" si="9"/>
        <v>AVGO</v>
      </c>
      <c r="B150" s="250" t="e">
        <f>[1]ExtEntry!#REF!</f>
        <v>#REF!</v>
      </c>
      <c r="C150" s="251"/>
      <c r="D150" s="841">
        <f>ROW()</f>
        <v>150</v>
      </c>
      <c r="E150" s="252"/>
      <c r="F150" s="253">
        <v>6.19</v>
      </c>
      <c r="G150" s="253">
        <v>6</v>
      </c>
      <c r="H150" s="253">
        <v>6.11</v>
      </c>
      <c r="I150" s="253">
        <v>6.02</v>
      </c>
      <c r="J150" s="253">
        <v>5.73</v>
      </c>
      <c r="K150" s="253">
        <v>6.12</v>
      </c>
      <c r="L150" s="253">
        <v>6.04</v>
      </c>
      <c r="M150" s="253">
        <v>6.13</v>
      </c>
      <c r="N150" s="253">
        <v>6.13</v>
      </c>
      <c r="O150" s="253">
        <v>5.76</v>
      </c>
      <c r="P150" s="253">
        <v>5.33</v>
      </c>
      <c r="Q150" s="253">
        <v>5.36</v>
      </c>
      <c r="R150" s="253">
        <v>5.75</v>
      </c>
      <c r="S150" s="253">
        <v>5.56</v>
      </c>
      <c r="T150" s="253">
        <v>5.72</v>
      </c>
      <c r="U150" s="253">
        <v>5.52</v>
      </c>
      <c r="V150" s="253">
        <v>5.58</v>
      </c>
      <c r="W150" s="253">
        <v>5.58</v>
      </c>
      <c r="X150" s="253">
        <v>5.5</v>
      </c>
      <c r="Y150" s="253">
        <v>5.97</v>
      </c>
      <c r="Z150" s="247">
        <f ca="1">[1]ExtEntry!$G48</f>
        <v>352.51</v>
      </c>
      <c r="AA150" s="277"/>
      <c r="AB150" s="1255">
        <v>0.15727327169579164</v>
      </c>
      <c r="AC150" s="1255">
        <v>0.98338709256589718</v>
      </c>
      <c r="AD150" s="1255">
        <v>0.54894009853901138</v>
      </c>
      <c r="AE150" s="1255">
        <v>0.70213927690982425</v>
      </c>
      <c r="AF150" s="1255">
        <v>1.0529587485298255</v>
      </c>
      <c r="AG150" s="1255">
        <v>0.69224198132550008</v>
      </c>
      <c r="AH150" s="1255">
        <v>0.50177923967502269</v>
      </c>
      <c r="AI150" s="1255">
        <v>0.48921940905315764</v>
      </c>
      <c r="AJ150" s="1255">
        <v>0.48922122244103772</v>
      </c>
      <c r="AK150" s="1255">
        <v>0.81580529520030498</v>
      </c>
      <c r="AL150" s="1255">
        <v>0.74677918002136756</v>
      </c>
      <c r="AM150" s="1255">
        <v>0.56752995372100723</v>
      </c>
      <c r="AN150" s="1255">
        <v>0.68188203631178579</v>
      </c>
      <c r="AO150" s="1255">
        <v>2.1706485322132338</v>
      </c>
      <c r="AP150" s="1255">
        <v>0.99644028368383208</v>
      </c>
      <c r="AQ150" s="1255">
        <v>0.41364699531617916</v>
      </c>
      <c r="AR150" s="1255">
        <v>0.50917524819837379</v>
      </c>
      <c r="AS150" s="1255">
        <v>0.50917524819837379</v>
      </c>
      <c r="AT150" s="1255">
        <v>0.83861883249820035</v>
      </c>
      <c r="AU150" s="1255">
        <v>0.77817479443032178</v>
      </c>
      <c r="AV150" s="1265">
        <f ca="1">Calc!BB48</f>
        <v>0.73700693831301933</v>
      </c>
      <c r="AW150" s="279"/>
      <c r="AX150" s="88" t="str">
        <f t="shared" ca="1" si="10"/>
        <v>AVGO</v>
      </c>
      <c r="BA150" s="253">
        <v>6044</v>
      </c>
      <c r="CP150" s="277"/>
      <c r="EH150" s="110"/>
    </row>
    <row r="151" spans="1:138" hidden="1">
      <c r="A151" s="241" t="str">
        <f t="shared" ca="1" si="9"/>
        <v>VLVLY</v>
      </c>
      <c r="B151" s="242" t="str">
        <f ca="1">[1]ExtEntry!$D49</f>
        <v>USD</v>
      </c>
      <c r="C151" s="243"/>
      <c r="D151" s="1202">
        <f>ROW()</f>
        <v>151</v>
      </c>
      <c r="E151" s="244"/>
      <c r="F151" s="253">
        <v>28.62</v>
      </c>
      <c r="G151" s="253">
        <v>28.5</v>
      </c>
      <c r="H151" s="253">
        <v>28.61</v>
      </c>
      <c r="I151" s="253">
        <v>29.16</v>
      </c>
      <c r="J151" s="253">
        <v>29.23</v>
      </c>
      <c r="K151" s="253">
        <v>28.86</v>
      </c>
      <c r="L151" s="253">
        <v>28.45</v>
      </c>
      <c r="M151" s="253">
        <v>28.49</v>
      </c>
      <c r="N151" s="253">
        <v>28.49</v>
      </c>
      <c r="O151" s="253">
        <v>28.12</v>
      </c>
      <c r="P151" s="253">
        <v>27.58</v>
      </c>
      <c r="Q151" s="253">
        <v>27.838999999999999</v>
      </c>
      <c r="R151" s="253">
        <v>28.114999999999998</v>
      </c>
      <c r="S151" s="253">
        <v>26.19</v>
      </c>
      <c r="T151" s="253">
        <v>26.914999999999999</v>
      </c>
      <c r="U151" s="253">
        <v>27</v>
      </c>
      <c r="V151" s="253">
        <v>27.25</v>
      </c>
      <c r="W151" s="253">
        <v>27.25</v>
      </c>
      <c r="X151" s="253">
        <v>27.57</v>
      </c>
      <c r="Y151" s="253">
        <v>27.72</v>
      </c>
      <c r="Z151" s="247">
        <f ca="1">[1]ExtEntry!$G49</f>
        <v>27.72</v>
      </c>
      <c r="AA151" s="277"/>
      <c r="AB151" s="1255">
        <v>1.234063849963123E-2</v>
      </c>
      <c r="AC151" s="1255">
        <v>2.0389993527702936E-2</v>
      </c>
      <c r="AD151" s="1255">
        <v>1.915296248964287E-2</v>
      </c>
      <c r="AE151" s="1255">
        <v>1.1956084558698217E-2</v>
      </c>
      <c r="AF151" s="1255">
        <v>1.3176706506242421E-2</v>
      </c>
      <c r="AG151" s="1255">
        <v>1.6215817595516314E-2</v>
      </c>
      <c r="AH151" s="1255">
        <v>1.4020869749457069E-2</v>
      </c>
      <c r="AI151" s="1255">
        <v>1.8694150404008458E-2</v>
      </c>
      <c r="AJ151" s="1255">
        <v>1.7712311543026358E-2</v>
      </c>
      <c r="AK151" s="1255">
        <v>2.9344000098804467E-2</v>
      </c>
      <c r="AL151" s="1255">
        <v>5.5978905246517142E-2</v>
      </c>
      <c r="AM151" s="1255">
        <v>4.4839242392789531E-2</v>
      </c>
      <c r="AN151" s="1255">
        <v>1.9044177180242025E-2</v>
      </c>
      <c r="AO151" s="1255">
        <v>6.8520942010019056E-2</v>
      </c>
      <c r="AP151" s="1255">
        <v>1.7259943597890161E-2</v>
      </c>
      <c r="AQ151" s="1255">
        <v>2.1178372206887557E-2</v>
      </c>
      <c r="AR151" s="1255">
        <v>9.0414311114930465E-3</v>
      </c>
      <c r="AS151" s="1255">
        <v>9.0414311114930465E-3</v>
      </c>
      <c r="AT151" s="1255">
        <v>1.3258127396829765E-2</v>
      </c>
      <c r="AU151" s="1255">
        <v>1.2957002388870289E-2</v>
      </c>
      <c r="AV151" s="1210">
        <f ca="1">Calc!BB49</f>
        <v>1.2957002388870289E-2</v>
      </c>
      <c r="AW151" s="279"/>
      <c r="AX151" s="88" t="str">
        <f t="shared" ca="1" si="10"/>
        <v>VLVLY</v>
      </c>
      <c r="BA151" s="253">
        <v>6143</v>
      </c>
      <c r="CP151" s="277"/>
      <c r="EH151" s="110"/>
    </row>
    <row r="152" spans="1:138" hidden="1">
      <c r="A152" s="241" t="str">
        <f t="shared" ca="1" si="9"/>
        <v>VONN</v>
      </c>
      <c r="B152" s="250" t="str">
        <f ca="1">[1]ExtEntry!$D50</f>
        <v>CHF</v>
      </c>
      <c r="C152" s="251"/>
      <c r="D152" s="841">
        <f>ROW()</f>
        <v>152</v>
      </c>
      <c r="E152" s="252"/>
      <c r="F152" s="253">
        <v>60.2</v>
      </c>
      <c r="G152" s="253">
        <v>59.4</v>
      </c>
      <c r="H152" s="253">
        <v>59.9</v>
      </c>
      <c r="I152" s="253">
        <v>60</v>
      </c>
      <c r="J152" s="253">
        <v>60.5</v>
      </c>
      <c r="K152" s="253">
        <v>60.9</v>
      </c>
      <c r="L152" s="253">
        <v>61</v>
      </c>
      <c r="M152" s="253">
        <v>61.3</v>
      </c>
      <c r="N152" s="253">
        <v>61.8</v>
      </c>
      <c r="O152" s="253">
        <v>61.1</v>
      </c>
      <c r="P152" s="253">
        <v>60.7</v>
      </c>
      <c r="Q152" s="253">
        <v>60.6</v>
      </c>
      <c r="R152" s="253">
        <v>60.5</v>
      </c>
      <c r="S152" s="253">
        <v>58.9</v>
      </c>
      <c r="T152" s="253">
        <v>59.2</v>
      </c>
      <c r="U152" s="253">
        <v>59</v>
      </c>
      <c r="V152" s="253">
        <v>58.9</v>
      </c>
      <c r="W152" s="253">
        <v>58.9</v>
      </c>
      <c r="X152" s="253">
        <v>60.2</v>
      </c>
      <c r="Y152" s="253">
        <v>61.1</v>
      </c>
      <c r="Z152" s="247">
        <f ca="1">[1]ExtEntry!$G50</f>
        <v>61.1</v>
      </c>
      <c r="AA152" s="277"/>
      <c r="AB152" s="1255">
        <v>0.5145178015900449</v>
      </c>
      <c r="AC152" s="1255">
        <v>1.244408831908832</v>
      </c>
      <c r="AD152" s="1255">
        <v>1.3417378917378917</v>
      </c>
      <c r="AE152" s="1255">
        <v>1.0778665740097291</v>
      </c>
      <c r="AF152" s="1255">
        <v>1.5276146486308149</v>
      </c>
      <c r="AG152" s="1255">
        <v>0.93318056828597618</v>
      </c>
      <c r="AH152" s="1255">
        <v>0.95826167076167079</v>
      </c>
      <c r="AI152" s="1255">
        <v>0.82177518427518426</v>
      </c>
      <c r="AJ152" s="1255">
        <v>0.3534818067754078</v>
      </c>
      <c r="AK152" s="1255">
        <v>1.0406844106463877</v>
      </c>
      <c r="AL152" s="1255">
        <v>1.1297297297297297</v>
      </c>
      <c r="AM152" s="1255">
        <v>0.71825703254274686</v>
      </c>
      <c r="AN152" s="1255">
        <v>0.58865979381443301</v>
      </c>
      <c r="AO152" s="1255">
        <v>0.92442035531466427</v>
      </c>
      <c r="AP152" s="1255">
        <v>0.80496838301716356</v>
      </c>
      <c r="AQ152" s="1255">
        <v>0.98232460102378805</v>
      </c>
      <c r="AR152" s="1255">
        <v>1.6349795533186537</v>
      </c>
      <c r="AS152" s="1255">
        <v>1.6349795533186537</v>
      </c>
      <c r="AT152" s="1255">
        <v>1.1165364176305095</v>
      </c>
      <c r="AU152" s="1255">
        <v>1.023976242575805</v>
      </c>
      <c r="AV152" s="1210">
        <f ca="1">Calc!BB50</f>
        <v>0.96146169650719104</v>
      </c>
      <c r="AW152" s="279"/>
      <c r="AX152" s="88" t="str">
        <f t="shared" ca="1" si="10"/>
        <v>VONN</v>
      </c>
      <c r="BA152" s="253">
        <v>6242</v>
      </c>
      <c r="CP152" s="277"/>
      <c r="EH152" s="110"/>
    </row>
    <row r="153" spans="1:138" hidden="1">
      <c r="A153" s="241" t="str">
        <f t="shared" ca="1" si="9"/>
        <v>VTRS</v>
      </c>
      <c r="B153" s="242" t="str">
        <f ca="1">[1]ExtEntry!$D51</f>
        <v>USD</v>
      </c>
      <c r="C153" s="243"/>
      <c r="D153" s="1202">
        <f>ROW()</f>
        <v>153</v>
      </c>
      <c r="E153" s="244"/>
      <c r="F153" s="253">
        <v>9.5500000000000007</v>
      </c>
      <c r="G153" s="253">
        <v>9.61</v>
      </c>
      <c r="H153" s="253">
        <v>9.92</v>
      </c>
      <c r="I153" s="253">
        <v>10.08</v>
      </c>
      <c r="J153" s="253">
        <v>10.18</v>
      </c>
      <c r="K153" s="253">
        <v>10.119999999999999</v>
      </c>
      <c r="L153" s="253">
        <v>10.119999999999999</v>
      </c>
      <c r="M153" s="253">
        <v>10.01</v>
      </c>
      <c r="N153" s="253">
        <v>10.01</v>
      </c>
      <c r="O153" s="253">
        <v>9.7799999999999994</v>
      </c>
      <c r="P153" s="253">
        <v>9.75</v>
      </c>
      <c r="Q153" s="253">
        <v>10.02</v>
      </c>
      <c r="R153" s="253">
        <v>10.08</v>
      </c>
      <c r="S153" s="253">
        <v>10.09</v>
      </c>
      <c r="T153" s="253">
        <v>10.17</v>
      </c>
      <c r="U153" s="253">
        <v>10.31</v>
      </c>
      <c r="V153" s="253">
        <v>10.4</v>
      </c>
      <c r="W153" s="253">
        <v>10.4</v>
      </c>
      <c r="X153" s="253">
        <v>10.39</v>
      </c>
      <c r="Y153" s="253">
        <v>10.36</v>
      </c>
      <c r="Z153" s="247">
        <f ca="1">[1]ExtEntry!$G51</f>
        <v>10.36</v>
      </c>
      <c r="AA153" s="277"/>
      <c r="AB153" s="1255">
        <v>0.21638446196370303</v>
      </c>
      <c r="AC153" s="1255">
        <v>0.85076246451456339</v>
      </c>
      <c r="AD153" s="1255">
        <v>0.87994782285373452</v>
      </c>
      <c r="AE153" s="1255">
        <v>0.64424247399445878</v>
      </c>
      <c r="AF153" s="1255">
        <v>0.65106040034020507</v>
      </c>
      <c r="AG153" s="1255">
        <v>0.61074588106158878</v>
      </c>
      <c r="AH153" s="1255">
        <v>0.65268686068587556</v>
      </c>
      <c r="AI153" s="1255">
        <v>0.69146707561176246</v>
      </c>
      <c r="AJ153" s="1255">
        <v>1.1189668802587947E-6</v>
      </c>
      <c r="AK153" s="1255">
        <v>0.69317028307847317</v>
      </c>
      <c r="AL153" s="1255">
        <v>0.59892988795484203</v>
      </c>
      <c r="AM153" s="1255">
        <v>0.42340258349755344</v>
      </c>
      <c r="AN153" s="1255">
        <v>0.56990054201772988</v>
      </c>
      <c r="AO153" s="1255">
        <v>0.53844223476745012</v>
      </c>
      <c r="AP153" s="1255">
        <v>0.66468639129783402</v>
      </c>
      <c r="AQ153" s="1255">
        <v>0.66042873288301307</v>
      </c>
      <c r="AR153" s="1255">
        <v>0.79633270301566239</v>
      </c>
      <c r="AS153" s="1255">
        <v>0.79633270301566239</v>
      </c>
      <c r="AT153" s="1255">
        <v>0.57453757684175366</v>
      </c>
      <c r="AU153" s="1255">
        <v>0.56861550729916477</v>
      </c>
      <c r="AV153" s="1210">
        <f ca="1">Calc!BB51</f>
        <v>0.56862767858430829</v>
      </c>
      <c r="AW153" s="279"/>
      <c r="AX153" s="88" t="str">
        <f t="shared" ca="1" si="10"/>
        <v>VTRS</v>
      </c>
      <c r="BA153" s="253">
        <v>6341</v>
      </c>
      <c r="CP153" s="277"/>
      <c r="EH153" s="110"/>
    </row>
    <row r="154" spans="1:138" hidden="1">
      <c r="A154" s="241" t="str">
        <f t="shared" ca="1" si="9"/>
        <v>WBA</v>
      </c>
      <c r="B154" s="250" t="str">
        <f ca="1">[1]ExtEntry!$D52</f>
        <v>USD</v>
      </c>
      <c r="C154" s="251"/>
      <c r="D154" s="841">
        <f>ROW()</f>
        <v>154</v>
      </c>
      <c r="E154" s="252"/>
      <c r="F154" s="253">
        <v>11.914999999999999</v>
      </c>
      <c r="G154" s="253">
        <v>11.914999999999999</v>
      </c>
      <c r="H154" s="253">
        <v>11.914999999999999</v>
      </c>
      <c r="I154" s="253">
        <v>11.914999999999999</v>
      </c>
      <c r="J154" s="253">
        <v>11.914999999999999</v>
      </c>
      <c r="K154" s="253">
        <v>11.914999999999999</v>
      </c>
      <c r="L154" s="253">
        <v>11.914999999999999</v>
      </c>
      <c r="M154" s="253">
        <v>11.914999999999999</v>
      </c>
      <c r="N154" s="253">
        <v>11.914999999999999</v>
      </c>
      <c r="O154" s="253">
        <v>11.914999999999999</v>
      </c>
      <c r="P154" s="253">
        <v>11.914999999999999</v>
      </c>
      <c r="Q154" s="253">
        <v>11.914999999999999</v>
      </c>
      <c r="R154" s="253">
        <v>11.914999999999999</v>
      </c>
      <c r="S154" s="253">
        <v>11.914999999999999</v>
      </c>
      <c r="T154" s="253">
        <v>11.914999999999999</v>
      </c>
      <c r="U154" s="253">
        <v>11.914999999999999</v>
      </c>
      <c r="V154" s="253">
        <v>11.914999999999999</v>
      </c>
      <c r="W154" s="253">
        <v>11.914999999999999</v>
      </c>
      <c r="X154" s="253">
        <v>11.914999999999999</v>
      </c>
      <c r="Y154" s="253">
        <v>11.914999999999999</v>
      </c>
      <c r="Z154" s="247">
        <f ca="1">[1]ExtEntry!$G52</f>
        <v>11.914999999999999</v>
      </c>
      <c r="AA154" s="277"/>
      <c r="AB154" s="1255">
        <v>14.986033366586197</v>
      </c>
      <c r="AC154" s="1255">
        <v>14.986033366586197</v>
      </c>
      <c r="AD154" s="1255">
        <v>14.986033366586197</v>
      </c>
      <c r="AE154" s="1255">
        <v>14.986033366586197</v>
      </c>
      <c r="AF154" s="1255">
        <v>14.986033366586197</v>
      </c>
      <c r="AG154" s="1255">
        <v>14.986033366586197</v>
      </c>
      <c r="AH154" s="1255">
        <v>14.986033366586197</v>
      </c>
      <c r="AI154" s="1255">
        <v>14.986033366586197</v>
      </c>
      <c r="AJ154" s="1255">
        <v>14.986033366586197</v>
      </c>
      <c r="AK154" s="1255">
        <v>14.986033366586197</v>
      </c>
      <c r="AL154" s="1255">
        <v>14.986033366586197</v>
      </c>
      <c r="AM154" s="1255">
        <v>14.986033366586197</v>
      </c>
      <c r="AN154" s="1255">
        <v>14.986033366586197</v>
      </c>
      <c r="AO154" s="1255">
        <v>14.986033366586197</v>
      </c>
      <c r="AP154" s="1255">
        <v>14.986033366586197</v>
      </c>
      <c r="AQ154" s="1255">
        <v>14.986033366586197</v>
      </c>
      <c r="AR154" s="1255">
        <v>14.986033366586197</v>
      </c>
      <c r="AS154" s="1255">
        <v>14.986033366586197</v>
      </c>
      <c r="AT154" s="1255">
        <v>14.986033366586197</v>
      </c>
      <c r="AU154" s="1255">
        <v>14.986033366586197</v>
      </c>
      <c r="AV154" s="1210">
        <f ca="1">Calc!BB52</f>
        <v>14.986033366586197</v>
      </c>
      <c r="AW154" s="279"/>
      <c r="AX154" s="88" t="str">
        <f t="shared" ca="1" si="10"/>
        <v>WBA</v>
      </c>
      <c r="BA154" s="253">
        <v>6440</v>
      </c>
      <c r="CP154" s="277"/>
      <c r="EH154" s="110"/>
    </row>
    <row r="155" spans="1:138" hidden="1">
      <c r="A155" s="241" t="str">
        <f t="shared" ca="1" si="9"/>
        <v>XOM</v>
      </c>
      <c r="B155" s="242" t="str">
        <f ca="1">[1]ExtEntry!$D53</f>
        <v>USD</v>
      </c>
      <c r="C155" s="243"/>
      <c r="D155" s="1202">
        <f>ROW()</f>
        <v>155</v>
      </c>
      <c r="E155" s="244"/>
      <c r="F155" s="253">
        <v>116.31</v>
      </c>
      <c r="G155" s="253">
        <v>113.35</v>
      </c>
      <c r="H155" s="253">
        <v>112.56</v>
      </c>
      <c r="I155" s="253">
        <v>111.97</v>
      </c>
      <c r="J155" s="253">
        <v>111.9</v>
      </c>
      <c r="K155" s="253">
        <v>114.07</v>
      </c>
      <c r="L155" s="253">
        <v>114.38</v>
      </c>
      <c r="M155" s="253">
        <v>114.425</v>
      </c>
      <c r="N155" s="253">
        <v>114.425</v>
      </c>
      <c r="O155" s="253">
        <v>111.51</v>
      </c>
      <c r="P155" s="253">
        <v>110.77</v>
      </c>
      <c r="Q155" s="253">
        <v>112.73</v>
      </c>
      <c r="R155" s="253">
        <v>111.88</v>
      </c>
      <c r="S155" s="253">
        <v>111.63</v>
      </c>
      <c r="T155" s="253">
        <v>112</v>
      </c>
      <c r="U155" s="253">
        <v>112.89</v>
      </c>
      <c r="V155" s="253">
        <v>113.45</v>
      </c>
      <c r="W155" s="253">
        <v>113.45</v>
      </c>
      <c r="X155" s="253">
        <v>116.63</v>
      </c>
      <c r="Y155" s="253">
        <v>116.35</v>
      </c>
      <c r="Z155" s="247">
        <f ca="1">[1]ExtEntry!$G53</f>
        <v>116.35</v>
      </c>
      <c r="AA155" s="277"/>
      <c r="AB155" s="1255">
        <v>0.46919574023809768</v>
      </c>
      <c r="AC155" s="1255">
        <v>1.1122387021889169</v>
      </c>
      <c r="AD155" s="1255">
        <v>1.0026122746001715</v>
      </c>
      <c r="AE155" s="1255">
        <v>0.7902049536483029</v>
      </c>
      <c r="AF155" s="1255">
        <v>0.78866776063037747</v>
      </c>
      <c r="AG155" s="1255">
        <v>0.73411599929988691</v>
      </c>
      <c r="AH155" s="1255">
        <v>0.76225475082019578</v>
      </c>
      <c r="AI155" s="1255">
        <v>0.68465020863388926</v>
      </c>
      <c r="AJ155" s="1255">
        <v>2.3548547092072574E-4</v>
      </c>
      <c r="AK155" s="1255">
        <v>0.62307068599676696</v>
      </c>
      <c r="AL155" s="1255">
        <v>0.6303221631781647</v>
      </c>
      <c r="AM155" s="1255">
        <v>0.38751137389551682</v>
      </c>
      <c r="AN155" s="1255">
        <v>0.7673308468559914</v>
      </c>
      <c r="AO155" s="1255">
        <v>0.87726339802780984</v>
      </c>
      <c r="AP155" s="1255">
        <v>0.61675194213127038</v>
      </c>
      <c r="AQ155" s="1255">
        <v>0.60126390996570833</v>
      </c>
      <c r="AR155" s="1255">
        <v>0.81095085677230183</v>
      </c>
      <c r="AS155" s="1255">
        <v>0.81096594061544347</v>
      </c>
      <c r="AT155" s="1255">
        <v>1.0018508336567928</v>
      </c>
      <c r="AU155" s="1255">
        <v>0.66131036426994239</v>
      </c>
      <c r="AV155" s="1210">
        <f ca="1">Calc!BB53</f>
        <v>0.66203170146144197</v>
      </c>
      <c r="AW155" s="279"/>
      <c r="AX155" s="88" t="str">
        <f t="shared" ca="1" si="10"/>
        <v>XOM</v>
      </c>
      <c r="BA155" s="253">
        <v>6539</v>
      </c>
      <c r="CP155" s="277"/>
      <c r="EH155" s="110"/>
    </row>
    <row r="156" spans="1:138" hidden="1">
      <c r="A156" s="241" t="str">
        <f t="shared" ca="1" si="9"/>
        <v>XPER</v>
      </c>
      <c r="B156" s="250" t="str">
        <f ca="1">[1]ExtEntry!$D54</f>
        <v>USD</v>
      </c>
      <c r="C156" s="251"/>
      <c r="D156" s="841">
        <f>ROW()</f>
        <v>156</v>
      </c>
      <c r="E156" s="252"/>
      <c r="F156" s="253">
        <v>6.63</v>
      </c>
      <c r="G156" s="253">
        <v>6.59</v>
      </c>
      <c r="H156" s="253">
        <v>6.43</v>
      </c>
      <c r="I156" s="253">
        <v>6.85</v>
      </c>
      <c r="J156" s="253">
        <v>6.78</v>
      </c>
      <c r="K156" s="253">
        <v>6.84</v>
      </c>
      <c r="L156" s="253">
        <v>6.6</v>
      </c>
      <c r="M156" s="253">
        <v>6.59</v>
      </c>
      <c r="N156" s="253">
        <v>6.59</v>
      </c>
      <c r="O156" s="253">
        <v>6.39</v>
      </c>
      <c r="P156" s="253">
        <v>6.415</v>
      </c>
      <c r="Q156" s="253">
        <v>6.76</v>
      </c>
      <c r="R156" s="253">
        <v>6.78</v>
      </c>
      <c r="S156" s="253">
        <v>6.65</v>
      </c>
      <c r="T156" s="253">
        <v>6.7</v>
      </c>
      <c r="U156" s="253">
        <v>6.7</v>
      </c>
      <c r="V156" s="253">
        <v>6.73</v>
      </c>
      <c r="W156" s="253">
        <v>6.73</v>
      </c>
      <c r="X156" s="253">
        <v>6.54</v>
      </c>
      <c r="Y156" s="253">
        <v>6.69</v>
      </c>
      <c r="Z156" s="247">
        <f ca="1">[1]ExtEntry!$G54</f>
        <v>6.69</v>
      </c>
      <c r="AA156" s="277"/>
      <c r="AB156" s="1255">
        <v>0.34749026212862433</v>
      </c>
      <c r="AC156" s="1255">
        <v>0.94528450025832222</v>
      </c>
      <c r="AD156" s="1255">
        <v>0.96791413588863318</v>
      </c>
      <c r="AE156" s="1255">
        <v>1.9468364601002437</v>
      </c>
      <c r="AF156" s="1255">
        <v>1.2604889231840475</v>
      </c>
      <c r="AG156" s="1255">
        <v>1.0706202647706984</v>
      </c>
      <c r="AH156" s="1255">
        <v>0.72222764671538087</v>
      </c>
      <c r="AI156" s="1255">
        <v>0.633428288558604</v>
      </c>
      <c r="AJ156" s="1255">
        <v>0.633428288558604</v>
      </c>
      <c r="AK156" s="1255">
        <v>0.67753364854153142</v>
      </c>
      <c r="AL156" s="1255">
        <v>1.0281055148224438</v>
      </c>
      <c r="AM156" s="1255">
        <v>0.63080307250181833</v>
      </c>
      <c r="AN156" s="1255">
        <v>0.91642032727663347</v>
      </c>
      <c r="AO156" s="1255">
        <v>1.0362244827128002</v>
      </c>
      <c r="AP156" s="1255">
        <v>0.94296886382698886</v>
      </c>
      <c r="AQ156" s="1255">
        <v>0.87092553725862787</v>
      </c>
      <c r="AR156" s="1255">
        <v>0.86219779535162622</v>
      </c>
      <c r="AS156" s="1255">
        <v>0.86219779535162622</v>
      </c>
      <c r="AT156" s="1255">
        <v>0.81885188920329377</v>
      </c>
      <c r="AU156" s="1255">
        <v>0.37629362380090553</v>
      </c>
      <c r="AV156" s="1210">
        <f ca="1">Calc!BB54</f>
        <v>0.37629953188296483</v>
      </c>
      <c r="AW156" s="279"/>
      <c r="AX156" s="88" t="str">
        <f t="shared" ca="1" si="10"/>
        <v>XPER</v>
      </c>
      <c r="BA156" s="253">
        <v>6638</v>
      </c>
      <c r="CP156" s="277"/>
      <c r="EH156" s="110"/>
    </row>
    <row r="157" spans="1:138" hidden="1">
      <c r="A157" s="241" t="str">
        <f t="shared" ca="1" si="9"/>
        <v>MVEALDNE</v>
      </c>
      <c r="B157" s="242" t="str">
        <f ca="1">[1]ExtEntry!$D55</f>
        <v>EUR</v>
      </c>
      <c r="C157" s="243"/>
      <c r="D157" s="1202">
        <f>ROW()</f>
        <v>157</v>
      </c>
      <c r="E157" s="244"/>
      <c r="F157" s="253">
        <v>0.8</v>
      </c>
      <c r="G157" s="253">
        <v>0.85</v>
      </c>
      <c r="H157" s="253">
        <v>0.84</v>
      </c>
      <c r="I157" s="253">
        <v>0.87</v>
      </c>
      <c r="J157" s="253">
        <v>0.86799999999999999</v>
      </c>
      <c r="K157" s="253">
        <v>0.84</v>
      </c>
      <c r="L157" s="253">
        <v>0.82199999999999995</v>
      </c>
      <c r="M157" s="253">
        <v>0.84</v>
      </c>
      <c r="N157" s="253">
        <v>0.82199999999999995</v>
      </c>
      <c r="O157" s="253">
        <v>0.83799999999999997</v>
      </c>
      <c r="P157" s="253">
        <v>0.83599999999999997</v>
      </c>
      <c r="Q157" s="253">
        <v>0.82</v>
      </c>
      <c r="R157" s="253">
        <v>0.82</v>
      </c>
      <c r="S157" s="253">
        <v>0.82799999999999996</v>
      </c>
      <c r="T157" s="253">
        <v>0.81</v>
      </c>
      <c r="U157" s="253">
        <v>0.81</v>
      </c>
      <c r="V157" s="253">
        <v>0.82</v>
      </c>
      <c r="W157" s="253">
        <v>0.82</v>
      </c>
      <c r="X157" s="253">
        <v>0.84</v>
      </c>
      <c r="Y157" s="253">
        <v>0.82</v>
      </c>
      <c r="Z157" s="247">
        <f ca="1">[1]ExtEntry!$G55</f>
        <v>0.82</v>
      </c>
      <c r="AA157" s="277"/>
      <c r="AB157" s="1255">
        <v>0.21026119402985075</v>
      </c>
      <c r="AC157" s="1255">
        <v>0.78321033210332103</v>
      </c>
      <c r="AD157" s="1255">
        <v>0.60409356725146202</v>
      </c>
      <c r="AE157" s="1255">
        <v>0.89696394686907022</v>
      </c>
      <c r="AF157" s="1255">
        <v>0.93548387096774188</v>
      </c>
      <c r="AG157" s="1255">
        <v>0.23984374999999999</v>
      </c>
      <c r="AH157" s="1255">
        <v>0.41233140655105971</v>
      </c>
      <c r="AI157" s="1255">
        <v>0.24022038567493112</v>
      </c>
      <c r="AJ157" s="1255">
        <v>0.20495867768595041</v>
      </c>
      <c r="AK157" s="1255">
        <v>0.62363013698630132</v>
      </c>
      <c r="AL157" s="1255">
        <v>0.19280821917808219</v>
      </c>
      <c r="AM157" s="1255">
        <v>1.2678929765886289</v>
      </c>
      <c r="AN157" s="1255">
        <v>0.38364312267657991</v>
      </c>
      <c r="AO157" s="1255">
        <v>0.51637931034482754</v>
      </c>
      <c r="AP157" s="1255">
        <v>2.8112820512820513</v>
      </c>
      <c r="AQ157" s="1255">
        <v>18.112820512820512</v>
      </c>
      <c r="AR157" s="1255">
        <v>2.5646017699115045</v>
      </c>
      <c r="AS157" s="1255">
        <v>2.5646017699115045</v>
      </c>
      <c r="AT157" s="1255">
        <v>0.39964726631393299</v>
      </c>
      <c r="AU157" s="1255">
        <v>1.8546737213403881</v>
      </c>
      <c r="AV157" s="1210">
        <f ca="1">Calc!BB55</f>
        <v>1.7439469320066334</v>
      </c>
      <c r="AW157" s="279"/>
      <c r="AX157" s="88" t="str">
        <f t="shared" ca="1" si="10"/>
        <v>MVEALDNE</v>
      </c>
      <c r="BA157" s="253">
        <v>6737</v>
      </c>
      <c r="CP157" s="277"/>
      <c r="EH157" s="110"/>
    </row>
    <row r="158" spans="1:138" hidden="1">
      <c r="A158" s="241" t="str">
        <f t="shared" ca="1" si="9"/>
        <v>MVEDDD</v>
      </c>
      <c r="B158" s="250" t="str">
        <f ca="1">[1]ExtEntry!$D56</f>
        <v>USD</v>
      </c>
      <c r="C158" s="251"/>
      <c r="D158" s="841">
        <f>ROW()</f>
        <v>158</v>
      </c>
      <c r="E158" s="252"/>
      <c r="F158" s="253">
        <v>3.27</v>
      </c>
      <c r="G158" s="253">
        <v>2.95</v>
      </c>
      <c r="H158" s="253">
        <v>2.89</v>
      </c>
      <c r="I158" s="253">
        <v>2.94</v>
      </c>
      <c r="J158" s="253">
        <v>3.01</v>
      </c>
      <c r="K158" s="253">
        <v>3.17</v>
      </c>
      <c r="L158" s="253">
        <v>3.18</v>
      </c>
      <c r="M158" s="253">
        <v>3.28</v>
      </c>
      <c r="N158" s="253">
        <v>3.28</v>
      </c>
      <c r="O158" s="253">
        <v>3.01</v>
      </c>
      <c r="P158" s="253">
        <v>2.94</v>
      </c>
      <c r="Q158" s="253">
        <v>3.21</v>
      </c>
      <c r="R158" s="253">
        <v>3.31</v>
      </c>
      <c r="S158" s="253">
        <v>3.18</v>
      </c>
      <c r="T158" s="253">
        <v>3.24</v>
      </c>
      <c r="U158" s="253">
        <v>3.66</v>
      </c>
      <c r="V158" s="253">
        <v>3.37</v>
      </c>
      <c r="W158" s="253">
        <v>3.37</v>
      </c>
      <c r="X158" s="253">
        <v>3.08</v>
      </c>
      <c r="Y158" s="253">
        <v>3.18</v>
      </c>
      <c r="Z158" s="247">
        <f ca="1">[1]ExtEntry!$G56</f>
        <v>3.18</v>
      </c>
      <c r="AA158" s="277"/>
      <c r="AB158" s="1255">
        <v>1.0226394241983316</v>
      </c>
      <c r="AC158" s="1255">
        <v>1.0959401648213758</v>
      </c>
      <c r="AD158" s="1255">
        <v>0.68888273561923841</v>
      </c>
      <c r="AE158" s="1255">
        <v>1.0972538253620534</v>
      </c>
      <c r="AF158" s="1255">
        <v>1.4351651053846612</v>
      </c>
      <c r="AG158" s="1255">
        <v>2.0876865676272205</v>
      </c>
      <c r="AH158" s="1255">
        <v>0.97688192721519429</v>
      </c>
      <c r="AI158" s="1255">
        <v>1.0101029924812388</v>
      </c>
      <c r="AJ158" s="1255">
        <v>1.5309370908856782E-4</v>
      </c>
      <c r="AK158" s="1255">
        <v>0.90020863838029908</v>
      </c>
      <c r="AL158" s="1255">
        <v>0.6190723562989483</v>
      </c>
      <c r="AM158" s="1255">
        <v>0.64307343677691386</v>
      </c>
      <c r="AN158" s="1255">
        <v>1.0942968182263135</v>
      </c>
      <c r="AO158" s="1255">
        <v>0.82300357163750415</v>
      </c>
      <c r="AP158" s="1255">
        <v>1.5671814220431834</v>
      </c>
      <c r="AQ158" s="1255">
        <v>1.2154801258593895</v>
      </c>
      <c r="AR158" s="1255">
        <v>0.97920444289454789</v>
      </c>
      <c r="AS158" s="1255">
        <v>0.97921204565739195</v>
      </c>
      <c r="AT158" s="1255">
        <v>0.55260867669021085</v>
      </c>
      <c r="AU158" s="1255">
        <v>0.66203796015800986</v>
      </c>
      <c r="AV158" s="1210">
        <f ca="1">Calc!BB56</f>
        <v>0.66744662603510774</v>
      </c>
      <c r="AW158" s="279"/>
      <c r="AX158" s="88" t="str">
        <f t="shared" ca="1" si="10"/>
        <v>MVEDDD</v>
      </c>
      <c r="BA158" s="253">
        <v>6836</v>
      </c>
      <c r="CP158" s="277"/>
      <c r="EH158" s="110"/>
    </row>
    <row r="159" spans="1:138" hidden="1">
      <c r="A159" s="241" t="str">
        <f t="shared" ca="1" si="9"/>
        <v>MVEDSY</v>
      </c>
      <c r="B159" s="242" t="str">
        <f ca="1">[1]ExtEntry!$D57</f>
        <v>EUR</v>
      </c>
      <c r="C159" s="243"/>
      <c r="D159" s="1202">
        <f>ROW()</f>
        <v>159</v>
      </c>
      <c r="E159" s="244"/>
      <c r="F159" s="253">
        <v>28.15</v>
      </c>
      <c r="G159" s="253">
        <v>1.03</v>
      </c>
      <c r="H159" s="253">
        <v>1.01</v>
      </c>
      <c r="I159" s="253">
        <v>1.04</v>
      </c>
      <c r="J159" s="253">
        <v>1.06</v>
      </c>
      <c r="K159" s="253">
        <v>1.04</v>
      </c>
      <c r="L159" s="253">
        <v>29</v>
      </c>
      <c r="M159" s="253">
        <v>28.83</v>
      </c>
      <c r="N159" s="253">
        <v>29.09</v>
      </c>
      <c r="O159" s="253">
        <v>28.5</v>
      </c>
      <c r="P159" s="253">
        <v>28.65</v>
      </c>
      <c r="Q159" s="253">
        <v>28.59</v>
      </c>
      <c r="R159" s="253">
        <v>28.83</v>
      </c>
      <c r="S159" s="253">
        <v>29.02</v>
      </c>
      <c r="T159" s="253">
        <v>29.45</v>
      </c>
      <c r="U159" s="253">
        <v>29.79</v>
      </c>
      <c r="V159" s="253">
        <v>30.05</v>
      </c>
      <c r="W159" s="253">
        <v>30.05</v>
      </c>
      <c r="X159" s="253">
        <v>26</v>
      </c>
      <c r="Y159" s="253">
        <v>26.3</v>
      </c>
      <c r="Z159" s="247">
        <f ca="1">[1]ExtEntry!$G57</f>
        <v>26.3</v>
      </c>
      <c r="AA159" s="277"/>
      <c r="AB159" s="1255">
        <v>0.70832393054718734</v>
      </c>
      <c r="AC159" s="1255">
        <v>7.1747211220962323E-2</v>
      </c>
      <c r="AD159" s="1255">
        <v>6.9286122767388977E-2</v>
      </c>
      <c r="AE159" s="1255">
        <v>4.3702607981195928E-2</v>
      </c>
      <c r="AF159" s="1255">
        <v>6.1910578949297544E-2</v>
      </c>
      <c r="AG159" s="1255">
        <v>0.1583687037159289</v>
      </c>
      <c r="AH159" s="1255">
        <v>0.74384021221814778</v>
      </c>
      <c r="AI159" s="1255">
        <v>0.74847641164470557</v>
      </c>
      <c r="AJ159" s="1255">
        <v>7.9689654240220592E-2</v>
      </c>
      <c r="AK159" s="1255">
        <v>0.872915092674316</v>
      </c>
      <c r="AL159" s="1255">
        <v>1.4749027360988527</v>
      </c>
      <c r="AM159" s="1255">
        <v>1.2615483322108398</v>
      </c>
      <c r="AN159" s="1255">
        <v>0.9765418502202643</v>
      </c>
      <c r="AO159" s="1255">
        <v>1.1551305544346169</v>
      </c>
      <c r="AP159" s="1255">
        <v>0.69999801538736328</v>
      </c>
      <c r="AQ159" s="1255">
        <v>0.9729700694888288</v>
      </c>
      <c r="AR159" s="1255">
        <v>1.2820478126657329</v>
      </c>
      <c r="AS159" s="1255">
        <v>1.2820478126657329</v>
      </c>
      <c r="AT159" s="1255">
        <v>5.2664647136247069</v>
      </c>
      <c r="AU159" s="1255">
        <v>2.2751021072770938</v>
      </c>
      <c r="AV159" s="1210">
        <f ca="1">Calc!BB57</f>
        <v>2.1661298761699901</v>
      </c>
      <c r="AW159" s="279"/>
      <c r="AX159" s="88" t="str">
        <f t="shared" ca="1" si="10"/>
        <v>MVEDSY</v>
      </c>
      <c r="BA159" s="253">
        <v>6935</v>
      </c>
      <c r="CP159" s="277"/>
      <c r="EH159" s="110"/>
    </row>
    <row r="160" spans="1:138" hidden="1">
      <c r="A160" s="241" t="str">
        <f t="shared" ca="1" si="9"/>
        <v>MVEEOAN</v>
      </c>
      <c r="B160" s="250" t="str">
        <f ca="1">[1]ExtEntry!$D58</f>
        <v>EUR</v>
      </c>
      <c r="C160" s="251"/>
      <c r="D160" s="841">
        <f>ROW()</f>
        <v>160</v>
      </c>
      <c r="E160" s="252"/>
      <c r="F160" s="253">
        <v>16.094999999999999</v>
      </c>
      <c r="G160" s="253">
        <v>15.97</v>
      </c>
      <c r="H160" s="253">
        <v>15.96</v>
      </c>
      <c r="I160" s="253">
        <v>16.114999999999998</v>
      </c>
      <c r="J160" s="253">
        <v>15.95</v>
      </c>
      <c r="K160" s="253">
        <v>16.085000000000001</v>
      </c>
      <c r="L160" s="253">
        <v>16.14</v>
      </c>
      <c r="M160" s="253">
        <v>16.215</v>
      </c>
      <c r="N160" s="253">
        <v>16.155000000000001</v>
      </c>
      <c r="O160" s="253">
        <v>16.184999999999999</v>
      </c>
      <c r="P160" s="253">
        <v>16.164999999999999</v>
      </c>
      <c r="Q160" s="253">
        <v>16.37</v>
      </c>
      <c r="R160" s="253">
        <v>16.239999999999998</v>
      </c>
      <c r="S160" s="253">
        <v>16.164999999999999</v>
      </c>
      <c r="T160" s="253">
        <v>16.315000000000001</v>
      </c>
      <c r="U160" s="253">
        <v>16.355</v>
      </c>
      <c r="V160" s="253">
        <v>16.3</v>
      </c>
      <c r="W160" s="253">
        <v>16.3</v>
      </c>
      <c r="X160" s="253">
        <v>16.13</v>
      </c>
      <c r="Y160" s="253">
        <v>15.984999999999999</v>
      </c>
      <c r="Z160" s="247">
        <f ca="1">[1]ExtEntry!$G58</f>
        <v>15.97</v>
      </c>
      <c r="AA160" s="277"/>
      <c r="AB160" s="1255">
        <v>0.43442717427033395</v>
      </c>
      <c r="AC160" s="1255">
        <v>1.7058625149945997E-3</v>
      </c>
      <c r="AD160" s="1255">
        <v>3.4969240432460366E-4</v>
      </c>
      <c r="AE160" s="1255">
        <v>1.7624729470001165E-3</v>
      </c>
      <c r="AF160" s="1255">
        <v>2.194623000480254E-3</v>
      </c>
      <c r="AG160" s="1255">
        <v>6.3332612984405611E-4</v>
      </c>
      <c r="AH160" s="1255">
        <v>1.9361104585727759E-3</v>
      </c>
      <c r="AI160" s="1255">
        <v>3.9956139271869742E-3</v>
      </c>
      <c r="AJ160" s="1255">
        <v>8.4903157336163441E-4</v>
      </c>
      <c r="AK160" s="1255">
        <v>1.7252574899351656E-3</v>
      </c>
      <c r="AL160" s="1255">
        <v>1.0223008095157225E-3</v>
      </c>
      <c r="AM160" s="1255">
        <v>1.8751914365397946E-3</v>
      </c>
      <c r="AN160" s="1255">
        <v>2.621069224044295E-3</v>
      </c>
      <c r="AO160" s="1255">
        <v>1.6947205747222455E-3</v>
      </c>
      <c r="AP160" s="1255">
        <v>2.8769426684523477E-3</v>
      </c>
      <c r="AQ160" s="1255">
        <v>3.9924448583246409E-3</v>
      </c>
      <c r="AR160" s="1255">
        <v>2.9646218410092277E-3</v>
      </c>
      <c r="AS160" s="1255">
        <v>2.9646218410092277E-3</v>
      </c>
      <c r="AT160" s="1255">
        <v>2.0957802059433446E-3</v>
      </c>
      <c r="AU160" s="1255">
        <v>1.3643016391740198E-3</v>
      </c>
      <c r="AV160" s="1210">
        <f ca="1">Calc!BB58</f>
        <v>1.1313503925264488</v>
      </c>
      <c r="AW160" s="279"/>
      <c r="AX160" s="88" t="str">
        <f t="shared" ca="1" si="10"/>
        <v>MVEEOAN</v>
      </c>
      <c r="BA160" s="253">
        <v>7034</v>
      </c>
      <c r="CP160" s="277"/>
      <c r="EH160" s="110"/>
    </row>
    <row r="161" spans="1:138" hidden="1">
      <c r="A161" s="241" t="str">
        <f t="shared" ca="1" si="9"/>
        <v>MVEENI</v>
      </c>
      <c r="B161" s="242" t="str">
        <f ca="1">[1]ExtEntry!$D59</f>
        <v>EUR</v>
      </c>
      <c r="C161" s="243"/>
      <c r="D161" s="1202">
        <f>ROW()</f>
        <v>161</v>
      </c>
      <c r="E161" s="244"/>
      <c r="F161" s="253">
        <v>15.26</v>
      </c>
      <c r="G161" s="253">
        <v>15.034000000000001</v>
      </c>
      <c r="H161" s="253">
        <v>14.88</v>
      </c>
      <c r="I161" s="253">
        <v>14.87</v>
      </c>
      <c r="J161" s="253">
        <v>14.9</v>
      </c>
      <c r="K161" s="253">
        <v>15.154</v>
      </c>
      <c r="L161" s="253">
        <v>15.3</v>
      </c>
      <c r="M161" s="253">
        <v>15.34</v>
      </c>
      <c r="N161" s="253">
        <v>15.25</v>
      </c>
      <c r="O161" s="253">
        <v>15.028</v>
      </c>
      <c r="P161" s="253">
        <v>14.91</v>
      </c>
      <c r="Q161" s="253">
        <v>14.696</v>
      </c>
      <c r="R161" s="253">
        <v>14.78</v>
      </c>
      <c r="S161" s="253">
        <v>14.58</v>
      </c>
      <c r="T161" s="253">
        <v>14.86</v>
      </c>
      <c r="U161" s="253">
        <v>14.914</v>
      </c>
      <c r="V161" s="253">
        <v>15.05</v>
      </c>
      <c r="W161" s="253">
        <v>15.05</v>
      </c>
      <c r="X161" s="253">
        <v>15.35</v>
      </c>
      <c r="Y161" s="253">
        <v>15.83</v>
      </c>
      <c r="Z161" s="247">
        <f ca="1">[1]ExtEntry!$G59</f>
        <v>15.83</v>
      </c>
      <c r="AA161" s="277"/>
      <c r="AB161" s="1255">
        <v>0.93659283445678709</v>
      </c>
      <c r="AC161" s="1255">
        <v>1.3778138634528265</v>
      </c>
      <c r="AD161" s="1255">
        <v>0.80931617292211977</v>
      </c>
      <c r="AE161" s="1255">
        <v>0.76072113160433474</v>
      </c>
      <c r="AF161" s="1255">
        <v>0.67529814054018378</v>
      </c>
      <c r="AG161" s="1255">
        <v>0.8686710323718343</v>
      </c>
      <c r="AH161" s="1255">
        <v>0.9824967344313903</v>
      </c>
      <c r="AI161" s="1255">
        <v>1.3168649472053577</v>
      </c>
      <c r="AJ161" s="1255">
        <v>0.34256636719918426</v>
      </c>
      <c r="AK161" s="1255">
        <v>0.6563647503193033</v>
      </c>
      <c r="AL161" s="1255">
        <v>1.2917570956538709</v>
      </c>
      <c r="AM161" s="1255">
        <v>0.84163950578146351</v>
      </c>
      <c r="AN161" s="1255">
        <v>0.62041217543961047</v>
      </c>
      <c r="AO161" s="1255">
        <v>1.0628734632284409</v>
      </c>
      <c r="AP161" s="1255">
        <v>0.74638657849185563</v>
      </c>
      <c r="AQ161" s="1255">
        <v>0.70859119990735986</v>
      </c>
      <c r="AR161" s="1255">
        <v>1.1178150489617786</v>
      </c>
      <c r="AS161" s="1255">
        <v>1.1178150489617786</v>
      </c>
      <c r="AT161" s="1255">
        <v>2.8045750663013216</v>
      </c>
      <c r="AU161" s="1255">
        <v>1.9757191354967922</v>
      </c>
      <c r="AV161" s="1210">
        <f ca="1">Calc!BB59</f>
        <v>1.9476811966291017</v>
      </c>
      <c r="AW161" s="279"/>
      <c r="AX161" s="88" t="str">
        <f t="shared" ca="1" si="10"/>
        <v>MVEENI</v>
      </c>
      <c r="BA161" s="253">
        <v>7133</v>
      </c>
      <c r="CP161" s="277"/>
      <c r="EH161" s="110"/>
    </row>
    <row r="162" spans="1:138" hidden="1">
      <c r="A162" s="241" t="str">
        <f t="shared" ca="1" si="9"/>
        <v>MVEEPIX</v>
      </c>
      <c r="B162" s="250" t="str">
        <f ca="1">[1]ExtEntry!$D60</f>
        <v>USD</v>
      </c>
      <c r="C162" s="251"/>
      <c r="D162" s="841">
        <f>ROW()</f>
        <v>162</v>
      </c>
      <c r="E162" s="252"/>
      <c r="F162" s="253">
        <v>0.19750000000000001</v>
      </c>
      <c r="G162" s="253">
        <v>0.19989999999999999</v>
      </c>
      <c r="H162" s="253">
        <v>0.19</v>
      </c>
      <c r="I162" s="253">
        <v>0.21</v>
      </c>
      <c r="J162" s="253">
        <v>0.2036</v>
      </c>
      <c r="K162" s="253">
        <v>0.21870000000000001</v>
      </c>
      <c r="L162" s="253">
        <v>0.2</v>
      </c>
      <c r="M162" s="253">
        <v>0.2</v>
      </c>
      <c r="N162" s="253">
        <v>0.2</v>
      </c>
      <c r="O162" s="253">
        <v>0.2</v>
      </c>
      <c r="P162" s="253">
        <v>0.2</v>
      </c>
      <c r="Q162" s="253">
        <v>0.2</v>
      </c>
      <c r="R162" s="253">
        <v>0.2</v>
      </c>
      <c r="S162" s="253">
        <v>0.2</v>
      </c>
      <c r="T162" s="253">
        <v>0.2</v>
      </c>
      <c r="U162" s="253">
        <v>0.2</v>
      </c>
      <c r="V162" s="253">
        <v>0.2</v>
      </c>
      <c r="W162" s="253">
        <v>0.2</v>
      </c>
      <c r="X162" s="253">
        <v>0.2</v>
      </c>
      <c r="Y162" s="253">
        <v>0.2</v>
      </c>
      <c r="Z162" s="247">
        <f ca="1">[1]ExtEntry!$G60</f>
        <v>0.2</v>
      </c>
      <c r="AA162" s="277"/>
      <c r="AB162" s="1255">
        <v>9.8718739972466329E-2</v>
      </c>
      <c r="AC162" s="1255">
        <v>0.31690225656802479</v>
      </c>
      <c r="AD162" s="1255">
        <v>0.30406149810499283</v>
      </c>
      <c r="AE162" s="1255">
        <v>0.96766757765851497</v>
      </c>
      <c r="AF162" s="1255">
        <v>0.72460437220039386</v>
      </c>
      <c r="AG162" s="1255">
        <v>0.94412588991954383</v>
      </c>
      <c r="AH162" s="1255">
        <v>1.9007138990500012</v>
      </c>
      <c r="AI162" s="1255">
        <v>1.8522760022071003</v>
      </c>
      <c r="AJ162" s="1255">
        <v>1.8522760022071003</v>
      </c>
      <c r="AK162" s="1255">
        <v>1.8522760022071003</v>
      </c>
      <c r="AL162" s="1255">
        <v>1.8522760022071003</v>
      </c>
      <c r="AM162" s="1255">
        <v>1.8522760022071003</v>
      </c>
      <c r="AN162" s="1255">
        <v>1.8522760022071003</v>
      </c>
      <c r="AO162" s="1255">
        <v>1.8522760022071003</v>
      </c>
      <c r="AP162" s="1255">
        <v>1.8522760022071003</v>
      </c>
      <c r="AQ162" s="1255">
        <v>1.8522760022071003</v>
      </c>
      <c r="AR162" s="1255">
        <v>1.8522760022071003</v>
      </c>
      <c r="AS162" s="1255">
        <v>1.8522760022071003</v>
      </c>
      <c r="AT162" s="1255">
        <v>1.8522760022071003</v>
      </c>
      <c r="AU162" s="1255">
        <v>1.8522760022071003</v>
      </c>
      <c r="AV162" s="1210">
        <f ca="1">Calc!BB60</f>
        <v>1.8522760022071003</v>
      </c>
      <c r="AW162" s="279"/>
      <c r="AX162" s="88" t="str">
        <f t="shared" ca="1" si="10"/>
        <v>MVEEPIX</v>
      </c>
      <c r="BA162" s="253">
        <v>7232</v>
      </c>
      <c r="CP162" s="277"/>
      <c r="EH162" s="110"/>
    </row>
    <row r="163" spans="1:138" hidden="1">
      <c r="A163" s="241" t="str">
        <f t="shared" ca="1" si="9"/>
        <v>MVEGLE</v>
      </c>
      <c r="B163" s="242" t="str">
        <f ca="1">[1]ExtEntry!$D61</f>
        <v>EUR</v>
      </c>
      <c r="C163" s="243"/>
      <c r="D163" s="1202">
        <f>ROW()</f>
        <v>163</v>
      </c>
      <c r="E163" s="244"/>
      <c r="F163" s="253">
        <v>57.34</v>
      </c>
      <c r="G163" s="253">
        <v>56.74</v>
      </c>
      <c r="H163" s="253">
        <v>56.12</v>
      </c>
      <c r="I163" s="253">
        <v>57.32</v>
      </c>
      <c r="J163" s="253">
        <v>57.02</v>
      </c>
      <c r="K163" s="253">
        <v>53.78</v>
      </c>
      <c r="L163" s="253">
        <v>53.42</v>
      </c>
      <c r="M163" s="253">
        <v>54.6</v>
      </c>
      <c r="N163" s="253">
        <v>54.44</v>
      </c>
      <c r="O163" s="253">
        <v>53.98</v>
      </c>
      <c r="P163" s="253">
        <v>53.12</v>
      </c>
      <c r="Q163" s="253">
        <v>56.12</v>
      </c>
      <c r="R163" s="253">
        <v>55.42</v>
      </c>
      <c r="S163" s="253">
        <v>54.6</v>
      </c>
      <c r="T163" s="253">
        <v>54.58</v>
      </c>
      <c r="U163" s="253">
        <v>53.44</v>
      </c>
      <c r="V163" s="253">
        <v>52.98</v>
      </c>
      <c r="W163" s="253">
        <v>52.98</v>
      </c>
      <c r="X163" s="253">
        <v>53.22</v>
      </c>
      <c r="Y163" s="253">
        <v>53.94</v>
      </c>
      <c r="Z163" s="247">
        <f ca="1">[1]ExtEntry!$G61</f>
        <v>53.94</v>
      </c>
      <c r="AA163" s="277"/>
      <c r="AB163" s="1255">
        <v>1.0138535831562681</v>
      </c>
      <c r="AC163" s="1255">
        <v>0.87310466624354977</v>
      </c>
      <c r="AD163" s="1255">
        <v>0.86420790848047746</v>
      </c>
      <c r="AE163" s="1255">
        <v>0.77044335255190433</v>
      </c>
      <c r="AF163" s="1255">
        <v>0.86390127524212557</v>
      </c>
      <c r="AG163" s="1255">
        <v>1.5210079157406089</v>
      </c>
      <c r="AH163" s="1255">
        <v>1.1685100067276435</v>
      </c>
      <c r="AI163" s="1255">
        <v>0.7665265197336717</v>
      </c>
      <c r="AJ163" s="1255">
        <v>0.11593298517884716</v>
      </c>
      <c r="AK163" s="1255">
        <v>0.77697700219465049</v>
      </c>
      <c r="AL163" s="1255">
        <v>1.07937464573109</v>
      </c>
      <c r="AM163" s="1255">
        <v>1.0890179245190565</v>
      </c>
      <c r="AN163" s="1255">
        <v>1.0877498966927428</v>
      </c>
      <c r="AO163" s="1255">
        <v>1.3148190631243988</v>
      </c>
      <c r="AP163" s="1255">
        <v>1.0984845868587452</v>
      </c>
      <c r="AQ163" s="1255">
        <v>0.73005935740133565</v>
      </c>
      <c r="AR163" s="1255">
        <v>0.63591547720756303</v>
      </c>
      <c r="AS163" s="1255">
        <v>0.63591547720756303</v>
      </c>
      <c r="AT163" s="1255">
        <v>1.0063348373621503</v>
      </c>
      <c r="AU163" s="1255">
        <v>0.76575199083438239</v>
      </c>
      <c r="AV163" s="1210">
        <f ca="1">Calc!BB61</f>
        <v>0.79786255716959531</v>
      </c>
      <c r="AW163" s="279"/>
      <c r="AX163" s="88" t="str">
        <f t="shared" ca="1" si="10"/>
        <v>MVEGLE</v>
      </c>
      <c r="BA163" s="253">
        <v>7331</v>
      </c>
      <c r="CP163" s="277"/>
      <c r="EH163" s="110"/>
    </row>
    <row r="164" spans="1:138" hidden="1">
      <c r="A164" s="241" t="str">
        <f t="shared" ca="1" si="9"/>
        <v>MVEORA</v>
      </c>
      <c r="B164" s="250" t="str">
        <f ca="1">[1]ExtEntry!$D62</f>
        <v>EUR</v>
      </c>
      <c r="C164" s="251"/>
      <c r="D164" s="841">
        <f>ROW()</f>
        <v>164</v>
      </c>
      <c r="E164" s="252"/>
      <c r="F164" s="253">
        <v>13.725</v>
      </c>
      <c r="G164" s="253">
        <v>48.11</v>
      </c>
      <c r="H164" s="253">
        <v>13.82</v>
      </c>
      <c r="I164" s="253">
        <v>13.36</v>
      </c>
      <c r="J164" s="253">
        <v>13.605</v>
      </c>
      <c r="K164" s="253">
        <v>13.24</v>
      </c>
      <c r="L164" s="253">
        <v>13.28</v>
      </c>
      <c r="M164" s="253">
        <v>13.4</v>
      </c>
      <c r="N164" s="253">
        <v>13.574999999999999</v>
      </c>
      <c r="O164" s="253">
        <v>13.64</v>
      </c>
      <c r="P164" s="253">
        <v>13.47</v>
      </c>
      <c r="Q164" s="253">
        <v>14.05</v>
      </c>
      <c r="R164" s="253">
        <v>13.98</v>
      </c>
      <c r="S164" s="253">
        <v>14.03</v>
      </c>
      <c r="T164" s="253">
        <v>14.244999999999999</v>
      </c>
      <c r="U164" s="253">
        <v>14.185</v>
      </c>
      <c r="V164" s="253">
        <v>14.11</v>
      </c>
      <c r="W164" s="253">
        <v>14.11</v>
      </c>
      <c r="X164" s="253">
        <v>14.1</v>
      </c>
      <c r="Y164" s="253">
        <v>14.13</v>
      </c>
      <c r="Z164" s="247">
        <f ca="1">[1]ExtEntry!$G62</f>
        <v>14.13</v>
      </c>
      <c r="AA164" s="277"/>
      <c r="AB164" s="1255">
        <v>0.54325087423309337</v>
      </c>
      <c r="AC164" s="1255">
        <v>2.6259831021174507</v>
      </c>
      <c r="AD164" s="1255">
        <v>0.76076635178368057</v>
      </c>
      <c r="AE164" s="1255">
        <v>1.3478509080278991</v>
      </c>
      <c r="AF164" s="1255">
        <v>0.89501001621205967</v>
      </c>
      <c r="AG164" s="1255">
        <v>1.079481516696053</v>
      </c>
      <c r="AH164" s="1255">
        <v>1.3549098252759246</v>
      </c>
      <c r="AI164" s="1255">
        <v>1.02395881252703</v>
      </c>
      <c r="AJ164" s="1255">
        <v>6.1353934583997995E-2</v>
      </c>
      <c r="AK164" s="1255">
        <v>0.73168770513509829</v>
      </c>
      <c r="AL164" s="1255">
        <v>0.81416688067055143</v>
      </c>
      <c r="AM164" s="1255">
        <v>2.3893283101988514</v>
      </c>
      <c r="AN164" s="1255">
        <v>0.83116709229148122</v>
      </c>
      <c r="AO164" s="1255">
        <v>1.2407510778527331</v>
      </c>
      <c r="AP164" s="1255">
        <v>0.66577661206280814</v>
      </c>
      <c r="AQ164" s="1255">
        <v>0.72038804257461686</v>
      </c>
      <c r="AR164" s="1255">
        <v>1.0817189651816796</v>
      </c>
      <c r="AS164" s="1255">
        <v>1.0817189651816796</v>
      </c>
      <c r="AT164" s="1255">
        <v>1.1072291862113017</v>
      </c>
      <c r="AU164" s="1255">
        <v>0.94411390446915111</v>
      </c>
      <c r="AV164" s="1210">
        <f ca="1">Calc!BB62</f>
        <v>0.95426628132187385</v>
      </c>
      <c r="AW164" s="279"/>
      <c r="AX164" s="88" t="str">
        <f t="shared" ca="1" si="10"/>
        <v>MVEORA</v>
      </c>
      <c r="BA164" s="253">
        <v>7430</v>
      </c>
      <c r="CP164" s="277"/>
      <c r="EH164" s="110"/>
    </row>
    <row r="165" spans="1:138" hidden="1">
      <c r="A165" s="241" t="str">
        <f t="shared" ca="1" si="9"/>
        <v>MVERWE</v>
      </c>
      <c r="B165" s="242" t="str">
        <f ca="1">[1]ExtEntry!$D63</f>
        <v>EUR</v>
      </c>
      <c r="C165" s="243"/>
      <c r="D165" s="1202">
        <f>ROW()</f>
        <v>165</v>
      </c>
      <c r="E165" s="244"/>
      <c r="F165" s="253">
        <v>37.950000000000003</v>
      </c>
      <c r="G165" s="253">
        <v>37.729999999999997</v>
      </c>
      <c r="H165" s="253">
        <v>37.78</v>
      </c>
      <c r="I165" s="253">
        <v>39.17</v>
      </c>
      <c r="J165" s="253">
        <v>39.01</v>
      </c>
      <c r="K165" s="253">
        <v>39.76</v>
      </c>
      <c r="L165" s="253">
        <v>40.14</v>
      </c>
      <c r="M165" s="253">
        <v>40.409999999999997</v>
      </c>
      <c r="N165" s="253">
        <v>40.44</v>
      </c>
      <c r="O165" s="253">
        <v>40.42</v>
      </c>
      <c r="P165" s="253">
        <v>40.700000000000003</v>
      </c>
      <c r="Q165" s="253">
        <v>40.67</v>
      </c>
      <c r="R165" s="253">
        <v>40.85</v>
      </c>
      <c r="S165" s="253">
        <v>41.14</v>
      </c>
      <c r="T165" s="253">
        <v>40.86</v>
      </c>
      <c r="U165" s="253">
        <v>40.869999999999997</v>
      </c>
      <c r="V165" s="253">
        <v>40.58</v>
      </c>
      <c r="W165" s="253">
        <v>40.58</v>
      </c>
      <c r="X165" s="253">
        <v>39.78</v>
      </c>
      <c r="Y165" s="253">
        <v>40.340000000000003</v>
      </c>
      <c r="Z165" s="247">
        <f ca="1">[1]ExtEntry!$G63</f>
        <v>40.33</v>
      </c>
      <c r="AA165" s="277"/>
      <c r="AB165" s="1255">
        <v>0.67930387037516304</v>
      </c>
      <c r="AC165" s="1255">
        <v>3.1406518793673024E-3</v>
      </c>
      <c r="AD165" s="1255">
        <v>5.4373114161189061E-3</v>
      </c>
      <c r="AE165" s="1255">
        <v>3.4137619204209144E-3</v>
      </c>
      <c r="AF165" s="1255">
        <v>2.8445264488105365E-4</v>
      </c>
      <c r="AG165" s="1255">
        <v>3.5403091583539113E-3</v>
      </c>
      <c r="AH165" s="1255">
        <v>6.6089191787183947E-3</v>
      </c>
      <c r="AI165" s="1255">
        <v>4.1801317832710792E-3</v>
      </c>
      <c r="AJ165" s="1255">
        <v>1.3359168364373559E-3</v>
      </c>
      <c r="AK165" s="1255">
        <v>2.3245952394333096E-3</v>
      </c>
      <c r="AL165" s="1255">
        <v>1.0585849090342457E-3</v>
      </c>
      <c r="AM165" s="1255">
        <v>3.3320044160942098E-3</v>
      </c>
      <c r="AN165" s="1255">
        <v>3.4787200771112009E-3</v>
      </c>
      <c r="AO165" s="1255">
        <v>2.6549612375659317E-3</v>
      </c>
      <c r="AP165" s="1255">
        <v>1.819630684912659E-3</v>
      </c>
      <c r="AQ165" s="1255">
        <v>2.6084812905962816E-3</v>
      </c>
      <c r="AR165" s="1255">
        <v>1.7585367412511838E-2</v>
      </c>
      <c r="AS165" s="1255">
        <v>1.7585367412511838E-2</v>
      </c>
      <c r="AT165" s="1255">
        <v>1.3090727062124202E-3</v>
      </c>
      <c r="AU165" s="1255">
        <v>1.0127996926676795E-3</v>
      </c>
      <c r="AV165" s="1210">
        <f ca="1">Calc!BB63</f>
        <v>0.73562425007112731</v>
      </c>
      <c r="AW165" s="279"/>
      <c r="AX165" s="88" t="str">
        <f t="shared" ca="1" si="10"/>
        <v>MVERWE</v>
      </c>
      <c r="BA165" s="253">
        <v>7529</v>
      </c>
      <c r="CP165" s="277"/>
      <c r="EH165" s="110"/>
    </row>
    <row r="166" spans="1:138" hidden="1">
      <c r="A166" s="241" t="str">
        <f t="shared" ca="1" si="9"/>
        <v>MVESAP</v>
      </c>
      <c r="B166" s="250" t="str">
        <f ca="1">[1]ExtEntry!$D64</f>
        <v>EUR</v>
      </c>
      <c r="C166" s="251"/>
      <c r="D166" s="841">
        <f>ROW()</f>
        <v>166</v>
      </c>
      <c r="E166" s="252"/>
      <c r="F166" s="253">
        <v>225.55</v>
      </c>
      <c r="G166" s="253">
        <v>225</v>
      </c>
      <c r="H166" s="253">
        <v>225.05</v>
      </c>
      <c r="I166" s="253">
        <v>227.6</v>
      </c>
      <c r="J166" s="253">
        <v>232.65</v>
      </c>
      <c r="K166" s="253">
        <v>233.95</v>
      </c>
      <c r="L166" s="253">
        <v>235.45</v>
      </c>
      <c r="M166" s="253">
        <v>239</v>
      </c>
      <c r="N166" s="253">
        <v>238.8</v>
      </c>
      <c r="O166" s="253">
        <v>231.8</v>
      </c>
      <c r="P166" s="253">
        <v>230.95</v>
      </c>
      <c r="Q166" s="253">
        <v>231.8</v>
      </c>
      <c r="R166" s="253">
        <v>231.2</v>
      </c>
      <c r="S166" s="253">
        <v>229.25</v>
      </c>
      <c r="T166" s="253">
        <v>233.8</v>
      </c>
      <c r="U166" s="253">
        <v>238.15</v>
      </c>
      <c r="V166" s="253">
        <v>241.15</v>
      </c>
      <c r="W166" s="253">
        <v>241.15</v>
      </c>
      <c r="X166" s="253">
        <v>239.4</v>
      </c>
      <c r="Y166" s="253">
        <v>241.25</v>
      </c>
      <c r="Z166" s="247">
        <f ca="1">[1]ExtEntry!$G64</f>
        <v>241.25</v>
      </c>
      <c r="AA166" s="277"/>
      <c r="AB166" s="1255">
        <v>0.44086191545011039</v>
      </c>
      <c r="AC166" s="1255">
        <v>0.55511577534698064</v>
      </c>
      <c r="AD166" s="1255">
        <v>0.64017437892785478</v>
      </c>
      <c r="AE166" s="1255">
        <v>0.63414698704612471</v>
      </c>
      <c r="AF166" s="1255">
        <v>0.61075735566378986</v>
      </c>
      <c r="AG166" s="1255">
        <v>1.0780274269159444</v>
      </c>
      <c r="AH166" s="1255">
        <v>1.0605568789784043</v>
      </c>
      <c r="AI166" s="1255">
        <v>0.78926746602173248</v>
      </c>
      <c r="AJ166" s="1255">
        <v>0.13228531525700854</v>
      </c>
      <c r="AK166" s="1255">
        <v>0.65498967042905398</v>
      </c>
      <c r="AL166" s="1255">
        <v>1.1919431065487109</v>
      </c>
      <c r="AM166" s="1255">
        <v>0.97916485351189575</v>
      </c>
      <c r="AN166" s="1255">
        <v>1.035415409827209</v>
      </c>
      <c r="AO166" s="1255">
        <v>1.0497599001618751</v>
      </c>
      <c r="AP166" s="1255">
        <v>1.2601543085273403</v>
      </c>
      <c r="AQ166" s="1255">
        <v>1.2221288444286464</v>
      </c>
      <c r="AR166" s="1255">
        <v>1.4835821527107771</v>
      </c>
      <c r="AS166" s="1255">
        <v>1.4835821527107771</v>
      </c>
      <c r="AT166" s="1255">
        <v>2.6649710633079384</v>
      </c>
      <c r="AU166" s="1255">
        <v>1.514105482432194</v>
      </c>
      <c r="AV166" s="1210">
        <f ca="1">Calc!BB64</f>
        <v>1.4654710415921433</v>
      </c>
      <c r="AW166" s="279"/>
      <c r="AX166" s="88" t="str">
        <f t="shared" ca="1" si="10"/>
        <v>MVESAP</v>
      </c>
      <c r="BA166" s="253">
        <v>7628</v>
      </c>
      <c r="CP166" s="277"/>
      <c r="EH166" s="110"/>
    </row>
    <row r="167" spans="1:138" hidden="1">
      <c r="A167" s="241" t="str">
        <f t="shared" ca="1" si="9"/>
        <v>MVEUN0</v>
      </c>
      <c r="B167" s="242" t="str">
        <f ca="1">[1]ExtEntry!$D65</f>
        <v>EUR</v>
      </c>
      <c r="C167" s="243"/>
      <c r="D167" s="1202">
        <f>ROW()</f>
        <v>167</v>
      </c>
      <c r="E167" s="244"/>
      <c r="F167" s="253">
        <v>34.4</v>
      </c>
      <c r="G167" s="253">
        <v>34.200000000000003</v>
      </c>
      <c r="H167" s="253">
        <v>34.1</v>
      </c>
      <c r="I167" s="253">
        <v>34.15</v>
      </c>
      <c r="J167" s="253">
        <v>34.049999999999997</v>
      </c>
      <c r="K167" s="253">
        <v>33.15</v>
      </c>
      <c r="L167" s="253">
        <v>31.8</v>
      </c>
      <c r="M167" s="253">
        <v>32.4</v>
      </c>
      <c r="N167" s="253">
        <v>32.25</v>
      </c>
      <c r="O167" s="253">
        <v>32.549999999999997</v>
      </c>
      <c r="P167" s="253">
        <v>32</v>
      </c>
      <c r="Q167" s="253">
        <v>31.75</v>
      </c>
      <c r="R167" s="253">
        <v>31.7</v>
      </c>
      <c r="S167" s="253">
        <v>31.35</v>
      </c>
      <c r="T167" s="253">
        <v>32.049999999999997</v>
      </c>
      <c r="U167" s="253">
        <v>32.1</v>
      </c>
      <c r="V167" s="253">
        <v>31.6</v>
      </c>
      <c r="W167" s="253">
        <v>31.6</v>
      </c>
      <c r="X167" s="253">
        <v>31.3</v>
      </c>
      <c r="Y167" s="253">
        <v>31</v>
      </c>
      <c r="Z167" s="247">
        <f ca="1">[1]ExtEntry!$G65</f>
        <v>31</v>
      </c>
      <c r="AA167" s="277"/>
      <c r="AB167" s="1255">
        <v>0.11872146118721461</v>
      </c>
      <c r="AC167" s="1255">
        <v>0.18584474885844748</v>
      </c>
      <c r="AD167" s="1255">
        <v>0.13216630196936544</v>
      </c>
      <c r="AE167" s="1255">
        <v>1.9313304721030042E-3</v>
      </c>
      <c r="AF167" s="1255">
        <v>2.2629310344827586E-2</v>
      </c>
      <c r="AG167" s="1255">
        <v>8.461538461538462E-2</v>
      </c>
      <c r="AH167" s="1255">
        <v>0.11540229885057471</v>
      </c>
      <c r="AI167" s="1255">
        <v>1.2837837837837839E-2</v>
      </c>
      <c r="AJ167" s="1255">
        <v>1.2337662337662338E-2</v>
      </c>
      <c r="AK167" s="1255">
        <v>0.17391304347826086</v>
      </c>
      <c r="AL167" s="1255">
        <v>5.6710775047258983E-3</v>
      </c>
      <c r="AM167" s="1255">
        <v>6.1450381679389314E-2</v>
      </c>
      <c r="AN167" s="1255">
        <v>1.2727272727272728E-2</v>
      </c>
      <c r="AO167" s="1255">
        <v>3.1596638655462188E-2</v>
      </c>
      <c r="AP167" s="1255">
        <v>1.2522361359570662E-3</v>
      </c>
      <c r="AQ167" s="1255">
        <v>1.9856887298747763E-2</v>
      </c>
      <c r="AR167" s="1255">
        <v>0.1020952380952381</v>
      </c>
      <c r="AS167" s="1255">
        <v>0.1020952380952381</v>
      </c>
      <c r="AT167" s="1255">
        <v>2.4789915966386553E-2</v>
      </c>
      <c r="AU167" s="1255">
        <v>3.907563025210084E-2</v>
      </c>
      <c r="AV167" s="1210">
        <f ca="1">Calc!BB65</f>
        <v>3.907563025210084E-2</v>
      </c>
      <c r="AW167" s="279"/>
      <c r="AX167" s="88" t="str">
        <f t="shared" ca="1" si="10"/>
        <v>MVEUN0</v>
      </c>
      <c r="BA167" s="253">
        <v>7727</v>
      </c>
      <c r="CP167" s="277"/>
      <c r="EH167" s="110"/>
    </row>
    <row r="168" spans="1:138" hidden="1">
      <c r="A168" s="241" t="str">
        <f t="shared" ca="1" si="9"/>
        <v>SAFAAPL</v>
      </c>
      <c r="B168" s="250" t="str">
        <f ca="1">[1]ExtEntry!$D66</f>
        <v>USD</v>
      </c>
      <c r="C168" s="251"/>
      <c r="D168" s="841">
        <f>ROW()</f>
        <v>168</v>
      </c>
      <c r="E168" s="252"/>
      <c r="F168" s="253">
        <v>254.5</v>
      </c>
      <c r="G168" s="253">
        <v>254.85499999999999</v>
      </c>
      <c r="H168" s="253">
        <v>255.04</v>
      </c>
      <c r="I168" s="253">
        <v>256.57499999999999</v>
      </c>
      <c r="J168" s="253">
        <v>254.66499999999999</v>
      </c>
      <c r="K168" s="253">
        <v>256.80500000000001</v>
      </c>
      <c r="L168" s="253">
        <v>256.52</v>
      </c>
      <c r="M168" s="253">
        <v>257.80500000000001</v>
      </c>
      <c r="N168" s="253">
        <v>257.80500000000001</v>
      </c>
      <c r="O168" s="253">
        <v>249.46</v>
      </c>
      <c r="P168" s="253">
        <v>246.57</v>
      </c>
      <c r="Q168" s="253">
        <v>249.38</v>
      </c>
      <c r="R168" s="253">
        <v>248.25</v>
      </c>
      <c r="S168" s="253">
        <v>248.02</v>
      </c>
      <c r="T168" s="253">
        <v>255.88499999999999</v>
      </c>
      <c r="U168" s="253">
        <v>261.88</v>
      </c>
      <c r="V168" s="253">
        <v>262.64999999999998</v>
      </c>
      <c r="W168" s="253">
        <v>262.64999999999998</v>
      </c>
      <c r="X168" s="253">
        <v>259.94</v>
      </c>
      <c r="Y168" s="253">
        <v>261.19</v>
      </c>
      <c r="Z168" s="247">
        <f ca="1">[1]ExtEntry!$G66</f>
        <v>261.19</v>
      </c>
      <c r="AA168" s="277"/>
      <c r="AB168" s="1255">
        <v>0.34335381523758768</v>
      </c>
      <c r="AC168" s="1255">
        <v>0.6620030829176593</v>
      </c>
      <c r="AD168" s="1255">
        <v>0.85139417027874309</v>
      </c>
      <c r="AE168" s="1255">
        <v>0.74760392726501756</v>
      </c>
      <c r="AF168" s="1255">
        <v>0.85579692879906644</v>
      </c>
      <c r="AG168" s="1255">
        <v>0.55016944057399586</v>
      </c>
      <c r="AH168" s="1255">
        <v>0.63371776264376167</v>
      </c>
      <c r="AI168" s="1255">
        <v>0.67921718002891496</v>
      </c>
      <c r="AJ168" s="1255">
        <v>1.0764920203183254E-3</v>
      </c>
      <c r="AK168" s="1255">
        <v>0.63933086100887959</v>
      </c>
      <c r="AL168" s="1255">
        <v>0.60657144989722056</v>
      </c>
      <c r="AM168" s="1255">
        <v>0.39265376879586078</v>
      </c>
      <c r="AN168" s="1255">
        <v>0.75344364335389391</v>
      </c>
      <c r="AO168" s="1255">
        <v>0.94159957139339034</v>
      </c>
      <c r="AP168" s="1255">
        <v>1.7373275336209155</v>
      </c>
      <c r="AQ168" s="1255">
        <v>0.86578114345634261</v>
      </c>
      <c r="AR168" s="1255">
        <v>0.80723094074890434</v>
      </c>
      <c r="AS168" s="1255">
        <v>0.80726296983213941</v>
      </c>
      <c r="AT168" s="1255">
        <v>0.61447361422266678</v>
      </c>
      <c r="AU168" s="1255">
        <v>0.72431334071401965</v>
      </c>
      <c r="AV168" s="1210">
        <f ca="1">Calc!BB66</f>
        <v>0.72655349107793532</v>
      </c>
      <c r="AW168" s="279"/>
      <c r="AX168" s="88" t="str">
        <f t="shared" ca="1" si="10"/>
        <v>SAFAAPL</v>
      </c>
      <c r="BA168" s="253">
        <v>7826</v>
      </c>
      <c r="CP168" s="277"/>
      <c r="EH168" s="110"/>
    </row>
    <row r="169" spans="1:138" hidden="1">
      <c r="A169" s="241" t="str">
        <f t="shared" ref="A169:A198" ca="1" si="11">A69</f>
        <v>SAFAMZN</v>
      </c>
      <c r="B169" s="242" t="str">
        <f ca="1">[1]ExtEntry!$D67</f>
        <v>USD</v>
      </c>
      <c r="C169" s="243"/>
      <c r="D169" s="1202">
        <f>ROW()</f>
        <v>169</v>
      </c>
      <c r="E169" s="244"/>
      <c r="F169" s="253">
        <v>219.94</v>
      </c>
      <c r="G169" s="253">
        <v>222.03</v>
      </c>
      <c r="H169" s="253">
        <v>217.36</v>
      </c>
      <c r="I169" s="253">
        <v>221.01</v>
      </c>
      <c r="J169" s="253">
        <v>223.44</v>
      </c>
      <c r="K169" s="253">
        <v>220.88</v>
      </c>
      <c r="L169" s="253">
        <v>222.92</v>
      </c>
      <c r="M169" s="253">
        <v>224.995</v>
      </c>
      <c r="N169" s="253">
        <v>224.995</v>
      </c>
      <c r="O169" s="253">
        <v>217.5</v>
      </c>
      <c r="P169" s="253">
        <v>215.5</v>
      </c>
      <c r="Q169" s="253">
        <v>216.31</v>
      </c>
      <c r="R169" s="253">
        <v>215.67</v>
      </c>
      <c r="S169" s="253">
        <v>214.56</v>
      </c>
      <c r="T169" s="253">
        <v>213.88</v>
      </c>
      <c r="U169" s="253">
        <v>218.43</v>
      </c>
      <c r="V169" s="253">
        <v>219.3</v>
      </c>
      <c r="W169" s="253">
        <v>219.3</v>
      </c>
      <c r="X169" s="253">
        <v>219</v>
      </c>
      <c r="Y169" s="253">
        <v>221.97</v>
      </c>
      <c r="Z169" s="247">
        <f ca="1">[1]ExtEntry!$G67</f>
        <v>221.97</v>
      </c>
      <c r="AA169" s="277"/>
      <c r="AB169" s="1255">
        <v>0.48726660255424947</v>
      </c>
      <c r="AC169" s="1255">
        <v>1.1525927368726032</v>
      </c>
      <c r="AD169" s="1255">
        <v>1.0223634799340917</v>
      </c>
      <c r="AE169" s="1255">
        <v>0.94380405335090123</v>
      </c>
      <c r="AF169" s="1255">
        <v>0.9807419355180127</v>
      </c>
      <c r="AG169" s="1255">
        <v>0.68467105858958432</v>
      </c>
      <c r="AH169" s="1255">
        <v>1.0309924378960396</v>
      </c>
      <c r="AI169" s="1255">
        <v>1.0092612784550983</v>
      </c>
      <c r="AJ169" s="1255">
        <v>2.4891146986118595E-3</v>
      </c>
      <c r="AK169" s="1255">
        <v>0.79546193457259129</v>
      </c>
      <c r="AL169" s="1255">
        <v>0.94732269094894184</v>
      </c>
      <c r="AM169" s="1255">
        <v>0.76307702905125563</v>
      </c>
      <c r="AN169" s="1255">
        <v>0.89533238299505757</v>
      </c>
      <c r="AO169" s="1255">
        <v>0.97221744725581261</v>
      </c>
      <c r="AP169" s="1255">
        <v>0.79809917993253798</v>
      </c>
      <c r="AQ169" s="1255">
        <v>1.015253951189238</v>
      </c>
      <c r="AR169" s="1255">
        <v>0.90204044987612564</v>
      </c>
      <c r="AS169" s="1255">
        <v>0.90220558528560924</v>
      </c>
      <c r="AT169" s="1255">
        <v>0.64920445918256142</v>
      </c>
      <c r="AU169" s="1255">
        <v>0.80093660307369696</v>
      </c>
      <c r="AV169" s="1210">
        <f ca="1">Calc!BB67</f>
        <v>0.80389560397611193</v>
      </c>
      <c r="AW169" s="279"/>
      <c r="AX169" s="88" t="str">
        <f t="shared" ref="AX169:AX198" ca="1" si="12">A169</f>
        <v>SAFAMZN</v>
      </c>
      <c r="BA169" s="253">
        <v>7925</v>
      </c>
      <c r="CP169" s="277"/>
      <c r="EH169" s="110"/>
    </row>
    <row r="170" spans="1:138" hidden="1">
      <c r="A170" s="241" t="str">
        <f t="shared" ca="1" si="11"/>
        <v>SAFASML</v>
      </c>
      <c r="B170" s="250" t="str">
        <f ca="1">[1]ExtEntry!$D68</f>
        <v>EUR</v>
      </c>
      <c r="C170" s="251"/>
      <c r="D170" s="841">
        <f>ROW()</f>
        <v>170</v>
      </c>
      <c r="E170" s="252"/>
      <c r="F170" s="253">
        <v>820.9</v>
      </c>
      <c r="G170" s="253">
        <v>968.03499999999997</v>
      </c>
      <c r="H170" s="253">
        <v>965.60500000000002</v>
      </c>
      <c r="I170" s="253">
        <v>1039</v>
      </c>
      <c r="J170" s="253">
        <v>1031</v>
      </c>
      <c r="K170" s="253">
        <v>889.9</v>
      </c>
      <c r="L170" s="253">
        <v>850</v>
      </c>
      <c r="M170" s="253">
        <v>850.8</v>
      </c>
      <c r="N170" s="253">
        <v>845.1</v>
      </c>
      <c r="O170" s="253">
        <v>823.2</v>
      </c>
      <c r="P170" s="253">
        <v>834.7</v>
      </c>
      <c r="Q170" s="253">
        <v>875.6</v>
      </c>
      <c r="R170" s="253">
        <v>883.7</v>
      </c>
      <c r="S170" s="253">
        <v>859.6</v>
      </c>
      <c r="T170" s="253">
        <v>884</v>
      </c>
      <c r="U170" s="253">
        <v>890</v>
      </c>
      <c r="V170" s="253">
        <v>876.7</v>
      </c>
      <c r="W170" s="253">
        <v>876.7</v>
      </c>
      <c r="X170" s="253">
        <v>872</v>
      </c>
      <c r="Y170" s="253">
        <v>900</v>
      </c>
      <c r="Z170" s="247">
        <f ca="1">[1]ExtEntry!$G68</f>
        <v>900</v>
      </c>
      <c r="AA170" s="277"/>
      <c r="AB170" s="1255">
        <v>0.59236707549376733</v>
      </c>
      <c r="AC170" s="1255">
        <v>0.84927514083780375</v>
      </c>
      <c r="AD170" s="1255">
        <v>1.2622455670284853</v>
      </c>
      <c r="AE170" s="1255">
        <v>1.0552187275534899</v>
      </c>
      <c r="AF170" s="1255">
        <v>0.8331493001699195</v>
      </c>
      <c r="AG170" s="1255">
        <v>0.89831266224401496</v>
      </c>
      <c r="AH170" s="1255">
        <v>1.5464584920030464</v>
      </c>
      <c r="AI170" s="1255">
        <v>1.0812065688661876</v>
      </c>
      <c r="AJ170" s="1255">
        <v>0.24814102564102564</v>
      </c>
      <c r="AK170" s="1255">
        <v>1.0146557796154749</v>
      </c>
      <c r="AL170" s="1255">
        <v>0.9212649675214567</v>
      </c>
      <c r="AM170" s="1255">
        <v>1.4815572344549928</v>
      </c>
      <c r="AN170" s="1255">
        <v>0.87383194989810631</v>
      </c>
      <c r="AO170" s="1255">
        <v>1.0246818701744351</v>
      </c>
      <c r="AP170" s="1255">
        <v>0.63246115718234674</v>
      </c>
      <c r="AQ170" s="1255">
        <v>0.53697097512153269</v>
      </c>
      <c r="AR170" s="1255">
        <v>0.66238980546663384</v>
      </c>
      <c r="AS170" s="1255">
        <v>0.66238980546663384</v>
      </c>
      <c r="AT170" s="1255">
        <v>0.93860648829515581</v>
      </c>
      <c r="AU170" s="1255">
        <v>0.62959608538686995</v>
      </c>
      <c r="AV170" s="1210">
        <f ca="1">Calc!BB68</f>
        <v>0.67346169889261154</v>
      </c>
      <c r="AW170" s="279"/>
      <c r="AX170" s="88" t="str">
        <f t="shared" ca="1" si="12"/>
        <v>SAFASML</v>
      </c>
      <c r="BA170" s="253">
        <v>8024</v>
      </c>
      <c r="CP170" s="277"/>
      <c r="EH170" s="110"/>
    </row>
    <row r="171" spans="1:138" hidden="1">
      <c r="A171" s="241" t="str">
        <f t="shared" ca="1" si="11"/>
        <v>SAFDDD</v>
      </c>
      <c r="B171" s="242" t="str">
        <f ca="1">[1]ExtEntry!$D69</f>
        <v>USD</v>
      </c>
      <c r="C171" s="243"/>
      <c r="D171" s="1202">
        <f>ROW()</f>
        <v>171</v>
      </c>
      <c r="E171" s="244"/>
      <c r="F171" s="253">
        <v>3.27</v>
      </c>
      <c r="G171" s="253">
        <v>2.95</v>
      </c>
      <c r="H171" s="253">
        <v>2.89</v>
      </c>
      <c r="I171" s="253">
        <v>2.94</v>
      </c>
      <c r="J171" s="253">
        <v>3.01</v>
      </c>
      <c r="K171" s="253">
        <v>3.17</v>
      </c>
      <c r="L171" s="253">
        <v>3.18</v>
      </c>
      <c r="M171" s="253">
        <v>3.28</v>
      </c>
      <c r="N171" s="253">
        <v>3.28</v>
      </c>
      <c r="O171" s="253">
        <v>3.01</v>
      </c>
      <c r="P171" s="253">
        <v>2.94</v>
      </c>
      <c r="Q171" s="253">
        <v>3.21</v>
      </c>
      <c r="R171" s="253">
        <v>3.31</v>
      </c>
      <c r="S171" s="253">
        <v>3.18</v>
      </c>
      <c r="T171" s="253">
        <v>3.24</v>
      </c>
      <c r="U171" s="253">
        <v>3.66</v>
      </c>
      <c r="V171" s="253">
        <v>3.37</v>
      </c>
      <c r="W171" s="253">
        <v>3.37</v>
      </c>
      <c r="X171" s="253">
        <v>3.08</v>
      </c>
      <c r="Y171" s="253">
        <v>3.18</v>
      </c>
      <c r="Z171" s="247">
        <f ca="1">[1]ExtEntry!$G69</f>
        <v>3.18</v>
      </c>
      <c r="AA171" s="277"/>
      <c r="AB171" s="1255">
        <v>1.0226394241983316</v>
      </c>
      <c r="AC171" s="1255">
        <v>1.0959401648213758</v>
      </c>
      <c r="AD171" s="1255">
        <v>0.68888273561923841</v>
      </c>
      <c r="AE171" s="1255">
        <v>1.0972538253620534</v>
      </c>
      <c r="AF171" s="1255">
        <v>1.4351651053846612</v>
      </c>
      <c r="AG171" s="1255">
        <v>2.0876865676272205</v>
      </c>
      <c r="AH171" s="1255">
        <v>0.97688192721519429</v>
      </c>
      <c r="AI171" s="1255">
        <v>1.0101029924812388</v>
      </c>
      <c r="AJ171" s="1255">
        <v>1.5309370908856782E-4</v>
      </c>
      <c r="AK171" s="1255">
        <v>0.90020863838029908</v>
      </c>
      <c r="AL171" s="1255">
        <v>0.6190723562989483</v>
      </c>
      <c r="AM171" s="1255">
        <v>0.64307343677691386</v>
      </c>
      <c r="AN171" s="1255">
        <v>1.0942968182263135</v>
      </c>
      <c r="AO171" s="1255">
        <v>0.82300357163750415</v>
      </c>
      <c r="AP171" s="1255">
        <v>1.5671814220431834</v>
      </c>
      <c r="AQ171" s="1255">
        <v>1.2154801258593895</v>
      </c>
      <c r="AR171" s="1255">
        <v>0.97920444289454789</v>
      </c>
      <c r="AS171" s="1255">
        <v>0.97921204565739195</v>
      </c>
      <c r="AT171" s="1255">
        <v>0.55260867669021085</v>
      </c>
      <c r="AU171" s="1255">
        <v>0.66203796015800986</v>
      </c>
      <c r="AV171" s="1210">
        <f ca="1">Calc!BB69</f>
        <v>0.66744662603510774</v>
      </c>
      <c r="AW171" s="279"/>
      <c r="AX171" s="88" t="str">
        <f t="shared" ca="1" si="12"/>
        <v>SAFDDD</v>
      </c>
      <c r="BA171" s="253">
        <v>8123</v>
      </c>
      <c r="CP171" s="277"/>
      <c r="EH171" s="110"/>
    </row>
    <row r="172" spans="1:138" hidden="1">
      <c r="A172" s="241" t="str">
        <f t="shared" ca="1" si="11"/>
        <v>SAFDIS</v>
      </c>
      <c r="B172" s="250" t="str">
        <f ca="1">[1]ExtEntry!$D70</f>
        <v>USD</v>
      </c>
      <c r="C172" s="251"/>
      <c r="D172" s="841">
        <f>ROW()</f>
        <v>172</v>
      </c>
      <c r="E172" s="252"/>
      <c r="F172" s="253">
        <v>113.48</v>
      </c>
      <c r="G172" s="253">
        <v>114.53</v>
      </c>
      <c r="H172" s="253">
        <v>114.08</v>
      </c>
      <c r="I172" s="253">
        <v>112.97499999999999</v>
      </c>
      <c r="J172" s="253">
        <v>112.035</v>
      </c>
      <c r="K172" s="253">
        <v>112.63</v>
      </c>
      <c r="L172" s="253">
        <v>112.80500000000001</v>
      </c>
      <c r="M172" s="253">
        <v>111.82</v>
      </c>
      <c r="N172" s="253">
        <v>111.82</v>
      </c>
      <c r="O172" s="253">
        <v>110.16</v>
      </c>
      <c r="P172" s="253">
        <v>109.77</v>
      </c>
      <c r="Q172" s="253">
        <v>111.55</v>
      </c>
      <c r="R172" s="253">
        <v>111.79</v>
      </c>
      <c r="S172" s="253">
        <v>109.74</v>
      </c>
      <c r="T172" s="253">
        <v>111.03</v>
      </c>
      <c r="U172" s="253">
        <v>112.25</v>
      </c>
      <c r="V172" s="253">
        <v>114</v>
      </c>
      <c r="W172" s="253">
        <v>114</v>
      </c>
      <c r="X172" s="253">
        <v>113.17</v>
      </c>
      <c r="Y172" s="253">
        <v>113.23</v>
      </c>
      <c r="Z172" s="247">
        <f ca="1">[1]ExtEntry!$G70</f>
        <v>113.23</v>
      </c>
      <c r="AA172" s="277"/>
      <c r="AB172" s="1255">
        <v>0.41346545440982724</v>
      </c>
      <c r="AC172" s="1255">
        <v>1.1550299769093002</v>
      </c>
      <c r="AD172" s="1255">
        <v>1.1791646696353564</v>
      </c>
      <c r="AE172" s="1255">
        <v>1.0382794237080208</v>
      </c>
      <c r="AF172" s="1255">
        <v>0.83750720166140002</v>
      </c>
      <c r="AG172" s="1255">
        <v>0.62660727427071494</v>
      </c>
      <c r="AH172" s="1255">
        <v>0.8214907220884109</v>
      </c>
      <c r="AI172" s="1255">
        <v>0.75209997443630194</v>
      </c>
      <c r="AJ172" s="1255">
        <v>7.9585534651777979E-4</v>
      </c>
      <c r="AK172" s="1255">
        <v>0.81134767892391135</v>
      </c>
      <c r="AL172" s="1255">
        <v>0.85301167510938047</v>
      </c>
      <c r="AM172" s="1255">
        <v>0.50262524901304584</v>
      </c>
      <c r="AN172" s="1255">
        <v>0.8465237465149057</v>
      </c>
      <c r="AO172" s="1255">
        <v>1.1438019472378613</v>
      </c>
      <c r="AP172" s="1255">
        <v>0.88033970715874299</v>
      </c>
      <c r="AQ172" s="1255">
        <v>0.88166346203234114</v>
      </c>
      <c r="AR172" s="1255">
        <v>0.78694006290939056</v>
      </c>
      <c r="AS172" s="1255">
        <v>0.78694838836868952</v>
      </c>
      <c r="AT172" s="1255">
        <v>0.76978575783389658</v>
      </c>
      <c r="AU172" s="1255">
        <v>0.69813840971538321</v>
      </c>
      <c r="AV172" s="1210">
        <f ca="1">Calc!BB70</f>
        <v>0.69922147030240689</v>
      </c>
      <c r="AW172" s="279"/>
      <c r="AX172" s="88" t="str">
        <f t="shared" ca="1" si="12"/>
        <v>SAFDIS</v>
      </c>
      <c r="BA172" s="253">
        <v>8222</v>
      </c>
      <c r="CP172" s="277"/>
      <c r="EH172" s="110"/>
    </row>
    <row r="173" spans="1:138" hidden="1">
      <c r="A173" s="241" t="str">
        <f t="shared" ca="1" si="11"/>
        <v>SAFGM</v>
      </c>
      <c r="B173" s="242" t="str">
        <f ca="1">[1]ExtEntry!$D71</f>
        <v>USD</v>
      </c>
      <c r="C173" s="243"/>
      <c r="D173" s="1202">
        <f>ROW()</f>
        <v>173</v>
      </c>
      <c r="E173" s="244"/>
      <c r="F173" s="253">
        <v>61.8</v>
      </c>
      <c r="G173" s="253">
        <v>61.71</v>
      </c>
      <c r="H173" s="253">
        <v>60.94</v>
      </c>
      <c r="I173" s="253">
        <v>61.48</v>
      </c>
      <c r="J173" s="253">
        <v>59.32</v>
      </c>
      <c r="K173" s="253">
        <v>58.63</v>
      </c>
      <c r="L173" s="253">
        <v>57.33</v>
      </c>
      <c r="M173" s="253">
        <v>56.78</v>
      </c>
      <c r="N173" s="253">
        <v>56.78</v>
      </c>
      <c r="O173" s="253">
        <v>55.82</v>
      </c>
      <c r="P173" s="253">
        <v>54.6</v>
      </c>
      <c r="Q173" s="253">
        <v>57.2</v>
      </c>
      <c r="R173" s="253">
        <v>57.884999999999998</v>
      </c>
      <c r="S173" s="253">
        <v>57.73</v>
      </c>
      <c r="T173" s="253">
        <v>58.54</v>
      </c>
      <c r="U173" s="253">
        <v>63.76</v>
      </c>
      <c r="V173" s="253">
        <v>67.05</v>
      </c>
      <c r="W173" s="253">
        <v>67.05</v>
      </c>
      <c r="X173" s="253">
        <v>67.97</v>
      </c>
      <c r="Y173" s="253">
        <v>67.459999999999994</v>
      </c>
      <c r="Z173" s="247">
        <f ca="1">[1]ExtEntry!$G71</f>
        <v>67.459999999999994</v>
      </c>
      <c r="AA173" s="277"/>
      <c r="AB173" s="1255">
        <v>0.43009211028623129</v>
      </c>
      <c r="AC173" s="1255">
        <v>0.95521142220805966</v>
      </c>
      <c r="AD173" s="1255">
        <v>1.0911125697301081</v>
      </c>
      <c r="AE173" s="1255">
        <v>1.2905186856872632</v>
      </c>
      <c r="AF173" s="1255">
        <v>1.751637942704976</v>
      </c>
      <c r="AG173" s="1255">
        <v>1.3648769711527287</v>
      </c>
      <c r="AH173" s="1255">
        <v>0.6761256804640885</v>
      </c>
      <c r="AI173" s="1255">
        <v>0.68205621671548589</v>
      </c>
      <c r="AJ173" s="1255">
        <v>3.1089155926909392E-5</v>
      </c>
      <c r="AK173" s="1255">
        <v>0.50033669179380358</v>
      </c>
      <c r="AL173" s="1255">
        <v>1.0529401626284398</v>
      </c>
      <c r="AM173" s="1255">
        <v>0.68116440055188077</v>
      </c>
      <c r="AN173" s="1255">
        <v>0.75419760970212113</v>
      </c>
      <c r="AO173" s="1255">
        <v>0.99417900387791502</v>
      </c>
      <c r="AP173" s="1255">
        <v>1.2955149742773697</v>
      </c>
      <c r="AQ173" s="1255">
        <v>5.4018802671740422</v>
      </c>
      <c r="AR173" s="1255">
        <v>1.9704623898806355</v>
      </c>
      <c r="AS173" s="1255">
        <v>1.9705173545024051</v>
      </c>
      <c r="AT173" s="1255">
        <v>1.2596415025948138</v>
      </c>
      <c r="AU173" s="1255">
        <v>1.2180288765240113</v>
      </c>
      <c r="AV173" s="1210">
        <f ca="1">Calc!BB71</f>
        <v>1.2198274247603278</v>
      </c>
      <c r="AW173" s="279"/>
      <c r="AX173" s="88" t="str">
        <f t="shared" ca="1" si="12"/>
        <v>SAFGM</v>
      </c>
      <c r="BA173" s="253">
        <v>8321</v>
      </c>
      <c r="CP173" s="277"/>
      <c r="EH173" s="110"/>
    </row>
    <row r="174" spans="1:138" hidden="1">
      <c r="A174" s="241" t="str">
        <f t="shared" ca="1" si="11"/>
        <v>SAFIAG</v>
      </c>
      <c r="B174" s="250" t="str">
        <f ca="1">[1]ExtEntry!$D72</f>
        <v>GBp</v>
      </c>
      <c r="C174" s="251"/>
      <c r="D174" s="841">
        <f>ROW()</f>
        <v>174</v>
      </c>
      <c r="E174" s="252"/>
      <c r="F174" s="253">
        <v>384.1</v>
      </c>
      <c r="G174" s="253">
        <v>384.8</v>
      </c>
      <c r="H174" s="253">
        <v>384.8</v>
      </c>
      <c r="I174" s="253">
        <v>381.6</v>
      </c>
      <c r="J174" s="253">
        <v>387.9</v>
      </c>
      <c r="K174" s="253">
        <v>388.2</v>
      </c>
      <c r="L174" s="253">
        <v>390</v>
      </c>
      <c r="M174" s="253">
        <v>402.7</v>
      </c>
      <c r="N174" s="253">
        <v>413.9</v>
      </c>
      <c r="O174" s="253">
        <v>408.2</v>
      </c>
      <c r="P174" s="253">
        <v>407.9</v>
      </c>
      <c r="Q174" s="253">
        <v>412.1</v>
      </c>
      <c r="R174" s="253">
        <v>409.9</v>
      </c>
      <c r="S174" s="253">
        <v>402</v>
      </c>
      <c r="T174" s="253">
        <v>394.7</v>
      </c>
      <c r="U174" s="253">
        <v>398</v>
      </c>
      <c r="V174" s="253">
        <v>400</v>
      </c>
      <c r="W174" s="253">
        <v>400</v>
      </c>
      <c r="X174" s="253">
        <v>400.5</v>
      </c>
      <c r="Y174" s="253">
        <v>407.6</v>
      </c>
      <c r="Z174" s="247">
        <f ca="1">[1]ExtEntry!$G72</f>
        <v>407.6</v>
      </c>
      <c r="AA174" s="277"/>
      <c r="AB174" s="1255">
        <v>1.0382460586257636</v>
      </c>
      <c r="AC174" s="1255">
        <v>1.0008868879948811</v>
      </c>
      <c r="AD174" s="1255">
        <v>1.3621319538052388</v>
      </c>
      <c r="AE174" s="1255">
        <v>0.90848314773519045</v>
      </c>
      <c r="AF174" s="1255">
        <v>0.69408969524923347</v>
      </c>
      <c r="AG174" s="1255">
        <v>1.4939853457793837</v>
      </c>
      <c r="AH174" s="1255">
        <v>2.6031754314741851</v>
      </c>
      <c r="AI174" s="1255">
        <v>2.1665004161018793</v>
      </c>
      <c r="AJ174" s="1255">
        <v>0.29705126000213555</v>
      </c>
      <c r="AK174" s="1255">
        <v>0.58935974166197558</v>
      </c>
      <c r="AL174" s="1255">
        <v>0.85468700062329439</v>
      </c>
      <c r="AM174" s="1255">
        <v>0.97428559115998292</v>
      </c>
      <c r="AN174" s="1255">
        <v>0.66279256341103421</v>
      </c>
      <c r="AO174" s="1255">
        <v>0.90880882613755443</v>
      </c>
      <c r="AP174" s="1255">
        <v>0.61999341459571478</v>
      </c>
      <c r="AQ174" s="1255">
        <v>0.52750861861252885</v>
      </c>
      <c r="AR174" s="1255">
        <v>0.88356348219671166</v>
      </c>
      <c r="AS174" s="1255">
        <v>0.88356348219671166</v>
      </c>
      <c r="AT174" s="1255">
        <v>0.72426202212246571</v>
      </c>
      <c r="AU174" s="1255">
        <v>1.079762418214359</v>
      </c>
      <c r="AV174" s="1210">
        <f ca="1">Calc!BB72</f>
        <v>1.2126103721618735</v>
      </c>
      <c r="AW174" s="279"/>
      <c r="AX174" s="88" t="str">
        <f t="shared" ca="1" si="12"/>
        <v>SAFIAG</v>
      </c>
      <c r="BA174" s="253">
        <v>8420</v>
      </c>
      <c r="CP174" s="277"/>
      <c r="EH174" s="110"/>
    </row>
    <row r="175" spans="1:138" hidden="1">
      <c r="A175" s="241" t="str">
        <f t="shared" ca="1" si="11"/>
        <v>SAFMRNA</v>
      </c>
      <c r="B175" s="242" t="str">
        <f ca="1">[1]ExtEntry!$D73</f>
        <v>USD</v>
      </c>
      <c r="C175" s="243"/>
      <c r="D175" s="1202">
        <f>ROW()</f>
        <v>175</v>
      </c>
      <c r="E175" s="244"/>
      <c r="F175" s="253">
        <v>24.82</v>
      </c>
      <c r="G175" s="253">
        <v>25.1</v>
      </c>
      <c r="H175" s="253">
        <v>26.12</v>
      </c>
      <c r="I175" s="253">
        <v>28.02</v>
      </c>
      <c r="J175" s="253">
        <v>28.66</v>
      </c>
      <c r="K175" s="253">
        <v>27.614999999999998</v>
      </c>
      <c r="L175" s="253">
        <v>27.37</v>
      </c>
      <c r="M175" s="253">
        <v>28.1</v>
      </c>
      <c r="N175" s="253">
        <v>28.1</v>
      </c>
      <c r="O175" s="253">
        <v>27.24</v>
      </c>
      <c r="P175" s="253">
        <v>26.32</v>
      </c>
      <c r="Q175" s="253">
        <v>26.57</v>
      </c>
      <c r="R175" s="253">
        <v>27.844999999999999</v>
      </c>
      <c r="S175" s="253">
        <v>26.42</v>
      </c>
      <c r="T175" s="253">
        <v>26.41</v>
      </c>
      <c r="U175" s="253">
        <v>27.25</v>
      </c>
      <c r="V175" s="253">
        <v>27.21</v>
      </c>
      <c r="W175" s="253">
        <v>27.21</v>
      </c>
      <c r="X175" s="253">
        <v>25.82</v>
      </c>
      <c r="Y175" s="253">
        <v>26.52</v>
      </c>
      <c r="Z175" s="247">
        <f ca="1">[1]ExtEntry!$G73</f>
        <v>26.52</v>
      </c>
      <c r="AA175" s="277"/>
      <c r="AB175" s="1255">
        <v>0.31191736643712459</v>
      </c>
      <c r="AC175" s="1255">
        <v>0.76344100373625934</v>
      </c>
      <c r="AD175" s="1255">
        <v>1.41140620373484</v>
      </c>
      <c r="AE175" s="1255">
        <v>0.7954547506213423</v>
      </c>
      <c r="AF175" s="1255">
        <v>0.66071108480140983</v>
      </c>
      <c r="AG175" s="1255">
        <v>0.4977611883971983</v>
      </c>
      <c r="AH175" s="1255">
        <v>1.0365696713590091</v>
      </c>
      <c r="AI175" s="1255">
        <v>0.57117799143781767</v>
      </c>
      <c r="AJ175" s="1255">
        <v>7.4067725906355394E-4</v>
      </c>
      <c r="AK175" s="1255">
        <v>0.7176790380978022</v>
      </c>
      <c r="AL175" s="1255">
        <v>0.60182849497342061</v>
      </c>
      <c r="AM175" s="1255">
        <v>0.55183080617723457</v>
      </c>
      <c r="AN175" s="1255">
        <v>0.68106523740567049</v>
      </c>
      <c r="AO175" s="1255">
        <v>0.8901075085454867</v>
      </c>
      <c r="AP175" s="1255">
        <v>1.0920877480360058</v>
      </c>
      <c r="AQ175" s="1255">
        <v>0.58337054498431395</v>
      </c>
      <c r="AR175" s="1255">
        <v>0.70843140830169582</v>
      </c>
      <c r="AS175" s="1255">
        <v>0.71264852075918106</v>
      </c>
      <c r="AT175" s="1255">
        <v>0.87973962211205969</v>
      </c>
      <c r="AU175" s="1255">
        <v>0.6585892112132421</v>
      </c>
      <c r="AV175" s="1210">
        <f ca="1">Calc!BB73</f>
        <v>0.66029390577287095</v>
      </c>
      <c r="AW175" s="279"/>
      <c r="AX175" s="88" t="str">
        <f t="shared" ca="1" si="12"/>
        <v>SAFMRNA</v>
      </c>
      <c r="BA175" s="253">
        <v>8519</v>
      </c>
      <c r="CP175" s="277"/>
      <c r="EH175" s="110"/>
    </row>
    <row r="176" spans="1:138" hidden="1">
      <c r="A176" s="241" t="str">
        <f t="shared" ca="1" si="11"/>
        <v>BLNK</v>
      </c>
      <c r="B176" s="250" t="str">
        <f ca="1">[1]ExtEntry!$D74</f>
        <v>USD</v>
      </c>
      <c r="C176" s="251"/>
      <c r="D176" s="841">
        <f>ROW()</f>
        <v>176</v>
      </c>
      <c r="E176" s="252"/>
      <c r="F176" s="253">
        <v>1.56</v>
      </c>
      <c r="G176" s="253">
        <v>1.74</v>
      </c>
      <c r="H176" s="253">
        <v>1.63</v>
      </c>
      <c r="I176" s="253">
        <v>1.81</v>
      </c>
      <c r="J176" s="253">
        <v>1.83</v>
      </c>
      <c r="K176" s="253">
        <v>2.6</v>
      </c>
      <c r="L176" s="253">
        <v>2.41</v>
      </c>
      <c r="M176" s="253">
        <v>2.33</v>
      </c>
      <c r="N176" s="253">
        <v>2.33</v>
      </c>
      <c r="O176" s="253">
        <v>2.14</v>
      </c>
      <c r="P176" s="253">
        <v>2.15</v>
      </c>
      <c r="Q176" s="253">
        <v>2.2999999999999998</v>
      </c>
      <c r="R176" s="253">
        <v>2.13</v>
      </c>
      <c r="S176" s="253">
        <v>1.86</v>
      </c>
      <c r="T176" s="253">
        <v>1.9</v>
      </c>
      <c r="U176" s="253">
        <v>1.86</v>
      </c>
      <c r="V176" s="253">
        <v>1.71</v>
      </c>
      <c r="W176" s="253">
        <v>1.71</v>
      </c>
      <c r="X176" s="253">
        <v>1.8</v>
      </c>
      <c r="Y176" s="253">
        <v>1.83</v>
      </c>
      <c r="Z176" s="247">
        <f ca="1">[1]ExtEntry!$G74</f>
        <v>1.83</v>
      </c>
      <c r="AA176" s="277"/>
      <c r="AB176" s="1255">
        <v>1.6284638690319619</v>
      </c>
      <c r="AC176" s="1255">
        <v>0.91908555059029851</v>
      </c>
      <c r="AD176" s="1255">
        <v>1.2199045700760915</v>
      </c>
      <c r="AE176" s="1255">
        <v>0.90392867407363886</v>
      </c>
      <c r="AF176" s="1255">
        <v>3.0674048887452412</v>
      </c>
      <c r="AG176" s="1255">
        <v>2.1292143671301429</v>
      </c>
      <c r="AH176" s="1255">
        <v>2.2982165963309389</v>
      </c>
      <c r="AI176" s="1255">
        <v>1.0494377753362236</v>
      </c>
      <c r="AJ176" s="1255">
        <v>3.1051148393616223E-3</v>
      </c>
      <c r="AK176" s="1255">
        <v>0.84956261551555756</v>
      </c>
      <c r="AL176" s="1255">
        <v>0.93926707725867664</v>
      </c>
      <c r="AM176" s="1255">
        <v>0.81173851901890859</v>
      </c>
      <c r="AN176" s="1255">
        <v>0.98127082834905621</v>
      </c>
      <c r="AO176" s="1255">
        <v>0.59904199912241951</v>
      </c>
      <c r="AP176" s="1255">
        <v>0.41234340852520479</v>
      </c>
      <c r="AQ176" s="1255">
        <v>0.48735355132230695</v>
      </c>
      <c r="AR176" s="1255">
        <v>0.63153900413854636</v>
      </c>
      <c r="AS176" s="1255">
        <v>0.6315465681388881</v>
      </c>
      <c r="AT176" s="1255">
        <v>0.2581769997287599</v>
      </c>
      <c r="AU176" s="1255">
        <v>0.66816090876707235</v>
      </c>
      <c r="AV176" s="1210">
        <f ca="1">Calc!BB74</f>
        <v>0.67847351121032862</v>
      </c>
      <c r="AW176" s="279"/>
      <c r="AX176" s="88" t="str">
        <f t="shared" ca="1" si="12"/>
        <v>BLNK</v>
      </c>
      <c r="BA176" s="253">
        <v>8618</v>
      </c>
      <c r="CP176" s="277"/>
      <c r="EH176" s="110"/>
    </row>
    <row r="177" spans="1:138" hidden="1">
      <c r="A177" s="241" t="str">
        <f t="shared" ca="1" si="11"/>
        <v>ENI</v>
      </c>
      <c r="B177" s="242" t="str">
        <f ca="1">[1]ExtEntry!$D75</f>
        <v>EUR</v>
      </c>
      <c r="C177" s="243"/>
      <c r="D177" s="1202">
        <f>ROW()</f>
        <v>177</v>
      </c>
      <c r="E177" s="244"/>
      <c r="F177" s="253">
        <v>15.26</v>
      </c>
      <c r="G177" s="253">
        <v>15.034000000000001</v>
      </c>
      <c r="H177" s="253">
        <v>14.88</v>
      </c>
      <c r="I177" s="253">
        <v>14.87</v>
      </c>
      <c r="J177" s="253">
        <v>14.9</v>
      </c>
      <c r="K177" s="253">
        <v>15.154</v>
      </c>
      <c r="L177" s="253">
        <v>15.3</v>
      </c>
      <c r="M177" s="253">
        <v>15.34</v>
      </c>
      <c r="N177" s="253">
        <v>15.25</v>
      </c>
      <c r="O177" s="253">
        <v>15.028</v>
      </c>
      <c r="P177" s="253">
        <v>14.91</v>
      </c>
      <c r="Q177" s="253">
        <v>14.696</v>
      </c>
      <c r="R177" s="253">
        <v>14.78</v>
      </c>
      <c r="S177" s="253">
        <v>14.58</v>
      </c>
      <c r="T177" s="253">
        <v>14.86</v>
      </c>
      <c r="U177" s="253">
        <v>14.914</v>
      </c>
      <c r="V177" s="253">
        <v>15.05</v>
      </c>
      <c r="W177" s="253">
        <v>15.05</v>
      </c>
      <c r="X177" s="253">
        <v>15.35</v>
      </c>
      <c r="Y177" s="253">
        <v>15.83</v>
      </c>
      <c r="Z177" s="247">
        <f ca="1">[1]ExtEntry!$G75</f>
        <v>15.83</v>
      </c>
      <c r="AA177" s="277"/>
      <c r="AB177" s="1255">
        <v>0.93659283445678709</v>
      </c>
      <c r="AC177" s="1255">
        <v>1.3778138634528265</v>
      </c>
      <c r="AD177" s="1255">
        <v>0.80931617292211977</v>
      </c>
      <c r="AE177" s="1255">
        <v>0.76072113160433474</v>
      </c>
      <c r="AF177" s="1255">
        <v>0.67529814054018378</v>
      </c>
      <c r="AG177" s="1255">
        <v>0.8686710323718343</v>
      </c>
      <c r="AH177" s="1255">
        <v>0.9824967344313903</v>
      </c>
      <c r="AI177" s="1255">
        <v>1.3168649472053577</v>
      </c>
      <c r="AJ177" s="1255">
        <v>0.34256636719918426</v>
      </c>
      <c r="AK177" s="1255">
        <v>0.6563647503193033</v>
      </c>
      <c r="AL177" s="1255">
        <v>1.2917570956538709</v>
      </c>
      <c r="AM177" s="1255">
        <v>0.84163950578146351</v>
      </c>
      <c r="AN177" s="1255">
        <v>0.62041217543961047</v>
      </c>
      <c r="AO177" s="1255">
        <v>1.0628734632284409</v>
      </c>
      <c r="AP177" s="1255">
        <v>0.74638657849185563</v>
      </c>
      <c r="AQ177" s="1255">
        <v>0.70859119990735986</v>
      </c>
      <c r="AR177" s="1255">
        <v>1.1178150489617786</v>
      </c>
      <c r="AS177" s="1255">
        <v>1.1178150489617786</v>
      </c>
      <c r="AT177" s="1255">
        <v>2.8045750663013216</v>
      </c>
      <c r="AU177" s="1255">
        <v>1.9757191354967922</v>
      </c>
      <c r="AV177" s="1210">
        <f ca="1">Calc!BB75</f>
        <v>1.9476811966291017</v>
      </c>
      <c r="AW177" s="279"/>
      <c r="AX177" s="88" t="str">
        <f t="shared" ca="1" si="12"/>
        <v>ENI</v>
      </c>
      <c r="BA177" s="253">
        <v>8717</v>
      </c>
      <c r="CP177" s="277"/>
      <c r="EH177" s="110"/>
    </row>
    <row r="178" spans="1:138" hidden="1">
      <c r="A178" s="241" t="str">
        <f t="shared" ca="1" si="11"/>
        <v>EZJ</v>
      </c>
      <c r="B178" s="250" t="str">
        <f ca="1">[1]ExtEntry!$D76</f>
        <v>GBp</v>
      </c>
      <c r="C178" s="251"/>
      <c r="D178" s="841">
        <f>ROW()</f>
        <v>178</v>
      </c>
      <c r="E178" s="252"/>
      <c r="F178" s="253">
        <v>456.3</v>
      </c>
      <c r="G178" s="253">
        <v>462</v>
      </c>
      <c r="H178" s="253">
        <v>462.6</v>
      </c>
      <c r="I178" s="253">
        <v>464.1</v>
      </c>
      <c r="J178" s="253">
        <v>464.9</v>
      </c>
      <c r="K178" s="253">
        <v>469.3</v>
      </c>
      <c r="L178" s="253">
        <v>466</v>
      </c>
      <c r="M178" s="253">
        <v>473</v>
      </c>
      <c r="N178" s="253">
        <v>473.2</v>
      </c>
      <c r="O178" s="253">
        <v>462.5</v>
      </c>
      <c r="P178" s="253">
        <v>509.8</v>
      </c>
      <c r="Q178" s="253">
        <v>500.6</v>
      </c>
      <c r="R178" s="253">
        <v>481.3</v>
      </c>
      <c r="S178" s="253">
        <v>484.2</v>
      </c>
      <c r="T178" s="253">
        <v>488.7</v>
      </c>
      <c r="U178" s="253">
        <v>485.4</v>
      </c>
      <c r="V178" s="253">
        <v>483.2</v>
      </c>
      <c r="W178" s="253">
        <v>483.2</v>
      </c>
      <c r="X178" s="253">
        <v>487.6</v>
      </c>
      <c r="Y178" s="253">
        <v>483</v>
      </c>
      <c r="Z178" s="247">
        <f ca="1">[1]ExtEntry!$G76</f>
        <v>483</v>
      </c>
      <c r="AA178" s="277"/>
      <c r="AB178" s="1255">
        <v>1.7134194508106557</v>
      </c>
      <c r="AC178" s="1255">
        <v>0.74207479495572026</v>
      </c>
      <c r="AD178" s="1255">
        <v>0.54615697959335585</v>
      </c>
      <c r="AE178" s="1255">
        <v>0.46721035406759376</v>
      </c>
      <c r="AF178" s="1255">
        <v>0.57388582775534891</v>
      </c>
      <c r="AG178" s="1255">
        <v>0.44542631400064253</v>
      </c>
      <c r="AH178" s="1255">
        <v>0.53714911567070844</v>
      </c>
      <c r="AI178" s="1255">
        <v>0.66293188868602193</v>
      </c>
      <c r="AJ178" s="1255">
        <v>9.2456628191255816E-2</v>
      </c>
      <c r="AK178" s="1255">
        <v>0.61474490534264781</v>
      </c>
      <c r="AL178" s="1255">
        <v>6.4432758179595782</v>
      </c>
      <c r="AM178" s="1255">
        <v>2.21332017202936</v>
      </c>
      <c r="AN178" s="1255">
        <v>1.1396095180972412</v>
      </c>
      <c r="AO178" s="1255">
        <v>1.0189422381134805</v>
      </c>
      <c r="AP178" s="1255">
        <v>0.56883433363129443</v>
      </c>
      <c r="AQ178" s="1255">
        <v>0.88963010258374831</v>
      </c>
      <c r="AR178" s="1255">
        <v>0.7596014826777211</v>
      </c>
      <c r="AS178" s="1255">
        <v>0.7596014826777211</v>
      </c>
      <c r="AT178" s="1255">
        <v>0.53339211146274634</v>
      </c>
      <c r="AU178" s="1255">
        <v>0.54181956057955771</v>
      </c>
      <c r="AV178" s="1210">
        <f ca="1">Calc!BB76</f>
        <v>0.52718982051715924</v>
      </c>
      <c r="AW178" s="279"/>
      <c r="AX178" s="88" t="str">
        <f t="shared" ca="1" si="12"/>
        <v>EZJ</v>
      </c>
      <c r="BA178" s="253">
        <v>8816</v>
      </c>
      <c r="CP178" s="277"/>
      <c r="EH178" s="110"/>
    </row>
    <row r="179" spans="1:138" hidden="1">
      <c r="A179" s="241" t="str">
        <f t="shared" ca="1" si="11"/>
        <v>F</v>
      </c>
      <c r="B179" s="242" t="str">
        <f ca="1">[1]ExtEntry!$D77</f>
        <v>USD</v>
      </c>
      <c r="C179" s="243"/>
      <c r="D179" s="1202">
        <f>ROW()</f>
        <v>179</v>
      </c>
      <c r="E179" s="244"/>
      <c r="F179" s="253">
        <v>12.11</v>
      </c>
      <c r="G179" s="253">
        <v>12.11</v>
      </c>
      <c r="H179" s="253">
        <v>12.12</v>
      </c>
      <c r="I179" s="253">
        <v>12.28</v>
      </c>
      <c r="J179" s="253">
        <v>12.244999999999999</v>
      </c>
      <c r="K179" s="253">
        <v>12.5</v>
      </c>
      <c r="L179" s="253">
        <v>11.98</v>
      </c>
      <c r="M179" s="253">
        <v>11.744999999999999</v>
      </c>
      <c r="N179" s="253">
        <v>11.744999999999999</v>
      </c>
      <c r="O179" s="253">
        <v>11.49</v>
      </c>
      <c r="P179" s="253">
        <v>11.4</v>
      </c>
      <c r="Q179" s="253">
        <v>11.66</v>
      </c>
      <c r="R179" s="253">
        <v>11.74</v>
      </c>
      <c r="S179" s="253">
        <v>11.74</v>
      </c>
      <c r="T179" s="253">
        <v>11.93</v>
      </c>
      <c r="U179" s="253">
        <v>12.255000000000001</v>
      </c>
      <c r="V179" s="253">
        <v>12.53</v>
      </c>
      <c r="W179" s="253">
        <v>12.53</v>
      </c>
      <c r="X179" s="253">
        <v>12.47</v>
      </c>
      <c r="Y179" s="253">
        <v>12.73</v>
      </c>
      <c r="Z179" s="247">
        <f ca="1">[1]ExtEntry!$G77</f>
        <v>12.73</v>
      </c>
      <c r="AA179" s="277"/>
      <c r="AB179" s="1255">
        <v>0.79601262734915879</v>
      </c>
      <c r="AC179" s="1255">
        <v>1.2630503313576233</v>
      </c>
      <c r="AD179" s="1255">
        <v>1.2906820050461187</v>
      </c>
      <c r="AE179" s="1255">
        <v>1.2852266705805011</v>
      </c>
      <c r="AF179" s="1255">
        <v>1.6963288929292459</v>
      </c>
      <c r="AG179" s="1255">
        <v>2.4374684251867063</v>
      </c>
      <c r="AH179" s="1255">
        <v>1.167512367502106</v>
      </c>
      <c r="AI179" s="1255">
        <v>1.0269754543041925</v>
      </c>
      <c r="AJ179" s="1255">
        <v>1.8443870557180295E-4</v>
      </c>
      <c r="AK179" s="1255">
        <v>1.0339679786963221</v>
      </c>
      <c r="AL179" s="1255">
        <v>1.2199923291167667</v>
      </c>
      <c r="AM179" s="1255">
        <v>1.0697795184978547</v>
      </c>
      <c r="AN179" s="1255">
        <v>1.4120590985796362</v>
      </c>
      <c r="AO179" s="1255">
        <v>1.3777547569257016</v>
      </c>
      <c r="AP179" s="1255">
        <v>0.9679223115757678</v>
      </c>
      <c r="AQ179" s="1255">
        <v>3.638960593793922</v>
      </c>
      <c r="AR179" s="1255">
        <v>4.538835679307887</v>
      </c>
      <c r="AS179" s="1255">
        <v>4.5388653882373653</v>
      </c>
      <c r="AT179" s="1255">
        <v>4.5519344200899905</v>
      </c>
      <c r="AU179" s="1255">
        <v>2.4428035420599854</v>
      </c>
      <c r="AV179" s="1210">
        <f ca="1">Calc!BB77</f>
        <v>2.4449132760383812</v>
      </c>
      <c r="AW179" s="279"/>
      <c r="AX179" s="88" t="str">
        <f t="shared" ca="1" si="12"/>
        <v>F</v>
      </c>
      <c r="BA179" s="253">
        <v>8915</v>
      </c>
      <c r="CP179" s="277"/>
      <c r="EH179" s="110"/>
    </row>
    <row r="180" spans="1:138" hidden="1">
      <c r="A180" s="241" t="str">
        <f t="shared" ca="1" si="11"/>
        <v>GLE</v>
      </c>
      <c r="B180" s="250" t="str">
        <f ca="1">[1]ExtEntry!$D78</f>
        <v>EUR</v>
      </c>
      <c r="C180" s="251"/>
      <c r="D180" s="841">
        <f>ROW()</f>
        <v>180</v>
      </c>
      <c r="E180" s="252"/>
      <c r="F180" s="253">
        <v>57.34</v>
      </c>
      <c r="G180" s="253">
        <v>56.74</v>
      </c>
      <c r="H180" s="253">
        <v>56.12</v>
      </c>
      <c r="I180" s="253">
        <v>57.32</v>
      </c>
      <c r="J180" s="253">
        <v>57.02</v>
      </c>
      <c r="K180" s="253">
        <v>53.78</v>
      </c>
      <c r="L180" s="253">
        <v>53.42</v>
      </c>
      <c r="M180" s="253">
        <v>54.6</v>
      </c>
      <c r="N180" s="253">
        <v>54.44</v>
      </c>
      <c r="O180" s="253">
        <v>53.98</v>
      </c>
      <c r="P180" s="253">
        <v>53.12</v>
      </c>
      <c r="Q180" s="253">
        <v>56.12</v>
      </c>
      <c r="R180" s="253">
        <v>55.42</v>
      </c>
      <c r="S180" s="253">
        <v>54.6</v>
      </c>
      <c r="T180" s="253">
        <v>54.58</v>
      </c>
      <c r="U180" s="253">
        <v>53.44</v>
      </c>
      <c r="V180" s="253">
        <v>52.98</v>
      </c>
      <c r="W180" s="253">
        <v>52.98</v>
      </c>
      <c r="X180" s="253">
        <v>53.22</v>
      </c>
      <c r="Y180" s="253">
        <v>53.94</v>
      </c>
      <c r="Z180" s="247">
        <f ca="1">[1]ExtEntry!$G78</f>
        <v>53.94</v>
      </c>
      <c r="AA180" s="277"/>
      <c r="AB180" s="1255">
        <v>1.0138535831562681</v>
      </c>
      <c r="AC180" s="1255">
        <v>0.87310466624354977</v>
      </c>
      <c r="AD180" s="1255">
        <v>0.86420790848047746</v>
      </c>
      <c r="AE180" s="1255">
        <v>0.77044335255190433</v>
      </c>
      <c r="AF180" s="1255">
        <v>0.86390127524212557</v>
      </c>
      <c r="AG180" s="1255">
        <v>1.5210079157406089</v>
      </c>
      <c r="AH180" s="1255">
        <v>1.1685100067276435</v>
      </c>
      <c r="AI180" s="1255">
        <v>0.7665265197336717</v>
      </c>
      <c r="AJ180" s="1255">
        <v>0.11593298517884716</v>
      </c>
      <c r="AK180" s="1255">
        <v>0.77697700219465049</v>
      </c>
      <c r="AL180" s="1255">
        <v>1.07937464573109</v>
      </c>
      <c r="AM180" s="1255">
        <v>1.0890179245190565</v>
      </c>
      <c r="AN180" s="1255">
        <v>1.0877498966927428</v>
      </c>
      <c r="AO180" s="1255">
        <v>1.3148190631243988</v>
      </c>
      <c r="AP180" s="1255">
        <v>1.0984845868587452</v>
      </c>
      <c r="AQ180" s="1255">
        <v>0.73005935740133565</v>
      </c>
      <c r="AR180" s="1255">
        <v>0.63591547720756303</v>
      </c>
      <c r="AS180" s="1255">
        <v>0.63591547720756303</v>
      </c>
      <c r="AT180" s="1255">
        <v>1.0063348373621503</v>
      </c>
      <c r="AU180" s="1255">
        <v>0.76575199083438239</v>
      </c>
      <c r="AV180" s="1210">
        <f ca="1">Calc!BB78</f>
        <v>0.79786255716959531</v>
      </c>
      <c r="AW180" s="279"/>
      <c r="AX180" s="88" t="str">
        <f t="shared" ca="1" si="12"/>
        <v>GLE</v>
      </c>
      <c r="BA180" s="253">
        <v>9014</v>
      </c>
      <c r="CP180" s="277"/>
      <c r="EH180" s="110"/>
    </row>
    <row r="181" spans="1:138" hidden="1">
      <c r="A181" s="241" t="str">
        <f t="shared" ca="1" si="11"/>
        <v>GNRC</v>
      </c>
      <c r="B181" s="242" t="str">
        <f ca="1">[1]ExtEntry!$D79</f>
        <v>USD</v>
      </c>
      <c r="C181" s="243"/>
      <c r="D181" s="1202">
        <f>ROW()</f>
        <v>181</v>
      </c>
      <c r="E181" s="244"/>
      <c r="F181" s="253">
        <v>168.95</v>
      </c>
      <c r="G181" s="253">
        <v>166.28</v>
      </c>
      <c r="H181" s="253">
        <v>167.42</v>
      </c>
      <c r="I181" s="253">
        <v>168.26</v>
      </c>
      <c r="J181" s="253">
        <v>170</v>
      </c>
      <c r="K181" s="253">
        <v>164.43</v>
      </c>
      <c r="L181" s="253">
        <v>167.73</v>
      </c>
      <c r="M181" s="253">
        <v>169.69</v>
      </c>
      <c r="N181" s="253">
        <v>169.69</v>
      </c>
      <c r="O181" s="253">
        <v>172.55</v>
      </c>
      <c r="P181" s="253">
        <v>170.95</v>
      </c>
      <c r="Q181" s="253">
        <v>186.92</v>
      </c>
      <c r="R181" s="253">
        <v>193.38</v>
      </c>
      <c r="S181" s="253">
        <v>190.86</v>
      </c>
      <c r="T181" s="253">
        <v>193</v>
      </c>
      <c r="U181" s="253">
        <v>193.74</v>
      </c>
      <c r="V181" s="253">
        <v>193</v>
      </c>
      <c r="W181" s="253">
        <v>193</v>
      </c>
      <c r="X181" s="253">
        <v>183.1</v>
      </c>
      <c r="Y181" s="253">
        <v>192.71</v>
      </c>
      <c r="Z181" s="247">
        <f ca="1">[1]ExtEntry!$G79</f>
        <v>192.71</v>
      </c>
      <c r="AA181" s="277"/>
      <c r="AB181" s="1255">
        <v>0.34083334360731998</v>
      </c>
      <c r="AC181" s="1255">
        <v>0.79521588609350446</v>
      </c>
      <c r="AD181" s="1255">
        <v>0.64624407605936252</v>
      </c>
      <c r="AE181" s="1255">
        <v>0.54957925319245893</v>
      </c>
      <c r="AF181" s="1255">
        <v>0.87374299356445917</v>
      </c>
      <c r="AG181" s="1255">
        <v>0.653338474894677</v>
      </c>
      <c r="AH181" s="1255">
        <v>1.0120217618380756</v>
      </c>
      <c r="AI181" s="1255">
        <v>0.92124899337576305</v>
      </c>
      <c r="AJ181" s="1255">
        <v>0.92203454994155087</v>
      </c>
      <c r="AK181" s="1255">
        <v>0.67058047311794122</v>
      </c>
      <c r="AL181" s="1255">
        <v>1.4022129471080669</v>
      </c>
      <c r="AM181" s="1255">
        <v>1.2954917747780466</v>
      </c>
      <c r="AN181" s="1255">
        <v>0.99146470838836509</v>
      </c>
      <c r="AO181" s="1255">
        <v>0.66183227719214743</v>
      </c>
      <c r="AP181" s="1255">
        <v>0.63735464911249562</v>
      </c>
      <c r="AQ181" s="1255">
        <v>0.97019519965594614</v>
      </c>
      <c r="AR181" s="1255">
        <v>1.0069017548567991</v>
      </c>
      <c r="AS181" s="1255">
        <v>1.0069017548567991</v>
      </c>
      <c r="AT181" s="1255">
        <v>0.74670903817598977</v>
      </c>
      <c r="AU181" s="1255">
        <v>0.75616120023645961</v>
      </c>
      <c r="AV181" s="1210">
        <f ca="1">Calc!BB79</f>
        <v>0.75625107713290851</v>
      </c>
      <c r="AW181" s="279"/>
      <c r="AX181" s="88" t="str">
        <f t="shared" ca="1" si="12"/>
        <v>GNRC</v>
      </c>
      <c r="BA181" s="253">
        <v>9113</v>
      </c>
      <c r="CP181" s="277"/>
      <c r="EH181" s="110"/>
    </row>
    <row r="182" spans="1:138" hidden="1">
      <c r="A182" s="241" t="str">
        <f t="shared" ca="1" si="11"/>
        <v>GS</v>
      </c>
      <c r="B182" s="250" t="str">
        <f ca="1">[1]ExtEntry!$D80</f>
        <v>USD</v>
      </c>
      <c r="C182" s="251"/>
      <c r="D182" s="841">
        <f>ROW()</f>
        <v>182</v>
      </c>
      <c r="E182" s="252"/>
      <c r="F182" s="253">
        <v>807.94</v>
      </c>
      <c r="G182" s="253">
        <v>805.5</v>
      </c>
      <c r="H182" s="253">
        <v>793.62</v>
      </c>
      <c r="I182" s="253">
        <v>788.88</v>
      </c>
      <c r="J182" s="253">
        <v>783</v>
      </c>
      <c r="K182" s="253">
        <v>798</v>
      </c>
      <c r="L182" s="253">
        <v>791.75</v>
      </c>
      <c r="M182" s="253">
        <v>778.85</v>
      </c>
      <c r="N182" s="253">
        <v>778.85</v>
      </c>
      <c r="O182" s="253">
        <v>778</v>
      </c>
      <c r="P182" s="253">
        <v>765.2</v>
      </c>
      <c r="Q182" s="253">
        <v>778.81</v>
      </c>
      <c r="R182" s="253">
        <v>770.66</v>
      </c>
      <c r="S182" s="253">
        <v>758.15</v>
      </c>
      <c r="T182" s="253">
        <v>757</v>
      </c>
      <c r="U182" s="253">
        <v>759</v>
      </c>
      <c r="V182" s="253">
        <v>760.61</v>
      </c>
      <c r="W182" s="253">
        <v>760.61</v>
      </c>
      <c r="X182" s="253">
        <v>749.34</v>
      </c>
      <c r="Y182" s="253">
        <v>759.85</v>
      </c>
      <c r="Z182" s="247">
        <f ca="1">[1]ExtEntry!$G80</f>
        <v>759.85</v>
      </c>
      <c r="AA182" s="277"/>
      <c r="AB182" s="1255">
        <v>0.28978696377430302</v>
      </c>
      <c r="AC182" s="1255">
        <v>1.4624811877354131</v>
      </c>
      <c r="AD182" s="1255">
        <v>1.0357847610489113</v>
      </c>
      <c r="AE182" s="1255">
        <v>0.89338697669816003</v>
      </c>
      <c r="AF182" s="1255">
        <v>0.84492689614560046</v>
      </c>
      <c r="AG182" s="1255">
        <v>0.88523968329434299</v>
      </c>
      <c r="AH182" s="1255">
        <v>1.1281884859421387</v>
      </c>
      <c r="AI182" s="1255">
        <v>0.90694171393417555</v>
      </c>
      <c r="AJ182" s="1255">
        <v>1.7453504842339552E-4</v>
      </c>
      <c r="AK182" s="1255">
        <v>1.5127489562658272</v>
      </c>
      <c r="AL182" s="1255">
        <v>2.5769542212816892</v>
      </c>
      <c r="AM182" s="1255">
        <v>1.2746839484169143</v>
      </c>
      <c r="AN182" s="1255">
        <v>1.6267524535251052</v>
      </c>
      <c r="AO182" s="1255">
        <v>1.4538623667706227</v>
      </c>
      <c r="AP182" s="1255">
        <v>0.9324019813405281</v>
      </c>
      <c r="AQ182" s="1255">
        <v>0.85583964669218437</v>
      </c>
      <c r="AR182" s="1255">
        <v>0.99012871267241631</v>
      </c>
      <c r="AS182" s="1255">
        <v>0.99017892754424408</v>
      </c>
      <c r="AT182" s="1255">
        <v>0.76871693742463176</v>
      </c>
      <c r="AU182" s="1255">
        <v>1.1899313588177629</v>
      </c>
      <c r="AV182" s="1210">
        <f ca="1">Calc!BB80</f>
        <v>1.1912264037021929</v>
      </c>
      <c r="AW182" s="279"/>
      <c r="AX182" s="88" t="str">
        <f t="shared" ca="1" si="12"/>
        <v>GS</v>
      </c>
      <c r="BA182" s="253">
        <v>9212</v>
      </c>
      <c r="CP182" s="277"/>
      <c r="EH182" s="110"/>
    </row>
    <row r="183" spans="1:138" hidden="1">
      <c r="A183" s="241" t="str">
        <f t="shared" ca="1" si="11"/>
        <v>LAZR</v>
      </c>
      <c r="B183" s="242" t="str">
        <f ca="1">[1]ExtEntry!$D81</f>
        <v>USD</v>
      </c>
      <c r="C183" s="243"/>
      <c r="D183" s="1202">
        <f>ROW()</f>
        <v>183</v>
      </c>
      <c r="E183" s="244"/>
      <c r="F183" s="253">
        <v>2.04</v>
      </c>
      <c r="G183" s="253">
        <v>2.02</v>
      </c>
      <c r="H183" s="253">
        <v>1.9</v>
      </c>
      <c r="I183" s="253">
        <v>2.0099999999999998</v>
      </c>
      <c r="J183" s="253">
        <v>2.17</v>
      </c>
      <c r="K183" s="253">
        <v>2.2400000000000002</v>
      </c>
      <c r="L183" s="253">
        <v>2.0699999999999998</v>
      </c>
      <c r="M183" s="253">
        <v>2.2400000000000002</v>
      </c>
      <c r="N183" s="253">
        <v>2.2400000000000002</v>
      </c>
      <c r="O183" s="253">
        <v>2.0299999999999998</v>
      </c>
      <c r="P183" s="253">
        <v>2.0299999999999998</v>
      </c>
      <c r="Q183" s="253">
        <v>2.17</v>
      </c>
      <c r="R183" s="253">
        <v>2.06</v>
      </c>
      <c r="S183" s="253">
        <v>2.04</v>
      </c>
      <c r="T183" s="253">
        <v>1.96</v>
      </c>
      <c r="U183" s="253">
        <v>2.0099999999999998</v>
      </c>
      <c r="V183" s="253">
        <v>1.84</v>
      </c>
      <c r="W183" s="253">
        <v>1.84</v>
      </c>
      <c r="X183" s="253">
        <v>1.72</v>
      </c>
      <c r="Y183" s="253">
        <v>1.7250000000000001</v>
      </c>
      <c r="Z183" s="247">
        <f ca="1">[1]ExtEntry!$G81</f>
        <v>1.7250000000000001</v>
      </c>
      <c r="AA183" s="277"/>
      <c r="AB183" s="1255">
        <v>0.4169935894557365</v>
      </c>
      <c r="AC183" s="1255">
        <v>1.0503647026292715</v>
      </c>
      <c r="AD183" s="1255">
        <v>1.2684688071219083</v>
      </c>
      <c r="AE183" s="1255">
        <v>1.1701964780182152</v>
      </c>
      <c r="AF183" s="1255">
        <v>2.9789117902714133</v>
      </c>
      <c r="AG183" s="1255">
        <v>1.3401650990829068</v>
      </c>
      <c r="AH183" s="1255">
        <v>2.073936751666869</v>
      </c>
      <c r="AI183" s="1255">
        <v>1.0490889788976219</v>
      </c>
      <c r="AJ183" s="1255">
        <v>8.8077008237585439E-3</v>
      </c>
      <c r="AK183" s="1255">
        <v>0.7419283251119122</v>
      </c>
      <c r="AL183" s="1255">
        <v>1.0329389893114798</v>
      </c>
      <c r="AM183" s="1255">
        <v>0.8717020326036844</v>
      </c>
      <c r="AN183" s="1255">
        <v>1.3006954096030219</v>
      </c>
      <c r="AO183" s="1255">
        <v>1.1594893071456749</v>
      </c>
      <c r="AP183" s="1255">
        <v>0.90352909551538962</v>
      </c>
      <c r="AQ183" s="1255">
        <v>1.5405126620120135</v>
      </c>
      <c r="AR183" s="1255">
        <v>1.1201535149901223</v>
      </c>
      <c r="AS183" s="1255">
        <v>1.1202995771754074</v>
      </c>
      <c r="AT183" s="1255">
        <v>0.81259272822739703</v>
      </c>
      <c r="AU183" s="1255">
        <v>4.0456424932234007</v>
      </c>
      <c r="AV183" s="1210">
        <f ca="1">Calc!BB81</f>
        <v>4.1306761269999361</v>
      </c>
      <c r="AW183" s="279"/>
      <c r="AX183" s="88" t="str">
        <f t="shared" ca="1" si="12"/>
        <v>LAZR</v>
      </c>
      <c r="BA183" s="253">
        <v>9311</v>
      </c>
      <c r="CP183" s="277"/>
      <c r="EH183" s="110"/>
    </row>
    <row r="184" spans="1:138" hidden="1">
      <c r="A184" s="241" t="str">
        <f t="shared" ca="1" si="11"/>
        <v>LUV</v>
      </c>
      <c r="B184" s="250" t="str">
        <f ca="1">[1]ExtEntry!$D82</f>
        <v>USD</v>
      </c>
      <c r="C184" s="251"/>
      <c r="D184" s="841">
        <f>ROW()</f>
        <v>184</v>
      </c>
      <c r="E184" s="252"/>
      <c r="F184" s="253">
        <v>32.799999999999997</v>
      </c>
      <c r="G184" s="253">
        <v>32.83</v>
      </c>
      <c r="H184" s="253">
        <v>31.99</v>
      </c>
      <c r="I184" s="253">
        <v>32.28</v>
      </c>
      <c r="J184" s="253">
        <v>32.75</v>
      </c>
      <c r="K184" s="253">
        <v>32.57</v>
      </c>
      <c r="L184" s="253">
        <v>32.659999999999997</v>
      </c>
      <c r="M184" s="253">
        <v>33.53</v>
      </c>
      <c r="N184" s="253">
        <v>33.53</v>
      </c>
      <c r="O184" s="253">
        <v>31.75</v>
      </c>
      <c r="P184" s="253">
        <v>31.535</v>
      </c>
      <c r="Q184" s="253">
        <v>33.634999999999998</v>
      </c>
      <c r="R184" s="253">
        <v>33.67</v>
      </c>
      <c r="S184" s="253">
        <v>33.229999999999997</v>
      </c>
      <c r="T184" s="253">
        <v>33.78</v>
      </c>
      <c r="U184" s="253">
        <v>34.119999999999997</v>
      </c>
      <c r="V184" s="253">
        <v>34.36</v>
      </c>
      <c r="W184" s="253">
        <v>34.36</v>
      </c>
      <c r="X184" s="253">
        <v>32.82</v>
      </c>
      <c r="Y184" s="253">
        <v>32.049999999999997</v>
      </c>
      <c r="Z184" s="247">
        <f ca="1">[1]ExtEntry!$G82</f>
        <v>32.049999999999997</v>
      </c>
      <c r="AA184" s="277"/>
      <c r="AB184" s="1255">
        <v>0.35560169881479109</v>
      </c>
      <c r="AC184" s="1255">
        <v>1.1528428450281707</v>
      </c>
      <c r="AD184" s="1255">
        <v>0.9477018994295956</v>
      </c>
      <c r="AE184" s="1255">
        <v>0.82352687204020747</v>
      </c>
      <c r="AF184" s="1255">
        <v>1.0099002542722997</v>
      </c>
      <c r="AG184" s="1255">
        <v>0.85651077167849166</v>
      </c>
      <c r="AH184" s="1255">
        <v>0.81385206558007284</v>
      </c>
      <c r="AI184" s="1255">
        <v>1.105276590201334</v>
      </c>
      <c r="AJ184" s="1255">
        <v>3.8725697015574408E-5</v>
      </c>
      <c r="AK184" s="1255">
        <v>0.49999306018861883</v>
      </c>
      <c r="AL184" s="1255">
        <v>1.160324442906695</v>
      </c>
      <c r="AM184" s="1255">
        <v>0.43430842846199558</v>
      </c>
      <c r="AN184" s="1255">
        <v>1.1514543315313943</v>
      </c>
      <c r="AO184" s="1255">
        <v>0.86566413294138944</v>
      </c>
      <c r="AP184" s="1255">
        <v>0.80691046857111937</v>
      </c>
      <c r="AQ184" s="1255">
        <v>0.99932469890125164</v>
      </c>
      <c r="AR184" s="1255">
        <v>1.1086168356301351</v>
      </c>
      <c r="AS184" s="1255">
        <v>1.1090302461996828</v>
      </c>
      <c r="AT184" s="1255">
        <v>2.9378540814870608</v>
      </c>
      <c r="AU184" s="1255">
        <v>1.4886294836006286</v>
      </c>
      <c r="AV184" s="1210">
        <f ca="1">Calc!BB82</f>
        <v>1.489304344356059</v>
      </c>
      <c r="AW184" s="279"/>
      <c r="AX184" s="88" t="str">
        <f t="shared" ca="1" si="12"/>
        <v>LUV</v>
      </c>
      <c r="BA184" s="253">
        <v>9410</v>
      </c>
      <c r="CP184" s="277"/>
      <c r="EH184" s="110"/>
    </row>
    <row r="185" spans="1:138" hidden="1">
      <c r="A185" s="241" t="str">
        <f t="shared" ca="1" si="11"/>
        <v>MA</v>
      </c>
      <c r="B185" s="242" t="str">
        <f ca="1">[1]ExtEntry!$D83</f>
        <v>USD</v>
      </c>
      <c r="C185" s="243"/>
      <c r="D185" s="1202">
        <f>ROW()</f>
        <v>185</v>
      </c>
      <c r="E185" s="244"/>
      <c r="F185" s="253">
        <v>566.1</v>
      </c>
      <c r="G185" s="253">
        <v>565.80999999999995</v>
      </c>
      <c r="H185" s="253">
        <v>565.67999999999995</v>
      </c>
      <c r="I185" s="253">
        <v>572.73</v>
      </c>
      <c r="J185" s="253">
        <v>576.42999999999995</v>
      </c>
      <c r="K185" s="253">
        <v>578.99</v>
      </c>
      <c r="L185" s="253">
        <v>581.32000000000005</v>
      </c>
      <c r="M185" s="253">
        <v>577.24</v>
      </c>
      <c r="N185" s="253">
        <v>577.24</v>
      </c>
      <c r="O185" s="253">
        <v>559</v>
      </c>
      <c r="P185" s="253">
        <v>556.77</v>
      </c>
      <c r="Q185" s="253">
        <v>565.34</v>
      </c>
      <c r="R185" s="253">
        <v>562.79999999999995</v>
      </c>
      <c r="S185" s="253">
        <v>552.49</v>
      </c>
      <c r="T185" s="253">
        <v>561.70000000000005</v>
      </c>
      <c r="U185" s="253">
        <v>562.16</v>
      </c>
      <c r="V185" s="253">
        <v>571.04999999999995</v>
      </c>
      <c r="W185" s="253">
        <v>571.04999999999995</v>
      </c>
      <c r="X185" s="253">
        <v>574.36</v>
      </c>
      <c r="Y185" s="253">
        <v>577.24</v>
      </c>
      <c r="Z185" s="247">
        <f ca="1">[1]ExtEntry!$G83</f>
        <v>577.24</v>
      </c>
      <c r="AA185" s="277"/>
      <c r="AB185" s="1255">
        <v>0.3102539300760922</v>
      </c>
      <c r="AC185" s="1255">
        <v>0.89136177586287646</v>
      </c>
      <c r="AD185" s="1255">
        <v>1.372292102122816</v>
      </c>
      <c r="AE185" s="1255">
        <v>0.94023080674081072</v>
      </c>
      <c r="AF185" s="1255">
        <v>0.86952310841008296</v>
      </c>
      <c r="AG185" s="1255">
        <v>0.78346207542171975</v>
      </c>
      <c r="AH185" s="1255">
        <v>0.7164968077384567</v>
      </c>
      <c r="AI185" s="1255">
        <v>0.95572378816028569</v>
      </c>
      <c r="AJ185" s="1255">
        <v>2.0042196046760185E-4</v>
      </c>
      <c r="AK185" s="1255">
        <v>0.95198905516284216</v>
      </c>
      <c r="AL185" s="1255">
        <v>0.89684335209604293</v>
      </c>
      <c r="AM185" s="1255">
        <v>0.52006756380536601</v>
      </c>
      <c r="AN185" s="1255">
        <v>1.1354121745369075</v>
      </c>
      <c r="AO185" s="1255">
        <v>0.96430023065283077</v>
      </c>
      <c r="AP185" s="1255">
        <v>0.71039773396212458</v>
      </c>
      <c r="AQ185" s="1255">
        <v>0.94723431070137931</v>
      </c>
      <c r="AR185" s="1255">
        <v>0.63214326764376305</v>
      </c>
      <c r="AS185" s="1255">
        <v>0.63214361489528459</v>
      </c>
      <c r="AT185" s="1255">
        <v>0.76857291793782612</v>
      </c>
      <c r="AU185" s="1255">
        <v>0.65897065483458594</v>
      </c>
      <c r="AV185" s="1210">
        <f ca="1">Calc!BB83</f>
        <v>0.65917487861225288</v>
      </c>
      <c r="AW185" s="279"/>
      <c r="AX185" s="88" t="str">
        <f t="shared" ca="1" si="12"/>
        <v>MA</v>
      </c>
      <c r="BA185" s="253">
        <v>9509</v>
      </c>
      <c r="CP185" s="277"/>
      <c r="EH185" s="110"/>
    </row>
    <row r="186" spans="1:138" hidden="1">
      <c r="A186" s="241" t="str">
        <f t="shared" ca="1" si="11"/>
        <v>NVAX</v>
      </c>
      <c r="B186" s="250" t="str">
        <f ca="1">[1]ExtEntry!$D84</f>
        <v>USD</v>
      </c>
      <c r="C186" s="251"/>
      <c r="D186" s="841">
        <f>ROW()</f>
        <v>186</v>
      </c>
      <c r="E186" s="252"/>
      <c r="F186" s="253">
        <v>8.59</v>
      </c>
      <c r="G186" s="253">
        <v>8.51</v>
      </c>
      <c r="H186" s="253">
        <v>8.74</v>
      </c>
      <c r="I186" s="253">
        <v>9.58</v>
      </c>
      <c r="J186" s="253">
        <v>9.59</v>
      </c>
      <c r="K186" s="253">
        <v>9.1199999999999992</v>
      </c>
      <c r="L186" s="253">
        <v>9.27</v>
      </c>
      <c r="M186" s="253">
        <v>8.92</v>
      </c>
      <c r="N186" s="253">
        <v>8.92</v>
      </c>
      <c r="O186" s="253">
        <v>8.43</v>
      </c>
      <c r="P186" s="253">
        <v>8.66</v>
      </c>
      <c r="Q186" s="253">
        <v>8.91</v>
      </c>
      <c r="R186" s="253">
        <v>8.93</v>
      </c>
      <c r="S186" s="253">
        <v>8.27</v>
      </c>
      <c r="T186" s="253">
        <v>8.1999999999999993</v>
      </c>
      <c r="U186" s="253">
        <v>8.7100000000000009</v>
      </c>
      <c r="V186" s="253">
        <v>8.4079999999999995</v>
      </c>
      <c r="W186" s="253">
        <v>8.4079999999999995</v>
      </c>
      <c r="X186" s="253">
        <v>8.4749999999999996</v>
      </c>
      <c r="Y186" s="253">
        <v>8.59</v>
      </c>
      <c r="Z186" s="247">
        <f ca="1">[1]ExtEntry!$G84</f>
        <v>8.59</v>
      </c>
      <c r="AA186" s="277"/>
      <c r="AB186" s="1255">
        <v>0.22543564157857213</v>
      </c>
      <c r="AC186" s="1255">
        <v>0.61118465283257262</v>
      </c>
      <c r="AD186" s="1255">
        <v>1.7727826794168939</v>
      </c>
      <c r="AE186" s="1255">
        <v>0.849391340468306</v>
      </c>
      <c r="AF186" s="1255">
        <v>1.0461516607765275</v>
      </c>
      <c r="AG186" s="1255">
        <v>0.90988058405687822</v>
      </c>
      <c r="AH186" s="1255">
        <v>1.0899870249162258</v>
      </c>
      <c r="AI186" s="1255">
        <v>1.0271365125074341</v>
      </c>
      <c r="AJ186" s="1255">
        <v>2.5535100041713826E-3</v>
      </c>
      <c r="AK186" s="1255">
        <v>0.95508023732443337</v>
      </c>
      <c r="AL186" s="1255">
        <v>1.214376709609718</v>
      </c>
      <c r="AM186" s="1255">
        <v>0.99990957414040427</v>
      </c>
      <c r="AN186" s="1255">
        <v>1.1129478364238394</v>
      </c>
      <c r="AO186" s="1255">
        <v>1.3162481989396873</v>
      </c>
      <c r="AP186" s="1255">
        <v>1.2685758203123909</v>
      </c>
      <c r="AQ186" s="1255">
        <v>0.89156954787972809</v>
      </c>
      <c r="AR186" s="1255">
        <v>0.84847949736305339</v>
      </c>
      <c r="AS186" s="1255">
        <v>0.84847949736305339</v>
      </c>
      <c r="AT186" s="1255">
        <v>0.65164523351652526</v>
      </c>
      <c r="AU186" s="1255">
        <v>0.59810604765202235</v>
      </c>
      <c r="AV186" s="1210">
        <f ca="1">Calc!BB84</f>
        <v>0.60110333158128726</v>
      </c>
      <c r="AW186" s="279"/>
      <c r="AX186" s="88" t="str">
        <f t="shared" ca="1" si="12"/>
        <v>NVAX</v>
      </c>
      <c r="BA186" s="253">
        <v>9608</v>
      </c>
      <c r="CP186" s="277"/>
      <c r="EH186" s="110"/>
    </row>
    <row r="187" spans="1:138" hidden="1">
      <c r="A187" s="241" t="str">
        <f t="shared" ca="1" si="11"/>
        <v>NVS</v>
      </c>
      <c r="B187" s="242" t="str">
        <f ca="1">[1]ExtEntry!$D85</f>
        <v>USD</v>
      </c>
      <c r="C187" s="243"/>
      <c r="D187" s="1202">
        <f>ROW()</f>
        <v>187</v>
      </c>
      <c r="E187" s="244"/>
      <c r="F187" s="253">
        <v>123.35</v>
      </c>
      <c r="G187" s="253">
        <v>123.89</v>
      </c>
      <c r="H187" s="253">
        <v>129</v>
      </c>
      <c r="I187" s="253">
        <v>131.02000000000001</v>
      </c>
      <c r="J187" s="253">
        <v>132.24</v>
      </c>
      <c r="K187" s="253">
        <v>132.12</v>
      </c>
      <c r="L187" s="253">
        <v>132.71</v>
      </c>
      <c r="M187" s="253">
        <v>132.6</v>
      </c>
      <c r="N187" s="253">
        <v>132.6</v>
      </c>
      <c r="O187" s="253">
        <v>129.61000000000001</v>
      </c>
      <c r="P187" s="253">
        <v>129.46</v>
      </c>
      <c r="Q187" s="253">
        <v>128.30000000000001</v>
      </c>
      <c r="R187" s="253">
        <v>129.88</v>
      </c>
      <c r="S187" s="253">
        <v>130.57</v>
      </c>
      <c r="T187" s="253">
        <v>131.41</v>
      </c>
      <c r="U187" s="253">
        <v>131.33000000000001</v>
      </c>
      <c r="V187" s="253">
        <v>131.06</v>
      </c>
      <c r="W187" s="253">
        <v>131.06</v>
      </c>
      <c r="X187" s="253">
        <v>130.82</v>
      </c>
      <c r="Y187" s="253">
        <v>131.53</v>
      </c>
      <c r="Z187" s="247">
        <f ca="1">[1]ExtEntry!$G85</f>
        <v>131.53</v>
      </c>
      <c r="AA187" s="277"/>
      <c r="AB187" s="1255">
        <v>0.74610292272753587</v>
      </c>
      <c r="AC187" s="1255">
        <v>2.0207251446439503</v>
      </c>
      <c r="AD187" s="1255">
        <v>2.9397785141964836</v>
      </c>
      <c r="AE187" s="1255">
        <v>1.4002946131730674</v>
      </c>
      <c r="AF187" s="1255">
        <v>1.1197609006970433</v>
      </c>
      <c r="AG187" s="1255">
        <v>0.71502241591093418</v>
      </c>
      <c r="AH187" s="1255">
        <v>2.3808404558404557</v>
      </c>
      <c r="AI187" s="1255">
        <v>1.1893492525149332</v>
      </c>
      <c r="AJ187" s="1255">
        <v>1.2124481839821964E-4</v>
      </c>
      <c r="AK187" s="1255">
        <v>1.3862692028063794</v>
      </c>
      <c r="AL187" s="1255">
        <v>1.0553357222016493</v>
      </c>
      <c r="AM187" s="1255">
        <v>0.80574501565227596</v>
      </c>
      <c r="AN187" s="1255">
        <v>0.77032014753123768</v>
      </c>
      <c r="AO187" s="1255">
        <v>0.86848051923390479</v>
      </c>
      <c r="AP187" s="1255">
        <v>0.91814553351441452</v>
      </c>
      <c r="AQ187" s="1255">
        <v>0.48477023706139943</v>
      </c>
      <c r="AR187" s="1255">
        <v>0.68297392321329842</v>
      </c>
      <c r="AS187" s="1255">
        <v>0.68297392321329842</v>
      </c>
      <c r="AT187" s="1255">
        <v>1.1163365691380034</v>
      </c>
      <c r="AU187" s="1255">
        <v>0.8097989652878913</v>
      </c>
      <c r="AV187" s="1210">
        <f ca="1">Calc!BB85</f>
        <v>0.80980626695147584</v>
      </c>
      <c r="AW187" s="279"/>
      <c r="AX187" s="88" t="str">
        <f t="shared" ca="1" si="12"/>
        <v>NVS</v>
      </c>
      <c r="BA187" s="253">
        <v>1691</v>
      </c>
      <c r="CP187" s="277"/>
      <c r="EH187" s="110"/>
    </row>
    <row r="188" spans="1:138" hidden="1">
      <c r="A188" s="241" t="str">
        <f t="shared" ca="1" si="11"/>
        <v>ORA</v>
      </c>
      <c r="B188" s="250" t="str">
        <f ca="1">[1]ExtEntry!$D86</f>
        <v>EUR</v>
      </c>
      <c r="C188" s="251"/>
      <c r="D188" s="841">
        <f>ROW()</f>
        <v>188</v>
      </c>
      <c r="E188" s="252"/>
      <c r="F188" s="253">
        <v>13.725</v>
      </c>
      <c r="G188" s="253">
        <v>13.675000000000001</v>
      </c>
      <c r="H188" s="253">
        <v>13.82</v>
      </c>
      <c r="I188" s="253">
        <v>13.36</v>
      </c>
      <c r="J188" s="253">
        <v>13.605</v>
      </c>
      <c r="K188" s="253">
        <v>13.24</v>
      </c>
      <c r="L188" s="253">
        <v>13.28</v>
      </c>
      <c r="M188" s="253">
        <v>13.4</v>
      </c>
      <c r="N188" s="253">
        <v>13.574999999999999</v>
      </c>
      <c r="O188" s="253">
        <v>13.64</v>
      </c>
      <c r="P188" s="253">
        <v>13.47</v>
      </c>
      <c r="Q188" s="253">
        <v>14.05</v>
      </c>
      <c r="R188" s="253">
        <v>13.98</v>
      </c>
      <c r="S188" s="253">
        <v>14.03</v>
      </c>
      <c r="T188" s="253">
        <v>14.244999999999999</v>
      </c>
      <c r="U188" s="253">
        <v>14.185</v>
      </c>
      <c r="V188" s="253">
        <v>14.11</v>
      </c>
      <c r="W188" s="253">
        <v>14.11</v>
      </c>
      <c r="X188" s="253">
        <v>14.1</v>
      </c>
      <c r="Y188" s="253">
        <v>14.13</v>
      </c>
      <c r="Z188" s="247">
        <f ca="1">[1]ExtEntry!$G86</f>
        <v>14.13</v>
      </c>
      <c r="AA188" s="277"/>
      <c r="AB188" s="1255">
        <v>0.54325087423309337</v>
      </c>
      <c r="AC188" s="1255">
        <v>0.68995146878102631</v>
      </c>
      <c r="AD188" s="1255">
        <v>0.76076635178368057</v>
      </c>
      <c r="AE188" s="1255">
        <v>1.3478509080278991</v>
      </c>
      <c r="AF188" s="1255">
        <v>0.89501001621205967</v>
      </c>
      <c r="AG188" s="1255">
        <v>1.079481516696053</v>
      </c>
      <c r="AH188" s="1255">
        <v>1.3549098252759246</v>
      </c>
      <c r="AI188" s="1255">
        <v>1.02395881252703</v>
      </c>
      <c r="AJ188" s="1255">
        <v>6.1353934583997995E-2</v>
      </c>
      <c r="AK188" s="1255">
        <v>0.73168770513509829</v>
      </c>
      <c r="AL188" s="1255">
        <v>0.81416688067055143</v>
      </c>
      <c r="AM188" s="1255">
        <v>2.3893283101988514</v>
      </c>
      <c r="AN188" s="1255">
        <v>0.83116709229148122</v>
      </c>
      <c r="AO188" s="1255">
        <v>1.2407510778527331</v>
      </c>
      <c r="AP188" s="1255">
        <v>0.66577661206280814</v>
      </c>
      <c r="AQ188" s="1255">
        <v>0.72038804257461686</v>
      </c>
      <c r="AR188" s="1255">
        <v>1.0817189651816796</v>
      </c>
      <c r="AS188" s="1255">
        <v>1.0817189651816796</v>
      </c>
      <c r="AT188" s="1255">
        <v>1.1072291862113017</v>
      </c>
      <c r="AU188" s="1255">
        <v>0.94411390446915111</v>
      </c>
      <c r="AV188" s="1210">
        <f ca="1">Calc!BB86</f>
        <v>0.95426628132187385</v>
      </c>
      <c r="AW188" s="279"/>
      <c r="AX188" s="88" t="str">
        <f t="shared" ca="1" si="12"/>
        <v>ORA</v>
      </c>
      <c r="CP188" s="277"/>
      <c r="EH188" s="110"/>
    </row>
    <row r="189" spans="1:138" hidden="1">
      <c r="A189" s="241" t="str">
        <f t="shared" ca="1" si="11"/>
        <v>OXY</v>
      </c>
      <c r="B189" s="242" t="str">
        <f ca="1">[1]ExtEntry!$D87</f>
        <v>USD</v>
      </c>
      <c r="C189" s="243"/>
      <c r="D189" s="1202">
        <f>ROW()</f>
        <v>189</v>
      </c>
      <c r="E189" s="244"/>
      <c r="F189" s="253">
        <v>48.28</v>
      </c>
      <c r="G189" s="253">
        <v>47.44</v>
      </c>
      <c r="H189" s="253">
        <v>47.454999999999998</v>
      </c>
      <c r="I189" s="253">
        <v>47.86</v>
      </c>
      <c r="J189" s="253">
        <v>44.97</v>
      </c>
      <c r="K189" s="253">
        <v>45.25</v>
      </c>
      <c r="L189" s="253">
        <v>45.37</v>
      </c>
      <c r="M189" s="253">
        <v>45.36</v>
      </c>
      <c r="N189" s="253">
        <v>45.36</v>
      </c>
      <c r="O189" s="253">
        <v>42.805</v>
      </c>
      <c r="P189" s="253">
        <v>41.94</v>
      </c>
      <c r="Q189" s="253">
        <v>42.46</v>
      </c>
      <c r="R189" s="253">
        <v>41.99</v>
      </c>
      <c r="S189" s="253">
        <v>40.799999999999997</v>
      </c>
      <c r="T189" s="253">
        <v>40.96</v>
      </c>
      <c r="U189" s="253">
        <v>41</v>
      </c>
      <c r="V189" s="253">
        <v>41.22</v>
      </c>
      <c r="W189" s="253">
        <v>41.22</v>
      </c>
      <c r="X189" s="253">
        <v>43.14</v>
      </c>
      <c r="Y189" s="253">
        <v>43</v>
      </c>
      <c r="Z189" s="247">
        <f ca="1">[1]ExtEntry!$G87</f>
        <v>43</v>
      </c>
      <c r="AA189" s="277"/>
      <c r="AB189" s="1255">
        <v>1.3130415375311146</v>
      </c>
      <c r="AC189" s="1255">
        <v>1.8859704626934344</v>
      </c>
      <c r="AD189" s="1255">
        <v>1.0733255608892842</v>
      </c>
      <c r="AE189" s="1255">
        <v>4.8019958060813464</v>
      </c>
      <c r="AF189" s="1255">
        <v>1.6426964134884547</v>
      </c>
      <c r="AG189" s="1255">
        <v>0.76655454010143065</v>
      </c>
      <c r="AH189" s="1255">
        <v>0.67293143738092764</v>
      </c>
      <c r="AI189" s="1255">
        <v>1.0952038218882556</v>
      </c>
      <c r="AJ189" s="1255">
        <v>1.666884688571792E-3</v>
      </c>
      <c r="AK189" s="1255">
        <v>0.72589876870949321</v>
      </c>
      <c r="AL189" s="1255">
        <v>0.76415863638763271</v>
      </c>
      <c r="AM189" s="1255">
        <v>0.52978801882138249</v>
      </c>
      <c r="AN189" s="1255">
        <v>0.901602987513483</v>
      </c>
      <c r="AO189" s="1255">
        <v>0.78923329386050323</v>
      </c>
      <c r="AP189" s="1255">
        <v>0.71725774233724315</v>
      </c>
      <c r="AQ189" s="1255">
        <v>0.69090778476752879</v>
      </c>
      <c r="AR189" s="1255">
        <v>0.90035373636086236</v>
      </c>
      <c r="AS189" s="1255">
        <v>0.90056327205147357</v>
      </c>
      <c r="AT189" s="1255">
        <v>1.125350623780133</v>
      </c>
      <c r="AU189" s="1255">
        <v>0.57780340788839613</v>
      </c>
      <c r="AV189" s="1210">
        <f ca="1">Calc!BB87</f>
        <v>0.57867052995526091</v>
      </c>
      <c r="AW189" s="279"/>
      <c r="AX189" s="88" t="str">
        <f t="shared" ca="1" si="12"/>
        <v>OXY</v>
      </c>
      <c r="CP189" s="277"/>
      <c r="EH189" s="110"/>
    </row>
    <row r="190" spans="1:138" hidden="1">
      <c r="A190" s="241" t="str">
        <f t="shared" ca="1" si="11"/>
        <v>PFE</v>
      </c>
      <c r="B190" s="250" t="str">
        <f ca="1">[1]ExtEntry!$D88</f>
        <v>USD</v>
      </c>
      <c r="C190" s="251"/>
      <c r="D190" s="841">
        <f>ROW()</f>
        <v>190</v>
      </c>
      <c r="E190" s="252"/>
      <c r="F190" s="253">
        <v>23.8</v>
      </c>
      <c r="G190" s="253">
        <v>23.85</v>
      </c>
      <c r="H190" s="253">
        <v>25.97</v>
      </c>
      <c r="I190" s="253">
        <v>26.93</v>
      </c>
      <c r="J190" s="253">
        <v>27.2</v>
      </c>
      <c r="K190" s="253">
        <v>26.42</v>
      </c>
      <c r="L190" s="253">
        <v>26.42</v>
      </c>
      <c r="M190" s="253">
        <v>25.78</v>
      </c>
      <c r="N190" s="253">
        <v>25.78</v>
      </c>
      <c r="O190" s="253">
        <v>24.84</v>
      </c>
      <c r="P190" s="253">
        <v>24.64</v>
      </c>
      <c r="Q190" s="253">
        <v>24.48</v>
      </c>
      <c r="R190" s="253">
        <v>24.44</v>
      </c>
      <c r="S190" s="253">
        <v>24.2</v>
      </c>
      <c r="T190" s="253">
        <v>24.57</v>
      </c>
      <c r="U190" s="253">
        <v>24.72</v>
      </c>
      <c r="V190" s="253">
        <v>24.79</v>
      </c>
      <c r="W190" s="253">
        <v>24.79</v>
      </c>
      <c r="X190" s="253">
        <v>24.76</v>
      </c>
      <c r="Y190" s="253">
        <v>24.695</v>
      </c>
      <c r="Z190" s="247">
        <f ca="1">[1]ExtEntry!$G88</f>
        <v>24.695</v>
      </c>
      <c r="AA190" s="277"/>
      <c r="AB190" s="1255">
        <v>0.48302441174517591</v>
      </c>
      <c r="AC190" s="1255">
        <v>3.6518559528663359</v>
      </c>
      <c r="AD190" s="1255">
        <v>2.986855183551242</v>
      </c>
      <c r="AE190" s="1255">
        <v>1.274517198778983</v>
      </c>
      <c r="AF190" s="1255">
        <v>1.2545469100800506</v>
      </c>
      <c r="AG190" s="1255">
        <v>0.81984541718311521</v>
      </c>
      <c r="AH190" s="1255">
        <v>0.8341791081962916</v>
      </c>
      <c r="AI190" s="1255">
        <v>0.79965491591669369</v>
      </c>
      <c r="AJ190" s="1255">
        <v>1.8184112033619397E-3</v>
      </c>
      <c r="AK190" s="1255">
        <v>0.74105531542374581</v>
      </c>
      <c r="AL190" s="1255">
        <v>0.68823037603562665</v>
      </c>
      <c r="AM190" s="1255">
        <v>0.66475388945262548</v>
      </c>
      <c r="AN190" s="1255">
        <v>0.72155247439134085</v>
      </c>
      <c r="AO190" s="1255">
        <v>0.65116620403536085</v>
      </c>
      <c r="AP190" s="1255">
        <v>0.59743503913596152</v>
      </c>
      <c r="AQ190" s="1255">
        <v>0.68513829958092265</v>
      </c>
      <c r="AR190" s="1255">
        <v>0.82102542924277722</v>
      </c>
      <c r="AS190" s="1255">
        <v>0.82107528769656946</v>
      </c>
      <c r="AT190" s="1255">
        <v>0.58071975834601952</v>
      </c>
      <c r="AU190" s="1255">
        <v>0.46588750873799595</v>
      </c>
      <c r="AV190" s="1210">
        <f ca="1">Calc!BB88</f>
        <v>0.46671560948294799</v>
      </c>
      <c r="AW190" s="279"/>
      <c r="AX190" s="88" t="str">
        <f t="shared" ca="1" si="12"/>
        <v>PFE</v>
      </c>
      <c r="CP190" s="277"/>
      <c r="EH190" s="110"/>
    </row>
    <row r="191" spans="1:138" hidden="1">
      <c r="A191" s="241" t="str">
        <f t="shared" ca="1" si="11"/>
        <v>RIG</v>
      </c>
      <c r="B191" s="242" t="str">
        <f ca="1">[1]ExtEntry!$D89</f>
        <v>USD</v>
      </c>
      <c r="C191" s="243"/>
      <c r="D191" s="1202">
        <f>ROW()</f>
        <v>191</v>
      </c>
      <c r="E191" s="244"/>
      <c r="F191" s="253">
        <v>3.165</v>
      </c>
      <c r="G191" s="253">
        <v>3.05</v>
      </c>
      <c r="H191" s="253">
        <v>3.14</v>
      </c>
      <c r="I191" s="253">
        <v>3.23</v>
      </c>
      <c r="J191" s="253">
        <v>3.3</v>
      </c>
      <c r="K191" s="253">
        <v>3.43</v>
      </c>
      <c r="L191" s="253">
        <v>3.45</v>
      </c>
      <c r="M191" s="253">
        <v>3.41</v>
      </c>
      <c r="N191" s="253">
        <v>3.41</v>
      </c>
      <c r="O191" s="253">
        <v>3.165</v>
      </c>
      <c r="P191" s="253">
        <v>3.13</v>
      </c>
      <c r="Q191" s="253">
        <v>3.16</v>
      </c>
      <c r="R191" s="253">
        <v>3.33</v>
      </c>
      <c r="S191" s="253">
        <v>3.21</v>
      </c>
      <c r="T191" s="253">
        <v>3.28</v>
      </c>
      <c r="U191" s="253">
        <v>3.29</v>
      </c>
      <c r="V191" s="253">
        <v>3.33</v>
      </c>
      <c r="W191" s="253">
        <v>3.33</v>
      </c>
      <c r="X191" s="253">
        <v>3.53</v>
      </c>
      <c r="Y191" s="253">
        <v>3.9</v>
      </c>
      <c r="Z191" s="247">
        <f ca="1">[1]ExtEntry!$G89</f>
        <v>3.9</v>
      </c>
      <c r="AA191" s="277"/>
      <c r="AB191" s="1255">
        <v>0.62736178406745924</v>
      </c>
      <c r="AC191" s="1255">
        <v>1.4463674171274248</v>
      </c>
      <c r="AD191" s="1255">
        <v>1.0864705543754412</v>
      </c>
      <c r="AE191" s="1255">
        <v>1.1153733056735025</v>
      </c>
      <c r="AF191" s="1255">
        <v>1.1351424627075202</v>
      </c>
      <c r="AG191" s="1255">
        <v>1.0584240610477218</v>
      </c>
      <c r="AH191" s="1255">
        <v>1.150731049972638</v>
      </c>
      <c r="AI191" s="1255">
        <v>1.0112681486507256</v>
      </c>
      <c r="AJ191" s="1255">
        <v>3.6630471577188569E-4</v>
      </c>
      <c r="AK191" s="1255">
        <v>0.93348443954157001</v>
      </c>
      <c r="AL191" s="1255">
        <v>1.3030577321167645</v>
      </c>
      <c r="AM191" s="1255">
        <v>1.2494722827896811</v>
      </c>
      <c r="AN191" s="1255">
        <v>1.2470113762012067</v>
      </c>
      <c r="AO191" s="1255">
        <v>0.94492706566336493</v>
      </c>
      <c r="AP191" s="1255">
        <v>0.89571598006288444</v>
      </c>
      <c r="AQ191" s="1255">
        <v>1.1224946120304649</v>
      </c>
      <c r="AR191" s="1255">
        <v>1.3817783758774485</v>
      </c>
      <c r="AS191" s="1255">
        <v>1.3819564449084591</v>
      </c>
      <c r="AT191" s="1255">
        <v>2.2853528960567053</v>
      </c>
      <c r="AU191" s="1255">
        <v>1.2627829667768748</v>
      </c>
      <c r="AV191" s="1210">
        <f ca="1">Calc!BB89</f>
        <v>1.2634872054354884</v>
      </c>
      <c r="AW191" s="279"/>
      <c r="AX191" s="88" t="str">
        <f t="shared" ca="1" si="12"/>
        <v>RIG</v>
      </c>
      <c r="BS191" s="277"/>
      <c r="CP191" s="277"/>
      <c r="EH191" s="110"/>
    </row>
    <row r="192" spans="1:138">
      <c r="A192" s="241" t="str">
        <f t="shared" ca="1" si="11"/>
        <v>RRC</v>
      </c>
      <c r="B192" s="250" t="str">
        <f ca="1">[1]ExtEntry!$D90</f>
        <v>USD</v>
      </c>
      <c r="C192" s="251"/>
      <c r="D192" s="841">
        <f>ROW()</f>
        <v>192</v>
      </c>
      <c r="E192" s="252"/>
      <c r="F192" s="253">
        <v>37.39</v>
      </c>
      <c r="G192" s="253">
        <v>37.06</v>
      </c>
      <c r="H192" s="253">
        <v>37.54</v>
      </c>
      <c r="I192" s="253">
        <v>39.67</v>
      </c>
      <c r="J192" s="253">
        <v>38.6</v>
      </c>
      <c r="K192" s="253">
        <v>38.75</v>
      </c>
      <c r="L192" s="253">
        <v>39.020000000000003</v>
      </c>
      <c r="M192" s="253">
        <v>39.659999999999997</v>
      </c>
      <c r="N192" s="253">
        <v>39.659999999999997</v>
      </c>
      <c r="O192" s="253">
        <v>36.68</v>
      </c>
      <c r="P192" s="253">
        <v>35.72</v>
      </c>
      <c r="Q192" s="253">
        <v>36.35</v>
      </c>
      <c r="R192" s="253">
        <v>37.340000000000003</v>
      </c>
      <c r="S192" s="253">
        <v>35.56</v>
      </c>
      <c r="T192" s="253">
        <v>36.68</v>
      </c>
      <c r="U192" s="253">
        <v>36.94</v>
      </c>
      <c r="V192" s="253">
        <v>37.11</v>
      </c>
      <c r="W192" s="253">
        <v>37.11</v>
      </c>
      <c r="X192" s="253">
        <v>37.25</v>
      </c>
      <c r="Y192" s="253">
        <v>37.85</v>
      </c>
      <c r="Z192" s="247">
        <f ca="1">[1]ExtEntry!$G90</f>
        <v>37.85</v>
      </c>
      <c r="AA192" s="277"/>
      <c r="AB192" s="1255">
        <v>0.33204392284945683</v>
      </c>
      <c r="AC192" s="1255">
        <v>0.96067169316600709</v>
      </c>
      <c r="AD192" s="1255">
        <v>1.3507730649676895</v>
      </c>
      <c r="AE192" s="1255">
        <v>0.99147181064194811</v>
      </c>
      <c r="AF192" s="1255">
        <v>0.90392869901751782</v>
      </c>
      <c r="AG192" s="1255">
        <v>0.79273815951836701</v>
      </c>
      <c r="AH192" s="1255">
        <v>1.1434501059737618</v>
      </c>
      <c r="AI192" s="1255">
        <v>0.77726179234849302</v>
      </c>
      <c r="AJ192" s="1255">
        <v>0.77726179234849302</v>
      </c>
      <c r="AK192" s="1255">
        <v>0.78117734013375084</v>
      </c>
      <c r="AL192" s="1255">
        <v>0.74796179871263613</v>
      </c>
      <c r="AM192" s="1255">
        <v>0.51624387543460615</v>
      </c>
      <c r="AN192" s="1255">
        <v>0.9454066468227047</v>
      </c>
      <c r="AO192" s="1255">
        <v>0.85971508940788455</v>
      </c>
      <c r="AP192" s="1255">
        <v>1.0676355193662113</v>
      </c>
      <c r="AQ192" s="1255">
        <v>0.88846526220365873</v>
      </c>
      <c r="AR192" s="1255">
        <v>0.77298963079836114</v>
      </c>
      <c r="AS192" s="1255">
        <v>0.77298963079836114</v>
      </c>
      <c r="AT192" s="1255">
        <v>1.387664515166652</v>
      </c>
      <c r="AU192" s="1255">
        <v>0.84253994315459091</v>
      </c>
      <c r="AV192" s="1210">
        <f ca="1">Calc!BB90</f>
        <v>0.85549111882391193</v>
      </c>
      <c r="AW192" s="279"/>
      <c r="AX192" s="88" t="str">
        <f t="shared" ca="1" si="12"/>
        <v>RRC</v>
      </c>
      <c r="BS192" s="277"/>
      <c r="CP192" s="277"/>
      <c r="EH192" s="110"/>
    </row>
    <row r="193" spans="1:159">
      <c r="A193" s="241" t="str">
        <f t="shared" ca="1" si="11"/>
        <v>XYZ</v>
      </c>
      <c r="B193" s="242" t="str">
        <f ca="1">[1]ExtEntry!$D91</f>
        <v>USD</v>
      </c>
      <c r="C193" s="243"/>
      <c r="D193" s="1202">
        <f>ROW()</f>
        <v>193</v>
      </c>
      <c r="E193" s="244"/>
      <c r="F193" s="245">
        <v>74.47</v>
      </c>
      <c r="G193" s="245">
        <v>75.319999999999993</v>
      </c>
      <c r="H193" s="245">
        <v>72.569999999999993</v>
      </c>
      <c r="I193" s="245">
        <v>73.8</v>
      </c>
      <c r="J193" s="245">
        <v>76.69</v>
      </c>
      <c r="K193" s="245">
        <v>78.400000000000006</v>
      </c>
      <c r="L193" s="245">
        <v>79.86</v>
      </c>
      <c r="M193" s="245">
        <v>81.09</v>
      </c>
      <c r="N193" s="245">
        <v>81.09</v>
      </c>
      <c r="O193" s="245">
        <v>75.55</v>
      </c>
      <c r="P193" s="245">
        <v>73.52</v>
      </c>
      <c r="Q193" s="245">
        <v>76.86</v>
      </c>
      <c r="R193" s="245">
        <v>76.349999999999994</v>
      </c>
      <c r="S193" s="245">
        <v>73.78</v>
      </c>
      <c r="T193" s="245">
        <v>75.94</v>
      </c>
      <c r="U193" s="245">
        <v>76.239999999999995</v>
      </c>
      <c r="V193" s="245">
        <v>77.34</v>
      </c>
      <c r="W193" s="245">
        <v>77.34</v>
      </c>
      <c r="X193" s="245">
        <v>76.13</v>
      </c>
      <c r="Y193" s="245">
        <v>79.8</v>
      </c>
      <c r="Z193" s="247">
        <f ca="1">[1]ExtEntry!$G91</f>
        <v>79.8</v>
      </c>
      <c r="AA193" s="277"/>
      <c r="AB193" s="1210">
        <v>0.43844053319636833</v>
      </c>
      <c r="AC193" s="1210">
        <v>1.3490294740211404</v>
      </c>
      <c r="AD193" s="1210">
        <v>1.1330500142240127</v>
      </c>
      <c r="AE193" s="1210">
        <v>1.3269237204632918</v>
      </c>
      <c r="AF193" s="1210">
        <v>0.94796098008443597</v>
      </c>
      <c r="AG193" s="1210">
        <v>0.89426721175447832</v>
      </c>
      <c r="AH193" s="1210">
        <v>0.99759274465053438</v>
      </c>
      <c r="AI193" s="1210">
        <v>0.69223084442600835</v>
      </c>
      <c r="AJ193" s="1210">
        <v>4.8240637986155812E-4</v>
      </c>
      <c r="AK193" s="1210">
        <v>0.8666243206658989</v>
      </c>
      <c r="AL193" s="1210">
        <v>0.83521668285762896</v>
      </c>
      <c r="AM193" s="1210">
        <v>0.37864051210881622</v>
      </c>
      <c r="AN193" s="1210">
        <v>0.9063431679655175</v>
      </c>
      <c r="AO193" s="1210">
        <v>0.7111966216037785</v>
      </c>
      <c r="AP193" s="1210">
        <v>0.73051406289578324</v>
      </c>
      <c r="AQ193" s="1210">
        <v>0.70983740255541761</v>
      </c>
      <c r="AR193" s="1210">
        <v>0.75731269057495543</v>
      </c>
      <c r="AS193" s="1210">
        <v>0.75741024521089817</v>
      </c>
      <c r="AT193" s="1210">
        <v>0.77384672639950713</v>
      </c>
      <c r="AU193" s="1210">
        <v>0.6406530335131243</v>
      </c>
      <c r="AV193" s="1210">
        <f ca="1">Calc!BB91</f>
        <v>0.64221317390250832</v>
      </c>
      <c r="AW193" s="279"/>
      <c r="AX193" s="88" t="str">
        <f t="shared" ca="1" si="12"/>
        <v>XYZ</v>
      </c>
      <c r="BS193" s="277"/>
      <c r="CP193" s="277"/>
      <c r="EH193" s="110"/>
    </row>
    <row r="194" spans="1:159">
      <c r="A194" s="241" t="str">
        <f t="shared" ca="1" si="11"/>
        <v>THC</v>
      </c>
      <c r="B194" s="250" t="str">
        <f ca="1">[1]ExtEntry!$D92</f>
        <v>USD</v>
      </c>
      <c r="C194" s="251"/>
      <c r="D194" s="841">
        <f>ROW()</f>
        <v>194</v>
      </c>
      <c r="E194" s="252"/>
      <c r="F194" s="253">
        <v>202</v>
      </c>
      <c r="G194" s="253">
        <v>201.72</v>
      </c>
      <c r="H194" s="253">
        <v>202.25</v>
      </c>
      <c r="I194" s="253">
        <v>201.64</v>
      </c>
      <c r="J194" s="253">
        <v>203.52</v>
      </c>
      <c r="K194" s="253">
        <v>201.12</v>
      </c>
      <c r="L194" s="253">
        <v>204.69</v>
      </c>
      <c r="M194" s="253">
        <v>201.05</v>
      </c>
      <c r="N194" s="253">
        <v>201.05</v>
      </c>
      <c r="O194" s="253">
        <v>191.17</v>
      </c>
      <c r="P194" s="253">
        <v>190.16</v>
      </c>
      <c r="Q194" s="253">
        <v>197.05</v>
      </c>
      <c r="R194" s="253">
        <v>199.26</v>
      </c>
      <c r="S194" s="253">
        <v>199.13</v>
      </c>
      <c r="T194" s="253">
        <v>201.31</v>
      </c>
      <c r="U194" s="253">
        <v>202.64</v>
      </c>
      <c r="V194" s="253">
        <v>203.42</v>
      </c>
      <c r="W194" s="253">
        <v>203.42</v>
      </c>
      <c r="X194" s="253">
        <v>204.27</v>
      </c>
      <c r="Y194" s="253">
        <v>209.51</v>
      </c>
      <c r="Z194" s="247">
        <f ca="1">[1]ExtEntry!$G92</f>
        <v>209.51</v>
      </c>
      <c r="AA194" s="277"/>
      <c r="AB194" s="1255">
        <v>0.19657242625662388</v>
      </c>
      <c r="AC194" s="1255">
        <v>0.84609725924882617</v>
      </c>
      <c r="AD194" s="1255">
        <v>0.85247491809991816</v>
      </c>
      <c r="AE194" s="1255">
        <v>0.44040283849529666</v>
      </c>
      <c r="AF194" s="1255">
        <v>0.74469200321868345</v>
      </c>
      <c r="AG194" s="1255">
        <v>0.60042671693139404</v>
      </c>
      <c r="AH194" s="1255">
        <v>0.73005895358052819</v>
      </c>
      <c r="AI194" s="1255">
        <v>1.1993740249133547</v>
      </c>
      <c r="AJ194" s="1255">
        <v>1.1993836230816752</v>
      </c>
      <c r="AK194" s="1255">
        <v>0.59494337199600122</v>
      </c>
      <c r="AL194" s="1255">
        <v>0.94739959532734219</v>
      </c>
      <c r="AM194" s="1255">
        <v>0.48551922792806901</v>
      </c>
      <c r="AN194" s="1255">
        <v>0.67212464599613853</v>
      </c>
      <c r="AO194" s="1255">
        <v>0.72657850037094007</v>
      </c>
      <c r="AP194" s="1255">
        <v>0.66730857246483188</v>
      </c>
      <c r="AQ194" s="1255">
        <v>0.77052826450510747</v>
      </c>
      <c r="AR194" s="1255">
        <v>1.0126952955372843</v>
      </c>
      <c r="AS194" s="1255">
        <v>1.0126952955372843</v>
      </c>
      <c r="AT194" s="1255">
        <v>1.2351514412822231</v>
      </c>
      <c r="AU194" s="1255">
        <v>1.7966538371064948</v>
      </c>
      <c r="AV194" s="1210">
        <f ca="1">Calc!BB92</f>
        <v>1.7966639763795496</v>
      </c>
      <c r="AW194" s="279"/>
      <c r="AX194" s="88" t="str">
        <f t="shared" ca="1" si="12"/>
        <v>THC</v>
      </c>
      <c r="BS194" s="277"/>
      <c r="CP194" s="277"/>
      <c r="EH194" s="110"/>
    </row>
    <row r="195" spans="1:159">
      <c r="A195" s="241" t="str">
        <f t="shared" ca="1" si="11"/>
        <v>X</v>
      </c>
      <c r="B195" s="242" t="str">
        <f ca="1">[1]ExtEntry!$D93</f>
        <v>USD</v>
      </c>
      <c r="C195" s="243"/>
      <c r="D195" s="1202">
        <f>ROW()</f>
        <v>195</v>
      </c>
      <c r="E195" s="244"/>
      <c r="F195" s="245">
        <v>54.83</v>
      </c>
      <c r="G195" s="245">
        <v>54.83</v>
      </c>
      <c r="H195" s="245">
        <v>54.83</v>
      </c>
      <c r="I195" s="245">
        <v>54.83</v>
      </c>
      <c r="J195" s="245">
        <v>54.83</v>
      </c>
      <c r="K195" s="245">
        <v>54.83</v>
      </c>
      <c r="L195" s="245">
        <v>54.83</v>
      </c>
      <c r="M195" s="245">
        <v>54.83</v>
      </c>
      <c r="N195" s="245">
        <v>54.83</v>
      </c>
      <c r="O195" s="245">
        <v>54.83</v>
      </c>
      <c r="P195" s="245">
        <v>54.83</v>
      </c>
      <c r="Q195" s="245">
        <v>54.83</v>
      </c>
      <c r="R195" s="245">
        <v>54.83</v>
      </c>
      <c r="S195" s="245">
        <v>54.83</v>
      </c>
      <c r="T195" s="245">
        <v>54.83</v>
      </c>
      <c r="U195" s="245">
        <v>54.83</v>
      </c>
      <c r="V195" s="245">
        <v>54.83</v>
      </c>
      <c r="W195" s="245">
        <v>54.83</v>
      </c>
      <c r="X195" s="245">
        <v>54.83</v>
      </c>
      <c r="Y195" s="245">
        <v>54.83</v>
      </c>
      <c r="Z195" s="247">
        <f ca="1">[1]ExtEntry!$G93</f>
        <v>54.83</v>
      </c>
      <c r="AA195" s="277"/>
      <c r="AB195" s="1210">
        <v>7.2077806511077887E-5</v>
      </c>
      <c r="AC195" s="1210">
        <v>7.2077806511077887E-5</v>
      </c>
      <c r="AD195" s="1210">
        <v>7.2077806511077887E-5</v>
      </c>
      <c r="AE195" s="1210">
        <v>7.2077806511077887E-5</v>
      </c>
      <c r="AF195" s="1210">
        <v>7.2077806511077887E-5</v>
      </c>
      <c r="AG195" s="1210">
        <v>7.2077806511077887E-5</v>
      </c>
      <c r="AH195" s="1210">
        <v>7.2077806511077887E-5</v>
      </c>
      <c r="AI195" s="1210">
        <v>7.2077806511077887E-5</v>
      </c>
      <c r="AJ195" s="1210">
        <v>7.2077806511077887E-5</v>
      </c>
      <c r="AK195" s="1210">
        <v>7.2077806511077887E-5</v>
      </c>
      <c r="AL195" s="1210">
        <v>7.2077806511077887E-5</v>
      </c>
      <c r="AM195" s="1210">
        <v>7.2077806511077887E-5</v>
      </c>
      <c r="AN195" s="1210">
        <v>7.2077806511077887E-5</v>
      </c>
      <c r="AO195" s="1210">
        <v>7.2077806511077887E-5</v>
      </c>
      <c r="AP195" s="1210">
        <v>7.2077806511077887E-5</v>
      </c>
      <c r="AQ195" s="1210">
        <v>7.2077806511077887E-5</v>
      </c>
      <c r="AR195" s="1210">
        <v>7.2077806511077887E-5</v>
      </c>
      <c r="AS195" s="1210">
        <v>7.2077806511077887E-5</v>
      </c>
      <c r="AT195" s="1210">
        <v>7.2077806511077887E-5</v>
      </c>
      <c r="AU195" s="1210">
        <v>7.2077806511077887E-5</v>
      </c>
      <c r="AV195" s="1210">
        <f ca="1">Calc!BB93</f>
        <v>7.2077806511077887E-5</v>
      </c>
      <c r="AW195" s="279"/>
      <c r="AX195" s="88" t="str">
        <f t="shared" ca="1" si="12"/>
        <v>X</v>
      </c>
      <c r="BS195" s="277"/>
      <c r="CP195" s="277"/>
      <c r="EH195" s="110"/>
    </row>
    <row r="196" spans="1:159">
      <c r="A196" s="241" t="str">
        <f t="shared" ca="1" si="11"/>
        <v>JBEOAN</v>
      </c>
      <c r="B196" s="250" t="str">
        <f ca="1">[1]ExtEntry!$D94</f>
        <v>EUR</v>
      </c>
      <c r="C196" s="251"/>
      <c r="D196" s="841">
        <f>ROW()</f>
        <v>196</v>
      </c>
      <c r="E196" s="252"/>
      <c r="F196" s="253">
        <v>10.33</v>
      </c>
      <c r="G196" s="253">
        <v>10.326000000000001</v>
      </c>
      <c r="H196" s="253">
        <v>10.26</v>
      </c>
      <c r="I196" s="253">
        <v>10.286</v>
      </c>
      <c r="J196" s="253">
        <v>10.47</v>
      </c>
      <c r="K196" s="253">
        <v>10.494</v>
      </c>
      <c r="L196" s="253">
        <v>10.375999999999999</v>
      </c>
      <c r="M196" s="253">
        <v>10.544</v>
      </c>
      <c r="N196" s="253">
        <v>10.54</v>
      </c>
      <c r="O196" s="253">
        <v>10.305999999999999</v>
      </c>
      <c r="P196" s="253">
        <v>10.242000000000001</v>
      </c>
      <c r="Q196" s="253">
        <v>10.353999999999999</v>
      </c>
      <c r="R196" s="253">
        <v>10.382</v>
      </c>
      <c r="S196" s="253">
        <v>10.17</v>
      </c>
      <c r="T196" s="253">
        <v>10.25</v>
      </c>
      <c r="U196" s="253">
        <v>10.391999999999999</v>
      </c>
      <c r="V196" s="253">
        <v>10.492000000000001</v>
      </c>
      <c r="W196" s="253">
        <v>10.492000000000001</v>
      </c>
      <c r="X196" s="253">
        <v>10.384</v>
      </c>
      <c r="Y196" s="253">
        <v>10.494</v>
      </c>
      <c r="Z196" s="247">
        <f ca="1">[1]ExtEntry!$G94</f>
        <v>15.97</v>
      </c>
      <c r="AA196" s="277"/>
      <c r="AB196" s="1255">
        <v>1</v>
      </c>
      <c r="AC196" s="1255">
        <v>1</v>
      </c>
      <c r="AD196" s="1255">
        <v>1</v>
      </c>
      <c r="AE196" s="1255">
        <v>1</v>
      </c>
      <c r="AF196" s="1255">
        <v>1</v>
      </c>
      <c r="AG196" s="1255">
        <v>1</v>
      </c>
      <c r="AH196" s="1255">
        <v>1</v>
      </c>
      <c r="AI196" s="1255">
        <v>1</v>
      </c>
      <c r="AJ196" s="1255">
        <v>1</v>
      </c>
      <c r="AK196" s="1255">
        <v>1</v>
      </c>
      <c r="AL196" s="1255">
        <v>1</v>
      </c>
      <c r="AM196" s="1255">
        <v>1</v>
      </c>
      <c r="AN196" s="1255">
        <v>1</v>
      </c>
      <c r="AO196" s="1255">
        <v>1</v>
      </c>
      <c r="AP196" s="1255">
        <v>1</v>
      </c>
      <c r="AQ196" s="1255">
        <v>1</v>
      </c>
      <c r="AR196" s="1255">
        <v>1</v>
      </c>
      <c r="AS196" s="1255">
        <v>1</v>
      </c>
      <c r="AT196" s="1255">
        <v>1</v>
      </c>
      <c r="AU196" s="1255">
        <v>1</v>
      </c>
      <c r="AV196" s="1210">
        <f ca="1">Calc!BB94</f>
        <v>1.1313503925264488</v>
      </c>
      <c r="AW196" s="279"/>
      <c r="AX196" s="88" t="str">
        <f t="shared" ca="1" si="12"/>
        <v>JBEOAN</v>
      </c>
      <c r="BS196" s="277"/>
      <c r="CP196" s="277"/>
      <c r="EH196" s="110"/>
    </row>
    <row r="197" spans="1:159">
      <c r="A197" s="241" t="str">
        <f t="shared" si="11"/>
        <v>LOCK</v>
      </c>
      <c r="B197" s="81" t="s">
        <v>1135</v>
      </c>
      <c r="D197" s="1">
        <v>196</v>
      </c>
      <c r="F197" s="245">
        <v>820.9</v>
      </c>
      <c r="G197" s="245">
        <v>825</v>
      </c>
      <c r="H197" s="245">
        <v>818</v>
      </c>
      <c r="I197" s="245">
        <v>859.9</v>
      </c>
      <c r="J197" s="245">
        <v>869.2</v>
      </c>
      <c r="K197" s="245">
        <v>889.9</v>
      </c>
      <c r="L197" s="245">
        <v>850</v>
      </c>
      <c r="M197" s="245">
        <v>850.8</v>
      </c>
      <c r="N197" s="245">
        <v>845.1</v>
      </c>
      <c r="O197" s="245">
        <v>823.2</v>
      </c>
      <c r="P197" s="245">
        <v>834.7</v>
      </c>
      <c r="Q197" s="245">
        <v>875.6</v>
      </c>
      <c r="R197" s="245">
        <v>883.7</v>
      </c>
      <c r="S197" s="245">
        <v>859.6</v>
      </c>
      <c r="T197" s="245">
        <v>884</v>
      </c>
      <c r="U197" s="245">
        <v>890</v>
      </c>
      <c r="V197" s="245">
        <v>876.7</v>
      </c>
      <c r="W197" s="245">
        <v>876.7</v>
      </c>
      <c r="X197" s="245">
        <v>872</v>
      </c>
      <c r="Y197" s="245">
        <v>900</v>
      </c>
      <c r="Z197" s="247">
        <f ca="1">[1]ExtEntry!$G95</f>
        <v>10.486000000000001</v>
      </c>
      <c r="AA197" s="277"/>
      <c r="AB197" s="1210">
        <v>0.59236707549376733</v>
      </c>
      <c r="AC197" s="1210">
        <v>0.6366384832180374</v>
      </c>
      <c r="AD197" s="1210">
        <v>0.91347351844561264</v>
      </c>
      <c r="AE197" s="1210">
        <v>1.1533001230453117</v>
      </c>
      <c r="AF197" s="1210">
        <v>0.78368275812636634</v>
      </c>
      <c r="AG197" s="1210">
        <v>0.89831266224401496</v>
      </c>
      <c r="AH197" s="1210">
        <v>1.5464584920030464</v>
      </c>
      <c r="AI197" s="1210">
        <v>1.0812065688661876</v>
      </c>
      <c r="AJ197" s="1210">
        <v>0.24814102564102564</v>
      </c>
      <c r="AK197" s="1210">
        <v>1.0146557796154749</v>
      </c>
      <c r="AL197" s="1210">
        <v>0.9212649675214567</v>
      </c>
      <c r="AM197" s="1210">
        <v>1.4815572344549928</v>
      </c>
      <c r="AN197" s="1210">
        <v>0.87383194989810631</v>
      </c>
      <c r="AO197" s="1210">
        <v>1.0246818701744351</v>
      </c>
      <c r="AP197" s="1210">
        <v>0.63246115718234674</v>
      </c>
      <c r="AQ197" s="1210">
        <v>0.53697097512153269</v>
      </c>
      <c r="AR197" s="1210">
        <v>0.66238980546663384</v>
      </c>
      <c r="AS197" s="1210">
        <v>0.66238980546663384</v>
      </c>
      <c r="AT197" s="1210">
        <v>0.93860648829515581</v>
      </c>
      <c r="AU197" s="1210">
        <v>0.62959608538686995</v>
      </c>
      <c r="AV197" s="1210">
        <f ca="1">Calc!BB95</f>
        <v>1</v>
      </c>
      <c r="AW197" s="279"/>
      <c r="AX197" s="88" t="str">
        <f t="shared" si="12"/>
        <v>LOCK</v>
      </c>
      <c r="BS197" s="277"/>
      <c r="CA197" s="119"/>
      <c r="CP197" s="277"/>
      <c r="DM197" s="90"/>
      <c r="DN197" s="90"/>
      <c r="DO197" s="90"/>
      <c r="DP197" s="90"/>
      <c r="DQ197" s="90"/>
      <c r="DR197" s="90"/>
      <c r="DS197" s="90"/>
      <c r="DT197" s="90"/>
      <c r="DU197" s="90"/>
      <c r="DV197" s="90"/>
      <c r="DW197" s="90"/>
      <c r="DX197" s="90"/>
      <c r="DY197" s="90"/>
      <c r="DZ197" s="90"/>
      <c r="EA197" s="90"/>
      <c r="EB197" s="90"/>
      <c r="EC197" s="90"/>
      <c r="ED197" s="90"/>
      <c r="EE197" s="90"/>
      <c r="EF197" s="90"/>
      <c r="EG197" s="90"/>
      <c r="EH197" s="110"/>
      <c r="EI197" s="90"/>
      <c r="EJ197" s="90"/>
      <c r="EK197" s="90"/>
      <c r="EL197" s="90"/>
      <c r="EM197" s="90"/>
      <c r="EN197" s="90"/>
      <c r="EO197" s="90"/>
      <c r="ET197" s="90"/>
      <c r="EU197" s="90"/>
      <c r="EV197" s="90"/>
      <c r="EW197" s="90"/>
      <c r="EX197" s="90"/>
      <c r="EY197" s="90"/>
      <c r="EZ197" s="90"/>
      <c r="FA197" s="90"/>
      <c r="FB197" s="90"/>
      <c r="FC197" s="90"/>
    </row>
    <row r="198" spans="1:159">
      <c r="A198" s="241" t="str">
        <f t="shared" si="11"/>
        <v>Total</v>
      </c>
      <c r="B198" s="81" t="s">
        <v>1132</v>
      </c>
      <c r="F198" s="253">
        <v>16.094999999999999</v>
      </c>
      <c r="G198" s="253">
        <v>15.97</v>
      </c>
      <c r="H198" s="253">
        <v>15.96</v>
      </c>
      <c r="I198" s="253">
        <v>16.114999999999998</v>
      </c>
      <c r="J198" s="253">
        <v>15.95</v>
      </c>
      <c r="K198" s="253">
        <v>16.085000000000001</v>
      </c>
      <c r="L198" s="253">
        <v>16.14</v>
      </c>
      <c r="M198" s="253">
        <v>16.215</v>
      </c>
      <c r="N198" s="253">
        <v>16.155000000000001</v>
      </c>
      <c r="O198" s="253">
        <v>16.184999999999999</v>
      </c>
      <c r="P198" s="253">
        <v>16.164999999999999</v>
      </c>
      <c r="Q198" s="253">
        <v>16.37</v>
      </c>
      <c r="R198" s="253">
        <v>16.239999999999998</v>
      </c>
      <c r="S198" s="253">
        <v>16.164999999999999</v>
      </c>
      <c r="T198" s="253">
        <v>16.315000000000001</v>
      </c>
      <c r="U198" s="253">
        <v>16.355</v>
      </c>
      <c r="V198" s="253">
        <v>16.3</v>
      </c>
      <c r="W198" s="253">
        <v>16.3</v>
      </c>
      <c r="X198" s="253">
        <v>16.13</v>
      </c>
      <c r="Y198" s="253">
        <v>15.984999999999999</v>
      </c>
      <c r="Z198" s="247">
        <f>[1]ExtEntry!$G96</f>
        <v>0</v>
      </c>
      <c r="AA198" s="277"/>
      <c r="AB198" s="1255">
        <v>0.43442717427033395</v>
      </c>
      <c r="AC198" s="1255">
        <v>1.7058625149945997E-3</v>
      </c>
      <c r="AD198" s="1255">
        <v>3.4969240432460366E-4</v>
      </c>
      <c r="AE198" s="1255">
        <v>1.7624729470001165E-3</v>
      </c>
      <c r="AF198" s="1255">
        <v>2.194623000480254E-3</v>
      </c>
      <c r="AG198" s="1255">
        <v>6.3332612984405611E-4</v>
      </c>
      <c r="AH198" s="1255">
        <v>1.9361104585727759E-3</v>
      </c>
      <c r="AI198" s="1255">
        <v>3.9956139271869742E-3</v>
      </c>
      <c r="AJ198" s="1255">
        <v>8.4903157336163441E-4</v>
      </c>
      <c r="AK198" s="1255">
        <v>1.7252574899351656E-3</v>
      </c>
      <c r="AL198" s="1255">
        <v>1.0223008095157225E-3</v>
      </c>
      <c r="AM198" s="1255">
        <v>1.8751914365397946E-3</v>
      </c>
      <c r="AN198" s="1255">
        <v>2.621069224044295E-3</v>
      </c>
      <c r="AO198" s="1255">
        <v>1.6947205747222455E-3</v>
      </c>
      <c r="AP198" s="1255">
        <v>2.8769426684523477E-3</v>
      </c>
      <c r="AQ198" s="1255">
        <v>3.9924448583246409E-3</v>
      </c>
      <c r="AR198" s="1255">
        <v>2.9646218410092277E-3</v>
      </c>
      <c r="AS198" s="1255">
        <v>2.9646218410092277E-3</v>
      </c>
      <c r="AT198" s="1255">
        <v>2.0957802059433446E-3</v>
      </c>
      <c r="AU198" s="1255">
        <v>1.3643016391740198E-3</v>
      </c>
      <c r="AV198" s="1210" t="e">
        <f>Calc!BB96</f>
        <v>#VALUE!</v>
      </c>
      <c r="AW198" s="279"/>
      <c r="AX198" s="88" t="str">
        <f t="shared" si="12"/>
        <v>Total</v>
      </c>
      <c r="BS198" s="277"/>
      <c r="CP198" s="277"/>
      <c r="EH198" s="110"/>
    </row>
    <row r="199" spans="1:159">
      <c r="O199"/>
      <c r="P199"/>
      <c r="AA199" s="277"/>
      <c r="AW199" s="279"/>
      <c r="AX199" s="88"/>
      <c r="BS199" s="277"/>
      <c r="CP199" s="277"/>
      <c r="EH199" s="110"/>
    </row>
    <row r="200" spans="1:159">
      <c r="O200"/>
      <c r="P200"/>
      <c r="AA200" s="277"/>
      <c r="AW200" s="279"/>
      <c r="AX200" s="88"/>
      <c r="BS200" s="277"/>
      <c r="CP200" s="277"/>
      <c r="EH200" s="110"/>
    </row>
    <row r="201" spans="1:159">
      <c r="F201" cm="1">
        <f t="array" aca="1" ref="F201" ca="1">_xlfn.XLOOKUP(DataShiftChartTicker,ListTickers,Tab1Price[Price0])</f>
        <v>84.993099999999998</v>
      </c>
      <c r="O201"/>
      <c r="P201"/>
      <c r="AA201" s="277"/>
      <c r="AW201" s="279"/>
      <c r="AX201" s="88"/>
      <c r="BS201" s="277"/>
      <c r="CP201" s="277"/>
      <c r="EH201" s="110"/>
    </row>
    <row r="202" spans="1:159">
      <c r="F202" s="93" cm="1">
        <f t="array" aca="1" ref="F202" ca="1">_xlfn.XLOOKUP(DataShiftChartTicker,ListTickers,Tab1Price[Price0])</f>
        <v>84.993099999999998</v>
      </c>
      <c r="G202" s="93" cm="1">
        <f t="array" aca="1" ref="G202" ca="1">_xlfn.XLOOKUP(DataShiftChartTicker,ListTickers,Tab1Price[Price1])</f>
        <v>84.29</v>
      </c>
      <c r="H202" s="93" cm="1">
        <f t="array" aca="1" ref="H202" ca="1">_xlfn.XLOOKUP(DataShiftChartTicker,ListTickers,Tab1Price[Price2])</f>
        <v>85.94</v>
      </c>
      <c r="I202" s="93" cm="1">
        <f t="array" aca="1" ref="I202" ca="1">_xlfn.XLOOKUP(DataShiftChartTicker,ListTickers,Tab1Price[Price3])</f>
        <v>86.424999999999997</v>
      </c>
      <c r="J202" s="93" cm="1">
        <f t="array" aca="1" ref="J202" ca="1">_xlfn.XLOOKUP(DataShiftChartTicker,ListTickers,Tab1Price[Price4])</f>
        <v>86.855000000000004</v>
      </c>
      <c r="K202" s="93" cm="1">
        <f t="array" aca="1" ref="K202" ca="1">_xlfn.XLOOKUP(DataShiftChartTicker,ListTickers,Tab1Price[Price5])</f>
        <v>86.96</v>
      </c>
      <c r="L202" s="93" cm="1">
        <f t="array" aca="1" ref="L202" ca="1">_xlfn.XLOOKUP(DataShiftChartTicker,ListTickers,Tab1Price[Price6])</f>
        <v>88.41</v>
      </c>
      <c r="M202" s="93" cm="1">
        <f t="array" aca="1" ref="M202" ca="1">_xlfn.XLOOKUP(DataShiftChartTicker,ListTickers,Tab1Price[Price7])</f>
        <v>85.23</v>
      </c>
      <c r="N202" s="93" cm="1">
        <f t="array" aca="1" ref="N202" ca="1">_xlfn.XLOOKUP(DataShiftChartTicker,ListTickers,Tab1Price[Price8])</f>
        <v>85.21</v>
      </c>
      <c r="O202" s="93" cm="1">
        <f t="array" aca="1" ref="O202" ca="1">_xlfn.XLOOKUP(DataShiftChartTicker,ListTickers,Tab1Price[Price9])</f>
        <v>89.4</v>
      </c>
      <c r="P202" s="93" cm="1">
        <f t="array" aca="1" ref="P202" ca="1">_xlfn.XLOOKUP(DataShiftChartTicker,ListTickers,Tab1Price[Price10])</f>
        <v>90.54</v>
      </c>
      <c r="Q202" s="93" cm="1">
        <f t="array" aca="1" ref="Q202" ca="1">_xlfn.XLOOKUP(DataShiftChartTicker,ListTickers,Tab1Price[Price11])</f>
        <v>93.64</v>
      </c>
      <c r="R202" s="93" cm="1">
        <f t="array" aca="1" ref="R202" ca="1">_xlfn.XLOOKUP(DataShiftChartTicker,ListTickers,Tab1Price[Price12])</f>
        <v>98.25</v>
      </c>
      <c r="S202" s="93" cm="1">
        <f t="array" aca="1" ref="S202" ca="1">_xlfn.XLOOKUP(DataShiftChartTicker,ListTickers,Tab1Price[Price13])</f>
        <v>90.77</v>
      </c>
      <c r="T202" s="93" cm="1">
        <f t="array" aca="1" ref="T202" ca="1">_xlfn.XLOOKUP(DataShiftChartTicker,ListTickers,Tab1Price[Price14])</f>
        <v>94.894999999999996</v>
      </c>
      <c r="U202" s="93" cm="1">
        <f t="array" aca="1" ref="U202" ca="1">_xlfn.XLOOKUP(DataShiftChartTicker,ListTickers,Tab1Price[Price15])</f>
        <v>86.305000000000007</v>
      </c>
      <c r="V202" s="93" cm="1">
        <f t="array" aca="1" ref="V202" ca="1">_xlfn.XLOOKUP(DataShiftChartTicker,ListTickers,Tab1Price[Price16])</f>
        <v>87</v>
      </c>
      <c r="W202" s="93" cm="1">
        <f t="array" aca="1" ref="W202" ca="1">_xlfn.XLOOKUP(DataShiftChartTicker,ListTickers,Tab1Price[Price17])</f>
        <v>87</v>
      </c>
      <c r="X202" s="93" cm="1">
        <f t="array" aca="1" ref="X202" ca="1">_xlfn.XLOOKUP(DataShiftChartTicker,ListTickers,Tab1Price[Price18])</f>
        <v>88.86</v>
      </c>
      <c r="Y202" s="93" cm="1">
        <f t="array" aca="1" ref="Y202" ca="1">_xlfn.XLOOKUP(DataShiftChartTicker,ListTickers,Tab1Price[Price19])</f>
        <v>83.33</v>
      </c>
      <c r="Z202" s="93" cm="1">
        <f t="array" aca="1" ref="Z202" ca="1">_xlfn.XLOOKUP(DataShiftChartTicker,ListTickers,Tab1Price[Price20])</f>
        <v>1094.69</v>
      </c>
      <c r="AA202" s="277"/>
      <c r="AW202" s="279"/>
      <c r="AX202" s="88"/>
      <c r="BS202" s="277"/>
      <c r="CP202" s="277"/>
      <c r="EH202" s="110"/>
    </row>
    <row r="203" spans="1:159">
      <c r="E203" s="1264"/>
      <c r="F203" s="117">
        <f t="shared" ref="F203:Z203" ca="1" si="13">F103</f>
        <v>45929</v>
      </c>
      <c r="G203" s="117">
        <f t="shared" ca="1" si="13"/>
        <v>45930</v>
      </c>
      <c r="H203" s="117">
        <f t="shared" ca="1" si="13"/>
        <v>45931</v>
      </c>
      <c r="I203" s="117">
        <f t="shared" ca="1" si="13"/>
        <v>45932</v>
      </c>
      <c r="J203" s="117">
        <f t="shared" ca="1" si="13"/>
        <v>45933</v>
      </c>
      <c r="K203" s="117">
        <f t="shared" ca="1" si="13"/>
        <v>45936</v>
      </c>
      <c r="L203" s="117">
        <f t="shared" ca="1" si="13"/>
        <v>45937</v>
      </c>
      <c r="M203" s="117">
        <f t="shared" ca="1" si="13"/>
        <v>45938</v>
      </c>
      <c r="N203" s="117">
        <f t="shared" ca="1" si="13"/>
        <v>45939</v>
      </c>
      <c r="O203" s="117">
        <f t="shared" ca="1" si="13"/>
        <v>45940</v>
      </c>
      <c r="P203" s="117">
        <f t="shared" ca="1" si="13"/>
        <v>45943</v>
      </c>
      <c r="Q203" s="117">
        <f t="shared" ca="1" si="13"/>
        <v>45944</v>
      </c>
      <c r="R203" s="117">
        <f t="shared" ca="1" si="13"/>
        <v>45945</v>
      </c>
      <c r="S203" s="117">
        <f t="shared" ca="1" si="13"/>
        <v>45946</v>
      </c>
      <c r="T203" s="117">
        <f t="shared" ca="1" si="13"/>
        <v>45947</v>
      </c>
      <c r="U203" s="117">
        <f t="shared" ca="1" si="13"/>
        <v>45950</v>
      </c>
      <c r="V203" s="117">
        <f t="shared" ca="1" si="13"/>
        <v>45951</v>
      </c>
      <c r="W203" s="117">
        <f t="shared" ca="1" si="13"/>
        <v>45952</v>
      </c>
      <c r="X203" s="117">
        <f t="shared" ca="1" si="13"/>
        <v>45953</v>
      </c>
      <c r="Y203" s="117">
        <f t="shared" ca="1" si="13"/>
        <v>45954</v>
      </c>
      <c r="Z203" s="117">
        <f t="shared" ca="1" si="13"/>
        <v>45956</v>
      </c>
      <c r="AA203" s="277"/>
      <c r="AB203" s="117">
        <f t="shared" ref="AB203:AV203" ca="1" si="14">F203</f>
        <v>45929</v>
      </c>
      <c r="AC203" s="117">
        <f t="shared" ca="1" si="14"/>
        <v>45930</v>
      </c>
      <c r="AD203" s="117">
        <f t="shared" ca="1" si="14"/>
        <v>45931</v>
      </c>
      <c r="AE203" s="117">
        <f t="shared" ca="1" si="14"/>
        <v>45932</v>
      </c>
      <c r="AF203" s="117">
        <f t="shared" ca="1" si="14"/>
        <v>45933</v>
      </c>
      <c r="AG203" s="117">
        <f t="shared" ca="1" si="14"/>
        <v>45936</v>
      </c>
      <c r="AH203" s="117">
        <f t="shared" ca="1" si="14"/>
        <v>45937</v>
      </c>
      <c r="AI203" s="117">
        <f t="shared" ca="1" si="14"/>
        <v>45938</v>
      </c>
      <c r="AJ203" s="117">
        <f t="shared" ca="1" si="14"/>
        <v>45939</v>
      </c>
      <c r="AK203" s="117">
        <f t="shared" ca="1" si="14"/>
        <v>45940</v>
      </c>
      <c r="AL203" s="117">
        <f t="shared" ca="1" si="14"/>
        <v>45943</v>
      </c>
      <c r="AM203" s="117">
        <f t="shared" ca="1" si="14"/>
        <v>45944</v>
      </c>
      <c r="AN203" s="117">
        <f t="shared" ca="1" si="14"/>
        <v>45945</v>
      </c>
      <c r="AO203" s="117">
        <f t="shared" ca="1" si="14"/>
        <v>45946</v>
      </c>
      <c r="AP203" s="117">
        <f t="shared" ca="1" si="14"/>
        <v>45947</v>
      </c>
      <c r="AQ203" s="117">
        <f t="shared" ca="1" si="14"/>
        <v>45950</v>
      </c>
      <c r="AR203" s="117">
        <f t="shared" ca="1" si="14"/>
        <v>45951</v>
      </c>
      <c r="AS203" s="117">
        <f t="shared" ca="1" si="14"/>
        <v>45952</v>
      </c>
      <c r="AT203" s="117">
        <f t="shared" ca="1" si="14"/>
        <v>45953</v>
      </c>
      <c r="AU203" s="117">
        <f t="shared" ca="1" si="14"/>
        <v>45954</v>
      </c>
      <c r="AV203" s="117">
        <f t="shared" ca="1" si="14"/>
        <v>45956</v>
      </c>
      <c r="AW203" s="279"/>
      <c r="BS203" s="277"/>
      <c r="CP203" s="277"/>
      <c r="EH203" s="110"/>
    </row>
    <row r="204" spans="1:159">
      <c r="F204" s="268" t="s">
        <v>246</v>
      </c>
      <c r="G204" s="268" t="s">
        <v>247</v>
      </c>
      <c r="H204" s="268" t="s">
        <v>248</v>
      </c>
      <c r="I204" s="268" t="s">
        <v>249</v>
      </c>
      <c r="J204" s="268" t="s">
        <v>250</v>
      </c>
      <c r="K204" s="268" t="s">
        <v>251</v>
      </c>
      <c r="L204" s="268" t="s">
        <v>252</v>
      </c>
      <c r="M204" s="268" t="s">
        <v>253</v>
      </c>
      <c r="N204" s="268" t="s">
        <v>254</v>
      </c>
      <c r="O204" s="268" t="s">
        <v>255</v>
      </c>
      <c r="P204" s="268" t="s">
        <v>256</v>
      </c>
      <c r="Q204" s="268" t="s">
        <v>257</v>
      </c>
      <c r="R204" s="268" t="s">
        <v>258</v>
      </c>
      <c r="S204" s="268" t="s">
        <v>259</v>
      </c>
      <c r="T204" s="268" t="s">
        <v>260</v>
      </c>
      <c r="U204" s="268" t="s">
        <v>261</v>
      </c>
      <c r="V204" s="268" t="s">
        <v>262</v>
      </c>
      <c r="W204" s="268" t="s">
        <v>263</v>
      </c>
      <c r="X204" s="268" t="s">
        <v>264</v>
      </c>
      <c r="Y204" s="268" t="s">
        <v>265</v>
      </c>
      <c r="Z204" s="268" t="s">
        <v>266</v>
      </c>
      <c r="AA204" s="278"/>
      <c r="AB204" s="281" t="s">
        <v>2361</v>
      </c>
      <c r="AC204" s="281" t="s">
        <v>2362</v>
      </c>
      <c r="AD204" s="281" t="s">
        <v>2363</v>
      </c>
      <c r="AE204" s="281" t="s">
        <v>2364</v>
      </c>
      <c r="AF204" s="281" t="s">
        <v>2365</v>
      </c>
      <c r="AG204" s="281" t="s">
        <v>2366</v>
      </c>
      <c r="AH204" s="281" t="s">
        <v>2367</v>
      </c>
      <c r="AI204" s="281" t="s">
        <v>2368</v>
      </c>
      <c r="AJ204" s="281" t="s">
        <v>2369</v>
      </c>
      <c r="AK204" s="281" t="s">
        <v>2370</v>
      </c>
      <c r="AL204" s="281" t="s">
        <v>2371</v>
      </c>
      <c r="AM204" s="281" t="s">
        <v>2372</v>
      </c>
      <c r="AN204" s="281" t="s">
        <v>2373</v>
      </c>
      <c r="AO204" s="281" t="s">
        <v>2374</v>
      </c>
      <c r="AP204" s="281" t="s">
        <v>2375</v>
      </c>
      <c r="AQ204" s="281" t="s">
        <v>2376</v>
      </c>
      <c r="AR204" s="281" t="s">
        <v>2377</v>
      </c>
      <c r="AS204" s="281" t="s">
        <v>2378</v>
      </c>
      <c r="AT204" s="281" t="s">
        <v>2379</v>
      </c>
      <c r="AU204" s="281" t="s">
        <v>2380</v>
      </c>
      <c r="AV204" s="281" t="s">
        <v>2381</v>
      </c>
      <c r="AW204" s="280"/>
      <c r="BS204" s="278"/>
      <c r="CP204" s="278"/>
      <c r="EH204" s="110"/>
    </row>
    <row r="205" spans="1:159">
      <c r="A205" s="88" t="str">
        <f t="shared" ref="A205:A236" ca="1" si="15">A105</f>
        <v>AAPL</v>
      </c>
      <c r="F205" s="245">
        <v>253.3151</v>
      </c>
      <c r="G205" s="245">
        <v>254.63</v>
      </c>
      <c r="H205" s="245">
        <v>255.45</v>
      </c>
      <c r="I205" s="245">
        <v>257.13</v>
      </c>
      <c r="J205" s="245">
        <v>258.02</v>
      </c>
      <c r="K205" s="245">
        <v>256.48</v>
      </c>
      <c r="L205" s="245">
        <v>258.06</v>
      </c>
      <c r="M205" s="245">
        <v>254.04</v>
      </c>
      <c r="N205" s="245">
        <v>254.04</v>
      </c>
      <c r="O205" s="245">
        <v>247.66</v>
      </c>
      <c r="P205" s="245">
        <v>247.77</v>
      </c>
      <c r="Q205" s="245">
        <v>249.4</v>
      </c>
      <c r="R205" s="245">
        <v>247.45</v>
      </c>
      <c r="S205" s="245">
        <v>252.29</v>
      </c>
      <c r="T205" s="245">
        <v>262.24</v>
      </c>
      <c r="U205" s="245">
        <v>262.77</v>
      </c>
      <c r="V205" s="245">
        <v>258.45</v>
      </c>
      <c r="W205" s="245">
        <v>258.45</v>
      </c>
      <c r="X205" s="245">
        <v>259.58</v>
      </c>
      <c r="Y205" s="245">
        <v>262.82</v>
      </c>
      <c r="Z205" s="247">
        <f ca="1">[1]ExtEntry!$H3</f>
        <v>262.82</v>
      </c>
      <c r="AB205" s="262">
        <v>4.2034702380952362E-3</v>
      </c>
      <c r="AC205" s="262">
        <v>-6.7525416666666584E-4</v>
      </c>
      <c r="AD205" s="262">
        <v>-3.087926785714287E-3</v>
      </c>
      <c r="AE205" s="262">
        <v>-5.1126827380952372E-3</v>
      </c>
      <c r="AF205" s="262">
        <v>-3.7779208333333335E-3</v>
      </c>
      <c r="AG205" s="262">
        <v>-3.1592976190476189E-3</v>
      </c>
      <c r="AH205" s="262">
        <v>-5.6483750000000006E-3</v>
      </c>
      <c r="AI205" s="262">
        <v>-7.7038333333333351E-3</v>
      </c>
      <c r="AJ205" s="262">
        <v>-7.100726190476192E-3</v>
      </c>
      <c r="AK205" s="262">
        <v>-5.6086553571428575E-3</v>
      </c>
      <c r="AL205" s="262">
        <v>-5.4315446428571433E-3</v>
      </c>
      <c r="AM205" s="262">
        <v>-5.2095327380952388E-3</v>
      </c>
      <c r="AN205" s="262">
        <v>-5.9369910714285722E-3</v>
      </c>
      <c r="AO205" s="262">
        <v>-4.5423476190476174E-3</v>
      </c>
      <c r="AP205" s="262">
        <v>-7.351392857142874E-4</v>
      </c>
      <c r="AQ205" s="262">
        <v>2.8938785714285719E-3</v>
      </c>
      <c r="AR205" s="262">
        <v>5.2251761904761902E-3</v>
      </c>
      <c r="AS205" s="262">
        <v>2.4282238095238093E-3</v>
      </c>
      <c r="AT205" s="262">
        <v>2.3142464285714295E-3</v>
      </c>
      <c r="AU205" s="262">
        <v>3.3183595238095239E-3</v>
      </c>
      <c r="AV205" s="262">
        <f t="shared" ref="AV205:AV210" ca="1" si="16">AVERAGE(S704:Z704)-AVERAGE(F704:Z704)</f>
        <v>4.9703476190476204E-3</v>
      </c>
      <c r="AX205" s="88" t="str">
        <f t="shared" ref="AX205:AX236" ca="1" si="17">A205</f>
        <v>AAPL</v>
      </c>
      <c r="EH205" s="110"/>
    </row>
    <row r="206" spans="1:159">
      <c r="A206" s="88" t="str">
        <f t="shared" ca="1" si="15"/>
        <v>ADEA</v>
      </c>
      <c r="F206" s="253">
        <v>16.649999999999999</v>
      </c>
      <c r="G206" s="253">
        <v>16.8</v>
      </c>
      <c r="H206" s="253">
        <v>17.09</v>
      </c>
      <c r="I206" s="253">
        <v>17.32</v>
      </c>
      <c r="J206" s="253">
        <v>17.29</v>
      </c>
      <c r="K206" s="253">
        <v>17.09</v>
      </c>
      <c r="L206" s="253">
        <v>16.54</v>
      </c>
      <c r="M206" s="253">
        <v>16.420000000000002</v>
      </c>
      <c r="N206" s="253">
        <v>16.420000000000002</v>
      </c>
      <c r="O206" s="253">
        <v>15.75</v>
      </c>
      <c r="P206" s="253">
        <v>16.579999999999998</v>
      </c>
      <c r="Q206" s="253">
        <v>17.18</v>
      </c>
      <c r="R206" s="253">
        <v>16.61</v>
      </c>
      <c r="S206" s="253">
        <v>16.559999999999999</v>
      </c>
      <c r="T206" s="253">
        <v>16.79</v>
      </c>
      <c r="U206" s="253">
        <v>17.010000000000002</v>
      </c>
      <c r="V206" s="253">
        <v>16.82</v>
      </c>
      <c r="W206" s="253">
        <v>16.82</v>
      </c>
      <c r="X206" s="253">
        <v>16.77</v>
      </c>
      <c r="Y206" s="253">
        <v>17.100000000000001</v>
      </c>
      <c r="Z206" s="247">
        <f ca="1">[1]ExtEntry!$H4</f>
        <v>17.100000000000001</v>
      </c>
      <c r="AB206" s="265">
        <v>-4.8646797619047617E-3</v>
      </c>
      <c r="AC206" s="265">
        <v>-5.6581976190476181E-3</v>
      </c>
      <c r="AD206" s="265">
        <v>-4.6150130952380937E-3</v>
      </c>
      <c r="AE206" s="265">
        <v>-3.474721428571428E-3</v>
      </c>
      <c r="AF206" s="265">
        <v>-2.5506500000000002E-3</v>
      </c>
      <c r="AG206" s="265">
        <v>-6.4664416666666662E-3</v>
      </c>
      <c r="AH206" s="265">
        <v>-7.6826202380952373E-3</v>
      </c>
      <c r="AI206" s="265">
        <v>-1.0264042857142856E-2</v>
      </c>
      <c r="AJ206" s="265">
        <v>-7.7867571428571428E-3</v>
      </c>
      <c r="AK206" s="265">
        <v>-8.1431547619047612E-3</v>
      </c>
      <c r="AL206" s="265">
        <v>-5.7362261904761874E-3</v>
      </c>
      <c r="AM206" s="265">
        <v>-5.0746428571428548E-3</v>
      </c>
      <c r="AN206" s="265">
        <v>-7.6003630952380949E-3</v>
      </c>
      <c r="AO206" s="265">
        <v>1.2211904761904758E-3</v>
      </c>
      <c r="AP206" s="265">
        <v>6.491142857142855E-3</v>
      </c>
      <c r="AQ206" s="265">
        <v>8.584273809523809E-3</v>
      </c>
      <c r="AR206" s="265">
        <v>9.0274226190476189E-3</v>
      </c>
      <c r="AS206" s="265">
        <v>7.6200654761904747E-3</v>
      </c>
      <c r="AT206" s="265">
        <v>7.1809523809523686E-4</v>
      </c>
      <c r="AU206" s="265">
        <v>-2.7917023809523813E-3</v>
      </c>
      <c r="AV206" s="262">
        <f t="shared" ca="1" si="16"/>
        <v>3.9940297619047611E-3</v>
      </c>
      <c r="AX206" s="88" t="str">
        <f t="shared" ca="1" si="17"/>
        <v>ADEA</v>
      </c>
    </row>
    <row r="207" spans="1:159">
      <c r="A207" s="88" t="str">
        <f t="shared" ca="1" si="15"/>
        <v>AET</v>
      </c>
      <c r="F207" s="245">
        <v>49.1</v>
      </c>
      <c r="G207" s="245">
        <v>49.2</v>
      </c>
      <c r="H207" s="245">
        <v>47.2</v>
      </c>
      <c r="I207" s="245">
        <v>47.8</v>
      </c>
      <c r="J207" s="245">
        <v>46.8</v>
      </c>
      <c r="K207" s="245">
        <v>46.3</v>
      </c>
      <c r="L207" s="245">
        <v>46.4</v>
      </c>
      <c r="M207" s="245">
        <v>45.6</v>
      </c>
      <c r="N207" s="245">
        <v>45.176000000000002</v>
      </c>
      <c r="O207" s="245">
        <v>43.3</v>
      </c>
      <c r="P207" s="245">
        <v>42.9</v>
      </c>
      <c r="Q207" s="245">
        <v>42.1</v>
      </c>
      <c r="R207" s="245">
        <v>41</v>
      </c>
      <c r="S207" s="245">
        <v>42</v>
      </c>
      <c r="T207" s="245">
        <v>42.3</v>
      </c>
      <c r="U207" s="245">
        <v>43</v>
      </c>
      <c r="V207" s="245">
        <v>43.4</v>
      </c>
      <c r="W207" s="245">
        <v>43.4</v>
      </c>
      <c r="X207" s="245">
        <v>44.4</v>
      </c>
      <c r="Y207" s="245">
        <v>45.8</v>
      </c>
      <c r="Z207" s="247">
        <f ca="1">[1]ExtEntry!$H5</f>
        <v>45.8</v>
      </c>
      <c r="AB207" s="262">
        <v>1.3263333333333321E-3</v>
      </c>
      <c r="AC207" s="262">
        <v>4.99463095238095E-3</v>
      </c>
      <c r="AD207" s="262">
        <v>4.4311488095238084E-3</v>
      </c>
      <c r="AE207" s="262">
        <v>7.5029226190476191E-3</v>
      </c>
      <c r="AF207" s="262">
        <v>7.5178571428578464E-6</v>
      </c>
      <c r="AG207" s="262">
        <v>-1.9509166666666685E-3</v>
      </c>
      <c r="AH207" s="262">
        <v>-2.6301071428571441E-3</v>
      </c>
      <c r="AI207" s="262">
        <v>-6.0826607142857141E-3</v>
      </c>
      <c r="AJ207" s="262">
        <v>-4.9212916666666667E-3</v>
      </c>
      <c r="AK207" s="262">
        <v>-2.0208869047619038E-3</v>
      </c>
      <c r="AL207" s="262">
        <v>1.9749464285714288E-3</v>
      </c>
      <c r="AM207" s="262">
        <v>-1.4276249999999983E-3</v>
      </c>
      <c r="AN207" s="262">
        <v>-1.7680238095238087E-3</v>
      </c>
      <c r="AO207" s="262">
        <v>3.4806071428571438E-3</v>
      </c>
      <c r="AP207" s="262">
        <v>2.709386904761905E-3</v>
      </c>
      <c r="AQ207" s="262">
        <v>5.0910595238095237E-3</v>
      </c>
      <c r="AR207" s="262">
        <v>5.8952976190476186E-3</v>
      </c>
      <c r="AS207" s="262">
        <v>3.9242559523809534E-3</v>
      </c>
      <c r="AT207" s="262">
        <v>7.245988095238097E-3</v>
      </c>
      <c r="AU207" s="262">
        <v>1.2207440476190476E-2</v>
      </c>
      <c r="AV207" s="262">
        <f t="shared" ca="1" si="16"/>
        <v>1.7723702380952382E-2</v>
      </c>
      <c r="AX207" s="88" t="str">
        <f t="shared" ca="1" si="17"/>
        <v>AET</v>
      </c>
    </row>
    <row r="208" spans="1:159">
      <c r="A208" s="88" t="str">
        <f t="shared" ca="1" si="15"/>
        <v>AMZN</v>
      </c>
      <c r="F208" s="253">
        <v>221.03</v>
      </c>
      <c r="G208" s="253">
        <v>219.57</v>
      </c>
      <c r="H208" s="253">
        <v>220.63</v>
      </c>
      <c r="I208" s="253">
        <v>222.41</v>
      </c>
      <c r="J208" s="253">
        <v>219.51</v>
      </c>
      <c r="K208" s="253">
        <v>221.78</v>
      </c>
      <c r="L208" s="253">
        <v>225.22</v>
      </c>
      <c r="M208" s="253">
        <v>227.74</v>
      </c>
      <c r="N208" s="253">
        <v>227.74</v>
      </c>
      <c r="O208" s="253">
        <v>220.07</v>
      </c>
      <c r="P208" s="253">
        <v>216.39</v>
      </c>
      <c r="Q208" s="253">
        <v>215.16</v>
      </c>
      <c r="R208" s="253">
        <v>214.47</v>
      </c>
      <c r="S208" s="253">
        <v>213.04</v>
      </c>
      <c r="T208" s="253">
        <v>216.48</v>
      </c>
      <c r="U208" s="253">
        <v>222.03</v>
      </c>
      <c r="V208" s="253">
        <v>217.95</v>
      </c>
      <c r="W208" s="253">
        <v>217.95</v>
      </c>
      <c r="X208" s="253">
        <v>221.09</v>
      </c>
      <c r="Y208" s="253">
        <v>224.21</v>
      </c>
      <c r="Z208" s="247">
        <f ca="1">[1]ExtEntry!$H6</f>
        <v>224.21</v>
      </c>
      <c r="AB208" s="265">
        <v>-5.4711869047619063E-3</v>
      </c>
      <c r="AC208" s="265">
        <v>-7.8899488095238099E-3</v>
      </c>
      <c r="AD208" s="265">
        <v>-7.5162404761904764E-3</v>
      </c>
      <c r="AE208" s="265">
        <v>-5.1561749999999998E-3</v>
      </c>
      <c r="AF208" s="265">
        <v>-3.2333571428571446E-4</v>
      </c>
      <c r="AG208" s="265">
        <v>9.875035714285716E-4</v>
      </c>
      <c r="AH208" s="265">
        <v>3.8417059523809518E-3</v>
      </c>
      <c r="AI208" s="265">
        <v>2.1924738095238094E-3</v>
      </c>
      <c r="AJ208" s="265">
        <v>2.3090416666666667E-3</v>
      </c>
      <c r="AK208" s="265">
        <v>4.7223690476190473E-3</v>
      </c>
      <c r="AL208" s="265">
        <v>3.9488571428571428E-3</v>
      </c>
      <c r="AM208" s="265">
        <v>3.1851428571428577E-3</v>
      </c>
      <c r="AN208" s="265">
        <v>4.9592380952380947E-3</v>
      </c>
      <c r="AO208" s="265">
        <v>3.8650714285714287E-3</v>
      </c>
      <c r="AP208" s="265">
        <v>3.2271428571428572E-3</v>
      </c>
      <c r="AQ208" s="265">
        <v>3.863809523809525E-3</v>
      </c>
      <c r="AR208" s="265">
        <v>4.3432738095238165E-4</v>
      </c>
      <c r="AS208" s="265">
        <v>-4.5727440476190477E-3</v>
      </c>
      <c r="AT208" s="265">
        <v>-1.4755238095238085E-3</v>
      </c>
      <c r="AU208" s="265">
        <v>-1.1849999999999881E-4</v>
      </c>
      <c r="AV208" s="262">
        <f t="shared" ca="1" si="16"/>
        <v>1.9671845238095243E-3</v>
      </c>
      <c r="AX208" s="88" t="str">
        <f t="shared" ca="1" si="17"/>
        <v>AMZN</v>
      </c>
    </row>
    <row r="209" spans="1:50" hidden="1">
      <c r="A209" s="88" t="str">
        <f t="shared" ca="1" si="15"/>
        <v>ALDNE</v>
      </c>
      <c r="F209" s="245">
        <v>0.86599999999999999</v>
      </c>
      <c r="G209" s="245">
        <v>0.86799999999999999</v>
      </c>
      <c r="H209" s="245">
        <v>0.88</v>
      </c>
      <c r="I209" s="245">
        <v>0.87</v>
      </c>
      <c r="J209" s="245">
        <v>0.86799999999999999</v>
      </c>
      <c r="K209" s="245">
        <v>0.84</v>
      </c>
      <c r="L209" s="245">
        <v>0.82199999999999995</v>
      </c>
      <c r="M209" s="245">
        <v>0.82199999999999995</v>
      </c>
      <c r="N209" s="245">
        <v>0.82199999999999995</v>
      </c>
      <c r="O209" s="245">
        <v>0.83799999999999997</v>
      </c>
      <c r="P209" s="245">
        <v>0.84</v>
      </c>
      <c r="Q209" s="245">
        <v>0.83799999999999997</v>
      </c>
      <c r="R209" s="245">
        <v>0.83</v>
      </c>
      <c r="S209" s="245">
        <v>0.83</v>
      </c>
      <c r="T209" s="245">
        <v>0.82</v>
      </c>
      <c r="U209" s="245">
        <v>0.83</v>
      </c>
      <c r="V209" s="245">
        <v>0.84</v>
      </c>
      <c r="W209" s="245">
        <v>0.84</v>
      </c>
      <c r="X209" s="245">
        <v>0.83799999999999997</v>
      </c>
      <c r="Y209" s="245">
        <v>0.82599999999999996</v>
      </c>
      <c r="Z209" s="247">
        <f ca="1">[1]ExtEntry!$H7</f>
        <v>0.82599999999999996</v>
      </c>
      <c r="AB209" s="262">
        <v>7.8390476190476344E-4</v>
      </c>
      <c r="AC209" s="262">
        <v>3.6221666666666668E-3</v>
      </c>
      <c r="AD209" s="262">
        <v>9.3563095238095237E-3</v>
      </c>
      <c r="AE209" s="262">
        <v>3.1803154761904772E-3</v>
      </c>
      <c r="AF209" s="262">
        <v>1.6191357142857143E-2</v>
      </c>
      <c r="AG209" s="262">
        <v>1.5463660714285716E-2</v>
      </c>
      <c r="AH209" s="262">
        <v>1.0930886904761907E-2</v>
      </c>
      <c r="AI209" s="262">
        <v>1.031477380952381E-2</v>
      </c>
      <c r="AJ209" s="262">
        <v>6.2391666666666672E-4</v>
      </c>
      <c r="AK209" s="262">
        <v>4.4252976190476074E-4</v>
      </c>
      <c r="AL209" s="262">
        <v>-1.2078869047619052E-3</v>
      </c>
      <c r="AM209" s="262">
        <v>2.8369047619046604E-5</v>
      </c>
      <c r="AN209" s="262">
        <v>-5.3001190476190596E-4</v>
      </c>
      <c r="AO209" s="262">
        <v>-1.8170119047619055E-3</v>
      </c>
      <c r="AP209" s="262">
        <v>-1.2831964285714291E-3</v>
      </c>
      <c r="AQ209" s="262">
        <v>-1.5520595238095246E-3</v>
      </c>
      <c r="AR209" s="262">
        <v>8.5065476190476178E-4</v>
      </c>
      <c r="AS209" s="262">
        <v>-2.8253452380952388E-3</v>
      </c>
      <c r="AT209" s="262">
        <v>-3.4294404761904766E-3</v>
      </c>
      <c r="AU209" s="262">
        <v>-2.9002440476190482E-3</v>
      </c>
      <c r="AV209" s="262">
        <f t="shared" ca="1" si="16"/>
        <v>-2.4595833333333345E-3</v>
      </c>
      <c r="AX209" s="88" t="str">
        <f t="shared" ca="1" si="17"/>
        <v>ALDNE</v>
      </c>
    </row>
    <row r="210" spans="1:50" hidden="1">
      <c r="A210" s="88" t="str">
        <f t="shared" ca="1" si="15"/>
        <v>ASML</v>
      </c>
      <c r="F210" s="253">
        <v>825.5</v>
      </c>
      <c r="G210" s="253">
        <v>828.1</v>
      </c>
      <c r="H210" s="253">
        <v>841.4</v>
      </c>
      <c r="I210" s="253">
        <v>877.6</v>
      </c>
      <c r="J210" s="253">
        <v>880.1</v>
      </c>
      <c r="K210" s="253">
        <v>874.8</v>
      </c>
      <c r="L210" s="253">
        <v>851.8</v>
      </c>
      <c r="M210" s="253">
        <v>849.8</v>
      </c>
      <c r="N210" s="253">
        <v>842.3</v>
      </c>
      <c r="O210" s="253">
        <v>844</v>
      </c>
      <c r="P210" s="253">
        <v>846.6</v>
      </c>
      <c r="Q210" s="253">
        <v>873</v>
      </c>
      <c r="R210" s="253">
        <v>877.4</v>
      </c>
      <c r="S210" s="253">
        <v>875.7</v>
      </c>
      <c r="T210" s="253">
        <v>899</v>
      </c>
      <c r="U210" s="253">
        <v>889.8</v>
      </c>
      <c r="V210" s="253">
        <v>870.1</v>
      </c>
      <c r="W210" s="253">
        <v>870.1</v>
      </c>
      <c r="X210" s="253">
        <v>887.7</v>
      </c>
      <c r="Y210" s="253">
        <v>894.4</v>
      </c>
      <c r="Z210" s="247">
        <f ca="1">[1]ExtEntry!$H8</f>
        <v>894.4</v>
      </c>
      <c r="AB210" s="265">
        <v>-9.7082666666666682E-3</v>
      </c>
      <c r="AC210" s="265">
        <v>-1.0847148809523805E-2</v>
      </c>
      <c r="AD210" s="265">
        <v>-8.5618226190476172E-3</v>
      </c>
      <c r="AE210" s="265">
        <v>-7.3088523809523818E-3</v>
      </c>
      <c r="AF210" s="265">
        <v>-7.3802749999999969E-3</v>
      </c>
      <c r="AG210" s="265">
        <v>-6.3384476190476175E-3</v>
      </c>
      <c r="AH210" s="265">
        <v>-8.4807988095238086E-3</v>
      </c>
      <c r="AI210" s="265">
        <v>-9.040959523809523E-3</v>
      </c>
      <c r="AJ210" s="265">
        <v>-1.127100119047619E-2</v>
      </c>
      <c r="AK210" s="265">
        <v>-8.5392869047619044E-3</v>
      </c>
      <c r="AL210" s="265">
        <v>-7.6093107142857124E-3</v>
      </c>
      <c r="AM210" s="265">
        <v>-7.8405488095238084E-3</v>
      </c>
      <c r="AN210" s="265">
        <v>-7.5781976190476162E-3</v>
      </c>
      <c r="AO210" s="265">
        <v>-9.1088214285714366E-4</v>
      </c>
      <c r="AP210" s="265">
        <v>4.4165023809523809E-3</v>
      </c>
      <c r="AQ210" s="265">
        <v>3.9000952380952398E-3</v>
      </c>
      <c r="AR210" s="265">
        <v>4.3160833333333358E-3</v>
      </c>
      <c r="AS210" s="265">
        <v>-1.4913095238095245E-3</v>
      </c>
      <c r="AT210" s="265">
        <v>-9.9660119047619185E-4</v>
      </c>
      <c r="AU210" s="265">
        <v>-4.0924821428571434E-3</v>
      </c>
      <c r="AV210" s="262">
        <f t="shared" ca="1" si="16"/>
        <v>-4.0738869047619057E-3</v>
      </c>
      <c r="AX210" s="88" t="str">
        <f t="shared" ca="1" si="17"/>
        <v>ASML</v>
      </c>
    </row>
    <row r="211" spans="1:50" hidden="1">
      <c r="A211" s="88" t="str">
        <f t="shared" ca="1" si="15"/>
        <v>AZN</v>
      </c>
      <c r="F211" s="253">
        <v>331.22</v>
      </c>
      <c r="G211" s="253">
        <v>329.91</v>
      </c>
      <c r="H211" s="253">
        <v>333.39</v>
      </c>
      <c r="I211" s="253">
        <v>338.18</v>
      </c>
      <c r="J211" s="253">
        <v>338.37</v>
      </c>
      <c r="K211" s="253">
        <v>336.41</v>
      </c>
      <c r="L211" s="253">
        <v>345.5</v>
      </c>
      <c r="M211" s="253">
        <v>345.02</v>
      </c>
      <c r="N211" s="253">
        <v>345.02</v>
      </c>
      <c r="O211" s="253">
        <v>356.7</v>
      </c>
      <c r="P211" s="253">
        <v>344.13</v>
      </c>
      <c r="Q211" s="253">
        <v>350.79</v>
      </c>
      <c r="R211" s="253">
        <v>354.15</v>
      </c>
      <c r="S211" s="253">
        <v>349.33</v>
      </c>
      <c r="T211" s="253">
        <v>349.24</v>
      </c>
      <c r="U211" s="253">
        <v>342.66</v>
      </c>
      <c r="V211" s="253">
        <v>340.3</v>
      </c>
      <c r="W211" s="253">
        <v>340.3</v>
      </c>
      <c r="X211" s="253">
        <v>344.29</v>
      </c>
      <c r="Y211" s="253">
        <v>354.13</v>
      </c>
      <c r="Z211" s="247">
        <f ca="1">[1]ExtEntry!$H9</f>
        <v>83.29</v>
      </c>
      <c r="AB211" s="262">
        <v>-1.4679821428571441E-3</v>
      </c>
      <c r="AC211" s="262">
        <v>2.3023095238095216E-3</v>
      </c>
      <c r="AD211" s="262">
        <v>1.2138577380952378E-2</v>
      </c>
      <c r="AE211" s="262">
        <v>1.0628232142857142E-2</v>
      </c>
      <c r="AF211" s="262">
        <v>1.4440226190476189E-2</v>
      </c>
      <c r="AG211" s="262">
        <v>1.5706190476190474E-2</v>
      </c>
      <c r="AH211" s="262">
        <v>1.8101505952380952E-2</v>
      </c>
      <c r="AI211" s="262">
        <v>1.7161994047619047E-2</v>
      </c>
      <c r="AJ211" s="262">
        <v>1.6724178571428567E-2</v>
      </c>
      <c r="AK211" s="262">
        <v>1.1434257142857143E-2</v>
      </c>
      <c r="AL211" s="262">
        <v>-1.697034523809524E-3</v>
      </c>
      <c r="AM211" s="262">
        <v>-1.7078916666666661E-3</v>
      </c>
      <c r="AN211" s="262">
        <v>-5.3996357142857138E-3</v>
      </c>
      <c r="AO211" s="262">
        <v>-5.5414095238095233E-3</v>
      </c>
      <c r="AP211" s="262">
        <v>-6.0654571428571426E-3</v>
      </c>
      <c r="AQ211" s="262">
        <v>-6.6555047619047611E-3</v>
      </c>
      <c r="AR211" s="262">
        <v>-5.2009035714285709E-3</v>
      </c>
      <c r="AS211" s="262">
        <v>-5.9161916666666649E-3</v>
      </c>
      <c r="AT211" s="262">
        <v>-7.2286011904761907E-3</v>
      </c>
      <c r="AU211" s="262">
        <v>-8.2299999999999977E-3</v>
      </c>
      <c r="AV211" s="262">
        <f t="shared" ref="AV211:AV249" ca="1" si="18">AVERAGE(S711:Z711)-AVERAGE(F711:Z711)</f>
        <v>-2.8329047619047613E-3</v>
      </c>
      <c r="AX211" s="88" t="str">
        <f t="shared" ca="1" si="17"/>
        <v>AZN</v>
      </c>
    </row>
    <row r="212" spans="1:50" hidden="1">
      <c r="A212" s="88" t="str">
        <f t="shared" ca="1" si="15"/>
        <v>BLDP</v>
      </c>
      <c r="F212" s="253">
        <v>73.959999999999994</v>
      </c>
      <c r="G212" s="253">
        <v>76.72</v>
      </c>
      <c r="H212" s="253">
        <v>84.36</v>
      </c>
      <c r="I212" s="253">
        <v>83.65</v>
      </c>
      <c r="J212" s="253">
        <v>85.31</v>
      </c>
      <c r="K212" s="253">
        <v>85.87</v>
      </c>
      <c r="L212" s="253">
        <v>85.38</v>
      </c>
      <c r="M212" s="253">
        <v>85.04</v>
      </c>
      <c r="N212" s="253">
        <v>85.04</v>
      </c>
      <c r="O212" s="253">
        <v>84.51</v>
      </c>
      <c r="P212" s="253">
        <v>85.12</v>
      </c>
      <c r="Q212" s="253">
        <v>84.944999999999993</v>
      </c>
      <c r="R212" s="253">
        <v>83.83</v>
      </c>
      <c r="S212" s="253">
        <v>84.69</v>
      </c>
      <c r="T212" s="253">
        <v>83.87</v>
      </c>
      <c r="U212" s="253">
        <v>83.22</v>
      </c>
      <c r="V212" s="253">
        <v>83.43</v>
      </c>
      <c r="W212" s="253">
        <v>83.43</v>
      </c>
      <c r="X212" s="253">
        <v>83.4</v>
      </c>
      <c r="Y212" s="253">
        <v>83.29</v>
      </c>
      <c r="Z212" s="247">
        <f ca="1">[1]ExtEntry!$H10</f>
        <v>3.44</v>
      </c>
      <c r="AB212" s="265">
        <v>-2.5021190476190482E-3</v>
      </c>
      <c r="AC212" s="265">
        <v>-1.2092505952380955E-2</v>
      </c>
      <c r="AD212" s="265">
        <v>-9.9685238095238091E-3</v>
      </c>
      <c r="AE212" s="265">
        <v>-1.2232994047619045E-2</v>
      </c>
      <c r="AF212" s="265">
        <v>2.8179821428571429E-3</v>
      </c>
      <c r="AG212" s="265">
        <v>-1.7990892857142893E-3</v>
      </c>
      <c r="AH212" s="265">
        <v>-9.4436904761904458E-4</v>
      </c>
      <c r="AI212" s="265">
        <v>7.3138750000000009E-3</v>
      </c>
      <c r="AJ212" s="265">
        <v>1.1525851190476187E-2</v>
      </c>
      <c r="AK212" s="265">
        <v>1.8108833333333338E-2</v>
      </c>
      <c r="AL212" s="265">
        <v>1.9340202380952382E-2</v>
      </c>
      <c r="AM212" s="265">
        <v>2.1455517857142857E-2</v>
      </c>
      <c r="AN212" s="265">
        <v>-8.4839642857142874E-3</v>
      </c>
      <c r="AO212" s="265">
        <v>-6.7527976190476166E-3</v>
      </c>
      <c r="AP212" s="265">
        <v>-3.6698154761904776E-3</v>
      </c>
      <c r="AQ212" s="265">
        <v>-7.3864166666666713E-3</v>
      </c>
      <c r="AR212" s="265">
        <v>-7.5968392857142884E-3</v>
      </c>
      <c r="AS212" s="265">
        <v>-1.6507083333333339E-2</v>
      </c>
      <c r="AT212" s="265">
        <v>-3.2915636904761916E-2</v>
      </c>
      <c r="AU212" s="265">
        <v>-2.3658065476190475E-2</v>
      </c>
      <c r="AV212" s="262">
        <f t="shared" ca="1" si="18"/>
        <v>-2.2261886904761902E-2</v>
      </c>
      <c r="AX212" s="88" t="str">
        <f t="shared" ca="1" si="17"/>
        <v>BLDP</v>
      </c>
    </row>
    <row r="213" spans="1:50" hidden="1">
      <c r="A213" s="88" t="str">
        <f t="shared" ca="1" si="15"/>
        <v>BMRA</v>
      </c>
      <c r="F213" s="253">
        <v>2.7048999999999999</v>
      </c>
      <c r="G213" s="253">
        <v>2.72</v>
      </c>
      <c r="H213" s="253">
        <v>2.96</v>
      </c>
      <c r="I213" s="253">
        <v>2.87</v>
      </c>
      <c r="J213" s="253">
        <v>3.53</v>
      </c>
      <c r="K213" s="253">
        <v>3.63</v>
      </c>
      <c r="L213" s="253">
        <v>3.61</v>
      </c>
      <c r="M213" s="253">
        <v>3.59</v>
      </c>
      <c r="N213" s="253">
        <v>3.59</v>
      </c>
      <c r="O213" s="253">
        <v>3.49</v>
      </c>
      <c r="P213" s="253">
        <v>3.98</v>
      </c>
      <c r="Q213" s="253">
        <v>3.7749999999999999</v>
      </c>
      <c r="R213" s="253">
        <v>3.67</v>
      </c>
      <c r="S213" s="253">
        <v>3.63</v>
      </c>
      <c r="T213" s="253">
        <v>3.64</v>
      </c>
      <c r="U213" s="253">
        <v>3.33</v>
      </c>
      <c r="V213" s="253">
        <v>3.28</v>
      </c>
      <c r="W213" s="253">
        <v>3.28</v>
      </c>
      <c r="X213" s="253">
        <v>3.28</v>
      </c>
      <c r="Y213" s="253">
        <v>3.44</v>
      </c>
      <c r="Z213" s="247">
        <f ca="1">[1]ExtEntry!$H11</f>
        <v>2.96</v>
      </c>
      <c r="AB213" s="262">
        <v>-3.9692321428571424E-3</v>
      </c>
      <c r="AC213" s="262">
        <v>-3.5962619047619055E-3</v>
      </c>
      <c r="AD213" s="262">
        <v>-3.6413630952380942E-3</v>
      </c>
      <c r="AE213" s="262">
        <v>-5.498625E-3</v>
      </c>
      <c r="AF213" s="262">
        <v>-5.3185059523809522E-3</v>
      </c>
      <c r="AG213" s="262">
        <v>-6.7805714285714301E-3</v>
      </c>
      <c r="AH213" s="262">
        <v>-9.6553571428571413E-4</v>
      </c>
      <c r="AI213" s="262">
        <v>7.9619642857142964E-4</v>
      </c>
      <c r="AJ213" s="262">
        <v>3.3271130952380961E-3</v>
      </c>
      <c r="AK213" s="262">
        <v>4.6886011904761909E-3</v>
      </c>
      <c r="AL213" s="262">
        <v>7.8685357142857133E-3</v>
      </c>
      <c r="AM213" s="262">
        <v>1.0150636904761904E-2</v>
      </c>
      <c r="AN213" s="262">
        <v>1.2556726190476189E-2</v>
      </c>
      <c r="AO213" s="262">
        <v>1.4534815476190475E-2</v>
      </c>
      <c r="AP213" s="262">
        <v>1.5596928571428571E-2</v>
      </c>
      <c r="AQ213" s="262">
        <v>1.3730184523809521E-2</v>
      </c>
      <c r="AR213" s="262">
        <v>3.3362023809523798E-3</v>
      </c>
      <c r="AS213" s="262">
        <v>-2.5795119047619065E-3</v>
      </c>
      <c r="AT213" s="262">
        <v>-5.6765654761904757E-3</v>
      </c>
      <c r="AU213" s="262">
        <v>-5.2790535714285734E-3</v>
      </c>
      <c r="AV213" s="262">
        <f t="shared" ca="1" si="18"/>
        <v>-9.9924166666666668E-3</v>
      </c>
      <c r="AX213" s="88" t="str">
        <f t="shared" ca="1" si="17"/>
        <v>BMRA</v>
      </c>
    </row>
    <row r="214" spans="1:50" hidden="1">
      <c r="A214" s="88" t="str">
        <f t="shared" ca="1" si="15"/>
        <v>C</v>
      </c>
      <c r="F214" s="253">
        <v>2.81</v>
      </c>
      <c r="G214" s="253">
        <v>2.83</v>
      </c>
      <c r="H214" s="253">
        <v>2.82</v>
      </c>
      <c r="I214" s="253">
        <v>2.76</v>
      </c>
      <c r="J214" s="253">
        <v>2.8</v>
      </c>
      <c r="K214" s="253">
        <v>2.84</v>
      </c>
      <c r="L214" s="253">
        <v>2.88</v>
      </c>
      <c r="M214" s="253">
        <v>2.95</v>
      </c>
      <c r="N214" s="253">
        <v>2.95</v>
      </c>
      <c r="O214" s="253">
        <v>2.8</v>
      </c>
      <c r="P214" s="253">
        <v>2.88</v>
      </c>
      <c r="Q214" s="253">
        <v>2.86</v>
      </c>
      <c r="R214" s="253">
        <v>3.01</v>
      </c>
      <c r="S214" s="253">
        <v>2.98</v>
      </c>
      <c r="T214" s="253">
        <v>3.12</v>
      </c>
      <c r="U214" s="253">
        <v>3.2</v>
      </c>
      <c r="V214" s="253">
        <v>2.93</v>
      </c>
      <c r="W214" s="253">
        <v>2.93</v>
      </c>
      <c r="X214" s="253">
        <v>2.91</v>
      </c>
      <c r="Y214" s="253">
        <v>2.96</v>
      </c>
      <c r="Z214" s="247">
        <f ca="1">[1]ExtEntry!$H12</f>
        <v>98.78</v>
      </c>
      <c r="AB214" s="265">
        <v>-2.0857321428571426E-3</v>
      </c>
      <c r="AC214" s="265">
        <v>-5.1052559523809531E-3</v>
      </c>
      <c r="AD214" s="265">
        <v>-7.5919464285714288E-3</v>
      </c>
      <c r="AE214" s="265">
        <v>-9.4021309523809517E-3</v>
      </c>
      <c r="AF214" s="265">
        <v>-7.5453214285714273E-3</v>
      </c>
      <c r="AG214" s="265">
        <v>-5.8496964285714281E-3</v>
      </c>
      <c r="AH214" s="265">
        <v>-6.5496011904761899E-3</v>
      </c>
      <c r="AI214" s="265">
        <v>-8.8531904761904763E-3</v>
      </c>
      <c r="AJ214" s="265">
        <v>-8.3524464285714296E-3</v>
      </c>
      <c r="AK214" s="265">
        <v>-4.2397261904761905E-3</v>
      </c>
      <c r="AL214" s="265">
        <v>2.3964047619047619E-3</v>
      </c>
      <c r="AM214" s="265">
        <v>3.8693928571428573E-3</v>
      </c>
      <c r="AN214" s="265">
        <v>1.0983154761904771E-3</v>
      </c>
      <c r="AO214" s="265">
        <v>2.3770833333333343E-3</v>
      </c>
      <c r="AP214" s="265">
        <v>5.6526845238095242E-3</v>
      </c>
      <c r="AQ214" s="265">
        <v>5.9682321428571432E-3</v>
      </c>
      <c r="AR214" s="265">
        <v>5.7787440476190482E-3</v>
      </c>
      <c r="AS214" s="265">
        <v>1.1950714285714286E-3</v>
      </c>
      <c r="AT214" s="265">
        <v>-3.9655714285714294E-3</v>
      </c>
      <c r="AU214" s="265">
        <v>-1.322934523809524E-3</v>
      </c>
      <c r="AV214" s="262">
        <f t="shared" ca="1" si="18"/>
        <v>4.069017857142857E-3</v>
      </c>
      <c r="AX214" s="88" t="str">
        <f t="shared" ca="1" si="17"/>
        <v>C</v>
      </c>
    </row>
    <row r="215" spans="1:50" hidden="1">
      <c r="A215" s="88" t="str">
        <f t="shared" ca="1" si="15"/>
        <v>CSCO</v>
      </c>
      <c r="F215" s="253">
        <v>103.14</v>
      </c>
      <c r="G215" s="253">
        <v>101.49</v>
      </c>
      <c r="H215" s="253">
        <v>98.71</v>
      </c>
      <c r="I215" s="253">
        <v>97.32</v>
      </c>
      <c r="J215" s="253">
        <v>97.715000000000003</v>
      </c>
      <c r="K215" s="253">
        <v>97.8</v>
      </c>
      <c r="L215" s="253">
        <v>96.72</v>
      </c>
      <c r="M215" s="253">
        <v>95.92</v>
      </c>
      <c r="N215" s="253">
        <v>95.92</v>
      </c>
      <c r="O215" s="253">
        <v>96.08</v>
      </c>
      <c r="P215" s="253">
        <v>99.81</v>
      </c>
      <c r="Q215" s="253">
        <v>99.247</v>
      </c>
      <c r="R215" s="253">
        <v>96.28</v>
      </c>
      <c r="S215" s="253">
        <v>97.07</v>
      </c>
      <c r="T215" s="253">
        <v>99.29</v>
      </c>
      <c r="U215" s="253">
        <v>98.25</v>
      </c>
      <c r="V215" s="253">
        <v>96.32</v>
      </c>
      <c r="W215" s="253">
        <v>96.32</v>
      </c>
      <c r="X215" s="253">
        <v>96.66</v>
      </c>
      <c r="Y215" s="253">
        <v>98.795000000000002</v>
      </c>
      <c r="Z215" s="247">
        <f ca="1">[1]ExtEntry!$H13</f>
        <v>70.63</v>
      </c>
      <c r="AB215" s="262">
        <v>-2.2334761904761915E-3</v>
      </c>
      <c r="AC215" s="262">
        <v>-1.432880952380952E-3</v>
      </c>
      <c r="AD215" s="262">
        <v>-3.4829761904761939E-4</v>
      </c>
      <c r="AE215" s="262">
        <v>4.8542857142857177E-4</v>
      </c>
      <c r="AF215" s="262">
        <v>1.1209154761904767E-3</v>
      </c>
      <c r="AG215" s="262">
        <v>1.5979928571428577E-3</v>
      </c>
      <c r="AH215" s="262">
        <v>2.4500880952380952E-3</v>
      </c>
      <c r="AI215" s="262">
        <v>3.7629452380952381E-3</v>
      </c>
      <c r="AJ215" s="262">
        <v>2.5405761904761901E-3</v>
      </c>
      <c r="AK215" s="262">
        <v>-1.1429285714285718E-4</v>
      </c>
      <c r="AL215" s="262">
        <v>7.9895119047619038E-4</v>
      </c>
      <c r="AM215" s="262">
        <v>2.8118440476190476E-3</v>
      </c>
      <c r="AN215" s="262">
        <v>2.2324654761904763E-3</v>
      </c>
      <c r="AO215" s="262">
        <v>3.9363285714285722E-3</v>
      </c>
      <c r="AP215" s="262">
        <v>1.7471261904761905E-3</v>
      </c>
      <c r="AQ215" s="262">
        <v>2.1555630952380953E-3</v>
      </c>
      <c r="AR215" s="262">
        <v>2.2064904761904766E-3</v>
      </c>
      <c r="AS215" s="262">
        <v>2.8763464285714285E-3</v>
      </c>
      <c r="AT215" s="262">
        <v>7.0685714285714796E-5</v>
      </c>
      <c r="AU215" s="262">
        <v>-5.5073690476190474E-4</v>
      </c>
      <c r="AV215" s="262">
        <f t="shared" ca="1" si="18"/>
        <v>6.0110238095238125E-4</v>
      </c>
      <c r="AX215" s="88" t="str">
        <f t="shared" ca="1" si="17"/>
        <v>CSCO</v>
      </c>
    </row>
    <row r="216" spans="1:50" hidden="1">
      <c r="A216" s="88" t="str">
        <f t="shared" ca="1" si="15"/>
        <v>CVS</v>
      </c>
      <c r="F216" s="253">
        <v>67.525000000000006</v>
      </c>
      <c r="G216" s="253">
        <v>68.42</v>
      </c>
      <c r="H216" s="253">
        <v>68.75</v>
      </c>
      <c r="I216" s="253">
        <v>68.31</v>
      </c>
      <c r="J216" s="253">
        <v>67.92</v>
      </c>
      <c r="K216" s="253">
        <v>68.984999999999999</v>
      </c>
      <c r="L216" s="253">
        <v>70.33</v>
      </c>
      <c r="M216" s="253">
        <v>69.959999999999994</v>
      </c>
      <c r="N216" s="253">
        <v>69.959999999999994</v>
      </c>
      <c r="O216" s="253">
        <v>67.459999999999994</v>
      </c>
      <c r="P216" s="253">
        <v>68.66</v>
      </c>
      <c r="Q216" s="253">
        <v>69.424999999999997</v>
      </c>
      <c r="R216" s="253">
        <v>69.09</v>
      </c>
      <c r="S216" s="253">
        <v>70.13</v>
      </c>
      <c r="T216" s="253">
        <v>70.650000000000006</v>
      </c>
      <c r="U216" s="253">
        <v>70.72</v>
      </c>
      <c r="V216" s="253">
        <v>70.66</v>
      </c>
      <c r="W216" s="253">
        <v>70.66</v>
      </c>
      <c r="X216" s="253">
        <v>70.27</v>
      </c>
      <c r="Y216" s="253">
        <v>70.63</v>
      </c>
      <c r="Z216" s="247">
        <f ca="1">[1]ExtEntry!$H14</f>
        <v>81.93</v>
      </c>
      <c r="AB216" s="265">
        <v>2.8464916666666668E-3</v>
      </c>
      <c r="AC216" s="265">
        <v>2.4276642857142855E-3</v>
      </c>
      <c r="AD216" s="265">
        <v>2.6556999999999996E-3</v>
      </c>
      <c r="AE216" s="265">
        <v>2.4759499999999998E-3</v>
      </c>
      <c r="AF216" s="265">
        <v>4.7682797619047609E-4</v>
      </c>
      <c r="AG216" s="265">
        <v>-1.3169279761904751E-3</v>
      </c>
      <c r="AH216" s="265">
        <v>2.4123696428571431E-3</v>
      </c>
      <c r="AI216" s="265">
        <v>1.7510482142857138E-3</v>
      </c>
      <c r="AJ216" s="265">
        <v>2.2942744047619052E-3</v>
      </c>
      <c r="AK216" s="265">
        <v>3.3259291666666666E-3</v>
      </c>
      <c r="AL216" s="265">
        <v>8.8607797619047642E-4</v>
      </c>
      <c r="AM216" s="265">
        <v>4.1188154761904756E-4</v>
      </c>
      <c r="AN216" s="265">
        <v>1.0605059523809525E-3</v>
      </c>
      <c r="AO216" s="265">
        <v>1.9753452380952387E-3</v>
      </c>
      <c r="AP216" s="265">
        <v>2.5115363095238093E-3</v>
      </c>
      <c r="AQ216" s="265">
        <v>3.6369827380952372E-3</v>
      </c>
      <c r="AR216" s="265">
        <v>3.1124351190476192E-3</v>
      </c>
      <c r="AS216" s="265">
        <v>2.1664470238095231E-3</v>
      </c>
      <c r="AT216" s="265">
        <v>-1.4589226190476253E-4</v>
      </c>
      <c r="AU216" s="265">
        <v>-2.7324398809523798E-3</v>
      </c>
      <c r="AV216" s="262">
        <f t="shared" ca="1" si="18"/>
        <v>-1.8606005952380954E-3</v>
      </c>
      <c r="AX216" s="88" t="str">
        <f t="shared" ca="1" si="17"/>
        <v>CVS</v>
      </c>
    </row>
    <row r="217" spans="1:50" hidden="1">
      <c r="A217" s="88" t="str">
        <f t="shared" ca="1" si="15"/>
        <v>DDD</v>
      </c>
      <c r="F217" s="253">
        <v>75.599999999999994</v>
      </c>
      <c r="G217" s="253">
        <v>75.400000000000006</v>
      </c>
      <c r="H217" s="253">
        <v>76.86</v>
      </c>
      <c r="I217" s="253">
        <v>77.44</v>
      </c>
      <c r="J217" s="253">
        <v>77.489999999999995</v>
      </c>
      <c r="K217" s="253">
        <v>77.12</v>
      </c>
      <c r="L217" s="253">
        <v>76.95</v>
      </c>
      <c r="M217" s="253">
        <v>76.75</v>
      </c>
      <c r="N217" s="253">
        <v>76.739999999999995</v>
      </c>
      <c r="O217" s="253">
        <v>78.45</v>
      </c>
      <c r="P217" s="253">
        <v>79.680000000000007</v>
      </c>
      <c r="Q217" s="253">
        <v>81.11</v>
      </c>
      <c r="R217" s="253">
        <v>81.400000000000006</v>
      </c>
      <c r="S217" s="253">
        <v>82.52</v>
      </c>
      <c r="T217" s="253">
        <v>82.45</v>
      </c>
      <c r="U217" s="253">
        <v>83.02</v>
      </c>
      <c r="V217" s="253">
        <v>82.04</v>
      </c>
      <c r="W217" s="253">
        <v>82.04</v>
      </c>
      <c r="X217" s="253">
        <v>81.069999999999993</v>
      </c>
      <c r="Y217" s="253">
        <v>81.900000000000006</v>
      </c>
      <c r="Z217" s="247">
        <f ca="1">[1]ExtEntry!$H15</f>
        <v>3.13</v>
      </c>
      <c r="AB217" s="262">
        <v>7.6548630952380931E-3</v>
      </c>
      <c r="AC217" s="262">
        <v>4.8786190476190431E-3</v>
      </c>
      <c r="AD217" s="262">
        <v>3.3997857142857094E-3</v>
      </c>
      <c r="AE217" s="262">
        <v>6.2262440476190464E-3</v>
      </c>
      <c r="AF217" s="262">
        <v>-5.9093869047619051E-3</v>
      </c>
      <c r="AG217" s="262">
        <v>-1.0533904761904762E-2</v>
      </c>
      <c r="AH217" s="262">
        <v>-8.840333333333332E-3</v>
      </c>
      <c r="AI217" s="262">
        <v>-1.8605291666666662E-2</v>
      </c>
      <c r="AJ217" s="262">
        <v>-1.1256101190476191E-2</v>
      </c>
      <c r="AK217" s="262">
        <v>-3.3608214285714248E-3</v>
      </c>
      <c r="AL217" s="262">
        <v>-1.4241369047619003E-3</v>
      </c>
      <c r="AM217" s="262">
        <v>-4.619642857142843E-4</v>
      </c>
      <c r="AN217" s="262">
        <v>-6.2355357142857143E-3</v>
      </c>
      <c r="AO217" s="262">
        <v>-3.6327202380952352E-3</v>
      </c>
      <c r="AP217" s="262">
        <v>8.6931309523809522E-3</v>
      </c>
      <c r="AQ217" s="262">
        <v>1.9457380952381011E-3</v>
      </c>
      <c r="AR217" s="262">
        <v>-5.579065476190477E-3</v>
      </c>
      <c r="AS217" s="262">
        <v>-1.7775113095238094E-2</v>
      </c>
      <c r="AT217" s="262">
        <v>-1.303422619047619E-2</v>
      </c>
      <c r="AU217" s="262">
        <v>-1.9047684523809522E-2</v>
      </c>
      <c r="AV217" s="262">
        <f t="shared" ca="1" si="18"/>
        <v>-1.6153244047619045E-2</v>
      </c>
      <c r="AX217" s="88" t="str">
        <f t="shared" ca="1" si="17"/>
        <v>DDD</v>
      </c>
    </row>
    <row r="218" spans="1:50" hidden="1">
      <c r="A218" s="88" t="str">
        <f t="shared" ca="1" si="15"/>
        <v>DIS</v>
      </c>
      <c r="F218" s="253">
        <v>2.97</v>
      </c>
      <c r="G218" s="253">
        <v>2.9</v>
      </c>
      <c r="H218" s="253">
        <v>2.8650000000000002</v>
      </c>
      <c r="I218" s="253">
        <v>2.9950000000000001</v>
      </c>
      <c r="J218" s="253">
        <v>3.12</v>
      </c>
      <c r="K218" s="253">
        <v>3.1349999999999998</v>
      </c>
      <c r="L218" s="253">
        <v>3.2450000000000001</v>
      </c>
      <c r="M218" s="253">
        <v>3.18</v>
      </c>
      <c r="N218" s="253">
        <v>3.18</v>
      </c>
      <c r="O218" s="253">
        <v>3.11</v>
      </c>
      <c r="P218" s="253">
        <v>3.08</v>
      </c>
      <c r="Q218" s="253">
        <v>3.25</v>
      </c>
      <c r="R218" s="253">
        <v>3.26</v>
      </c>
      <c r="S218" s="253">
        <v>3.11</v>
      </c>
      <c r="T218" s="253">
        <v>3.7850000000000001</v>
      </c>
      <c r="U218" s="253">
        <v>3.37</v>
      </c>
      <c r="V218" s="253">
        <v>3.0049999999999999</v>
      </c>
      <c r="W218" s="253">
        <v>3.0049999999999999</v>
      </c>
      <c r="X218" s="253">
        <v>3.0750000000000002</v>
      </c>
      <c r="Y218" s="253">
        <v>3.125</v>
      </c>
      <c r="Z218" s="247">
        <f ca="1">[1]ExtEntry!$H16</f>
        <v>111.68</v>
      </c>
      <c r="AB218" s="265">
        <v>1.343E-3</v>
      </c>
      <c r="AC218" s="265">
        <v>1.7417797619047614E-3</v>
      </c>
      <c r="AD218" s="265">
        <v>1.2684761904761905E-3</v>
      </c>
      <c r="AE218" s="265">
        <v>1.9790654761904763E-3</v>
      </c>
      <c r="AF218" s="265">
        <v>3.122714285714286E-3</v>
      </c>
      <c r="AG218" s="265">
        <v>2.0719107142857136E-3</v>
      </c>
      <c r="AH218" s="265">
        <v>1.4906726190476185E-3</v>
      </c>
      <c r="AI218" s="265">
        <v>-2.8613690476190449E-4</v>
      </c>
      <c r="AJ218" s="265">
        <v>-1.260226190476191E-3</v>
      </c>
      <c r="AK218" s="265">
        <v>-6.0541666666666773E-4</v>
      </c>
      <c r="AL218" s="265">
        <v>1.6736309523809514E-3</v>
      </c>
      <c r="AM218" s="265">
        <v>2.9894702380952377E-3</v>
      </c>
      <c r="AN218" s="265">
        <v>1.2020892857142846E-3</v>
      </c>
      <c r="AO218" s="265">
        <v>1.4493869047619043E-3</v>
      </c>
      <c r="AP218" s="265">
        <v>2.6036011904761905E-3</v>
      </c>
      <c r="AQ218" s="265">
        <v>4.7607083333333338E-3</v>
      </c>
      <c r="AR218" s="265">
        <v>4.3404047619047623E-3</v>
      </c>
      <c r="AS218" s="265">
        <v>2.1460654761904763E-3</v>
      </c>
      <c r="AT218" s="265">
        <v>1.5868404761904768E-3</v>
      </c>
      <c r="AU218" s="265">
        <v>-4.5522500000000007E-4</v>
      </c>
      <c r="AV218" s="262">
        <f t="shared" ca="1" si="18"/>
        <v>2.4060238095238067E-4</v>
      </c>
      <c r="AX218" s="88" t="str">
        <f t="shared" ca="1" si="17"/>
        <v>DIS</v>
      </c>
    </row>
    <row r="219" spans="1:50" hidden="1">
      <c r="A219" s="88" t="str">
        <f t="shared" ca="1" si="15"/>
        <v>DSY</v>
      </c>
      <c r="F219" s="253">
        <v>114.295</v>
      </c>
      <c r="G219" s="253">
        <v>114.48</v>
      </c>
      <c r="H219" s="253">
        <v>112.935</v>
      </c>
      <c r="I219" s="253">
        <v>112.16</v>
      </c>
      <c r="J219" s="253">
        <v>112.49</v>
      </c>
      <c r="K219" s="253">
        <v>112.57</v>
      </c>
      <c r="L219" s="253">
        <v>111.89</v>
      </c>
      <c r="M219" s="253">
        <v>110.99</v>
      </c>
      <c r="N219" s="253">
        <v>110.99</v>
      </c>
      <c r="O219" s="253">
        <v>110.29</v>
      </c>
      <c r="P219" s="253">
        <v>111.16500000000001</v>
      </c>
      <c r="Q219" s="253">
        <v>112.005</v>
      </c>
      <c r="R219" s="253">
        <v>109.895</v>
      </c>
      <c r="S219" s="253">
        <v>110.67</v>
      </c>
      <c r="T219" s="253">
        <v>111.98</v>
      </c>
      <c r="U219" s="253">
        <v>114.31</v>
      </c>
      <c r="V219" s="253">
        <v>113.1</v>
      </c>
      <c r="W219" s="253">
        <v>113.1</v>
      </c>
      <c r="X219" s="253">
        <v>113.02</v>
      </c>
      <c r="Y219" s="253">
        <v>111.67</v>
      </c>
      <c r="Z219" s="247">
        <f ca="1">[1]ExtEntry!$H17</f>
        <v>25.69</v>
      </c>
      <c r="AB219" s="262">
        <v>-3.1484446428571428E-3</v>
      </c>
      <c r="AC219" s="262">
        <v>-1.2053553571428567E-3</v>
      </c>
      <c r="AD219" s="262">
        <v>7.7321607142857157E-4</v>
      </c>
      <c r="AE219" s="262">
        <v>2.8262982142857143E-3</v>
      </c>
      <c r="AF219" s="262">
        <v>2.6104071428571427E-3</v>
      </c>
      <c r="AG219" s="262">
        <v>3.6821511904761902E-3</v>
      </c>
      <c r="AH219" s="262">
        <v>2.3733952380952375E-3</v>
      </c>
      <c r="AI219" s="262">
        <v>2.4876452380952385E-3</v>
      </c>
      <c r="AJ219" s="262">
        <v>2.40232380952381E-3</v>
      </c>
      <c r="AK219" s="262">
        <v>2.8320142857142863E-3</v>
      </c>
      <c r="AL219" s="262">
        <v>1.3664845238095247E-3</v>
      </c>
      <c r="AM219" s="262">
        <v>-1.9785630952380956E-3</v>
      </c>
      <c r="AN219" s="262">
        <v>6.3682976190476215E-4</v>
      </c>
      <c r="AO219" s="262">
        <v>2.6339488095238101E-3</v>
      </c>
      <c r="AP219" s="262">
        <v>4.3033178571428568E-3</v>
      </c>
      <c r="AQ219" s="262">
        <v>4.1586571428571424E-3</v>
      </c>
      <c r="AR219" s="262">
        <v>2.0709785714285714E-3</v>
      </c>
      <c r="AS219" s="262">
        <v>3.1091666666666681E-4</v>
      </c>
      <c r="AT219" s="262">
        <v>-7.9255297619047638E-3</v>
      </c>
      <c r="AU219" s="262">
        <v>-1.1285071428571429E-2</v>
      </c>
      <c r="AV219" s="262">
        <f t="shared" ca="1" si="18"/>
        <v>-1.2927964285714287E-2</v>
      </c>
      <c r="AX219" s="88" t="str">
        <f t="shared" ca="1" si="17"/>
        <v>DSY</v>
      </c>
    </row>
    <row r="220" spans="1:50" hidden="1">
      <c r="A220" s="88" t="str">
        <f t="shared" ca="1" si="15"/>
        <v>DVA</v>
      </c>
      <c r="F220" s="253">
        <v>28.31</v>
      </c>
      <c r="G220" s="253">
        <v>28.51</v>
      </c>
      <c r="H220" s="253">
        <v>28.46</v>
      </c>
      <c r="I220" s="253">
        <v>29.37</v>
      </c>
      <c r="J220" s="253">
        <v>29.19</v>
      </c>
      <c r="K220" s="253">
        <v>29.05</v>
      </c>
      <c r="L220" s="253">
        <v>28.77</v>
      </c>
      <c r="M220" s="253">
        <v>28.93</v>
      </c>
      <c r="N220" s="253">
        <v>29.36</v>
      </c>
      <c r="O220" s="253">
        <v>28.81</v>
      </c>
      <c r="P220" s="253">
        <v>28.35</v>
      </c>
      <c r="Q220" s="253">
        <v>28.88</v>
      </c>
      <c r="R220" s="253">
        <v>29.38</v>
      </c>
      <c r="S220" s="253">
        <v>29.33</v>
      </c>
      <c r="T220" s="253">
        <v>29.78</v>
      </c>
      <c r="U220" s="253">
        <v>30.27</v>
      </c>
      <c r="V220" s="253">
        <v>30.12</v>
      </c>
      <c r="W220" s="253">
        <v>30.12</v>
      </c>
      <c r="X220" s="253">
        <v>26.21</v>
      </c>
      <c r="Y220" s="253">
        <v>25.69</v>
      </c>
      <c r="Z220" s="247">
        <f ca="1">[1]ExtEntry!$H18</f>
        <v>129.19</v>
      </c>
      <c r="AB220" s="265">
        <v>3.1539821428571433E-3</v>
      </c>
      <c r="AC220" s="265">
        <v>3.9776398809523812E-3</v>
      </c>
      <c r="AD220" s="265">
        <v>3.9057321428571431E-3</v>
      </c>
      <c r="AE220" s="265">
        <v>2.4155476190476192E-3</v>
      </c>
      <c r="AF220" s="265">
        <v>1.2483333333333357E-4</v>
      </c>
      <c r="AG220" s="265">
        <v>-3.3880952380952009E-5</v>
      </c>
      <c r="AH220" s="265">
        <v>2.0394285714285714E-3</v>
      </c>
      <c r="AI220" s="265">
        <v>-1.0398869047619046E-3</v>
      </c>
      <c r="AJ220" s="265">
        <v>-8.4791071428571424E-4</v>
      </c>
      <c r="AK220" s="265">
        <v>-3.1463124999999998E-3</v>
      </c>
      <c r="AL220" s="265">
        <v>-1.7503720238095236E-3</v>
      </c>
      <c r="AM220" s="265">
        <v>-1.7250922619047615E-3</v>
      </c>
      <c r="AN220" s="265">
        <v>-1.6052589285714283E-3</v>
      </c>
      <c r="AO220" s="265">
        <v>-3.2152886904761903E-3</v>
      </c>
      <c r="AP220" s="265">
        <v>1.0644613095238094E-3</v>
      </c>
      <c r="AQ220" s="265">
        <v>2.7811339285714288E-3</v>
      </c>
      <c r="AR220" s="265">
        <v>4.9278303571428581E-3</v>
      </c>
      <c r="AS220" s="265">
        <v>6.0406071428571436E-3</v>
      </c>
      <c r="AT220" s="265">
        <v>2.9662142857142856E-3</v>
      </c>
      <c r="AU220" s="265">
        <v>2.3265416666666669E-3</v>
      </c>
      <c r="AV220" s="262">
        <f t="shared" ca="1" si="18"/>
        <v>4.2774404761904763E-3</v>
      </c>
      <c r="AX220" s="88" t="str">
        <f t="shared" ca="1" si="17"/>
        <v>DVA</v>
      </c>
    </row>
    <row r="221" spans="1:50" hidden="1">
      <c r="A221" s="88" t="str">
        <f t="shared" ca="1" si="15"/>
        <v>DXC</v>
      </c>
      <c r="F221" s="253">
        <v>130.065</v>
      </c>
      <c r="G221" s="253">
        <v>132.87</v>
      </c>
      <c r="H221" s="253">
        <v>132.87</v>
      </c>
      <c r="I221" s="253">
        <v>132.1</v>
      </c>
      <c r="J221" s="253">
        <v>131.16</v>
      </c>
      <c r="K221" s="253">
        <v>131.04</v>
      </c>
      <c r="L221" s="253">
        <v>127.925</v>
      </c>
      <c r="M221" s="253">
        <v>126.33</v>
      </c>
      <c r="N221" s="253">
        <v>126.38</v>
      </c>
      <c r="O221" s="253">
        <v>123.89</v>
      </c>
      <c r="P221" s="253">
        <v>126.61199999999999</v>
      </c>
      <c r="Q221" s="253">
        <v>126.77500000000001</v>
      </c>
      <c r="R221" s="253">
        <v>125.25</v>
      </c>
      <c r="S221" s="253">
        <v>125.88</v>
      </c>
      <c r="T221" s="253">
        <v>128.05000000000001</v>
      </c>
      <c r="U221" s="253">
        <v>128.41</v>
      </c>
      <c r="V221" s="253">
        <v>129.08000000000001</v>
      </c>
      <c r="W221" s="253">
        <v>129.08000000000001</v>
      </c>
      <c r="X221" s="253">
        <v>128.02000000000001</v>
      </c>
      <c r="Y221" s="253">
        <v>129.19</v>
      </c>
      <c r="Z221" s="247">
        <f ca="1">[1]ExtEntry!$H19</f>
        <v>13.54</v>
      </c>
      <c r="AB221" s="262">
        <v>-3.8369464285714274E-3</v>
      </c>
      <c r="AC221" s="262">
        <v>-6.5389285714285549E-4</v>
      </c>
      <c r="AD221" s="262">
        <v>4.3213630952380969E-3</v>
      </c>
      <c r="AE221" s="262">
        <v>2.3251190476190637E-4</v>
      </c>
      <c r="AF221" s="262">
        <v>6.9314047619047636E-3</v>
      </c>
      <c r="AG221" s="262">
        <v>2.1910714285714285E-3</v>
      </c>
      <c r="AH221" s="262">
        <v>7.8783333333333344E-3</v>
      </c>
      <c r="AI221" s="262">
        <v>1.7011190476190477E-3</v>
      </c>
      <c r="AJ221" s="262">
        <v>6.2951250000000004E-3</v>
      </c>
      <c r="AK221" s="262">
        <v>6.6043214285714273E-3</v>
      </c>
      <c r="AL221" s="262">
        <v>5.7150833333333333E-3</v>
      </c>
      <c r="AM221" s="262">
        <v>6.1398273809523795E-3</v>
      </c>
      <c r="AN221" s="262">
        <v>3.1020238095238089E-3</v>
      </c>
      <c r="AO221" s="262">
        <v>7.177267857142856E-3</v>
      </c>
      <c r="AP221" s="262">
        <v>5.8839226190476185E-3</v>
      </c>
      <c r="AQ221" s="262">
        <v>3.7310238095238091E-3</v>
      </c>
      <c r="AR221" s="262">
        <v>2.8064345238095231E-3</v>
      </c>
      <c r="AS221" s="262">
        <v>-2.5386190476190474E-3</v>
      </c>
      <c r="AT221" s="262">
        <v>-1.9132023809523804E-3</v>
      </c>
      <c r="AU221" s="262">
        <v>-1.4521130952380949E-3</v>
      </c>
      <c r="AV221" s="262">
        <f t="shared" ca="1" si="18"/>
        <v>4.0804821428571444E-3</v>
      </c>
      <c r="AX221" s="88" t="str">
        <f t="shared" ca="1" si="17"/>
        <v>DXC</v>
      </c>
    </row>
    <row r="222" spans="1:50" hidden="1">
      <c r="A222" s="88" t="str">
        <f t="shared" ca="1" si="15"/>
        <v>EOAN</v>
      </c>
      <c r="F222" s="253">
        <v>13.775</v>
      </c>
      <c r="G222" s="253">
        <v>13.63</v>
      </c>
      <c r="H222" s="253">
        <v>13.795</v>
      </c>
      <c r="I222" s="253">
        <v>13.59</v>
      </c>
      <c r="J222" s="253">
        <v>13.8</v>
      </c>
      <c r="K222" s="253">
        <v>13.28</v>
      </c>
      <c r="L222" s="253">
        <v>13.34</v>
      </c>
      <c r="M222" s="253">
        <v>13.58</v>
      </c>
      <c r="N222" s="253">
        <v>13.58</v>
      </c>
      <c r="O222" s="253">
        <v>13.225</v>
      </c>
      <c r="P222" s="253">
        <v>13.315</v>
      </c>
      <c r="Q222" s="253">
        <v>13.13</v>
      </c>
      <c r="R222" s="253">
        <v>12.82</v>
      </c>
      <c r="S222" s="253">
        <v>12.85</v>
      </c>
      <c r="T222" s="253">
        <v>12.994999999999999</v>
      </c>
      <c r="U222" s="253">
        <v>13.275</v>
      </c>
      <c r="V222" s="253">
        <v>13.27</v>
      </c>
      <c r="W222" s="253">
        <v>13.27</v>
      </c>
      <c r="X222" s="253">
        <v>13.37</v>
      </c>
      <c r="Y222" s="253">
        <v>13.54</v>
      </c>
      <c r="Z222" s="247">
        <f ca="1">[1]ExtEntry!$H20</f>
        <v>16.085000000000001</v>
      </c>
      <c r="AB222" s="265">
        <v>1.7775416666666677E-3</v>
      </c>
      <c r="AC222" s="265">
        <v>-8.6041666666667425E-5</v>
      </c>
      <c r="AD222" s="265">
        <v>-6.5491071428571291E-4</v>
      </c>
      <c r="AE222" s="265">
        <v>-1.6939285714285728E-3</v>
      </c>
      <c r="AF222" s="265">
        <v>-8.3115476190476255E-4</v>
      </c>
      <c r="AG222" s="265">
        <v>-6.6352976190476145E-4</v>
      </c>
      <c r="AH222" s="265">
        <v>-2.2623928571428569E-3</v>
      </c>
      <c r="AI222" s="265">
        <v>-2.9131666666666663E-3</v>
      </c>
      <c r="AJ222" s="265">
        <v>-2.6087125000000006E-3</v>
      </c>
      <c r="AK222" s="265">
        <v>-9.7774226190476196E-4</v>
      </c>
      <c r="AL222" s="265">
        <v>-3.4145059523809588E-4</v>
      </c>
      <c r="AM222" s="265">
        <v>1.199424404761904E-3</v>
      </c>
      <c r="AN222" s="265">
        <v>-2.3723630952380984E-4</v>
      </c>
      <c r="AO222" s="265">
        <v>-8.4969464285714362E-4</v>
      </c>
      <c r="AP222" s="265">
        <v>-3.9437916666666727E-4</v>
      </c>
      <c r="AQ222" s="265">
        <v>-3.6878988095238093E-4</v>
      </c>
      <c r="AR222" s="265">
        <v>-1.4155523809523808E-3</v>
      </c>
      <c r="AS222" s="265">
        <v>-4.0398380952380956E-3</v>
      </c>
      <c r="AT222" s="265">
        <v>-5.2494690476190481E-3</v>
      </c>
      <c r="AU222" s="265">
        <v>-2.8832607142857142E-3</v>
      </c>
      <c r="AV222" s="262">
        <f t="shared" ca="1" si="18"/>
        <v>-3.0005821428571423E-3</v>
      </c>
      <c r="AX222" s="88" t="str">
        <f t="shared" ca="1" si="17"/>
        <v>EOAN</v>
      </c>
    </row>
    <row r="223" spans="1:50" hidden="1">
      <c r="A223" s="88" t="str">
        <f t="shared" ca="1" si="15"/>
        <v>EPIX</v>
      </c>
      <c r="F223" s="253">
        <v>16.004999999999999</v>
      </c>
      <c r="G223" s="253">
        <v>16.07</v>
      </c>
      <c r="H223" s="253">
        <v>16.16</v>
      </c>
      <c r="I223" s="253">
        <v>15.96</v>
      </c>
      <c r="J223" s="253">
        <v>16.12</v>
      </c>
      <c r="K223" s="253">
        <v>16.114999999999998</v>
      </c>
      <c r="L223" s="253">
        <v>16.18</v>
      </c>
      <c r="M223" s="253">
        <v>16.175000000000001</v>
      </c>
      <c r="N223" s="253">
        <v>16.18</v>
      </c>
      <c r="O223" s="253">
        <v>16.260000000000002</v>
      </c>
      <c r="P223" s="253">
        <v>16.37</v>
      </c>
      <c r="Q223" s="253">
        <v>16.2</v>
      </c>
      <c r="R223" s="253">
        <v>16.25</v>
      </c>
      <c r="S223" s="253">
        <v>16.27</v>
      </c>
      <c r="T223" s="253">
        <v>16.420000000000002</v>
      </c>
      <c r="U223" s="253">
        <v>16.364999999999998</v>
      </c>
      <c r="V223" s="253">
        <v>16.100000000000001</v>
      </c>
      <c r="W223" s="253">
        <v>16.100000000000001</v>
      </c>
      <c r="X223" s="253">
        <v>15.98</v>
      </c>
      <c r="Y223" s="253">
        <v>16.059999999999999</v>
      </c>
      <c r="Z223" s="247">
        <f ca="1">[1]ExtEntry!$H21</f>
        <v>0.20119999999999999</v>
      </c>
      <c r="AB223" s="262">
        <v>5.5026488095238097E-3</v>
      </c>
      <c r="AC223" s="262">
        <v>2.4587023809523757E-3</v>
      </c>
      <c r="AD223" s="262">
        <v>6.9633035714285699E-3</v>
      </c>
      <c r="AE223" s="262">
        <v>8.9325654761904759E-3</v>
      </c>
      <c r="AF223" s="262">
        <v>1.0087464285714286E-2</v>
      </c>
      <c r="AG223" s="262">
        <v>1.4480375E-2</v>
      </c>
      <c r="AH223" s="262">
        <v>1.4104607142857141E-2</v>
      </c>
      <c r="AI223" s="262">
        <v>5.2262678571428547E-3</v>
      </c>
      <c r="AJ223" s="262">
        <v>9.2644821428571437E-3</v>
      </c>
      <c r="AK223" s="262">
        <v>1.0213255952380955E-2</v>
      </c>
      <c r="AL223" s="262">
        <v>-1.9318511904761887E-3</v>
      </c>
      <c r="AM223" s="262">
        <v>-1.1401065476190474E-2</v>
      </c>
      <c r="AN223" s="262">
        <v>-4.6561964285714279E-3</v>
      </c>
      <c r="AO223" s="262">
        <v>-3.4545178571428565E-3</v>
      </c>
      <c r="AP223" s="262">
        <v>-8.424880952380945E-4</v>
      </c>
      <c r="AQ223" s="262">
        <v>1.7695416666666675E-3</v>
      </c>
      <c r="AR223" s="262">
        <v>4.8081904761904755E-3</v>
      </c>
      <c r="AS223" s="262">
        <v>2.4601428571428574E-3</v>
      </c>
      <c r="AT223" s="262">
        <v>1.2137142857142852E-3</v>
      </c>
      <c r="AU223" s="262">
        <v>1.047809523809524E-3</v>
      </c>
      <c r="AV223" s="262">
        <f t="shared" ca="1" si="18"/>
        <v>4.4907261904761908E-3</v>
      </c>
      <c r="AX223" s="88" t="str">
        <f t="shared" ca="1" si="17"/>
        <v>EPIX</v>
      </c>
    </row>
    <row r="224" spans="1:50" hidden="1">
      <c r="A224" s="88" t="str">
        <f t="shared" ca="1" si="15"/>
        <v>GM</v>
      </c>
      <c r="F224" s="253">
        <v>0.19220000000000001</v>
      </c>
      <c r="G224" s="253">
        <v>0.191</v>
      </c>
      <c r="H224" s="253">
        <v>0.2059</v>
      </c>
      <c r="I224" s="253">
        <v>0.21740000000000001</v>
      </c>
      <c r="J224" s="253">
        <v>0.20610000000000001</v>
      </c>
      <c r="K224" s="253">
        <v>0.20499999999999999</v>
      </c>
      <c r="L224" s="253">
        <v>0.20119999999999999</v>
      </c>
      <c r="M224" s="253">
        <v>0.20119999999999999</v>
      </c>
      <c r="N224" s="253">
        <v>0.20119999999999999</v>
      </c>
      <c r="O224" s="253">
        <v>0.20119999999999999</v>
      </c>
      <c r="P224" s="253">
        <v>0.20119999999999999</v>
      </c>
      <c r="Q224" s="253">
        <v>0.20119999999999999</v>
      </c>
      <c r="R224" s="253">
        <v>0.20119999999999999</v>
      </c>
      <c r="S224" s="253">
        <v>0.20119999999999999</v>
      </c>
      <c r="T224" s="253">
        <v>0.20119999999999999</v>
      </c>
      <c r="U224" s="253">
        <v>0.20119999999999999</v>
      </c>
      <c r="V224" s="253">
        <v>0.20119999999999999</v>
      </c>
      <c r="W224" s="253">
        <v>0.20119999999999999</v>
      </c>
      <c r="X224" s="253">
        <v>0.20119999999999999</v>
      </c>
      <c r="Y224" s="253">
        <v>0.20119999999999999</v>
      </c>
      <c r="Z224" s="247">
        <f ca="1">[1]ExtEntry!$H22</f>
        <v>69.66</v>
      </c>
      <c r="AB224" s="265">
        <v>1.5940738095238096E-3</v>
      </c>
      <c r="AC224" s="265">
        <v>1.5675916666666667E-3</v>
      </c>
      <c r="AD224" s="265">
        <v>2.4036273809523809E-3</v>
      </c>
      <c r="AE224" s="265">
        <v>-1.670988095238096E-4</v>
      </c>
      <c r="AF224" s="265">
        <v>1.7821214285714281E-3</v>
      </c>
      <c r="AG224" s="265">
        <v>-2.3037857142857139E-3</v>
      </c>
      <c r="AH224" s="265">
        <v>-5.0042738095238092E-3</v>
      </c>
      <c r="AI224" s="265">
        <v>-7.5222976190476177E-3</v>
      </c>
      <c r="AJ224" s="265">
        <v>-6.1922440476190471E-3</v>
      </c>
      <c r="AK224" s="265">
        <v>-5.6678214285714283E-3</v>
      </c>
      <c r="AL224" s="265">
        <v>-4.151255952380954E-3</v>
      </c>
      <c r="AM224" s="265">
        <v>1.3249523809523804E-3</v>
      </c>
      <c r="AN224" s="265">
        <v>-1.3041071428571429E-3</v>
      </c>
      <c r="AO224" s="265">
        <v>2.4972202380952376E-3</v>
      </c>
      <c r="AP224" s="265">
        <v>3.6615892857142854E-3</v>
      </c>
      <c r="AQ224" s="265">
        <v>1.5943136904761904E-2</v>
      </c>
      <c r="AR224" s="265">
        <v>1.7606101190476189E-2</v>
      </c>
      <c r="AS224" s="265">
        <v>1.7597494047619046E-2</v>
      </c>
      <c r="AT224" s="265">
        <v>1.4694059523809521E-2</v>
      </c>
      <c r="AU224" s="265">
        <v>1.6806773809523806E-2</v>
      </c>
      <c r="AV224" s="262">
        <f t="shared" ca="1" si="18"/>
        <v>1.9346809523809523E-2</v>
      </c>
      <c r="AX224" s="88" t="str">
        <f t="shared" ca="1" si="17"/>
        <v>GM</v>
      </c>
    </row>
    <row r="225" spans="1:50" hidden="1">
      <c r="A225" s="88" t="str">
        <f t="shared" ca="1" si="15"/>
        <v>HPE</v>
      </c>
      <c r="F225" s="253">
        <v>60.814999999999998</v>
      </c>
      <c r="G225" s="253">
        <v>60.96</v>
      </c>
      <c r="H225" s="253">
        <v>61.33</v>
      </c>
      <c r="I225" s="253">
        <v>59.36</v>
      </c>
      <c r="J225" s="253">
        <v>60.13</v>
      </c>
      <c r="K225" s="253">
        <v>57.27</v>
      </c>
      <c r="L225" s="253">
        <v>56.405000000000001</v>
      </c>
      <c r="M225" s="253">
        <v>55.94</v>
      </c>
      <c r="N225" s="253">
        <v>55.92</v>
      </c>
      <c r="O225" s="253">
        <v>55.61</v>
      </c>
      <c r="P225" s="253">
        <v>57.15</v>
      </c>
      <c r="Q225" s="253">
        <v>57.919899999999998</v>
      </c>
      <c r="R225" s="253">
        <v>57.34</v>
      </c>
      <c r="S225" s="253">
        <v>58.38</v>
      </c>
      <c r="T225" s="253">
        <v>58.02</v>
      </c>
      <c r="U225" s="253">
        <v>66.61</v>
      </c>
      <c r="V225" s="253">
        <v>67.319999999999993</v>
      </c>
      <c r="W225" s="253">
        <v>67.319999999999993</v>
      </c>
      <c r="X225" s="253">
        <v>66.834999999999994</v>
      </c>
      <c r="Y225" s="253">
        <v>69.67</v>
      </c>
      <c r="Z225" s="247">
        <f ca="1">[1]ExtEntry!$H23</f>
        <v>23.5</v>
      </c>
      <c r="AB225" s="262">
        <v>-7.7657773809523814E-3</v>
      </c>
      <c r="AC225" s="262">
        <v>-5.6954142857142849E-3</v>
      </c>
      <c r="AD225" s="262">
        <v>-3.3140095238095232E-3</v>
      </c>
      <c r="AE225" s="262">
        <v>-5.2611285714285715E-3</v>
      </c>
      <c r="AF225" s="262">
        <v>-2.4897773809523811E-3</v>
      </c>
      <c r="AG225" s="262">
        <v>-9.056726190476191E-4</v>
      </c>
      <c r="AH225" s="262">
        <v>4.7965476190476187E-3</v>
      </c>
      <c r="AI225" s="262">
        <v>7.476130952380952E-3</v>
      </c>
      <c r="AJ225" s="262">
        <v>7.8618333333333318E-3</v>
      </c>
      <c r="AK225" s="262">
        <v>6.7086964285714302E-3</v>
      </c>
      <c r="AL225" s="262">
        <v>5.5469345238095252E-3</v>
      </c>
      <c r="AM225" s="262">
        <v>9.2397738095238123E-3</v>
      </c>
      <c r="AN225" s="262">
        <v>9.3753571428571421E-4</v>
      </c>
      <c r="AO225" s="262">
        <v>3.1532440476190488E-3</v>
      </c>
      <c r="AP225" s="262">
        <v>-3.51084523809524E-3</v>
      </c>
      <c r="AQ225" s="262">
        <v>-3.4532976190476193E-3</v>
      </c>
      <c r="AR225" s="262">
        <v>-4.4832797619047604E-3</v>
      </c>
      <c r="AS225" s="262">
        <v>-7.8034107142857141E-3</v>
      </c>
      <c r="AT225" s="262">
        <v>-8.8647261904761902E-3</v>
      </c>
      <c r="AU225" s="262">
        <v>-1.0401726190476189E-2</v>
      </c>
      <c r="AV225" s="262">
        <f t="shared" ca="1" si="18"/>
        <v>1.3021904761904763E-3</v>
      </c>
      <c r="AX225" s="88" t="str">
        <f t="shared" ca="1" si="17"/>
        <v>HPE</v>
      </c>
    </row>
    <row r="226" spans="1:50" hidden="1">
      <c r="A226" s="88" t="str">
        <f t="shared" ca="1" si="15"/>
        <v>HPQ</v>
      </c>
      <c r="F226" s="253">
        <v>24.1799</v>
      </c>
      <c r="G226" s="253">
        <v>24.54</v>
      </c>
      <c r="H226" s="253">
        <v>24.934999999999999</v>
      </c>
      <c r="I226" s="253">
        <v>24.49</v>
      </c>
      <c r="J226" s="253">
        <v>24.425000000000001</v>
      </c>
      <c r="K226" s="253">
        <v>24.91</v>
      </c>
      <c r="L226" s="253">
        <v>26.074999999999999</v>
      </c>
      <c r="M226" s="253">
        <v>26.25</v>
      </c>
      <c r="N226" s="253">
        <v>26.25</v>
      </c>
      <c r="O226" s="253">
        <v>24.765000000000001</v>
      </c>
      <c r="P226" s="253">
        <v>24.99</v>
      </c>
      <c r="Q226" s="253">
        <v>25.414999999999999</v>
      </c>
      <c r="R226" s="253">
        <v>22.52</v>
      </c>
      <c r="S226" s="253">
        <v>22.96</v>
      </c>
      <c r="T226" s="253">
        <v>22.86</v>
      </c>
      <c r="U226" s="253">
        <v>23.27</v>
      </c>
      <c r="V226" s="253">
        <v>23.105</v>
      </c>
      <c r="W226" s="253">
        <v>23.09</v>
      </c>
      <c r="X226" s="253">
        <v>23.2</v>
      </c>
      <c r="Y226" s="253">
        <v>23.5</v>
      </c>
      <c r="Z226" s="247">
        <f ca="1">[1]ExtEntry!$H24</f>
        <v>27.66</v>
      </c>
      <c r="AB226" s="265">
        <v>-1.6815345238095246E-3</v>
      </c>
      <c r="AC226" s="265">
        <v>-1.0322428571428567E-3</v>
      </c>
      <c r="AD226" s="265">
        <v>-2.6980880952380938E-3</v>
      </c>
      <c r="AE226" s="265">
        <v>-4.1735226190476194E-3</v>
      </c>
      <c r="AF226" s="265">
        <v>-4.5794392857142841E-3</v>
      </c>
      <c r="AG226" s="265">
        <v>-1.2763690476190383E-4</v>
      </c>
      <c r="AH226" s="265">
        <v>3.8365059523809524E-3</v>
      </c>
      <c r="AI226" s="265">
        <v>3.755297619047619E-3</v>
      </c>
      <c r="AJ226" s="265">
        <v>3.1737499999999991E-3</v>
      </c>
      <c r="AK226" s="265">
        <v>6.4605773809523811E-3</v>
      </c>
      <c r="AL226" s="265">
        <v>1.2402803571428572E-2</v>
      </c>
      <c r="AM226" s="265">
        <v>1.3524958333333333E-2</v>
      </c>
      <c r="AN226" s="265">
        <v>8.9108809523809531E-3</v>
      </c>
      <c r="AO226" s="265">
        <v>1.020967261904762E-2</v>
      </c>
      <c r="AP226" s="265">
        <v>8.6206607142857144E-3</v>
      </c>
      <c r="AQ226" s="265">
        <v>1.0162071428571428E-2</v>
      </c>
      <c r="AR226" s="265">
        <v>9.2177857142857131E-3</v>
      </c>
      <c r="AS226" s="265">
        <v>-4.4175595238095329E-4</v>
      </c>
      <c r="AT226" s="265">
        <v>-7.1319107142857139E-3</v>
      </c>
      <c r="AU226" s="265">
        <v>-9.3865654761904754E-3</v>
      </c>
      <c r="AV226" s="262">
        <f t="shared" ca="1" si="18"/>
        <v>-2.3200654761904764E-3</v>
      </c>
      <c r="AX226" s="88" t="str">
        <f t="shared" ca="1" si="17"/>
        <v>HPQ</v>
      </c>
    </row>
    <row r="227" spans="1:50" hidden="1">
      <c r="A227" s="88" t="str">
        <f t="shared" ca="1" si="15"/>
        <v>IAG</v>
      </c>
      <c r="F227" s="253">
        <v>26.785</v>
      </c>
      <c r="G227" s="253">
        <v>27.21</v>
      </c>
      <c r="H227" s="253">
        <v>26.69</v>
      </c>
      <c r="I227" s="253">
        <v>26.465</v>
      </c>
      <c r="J227" s="253">
        <v>26.64</v>
      </c>
      <c r="K227" s="253">
        <v>26.56</v>
      </c>
      <c r="L227" s="253">
        <v>27.03</v>
      </c>
      <c r="M227" s="253">
        <v>26.97</v>
      </c>
      <c r="N227" s="253">
        <v>26.97</v>
      </c>
      <c r="O227" s="253">
        <v>27.34</v>
      </c>
      <c r="P227" s="253">
        <v>28.535</v>
      </c>
      <c r="Q227" s="253">
        <v>28.68</v>
      </c>
      <c r="R227" s="253">
        <v>27.215</v>
      </c>
      <c r="S227" s="253">
        <v>27.37</v>
      </c>
      <c r="T227" s="253">
        <v>27.655000000000001</v>
      </c>
      <c r="U227" s="253">
        <v>28.16</v>
      </c>
      <c r="V227" s="253">
        <v>27.66</v>
      </c>
      <c r="W227" s="253">
        <v>27.66</v>
      </c>
      <c r="X227" s="253">
        <v>27.824999999999999</v>
      </c>
      <c r="Y227" s="253">
        <v>27.66</v>
      </c>
      <c r="Z227" s="247">
        <f ca="1">[1]ExtEntry!$H25</f>
        <v>410</v>
      </c>
      <c r="AB227" s="262">
        <v>1.5331785714285716E-3</v>
      </c>
      <c r="AC227" s="262">
        <v>2.1151785714285738E-4</v>
      </c>
      <c r="AD227" s="262">
        <v>2.9247619047619087E-4</v>
      </c>
      <c r="AE227" s="262">
        <v>3.4518964285714287E-3</v>
      </c>
      <c r="AF227" s="262">
        <v>2.1334619047619048E-3</v>
      </c>
      <c r="AG227" s="262">
        <v>2.3173726190476186E-3</v>
      </c>
      <c r="AH227" s="262">
        <v>5.363080952380952E-3</v>
      </c>
      <c r="AI227" s="262">
        <v>6.0640095238095239E-3</v>
      </c>
      <c r="AJ227" s="262">
        <v>4.4718071428571432E-3</v>
      </c>
      <c r="AK227" s="262">
        <v>3.8214976190476192E-3</v>
      </c>
      <c r="AL227" s="262">
        <v>6.4762773809523789E-3</v>
      </c>
      <c r="AM227" s="262">
        <v>4.258694047619048E-3</v>
      </c>
      <c r="AN227" s="262">
        <v>3.8430035714285713E-3</v>
      </c>
      <c r="AO227" s="262">
        <v>2.2289285714286204E-5</v>
      </c>
      <c r="AP227" s="262">
        <v>-2.3941214285714283E-3</v>
      </c>
      <c r="AQ227" s="262">
        <v>-6.8860500000000003E-3</v>
      </c>
      <c r="AR227" s="262">
        <v>-4.3917404761904758E-3</v>
      </c>
      <c r="AS227" s="262">
        <v>-2.2453845238095235E-3</v>
      </c>
      <c r="AT227" s="262">
        <v>-1.7743309523809521E-3</v>
      </c>
      <c r="AU227" s="262">
        <v>-5.8553333333333322E-4</v>
      </c>
      <c r="AV227" s="262">
        <f t="shared" ca="1" si="18"/>
        <v>-2.0265690476190469E-3</v>
      </c>
      <c r="AX227" s="88" t="str">
        <f t="shared" ca="1" si="17"/>
        <v>IAG</v>
      </c>
    </row>
    <row r="228" spans="1:50" hidden="1">
      <c r="A228" s="88" t="str">
        <f t="shared" ca="1" si="15"/>
        <v>KR</v>
      </c>
      <c r="F228" s="253">
        <v>384.1</v>
      </c>
      <c r="G228" s="253">
        <v>386.1</v>
      </c>
      <c r="H228" s="253">
        <v>379.4</v>
      </c>
      <c r="I228" s="253">
        <v>386.6</v>
      </c>
      <c r="J228" s="253">
        <v>385.8</v>
      </c>
      <c r="K228" s="253">
        <v>389.7</v>
      </c>
      <c r="L228" s="253">
        <v>400</v>
      </c>
      <c r="M228" s="253">
        <v>412.8</v>
      </c>
      <c r="N228" s="253">
        <v>408.1</v>
      </c>
      <c r="O228" s="253">
        <v>408.2</v>
      </c>
      <c r="P228" s="253">
        <v>408</v>
      </c>
      <c r="Q228" s="253">
        <v>407.5</v>
      </c>
      <c r="R228" s="253">
        <v>406.3</v>
      </c>
      <c r="S228" s="253">
        <v>391.2</v>
      </c>
      <c r="T228" s="253">
        <v>396</v>
      </c>
      <c r="U228" s="253">
        <v>393.8</v>
      </c>
      <c r="V228" s="253">
        <v>402.6</v>
      </c>
      <c r="W228" s="253">
        <v>402.6</v>
      </c>
      <c r="X228" s="253">
        <v>403.5</v>
      </c>
      <c r="Y228" s="253">
        <v>410</v>
      </c>
      <c r="Z228" s="247">
        <f ca="1">[1]ExtEntry!$H26</f>
        <v>67.11</v>
      </c>
      <c r="AB228" s="265">
        <v>2.5179273809523809E-3</v>
      </c>
      <c r="AC228" s="265">
        <v>5.0916654761904764E-3</v>
      </c>
      <c r="AD228" s="265">
        <v>3.8926892857142855E-3</v>
      </c>
      <c r="AE228" s="265">
        <v>5.0161892857142863E-3</v>
      </c>
      <c r="AF228" s="265">
        <v>3.0480904761904771E-3</v>
      </c>
      <c r="AG228" s="265">
        <v>5.3427273809523819E-3</v>
      </c>
      <c r="AH228" s="265">
        <v>6.6537648809523817E-3</v>
      </c>
      <c r="AI228" s="265">
        <v>5.6805928571428584E-3</v>
      </c>
      <c r="AJ228" s="265">
        <v>4.1364857142857162E-3</v>
      </c>
      <c r="AK228" s="265">
        <v>2.295485714285716E-3</v>
      </c>
      <c r="AL228" s="265">
        <v>5.8327059523809541E-3</v>
      </c>
      <c r="AM228" s="265">
        <v>5.4681833333333346E-3</v>
      </c>
      <c r="AN228" s="265">
        <v>4.8833333333333341E-3</v>
      </c>
      <c r="AO228" s="265">
        <v>2.7272619047618999E-4</v>
      </c>
      <c r="AP228" s="265">
        <v>-2.1645178571428579E-3</v>
      </c>
      <c r="AQ228" s="265">
        <v>-3.1704523809523819E-3</v>
      </c>
      <c r="AR228" s="265">
        <v>-1.5930119047619039E-3</v>
      </c>
      <c r="AS228" s="265">
        <v>1.3984702380952382E-3</v>
      </c>
      <c r="AT228" s="265">
        <v>-2.1122630952380957E-3</v>
      </c>
      <c r="AU228" s="265">
        <v>-3.8688214285714294E-3</v>
      </c>
      <c r="AV228" s="262">
        <f t="shared" ca="1" si="18"/>
        <v>-3.5753505952380959E-3</v>
      </c>
      <c r="AX228" s="88" t="str">
        <f t="shared" ca="1" si="17"/>
        <v>KR</v>
      </c>
    </row>
    <row r="229" spans="1:50" hidden="1">
      <c r="A229" s="88" t="str">
        <f t="shared" ca="1" si="15"/>
        <v>LNSR</v>
      </c>
      <c r="F229" s="253">
        <v>65.995000000000005</v>
      </c>
      <c r="G229" s="253">
        <v>67.41</v>
      </c>
      <c r="H229" s="253">
        <v>66.489999999999995</v>
      </c>
      <c r="I229" s="253">
        <v>66.37</v>
      </c>
      <c r="J229" s="253">
        <v>66.3</v>
      </c>
      <c r="K229" s="253">
        <v>66.88</v>
      </c>
      <c r="L229" s="253">
        <v>68.12</v>
      </c>
      <c r="M229" s="253">
        <v>67.56</v>
      </c>
      <c r="N229" s="253">
        <v>67.56</v>
      </c>
      <c r="O229" s="253">
        <v>67.125</v>
      </c>
      <c r="P229" s="253">
        <v>69.13</v>
      </c>
      <c r="Q229" s="253">
        <v>69.105000000000004</v>
      </c>
      <c r="R229" s="253">
        <v>68.89</v>
      </c>
      <c r="S229" s="253">
        <v>68.989999999999995</v>
      </c>
      <c r="T229" s="253">
        <v>69.16</v>
      </c>
      <c r="U229" s="253">
        <v>67.61</v>
      </c>
      <c r="V229" s="253">
        <v>68.61</v>
      </c>
      <c r="W229" s="253">
        <v>68.61</v>
      </c>
      <c r="X229" s="253">
        <v>68.66</v>
      </c>
      <c r="Y229" s="253">
        <v>67.099999999999994</v>
      </c>
      <c r="Z229" s="247">
        <f ca="1">[1]ExtEntry!$H27</f>
        <v>11.97</v>
      </c>
      <c r="AB229" s="262">
        <v>-4.5887023809523721E-4</v>
      </c>
      <c r="AC229" s="262">
        <v>-4.6797619047615584E-6</v>
      </c>
      <c r="AD229" s="262">
        <v>-5.356619047619058E-4</v>
      </c>
      <c r="AE229" s="262">
        <v>-2.6251499999999988E-3</v>
      </c>
      <c r="AF229" s="262">
        <v>-8.5132857142857258E-4</v>
      </c>
      <c r="AG229" s="262">
        <v>2.6020940476190477E-3</v>
      </c>
      <c r="AH229" s="262">
        <v>3.6555464285714283E-3</v>
      </c>
      <c r="AI229" s="262">
        <v>-8.3050714285714308E-4</v>
      </c>
      <c r="AJ229" s="262">
        <v>8.0629761904761534E-5</v>
      </c>
      <c r="AK229" s="262">
        <v>8.126357142857147E-4</v>
      </c>
      <c r="AL229" s="262">
        <v>1.305172619047619E-3</v>
      </c>
      <c r="AM229" s="262">
        <v>-2.6298035714285729E-3</v>
      </c>
      <c r="AN229" s="262">
        <v>1.2219535714285716E-3</v>
      </c>
      <c r="AO229" s="262">
        <v>6.1058452380952349E-4</v>
      </c>
      <c r="AP229" s="262">
        <v>2.0979476190476189E-3</v>
      </c>
      <c r="AQ229" s="262">
        <v>3.8449595238095238E-3</v>
      </c>
      <c r="AR229" s="262">
        <v>6.2673880952380948E-3</v>
      </c>
      <c r="AS229" s="262">
        <v>4.1248464285714298E-3</v>
      </c>
      <c r="AT229" s="262">
        <v>1.389659523809525E-3</v>
      </c>
      <c r="AU229" s="262">
        <v>3.9327601190476185E-3</v>
      </c>
      <c r="AV229" s="262">
        <f t="shared" ca="1" si="18"/>
        <v>5.796825595238096E-3</v>
      </c>
      <c r="AX229" s="88" t="str">
        <f t="shared" ca="1" si="17"/>
        <v>LNSR</v>
      </c>
    </row>
    <row r="230" spans="1:50" hidden="1">
      <c r="A230" s="88" t="str">
        <f t="shared" ca="1" si="15"/>
        <v>LUMN</v>
      </c>
      <c r="F230" s="253">
        <v>12.1252</v>
      </c>
      <c r="G230" s="253">
        <v>12.35</v>
      </c>
      <c r="H230" s="253">
        <v>12.27</v>
      </c>
      <c r="I230" s="253">
        <v>12.43</v>
      </c>
      <c r="J230" s="253">
        <v>12.19</v>
      </c>
      <c r="K230" s="253">
        <v>12.06</v>
      </c>
      <c r="L230" s="253">
        <v>12.18</v>
      </c>
      <c r="M230" s="253">
        <v>11.99</v>
      </c>
      <c r="N230" s="253">
        <v>11.99</v>
      </c>
      <c r="O230" s="253">
        <v>11.97</v>
      </c>
      <c r="P230" s="253">
        <v>11.98</v>
      </c>
      <c r="Q230" s="253">
        <v>11.7</v>
      </c>
      <c r="R230" s="253">
        <v>11.82</v>
      </c>
      <c r="S230" s="253">
        <v>11.85</v>
      </c>
      <c r="T230" s="253">
        <v>12.28</v>
      </c>
      <c r="U230" s="253">
        <v>12.26</v>
      </c>
      <c r="V230" s="253">
        <v>12.22</v>
      </c>
      <c r="W230" s="253">
        <v>12.22</v>
      </c>
      <c r="X230" s="253">
        <v>11.98</v>
      </c>
      <c r="Y230" s="253">
        <v>11.97</v>
      </c>
      <c r="Z230" s="247">
        <f ca="1">[1]ExtEntry!$H28</f>
        <v>8.09</v>
      </c>
      <c r="AB230" s="265">
        <v>-4.6233035714285716E-3</v>
      </c>
      <c r="AC230" s="265">
        <v>-2.3172916666666672E-3</v>
      </c>
      <c r="AD230" s="265">
        <v>-2.0975119047619076E-3</v>
      </c>
      <c r="AE230" s="265">
        <v>-1.2678732142857141E-2</v>
      </c>
      <c r="AF230" s="265">
        <v>3.0594047619048048E-4</v>
      </c>
      <c r="AG230" s="265">
        <v>4.3341607142857105E-3</v>
      </c>
      <c r="AH230" s="265">
        <v>4.1687559523809533E-3</v>
      </c>
      <c r="AI230" s="265">
        <v>6.9319226190476205E-3</v>
      </c>
      <c r="AJ230" s="265">
        <v>5.9350416666666675E-3</v>
      </c>
      <c r="AK230" s="265">
        <v>2.6733392857142867E-3</v>
      </c>
      <c r="AL230" s="265">
        <v>3.5120000000000012E-3</v>
      </c>
      <c r="AM230" s="265">
        <v>-1.1529940476190468E-3</v>
      </c>
      <c r="AN230" s="265">
        <v>-9.6720714285714257E-3</v>
      </c>
      <c r="AO230" s="265">
        <v>-5.0948035714285713E-3</v>
      </c>
      <c r="AP230" s="265">
        <v>-5.27213095238095E-3</v>
      </c>
      <c r="AQ230" s="265">
        <v>-2.2393630952380929E-3</v>
      </c>
      <c r="AR230" s="265">
        <v>5.1348333333333315E-3</v>
      </c>
      <c r="AS230" s="265">
        <v>-2.5668571428571416E-3</v>
      </c>
      <c r="AT230" s="265">
        <v>2.209178571428572E-3</v>
      </c>
      <c r="AU230" s="265">
        <v>2.114017857142856E-3</v>
      </c>
      <c r="AV230" s="262">
        <f t="shared" ca="1" si="18"/>
        <v>7.5708928571428559E-3</v>
      </c>
      <c r="AX230" s="88" t="str">
        <f t="shared" ca="1" si="17"/>
        <v>LUMN</v>
      </c>
    </row>
    <row r="231" spans="1:50" hidden="1">
      <c r="A231" s="88" t="str">
        <f t="shared" ca="1" si="15"/>
        <v>MRNA</v>
      </c>
      <c r="F231" s="253">
        <v>5.8480999999999996</v>
      </c>
      <c r="G231" s="253">
        <v>6.125</v>
      </c>
      <c r="H231" s="253">
        <v>6.0750000000000002</v>
      </c>
      <c r="I231" s="253">
        <v>6.3849999999999998</v>
      </c>
      <c r="J231" s="253">
        <v>6.5549999999999997</v>
      </c>
      <c r="K231" s="253">
        <v>6.9050000000000002</v>
      </c>
      <c r="L231" s="253">
        <v>7.0549999999999997</v>
      </c>
      <c r="M231" s="253">
        <v>6.8550000000000004</v>
      </c>
      <c r="N231" s="253">
        <v>6.85</v>
      </c>
      <c r="O231" s="253">
        <v>6.75</v>
      </c>
      <c r="P231" s="253">
        <v>6.87</v>
      </c>
      <c r="Q231" s="253">
        <v>7.1749999999999998</v>
      </c>
      <c r="R231" s="253">
        <v>7.0250000000000004</v>
      </c>
      <c r="S231" s="253">
        <v>6.9</v>
      </c>
      <c r="T231" s="253">
        <v>7.1550000000000002</v>
      </c>
      <c r="U231" s="253">
        <v>7.1749999999999998</v>
      </c>
      <c r="V231" s="253">
        <v>7.05</v>
      </c>
      <c r="W231" s="253">
        <v>7.05</v>
      </c>
      <c r="X231" s="253">
        <v>7.7850000000000001</v>
      </c>
      <c r="Y231" s="253">
        <v>8.0850000000000009</v>
      </c>
      <c r="Z231" s="247">
        <f ca="1">[1]ExtEntry!$H29</f>
        <v>26.74</v>
      </c>
      <c r="AB231" s="262">
        <v>-3.5214285714287833E-5</v>
      </c>
      <c r="AC231" s="262">
        <v>1.3177738095238086E-3</v>
      </c>
      <c r="AD231" s="262">
        <v>7.8288690476190463E-3</v>
      </c>
      <c r="AE231" s="262">
        <v>7.7297619047619111E-4</v>
      </c>
      <c r="AF231" s="262">
        <v>5.1795535714285693E-3</v>
      </c>
      <c r="AG231" s="262">
        <v>3.5941726190476175E-3</v>
      </c>
      <c r="AH231" s="262">
        <v>1.0679428571428574E-2</v>
      </c>
      <c r="AI231" s="262">
        <v>9.8966904761904773E-3</v>
      </c>
      <c r="AJ231" s="262">
        <v>7.7544107142857128E-3</v>
      </c>
      <c r="AK231" s="262">
        <v>1.5015476190476159E-3</v>
      </c>
      <c r="AL231" s="262">
        <v>-8.0364642857142874E-3</v>
      </c>
      <c r="AM231" s="262">
        <v>-6.3379285714285725E-3</v>
      </c>
      <c r="AN231" s="262">
        <v>-6.5714642857142864E-3</v>
      </c>
      <c r="AO231" s="262">
        <v>-8.0284047619047609E-3</v>
      </c>
      <c r="AP231" s="262">
        <v>-7.4137142857142856E-3</v>
      </c>
      <c r="AQ231" s="262">
        <v>-5.3504166666666674E-3</v>
      </c>
      <c r="AR231" s="262">
        <v>-2.0005416666666665E-3</v>
      </c>
      <c r="AS231" s="262">
        <v>-4.7633214285714284E-3</v>
      </c>
      <c r="AT231" s="262">
        <v>-4.035660714285713E-3</v>
      </c>
      <c r="AU231" s="262">
        <v>-1.2094625000000001E-2</v>
      </c>
      <c r="AV231" s="262">
        <f t="shared" ca="1" si="18"/>
        <v>-9.2579404761904752E-3</v>
      </c>
      <c r="AX231" s="88" t="str">
        <f t="shared" ca="1" si="17"/>
        <v>MRNA</v>
      </c>
    </row>
    <row r="232" spans="1:50" hidden="1">
      <c r="A232" s="88" t="str">
        <f t="shared" ca="1" si="15"/>
        <v>MSFT</v>
      </c>
      <c r="F232" s="253">
        <v>25.108599999999999</v>
      </c>
      <c r="G232" s="253">
        <v>25.83</v>
      </c>
      <c r="H232" s="253">
        <v>27.6</v>
      </c>
      <c r="I232" s="253">
        <v>28.37</v>
      </c>
      <c r="J232" s="253">
        <v>28.49</v>
      </c>
      <c r="K232" s="253">
        <v>27.34</v>
      </c>
      <c r="L232" s="253">
        <v>27.92</v>
      </c>
      <c r="M232" s="253">
        <v>27.53</v>
      </c>
      <c r="N232" s="253">
        <v>27.53</v>
      </c>
      <c r="O232" s="253">
        <v>26.74</v>
      </c>
      <c r="P232" s="253">
        <v>26.25</v>
      </c>
      <c r="Q232" s="253">
        <v>27.754999999999999</v>
      </c>
      <c r="R232" s="253">
        <v>27.14</v>
      </c>
      <c r="S232" s="253">
        <v>26.01</v>
      </c>
      <c r="T232" s="253">
        <v>27.24</v>
      </c>
      <c r="U232" s="253">
        <v>27.49</v>
      </c>
      <c r="V232" s="253">
        <v>26.85</v>
      </c>
      <c r="W232" s="253">
        <v>26.85</v>
      </c>
      <c r="X232" s="253">
        <v>26.25</v>
      </c>
      <c r="Y232" s="253">
        <v>26.74</v>
      </c>
      <c r="Z232" s="247">
        <f ca="1">[1]ExtEntry!$H30</f>
        <v>523.61</v>
      </c>
      <c r="AB232" s="265">
        <v>1.2288976190476188E-3</v>
      </c>
      <c r="AC232" s="265">
        <v>-1.1477869047619043E-3</v>
      </c>
      <c r="AD232" s="265">
        <v>-3.1881333333333341E-3</v>
      </c>
      <c r="AE232" s="265">
        <v>-2.9804404761904764E-3</v>
      </c>
      <c r="AF232" s="265">
        <v>-1.2235773809523821E-3</v>
      </c>
      <c r="AG232" s="265">
        <v>-1.8135714285714294E-3</v>
      </c>
      <c r="AH232" s="265">
        <v>-9.0054761904762026E-4</v>
      </c>
      <c r="AI232" s="265">
        <v>-2.166601190476191E-3</v>
      </c>
      <c r="AJ232" s="265">
        <v>-3.261125000000001E-3</v>
      </c>
      <c r="AK232" s="265">
        <v>-2.7620000000000006E-3</v>
      </c>
      <c r="AL232" s="265">
        <v>-2.9939607142857143E-3</v>
      </c>
      <c r="AM232" s="265">
        <v>-1.6919130952380954E-3</v>
      </c>
      <c r="AN232" s="265">
        <v>-2.9404309523809527E-3</v>
      </c>
      <c r="AO232" s="265">
        <v>-1.7035083333333341E-3</v>
      </c>
      <c r="AP232" s="265">
        <v>-5.3952023809523823E-4</v>
      </c>
      <c r="AQ232" s="265">
        <v>1.0620690476190475E-3</v>
      </c>
      <c r="AR232" s="265">
        <v>1.7799916666666666E-3</v>
      </c>
      <c r="AS232" s="265">
        <v>9.7139642857142902E-4</v>
      </c>
      <c r="AT232" s="265">
        <v>1.1771420238095237E-3</v>
      </c>
      <c r="AU232" s="265">
        <v>1.6021539285714288E-3</v>
      </c>
      <c r="AV232" s="262">
        <f t="shared" ca="1" si="18"/>
        <v>3.5395527380952382E-3</v>
      </c>
      <c r="AX232" s="88" t="str">
        <f t="shared" ca="1" si="17"/>
        <v>MSFT</v>
      </c>
    </row>
    <row r="233" spans="1:50" hidden="1">
      <c r="A233" s="88" t="str">
        <f t="shared" ca="1" si="15"/>
        <v>NEE</v>
      </c>
      <c r="F233" s="253">
        <v>514.8501</v>
      </c>
      <c r="G233" s="253">
        <v>517.95000000000005</v>
      </c>
      <c r="H233" s="253">
        <v>519.71</v>
      </c>
      <c r="I233" s="253">
        <v>515.74</v>
      </c>
      <c r="J233" s="253">
        <v>517.35</v>
      </c>
      <c r="K233" s="253">
        <v>523.98</v>
      </c>
      <c r="L233" s="253">
        <v>524.85</v>
      </c>
      <c r="M233" s="253">
        <v>522.4</v>
      </c>
      <c r="N233" s="253">
        <v>522.4</v>
      </c>
      <c r="O233" s="253">
        <v>514.04999999999995</v>
      </c>
      <c r="P233" s="253">
        <v>513.57000000000005</v>
      </c>
      <c r="Q233" s="253">
        <v>512.49009999999998</v>
      </c>
      <c r="R233" s="253">
        <v>511.61</v>
      </c>
      <c r="S233" s="253">
        <v>513.58000000000004</v>
      </c>
      <c r="T233" s="253">
        <v>516.79</v>
      </c>
      <c r="U233" s="253">
        <v>517.66</v>
      </c>
      <c r="V233" s="253">
        <v>520.54</v>
      </c>
      <c r="W233" s="253">
        <v>520.54</v>
      </c>
      <c r="X233" s="253">
        <v>520.55999999999995</v>
      </c>
      <c r="Y233" s="253">
        <v>523.61</v>
      </c>
      <c r="Z233" s="247">
        <f ca="1">[1]ExtEntry!$H31</f>
        <v>84.41</v>
      </c>
      <c r="AB233" s="262">
        <v>7.3098208333333336E-3</v>
      </c>
      <c r="AC233" s="262">
        <v>6.0640767857142869E-3</v>
      </c>
      <c r="AD233" s="262">
        <v>8.1804696428571418E-3</v>
      </c>
      <c r="AE233" s="262">
        <v>4.9147672619047631E-3</v>
      </c>
      <c r="AF233" s="262">
        <v>6.337003571428571E-3</v>
      </c>
      <c r="AG233" s="262">
        <v>4.1588249999999997E-3</v>
      </c>
      <c r="AH233" s="262">
        <v>3.7724678571428583E-3</v>
      </c>
      <c r="AI233" s="262">
        <v>2.1628785714285738E-3</v>
      </c>
      <c r="AJ233" s="262">
        <v>2.5218607142857164E-3</v>
      </c>
      <c r="AK233" s="262">
        <v>4.835313095238096E-3</v>
      </c>
      <c r="AL233" s="262">
        <v>-5.6323809523808714E-5</v>
      </c>
      <c r="AM233" s="262">
        <v>1.7084559523809521E-3</v>
      </c>
      <c r="AN233" s="262">
        <v>-3.1011452380952393E-3</v>
      </c>
      <c r="AO233" s="262">
        <v>-5.0591035714285726E-3</v>
      </c>
      <c r="AP233" s="262">
        <v>-5.9233952380952385E-3</v>
      </c>
      <c r="AQ233" s="262">
        <v>-5.9412940476190491E-3</v>
      </c>
      <c r="AR233" s="262">
        <v>-5.696805952380952E-3</v>
      </c>
      <c r="AS233" s="262">
        <v>-8.176595238095238E-3</v>
      </c>
      <c r="AT233" s="262">
        <v>-7.2971369047619052E-3</v>
      </c>
      <c r="AU233" s="262">
        <v>-7.3883809523809536E-3</v>
      </c>
      <c r="AV233" s="262">
        <f t="shared" ca="1" si="18"/>
        <v>-1.0385404761904762E-2</v>
      </c>
      <c r="AX233" s="88" t="str">
        <f t="shared" ca="1" si="17"/>
        <v>NEE</v>
      </c>
    </row>
    <row r="234" spans="1:50" hidden="1">
      <c r="A234" s="88" t="str">
        <f t="shared" ca="1" si="15"/>
        <v>NEM</v>
      </c>
      <c r="F234" s="253">
        <v>75.58</v>
      </c>
      <c r="G234" s="253">
        <v>75.47</v>
      </c>
      <c r="H234" s="253">
        <v>78.67</v>
      </c>
      <c r="I234" s="253">
        <v>78.174999999999997</v>
      </c>
      <c r="J234" s="253">
        <v>80.075000000000003</v>
      </c>
      <c r="K234" s="253">
        <v>83.29</v>
      </c>
      <c r="L234" s="253">
        <v>84.06</v>
      </c>
      <c r="M234" s="253">
        <v>83.7</v>
      </c>
      <c r="N234" s="253">
        <v>83.71</v>
      </c>
      <c r="O234" s="253">
        <v>84.29</v>
      </c>
      <c r="P234" s="253">
        <v>84.635000000000005</v>
      </c>
      <c r="Q234" s="253">
        <v>85.79</v>
      </c>
      <c r="R234" s="253">
        <v>85.05</v>
      </c>
      <c r="S234" s="253">
        <v>84.53</v>
      </c>
      <c r="T234" s="253">
        <v>84.775000000000006</v>
      </c>
      <c r="U234" s="253">
        <v>83.99</v>
      </c>
      <c r="V234" s="253">
        <v>82.85</v>
      </c>
      <c r="W234" s="253">
        <v>82.85</v>
      </c>
      <c r="X234" s="253">
        <v>83.27</v>
      </c>
      <c r="Y234" s="253">
        <v>84.41</v>
      </c>
      <c r="Z234" s="247">
        <f ca="1">[1]ExtEntry!$H32</f>
        <v>83.37</v>
      </c>
      <c r="AB234" s="265">
        <v>7.3280714285714268E-3</v>
      </c>
      <c r="AC234" s="265">
        <v>2.7096130952380931E-3</v>
      </c>
      <c r="AD234" s="265">
        <v>-9.5411904761904826E-4</v>
      </c>
      <c r="AE234" s="265">
        <v>-2.9747023809523817E-3</v>
      </c>
      <c r="AF234" s="265">
        <v>-4.2261845238095262E-3</v>
      </c>
      <c r="AG234" s="265">
        <v>-4.0007023809523834E-3</v>
      </c>
      <c r="AH234" s="265">
        <v>-2.9240416666666694E-3</v>
      </c>
      <c r="AI234" s="265">
        <v>-6.4374940476190469E-3</v>
      </c>
      <c r="AJ234" s="265">
        <v>-8.1459047619047622E-3</v>
      </c>
      <c r="AK234" s="265">
        <v>-4.134714285714285E-3</v>
      </c>
      <c r="AL234" s="265">
        <v>-6.0753392857142837E-3</v>
      </c>
      <c r="AM234" s="265">
        <v>-4.0445476190476195E-3</v>
      </c>
      <c r="AN234" s="265">
        <v>-9.8955357142857005E-4</v>
      </c>
      <c r="AO234" s="265">
        <v>-4.9362202380952387E-3</v>
      </c>
      <c r="AP234" s="265">
        <v>-1.4512797619047639E-3</v>
      </c>
      <c r="AQ234" s="265">
        <v>-1.9024285714285721E-3</v>
      </c>
      <c r="AR234" s="265">
        <v>4.0453571428571431E-3</v>
      </c>
      <c r="AS234" s="265">
        <v>-1.0476964285714271E-3</v>
      </c>
      <c r="AT234" s="265">
        <v>-1.6938035714285718E-3</v>
      </c>
      <c r="AU234" s="265">
        <v>-1.0704583333333333E-2</v>
      </c>
      <c r="AV234" s="262">
        <f t="shared" ca="1" si="18"/>
        <v>-1.7365226190476188E-2</v>
      </c>
      <c r="AX234" s="88" t="str">
        <f t="shared" ca="1" si="17"/>
        <v>NEM</v>
      </c>
    </row>
    <row r="235" spans="1:50" hidden="1">
      <c r="A235" s="88" t="str">
        <f t="shared" ca="1" si="15"/>
        <v>NFLX</v>
      </c>
      <c r="F235" s="253">
        <v>84.993099999999998</v>
      </c>
      <c r="G235" s="253">
        <v>84.29</v>
      </c>
      <c r="H235" s="253">
        <v>85.94</v>
      </c>
      <c r="I235" s="253">
        <v>86.424999999999997</v>
      </c>
      <c r="J235" s="253">
        <v>86.855000000000004</v>
      </c>
      <c r="K235" s="253">
        <v>86.96</v>
      </c>
      <c r="L235" s="253">
        <v>88.41</v>
      </c>
      <c r="M235" s="253">
        <v>85.23</v>
      </c>
      <c r="N235" s="253">
        <v>85.21</v>
      </c>
      <c r="O235" s="253">
        <v>89.4</v>
      </c>
      <c r="P235" s="253">
        <v>90.54</v>
      </c>
      <c r="Q235" s="253">
        <v>93.64</v>
      </c>
      <c r="R235" s="253">
        <v>98.25</v>
      </c>
      <c r="S235" s="253">
        <v>90.77</v>
      </c>
      <c r="T235" s="253">
        <v>94.894999999999996</v>
      </c>
      <c r="U235" s="253">
        <v>86.305000000000007</v>
      </c>
      <c r="V235" s="253">
        <v>87</v>
      </c>
      <c r="W235" s="253">
        <v>87</v>
      </c>
      <c r="X235" s="253">
        <v>88.86</v>
      </c>
      <c r="Y235" s="253">
        <v>83.33</v>
      </c>
      <c r="Z235" s="247">
        <f ca="1">[1]ExtEntry!$H33</f>
        <v>1094.69</v>
      </c>
      <c r="AB235" s="262">
        <v>1.7526660714285716E-3</v>
      </c>
      <c r="AC235" s="262">
        <v>-9.4063154761904683E-4</v>
      </c>
      <c r="AD235" s="262">
        <v>-4.8391791666666665E-3</v>
      </c>
      <c r="AE235" s="262">
        <v>-4.8272297619047621E-3</v>
      </c>
      <c r="AF235" s="262">
        <v>-3.318342857142856E-3</v>
      </c>
      <c r="AG235" s="262">
        <v>5.3113095238096087E-5</v>
      </c>
      <c r="AH235" s="262">
        <v>1.8216785714285722E-3</v>
      </c>
      <c r="AI235" s="262">
        <v>2.0625000000000005E-3</v>
      </c>
      <c r="AJ235" s="262">
        <v>2.1364166666666671E-3</v>
      </c>
      <c r="AK235" s="262">
        <v>2.2500428571428574E-3</v>
      </c>
      <c r="AL235" s="262">
        <v>5.1672809523809534E-3</v>
      </c>
      <c r="AM235" s="262">
        <v>6.0561619047619052E-3</v>
      </c>
      <c r="AN235" s="262">
        <v>5.7101976190476206E-3</v>
      </c>
      <c r="AO235" s="262">
        <v>2.9563285714285718E-3</v>
      </c>
      <c r="AP235" s="262">
        <v>3.8083166666666671E-3</v>
      </c>
      <c r="AQ235" s="262">
        <v>3.0077749999999999E-3</v>
      </c>
      <c r="AR235" s="262">
        <v>-6.5494452380952372E-3</v>
      </c>
      <c r="AS235" s="262">
        <v>-1.4577947619047618E-2</v>
      </c>
      <c r="AT235" s="262">
        <v>-1.4960727380952381E-2</v>
      </c>
      <c r="AU235" s="262">
        <v>-1.5202370238095234E-2</v>
      </c>
      <c r="AV235" s="262">
        <f t="shared" ca="1" si="18"/>
        <v>-1.4453596428571426E-2</v>
      </c>
      <c r="AX235" s="88" t="str">
        <f t="shared" ca="1" si="17"/>
        <v>NFLX</v>
      </c>
    </row>
    <row r="236" spans="1:50" hidden="1">
      <c r="A236" s="88" t="str">
        <f t="shared" ca="1" si="15"/>
        <v>NOTE</v>
      </c>
      <c r="F236" s="253">
        <v>1204.54</v>
      </c>
      <c r="G236" s="253">
        <v>1198.92</v>
      </c>
      <c r="H236" s="253">
        <v>1170.9000000000001</v>
      </c>
      <c r="I236" s="253">
        <v>1162.53</v>
      </c>
      <c r="J236" s="253">
        <v>1153.32</v>
      </c>
      <c r="K236" s="253">
        <v>1191.06</v>
      </c>
      <c r="L236" s="253">
        <v>1214.25</v>
      </c>
      <c r="M236" s="253">
        <v>1231.07</v>
      </c>
      <c r="N236" s="253">
        <v>1231.07</v>
      </c>
      <c r="O236" s="253">
        <v>1219.03</v>
      </c>
      <c r="P236" s="253">
        <v>1215.3499999999999</v>
      </c>
      <c r="Q236" s="253">
        <v>1206.58</v>
      </c>
      <c r="R236" s="253">
        <v>1183.5899999999999</v>
      </c>
      <c r="S236" s="253">
        <v>1199.3599999999999</v>
      </c>
      <c r="T236" s="253">
        <v>1238.56</v>
      </c>
      <c r="U236" s="253">
        <v>1241.3499999999999</v>
      </c>
      <c r="V236" s="253">
        <v>1116.3699999999999</v>
      </c>
      <c r="W236" s="253">
        <v>1116.3699999999999</v>
      </c>
      <c r="X236" s="253">
        <v>1113.5899999999999</v>
      </c>
      <c r="Y236" s="253">
        <v>1094.69</v>
      </c>
      <c r="Z236" s="247">
        <f ca="1">[1]ExtEntry!$H34</f>
        <v>4.37</v>
      </c>
      <c r="AB236" s="265">
        <v>6.4800535714285724E-3</v>
      </c>
      <c r="AC236" s="265">
        <v>5.8515238095238134E-3</v>
      </c>
      <c r="AD236" s="265">
        <v>1.0785095238095241E-2</v>
      </c>
      <c r="AE236" s="265">
        <v>-1.5536428571428541E-3</v>
      </c>
      <c r="AF236" s="265">
        <v>-1.438857142857141E-3</v>
      </c>
      <c r="AG236" s="265">
        <v>3.0390059523809536E-3</v>
      </c>
      <c r="AH236" s="265">
        <v>1.4518767857142859E-2</v>
      </c>
      <c r="AI236" s="265">
        <v>1.6276630952380952E-2</v>
      </c>
      <c r="AJ236" s="265">
        <v>9.8244761904761942E-3</v>
      </c>
      <c r="AK236" s="265">
        <v>5.0630357142857135E-3</v>
      </c>
      <c r="AL236" s="265">
        <v>3.1940595238095231E-3</v>
      </c>
      <c r="AM236" s="265">
        <v>-7.3433750000000009E-3</v>
      </c>
      <c r="AN236" s="265">
        <v>-1.6924244047619053E-2</v>
      </c>
      <c r="AO236" s="265">
        <v>-1.5796345238095241E-2</v>
      </c>
      <c r="AP236" s="265">
        <v>-1.9072041666666671E-2</v>
      </c>
      <c r="AQ236" s="265">
        <v>-1.1341505952380957E-2</v>
      </c>
      <c r="AR236" s="265">
        <v>-2.2621369047619022E-3</v>
      </c>
      <c r="AS236" s="265">
        <v>-6.8541547619047575E-3</v>
      </c>
      <c r="AT236" s="265">
        <v>-6.0872916666666653E-3</v>
      </c>
      <c r="AU236" s="265">
        <v>-7.9461904761904765E-3</v>
      </c>
      <c r="AV236" s="262">
        <f t="shared" ca="1" si="18"/>
        <v>-1.4135833333333344E-3</v>
      </c>
      <c r="AX236" s="88" t="str">
        <f t="shared" ca="1" si="17"/>
        <v>NOTE</v>
      </c>
    </row>
    <row r="237" spans="1:50" hidden="1">
      <c r="A237" s="88" t="str">
        <f t="shared" ref="A237:A268" ca="1" si="19">A137</f>
        <v>PAAS</v>
      </c>
      <c r="F237" s="253">
        <v>4.5999999999999996</v>
      </c>
      <c r="G237" s="253">
        <v>4.63</v>
      </c>
      <c r="H237" s="253">
        <v>4.68</v>
      </c>
      <c r="I237" s="253">
        <v>4.97</v>
      </c>
      <c r="J237" s="253">
        <v>5.16</v>
      </c>
      <c r="K237" s="253">
        <v>5.05</v>
      </c>
      <c r="L237" s="253">
        <v>5.27</v>
      </c>
      <c r="M237" s="253">
        <v>4.93</v>
      </c>
      <c r="N237" s="253">
        <v>4.93</v>
      </c>
      <c r="O237" s="253">
        <v>4.62</v>
      </c>
      <c r="P237" s="253">
        <v>4.7</v>
      </c>
      <c r="Q237" s="253">
        <v>4.6740000000000004</v>
      </c>
      <c r="R237" s="253">
        <v>4.3899999999999997</v>
      </c>
      <c r="S237" s="253">
        <v>4.25</v>
      </c>
      <c r="T237" s="253">
        <v>4.45</v>
      </c>
      <c r="U237" s="253">
        <v>4.49</v>
      </c>
      <c r="V237" s="253">
        <v>4.24</v>
      </c>
      <c r="W237" s="253">
        <v>4.24</v>
      </c>
      <c r="X237" s="253">
        <v>4.45</v>
      </c>
      <c r="Y237" s="253">
        <v>4.37</v>
      </c>
      <c r="Z237" s="247">
        <f ca="1">[1]ExtEntry!$H35</f>
        <v>36.340000000000003</v>
      </c>
      <c r="AB237" s="262">
        <v>8.4938511904761923E-3</v>
      </c>
      <c r="AC237" s="262">
        <v>4.7713571428571449E-3</v>
      </c>
      <c r="AD237" s="262">
        <v>1.7466071428571435E-3</v>
      </c>
      <c r="AE237" s="262">
        <v>-2.6211250000000019E-3</v>
      </c>
      <c r="AF237" s="262">
        <v>-4.9322380952380946E-3</v>
      </c>
      <c r="AG237" s="262">
        <v>1.0559523809522062E-5</v>
      </c>
      <c r="AH237" s="262">
        <v>-9.6394642857142859E-4</v>
      </c>
      <c r="AI237" s="262">
        <v>-7.4979642857142866E-3</v>
      </c>
      <c r="AJ237" s="262">
        <v>-1.2146904761904762E-2</v>
      </c>
      <c r="AK237" s="262">
        <v>-7.3301726190476198E-3</v>
      </c>
      <c r="AL237" s="262">
        <v>-1.0629017857142858E-2</v>
      </c>
      <c r="AM237" s="262">
        <v>-6.6539166666666682E-3</v>
      </c>
      <c r="AN237" s="262">
        <v>-5.5056071428571437E-3</v>
      </c>
      <c r="AO237" s="262">
        <v>-1.0122190476190479E-2</v>
      </c>
      <c r="AP237" s="262">
        <v>-7.9341785714285729E-3</v>
      </c>
      <c r="AQ237" s="262">
        <v>-1.0131999999999999E-2</v>
      </c>
      <c r="AR237" s="262">
        <v>-3.8278690476190452E-3</v>
      </c>
      <c r="AS237" s="262">
        <v>-1.0018041666666663E-2</v>
      </c>
      <c r="AT237" s="262">
        <v>-7.1959107142857137E-3</v>
      </c>
      <c r="AU237" s="262">
        <v>-1.1242726190476187E-2</v>
      </c>
      <c r="AV237" s="262">
        <f t="shared" ca="1" si="18"/>
        <v>-9.5039047619047551E-3</v>
      </c>
      <c r="AX237" s="88" t="str">
        <f t="shared" ref="AX237:AX268" ca="1" si="20">A237</f>
        <v>PAAS</v>
      </c>
    </row>
    <row r="238" spans="1:50" hidden="1">
      <c r="A238" s="88" t="str">
        <f t="shared" ca="1" si="19"/>
        <v>PROF</v>
      </c>
      <c r="F238" s="253">
        <v>39.284999999999997</v>
      </c>
      <c r="G238" s="253">
        <v>38.734999999999999</v>
      </c>
      <c r="H238" s="253">
        <v>39.299999999999997</v>
      </c>
      <c r="I238" s="253">
        <v>39.19</v>
      </c>
      <c r="J238" s="253">
        <v>39.04</v>
      </c>
      <c r="K238" s="253">
        <v>39.340000000000003</v>
      </c>
      <c r="L238" s="253">
        <v>39.78</v>
      </c>
      <c r="M238" s="253">
        <v>38.56</v>
      </c>
      <c r="N238" s="253">
        <v>38.549999999999997</v>
      </c>
      <c r="O238" s="253">
        <v>40.86</v>
      </c>
      <c r="P238" s="253">
        <v>39.56</v>
      </c>
      <c r="Q238" s="253">
        <v>41.06</v>
      </c>
      <c r="R238" s="253">
        <v>42.03</v>
      </c>
      <c r="S238" s="253">
        <v>38.44</v>
      </c>
      <c r="T238" s="253">
        <v>39.35</v>
      </c>
      <c r="U238" s="253">
        <v>35.435000000000002</v>
      </c>
      <c r="V238" s="253">
        <v>35.875</v>
      </c>
      <c r="W238" s="253">
        <v>35.875</v>
      </c>
      <c r="X238" s="253">
        <v>36.21</v>
      </c>
      <c r="Y238" s="253">
        <v>36.33</v>
      </c>
      <c r="Z238" s="247">
        <f ca="1">[1]ExtEntry!$H36</f>
        <v>5.5</v>
      </c>
      <c r="AB238" s="265">
        <v>2.3397122619047622E-2</v>
      </c>
      <c r="AC238" s="265">
        <v>1.3837928571428565E-2</v>
      </c>
      <c r="AD238" s="265">
        <v>8.0616547619047595E-3</v>
      </c>
      <c r="AE238" s="265">
        <v>1.1223809523809518E-2</v>
      </c>
      <c r="AF238" s="265">
        <v>-4.8948928571428615E-3</v>
      </c>
      <c r="AG238" s="265">
        <v>-3.5649523809523839E-3</v>
      </c>
      <c r="AH238" s="265">
        <v>5.2608511904761839E-3</v>
      </c>
      <c r="AI238" s="265">
        <v>-8.9438095238094859E-4</v>
      </c>
      <c r="AJ238" s="265">
        <v>2.0699107142857186E-3</v>
      </c>
      <c r="AK238" s="265">
        <v>9.6289523809523769E-3</v>
      </c>
      <c r="AL238" s="265">
        <v>6.527660714285715E-3</v>
      </c>
      <c r="AM238" s="265">
        <v>-5.2981369047618992E-3</v>
      </c>
      <c r="AN238" s="265">
        <v>-1.7842446428571433E-2</v>
      </c>
      <c r="AO238" s="265">
        <v>-3.1021726190476183E-2</v>
      </c>
      <c r="AP238" s="265">
        <v>-3.052020238095237E-2</v>
      </c>
      <c r="AQ238" s="265">
        <v>-2.4987886904761902E-2</v>
      </c>
      <c r="AR238" s="265">
        <v>-2.831913095238095E-2</v>
      </c>
      <c r="AS238" s="265">
        <v>-2.8055273809523808E-2</v>
      </c>
      <c r="AT238" s="265">
        <v>-2.3629946428571427E-2</v>
      </c>
      <c r="AU238" s="265">
        <v>-1.8086273809523806E-2</v>
      </c>
      <c r="AV238" s="262">
        <f t="shared" ca="1" si="18"/>
        <v>-3.0771964285714257E-3</v>
      </c>
      <c r="AX238" s="88" t="str">
        <f t="shared" ca="1" si="20"/>
        <v>PROF</v>
      </c>
    </row>
    <row r="239" spans="1:50" hidden="1">
      <c r="A239" s="88" t="str">
        <f t="shared" ca="1" si="19"/>
        <v>POET</v>
      </c>
      <c r="F239" s="253">
        <v>5.0999999999999996</v>
      </c>
      <c r="G239" s="253">
        <v>4.8899999999999997</v>
      </c>
      <c r="H239" s="253">
        <v>4.9400000000000004</v>
      </c>
      <c r="I239" s="253">
        <v>5.31</v>
      </c>
      <c r="J239" s="253">
        <v>5.6749999999999998</v>
      </c>
      <c r="K239" s="253">
        <v>6.46</v>
      </c>
      <c r="L239" s="253">
        <v>6.74</v>
      </c>
      <c r="M239" s="253">
        <v>6.63</v>
      </c>
      <c r="N239" s="253">
        <v>6.63</v>
      </c>
      <c r="O239" s="253">
        <v>5.98</v>
      </c>
      <c r="P239" s="253">
        <v>5.83</v>
      </c>
      <c r="Q239" s="253">
        <v>5.6</v>
      </c>
      <c r="R239" s="253">
        <v>5.56</v>
      </c>
      <c r="S239" s="253">
        <v>5.53</v>
      </c>
      <c r="T239" s="253">
        <v>5.78</v>
      </c>
      <c r="U239" s="253">
        <v>5.86</v>
      </c>
      <c r="V239" s="253">
        <v>5.42</v>
      </c>
      <c r="W239" s="253">
        <v>5.42</v>
      </c>
      <c r="X239" s="253">
        <v>5.306</v>
      </c>
      <c r="Y239" s="253">
        <v>5.5</v>
      </c>
      <c r="Z239" s="247">
        <f ca="1">[1]ExtEntry!$H37</f>
        <v>8.23</v>
      </c>
      <c r="AB239" s="262">
        <v>7.0914226190476187E-3</v>
      </c>
      <c r="AC239" s="262">
        <v>7.3659583333333337E-3</v>
      </c>
      <c r="AD239" s="262">
        <v>1.3936178571428575E-2</v>
      </c>
      <c r="AE239" s="262">
        <v>2.185010714285714E-2</v>
      </c>
      <c r="AF239" s="262">
        <v>-5.7653571428571432E-4</v>
      </c>
      <c r="AG239" s="262">
        <v>1.7206208333333337E-2</v>
      </c>
      <c r="AH239" s="262">
        <v>2.7294416666666665E-2</v>
      </c>
      <c r="AI239" s="262">
        <v>3.5032934523809525E-2</v>
      </c>
      <c r="AJ239" s="262">
        <v>3.6401958333333331E-2</v>
      </c>
      <c r="AK239" s="262">
        <v>4.257280357142857E-2</v>
      </c>
      <c r="AL239" s="262">
        <v>3.7739214285714293E-2</v>
      </c>
      <c r="AM239" s="262">
        <v>1.9405351190476192E-2</v>
      </c>
      <c r="AN239" s="262">
        <v>1.7397583333333334E-2</v>
      </c>
      <c r="AO239" s="262">
        <v>-1.663831547619047E-2</v>
      </c>
      <c r="AP239" s="262">
        <v>-3.2293827380952378E-2</v>
      </c>
      <c r="AQ239" s="262">
        <v>-2.8980357142857141E-2</v>
      </c>
      <c r="AR239" s="262">
        <v>-2.5240083333333323E-2</v>
      </c>
      <c r="AS239" s="262">
        <v>-3.1425172619047613E-2</v>
      </c>
      <c r="AT239" s="262">
        <v>-4.0851696428571421E-2</v>
      </c>
      <c r="AU239" s="262">
        <v>-2.0825886904761903E-2</v>
      </c>
      <c r="AV239" s="262">
        <f t="shared" ca="1" si="18"/>
        <v>-7.1451666666666608E-3</v>
      </c>
      <c r="AX239" s="88" t="str">
        <f t="shared" ca="1" si="20"/>
        <v>POET</v>
      </c>
    </row>
    <row r="240" spans="1:50" hidden="1">
      <c r="A240" s="88" t="str">
        <f t="shared" ca="1" si="19"/>
        <v>PW</v>
      </c>
      <c r="F240" s="253">
        <v>5.4423000000000004</v>
      </c>
      <c r="G240" s="253">
        <v>5.54</v>
      </c>
      <c r="H240" s="253">
        <v>5.94</v>
      </c>
      <c r="I240" s="253">
        <v>6.5</v>
      </c>
      <c r="J240" s="253">
        <v>6.22</v>
      </c>
      <c r="K240" s="253">
        <v>7.88</v>
      </c>
      <c r="L240" s="253">
        <v>9.2200000000000006</v>
      </c>
      <c r="M240" s="253">
        <v>8.82</v>
      </c>
      <c r="N240" s="253">
        <v>8.82</v>
      </c>
      <c r="O240" s="253">
        <v>8.43</v>
      </c>
      <c r="P240" s="253">
        <v>9.0500000000000007</v>
      </c>
      <c r="Q240" s="253">
        <v>8.3849999999999998</v>
      </c>
      <c r="R240" s="253">
        <v>7.56</v>
      </c>
      <c r="S240" s="253">
        <v>7.02</v>
      </c>
      <c r="T240" s="253">
        <v>7.59</v>
      </c>
      <c r="U240" s="253">
        <v>7.45</v>
      </c>
      <c r="V240" s="253">
        <v>7.37</v>
      </c>
      <c r="W240" s="253">
        <v>7.37</v>
      </c>
      <c r="X240" s="253">
        <v>7.31</v>
      </c>
      <c r="Y240" s="253">
        <v>8.23</v>
      </c>
      <c r="Z240" s="247">
        <f ca="1">[1]ExtEntry!$H38</f>
        <v>0.75349999999999995</v>
      </c>
      <c r="AB240" s="265">
        <v>2.6728232142857147E-2</v>
      </c>
      <c r="AC240" s="265">
        <v>2.4737351190476192E-2</v>
      </c>
      <c r="AD240" s="265">
        <v>2.6089607142857144E-2</v>
      </c>
      <c r="AE240" s="265">
        <v>2.0532613095238097E-2</v>
      </c>
      <c r="AF240" s="265">
        <v>9.8270059523809516E-3</v>
      </c>
      <c r="AG240" s="265">
        <v>8.3070238095238093E-3</v>
      </c>
      <c r="AH240" s="265">
        <v>5.0098273809523796E-3</v>
      </c>
      <c r="AI240" s="265">
        <v>-7.0974345238095224E-3</v>
      </c>
      <c r="AJ240" s="265">
        <v>-1.844294642857143E-2</v>
      </c>
      <c r="AK240" s="265">
        <v>-1.2670720238095238E-2</v>
      </c>
      <c r="AL240" s="265">
        <v>-1.5855607142857144E-2</v>
      </c>
      <c r="AM240" s="265">
        <v>-1.7582583333333332E-2</v>
      </c>
      <c r="AN240" s="265">
        <v>-1.6594529761904765E-2</v>
      </c>
      <c r="AO240" s="265">
        <v>-2.4736619047619049E-2</v>
      </c>
      <c r="AP240" s="265">
        <v>-2.5479672619047614E-2</v>
      </c>
      <c r="AQ240" s="265">
        <v>-2.3392440476190473E-2</v>
      </c>
      <c r="AR240" s="265">
        <v>-2.1552833333333334E-2</v>
      </c>
      <c r="AS240" s="265">
        <v>-2.2798333333333337E-2</v>
      </c>
      <c r="AT240" s="265">
        <v>-2.0023773809523807E-2</v>
      </c>
      <c r="AU240" s="265">
        <v>-1.7331047619047614E-2</v>
      </c>
      <c r="AV240" s="262">
        <f t="shared" ca="1" si="18"/>
        <v>-1.02581488095238E-2</v>
      </c>
      <c r="AX240" s="88" t="str">
        <f t="shared" ca="1" si="20"/>
        <v>PW</v>
      </c>
    </row>
    <row r="241" spans="1:50" hidden="1">
      <c r="A241" s="88" t="str">
        <f t="shared" ca="1" si="19"/>
        <v>RIGL</v>
      </c>
      <c r="F241" s="253">
        <v>1.0698000000000001</v>
      </c>
      <c r="G241" s="253">
        <v>1.01</v>
      </c>
      <c r="H241" s="253">
        <v>1.01</v>
      </c>
      <c r="I241" s="253">
        <v>1.0386</v>
      </c>
      <c r="J241" s="253">
        <v>1.01</v>
      </c>
      <c r="K241" s="253">
        <v>1.04</v>
      </c>
      <c r="L241" s="253">
        <v>0.99739999999999995</v>
      </c>
      <c r="M241" s="253">
        <v>0.95009999999999994</v>
      </c>
      <c r="N241" s="253">
        <v>0.95009999999999994</v>
      </c>
      <c r="O241" s="253">
        <v>0.90600000000000003</v>
      </c>
      <c r="P241" s="253">
        <v>0.87160000000000004</v>
      </c>
      <c r="Q241" s="253">
        <v>0.9</v>
      </c>
      <c r="R241" s="253">
        <v>0.89990000000000003</v>
      </c>
      <c r="S241" s="253">
        <v>0.82040000000000002</v>
      </c>
      <c r="T241" s="253">
        <v>0.78110000000000002</v>
      </c>
      <c r="U241" s="253">
        <v>0.7641</v>
      </c>
      <c r="V241" s="253">
        <v>0.70950000000000002</v>
      </c>
      <c r="W241" s="253">
        <v>0.70950000000000002</v>
      </c>
      <c r="X241" s="253">
        <v>0.68500000000000005</v>
      </c>
      <c r="Y241" s="253">
        <v>0.75349999999999995</v>
      </c>
      <c r="Z241" s="247">
        <f ca="1">[1]ExtEntry!$H39</f>
        <v>29.97</v>
      </c>
      <c r="AB241" s="262">
        <v>-1.0202267857142854E-2</v>
      </c>
      <c r="AC241" s="262">
        <v>-9.8704166666666645E-3</v>
      </c>
      <c r="AD241" s="262">
        <v>-7.881470238095236E-3</v>
      </c>
      <c r="AE241" s="262">
        <v>-7.8996190476190511E-3</v>
      </c>
      <c r="AF241" s="262">
        <v>-4.5584642857142872E-3</v>
      </c>
      <c r="AG241" s="262">
        <v>1.0248535714285712E-2</v>
      </c>
      <c r="AH241" s="262">
        <v>9.0741726190476189E-3</v>
      </c>
      <c r="AI241" s="262">
        <v>9.1394226190476199E-3</v>
      </c>
      <c r="AJ241" s="262">
        <v>9.4183571428571415E-3</v>
      </c>
      <c r="AK241" s="262">
        <v>7.7137559523809476E-3</v>
      </c>
      <c r="AL241" s="262">
        <v>8.9838273809523788E-3</v>
      </c>
      <c r="AM241" s="262">
        <v>1.031169642857143E-2</v>
      </c>
      <c r="AN241" s="262">
        <v>5.4828869047619027E-3</v>
      </c>
      <c r="AO241" s="262">
        <v>3.6582380952380955E-3</v>
      </c>
      <c r="AP241" s="262">
        <v>1.0474589285714285E-2</v>
      </c>
      <c r="AQ241" s="262">
        <v>1.363785119047619E-2</v>
      </c>
      <c r="AR241" s="262">
        <v>1.6783613095238094E-2</v>
      </c>
      <c r="AS241" s="262">
        <v>2.3251142857142856E-2</v>
      </c>
      <c r="AT241" s="262">
        <v>1.2175988095238096E-2</v>
      </c>
      <c r="AU241" s="262">
        <v>8.0225892857142857E-3</v>
      </c>
      <c r="AV241" s="262">
        <f t="shared" ca="1" si="18"/>
        <v>8.1552261904761884E-3</v>
      </c>
      <c r="AX241" s="88" t="str">
        <f t="shared" ca="1" si="20"/>
        <v>RIGL</v>
      </c>
    </row>
    <row r="242" spans="1:50" hidden="1">
      <c r="A242" s="88" t="str">
        <f t="shared" ca="1" si="19"/>
        <v>RWE</v>
      </c>
      <c r="F242" s="253">
        <v>28.74</v>
      </c>
      <c r="G242" s="253">
        <v>28.33</v>
      </c>
      <c r="H242" s="253">
        <v>28.16</v>
      </c>
      <c r="I242" s="253">
        <v>28.12</v>
      </c>
      <c r="J242" s="253">
        <v>28.54</v>
      </c>
      <c r="K242" s="253">
        <v>29.5</v>
      </c>
      <c r="L242" s="253">
        <v>28.76</v>
      </c>
      <c r="M242" s="253">
        <v>28.4</v>
      </c>
      <c r="N242" s="253">
        <v>28.4</v>
      </c>
      <c r="O242" s="253">
        <v>26.83</v>
      </c>
      <c r="P242" s="253">
        <v>27.38</v>
      </c>
      <c r="Q242" s="253">
        <v>28.08</v>
      </c>
      <c r="R242" s="253">
        <v>28.11</v>
      </c>
      <c r="S242" s="253">
        <v>27.94</v>
      </c>
      <c r="T242" s="253">
        <v>29.46</v>
      </c>
      <c r="U242" s="253">
        <v>30.27</v>
      </c>
      <c r="V242" s="253">
        <v>30.69</v>
      </c>
      <c r="W242" s="253">
        <v>30.69</v>
      </c>
      <c r="X242" s="253">
        <v>29.39</v>
      </c>
      <c r="Y242" s="253">
        <v>29.97</v>
      </c>
      <c r="Z242" s="247">
        <f ca="1">[1]ExtEntry!$H40</f>
        <v>40.57</v>
      </c>
      <c r="AB242" s="265">
        <v>4.7348333333333322E-3</v>
      </c>
      <c r="AC242" s="265">
        <v>3.6467380952380953E-3</v>
      </c>
      <c r="AD242" s="265">
        <v>5.1515059523809508E-3</v>
      </c>
      <c r="AE242" s="265">
        <v>3.0080416666666658E-3</v>
      </c>
      <c r="AF242" s="265">
        <v>2.8263035714285699E-3</v>
      </c>
      <c r="AG242" s="265">
        <v>2.1594226190476181E-3</v>
      </c>
      <c r="AH242" s="265">
        <v>2.9742916666666659E-3</v>
      </c>
      <c r="AI242" s="265">
        <v>5.1186309523809388E-4</v>
      </c>
      <c r="AJ242" s="265">
        <v>1.4100833333333309E-3</v>
      </c>
      <c r="AK242" s="265">
        <v>2.3953630952380936E-3</v>
      </c>
      <c r="AL242" s="265">
        <v>-1.7888035714285714E-3</v>
      </c>
      <c r="AM242" s="265">
        <v>-9.4844047619047599E-4</v>
      </c>
      <c r="AN242" s="265">
        <v>-1.4069345238095238E-3</v>
      </c>
      <c r="AO242" s="265">
        <v>-2.4959642857142863E-3</v>
      </c>
      <c r="AP242" s="265">
        <v>-4.9128928571428579E-3</v>
      </c>
      <c r="AQ242" s="265">
        <v>-4.6601607142857148E-3</v>
      </c>
      <c r="AR242" s="265">
        <v>-4.9774047619047619E-3</v>
      </c>
      <c r="AS242" s="265">
        <v>-6.9883452380952397E-3</v>
      </c>
      <c r="AT242" s="265">
        <v>-5.6279940476190475E-3</v>
      </c>
      <c r="AU242" s="265">
        <v>-4.8329642857142851E-3</v>
      </c>
      <c r="AV242" s="262">
        <f t="shared" ca="1" si="18"/>
        <v>-8.6514047619047612E-3</v>
      </c>
      <c r="AX242" s="88" t="str">
        <f t="shared" ca="1" si="20"/>
        <v>RWE</v>
      </c>
    </row>
    <row r="243" spans="1:50" hidden="1">
      <c r="A243" s="88" t="str">
        <f t="shared" ca="1" si="19"/>
        <v>SAP</v>
      </c>
      <c r="F243" s="253">
        <v>37.78</v>
      </c>
      <c r="G243" s="253">
        <v>37.92</v>
      </c>
      <c r="H243" s="253">
        <v>39.04</v>
      </c>
      <c r="I243" s="253">
        <v>38.93</v>
      </c>
      <c r="J243" s="253">
        <v>39.22</v>
      </c>
      <c r="K243" s="253">
        <v>39.72</v>
      </c>
      <c r="L243" s="253">
        <v>40.49</v>
      </c>
      <c r="M243" s="253">
        <v>40.22</v>
      </c>
      <c r="N243" s="253">
        <v>40.54</v>
      </c>
      <c r="O243" s="253">
        <v>40.96</v>
      </c>
      <c r="P243" s="253">
        <v>40.58</v>
      </c>
      <c r="Q243" s="253">
        <v>40.69</v>
      </c>
      <c r="R243" s="253">
        <v>41.38</v>
      </c>
      <c r="S243" s="253">
        <v>41.06</v>
      </c>
      <c r="T243" s="253">
        <v>40.92</v>
      </c>
      <c r="U243" s="253">
        <v>40.47</v>
      </c>
      <c r="V243" s="253">
        <v>40.22</v>
      </c>
      <c r="W243" s="253">
        <v>40.22</v>
      </c>
      <c r="X243" s="253">
        <v>40</v>
      </c>
      <c r="Y243" s="253">
        <v>40.479999999999997</v>
      </c>
      <c r="Z243" s="247">
        <f ca="1">[1]ExtEntry!$H41</f>
        <v>233.35</v>
      </c>
      <c r="AB243" s="262">
        <v>8.2171547619047745E-4</v>
      </c>
      <c r="AC243" s="262">
        <v>1.4481678571428582E-3</v>
      </c>
      <c r="AD243" s="262">
        <v>3.1468619047619051E-3</v>
      </c>
      <c r="AE243" s="262">
        <v>6.8008916666666671E-3</v>
      </c>
      <c r="AF243" s="262">
        <v>5.0916178571428572E-3</v>
      </c>
      <c r="AG243" s="262">
        <v>5.6918202380952399E-3</v>
      </c>
      <c r="AH243" s="262">
        <v>7.9203904761904788E-3</v>
      </c>
      <c r="AI243" s="262">
        <v>6.77924761904762E-3</v>
      </c>
      <c r="AJ243" s="262">
        <v>5.7920095238095243E-3</v>
      </c>
      <c r="AK243" s="262">
        <v>5.0132714285714289E-3</v>
      </c>
      <c r="AL243" s="262">
        <v>3.9830857142857147E-3</v>
      </c>
      <c r="AM243" s="262">
        <v>7.7509761904761979E-4</v>
      </c>
      <c r="AN243" s="262">
        <v>6.7412142857142809E-4</v>
      </c>
      <c r="AO243" s="262">
        <v>6.7364523809523803E-4</v>
      </c>
      <c r="AP243" s="262">
        <v>1.6619428571428567E-3</v>
      </c>
      <c r="AQ243" s="262">
        <v>1.5248357142857143E-3</v>
      </c>
      <c r="AR243" s="262">
        <v>-3.1940238095237976E-4</v>
      </c>
      <c r="AS243" s="262">
        <v>-1.6050571428571415E-3</v>
      </c>
      <c r="AT243" s="262">
        <v>-2.4578333333333214E-4</v>
      </c>
      <c r="AU243" s="262">
        <v>-4.4022476190476185E-3</v>
      </c>
      <c r="AV243" s="262">
        <f t="shared" ca="1" si="18"/>
        <v>-6.1789083333333326E-3</v>
      </c>
      <c r="AX243" s="88" t="str">
        <f t="shared" ca="1" si="20"/>
        <v>SAP</v>
      </c>
    </row>
    <row r="244" spans="1:50" hidden="1">
      <c r="A244" s="88" t="str">
        <f t="shared" ca="1" si="19"/>
        <v>SHECY</v>
      </c>
      <c r="F244" s="253">
        <v>225.55</v>
      </c>
      <c r="G244" s="253">
        <v>227.9</v>
      </c>
      <c r="H244" s="253">
        <v>227.8</v>
      </c>
      <c r="I244" s="253">
        <v>232.1</v>
      </c>
      <c r="J244" s="253">
        <v>230.15</v>
      </c>
      <c r="K244" s="253">
        <v>235</v>
      </c>
      <c r="L244" s="253">
        <v>237.2</v>
      </c>
      <c r="M244" s="253">
        <v>237.8</v>
      </c>
      <c r="N244" s="253">
        <v>238</v>
      </c>
      <c r="O244" s="253">
        <v>231.4</v>
      </c>
      <c r="P244" s="253">
        <v>232.7</v>
      </c>
      <c r="Q244" s="253">
        <v>234.2</v>
      </c>
      <c r="R244" s="253">
        <v>233.2</v>
      </c>
      <c r="S244" s="253">
        <v>230.95</v>
      </c>
      <c r="T244" s="253">
        <v>238.6</v>
      </c>
      <c r="U244" s="253">
        <v>240.4</v>
      </c>
      <c r="V244" s="253">
        <v>236.85</v>
      </c>
      <c r="W244" s="253">
        <v>236.85</v>
      </c>
      <c r="X244" s="253">
        <v>242</v>
      </c>
      <c r="Y244" s="253">
        <v>233.35</v>
      </c>
      <c r="Z244" s="247">
        <f ca="1">[1]ExtEntry!$H42</f>
        <v>15.67</v>
      </c>
      <c r="AB244" s="265">
        <v>1.1480952380952441E-4</v>
      </c>
      <c r="AC244" s="265">
        <v>-1.4519642857142769E-4</v>
      </c>
      <c r="AD244" s="265">
        <v>3.37375E-4</v>
      </c>
      <c r="AE244" s="265">
        <v>-5.4235952380952404E-4</v>
      </c>
      <c r="AF244" s="265">
        <v>2.2129500000000009E-3</v>
      </c>
      <c r="AG244" s="265">
        <v>2.1863607142857157E-3</v>
      </c>
      <c r="AH244" s="265">
        <v>1.2228309523809522E-3</v>
      </c>
      <c r="AI244" s="265">
        <v>-7.1057738095237988E-4</v>
      </c>
      <c r="AJ244" s="265">
        <v>-2.3350892857142863E-3</v>
      </c>
      <c r="AK244" s="265">
        <v>-1.3373273809523818E-3</v>
      </c>
      <c r="AL244" s="265">
        <v>-1.3776726190476195E-3</v>
      </c>
      <c r="AM244" s="265">
        <v>-1.9574345238095254E-3</v>
      </c>
      <c r="AN244" s="265">
        <v>-5.5793690476190465E-3</v>
      </c>
      <c r="AO244" s="265">
        <v>-1.9677500000000007E-3</v>
      </c>
      <c r="AP244" s="265">
        <v>-5.2261309523809552E-4</v>
      </c>
      <c r="AQ244" s="265">
        <v>-4.8161309523809615E-4</v>
      </c>
      <c r="AR244" s="265">
        <v>-7.5654166666666708E-4</v>
      </c>
      <c r="AS244" s="265">
        <v>-5.6123452380952392E-3</v>
      </c>
      <c r="AT244" s="265">
        <v>-6.6167023809523811E-3</v>
      </c>
      <c r="AU244" s="265">
        <v>-8.8061011904761906E-3</v>
      </c>
      <c r="AV244" s="262">
        <f t="shared" ca="1" si="18"/>
        <v>-6.1099821428571436E-3</v>
      </c>
      <c r="AX244" s="88" t="str">
        <f t="shared" ca="1" si="20"/>
        <v>SHECY</v>
      </c>
    </row>
    <row r="245" spans="1:50" hidden="1">
      <c r="A245" s="88" t="str">
        <f t="shared" ca="1" si="19"/>
        <v>SSYS</v>
      </c>
      <c r="F245" s="253">
        <v>16.184999999999999</v>
      </c>
      <c r="G245" s="253">
        <v>16.3</v>
      </c>
      <c r="H245" s="253">
        <v>16.46</v>
      </c>
      <c r="I245" s="253">
        <v>16.520800000000001</v>
      </c>
      <c r="J245" s="253">
        <v>17.14</v>
      </c>
      <c r="K245" s="253">
        <v>17.079999999999998</v>
      </c>
      <c r="L245" s="253">
        <v>16.78</v>
      </c>
      <c r="M245" s="253">
        <v>16.73</v>
      </c>
      <c r="N245" s="253">
        <v>16.73</v>
      </c>
      <c r="O245" s="253">
        <v>16.28</v>
      </c>
      <c r="P245" s="253">
        <v>16.57</v>
      </c>
      <c r="Q245" s="253">
        <v>16.543399999999998</v>
      </c>
      <c r="R245" s="253">
        <v>16.45</v>
      </c>
      <c r="S245" s="253">
        <v>16.5</v>
      </c>
      <c r="T245" s="253">
        <v>16.34</v>
      </c>
      <c r="U245" s="253">
        <v>16.27</v>
      </c>
      <c r="V245" s="253">
        <v>16.04</v>
      </c>
      <c r="W245" s="253">
        <v>16.04</v>
      </c>
      <c r="X245" s="253">
        <v>16.149999999999999</v>
      </c>
      <c r="Y245" s="253">
        <v>15.67</v>
      </c>
      <c r="Z245" s="247">
        <f ca="1">[1]ExtEntry!$H43</f>
        <v>11.99</v>
      </c>
      <c r="AB245" s="262">
        <v>1.779145238095238E-2</v>
      </c>
      <c r="AC245" s="262">
        <v>7.7421607142857136E-3</v>
      </c>
      <c r="AD245" s="262">
        <v>-1.0071547619047603E-3</v>
      </c>
      <c r="AE245" s="262">
        <v>5.8208452380952395E-3</v>
      </c>
      <c r="AF245" s="262">
        <v>-9.5016369047619016E-3</v>
      </c>
      <c r="AG245" s="262">
        <v>-1.1051374999999997E-2</v>
      </c>
      <c r="AH245" s="262">
        <v>-1.153518452380952E-2</v>
      </c>
      <c r="AI245" s="262">
        <v>-1.3903249999999997E-2</v>
      </c>
      <c r="AJ245" s="262">
        <v>-1.1006571428571426E-2</v>
      </c>
      <c r="AK245" s="262">
        <v>-6.64242857142857E-3</v>
      </c>
      <c r="AL245" s="262">
        <v>-4.8404166666666639E-3</v>
      </c>
      <c r="AM245" s="262">
        <v>-5.8506369047618993E-3</v>
      </c>
      <c r="AN245" s="262">
        <v>-6.9488035714285676E-3</v>
      </c>
      <c r="AO245" s="262">
        <v>-6.815672619047617E-3</v>
      </c>
      <c r="AP245" s="262">
        <v>7.4819523809523843E-3</v>
      </c>
      <c r="AQ245" s="262">
        <v>1.0669761904761906E-2</v>
      </c>
      <c r="AR245" s="262">
        <v>3.2879702380952374E-3</v>
      </c>
      <c r="AS245" s="262">
        <v>-2.627779761904763E-3</v>
      </c>
      <c r="AT245" s="262">
        <v>6.5201785714285221E-4</v>
      </c>
      <c r="AU245" s="262">
        <v>-5.2639940476190512E-3</v>
      </c>
      <c r="AV245" s="262">
        <f t="shared" ca="1" si="18"/>
        <v>-7.1209047619047684E-3</v>
      </c>
      <c r="AX245" s="88" t="str">
        <f t="shared" ca="1" si="20"/>
        <v>SSYS</v>
      </c>
    </row>
    <row r="246" spans="1:50" hidden="1">
      <c r="A246" s="88" t="str">
        <f t="shared" ca="1" si="19"/>
        <v>TSLA</v>
      </c>
      <c r="F246" s="253">
        <v>11.33</v>
      </c>
      <c r="G246" s="253">
        <v>11.2</v>
      </c>
      <c r="H246" s="253">
        <v>11.08</v>
      </c>
      <c r="I246" s="253">
        <v>11.58</v>
      </c>
      <c r="J246" s="253">
        <v>11.64</v>
      </c>
      <c r="K246" s="253">
        <v>11.55</v>
      </c>
      <c r="L246" s="253">
        <v>11.49</v>
      </c>
      <c r="M246" s="253">
        <v>11.41</v>
      </c>
      <c r="N246" s="253">
        <v>11.41</v>
      </c>
      <c r="O246" s="253">
        <v>10.87</v>
      </c>
      <c r="P246" s="253">
        <v>10.86</v>
      </c>
      <c r="Q246" s="253">
        <v>11.468999999999999</v>
      </c>
      <c r="R246" s="253">
        <v>11.48</v>
      </c>
      <c r="S246" s="253">
        <v>10.92</v>
      </c>
      <c r="T246" s="253">
        <v>12.44</v>
      </c>
      <c r="U246" s="253">
        <v>12.35</v>
      </c>
      <c r="V246" s="253">
        <v>11.3</v>
      </c>
      <c r="W246" s="253">
        <v>11.3</v>
      </c>
      <c r="X246" s="253">
        <v>11.78</v>
      </c>
      <c r="Y246" s="253">
        <v>11.99</v>
      </c>
      <c r="Z246" s="247">
        <f ca="1">[1]ExtEntry!$H44</f>
        <v>433.72</v>
      </c>
      <c r="AB246" s="265">
        <v>-5.9193988095238136E-3</v>
      </c>
      <c r="AC246" s="265">
        <v>-9.2957976190476219E-3</v>
      </c>
      <c r="AD246" s="265">
        <v>-9.0693095238095281E-3</v>
      </c>
      <c r="AE246" s="265">
        <v>-1.4345648809523812E-2</v>
      </c>
      <c r="AF246" s="265">
        <v>-1.2401184523809526E-2</v>
      </c>
      <c r="AG246" s="265">
        <v>-2.1418005952380956E-2</v>
      </c>
      <c r="AH246" s="265">
        <v>-1.4861261904761905E-2</v>
      </c>
      <c r="AI246" s="265">
        <v>-2.0326333333333335E-2</v>
      </c>
      <c r="AJ246" s="265">
        <v>-1.8223267857142861E-2</v>
      </c>
      <c r="AK246" s="265">
        <v>-1.0952422619047626E-2</v>
      </c>
      <c r="AL246" s="265">
        <v>-1.31254880952381E-2</v>
      </c>
      <c r="AM246" s="265">
        <v>-4.2635773809523818E-3</v>
      </c>
      <c r="AN246" s="265">
        <v>-2.288011904761906E-3</v>
      </c>
      <c r="AO246" s="265">
        <v>4.1702797619047613E-3</v>
      </c>
      <c r="AP246" s="265">
        <v>5.0375773809523813E-3</v>
      </c>
      <c r="AQ246" s="265">
        <v>6.1529880952380942E-3</v>
      </c>
      <c r="AR246" s="265">
        <v>7.1811904761904764E-3</v>
      </c>
      <c r="AS246" s="265">
        <v>-1.1449226190476192E-3</v>
      </c>
      <c r="AT246" s="265">
        <v>4.423708333333335E-3</v>
      </c>
      <c r="AU246" s="265">
        <v>-1.51625E-3</v>
      </c>
      <c r="AV246" s="262">
        <f t="shared" ca="1" si="18"/>
        <v>3.361285714285716E-3</v>
      </c>
      <c r="AX246" s="88" t="str">
        <f t="shared" ca="1" si="20"/>
        <v>TSLA</v>
      </c>
    </row>
    <row r="247" spans="1:50" hidden="1">
      <c r="A247" s="88" t="str">
        <f t="shared" ca="1" si="19"/>
        <v>TSM</v>
      </c>
      <c r="F247" s="253">
        <v>440.98</v>
      </c>
      <c r="G247" s="253">
        <v>444.72</v>
      </c>
      <c r="H247" s="253">
        <v>459.46</v>
      </c>
      <c r="I247" s="253">
        <v>436</v>
      </c>
      <c r="J247" s="253">
        <v>429.83</v>
      </c>
      <c r="K247" s="253">
        <v>433.09</v>
      </c>
      <c r="L247" s="253">
        <v>438.69</v>
      </c>
      <c r="M247" s="253">
        <v>435.54</v>
      </c>
      <c r="N247" s="253">
        <v>435.54</v>
      </c>
      <c r="O247" s="253">
        <v>435.9</v>
      </c>
      <c r="P247" s="253">
        <v>429.24</v>
      </c>
      <c r="Q247" s="253">
        <v>433.44009999999997</v>
      </c>
      <c r="R247" s="253">
        <v>428.75</v>
      </c>
      <c r="S247" s="253">
        <v>439.31</v>
      </c>
      <c r="T247" s="253">
        <v>447.43</v>
      </c>
      <c r="U247" s="253">
        <v>442.6</v>
      </c>
      <c r="V247" s="253">
        <v>438.97</v>
      </c>
      <c r="W247" s="253">
        <v>438.97</v>
      </c>
      <c r="X247" s="253">
        <v>448.98</v>
      </c>
      <c r="Y247" s="253">
        <v>433.72</v>
      </c>
      <c r="Z247" s="247">
        <f ca="1">[1]ExtEntry!$H45</f>
        <v>294.95999999999998</v>
      </c>
      <c r="AB247" s="262">
        <v>-4.6528809523809535E-3</v>
      </c>
      <c r="AC247" s="262">
        <v>-2.0173452380952391E-3</v>
      </c>
      <c r="AD247" s="262">
        <v>2.7142202380952395E-3</v>
      </c>
      <c r="AE247" s="262">
        <v>-1.4779107142857129E-3</v>
      </c>
      <c r="AF247" s="262">
        <v>-4.2292916666666668E-3</v>
      </c>
      <c r="AG247" s="262">
        <v>-4.7490178571428553E-3</v>
      </c>
      <c r="AH247" s="262">
        <v>5.5905357142857146E-4</v>
      </c>
      <c r="AI247" s="262">
        <v>2.6366428571428574E-3</v>
      </c>
      <c r="AJ247" s="262">
        <v>5.5366666666666758E-4</v>
      </c>
      <c r="AK247" s="262">
        <v>4.1111666666666657E-3</v>
      </c>
      <c r="AL247" s="262">
        <v>-1.4467916666666674E-3</v>
      </c>
      <c r="AM247" s="262">
        <v>1.4611190476190462E-3</v>
      </c>
      <c r="AN247" s="262">
        <v>-1.2871130952380938E-3</v>
      </c>
      <c r="AO247" s="262">
        <v>1.9645297619047611E-3</v>
      </c>
      <c r="AP247" s="262">
        <v>-2.45357142857143E-3</v>
      </c>
      <c r="AQ247" s="262">
        <v>-2.0336309523809543E-3</v>
      </c>
      <c r="AR247" s="262">
        <v>1.9748809523809606E-4</v>
      </c>
      <c r="AS247" s="262">
        <v>-9.5524583333333329E-3</v>
      </c>
      <c r="AT247" s="262">
        <v>-6.530595238095239E-3</v>
      </c>
      <c r="AU247" s="262">
        <v>-9.9489702380952359E-3</v>
      </c>
      <c r="AV247" s="262">
        <f t="shared" ca="1" si="18"/>
        <v>-1.0562279761904762E-2</v>
      </c>
      <c r="AX247" s="88" t="str">
        <f t="shared" ca="1" si="20"/>
        <v>TSM</v>
      </c>
    </row>
    <row r="248" spans="1:50" hidden="1">
      <c r="A248" s="88" t="str">
        <f t="shared" ca="1" si="19"/>
        <v>UN0</v>
      </c>
      <c r="F248" s="253">
        <v>274.685</v>
      </c>
      <c r="G248" s="253">
        <v>279.245</v>
      </c>
      <c r="H248" s="253">
        <v>288.60000000000002</v>
      </c>
      <c r="I248" s="253">
        <v>288.13</v>
      </c>
      <c r="J248" s="253">
        <v>292.3</v>
      </c>
      <c r="K248" s="253">
        <v>294.10000000000002</v>
      </c>
      <c r="L248" s="253">
        <v>304.51</v>
      </c>
      <c r="M248" s="253">
        <v>299.83999999999997</v>
      </c>
      <c r="N248" s="253">
        <v>299.88</v>
      </c>
      <c r="O248" s="253">
        <v>303.23</v>
      </c>
      <c r="P248" s="253">
        <v>295.97500000000002</v>
      </c>
      <c r="Q248" s="253">
        <v>305.065</v>
      </c>
      <c r="R248" s="253">
        <v>299.97000000000003</v>
      </c>
      <c r="S248" s="253">
        <v>295.08</v>
      </c>
      <c r="T248" s="253">
        <v>297.79399999999998</v>
      </c>
      <c r="U248" s="253">
        <v>294.52</v>
      </c>
      <c r="V248" s="253">
        <v>288.89999999999998</v>
      </c>
      <c r="W248" s="253">
        <v>288.89999999999998</v>
      </c>
      <c r="X248" s="253">
        <v>290.74</v>
      </c>
      <c r="Y248" s="253">
        <v>295</v>
      </c>
      <c r="Z248" s="247">
        <f ca="1">[1]ExtEntry!$H46</f>
        <v>30.15</v>
      </c>
      <c r="AB248" s="265">
        <v>-7.717232142857142E-3</v>
      </c>
      <c r="AC248" s="265">
        <v>-5.30945238095238E-3</v>
      </c>
      <c r="AD248" s="265">
        <v>1.1641904761904771E-3</v>
      </c>
      <c r="AE248" s="265">
        <v>-7.6510714285714203E-4</v>
      </c>
      <c r="AF248" s="265">
        <v>4.3232261904761916E-3</v>
      </c>
      <c r="AG248" s="265">
        <v>1.4196845238095245E-3</v>
      </c>
      <c r="AH248" s="265">
        <v>3.8823690476190477E-3</v>
      </c>
      <c r="AI248" s="265">
        <v>6.2487619047619045E-3</v>
      </c>
      <c r="AJ248" s="265">
        <v>3.7533928571428527E-4</v>
      </c>
      <c r="AK248" s="265">
        <v>5.0453333333333331E-3</v>
      </c>
      <c r="AL248" s="265">
        <v>4.0375059523809521E-3</v>
      </c>
      <c r="AM248" s="265">
        <v>4.5013095238095229E-3</v>
      </c>
      <c r="AN248" s="265">
        <v>3.7978690476190473E-3</v>
      </c>
      <c r="AO248" s="265">
        <v>8.2586547619047622E-3</v>
      </c>
      <c r="AP248" s="265">
        <v>5.2292142857142858E-3</v>
      </c>
      <c r="AQ248" s="265">
        <v>-1.6485476190476196E-3</v>
      </c>
      <c r="AR248" s="265">
        <v>2.1256071428571422E-3</v>
      </c>
      <c r="AS248" s="265">
        <v>6.1799999999999963E-4</v>
      </c>
      <c r="AT248" s="265">
        <v>-7.8892857142858104E-5</v>
      </c>
      <c r="AU248" s="265">
        <v>-1.9974464285714292E-3</v>
      </c>
      <c r="AV248" s="262">
        <f t="shared" ca="1" si="18"/>
        <v>-1.3106547619047733E-4</v>
      </c>
      <c r="AX248" s="88" t="str">
        <f t="shared" ca="1" si="20"/>
        <v>UN0</v>
      </c>
    </row>
    <row r="249" spans="1:50" hidden="1">
      <c r="A249" s="88" t="str">
        <f t="shared" ca="1" si="19"/>
        <v>UNIT</v>
      </c>
      <c r="F249" s="253">
        <v>34.9</v>
      </c>
      <c r="G249" s="253">
        <v>34.1</v>
      </c>
      <c r="H249" s="253">
        <v>34</v>
      </c>
      <c r="I249" s="253">
        <v>33.799999999999997</v>
      </c>
      <c r="J249" s="253">
        <v>34</v>
      </c>
      <c r="K249" s="253">
        <v>32.049999999999997</v>
      </c>
      <c r="L249" s="253">
        <v>32.6</v>
      </c>
      <c r="M249" s="253">
        <v>33</v>
      </c>
      <c r="N249" s="253">
        <v>32.25</v>
      </c>
      <c r="O249" s="253">
        <v>31.9</v>
      </c>
      <c r="P249" s="253">
        <v>31.55</v>
      </c>
      <c r="Q249" s="253">
        <v>31.6</v>
      </c>
      <c r="R249" s="253">
        <v>31.75</v>
      </c>
      <c r="S249" s="253">
        <v>31.55</v>
      </c>
      <c r="T249" s="253">
        <v>33</v>
      </c>
      <c r="U249" s="253">
        <v>31.7</v>
      </c>
      <c r="V249" s="253">
        <v>31.8</v>
      </c>
      <c r="W249" s="253">
        <v>31.8</v>
      </c>
      <c r="X249" s="253">
        <v>30.95</v>
      </c>
      <c r="Y249" s="253">
        <v>30.15</v>
      </c>
      <c r="Z249" s="247">
        <f ca="1">[1]ExtEntry!$H47</f>
        <v>6</v>
      </c>
      <c r="AB249" s="262">
        <v>-1.9881321428571429E-2</v>
      </c>
      <c r="AC249" s="262">
        <v>-1.2426339285714284E-2</v>
      </c>
      <c r="AD249" s="262">
        <v>-3.6878749999999976E-3</v>
      </c>
      <c r="AE249" s="262">
        <v>-8.1056250000000017E-3</v>
      </c>
      <c r="AF249" s="262">
        <v>-8.9692797619047616E-3</v>
      </c>
      <c r="AG249" s="262">
        <v>5.8923214285714308E-4</v>
      </c>
      <c r="AH249" s="262">
        <v>5.0523273809523796E-3</v>
      </c>
      <c r="AI249" s="262">
        <v>2.5849999999999988E-3</v>
      </c>
      <c r="AJ249" s="262">
        <v>5.7523809523809489E-3</v>
      </c>
      <c r="AK249" s="262">
        <v>-8.2311309523809377E-4</v>
      </c>
      <c r="AL249" s="262">
        <v>-8.4275595238095073E-4</v>
      </c>
      <c r="AM249" s="262">
        <v>7.116160714285719E-3</v>
      </c>
      <c r="AN249" s="262">
        <v>3.2824523809523842E-3</v>
      </c>
      <c r="AO249" s="262">
        <v>7.8251488095238096E-3</v>
      </c>
      <c r="AP249" s="262">
        <v>1.4606428571428565E-3</v>
      </c>
      <c r="AQ249" s="262">
        <v>1.1208333333333209E-4</v>
      </c>
      <c r="AR249" s="262">
        <v>2.2948273809523809E-3</v>
      </c>
      <c r="AS249" s="262">
        <v>8.9575714285714259E-3</v>
      </c>
      <c r="AT249" s="262">
        <v>1.2651208333333334E-2</v>
      </c>
      <c r="AU249" s="262">
        <v>7.8446845238095229E-3</v>
      </c>
      <c r="AV249" s="262">
        <f t="shared" ca="1" si="18"/>
        <v>1.2230517857142856E-2</v>
      </c>
      <c r="AX249" s="88" t="str">
        <f t="shared" ca="1" si="20"/>
        <v>UNIT</v>
      </c>
    </row>
    <row r="250" spans="1:50" hidden="1">
      <c r="A250" s="88" t="str">
        <f t="shared" ca="1" si="19"/>
        <v>AVGO</v>
      </c>
      <c r="F250" s="253">
        <v>6.0750000000000002</v>
      </c>
      <c r="G250" s="253">
        <v>6.12</v>
      </c>
      <c r="H250" s="253">
        <v>6.05</v>
      </c>
      <c r="I250" s="253">
        <v>5.79</v>
      </c>
      <c r="J250" s="253">
        <v>5.84</v>
      </c>
      <c r="K250" s="253">
        <v>6.01</v>
      </c>
      <c r="L250" s="253">
        <v>6.13</v>
      </c>
      <c r="M250" s="253">
        <v>6.04</v>
      </c>
      <c r="N250" s="253">
        <v>6.04</v>
      </c>
      <c r="O250" s="253">
        <v>5.45</v>
      </c>
      <c r="P250" s="253">
        <v>5.36</v>
      </c>
      <c r="Q250" s="253">
        <v>5.62</v>
      </c>
      <c r="R250" s="253">
        <v>5.61</v>
      </c>
      <c r="S250" s="253">
        <v>5.65</v>
      </c>
      <c r="T250" s="253">
        <v>5.6</v>
      </c>
      <c r="U250" s="253">
        <v>5.6</v>
      </c>
      <c r="V250" s="253">
        <v>5.55</v>
      </c>
      <c r="W250" s="253">
        <v>5.55</v>
      </c>
      <c r="X250" s="253">
        <v>5.8</v>
      </c>
      <c r="Y250" s="253">
        <v>6</v>
      </c>
      <c r="Z250" s="247">
        <f ca="1">[1]ExtEntry!$H48</f>
        <v>354.13</v>
      </c>
      <c r="AB250" s="265">
        <v>-7.6820345238095243E-3</v>
      </c>
      <c r="AC250" s="265" t="e">
        <v>#REF!</v>
      </c>
      <c r="AD250" s="265" t="e">
        <v>#REF!</v>
      </c>
      <c r="AE250" s="265" t="e">
        <v>#REF!</v>
      </c>
      <c r="AF250" s="265" t="e">
        <v>#REF!</v>
      </c>
      <c r="AG250" s="265" t="e">
        <v>#REF!</v>
      </c>
      <c r="AH250" s="265" t="e">
        <v>#REF!</v>
      </c>
      <c r="AI250" s="265" t="e">
        <v>#REF!</v>
      </c>
      <c r="AJ250" s="265" t="e">
        <v>#REF!</v>
      </c>
      <c r="AK250" s="265" t="e">
        <v>#REF!</v>
      </c>
      <c r="AL250" s="265" t="e">
        <v>#REF!</v>
      </c>
      <c r="AM250" s="265" t="e">
        <v>#REF!</v>
      </c>
      <c r="AN250" s="265" t="e">
        <v>#REF!</v>
      </c>
      <c r="AO250" s="265" t="e">
        <v>#REF!</v>
      </c>
      <c r="AP250" s="265" t="e">
        <v>#REF!</v>
      </c>
      <c r="AQ250" s="265" t="e">
        <v>#REF!</v>
      </c>
      <c r="AR250" s="265" t="e">
        <v>#REF!</v>
      </c>
      <c r="AS250" s="265" t="e">
        <v>#REF!</v>
      </c>
      <c r="AT250" s="265" t="e">
        <v>#REF!</v>
      </c>
      <c r="AU250" s="265" t="e">
        <v>#REF!</v>
      </c>
      <c r="AV250" s="262" t="e">
        <f>AVERAGE(#REF!)-AVERAGE(#REF!)</f>
        <v>#REF!</v>
      </c>
      <c r="AX250" s="88" t="str">
        <f t="shared" ca="1" si="20"/>
        <v>AVGO</v>
      </c>
    </row>
    <row r="251" spans="1:50" hidden="1">
      <c r="A251" s="88" t="str">
        <f t="shared" ca="1" si="19"/>
        <v>VLVLY</v>
      </c>
      <c r="F251" s="253">
        <v>28.57</v>
      </c>
      <c r="G251" s="253">
        <v>28.69</v>
      </c>
      <c r="H251" s="253">
        <v>28.77</v>
      </c>
      <c r="I251" s="253">
        <v>29.11</v>
      </c>
      <c r="J251" s="253">
        <v>29.42</v>
      </c>
      <c r="K251" s="253">
        <v>28.58</v>
      </c>
      <c r="L251" s="253">
        <v>28.5</v>
      </c>
      <c r="M251" s="253">
        <v>27.94</v>
      </c>
      <c r="N251" s="253">
        <v>27.94</v>
      </c>
      <c r="O251" s="253">
        <v>27.96</v>
      </c>
      <c r="P251" s="253">
        <v>27.700099999999999</v>
      </c>
      <c r="Q251" s="253">
        <v>27.838000000000001</v>
      </c>
      <c r="R251" s="253">
        <v>28.16</v>
      </c>
      <c r="S251" s="253">
        <v>26.36</v>
      </c>
      <c r="T251" s="253">
        <v>27.09</v>
      </c>
      <c r="U251" s="253">
        <v>27.33</v>
      </c>
      <c r="V251" s="253">
        <v>27.18</v>
      </c>
      <c r="W251" s="253">
        <v>27.18</v>
      </c>
      <c r="X251" s="253">
        <v>27.41</v>
      </c>
      <c r="Y251" s="253">
        <v>27.61</v>
      </c>
      <c r="Z251" s="247">
        <f ca="1">[1]ExtEntry!$H49</f>
        <v>27.61</v>
      </c>
      <c r="AB251" s="262">
        <v>-1.1306857142857132E-3</v>
      </c>
      <c r="AC251" s="262">
        <v>-1.5979178571428566E-3</v>
      </c>
      <c r="AD251" s="262">
        <v>-7.5007857142857107E-4</v>
      </c>
      <c r="AE251" s="262">
        <v>7.1146904761904808E-4</v>
      </c>
      <c r="AF251" s="262">
        <v>-6.4585833333333329E-4</v>
      </c>
      <c r="AG251" s="262">
        <v>7.8778571428571179E-5</v>
      </c>
      <c r="AH251" s="262">
        <v>2.903344047619048E-3</v>
      </c>
      <c r="AI251" s="262">
        <v>-3.7888464285714294E-3</v>
      </c>
      <c r="AJ251" s="262">
        <v>-1.3167869047619042E-3</v>
      </c>
      <c r="AK251" s="262">
        <v>-1.8255547619047616E-3</v>
      </c>
      <c r="AL251" s="262">
        <v>-2.6204416666666653E-3</v>
      </c>
      <c r="AM251" s="262">
        <v>-3.4310547619047617E-3</v>
      </c>
      <c r="AN251" s="262">
        <v>-3.189054761904763E-3</v>
      </c>
      <c r="AO251" s="262">
        <v>-4.8880892857142855E-3</v>
      </c>
      <c r="AP251" s="262">
        <v>-2.7822083333333353E-3</v>
      </c>
      <c r="AQ251" s="262">
        <v>-2.7470238095240497E-5</v>
      </c>
      <c r="AR251" s="262">
        <v>1.6789404761904751E-3</v>
      </c>
      <c r="AS251" s="262">
        <v>1.2855654761904749E-3</v>
      </c>
      <c r="AT251" s="262">
        <v>1.5837023809523807E-3</v>
      </c>
      <c r="AU251" s="262">
        <v>1.7723809523809532E-4</v>
      </c>
      <c r="AV251" s="262">
        <f t="shared" ref="AV251:AV298" ca="1" si="21">AVERAGE(S750:Z750)-AVERAGE(F750:Z750)</f>
        <v>1.076904761904762E-3</v>
      </c>
      <c r="AX251" s="88" t="str">
        <f t="shared" ca="1" si="20"/>
        <v>VLVLY</v>
      </c>
    </row>
    <row r="252" spans="1:50" hidden="1">
      <c r="A252" s="88" t="str">
        <f t="shared" ca="1" si="19"/>
        <v>VONN</v>
      </c>
      <c r="F252" s="253">
        <v>60.1</v>
      </c>
      <c r="G252" s="253">
        <v>59.9</v>
      </c>
      <c r="H252" s="253">
        <v>59.8</v>
      </c>
      <c r="I252" s="253">
        <v>60</v>
      </c>
      <c r="J252" s="253">
        <v>60.4</v>
      </c>
      <c r="K252" s="253">
        <v>60.8</v>
      </c>
      <c r="L252" s="253">
        <v>61.1</v>
      </c>
      <c r="M252" s="253">
        <v>61.4</v>
      </c>
      <c r="N252" s="253">
        <v>61</v>
      </c>
      <c r="O252" s="253">
        <v>60.5</v>
      </c>
      <c r="P252" s="253">
        <v>60.7</v>
      </c>
      <c r="Q252" s="253">
        <v>60.2</v>
      </c>
      <c r="R252" s="253">
        <v>59.8</v>
      </c>
      <c r="S252" s="253">
        <v>59</v>
      </c>
      <c r="T252" s="253">
        <v>59.1</v>
      </c>
      <c r="U252" s="253">
        <v>58.7</v>
      </c>
      <c r="V252" s="253">
        <v>60.3</v>
      </c>
      <c r="W252" s="253">
        <v>60.3</v>
      </c>
      <c r="X252" s="253">
        <v>61.1</v>
      </c>
      <c r="Y252" s="253">
        <v>61.3</v>
      </c>
      <c r="Z252" s="247">
        <f ca="1">[1]ExtEntry!$H50</f>
        <v>61.3</v>
      </c>
      <c r="AB252" s="265">
        <v>-6.4298214285714306E-4</v>
      </c>
      <c r="AC252" s="265">
        <v>-1.6539345238095241E-3</v>
      </c>
      <c r="AD252" s="265">
        <v>-1.9900833333333342E-3</v>
      </c>
      <c r="AE252" s="265">
        <v>-1.0241309523809526E-3</v>
      </c>
      <c r="AF252" s="265">
        <v>-1.1032083333333334E-3</v>
      </c>
      <c r="AG252" s="265">
        <v>5.6582738095238084E-4</v>
      </c>
      <c r="AH252" s="265">
        <v>2.401125E-3</v>
      </c>
      <c r="AI252" s="265">
        <v>2.2838928571428576E-3</v>
      </c>
      <c r="AJ252" s="265">
        <v>7.1073214285714294E-4</v>
      </c>
      <c r="AK252" s="265">
        <v>5.4092261904761926E-4</v>
      </c>
      <c r="AL252" s="265">
        <v>1.3160833333333336E-3</v>
      </c>
      <c r="AM252" s="265">
        <v>4.1607738095238113E-4</v>
      </c>
      <c r="AN252" s="265">
        <v>-1.4734940476190475E-3</v>
      </c>
      <c r="AO252" s="265">
        <v>-2.2709821428571432E-3</v>
      </c>
      <c r="AP252" s="265">
        <v>-2.6777142857142859E-3</v>
      </c>
      <c r="AQ252" s="265">
        <v>-3.7363214285714278E-3</v>
      </c>
      <c r="AR252" s="265">
        <v>-8.1277380952381E-4</v>
      </c>
      <c r="AS252" s="265">
        <v>2.4322559523809518E-3</v>
      </c>
      <c r="AT252" s="265">
        <v>2.4982857142857142E-3</v>
      </c>
      <c r="AU252" s="265">
        <v>3.2274642857142849E-3</v>
      </c>
      <c r="AV252" s="262">
        <f t="shared" ca="1" si="21"/>
        <v>4.4714047619047615E-3</v>
      </c>
      <c r="AX252" s="88" t="str">
        <f t="shared" ca="1" si="20"/>
        <v>VONN</v>
      </c>
    </row>
    <row r="253" spans="1:50" hidden="1">
      <c r="A253" s="88" t="str">
        <f t="shared" ca="1" si="19"/>
        <v>VTRS</v>
      </c>
      <c r="F253" s="253">
        <v>9.5342000000000002</v>
      </c>
      <c r="G253" s="253">
        <v>9.9</v>
      </c>
      <c r="H253" s="253">
        <v>10.09</v>
      </c>
      <c r="I253" s="253">
        <v>10.11</v>
      </c>
      <c r="J253" s="253">
        <v>10.19</v>
      </c>
      <c r="K253" s="253">
        <v>10.14</v>
      </c>
      <c r="L253" s="253">
        <v>9.9700000000000006</v>
      </c>
      <c r="M253" s="253">
        <v>9.99</v>
      </c>
      <c r="N253" s="253">
        <v>9.99</v>
      </c>
      <c r="O253" s="253">
        <v>9.86</v>
      </c>
      <c r="P253" s="253">
        <v>9.93</v>
      </c>
      <c r="Q253" s="253">
        <v>9.9749999999999996</v>
      </c>
      <c r="R253" s="253">
        <v>10.1</v>
      </c>
      <c r="S253" s="253">
        <v>10.17</v>
      </c>
      <c r="T253" s="253">
        <v>10.31</v>
      </c>
      <c r="U253" s="253">
        <v>10.39</v>
      </c>
      <c r="V253" s="253">
        <v>10.41</v>
      </c>
      <c r="W253" s="253">
        <v>10.41</v>
      </c>
      <c r="X253" s="253">
        <v>10.31</v>
      </c>
      <c r="Y253" s="253">
        <v>10.35</v>
      </c>
      <c r="Z253" s="247">
        <f ca="1">[1]ExtEntry!$H51</f>
        <v>10.35</v>
      </c>
      <c r="AB253" s="262">
        <v>3.0891071428571439E-3</v>
      </c>
      <c r="AC253" s="262">
        <v>4.5634226190476215E-3</v>
      </c>
      <c r="AD253" s="262">
        <v>5.4737738095238095E-3</v>
      </c>
      <c r="AE253" s="262">
        <v>6.9077976190476207E-3</v>
      </c>
      <c r="AF253" s="262">
        <v>8.9531130952380956E-3</v>
      </c>
      <c r="AG253" s="262">
        <v>7.5065392857142869E-3</v>
      </c>
      <c r="AH253" s="262">
        <v>8.9050392857142856E-3</v>
      </c>
      <c r="AI253" s="262">
        <v>7.7081880952380964E-3</v>
      </c>
      <c r="AJ253" s="262">
        <v>7.2118666666666671E-3</v>
      </c>
      <c r="AK253" s="262">
        <v>3.5436642857142858E-3</v>
      </c>
      <c r="AL253" s="262">
        <v>1.1441821428571422E-3</v>
      </c>
      <c r="AM253" s="262">
        <v>-4.7406785714285745E-4</v>
      </c>
      <c r="AN253" s="262">
        <v>-7.3119285714285743E-4</v>
      </c>
      <c r="AO253" s="262">
        <v>8.6973452380952358E-4</v>
      </c>
      <c r="AP253" s="262">
        <v>4.2237761904761906E-3</v>
      </c>
      <c r="AQ253" s="262">
        <v>4.766615476190476E-3</v>
      </c>
      <c r="AR253" s="262">
        <v>4.15977619047619E-3</v>
      </c>
      <c r="AS253" s="262">
        <v>1.8445440476190494E-3</v>
      </c>
      <c r="AT253" s="262">
        <v>7.5946666666666836E-4</v>
      </c>
      <c r="AU253" s="262">
        <v>-5.8569999999999716E-4</v>
      </c>
      <c r="AV253" s="262">
        <f t="shared" ca="1" si="21"/>
        <v>-1.6379380952380941E-3</v>
      </c>
      <c r="AX253" s="88" t="str">
        <f t="shared" ca="1" si="20"/>
        <v>VTRS</v>
      </c>
    </row>
    <row r="254" spans="1:50" hidden="1">
      <c r="A254" s="88" t="str">
        <f t="shared" ca="1" si="19"/>
        <v>WBA</v>
      </c>
      <c r="F254" s="253">
        <v>11.98</v>
      </c>
      <c r="G254" s="253">
        <v>11.98</v>
      </c>
      <c r="H254" s="253">
        <v>11.98</v>
      </c>
      <c r="I254" s="253">
        <v>11.98</v>
      </c>
      <c r="J254" s="253">
        <v>11.98</v>
      </c>
      <c r="K254" s="253">
        <v>11.98</v>
      </c>
      <c r="L254" s="253">
        <v>11.98</v>
      </c>
      <c r="M254" s="253">
        <v>11.98</v>
      </c>
      <c r="N254" s="253">
        <v>11.98</v>
      </c>
      <c r="O254" s="253">
        <v>11.98</v>
      </c>
      <c r="P254" s="253">
        <v>11.98</v>
      </c>
      <c r="Q254" s="253">
        <v>11.98</v>
      </c>
      <c r="R254" s="253">
        <v>11.98</v>
      </c>
      <c r="S254" s="253">
        <v>11.98</v>
      </c>
      <c r="T254" s="253">
        <v>11.98</v>
      </c>
      <c r="U254" s="253">
        <v>11.98</v>
      </c>
      <c r="V254" s="253">
        <v>11.98</v>
      </c>
      <c r="W254" s="253">
        <v>11.98</v>
      </c>
      <c r="X254" s="253">
        <v>11.98</v>
      </c>
      <c r="Y254" s="253">
        <v>11.98</v>
      </c>
      <c r="Z254" s="247">
        <f ca="1">[1]ExtEntry!$H52</f>
        <v>11.98</v>
      </c>
      <c r="AB254" s="265">
        <v>0</v>
      </c>
      <c r="AC254" s="265">
        <v>0</v>
      </c>
      <c r="AD254" s="265">
        <v>0</v>
      </c>
      <c r="AE254" s="265">
        <v>0</v>
      </c>
      <c r="AF254" s="265">
        <v>0</v>
      </c>
      <c r="AG254" s="265">
        <v>0</v>
      </c>
      <c r="AH254" s="265">
        <v>0</v>
      </c>
      <c r="AI254" s="265">
        <v>0</v>
      </c>
      <c r="AJ254" s="265">
        <v>0</v>
      </c>
      <c r="AK254" s="265">
        <v>0</v>
      </c>
      <c r="AL254" s="265">
        <v>0</v>
      </c>
      <c r="AM254" s="265">
        <v>0</v>
      </c>
      <c r="AN254" s="265">
        <v>0</v>
      </c>
      <c r="AO254" s="265">
        <v>0</v>
      </c>
      <c r="AP254" s="265">
        <v>0</v>
      </c>
      <c r="AQ254" s="265">
        <v>0</v>
      </c>
      <c r="AR254" s="265">
        <v>0</v>
      </c>
      <c r="AS254" s="265">
        <v>0</v>
      </c>
      <c r="AT254" s="265">
        <v>0</v>
      </c>
      <c r="AU254" s="265">
        <v>0</v>
      </c>
      <c r="AV254" s="262">
        <f t="shared" ca="1" si="21"/>
        <v>0</v>
      </c>
      <c r="AX254" s="88" t="str">
        <f t="shared" ca="1" si="20"/>
        <v>WBA</v>
      </c>
    </row>
    <row r="255" spans="1:50" hidden="1">
      <c r="A255" s="88" t="str">
        <f t="shared" ca="1" si="19"/>
        <v>XOM</v>
      </c>
      <c r="F255" s="253">
        <v>114.16</v>
      </c>
      <c r="G255" s="253">
        <v>112.73</v>
      </c>
      <c r="H255" s="253">
        <v>111.97499999999999</v>
      </c>
      <c r="I255" s="253">
        <v>111.31</v>
      </c>
      <c r="J255" s="253">
        <v>113.255</v>
      </c>
      <c r="K255" s="253">
        <v>114.25</v>
      </c>
      <c r="L255" s="253">
        <v>114.06</v>
      </c>
      <c r="M255" s="253">
        <v>112.91</v>
      </c>
      <c r="N255" s="253">
        <v>112.91</v>
      </c>
      <c r="O255" s="253">
        <v>112.23</v>
      </c>
      <c r="P255" s="253">
        <v>112.31</v>
      </c>
      <c r="Q255" s="253">
        <v>111.77500000000001</v>
      </c>
      <c r="R255" s="253">
        <v>110.64</v>
      </c>
      <c r="S255" s="253">
        <v>112.24</v>
      </c>
      <c r="T255" s="253">
        <v>112.705</v>
      </c>
      <c r="U255" s="253">
        <v>112.7</v>
      </c>
      <c r="V255" s="253">
        <v>114.73</v>
      </c>
      <c r="W255" s="253">
        <v>114.73</v>
      </c>
      <c r="X255" s="253">
        <v>115.95</v>
      </c>
      <c r="Y255" s="253">
        <v>115.4</v>
      </c>
      <c r="Z255" s="247">
        <f ca="1">[1]ExtEntry!$H53</f>
        <v>115.39</v>
      </c>
      <c r="AB255" s="262">
        <v>-7.5688214285714252E-4</v>
      </c>
      <c r="AC255" s="262">
        <v>-5.2298333333333346E-4</v>
      </c>
      <c r="AD255" s="262">
        <v>-8.4597738095238079E-4</v>
      </c>
      <c r="AE255" s="262">
        <v>-1.295697619047618E-3</v>
      </c>
      <c r="AF255" s="262">
        <v>-1.9191083333333337E-3</v>
      </c>
      <c r="AG255" s="262">
        <v>-2.2512607142857145E-3</v>
      </c>
      <c r="AH255" s="262">
        <v>-3.174808333333333E-3</v>
      </c>
      <c r="AI255" s="262">
        <v>-4.8828559523809521E-3</v>
      </c>
      <c r="AJ255" s="262">
        <v>-2.4619392857142858E-3</v>
      </c>
      <c r="AK255" s="262">
        <v>2.3812142857142866E-4</v>
      </c>
      <c r="AL255" s="262">
        <v>1.1965863095238093E-3</v>
      </c>
      <c r="AM255" s="262">
        <v>1.6983839285714284E-3</v>
      </c>
      <c r="AN255" s="262">
        <v>-1.8521130952380959E-4</v>
      </c>
      <c r="AO255" s="262">
        <v>3.2973630952380911E-4</v>
      </c>
      <c r="AP255" s="262">
        <v>4.176470238095239E-4</v>
      </c>
      <c r="AQ255" s="262">
        <v>1.1705696428571427E-3</v>
      </c>
      <c r="AR255" s="262">
        <v>3.3268851190476185E-3</v>
      </c>
      <c r="AS255" s="262">
        <v>3.8578851190476196E-3</v>
      </c>
      <c r="AT255" s="262">
        <v>4.8671249999999999E-3</v>
      </c>
      <c r="AU255" s="262">
        <v>5.4898690476190481E-3</v>
      </c>
      <c r="AV255" s="262">
        <f t="shared" ca="1" si="21"/>
        <v>6.8561785714285721E-3</v>
      </c>
      <c r="AX255" s="88" t="str">
        <f t="shared" ca="1" si="20"/>
        <v>XOM</v>
      </c>
    </row>
    <row r="256" spans="1:50" hidden="1">
      <c r="A256" s="88" t="str">
        <f t="shared" ca="1" si="19"/>
        <v>XPER</v>
      </c>
      <c r="F256" s="253">
        <v>6.585</v>
      </c>
      <c r="G256" s="253">
        <v>6.48</v>
      </c>
      <c r="H256" s="253">
        <v>6.57</v>
      </c>
      <c r="I256" s="253">
        <v>6.74</v>
      </c>
      <c r="J256" s="253">
        <v>6.86</v>
      </c>
      <c r="K256" s="253">
        <v>6.58</v>
      </c>
      <c r="L256" s="253">
        <v>6.64</v>
      </c>
      <c r="M256" s="253">
        <v>6.7</v>
      </c>
      <c r="N256" s="253">
        <v>6.7</v>
      </c>
      <c r="O256" s="253">
        <v>6.53</v>
      </c>
      <c r="P256" s="253">
        <v>6.71</v>
      </c>
      <c r="Q256" s="253">
        <v>6.7701000000000002</v>
      </c>
      <c r="R256" s="253">
        <v>6.72</v>
      </c>
      <c r="S256" s="253">
        <v>6.61</v>
      </c>
      <c r="T256" s="253">
        <v>6.73</v>
      </c>
      <c r="U256" s="253">
        <v>6.78</v>
      </c>
      <c r="V256" s="253">
        <v>6.56</v>
      </c>
      <c r="W256" s="253">
        <v>6.55</v>
      </c>
      <c r="X256" s="253">
        <v>6.61</v>
      </c>
      <c r="Y256" s="253">
        <v>6.69</v>
      </c>
      <c r="Z256" s="247">
        <f ca="1">[1]ExtEntry!$H54</f>
        <v>6.67</v>
      </c>
      <c r="AB256" s="265">
        <v>4.9134464285714293E-3</v>
      </c>
      <c r="AC256" s="265">
        <v>2.5340595238095235E-3</v>
      </c>
      <c r="AD256" s="265">
        <v>4.5033928571428569E-3</v>
      </c>
      <c r="AE256" s="265">
        <v>-4.7135714285714142E-4</v>
      </c>
      <c r="AF256" s="265">
        <v>5.9227797619047645E-3</v>
      </c>
      <c r="AG256" s="265">
        <v>-6.2104166666666601E-4</v>
      </c>
      <c r="AH256" s="265">
        <v>-6.5434523809523729E-4</v>
      </c>
      <c r="AI256" s="265">
        <v>-3.4122499999999986E-3</v>
      </c>
      <c r="AJ256" s="265">
        <v>-1.5070059523809515E-3</v>
      </c>
      <c r="AK256" s="265">
        <v>3.7752321428571435E-3</v>
      </c>
      <c r="AL256" s="265">
        <v>4.504214285714285E-3</v>
      </c>
      <c r="AM256" s="265">
        <v>1.4101309523809544E-3</v>
      </c>
      <c r="AN256" s="265">
        <v>-1.6518571428571415E-3</v>
      </c>
      <c r="AO256" s="265">
        <v>3.7265952380952381E-3</v>
      </c>
      <c r="AP256" s="265">
        <v>3.8361130952380956E-3</v>
      </c>
      <c r="AQ256" s="265">
        <v>3.1260952380952368E-3</v>
      </c>
      <c r="AR256" s="265">
        <v>2.1745476190476176E-3</v>
      </c>
      <c r="AS256" s="265">
        <v>-6.6097559523809529E-3</v>
      </c>
      <c r="AT256" s="265">
        <v>-8.9307202380952376E-3</v>
      </c>
      <c r="AU256" s="265">
        <v>-9.1874226190476194E-3</v>
      </c>
      <c r="AV256" s="262">
        <f t="shared" ca="1" si="21"/>
        <v>-6.6396964285714297E-3</v>
      </c>
      <c r="AX256" s="88" t="str">
        <f t="shared" ca="1" si="20"/>
        <v>XPER</v>
      </c>
    </row>
    <row r="257" spans="1:50" hidden="1">
      <c r="A257" s="88" t="str">
        <f t="shared" ca="1" si="19"/>
        <v>MVEALDNE</v>
      </c>
      <c r="F257" s="253">
        <v>0.86599999999999999</v>
      </c>
      <c r="G257" s="253">
        <v>0.86799999999999999</v>
      </c>
      <c r="H257" s="253">
        <v>0.88</v>
      </c>
      <c r="I257" s="253">
        <v>0.87</v>
      </c>
      <c r="J257" s="253">
        <v>0.86799999999999999</v>
      </c>
      <c r="K257" s="253">
        <v>0.84</v>
      </c>
      <c r="L257" s="253">
        <v>0.82199999999999995</v>
      </c>
      <c r="M257" s="253">
        <v>0.82199999999999995</v>
      </c>
      <c r="N257" s="253">
        <v>0.82199999999999995</v>
      </c>
      <c r="O257" s="253">
        <v>0.83799999999999997</v>
      </c>
      <c r="P257" s="253">
        <v>0.84</v>
      </c>
      <c r="Q257" s="253">
        <v>0.83799999999999997</v>
      </c>
      <c r="R257" s="253">
        <v>0.83</v>
      </c>
      <c r="S257" s="253">
        <v>0.83</v>
      </c>
      <c r="T257" s="253">
        <v>0.82</v>
      </c>
      <c r="U257" s="253">
        <v>0.83</v>
      </c>
      <c r="V257" s="253">
        <v>0.84</v>
      </c>
      <c r="W257" s="253">
        <v>0.84</v>
      </c>
      <c r="X257" s="253">
        <v>0.83799999999999997</v>
      </c>
      <c r="Y257" s="253">
        <v>0.82599999999999996</v>
      </c>
      <c r="Z257" s="247">
        <f ca="1">[1]ExtEntry!$H55</f>
        <v>0.82599999999999996</v>
      </c>
      <c r="AB257" s="262">
        <v>7.8390476190476344E-4</v>
      </c>
      <c r="AC257" s="262">
        <v>3.6221666666666668E-3</v>
      </c>
      <c r="AD257" s="262">
        <v>9.3563095238095237E-3</v>
      </c>
      <c r="AE257" s="262">
        <v>3.1803154761904772E-3</v>
      </c>
      <c r="AF257" s="262">
        <v>1.6191357142857143E-2</v>
      </c>
      <c r="AG257" s="262">
        <v>1.5463660714285716E-2</v>
      </c>
      <c r="AH257" s="262">
        <v>1.0930886904761907E-2</v>
      </c>
      <c r="AI257" s="262">
        <v>1.031477380952381E-2</v>
      </c>
      <c r="AJ257" s="262">
        <v>6.2391666666666672E-4</v>
      </c>
      <c r="AK257" s="262">
        <v>4.4252976190476074E-4</v>
      </c>
      <c r="AL257" s="262">
        <v>-1.2078869047619052E-3</v>
      </c>
      <c r="AM257" s="262">
        <v>2.8369047619046604E-5</v>
      </c>
      <c r="AN257" s="262">
        <v>-5.3001190476190596E-4</v>
      </c>
      <c r="AO257" s="262">
        <v>-1.8170119047619055E-3</v>
      </c>
      <c r="AP257" s="262">
        <v>-1.2831964285714291E-3</v>
      </c>
      <c r="AQ257" s="262">
        <v>-1.5520595238095246E-3</v>
      </c>
      <c r="AR257" s="262">
        <v>8.5065476190476178E-4</v>
      </c>
      <c r="AS257" s="262">
        <v>-2.8253452380952388E-3</v>
      </c>
      <c r="AT257" s="262">
        <v>-3.4294404761904766E-3</v>
      </c>
      <c r="AU257" s="262">
        <v>-2.9002440476190482E-3</v>
      </c>
      <c r="AV257" s="262">
        <f t="shared" ca="1" si="21"/>
        <v>-2.4595833333333345E-3</v>
      </c>
      <c r="AX257" s="88" t="str">
        <f t="shared" ca="1" si="20"/>
        <v>MVEALDNE</v>
      </c>
    </row>
    <row r="258" spans="1:50" hidden="1">
      <c r="A258" s="88" t="str">
        <f t="shared" ca="1" si="19"/>
        <v>MVEDDD</v>
      </c>
      <c r="F258" s="253">
        <v>2.97</v>
      </c>
      <c r="G258" s="253">
        <v>2.9</v>
      </c>
      <c r="H258" s="253">
        <v>2.8650000000000002</v>
      </c>
      <c r="I258" s="253">
        <v>2.9950000000000001</v>
      </c>
      <c r="J258" s="253">
        <v>3.12</v>
      </c>
      <c r="K258" s="253">
        <v>3.1349999999999998</v>
      </c>
      <c r="L258" s="253">
        <v>3.2450000000000001</v>
      </c>
      <c r="M258" s="253">
        <v>3.18</v>
      </c>
      <c r="N258" s="253">
        <v>3.18</v>
      </c>
      <c r="O258" s="253">
        <v>3.11</v>
      </c>
      <c r="P258" s="253">
        <v>3.08</v>
      </c>
      <c r="Q258" s="253">
        <v>3.25</v>
      </c>
      <c r="R258" s="253">
        <v>3.26</v>
      </c>
      <c r="S258" s="253">
        <v>3.11</v>
      </c>
      <c r="T258" s="253">
        <v>3.7850000000000001</v>
      </c>
      <c r="U258" s="253">
        <v>3.37</v>
      </c>
      <c r="V258" s="253">
        <v>3.0049999999999999</v>
      </c>
      <c r="W258" s="253">
        <v>3.0049999999999999</v>
      </c>
      <c r="X258" s="253">
        <v>3.0750000000000002</v>
      </c>
      <c r="Y258" s="253">
        <v>3.125</v>
      </c>
      <c r="Z258" s="247">
        <f ca="1">[1]ExtEntry!$H56</f>
        <v>3.13</v>
      </c>
      <c r="AB258" s="265">
        <v>7.6548630952380931E-3</v>
      </c>
      <c r="AC258" s="265">
        <v>4.8786190476190431E-3</v>
      </c>
      <c r="AD258" s="265">
        <v>3.3997857142857094E-3</v>
      </c>
      <c r="AE258" s="265">
        <v>6.2262440476190464E-3</v>
      </c>
      <c r="AF258" s="265">
        <v>-5.9093869047619051E-3</v>
      </c>
      <c r="AG258" s="265">
        <v>-1.0533904761904762E-2</v>
      </c>
      <c r="AH258" s="265">
        <v>-8.840333333333332E-3</v>
      </c>
      <c r="AI258" s="265">
        <v>-1.8605291666666662E-2</v>
      </c>
      <c r="AJ258" s="265">
        <v>-1.1256101190476191E-2</v>
      </c>
      <c r="AK258" s="265">
        <v>-3.3608214285714248E-3</v>
      </c>
      <c r="AL258" s="265">
        <v>-1.4241369047619003E-3</v>
      </c>
      <c r="AM258" s="265">
        <v>-4.619642857142843E-4</v>
      </c>
      <c r="AN258" s="265">
        <v>-6.2355357142857143E-3</v>
      </c>
      <c r="AO258" s="265">
        <v>-3.6327202380952352E-3</v>
      </c>
      <c r="AP258" s="265">
        <v>8.6931309523809522E-3</v>
      </c>
      <c r="AQ258" s="265">
        <v>1.9457380952381011E-3</v>
      </c>
      <c r="AR258" s="265">
        <v>-5.579065476190477E-3</v>
      </c>
      <c r="AS258" s="265">
        <v>-1.7775113095238094E-2</v>
      </c>
      <c r="AT258" s="265">
        <v>-1.303422619047619E-2</v>
      </c>
      <c r="AU258" s="265">
        <v>-1.9047684523809522E-2</v>
      </c>
      <c r="AV258" s="262">
        <f t="shared" ca="1" si="21"/>
        <v>-1.397280357142857E-2</v>
      </c>
      <c r="AX258" s="88" t="str">
        <f t="shared" ca="1" si="20"/>
        <v>MVEDDD</v>
      </c>
    </row>
    <row r="259" spans="1:50" hidden="1">
      <c r="A259" s="88" t="str">
        <f t="shared" ca="1" si="19"/>
        <v>MVEDSY</v>
      </c>
      <c r="F259" s="253">
        <v>28.31</v>
      </c>
      <c r="G259" s="253">
        <v>1.04</v>
      </c>
      <c r="H259" s="253">
        <v>1.03</v>
      </c>
      <c r="I259" s="253">
        <v>1.05</v>
      </c>
      <c r="J259" s="253">
        <v>1.06</v>
      </c>
      <c r="K259" s="253">
        <v>0.87480000000000002</v>
      </c>
      <c r="L259" s="253">
        <v>28.77</v>
      </c>
      <c r="M259" s="253">
        <v>28.93</v>
      </c>
      <c r="N259" s="253">
        <v>29.36</v>
      </c>
      <c r="O259" s="253">
        <v>28.81</v>
      </c>
      <c r="P259" s="253">
        <v>28.35</v>
      </c>
      <c r="Q259" s="253">
        <v>28.88</v>
      </c>
      <c r="R259" s="253">
        <v>29.38</v>
      </c>
      <c r="S259" s="253">
        <v>29.33</v>
      </c>
      <c r="T259" s="253">
        <v>29.78</v>
      </c>
      <c r="U259" s="253">
        <v>30.27</v>
      </c>
      <c r="V259" s="253">
        <v>30.12</v>
      </c>
      <c r="W259" s="253">
        <v>30.12</v>
      </c>
      <c r="X259" s="253">
        <v>26.21</v>
      </c>
      <c r="Y259" s="253">
        <v>25.69</v>
      </c>
      <c r="Z259" s="247">
        <f ca="1">[1]ExtEntry!$H57</f>
        <v>25.69</v>
      </c>
      <c r="AB259" s="262">
        <v>-3.1484446428571428E-3</v>
      </c>
      <c r="AC259" s="262">
        <v>-3.9215815476190468E-3</v>
      </c>
      <c r="AD259" s="262">
        <v>-2.5513017857142855E-3</v>
      </c>
      <c r="AE259" s="262">
        <v>-1.4699696428571421E-3</v>
      </c>
      <c r="AF259" s="262">
        <v>-4.7461666666666629E-4</v>
      </c>
      <c r="AG259" s="262">
        <v>-1.1244324999999999E-2</v>
      </c>
      <c r="AH259" s="262">
        <v>-1.2553080952380951E-2</v>
      </c>
      <c r="AI259" s="262">
        <v>-1.2438830952380953E-2</v>
      </c>
      <c r="AJ259" s="262">
        <v>-1.2524152380952383E-2</v>
      </c>
      <c r="AK259" s="262">
        <v>-7.7067119047619049E-3</v>
      </c>
      <c r="AL259" s="262">
        <v>-8.1896166666666666E-3</v>
      </c>
      <c r="AM259" s="262">
        <v>-9.9649142857142874E-3</v>
      </c>
      <c r="AN259" s="262">
        <v>-9.3061464285714331E-3</v>
      </c>
      <c r="AO259" s="262">
        <v>1.1819472619047623E-2</v>
      </c>
      <c r="AP259" s="262">
        <v>1.3488841666666671E-2</v>
      </c>
      <c r="AQ259" s="262">
        <v>1.3344180952380956E-2</v>
      </c>
      <c r="AR259" s="262">
        <v>1.1256502380952382E-2</v>
      </c>
      <c r="AS259" s="262">
        <v>9.4964404761904795E-3</v>
      </c>
      <c r="AT259" s="262">
        <v>1.259994047619048E-3</v>
      </c>
      <c r="AU259" s="262">
        <v>-2.0995476190476172E-3</v>
      </c>
      <c r="AV259" s="262">
        <f t="shared" ca="1" si="21"/>
        <v>-5.9848630952380969E-3</v>
      </c>
      <c r="AX259" s="88" t="str">
        <f t="shared" ca="1" si="20"/>
        <v>MVEDSY</v>
      </c>
    </row>
    <row r="260" spans="1:50" hidden="1">
      <c r="A260" s="88" t="str">
        <f t="shared" ca="1" si="19"/>
        <v>MVEEOAN</v>
      </c>
      <c r="F260" s="253">
        <v>16.004999999999999</v>
      </c>
      <c r="G260" s="253">
        <v>16.07</v>
      </c>
      <c r="H260" s="253">
        <v>16.16</v>
      </c>
      <c r="I260" s="253">
        <v>15.96</v>
      </c>
      <c r="J260" s="253">
        <v>16.12</v>
      </c>
      <c r="K260" s="253">
        <v>16.114999999999998</v>
      </c>
      <c r="L260" s="253">
        <v>16.18</v>
      </c>
      <c r="M260" s="253">
        <v>16.175000000000001</v>
      </c>
      <c r="N260" s="253">
        <v>16.18</v>
      </c>
      <c r="O260" s="253">
        <v>16.260000000000002</v>
      </c>
      <c r="P260" s="253">
        <v>16.37</v>
      </c>
      <c r="Q260" s="253">
        <v>16.2</v>
      </c>
      <c r="R260" s="253">
        <v>16.25</v>
      </c>
      <c r="S260" s="253">
        <v>16.27</v>
      </c>
      <c r="T260" s="253">
        <v>16.420000000000002</v>
      </c>
      <c r="U260" s="253">
        <v>16.364999999999998</v>
      </c>
      <c r="V260" s="253">
        <v>16.100000000000001</v>
      </c>
      <c r="W260" s="253">
        <v>16.100000000000001</v>
      </c>
      <c r="X260" s="253">
        <v>15.98</v>
      </c>
      <c r="Y260" s="253">
        <v>16.059999999999999</v>
      </c>
      <c r="Z260" s="247">
        <f ca="1">[1]ExtEntry!$H58</f>
        <v>16.085000000000001</v>
      </c>
      <c r="AB260" s="265">
        <v>1.7775416666666677E-3</v>
      </c>
      <c r="AC260" s="265">
        <v>-8.6041666666667425E-5</v>
      </c>
      <c r="AD260" s="265">
        <v>-6.5491071428571291E-4</v>
      </c>
      <c r="AE260" s="265">
        <v>-1.6939285714285728E-3</v>
      </c>
      <c r="AF260" s="265">
        <v>-8.3115476190476255E-4</v>
      </c>
      <c r="AG260" s="265">
        <v>-6.6352976190476145E-4</v>
      </c>
      <c r="AH260" s="265">
        <v>-2.2623928571428569E-3</v>
      </c>
      <c r="AI260" s="265">
        <v>-2.9131666666666663E-3</v>
      </c>
      <c r="AJ260" s="265">
        <v>-2.6087125000000006E-3</v>
      </c>
      <c r="AK260" s="265">
        <v>-9.7774226190476196E-4</v>
      </c>
      <c r="AL260" s="265">
        <v>-3.4145059523809588E-4</v>
      </c>
      <c r="AM260" s="265">
        <v>1.199424404761904E-3</v>
      </c>
      <c r="AN260" s="265">
        <v>-2.3723630952380984E-4</v>
      </c>
      <c r="AO260" s="265">
        <v>-8.4969464285714362E-4</v>
      </c>
      <c r="AP260" s="265">
        <v>-3.9437916666666727E-4</v>
      </c>
      <c r="AQ260" s="265">
        <v>-3.6878988095238093E-4</v>
      </c>
      <c r="AR260" s="265">
        <v>-1.4155523809523808E-3</v>
      </c>
      <c r="AS260" s="265">
        <v>-4.0398380952380956E-3</v>
      </c>
      <c r="AT260" s="265">
        <v>-5.2494690476190481E-3</v>
      </c>
      <c r="AU260" s="265">
        <v>-2.8832607142857142E-3</v>
      </c>
      <c r="AV260" s="262">
        <f t="shared" ca="1" si="21"/>
        <v>-2.759308333333333E-3</v>
      </c>
      <c r="AX260" s="88" t="str">
        <f t="shared" ca="1" si="20"/>
        <v>MVEEOAN</v>
      </c>
    </row>
    <row r="261" spans="1:50" hidden="1">
      <c r="A261" s="88" t="str">
        <f t="shared" ca="1" si="19"/>
        <v>MVEENI</v>
      </c>
      <c r="F261" s="253">
        <v>15.082000000000001</v>
      </c>
      <c r="G261" s="253">
        <v>14.866</v>
      </c>
      <c r="H261" s="253">
        <v>14.986000000000001</v>
      </c>
      <c r="I261" s="253">
        <v>14.875999999999999</v>
      </c>
      <c r="J261" s="253">
        <v>14.906000000000001</v>
      </c>
      <c r="K261" s="253">
        <v>15.173999999999999</v>
      </c>
      <c r="L261" s="253">
        <v>15.286</v>
      </c>
      <c r="M261" s="253">
        <v>15.378</v>
      </c>
      <c r="N261" s="253">
        <v>15.202</v>
      </c>
      <c r="O261" s="253">
        <v>14.972</v>
      </c>
      <c r="P261" s="253">
        <v>14.7</v>
      </c>
      <c r="Q261" s="253">
        <v>14.722</v>
      </c>
      <c r="R261" s="253">
        <v>14.766</v>
      </c>
      <c r="S261" s="253">
        <v>14.843999999999999</v>
      </c>
      <c r="T261" s="253">
        <v>14.875999999999999</v>
      </c>
      <c r="U261" s="253">
        <v>14.9</v>
      </c>
      <c r="V261" s="253">
        <v>15.125999999999999</v>
      </c>
      <c r="W261" s="253">
        <v>15.125999999999999</v>
      </c>
      <c r="X261" s="253">
        <v>15.586</v>
      </c>
      <c r="Y261" s="253">
        <v>15.836</v>
      </c>
      <c r="Z261" s="247">
        <f ca="1">[1]ExtEntry!$H59</f>
        <v>15.836</v>
      </c>
      <c r="AB261" s="262">
        <v>2.0589642857142855E-3</v>
      </c>
      <c r="AC261" s="262">
        <v>1.2707440476190481E-3</v>
      </c>
      <c r="AD261" s="262">
        <v>2.058440476190475E-3</v>
      </c>
      <c r="AE261" s="262">
        <v>1.0356666666666665E-3</v>
      </c>
      <c r="AF261" s="262">
        <v>-1.0968452380952383E-3</v>
      </c>
      <c r="AG261" s="262">
        <v>-2.831160714285714E-3</v>
      </c>
      <c r="AH261" s="262">
        <v>-1.8105595238095233E-3</v>
      </c>
      <c r="AI261" s="262">
        <v>-2.8671940476190476E-3</v>
      </c>
      <c r="AJ261" s="262">
        <v>-1.7170630952380952E-3</v>
      </c>
      <c r="AK261" s="262">
        <v>3.8686904761904952E-5</v>
      </c>
      <c r="AL261" s="262">
        <v>-2.4144880952380954E-3</v>
      </c>
      <c r="AM261" s="262">
        <v>-1.4515297619047622E-3</v>
      </c>
      <c r="AN261" s="262">
        <v>-1.1519345238095238E-3</v>
      </c>
      <c r="AO261" s="262">
        <v>-1.173952380952381E-3</v>
      </c>
      <c r="AP261" s="262">
        <v>-2.281410714285715E-3</v>
      </c>
      <c r="AQ261" s="262">
        <v>-3.2606369047619046E-3</v>
      </c>
      <c r="AR261" s="262">
        <v>-4.464880952380955E-4</v>
      </c>
      <c r="AS261" s="262">
        <v>1.3926785714285712E-3</v>
      </c>
      <c r="AT261" s="262">
        <v>6.8831666666666676E-3</v>
      </c>
      <c r="AU261" s="262">
        <v>8.0821845238095227E-3</v>
      </c>
      <c r="AV261" s="262">
        <f t="shared" ca="1" si="21"/>
        <v>9.5467023809523797E-3</v>
      </c>
      <c r="AX261" s="88" t="str">
        <f t="shared" ca="1" si="20"/>
        <v>MVEENI</v>
      </c>
    </row>
    <row r="262" spans="1:50" hidden="1">
      <c r="A262" s="88" t="str">
        <f t="shared" ca="1" si="19"/>
        <v>MVEEPIX</v>
      </c>
      <c r="F262" s="253">
        <v>0.19220000000000001</v>
      </c>
      <c r="G262" s="253">
        <v>0.191</v>
      </c>
      <c r="H262" s="253">
        <v>0.2059</v>
      </c>
      <c r="I262" s="253">
        <v>0.21740000000000001</v>
      </c>
      <c r="J262" s="253">
        <v>0.20610000000000001</v>
      </c>
      <c r="K262" s="253">
        <v>0.20499999999999999</v>
      </c>
      <c r="L262" s="253">
        <v>0.20119999999999999</v>
      </c>
      <c r="M262" s="253">
        <v>0.20119999999999999</v>
      </c>
      <c r="N262" s="253">
        <v>0.20119999999999999</v>
      </c>
      <c r="O262" s="253">
        <v>0.20119999999999999</v>
      </c>
      <c r="P262" s="253">
        <v>0.20119999999999999</v>
      </c>
      <c r="Q262" s="253">
        <v>0.20119999999999999</v>
      </c>
      <c r="R262" s="253">
        <v>0.20119999999999999</v>
      </c>
      <c r="S262" s="253">
        <v>0.20119999999999999</v>
      </c>
      <c r="T262" s="253">
        <v>0.20119999999999999</v>
      </c>
      <c r="U262" s="253">
        <v>0.20119999999999999</v>
      </c>
      <c r="V262" s="253">
        <v>0.20119999999999999</v>
      </c>
      <c r="W262" s="253">
        <v>0.20119999999999999</v>
      </c>
      <c r="X262" s="253">
        <v>0.20119999999999999</v>
      </c>
      <c r="Y262" s="253">
        <v>0.20119999999999999</v>
      </c>
      <c r="Z262" s="247">
        <f ca="1">[1]ExtEntry!$H60</f>
        <v>0.20119999999999999</v>
      </c>
      <c r="AB262" s="265">
        <v>5.5026488095238097E-3</v>
      </c>
      <c r="AC262" s="265">
        <v>2.4587023809523757E-3</v>
      </c>
      <c r="AD262" s="265">
        <v>6.9633035714285699E-3</v>
      </c>
      <c r="AE262" s="265">
        <v>8.9325654761904759E-3</v>
      </c>
      <c r="AF262" s="265">
        <v>1.0087464285714286E-2</v>
      </c>
      <c r="AG262" s="265">
        <v>1.4480375E-2</v>
      </c>
      <c r="AH262" s="265">
        <v>1.4104607142857141E-2</v>
      </c>
      <c r="AI262" s="265">
        <v>5.2262678571428547E-3</v>
      </c>
      <c r="AJ262" s="265">
        <v>9.2644821428571437E-3</v>
      </c>
      <c r="AK262" s="265">
        <v>1.0213255952380955E-2</v>
      </c>
      <c r="AL262" s="265">
        <v>-1.9318511904761887E-3</v>
      </c>
      <c r="AM262" s="265">
        <v>-1.1401065476190474E-2</v>
      </c>
      <c r="AN262" s="265">
        <v>-4.6561964285714279E-3</v>
      </c>
      <c r="AO262" s="265">
        <v>-3.4545178571428565E-3</v>
      </c>
      <c r="AP262" s="265">
        <v>-8.424880952380945E-4</v>
      </c>
      <c r="AQ262" s="265">
        <v>1.7695416666666675E-3</v>
      </c>
      <c r="AR262" s="265">
        <v>4.8081904761904755E-3</v>
      </c>
      <c r="AS262" s="265">
        <v>2.4601428571428574E-3</v>
      </c>
      <c r="AT262" s="265">
        <v>1.2137142857142852E-3</v>
      </c>
      <c r="AU262" s="265">
        <v>1.047809523809524E-3</v>
      </c>
      <c r="AV262" s="262">
        <f t="shared" ca="1" si="21"/>
        <v>1.2380952380952382E-3</v>
      </c>
      <c r="AX262" s="88" t="str">
        <f t="shared" ca="1" si="20"/>
        <v>MVEEPIX</v>
      </c>
    </row>
    <row r="263" spans="1:50" hidden="1">
      <c r="A263" s="88" t="str">
        <f t="shared" ca="1" si="19"/>
        <v>MVEGLE</v>
      </c>
      <c r="F263" s="253">
        <v>56.62</v>
      </c>
      <c r="G263" s="253">
        <v>56.36</v>
      </c>
      <c r="H263" s="253">
        <v>56.82</v>
      </c>
      <c r="I263" s="253">
        <v>56.72</v>
      </c>
      <c r="J263" s="253">
        <v>56.72</v>
      </c>
      <c r="K263" s="253">
        <v>53.3</v>
      </c>
      <c r="L263" s="253">
        <v>54.42</v>
      </c>
      <c r="M263" s="253">
        <v>54.36</v>
      </c>
      <c r="N263" s="253">
        <v>54.24</v>
      </c>
      <c r="O263" s="253">
        <v>53.72</v>
      </c>
      <c r="P263" s="253">
        <v>55.02</v>
      </c>
      <c r="Q263" s="253">
        <v>55.56</v>
      </c>
      <c r="R263" s="253">
        <v>56.52</v>
      </c>
      <c r="S263" s="253">
        <v>53.64</v>
      </c>
      <c r="T263" s="253">
        <v>53</v>
      </c>
      <c r="U263" s="253">
        <v>53.12</v>
      </c>
      <c r="V263" s="253">
        <v>52.88</v>
      </c>
      <c r="W263" s="253">
        <v>52.88</v>
      </c>
      <c r="X263" s="253">
        <v>53.58</v>
      </c>
      <c r="Y263" s="253">
        <v>53.68</v>
      </c>
      <c r="Z263" s="247">
        <f ca="1">[1]ExtEntry!$H61</f>
        <v>53.68</v>
      </c>
      <c r="AB263" s="262">
        <v>-5.2800357142857145E-3</v>
      </c>
      <c r="AC263" s="262">
        <v>-8.0703452380952358E-3</v>
      </c>
      <c r="AD263" s="262">
        <v>-8.8325952380952366E-3</v>
      </c>
      <c r="AE263" s="262">
        <v>-6.7869285714285705E-3</v>
      </c>
      <c r="AF263" s="262">
        <v>-5.7769642857142837E-3</v>
      </c>
      <c r="AG263" s="262">
        <v>-6.5272499999999992E-3</v>
      </c>
      <c r="AH263" s="262">
        <v>-3.0065714285714288E-3</v>
      </c>
      <c r="AI263" s="262">
        <v>-3.544970238095239E-3</v>
      </c>
      <c r="AJ263" s="262">
        <v>-5.8472619047619128E-4</v>
      </c>
      <c r="AK263" s="262">
        <v>-4.9293452380952353E-4</v>
      </c>
      <c r="AL263" s="262">
        <v>1.8231011904761905E-3</v>
      </c>
      <c r="AM263" s="262">
        <v>4.1332142857142861E-3</v>
      </c>
      <c r="AN263" s="262">
        <v>3.7713273809523813E-3</v>
      </c>
      <c r="AO263" s="262">
        <v>1.4957738095238106E-3</v>
      </c>
      <c r="AP263" s="262">
        <v>-1.4401785714285714E-3</v>
      </c>
      <c r="AQ263" s="262">
        <v>-5.1320833333333362E-4</v>
      </c>
      <c r="AR263" s="262">
        <v>-1.2256726190476186E-3</v>
      </c>
      <c r="AS263" s="262">
        <v>-1.6821190476190469E-3</v>
      </c>
      <c r="AT263" s="262">
        <v>-3.3811309523809532E-3</v>
      </c>
      <c r="AU263" s="262">
        <v>-4.9964226190476191E-3</v>
      </c>
      <c r="AV263" s="262">
        <f t="shared" ca="1" si="21"/>
        <v>-6.3383809523809504E-3</v>
      </c>
      <c r="AX263" s="88" t="str">
        <f t="shared" ca="1" si="20"/>
        <v>MVEGLE</v>
      </c>
    </row>
    <row r="264" spans="1:50" hidden="1">
      <c r="A264" s="88" t="str">
        <f t="shared" ca="1" si="19"/>
        <v>MVEORA</v>
      </c>
      <c r="F264" s="253">
        <v>13.7</v>
      </c>
      <c r="G264" s="253">
        <v>45.97</v>
      </c>
      <c r="H264" s="253">
        <v>13.705</v>
      </c>
      <c r="I264" s="253">
        <v>13.535</v>
      </c>
      <c r="J264" s="253">
        <v>13.32</v>
      </c>
      <c r="K264" s="253">
        <v>13.215</v>
      </c>
      <c r="L264" s="253">
        <v>13.39</v>
      </c>
      <c r="M264" s="253">
        <v>13.56</v>
      </c>
      <c r="N264" s="253">
        <v>13.58</v>
      </c>
      <c r="O264" s="253">
        <v>13.43</v>
      </c>
      <c r="P264" s="253">
        <v>13.57</v>
      </c>
      <c r="Q264" s="253">
        <v>14.015000000000001</v>
      </c>
      <c r="R264" s="253">
        <v>14.085000000000001</v>
      </c>
      <c r="S264" s="253">
        <v>14.335000000000001</v>
      </c>
      <c r="T264" s="253">
        <v>14.16</v>
      </c>
      <c r="U264" s="253">
        <v>14.125</v>
      </c>
      <c r="V264" s="253">
        <v>14.07</v>
      </c>
      <c r="W264" s="253">
        <v>14.07</v>
      </c>
      <c r="X264" s="253">
        <v>14.15</v>
      </c>
      <c r="Y264" s="253">
        <v>13.92</v>
      </c>
      <c r="Z264" s="247">
        <f ca="1">[1]ExtEntry!$H62</f>
        <v>13.92</v>
      </c>
      <c r="AB264" s="265">
        <v>1.9129666666666669E-3</v>
      </c>
      <c r="AC264" s="265">
        <v>7.3860357142857156E-4</v>
      </c>
      <c r="AD264" s="265">
        <v>-1.545277380952381E-3</v>
      </c>
      <c r="AE264" s="265">
        <v>-2.0049964285714286E-3</v>
      </c>
      <c r="AF264" s="265">
        <v>-2.5350916666666669E-3</v>
      </c>
      <c r="AG264" s="265">
        <v>-1.3777761904761906E-3</v>
      </c>
      <c r="AH264" s="265">
        <v>-1.2803714285714285E-3</v>
      </c>
      <c r="AI264" s="265">
        <v>-1.3160023809523809E-3</v>
      </c>
      <c r="AJ264" s="265">
        <v>-6.6817857142857174E-5</v>
      </c>
      <c r="AK264" s="265">
        <v>-9.4354285714285725E-4</v>
      </c>
      <c r="AL264" s="265">
        <v>7.7919404761904703E-4</v>
      </c>
      <c r="AM264" s="265">
        <v>4.6102952380952383E-3</v>
      </c>
      <c r="AN264" s="265">
        <v>6.4485333333333342E-3</v>
      </c>
      <c r="AO264" s="265">
        <v>7.3287357142857151E-3</v>
      </c>
      <c r="AP264" s="265">
        <v>5.0258845238095231E-3</v>
      </c>
      <c r="AQ264" s="265">
        <v>3.5447892857142856E-3</v>
      </c>
      <c r="AR264" s="265">
        <v>3.0764642857142848E-3</v>
      </c>
      <c r="AS264" s="265">
        <v>3.9341488095238093E-3</v>
      </c>
      <c r="AT264" s="265">
        <v>2.5641845238095237E-3</v>
      </c>
      <c r="AU264" s="265">
        <v>-2.2449285714285713E-3</v>
      </c>
      <c r="AV264" s="262">
        <f t="shared" ca="1" si="21"/>
        <v>-3.6728630952380949E-3</v>
      </c>
      <c r="AX264" s="88" t="str">
        <f t="shared" ca="1" si="20"/>
        <v>MVEORA</v>
      </c>
    </row>
    <row r="265" spans="1:50" hidden="1">
      <c r="A265" s="88" t="str">
        <f t="shared" ca="1" si="19"/>
        <v>MVERWE</v>
      </c>
      <c r="F265" s="253">
        <v>37.78</v>
      </c>
      <c r="G265" s="253">
        <v>37.92</v>
      </c>
      <c r="H265" s="253">
        <v>39.04</v>
      </c>
      <c r="I265" s="253">
        <v>38.93</v>
      </c>
      <c r="J265" s="253">
        <v>39.22</v>
      </c>
      <c r="K265" s="253">
        <v>39.72</v>
      </c>
      <c r="L265" s="253">
        <v>40.49</v>
      </c>
      <c r="M265" s="253">
        <v>40.22</v>
      </c>
      <c r="N265" s="253">
        <v>40.54</v>
      </c>
      <c r="O265" s="253">
        <v>40.96</v>
      </c>
      <c r="P265" s="253">
        <v>40.58</v>
      </c>
      <c r="Q265" s="253">
        <v>40.69</v>
      </c>
      <c r="R265" s="253">
        <v>41.38</v>
      </c>
      <c r="S265" s="253">
        <v>41.06</v>
      </c>
      <c r="T265" s="253">
        <v>40.92</v>
      </c>
      <c r="U265" s="253">
        <v>40.47</v>
      </c>
      <c r="V265" s="253">
        <v>40.22</v>
      </c>
      <c r="W265" s="253">
        <v>40.22</v>
      </c>
      <c r="X265" s="253">
        <v>40</v>
      </c>
      <c r="Y265" s="253">
        <v>40.479999999999997</v>
      </c>
      <c r="Z265" s="247">
        <f ca="1">[1]ExtEntry!$H63</f>
        <v>40.57</v>
      </c>
      <c r="AB265" s="262">
        <v>4.7348333333333322E-3</v>
      </c>
      <c r="AC265" s="262">
        <v>3.6467380952380953E-3</v>
      </c>
      <c r="AD265" s="262">
        <v>5.1515059523809508E-3</v>
      </c>
      <c r="AE265" s="262">
        <v>3.0080416666666658E-3</v>
      </c>
      <c r="AF265" s="262">
        <v>2.8263035714285699E-3</v>
      </c>
      <c r="AG265" s="262">
        <v>2.1594226190476181E-3</v>
      </c>
      <c r="AH265" s="262">
        <v>2.9742916666666659E-3</v>
      </c>
      <c r="AI265" s="262">
        <v>5.1186309523809388E-4</v>
      </c>
      <c r="AJ265" s="262">
        <v>1.4100833333333309E-3</v>
      </c>
      <c r="AK265" s="262">
        <v>2.3953630952380936E-3</v>
      </c>
      <c r="AL265" s="262">
        <v>-1.7888035714285714E-3</v>
      </c>
      <c r="AM265" s="262">
        <v>-9.4844047619047599E-4</v>
      </c>
      <c r="AN265" s="262">
        <v>-1.4069345238095238E-3</v>
      </c>
      <c r="AO265" s="262">
        <v>-2.4959642857142863E-3</v>
      </c>
      <c r="AP265" s="262">
        <v>-4.9128928571428579E-3</v>
      </c>
      <c r="AQ265" s="262">
        <v>-4.6601607142857148E-3</v>
      </c>
      <c r="AR265" s="262">
        <v>-4.9774047619047619E-3</v>
      </c>
      <c r="AS265" s="262">
        <v>-6.9883452380952397E-3</v>
      </c>
      <c r="AT265" s="262">
        <v>-5.6279940476190475E-3</v>
      </c>
      <c r="AU265" s="262">
        <v>-4.8329642857142851E-3</v>
      </c>
      <c r="AV265" s="262">
        <f t="shared" ca="1" si="21"/>
        <v>-5.6367202380952384E-3</v>
      </c>
      <c r="AX265" s="88" t="str">
        <f t="shared" ca="1" si="20"/>
        <v>MVERWE</v>
      </c>
    </row>
    <row r="266" spans="1:50" hidden="1">
      <c r="A266" s="88" t="str">
        <f t="shared" ca="1" si="19"/>
        <v>MVESAP</v>
      </c>
      <c r="F266" s="253">
        <v>225.55</v>
      </c>
      <c r="G266" s="253">
        <v>227.9</v>
      </c>
      <c r="H266" s="253">
        <v>227.8</v>
      </c>
      <c r="I266" s="253">
        <v>232.1</v>
      </c>
      <c r="J266" s="253">
        <v>230.15</v>
      </c>
      <c r="K266" s="253">
        <v>235</v>
      </c>
      <c r="L266" s="253">
        <v>237.2</v>
      </c>
      <c r="M266" s="253">
        <v>237.8</v>
      </c>
      <c r="N266" s="253">
        <v>238</v>
      </c>
      <c r="O266" s="253">
        <v>231.4</v>
      </c>
      <c r="P266" s="253">
        <v>232.7</v>
      </c>
      <c r="Q266" s="253">
        <v>234.2</v>
      </c>
      <c r="R266" s="253">
        <v>233.2</v>
      </c>
      <c r="S266" s="253">
        <v>230.95</v>
      </c>
      <c r="T266" s="253">
        <v>238.6</v>
      </c>
      <c r="U266" s="253">
        <v>240.4</v>
      </c>
      <c r="V266" s="253">
        <v>236.85</v>
      </c>
      <c r="W266" s="253">
        <v>236.85</v>
      </c>
      <c r="X266" s="253">
        <v>242</v>
      </c>
      <c r="Y266" s="253">
        <v>233.35</v>
      </c>
      <c r="Z266" s="247">
        <f ca="1">[1]ExtEntry!$H64</f>
        <v>233.35</v>
      </c>
      <c r="AB266" s="265">
        <v>8.2171547619047745E-4</v>
      </c>
      <c r="AC266" s="265">
        <v>1.4481678571428582E-3</v>
      </c>
      <c r="AD266" s="265">
        <v>3.1468619047619051E-3</v>
      </c>
      <c r="AE266" s="265">
        <v>6.8008916666666671E-3</v>
      </c>
      <c r="AF266" s="265">
        <v>5.0916178571428572E-3</v>
      </c>
      <c r="AG266" s="265">
        <v>5.6918202380952399E-3</v>
      </c>
      <c r="AH266" s="265">
        <v>7.9203904761904788E-3</v>
      </c>
      <c r="AI266" s="265">
        <v>6.77924761904762E-3</v>
      </c>
      <c r="AJ266" s="265">
        <v>5.7920095238095243E-3</v>
      </c>
      <c r="AK266" s="265">
        <v>5.0132714285714289E-3</v>
      </c>
      <c r="AL266" s="265">
        <v>3.9830857142857147E-3</v>
      </c>
      <c r="AM266" s="265">
        <v>7.7509761904761979E-4</v>
      </c>
      <c r="AN266" s="265">
        <v>6.7412142857142809E-4</v>
      </c>
      <c r="AO266" s="265">
        <v>6.7364523809523803E-4</v>
      </c>
      <c r="AP266" s="265">
        <v>1.6619428571428567E-3</v>
      </c>
      <c r="AQ266" s="265">
        <v>1.5248357142857143E-3</v>
      </c>
      <c r="AR266" s="265">
        <v>-3.1940238095237976E-4</v>
      </c>
      <c r="AS266" s="265">
        <v>-1.6050571428571415E-3</v>
      </c>
      <c r="AT266" s="265">
        <v>-2.4578333333333214E-4</v>
      </c>
      <c r="AU266" s="265">
        <v>-4.4022476190476185E-3</v>
      </c>
      <c r="AV266" s="262">
        <f t="shared" ca="1" si="21"/>
        <v>-6.6449738095238084E-3</v>
      </c>
      <c r="AX266" s="88" t="str">
        <f t="shared" ca="1" si="20"/>
        <v>MVESAP</v>
      </c>
    </row>
    <row r="267" spans="1:50" hidden="1">
      <c r="A267" s="88" t="str">
        <f t="shared" ca="1" si="19"/>
        <v>MVEUN0</v>
      </c>
      <c r="F267" s="253">
        <v>34.9</v>
      </c>
      <c r="G267" s="253">
        <v>34.1</v>
      </c>
      <c r="H267" s="253">
        <v>34</v>
      </c>
      <c r="I267" s="253">
        <v>33.799999999999997</v>
      </c>
      <c r="J267" s="253">
        <v>34</v>
      </c>
      <c r="K267" s="253">
        <v>32.049999999999997</v>
      </c>
      <c r="L267" s="253">
        <v>32.6</v>
      </c>
      <c r="M267" s="253">
        <v>33</v>
      </c>
      <c r="N267" s="253">
        <v>32.25</v>
      </c>
      <c r="O267" s="253">
        <v>31.9</v>
      </c>
      <c r="P267" s="253">
        <v>31.55</v>
      </c>
      <c r="Q267" s="253">
        <v>31.6</v>
      </c>
      <c r="R267" s="253">
        <v>31.75</v>
      </c>
      <c r="S267" s="253">
        <v>31.55</v>
      </c>
      <c r="T267" s="253">
        <v>33</v>
      </c>
      <c r="U267" s="253">
        <v>31.7</v>
      </c>
      <c r="V267" s="253">
        <v>31.8</v>
      </c>
      <c r="W267" s="253">
        <v>31.8</v>
      </c>
      <c r="X267" s="253">
        <v>30.95</v>
      </c>
      <c r="Y267" s="253">
        <v>30.15</v>
      </c>
      <c r="Z267" s="247">
        <f ca="1">[1]ExtEntry!$H65</f>
        <v>30.15</v>
      </c>
      <c r="AB267" s="262">
        <v>-7.717232142857142E-3</v>
      </c>
      <c r="AC267" s="262">
        <v>-5.30945238095238E-3</v>
      </c>
      <c r="AD267" s="262">
        <v>1.1641904761904771E-3</v>
      </c>
      <c r="AE267" s="262">
        <v>-7.6510714285714203E-4</v>
      </c>
      <c r="AF267" s="262">
        <v>4.3232261904761916E-3</v>
      </c>
      <c r="AG267" s="262">
        <v>1.4196845238095245E-3</v>
      </c>
      <c r="AH267" s="262">
        <v>3.8823690476190477E-3</v>
      </c>
      <c r="AI267" s="262">
        <v>6.2487619047619045E-3</v>
      </c>
      <c r="AJ267" s="262">
        <v>3.7533928571428527E-4</v>
      </c>
      <c r="AK267" s="262">
        <v>5.0453333333333331E-3</v>
      </c>
      <c r="AL267" s="262">
        <v>4.0375059523809521E-3</v>
      </c>
      <c r="AM267" s="262">
        <v>4.5013095238095229E-3</v>
      </c>
      <c r="AN267" s="262">
        <v>3.7978690476190473E-3</v>
      </c>
      <c r="AO267" s="262">
        <v>8.2586547619047622E-3</v>
      </c>
      <c r="AP267" s="262">
        <v>5.2292142857142858E-3</v>
      </c>
      <c r="AQ267" s="262">
        <v>-1.6485476190476196E-3</v>
      </c>
      <c r="AR267" s="262">
        <v>2.1256071428571422E-3</v>
      </c>
      <c r="AS267" s="262">
        <v>6.1799999999999963E-4</v>
      </c>
      <c r="AT267" s="262">
        <v>-7.8892857142858104E-5</v>
      </c>
      <c r="AU267" s="262">
        <v>-1.9974464285714292E-3</v>
      </c>
      <c r="AV267" s="262">
        <f t="shared" ca="1" si="21"/>
        <v>-4.7995357142857154E-3</v>
      </c>
      <c r="AX267" s="88" t="str">
        <f t="shared" ca="1" si="20"/>
        <v>MVEUN0</v>
      </c>
    </row>
    <row r="268" spans="1:50" hidden="1">
      <c r="A268" s="88" t="str">
        <f t="shared" ca="1" si="19"/>
        <v>SAFAAPL</v>
      </c>
      <c r="F268" s="253">
        <v>253.3151</v>
      </c>
      <c r="G268" s="253">
        <v>254.63</v>
      </c>
      <c r="H268" s="253">
        <v>255.45</v>
      </c>
      <c r="I268" s="253">
        <v>257.13</v>
      </c>
      <c r="J268" s="253">
        <v>258.02</v>
      </c>
      <c r="K268" s="253">
        <v>256.48</v>
      </c>
      <c r="L268" s="253">
        <v>258.06</v>
      </c>
      <c r="M268" s="253">
        <v>254.04</v>
      </c>
      <c r="N268" s="253">
        <v>254.04</v>
      </c>
      <c r="O268" s="253">
        <v>247.66</v>
      </c>
      <c r="P268" s="253">
        <v>247.77</v>
      </c>
      <c r="Q268" s="253">
        <v>249.4</v>
      </c>
      <c r="R268" s="253">
        <v>247.45</v>
      </c>
      <c r="S268" s="253">
        <v>252.29</v>
      </c>
      <c r="T268" s="253">
        <v>262.24</v>
      </c>
      <c r="U268" s="253">
        <v>262.77</v>
      </c>
      <c r="V268" s="253">
        <v>258.45</v>
      </c>
      <c r="W268" s="253">
        <v>258.45</v>
      </c>
      <c r="X268" s="253">
        <v>259.58</v>
      </c>
      <c r="Y268" s="253">
        <v>262.82</v>
      </c>
      <c r="Z268" s="247">
        <f ca="1">[1]ExtEntry!$H66</f>
        <v>262.82</v>
      </c>
      <c r="AB268" s="265">
        <v>4.2034702380952362E-3</v>
      </c>
      <c r="AC268" s="265">
        <v>-6.7525416666666584E-4</v>
      </c>
      <c r="AD268" s="265">
        <v>-3.087926785714287E-3</v>
      </c>
      <c r="AE268" s="265">
        <v>-5.1126827380952372E-3</v>
      </c>
      <c r="AF268" s="265">
        <v>-3.7779208333333335E-3</v>
      </c>
      <c r="AG268" s="265">
        <v>-3.1592976190476189E-3</v>
      </c>
      <c r="AH268" s="265">
        <v>-5.6483750000000006E-3</v>
      </c>
      <c r="AI268" s="265">
        <v>-7.7038333333333351E-3</v>
      </c>
      <c r="AJ268" s="265">
        <v>-7.100726190476192E-3</v>
      </c>
      <c r="AK268" s="265">
        <v>-5.6086553571428575E-3</v>
      </c>
      <c r="AL268" s="265">
        <v>-5.4315446428571433E-3</v>
      </c>
      <c r="AM268" s="265">
        <v>-5.2095327380952388E-3</v>
      </c>
      <c r="AN268" s="265">
        <v>-5.9369910714285722E-3</v>
      </c>
      <c r="AO268" s="265">
        <v>-4.5423476190476174E-3</v>
      </c>
      <c r="AP268" s="265">
        <v>-7.351392857142874E-4</v>
      </c>
      <c r="AQ268" s="265">
        <v>2.8938785714285719E-3</v>
      </c>
      <c r="AR268" s="265">
        <v>5.2251761904761902E-3</v>
      </c>
      <c r="AS268" s="265">
        <v>2.4282238095238093E-3</v>
      </c>
      <c r="AT268" s="265">
        <v>2.3142464285714295E-3</v>
      </c>
      <c r="AU268" s="265">
        <v>3.3183595238095239E-3</v>
      </c>
      <c r="AV268" s="262">
        <f t="shared" ca="1" si="21"/>
        <v>4.9703476190476204E-3</v>
      </c>
      <c r="AX268" s="88" t="str">
        <f t="shared" ca="1" si="20"/>
        <v>SAFAAPL</v>
      </c>
    </row>
    <row r="269" spans="1:50" hidden="1">
      <c r="A269" s="88" t="str">
        <f t="shared" ref="A269:A298" ca="1" si="22">A169</f>
        <v>SAFAMZN</v>
      </c>
      <c r="F269" s="253">
        <v>221.03</v>
      </c>
      <c r="G269" s="253">
        <v>219.57</v>
      </c>
      <c r="H269" s="253">
        <v>220.63</v>
      </c>
      <c r="I269" s="253">
        <v>222.41</v>
      </c>
      <c r="J269" s="253">
        <v>219.51</v>
      </c>
      <c r="K269" s="253">
        <v>221.78</v>
      </c>
      <c r="L269" s="253">
        <v>225.22</v>
      </c>
      <c r="M269" s="253">
        <v>227.74</v>
      </c>
      <c r="N269" s="253">
        <v>227.74</v>
      </c>
      <c r="O269" s="253">
        <v>220.07</v>
      </c>
      <c r="P269" s="253">
        <v>216.39</v>
      </c>
      <c r="Q269" s="253">
        <v>215.16</v>
      </c>
      <c r="R269" s="253">
        <v>214.47</v>
      </c>
      <c r="S269" s="253">
        <v>213.04</v>
      </c>
      <c r="T269" s="253">
        <v>216.48</v>
      </c>
      <c r="U269" s="253">
        <v>222.03</v>
      </c>
      <c r="V269" s="253">
        <v>217.95</v>
      </c>
      <c r="W269" s="253">
        <v>217.95</v>
      </c>
      <c r="X269" s="253">
        <v>221.09</v>
      </c>
      <c r="Y269" s="253">
        <v>224.21</v>
      </c>
      <c r="Z269" s="247">
        <f ca="1">[1]ExtEntry!$H67</f>
        <v>224.21</v>
      </c>
      <c r="AB269" s="262">
        <v>-5.4711869047619063E-3</v>
      </c>
      <c r="AC269" s="262">
        <v>-7.8899488095238099E-3</v>
      </c>
      <c r="AD269" s="262">
        <v>-7.5162404761904764E-3</v>
      </c>
      <c r="AE269" s="262">
        <v>-5.1561749999999998E-3</v>
      </c>
      <c r="AF269" s="262">
        <v>-3.2333571428571446E-4</v>
      </c>
      <c r="AG269" s="262">
        <v>9.875035714285716E-4</v>
      </c>
      <c r="AH269" s="262">
        <v>3.8417059523809518E-3</v>
      </c>
      <c r="AI269" s="262">
        <v>2.1924738095238094E-3</v>
      </c>
      <c r="AJ269" s="262">
        <v>2.3090416666666667E-3</v>
      </c>
      <c r="AK269" s="262">
        <v>4.7223690476190473E-3</v>
      </c>
      <c r="AL269" s="262">
        <v>3.9488571428571428E-3</v>
      </c>
      <c r="AM269" s="262">
        <v>3.1851428571428577E-3</v>
      </c>
      <c r="AN269" s="262">
        <v>4.9592380952380947E-3</v>
      </c>
      <c r="AO269" s="262">
        <v>3.8650714285714287E-3</v>
      </c>
      <c r="AP269" s="262">
        <v>3.2271428571428572E-3</v>
      </c>
      <c r="AQ269" s="262">
        <v>3.863809523809525E-3</v>
      </c>
      <c r="AR269" s="262">
        <v>4.3432738095238165E-4</v>
      </c>
      <c r="AS269" s="262">
        <v>-4.5727440476190477E-3</v>
      </c>
      <c r="AT269" s="262">
        <v>-1.4755238095238085E-3</v>
      </c>
      <c r="AU269" s="262">
        <v>-1.1849999999999881E-4</v>
      </c>
      <c r="AV269" s="262">
        <f t="shared" ca="1" si="21"/>
        <v>1.9671845238095243E-3</v>
      </c>
      <c r="AX269" s="88" t="str">
        <f t="shared" ref="AX269:AX298" ca="1" si="23">A269</f>
        <v>SAFAMZN</v>
      </c>
    </row>
    <row r="270" spans="1:50" hidden="1">
      <c r="A270" s="88" t="str">
        <f t="shared" ca="1" si="22"/>
        <v>SAFASML</v>
      </c>
      <c r="F270" s="253">
        <v>825.5</v>
      </c>
      <c r="G270" s="253">
        <v>968.09</v>
      </c>
      <c r="H270" s="253">
        <v>1003.27</v>
      </c>
      <c r="I270" s="253">
        <v>1030.17</v>
      </c>
      <c r="J270" s="253">
        <v>1032.22</v>
      </c>
      <c r="K270" s="253">
        <v>874.8</v>
      </c>
      <c r="L270" s="253">
        <v>851.8</v>
      </c>
      <c r="M270" s="253">
        <v>849.8</v>
      </c>
      <c r="N270" s="253">
        <v>842.3</v>
      </c>
      <c r="O270" s="253">
        <v>844</v>
      </c>
      <c r="P270" s="253">
        <v>846.6</v>
      </c>
      <c r="Q270" s="253">
        <v>873</v>
      </c>
      <c r="R270" s="253">
        <v>877.4</v>
      </c>
      <c r="S270" s="253">
        <v>875.7</v>
      </c>
      <c r="T270" s="253">
        <v>899</v>
      </c>
      <c r="U270" s="253">
        <v>889.8</v>
      </c>
      <c r="V270" s="253">
        <v>870.1</v>
      </c>
      <c r="W270" s="253">
        <v>870.1</v>
      </c>
      <c r="X270" s="253">
        <v>887.7</v>
      </c>
      <c r="Y270" s="253">
        <v>894.4</v>
      </c>
      <c r="Z270" s="247">
        <f ca="1">[1]ExtEntry!$H68</f>
        <v>894.4</v>
      </c>
      <c r="AB270" s="265">
        <v>-9.7082666666666682E-3</v>
      </c>
      <c r="AC270" s="265">
        <v>-1.0650369047619044E-2</v>
      </c>
      <c r="AD270" s="265">
        <v>-6.7958345238095241E-3</v>
      </c>
      <c r="AE270" s="265">
        <v>-6.7973642857142857E-3</v>
      </c>
      <c r="AF270" s="265">
        <v>-6.9352571428571413E-3</v>
      </c>
      <c r="AG270" s="265">
        <v>-5.8934297619047601E-3</v>
      </c>
      <c r="AH270" s="265">
        <v>-8.0357809523809512E-3</v>
      </c>
      <c r="AI270" s="265">
        <v>-8.5959416666666622E-3</v>
      </c>
      <c r="AJ270" s="265">
        <v>-1.0825983333333332E-2</v>
      </c>
      <c r="AK270" s="265">
        <v>-8.4121440476190457E-3</v>
      </c>
      <c r="AL270" s="265">
        <v>-1.0017042857142855E-2</v>
      </c>
      <c r="AM270" s="265">
        <v>-8.2217809523809516E-3</v>
      </c>
      <c r="AN270" s="265">
        <v>-7.8520547619047622E-3</v>
      </c>
      <c r="AO270" s="265">
        <v>-1.1847392857142871E-3</v>
      </c>
      <c r="AP270" s="265">
        <v>4.1426452380952375E-3</v>
      </c>
      <c r="AQ270" s="265">
        <v>3.6262380952380964E-3</v>
      </c>
      <c r="AR270" s="265">
        <v>4.0422261904761933E-3</v>
      </c>
      <c r="AS270" s="265">
        <v>-1.7651666666666679E-3</v>
      </c>
      <c r="AT270" s="265">
        <v>-1.2704583333333344E-3</v>
      </c>
      <c r="AU270" s="265">
        <v>-4.3663392857142868E-3</v>
      </c>
      <c r="AV270" s="262">
        <f t="shared" ca="1" si="21"/>
        <v>-4.3477440476190482E-3</v>
      </c>
      <c r="AX270" s="88" t="str">
        <f t="shared" ca="1" si="23"/>
        <v>SAFASML</v>
      </c>
    </row>
    <row r="271" spans="1:50" hidden="1">
      <c r="A271" s="88" t="str">
        <f t="shared" ca="1" si="22"/>
        <v>SAFDDD</v>
      </c>
      <c r="F271" s="253">
        <v>2.97</v>
      </c>
      <c r="G271" s="253">
        <v>2.9</v>
      </c>
      <c r="H271" s="253">
        <v>2.8650000000000002</v>
      </c>
      <c r="I271" s="253">
        <v>2.9950000000000001</v>
      </c>
      <c r="J271" s="253">
        <v>3.12</v>
      </c>
      <c r="K271" s="253">
        <v>3.1349999999999998</v>
      </c>
      <c r="L271" s="253">
        <v>3.2450000000000001</v>
      </c>
      <c r="M271" s="253">
        <v>3.18</v>
      </c>
      <c r="N271" s="253">
        <v>3.18</v>
      </c>
      <c r="O271" s="253">
        <v>3.11</v>
      </c>
      <c r="P271" s="253">
        <v>3.08</v>
      </c>
      <c r="Q271" s="253">
        <v>3.25</v>
      </c>
      <c r="R271" s="253">
        <v>3.26</v>
      </c>
      <c r="S271" s="253">
        <v>3.11</v>
      </c>
      <c r="T271" s="253">
        <v>3.7850000000000001</v>
      </c>
      <c r="U271" s="253">
        <v>3.37</v>
      </c>
      <c r="V271" s="253">
        <v>3.0049999999999999</v>
      </c>
      <c r="W271" s="253">
        <v>3.0049999999999999</v>
      </c>
      <c r="X271" s="253">
        <v>3.0750000000000002</v>
      </c>
      <c r="Y271" s="253">
        <v>3.125</v>
      </c>
      <c r="Z271" s="247">
        <f ca="1">[1]ExtEntry!$H69</f>
        <v>3.13</v>
      </c>
      <c r="AB271" s="262">
        <v>7.6548630952380931E-3</v>
      </c>
      <c r="AC271" s="262">
        <v>4.8786190476190431E-3</v>
      </c>
      <c r="AD271" s="262">
        <v>3.3997857142857094E-3</v>
      </c>
      <c r="AE271" s="262">
        <v>6.2262440476190464E-3</v>
      </c>
      <c r="AF271" s="262">
        <v>-5.9093869047619051E-3</v>
      </c>
      <c r="AG271" s="262">
        <v>-1.0533904761904762E-2</v>
      </c>
      <c r="AH271" s="262">
        <v>-8.840333333333332E-3</v>
      </c>
      <c r="AI271" s="262">
        <v>-1.8605291666666662E-2</v>
      </c>
      <c r="AJ271" s="262">
        <v>-1.1256101190476191E-2</v>
      </c>
      <c r="AK271" s="262">
        <v>-3.3608214285714248E-3</v>
      </c>
      <c r="AL271" s="262">
        <v>-1.4241369047619003E-3</v>
      </c>
      <c r="AM271" s="262">
        <v>-4.619642857142843E-4</v>
      </c>
      <c r="AN271" s="262">
        <v>-6.2355357142857143E-3</v>
      </c>
      <c r="AO271" s="262">
        <v>-3.6327202380952352E-3</v>
      </c>
      <c r="AP271" s="262">
        <v>8.6931309523809522E-3</v>
      </c>
      <c r="AQ271" s="262">
        <v>1.9457380952381011E-3</v>
      </c>
      <c r="AR271" s="262">
        <v>-5.579065476190477E-3</v>
      </c>
      <c r="AS271" s="262">
        <v>-1.7775113095238094E-2</v>
      </c>
      <c r="AT271" s="262">
        <v>-1.303422619047619E-2</v>
      </c>
      <c r="AU271" s="262">
        <v>-1.9047684523809522E-2</v>
      </c>
      <c r="AV271" s="262">
        <f t="shared" ca="1" si="21"/>
        <v>-1.397280357142857E-2</v>
      </c>
      <c r="AX271" s="88" t="str">
        <f t="shared" ca="1" si="23"/>
        <v>SAFDDD</v>
      </c>
    </row>
    <row r="272" spans="1:50" hidden="1">
      <c r="A272" s="88" t="str">
        <f t="shared" ca="1" si="22"/>
        <v>SAFDIS</v>
      </c>
      <c r="F272" s="253">
        <v>114.295</v>
      </c>
      <c r="G272" s="253">
        <v>114.48</v>
      </c>
      <c r="H272" s="253">
        <v>112.935</v>
      </c>
      <c r="I272" s="253">
        <v>112.16</v>
      </c>
      <c r="J272" s="253">
        <v>112.49</v>
      </c>
      <c r="K272" s="253">
        <v>112.57</v>
      </c>
      <c r="L272" s="253">
        <v>111.89</v>
      </c>
      <c r="M272" s="253">
        <v>110.99</v>
      </c>
      <c r="N272" s="253">
        <v>110.99</v>
      </c>
      <c r="O272" s="253">
        <v>110.29</v>
      </c>
      <c r="P272" s="253">
        <v>111.16500000000001</v>
      </c>
      <c r="Q272" s="253">
        <v>112.005</v>
      </c>
      <c r="R272" s="253">
        <v>109.895</v>
      </c>
      <c r="S272" s="253">
        <v>110.67</v>
      </c>
      <c r="T272" s="253">
        <v>111.98</v>
      </c>
      <c r="U272" s="253">
        <v>114.31</v>
      </c>
      <c r="V272" s="253">
        <v>113.1</v>
      </c>
      <c r="W272" s="253">
        <v>113.1</v>
      </c>
      <c r="X272" s="253">
        <v>113.02</v>
      </c>
      <c r="Y272" s="253">
        <v>111.67</v>
      </c>
      <c r="Z272" s="247">
        <f ca="1">[1]ExtEntry!$H70</f>
        <v>111.68</v>
      </c>
      <c r="AB272" s="265">
        <v>1.343E-3</v>
      </c>
      <c r="AC272" s="265">
        <v>1.7417797619047614E-3</v>
      </c>
      <c r="AD272" s="265">
        <v>1.2684761904761905E-3</v>
      </c>
      <c r="AE272" s="265">
        <v>1.9790654761904763E-3</v>
      </c>
      <c r="AF272" s="265">
        <v>3.122714285714286E-3</v>
      </c>
      <c r="AG272" s="265">
        <v>2.0719107142857136E-3</v>
      </c>
      <c r="AH272" s="265">
        <v>1.4906726190476185E-3</v>
      </c>
      <c r="AI272" s="265">
        <v>-2.8613690476190449E-4</v>
      </c>
      <c r="AJ272" s="265">
        <v>-1.260226190476191E-3</v>
      </c>
      <c r="AK272" s="265">
        <v>-6.0541666666666773E-4</v>
      </c>
      <c r="AL272" s="265">
        <v>1.6736309523809514E-3</v>
      </c>
      <c r="AM272" s="265">
        <v>2.9894702380952377E-3</v>
      </c>
      <c r="AN272" s="265">
        <v>1.2020892857142846E-3</v>
      </c>
      <c r="AO272" s="265">
        <v>1.4493869047619043E-3</v>
      </c>
      <c r="AP272" s="265">
        <v>2.6036011904761905E-3</v>
      </c>
      <c r="AQ272" s="265">
        <v>4.7607083333333338E-3</v>
      </c>
      <c r="AR272" s="265">
        <v>4.3404047619047623E-3</v>
      </c>
      <c r="AS272" s="265">
        <v>2.1460654761904763E-3</v>
      </c>
      <c r="AT272" s="265">
        <v>1.5868404761904768E-3</v>
      </c>
      <c r="AU272" s="265">
        <v>-4.5522500000000007E-4</v>
      </c>
      <c r="AV272" s="262">
        <f t="shared" ca="1" si="21"/>
        <v>8.5160238095238067E-4</v>
      </c>
      <c r="AX272" s="88" t="str">
        <f t="shared" ca="1" si="23"/>
        <v>SAFDIS</v>
      </c>
    </row>
    <row r="273" spans="1:50" hidden="1">
      <c r="A273" s="88" t="str">
        <f t="shared" ca="1" si="22"/>
        <v>SAFGM</v>
      </c>
      <c r="F273" s="253">
        <v>60.814999999999998</v>
      </c>
      <c r="G273" s="253">
        <v>60.96</v>
      </c>
      <c r="H273" s="253">
        <v>61.33</v>
      </c>
      <c r="I273" s="253">
        <v>59.36</v>
      </c>
      <c r="J273" s="253">
        <v>60.13</v>
      </c>
      <c r="K273" s="253">
        <v>57.27</v>
      </c>
      <c r="L273" s="253">
        <v>56.405000000000001</v>
      </c>
      <c r="M273" s="253">
        <v>55.94</v>
      </c>
      <c r="N273" s="253">
        <v>55.92</v>
      </c>
      <c r="O273" s="253">
        <v>55.61</v>
      </c>
      <c r="P273" s="253">
        <v>57.15</v>
      </c>
      <c r="Q273" s="253">
        <v>57.919899999999998</v>
      </c>
      <c r="R273" s="253">
        <v>57.34</v>
      </c>
      <c r="S273" s="253">
        <v>58.38</v>
      </c>
      <c r="T273" s="253">
        <v>58.02</v>
      </c>
      <c r="U273" s="253">
        <v>66.61</v>
      </c>
      <c r="V273" s="253">
        <v>67.319999999999993</v>
      </c>
      <c r="W273" s="253">
        <v>67.319999999999993</v>
      </c>
      <c r="X273" s="253">
        <v>66.834999999999994</v>
      </c>
      <c r="Y273" s="253">
        <v>69.67</v>
      </c>
      <c r="Z273" s="247">
        <f ca="1">[1]ExtEntry!$H71</f>
        <v>69.66</v>
      </c>
      <c r="AB273" s="262">
        <v>1.5940738095238096E-3</v>
      </c>
      <c r="AC273" s="262">
        <v>1.5675916666666667E-3</v>
      </c>
      <c r="AD273" s="262">
        <v>2.4036273809523809E-3</v>
      </c>
      <c r="AE273" s="262">
        <v>-1.670988095238096E-4</v>
      </c>
      <c r="AF273" s="262">
        <v>1.7821214285714281E-3</v>
      </c>
      <c r="AG273" s="262">
        <v>-2.3037857142857139E-3</v>
      </c>
      <c r="AH273" s="262">
        <v>-5.0042738095238092E-3</v>
      </c>
      <c r="AI273" s="262">
        <v>-7.5222976190476177E-3</v>
      </c>
      <c r="AJ273" s="262">
        <v>-6.1922440476190471E-3</v>
      </c>
      <c r="AK273" s="262">
        <v>-5.6678214285714283E-3</v>
      </c>
      <c r="AL273" s="262">
        <v>-4.151255952380954E-3</v>
      </c>
      <c r="AM273" s="262">
        <v>1.3249523809523804E-3</v>
      </c>
      <c r="AN273" s="262">
        <v>-1.3041071428571429E-3</v>
      </c>
      <c r="AO273" s="262">
        <v>2.4972202380952376E-3</v>
      </c>
      <c r="AP273" s="262">
        <v>3.6615892857142854E-3</v>
      </c>
      <c r="AQ273" s="262">
        <v>1.5943136904761904E-2</v>
      </c>
      <c r="AR273" s="262">
        <v>1.7606101190476189E-2</v>
      </c>
      <c r="AS273" s="262">
        <v>1.7597494047619046E-2</v>
      </c>
      <c r="AT273" s="262">
        <v>1.4694059523809521E-2</v>
      </c>
      <c r="AU273" s="262">
        <v>1.6806773809523806E-2</v>
      </c>
      <c r="AV273" s="262">
        <f t="shared" ca="1" si="21"/>
        <v>2.1565011904761906E-2</v>
      </c>
      <c r="AX273" s="88" t="str">
        <f t="shared" ca="1" si="23"/>
        <v>SAFGM</v>
      </c>
    </row>
    <row r="274" spans="1:50" hidden="1">
      <c r="A274" s="88" t="str">
        <f t="shared" ca="1" si="22"/>
        <v>SAFIAG</v>
      </c>
      <c r="F274" s="253">
        <v>384.1</v>
      </c>
      <c r="G274" s="253">
        <v>386.1</v>
      </c>
      <c r="H274" s="253">
        <v>379.4</v>
      </c>
      <c r="I274" s="253">
        <v>386.6</v>
      </c>
      <c r="J274" s="253">
        <v>385.8</v>
      </c>
      <c r="K274" s="253">
        <v>389.7</v>
      </c>
      <c r="L274" s="253">
        <v>400</v>
      </c>
      <c r="M274" s="253">
        <v>412.8</v>
      </c>
      <c r="N274" s="253">
        <v>408.1</v>
      </c>
      <c r="O274" s="253">
        <v>408.2</v>
      </c>
      <c r="P274" s="253">
        <v>408</v>
      </c>
      <c r="Q274" s="253">
        <v>407.5</v>
      </c>
      <c r="R274" s="253">
        <v>406.3</v>
      </c>
      <c r="S274" s="253">
        <v>391.2</v>
      </c>
      <c r="T274" s="253">
        <v>396</v>
      </c>
      <c r="U274" s="253">
        <v>393.8</v>
      </c>
      <c r="V274" s="253">
        <v>402.6</v>
      </c>
      <c r="W274" s="253">
        <v>402.6</v>
      </c>
      <c r="X274" s="253">
        <v>403.5</v>
      </c>
      <c r="Y274" s="253">
        <v>410</v>
      </c>
      <c r="Z274" s="247">
        <f ca="1">[1]ExtEntry!$H72</f>
        <v>410</v>
      </c>
      <c r="AB274" s="265">
        <v>1.5331785714285716E-3</v>
      </c>
      <c r="AC274" s="265">
        <v>2.1151785714285738E-4</v>
      </c>
      <c r="AD274" s="265">
        <v>2.9247619047619087E-4</v>
      </c>
      <c r="AE274" s="265">
        <v>3.4518964285714287E-3</v>
      </c>
      <c r="AF274" s="265">
        <v>2.1334619047619048E-3</v>
      </c>
      <c r="AG274" s="265">
        <v>2.3173726190476186E-3</v>
      </c>
      <c r="AH274" s="265">
        <v>5.363080952380952E-3</v>
      </c>
      <c r="AI274" s="265">
        <v>6.0640095238095239E-3</v>
      </c>
      <c r="AJ274" s="265">
        <v>4.4718071428571432E-3</v>
      </c>
      <c r="AK274" s="265">
        <v>3.8214976190476192E-3</v>
      </c>
      <c r="AL274" s="265">
        <v>6.4762773809523789E-3</v>
      </c>
      <c r="AM274" s="265">
        <v>4.258694047619048E-3</v>
      </c>
      <c r="AN274" s="265">
        <v>3.8430035714285713E-3</v>
      </c>
      <c r="AO274" s="265">
        <v>2.2289285714286204E-5</v>
      </c>
      <c r="AP274" s="265">
        <v>-2.3941214285714283E-3</v>
      </c>
      <c r="AQ274" s="265">
        <v>-6.8860500000000003E-3</v>
      </c>
      <c r="AR274" s="265">
        <v>-4.3917404761904758E-3</v>
      </c>
      <c r="AS274" s="265">
        <v>-2.2453845238095235E-3</v>
      </c>
      <c r="AT274" s="265">
        <v>-1.7743309523809521E-3</v>
      </c>
      <c r="AU274" s="265">
        <v>-5.8553333333333322E-4</v>
      </c>
      <c r="AV274" s="262">
        <f t="shared" ca="1" si="21"/>
        <v>9.6683571428571487E-4</v>
      </c>
      <c r="AX274" s="88" t="str">
        <f t="shared" ca="1" si="23"/>
        <v>SAFIAG</v>
      </c>
    </row>
    <row r="275" spans="1:50" hidden="1">
      <c r="A275" s="88" t="str">
        <f t="shared" ca="1" si="22"/>
        <v>SAFMRNA</v>
      </c>
      <c r="F275" s="253">
        <v>25.108599999999999</v>
      </c>
      <c r="G275" s="253">
        <v>25.83</v>
      </c>
      <c r="H275" s="253">
        <v>27.6</v>
      </c>
      <c r="I275" s="253">
        <v>28.37</v>
      </c>
      <c r="J275" s="253">
        <v>28.49</v>
      </c>
      <c r="K275" s="253">
        <v>27.34</v>
      </c>
      <c r="L275" s="253">
        <v>27.92</v>
      </c>
      <c r="M275" s="253">
        <v>27.53</v>
      </c>
      <c r="N275" s="253">
        <v>27.53</v>
      </c>
      <c r="O275" s="253">
        <v>26.74</v>
      </c>
      <c r="P275" s="253">
        <v>26.25</v>
      </c>
      <c r="Q275" s="253">
        <v>27.754999999999999</v>
      </c>
      <c r="R275" s="253">
        <v>27.14</v>
      </c>
      <c r="S275" s="253">
        <v>26.01</v>
      </c>
      <c r="T275" s="253">
        <v>27.24</v>
      </c>
      <c r="U275" s="253">
        <v>27.49</v>
      </c>
      <c r="V275" s="253">
        <v>26.85</v>
      </c>
      <c r="W275" s="253">
        <v>26.85</v>
      </c>
      <c r="X275" s="253">
        <v>26.25</v>
      </c>
      <c r="Y275" s="253">
        <v>26.74</v>
      </c>
      <c r="Z275" s="247">
        <f ca="1">[1]ExtEntry!$H73</f>
        <v>26.74</v>
      </c>
      <c r="AB275" s="262">
        <v>-3.5214285714287833E-5</v>
      </c>
      <c r="AC275" s="262">
        <v>1.3177738095238086E-3</v>
      </c>
      <c r="AD275" s="262">
        <v>7.8288690476190463E-3</v>
      </c>
      <c r="AE275" s="262">
        <v>7.7297619047619111E-4</v>
      </c>
      <c r="AF275" s="262">
        <v>5.1795535714285693E-3</v>
      </c>
      <c r="AG275" s="262">
        <v>3.5941726190476175E-3</v>
      </c>
      <c r="AH275" s="262">
        <v>1.0679428571428574E-2</v>
      </c>
      <c r="AI275" s="262">
        <v>9.8966904761904773E-3</v>
      </c>
      <c r="AJ275" s="262">
        <v>7.7544107142857128E-3</v>
      </c>
      <c r="AK275" s="262">
        <v>1.5015476190476159E-3</v>
      </c>
      <c r="AL275" s="262">
        <v>-8.0364642857142874E-3</v>
      </c>
      <c r="AM275" s="262">
        <v>-6.3379285714285725E-3</v>
      </c>
      <c r="AN275" s="262">
        <v>-6.5714642857142864E-3</v>
      </c>
      <c r="AO275" s="262">
        <v>-8.0284047619047609E-3</v>
      </c>
      <c r="AP275" s="262">
        <v>-7.4137142857142856E-3</v>
      </c>
      <c r="AQ275" s="262">
        <v>-5.3504166666666674E-3</v>
      </c>
      <c r="AR275" s="262">
        <v>-2.0005416666666665E-3</v>
      </c>
      <c r="AS275" s="262">
        <v>-4.7633214285714284E-3</v>
      </c>
      <c r="AT275" s="262">
        <v>-4.035660714285713E-3</v>
      </c>
      <c r="AU275" s="262">
        <v>-1.2094625000000001E-2</v>
      </c>
      <c r="AV275" s="262">
        <f t="shared" ca="1" si="21"/>
        <v>-8.2668452380952381E-3</v>
      </c>
      <c r="AX275" s="88" t="str">
        <f t="shared" ca="1" si="23"/>
        <v>SAFMRNA</v>
      </c>
    </row>
    <row r="276" spans="1:50" hidden="1">
      <c r="A276" s="88" t="str">
        <f t="shared" ca="1" si="22"/>
        <v>BLNK</v>
      </c>
      <c r="F276" s="253">
        <v>1.73</v>
      </c>
      <c r="G276" s="253">
        <v>1.64</v>
      </c>
      <c r="H276" s="253">
        <v>1.81</v>
      </c>
      <c r="I276" s="253">
        <v>1.76</v>
      </c>
      <c r="J276" s="253">
        <v>2</v>
      </c>
      <c r="K276" s="253">
        <v>2.37</v>
      </c>
      <c r="L276" s="253">
        <v>2.2999999999999998</v>
      </c>
      <c r="M276" s="253">
        <v>2.23</v>
      </c>
      <c r="N276" s="253">
        <v>2.23</v>
      </c>
      <c r="O276" s="253">
        <v>2.23</v>
      </c>
      <c r="P276" s="253">
        <v>2.27</v>
      </c>
      <c r="Q276" s="253">
        <v>2.165</v>
      </c>
      <c r="R276" s="253">
        <v>1.91</v>
      </c>
      <c r="S276" s="253">
        <v>1.82</v>
      </c>
      <c r="T276" s="253">
        <v>1.89</v>
      </c>
      <c r="U276" s="253">
        <v>1.77</v>
      </c>
      <c r="V276" s="253">
        <v>1.79</v>
      </c>
      <c r="W276" s="253">
        <v>1.79</v>
      </c>
      <c r="X276" s="253">
        <v>1.79</v>
      </c>
      <c r="Y276" s="253">
        <v>1.93</v>
      </c>
      <c r="Z276" s="247">
        <f ca="1">[1]ExtEntry!$H74</f>
        <v>1.93</v>
      </c>
      <c r="AB276" s="265">
        <v>9.83935119047619E-3</v>
      </c>
      <c r="AC276" s="265">
        <v>-6.4505535714285758E-3</v>
      </c>
      <c r="AD276" s="265">
        <v>-5.7170535714285743E-3</v>
      </c>
      <c r="AE276" s="265">
        <v>-1.4101654761904763E-2</v>
      </c>
      <c r="AF276" s="265">
        <v>-4.2928988095238124E-3</v>
      </c>
      <c r="AG276" s="265">
        <v>-3.7957738095238079E-3</v>
      </c>
      <c r="AH276" s="265">
        <v>-3.9392857142857285E-4</v>
      </c>
      <c r="AI276" s="265">
        <v>-2.3497321428571465E-3</v>
      </c>
      <c r="AJ276" s="265">
        <v>-1.7128380952380961E-2</v>
      </c>
      <c r="AK276" s="265">
        <v>2.2018392857142861E-3</v>
      </c>
      <c r="AL276" s="265">
        <v>-1.0078267857142855E-2</v>
      </c>
      <c r="AM276" s="265">
        <v>-9.4938869047619025E-3</v>
      </c>
      <c r="AN276" s="265">
        <v>-3.5845678571428577E-2</v>
      </c>
      <c r="AO276" s="265">
        <v>-3.0891011904761904E-2</v>
      </c>
      <c r="AP276" s="265">
        <v>-2.0869309523809526E-2</v>
      </c>
      <c r="AQ276" s="265">
        <v>-1.8624529761904759E-2</v>
      </c>
      <c r="AR276" s="265">
        <v>-1.173092261904762E-2</v>
      </c>
      <c r="AS276" s="265">
        <v>-2.4733452380952384E-2</v>
      </c>
      <c r="AT276" s="265">
        <v>-2.7275053571428572E-2</v>
      </c>
      <c r="AU276" s="265">
        <v>-1.6947886904761903E-2</v>
      </c>
      <c r="AV276" s="262">
        <f t="shared" ca="1" si="21"/>
        <v>3.2606190476190469E-3</v>
      </c>
      <c r="AX276" s="88" t="str">
        <f t="shared" ca="1" si="23"/>
        <v>BLNK</v>
      </c>
    </row>
    <row r="277" spans="1:50" hidden="1">
      <c r="A277" s="88" t="str">
        <f t="shared" ca="1" si="22"/>
        <v>ENI</v>
      </c>
      <c r="F277" s="253">
        <v>15.082000000000001</v>
      </c>
      <c r="G277" s="253">
        <v>14.866</v>
      </c>
      <c r="H277" s="253">
        <v>14.986000000000001</v>
      </c>
      <c r="I277" s="253">
        <v>14.875999999999999</v>
      </c>
      <c r="J277" s="253">
        <v>14.906000000000001</v>
      </c>
      <c r="K277" s="253">
        <v>15.173999999999999</v>
      </c>
      <c r="L277" s="253">
        <v>15.286</v>
      </c>
      <c r="M277" s="253">
        <v>15.378</v>
      </c>
      <c r="N277" s="253">
        <v>15.202</v>
      </c>
      <c r="O277" s="253">
        <v>14.972</v>
      </c>
      <c r="P277" s="253">
        <v>14.7</v>
      </c>
      <c r="Q277" s="253">
        <v>14.722</v>
      </c>
      <c r="R277" s="253">
        <v>14.766</v>
      </c>
      <c r="S277" s="253">
        <v>14.843999999999999</v>
      </c>
      <c r="T277" s="253">
        <v>14.875999999999999</v>
      </c>
      <c r="U277" s="253">
        <v>14.9</v>
      </c>
      <c r="V277" s="253">
        <v>15.125999999999999</v>
      </c>
      <c r="W277" s="253">
        <v>15.125999999999999</v>
      </c>
      <c r="X277" s="253">
        <v>15.586</v>
      </c>
      <c r="Y277" s="253">
        <v>15.836</v>
      </c>
      <c r="Z277" s="247">
        <f ca="1">[1]ExtEntry!$H75</f>
        <v>15.836</v>
      </c>
      <c r="AB277" s="262">
        <v>2.0589642857142855E-3</v>
      </c>
      <c r="AC277" s="262">
        <v>1.2707440476190481E-3</v>
      </c>
      <c r="AD277" s="262">
        <v>2.058440476190475E-3</v>
      </c>
      <c r="AE277" s="262">
        <v>1.0356666666666665E-3</v>
      </c>
      <c r="AF277" s="262">
        <v>-1.0968452380952383E-3</v>
      </c>
      <c r="AG277" s="262">
        <v>-2.831160714285714E-3</v>
      </c>
      <c r="AH277" s="262">
        <v>-1.8105595238095233E-3</v>
      </c>
      <c r="AI277" s="262">
        <v>-2.8671940476190476E-3</v>
      </c>
      <c r="AJ277" s="262">
        <v>-1.7170630952380952E-3</v>
      </c>
      <c r="AK277" s="262">
        <v>3.8686904761904952E-5</v>
      </c>
      <c r="AL277" s="262">
        <v>-2.4144880952380954E-3</v>
      </c>
      <c r="AM277" s="262">
        <v>-1.4515297619047622E-3</v>
      </c>
      <c r="AN277" s="262">
        <v>-1.1519345238095238E-3</v>
      </c>
      <c r="AO277" s="262">
        <v>-1.173952380952381E-3</v>
      </c>
      <c r="AP277" s="262">
        <v>-2.281410714285715E-3</v>
      </c>
      <c r="AQ277" s="262">
        <v>-3.2606369047619046E-3</v>
      </c>
      <c r="AR277" s="262">
        <v>-4.464880952380955E-4</v>
      </c>
      <c r="AS277" s="262">
        <v>1.3926785714285712E-3</v>
      </c>
      <c r="AT277" s="262">
        <v>6.8831666666666676E-3</v>
      </c>
      <c r="AU277" s="262">
        <v>8.0821845238095227E-3</v>
      </c>
      <c r="AV277" s="262">
        <f t="shared" ca="1" si="21"/>
        <v>9.5467023809523797E-3</v>
      </c>
      <c r="AX277" s="88" t="str">
        <f t="shared" ca="1" si="23"/>
        <v>ENI</v>
      </c>
    </row>
    <row r="278" spans="1:50" hidden="1">
      <c r="A278" s="88" t="str">
        <f t="shared" ca="1" si="22"/>
        <v>EZJ</v>
      </c>
      <c r="F278" s="253">
        <v>460.6</v>
      </c>
      <c r="G278" s="253">
        <v>464</v>
      </c>
      <c r="H278" s="253">
        <v>462.3</v>
      </c>
      <c r="I278" s="253">
        <v>463.1</v>
      </c>
      <c r="J278" s="253">
        <v>471.3</v>
      </c>
      <c r="K278" s="253">
        <v>465.4</v>
      </c>
      <c r="L278" s="253">
        <v>471.5</v>
      </c>
      <c r="M278" s="253">
        <v>471.5</v>
      </c>
      <c r="N278" s="253">
        <v>470.72680000000003</v>
      </c>
      <c r="O278" s="253">
        <v>464</v>
      </c>
      <c r="P278" s="253">
        <v>501.2</v>
      </c>
      <c r="Q278" s="253">
        <v>480.7</v>
      </c>
      <c r="R278" s="253">
        <v>489.7</v>
      </c>
      <c r="S278" s="253">
        <v>487.9</v>
      </c>
      <c r="T278" s="253">
        <v>486</v>
      </c>
      <c r="U278" s="253">
        <v>480.3</v>
      </c>
      <c r="V278" s="253">
        <v>493.3</v>
      </c>
      <c r="W278" s="253">
        <v>493.3</v>
      </c>
      <c r="X278" s="253">
        <v>479.5</v>
      </c>
      <c r="Y278" s="253">
        <v>486.1</v>
      </c>
      <c r="Z278" s="247">
        <f ca="1">[1]ExtEntry!$H76</f>
        <v>486.1</v>
      </c>
      <c r="AB278" s="265">
        <v>5.2601369047619046E-3</v>
      </c>
      <c r="AC278" s="265">
        <v>3.4180952380952374E-3</v>
      </c>
      <c r="AD278" s="265">
        <v>2.9724940476190472E-3</v>
      </c>
      <c r="AE278" s="265">
        <v>3.1943571428571429E-3</v>
      </c>
      <c r="AF278" s="265">
        <v>2.0430119047619047E-3</v>
      </c>
      <c r="AG278" s="265">
        <v>2.9442976190476185E-3</v>
      </c>
      <c r="AH278" s="265">
        <v>4.3608750000000002E-3</v>
      </c>
      <c r="AI278" s="265">
        <v>2.2403988095238084E-3</v>
      </c>
      <c r="AJ278" s="265">
        <v>1.123083333333334E-3</v>
      </c>
      <c r="AK278" s="265">
        <v>7.62619047619048E-4</v>
      </c>
      <c r="AL278" s="265">
        <v>8.0814047619047619E-3</v>
      </c>
      <c r="AM278" s="265">
        <v>5.0755476190476184E-3</v>
      </c>
      <c r="AN278" s="265">
        <v>2.7203095238095224E-3</v>
      </c>
      <c r="AO278" s="265">
        <v>2.6317142857142876E-3</v>
      </c>
      <c r="AP278" s="265">
        <v>1.2017797619047607E-3</v>
      </c>
      <c r="AQ278" s="265">
        <v>8.0401785714285558E-4</v>
      </c>
      <c r="AR278" s="265">
        <v>2.4834583333333314E-3</v>
      </c>
      <c r="AS278" s="265">
        <v>5.3348035714285685E-3</v>
      </c>
      <c r="AT278" s="265">
        <v>-7.403428571428573E-3</v>
      </c>
      <c r="AU278" s="265">
        <v>-1.2782738095238107E-3</v>
      </c>
      <c r="AV278" s="262">
        <f t="shared" ca="1" si="21"/>
        <v>-2.1421488095238108E-3</v>
      </c>
      <c r="AX278" s="88" t="str">
        <f t="shared" ca="1" si="23"/>
        <v>EZJ</v>
      </c>
    </row>
    <row r="279" spans="1:50" hidden="1">
      <c r="A279" s="88" t="str">
        <f t="shared" ca="1" si="22"/>
        <v>F</v>
      </c>
      <c r="F279" s="253">
        <v>11.9527</v>
      </c>
      <c r="G279" s="253">
        <v>11.955</v>
      </c>
      <c r="H279" s="253">
        <v>12.27</v>
      </c>
      <c r="I279" s="253">
        <v>12.234999999999999</v>
      </c>
      <c r="J279" s="253">
        <v>12.66</v>
      </c>
      <c r="K279" s="253">
        <v>11.925000000000001</v>
      </c>
      <c r="L279" s="253">
        <v>11.744999999999999</v>
      </c>
      <c r="M279" s="253">
        <v>11.52</v>
      </c>
      <c r="N279" s="253">
        <v>11.5</v>
      </c>
      <c r="O279" s="253">
        <v>11.545</v>
      </c>
      <c r="P279" s="253">
        <v>11.664999999999999</v>
      </c>
      <c r="Q279" s="253">
        <v>11.734999999999999</v>
      </c>
      <c r="R279" s="253">
        <v>11.744999999999999</v>
      </c>
      <c r="S279" s="253">
        <v>11.92</v>
      </c>
      <c r="T279" s="253">
        <v>12.005000000000001</v>
      </c>
      <c r="U279" s="253">
        <v>12.57</v>
      </c>
      <c r="V279" s="253">
        <v>12.455</v>
      </c>
      <c r="W279" s="253">
        <v>12.455</v>
      </c>
      <c r="X279" s="253">
        <v>12.31</v>
      </c>
      <c r="Y279" s="253">
        <v>13.83</v>
      </c>
      <c r="Z279" s="247">
        <f ca="1">[1]ExtEntry!$H77</f>
        <v>13.84</v>
      </c>
      <c r="AB279" s="262">
        <v>1.4860011904761911E-3</v>
      </c>
      <c r="AC279" s="262">
        <v>1.5504535714285714E-3</v>
      </c>
      <c r="AD279" s="262">
        <v>4.3613226190476187E-3</v>
      </c>
      <c r="AE279" s="262">
        <v>3.8957214285714288E-3</v>
      </c>
      <c r="AF279" s="262">
        <v>6.016632142857142E-3</v>
      </c>
      <c r="AG279" s="262">
        <v>2.2031202380952374E-3</v>
      </c>
      <c r="AH279" s="262">
        <v>4.543880952380958E-4</v>
      </c>
      <c r="AI279" s="262">
        <v>-5.4934452380952384E-3</v>
      </c>
      <c r="AJ279" s="262">
        <v>-5.0820642857142854E-3</v>
      </c>
      <c r="AK279" s="262">
        <v>-3.0946952380952381E-3</v>
      </c>
      <c r="AL279" s="262">
        <v>-5.6322666666666667E-3</v>
      </c>
      <c r="AM279" s="262">
        <v>-4.6908095238095242E-3</v>
      </c>
      <c r="AN279" s="262">
        <v>-9.5758035714285736E-3</v>
      </c>
      <c r="AO279" s="262">
        <v>-4.1425595238095143E-4</v>
      </c>
      <c r="AP279" s="262">
        <v>1.5264821428571432E-3</v>
      </c>
      <c r="AQ279" s="262">
        <v>7.1658928571428568E-3</v>
      </c>
      <c r="AR279" s="262">
        <v>9.0128869047619038E-3</v>
      </c>
      <c r="AS279" s="262">
        <v>7.2341249999999975E-3</v>
      </c>
      <c r="AT279" s="262">
        <v>4.6865178571428578E-3</v>
      </c>
      <c r="AU279" s="262">
        <v>1.3056529761904762E-2</v>
      </c>
      <c r="AV279" s="262">
        <f t="shared" ca="1" si="21"/>
        <v>2.4240863095238097E-2</v>
      </c>
      <c r="AX279" s="88" t="str">
        <f t="shared" ca="1" si="23"/>
        <v>F</v>
      </c>
    </row>
    <row r="280" spans="1:50" hidden="1">
      <c r="A280" s="88" t="str">
        <f t="shared" ca="1" si="22"/>
        <v>GLE</v>
      </c>
      <c r="F280" s="253">
        <v>56.62</v>
      </c>
      <c r="G280" s="253">
        <v>56.36</v>
      </c>
      <c r="H280" s="253">
        <v>56.82</v>
      </c>
      <c r="I280" s="253">
        <v>56.72</v>
      </c>
      <c r="J280" s="253">
        <v>56.72</v>
      </c>
      <c r="K280" s="253">
        <v>53.3</v>
      </c>
      <c r="L280" s="253">
        <v>54.42</v>
      </c>
      <c r="M280" s="253">
        <v>54.36</v>
      </c>
      <c r="N280" s="253">
        <v>54.24</v>
      </c>
      <c r="O280" s="253">
        <v>53.72</v>
      </c>
      <c r="P280" s="253">
        <v>55.02</v>
      </c>
      <c r="Q280" s="253">
        <v>55.56</v>
      </c>
      <c r="R280" s="253">
        <v>56.52</v>
      </c>
      <c r="S280" s="253">
        <v>53.64</v>
      </c>
      <c r="T280" s="253">
        <v>53</v>
      </c>
      <c r="U280" s="253">
        <v>53.12</v>
      </c>
      <c r="V280" s="253">
        <v>52.88</v>
      </c>
      <c r="W280" s="253">
        <v>52.88</v>
      </c>
      <c r="X280" s="253">
        <v>53.58</v>
      </c>
      <c r="Y280" s="253">
        <v>53.68</v>
      </c>
      <c r="Z280" s="247">
        <f ca="1">[1]ExtEntry!$H78</f>
        <v>53.68</v>
      </c>
      <c r="AB280" s="265">
        <v>-5.2800357142857145E-3</v>
      </c>
      <c r="AC280" s="265">
        <v>-8.0703452380952358E-3</v>
      </c>
      <c r="AD280" s="265">
        <v>-8.8325952380952366E-3</v>
      </c>
      <c r="AE280" s="265">
        <v>-6.7869285714285705E-3</v>
      </c>
      <c r="AF280" s="265">
        <v>-5.7769642857142837E-3</v>
      </c>
      <c r="AG280" s="265">
        <v>-6.5272499999999992E-3</v>
      </c>
      <c r="AH280" s="265">
        <v>-3.0065714285714288E-3</v>
      </c>
      <c r="AI280" s="265">
        <v>-3.544970238095239E-3</v>
      </c>
      <c r="AJ280" s="265">
        <v>-5.8472619047619128E-4</v>
      </c>
      <c r="AK280" s="265">
        <v>-4.9293452380952353E-4</v>
      </c>
      <c r="AL280" s="265">
        <v>1.8231011904761905E-3</v>
      </c>
      <c r="AM280" s="265">
        <v>4.1332142857142861E-3</v>
      </c>
      <c r="AN280" s="265">
        <v>3.7713273809523813E-3</v>
      </c>
      <c r="AO280" s="265">
        <v>1.4957738095238106E-3</v>
      </c>
      <c r="AP280" s="265">
        <v>-1.4401785714285714E-3</v>
      </c>
      <c r="AQ280" s="265">
        <v>-5.1320833333333362E-4</v>
      </c>
      <c r="AR280" s="265">
        <v>-1.2256726190476186E-3</v>
      </c>
      <c r="AS280" s="265">
        <v>-1.6821190476190469E-3</v>
      </c>
      <c r="AT280" s="265">
        <v>-3.3811309523809532E-3</v>
      </c>
      <c r="AU280" s="265">
        <v>-4.9964226190476191E-3</v>
      </c>
      <c r="AV280" s="262">
        <f t="shared" ca="1" si="21"/>
        <v>-6.3383809523809504E-3</v>
      </c>
      <c r="AX280" s="88" t="str">
        <f t="shared" ca="1" si="23"/>
        <v>GLE</v>
      </c>
    </row>
    <row r="281" spans="1:50" hidden="1">
      <c r="A281" s="88" t="str">
        <f t="shared" ca="1" si="22"/>
        <v>GNRC</v>
      </c>
      <c r="F281" s="253">
        <v>165.89</v>
      </c>
      <c r="G281" s="253">
        <v>167.4</v>
      </c>
      <c r="H281" s="253">
        <v>167.8</v>
      </c>
      <c r="I281" s="253">
        <v>170.01</v>
      </c>
      <c r="J281" s="253">
        <v>165.67</v>
      </c>
      <c r="K281" s="253">
        <v>167.02</v>
      </c>
      <c r="L281" s="253">
        <v>171.33500000000001</v>
      </c>
      <c r="M281" s="253">
        <v>171.92</v>
      </c>
      <c r="N281" s="253">
        <v>171.92</v>
      </c>
      <c r="O281" s="253">
        <v>174.12</v>
      </c>
      <c r="P281" s="253">
        <v>183.92500000000001</v>
      </c>
      <c r="Q281" s="253">
        <v>193.29499999999999</v>
      </c>
      <c r="R281" s="253">
        <v>192.655</v>
      </c>
      <c r="S281" s="253">
        <v>190.49</v>
      </c>
      <c r="T281" s="253">
        <v>195.77</v>
      </c>
      <c r="U281" s="253">
        <v>192.52</v>
      </c>
      <c r="V281" s="253">
        <v>183.09</v>
      </c>
      <c r="W281" s="253">
        <v>183.09</v>
      </c>
      <c r="X281" s="253">
        <v>189.04</v>
      </c>
      <c r="Y281" s="253">
        <v>192.01</v>
      </c>
      <c r="Z281" s="247">
        <f ca="1">[1]ExtEntry!$H79</f>
        <v>191.95</v>
      </c>
      <c r="AB281" s="262">
        <v>-8.2168095238095255E-3</v>
      </c>
      <c r="AC281" s="262">
        <v>-7.964005952380955E-3</v>
      </c>
      <c r="AD281" s="262">
        <v>-7.4419107142857143E-3</v>
      </c>
      <c r="AE281" s="262">
        <v>-8.5566845238095254E-3</v>
      </c>
      <c r="AF281" s="262">
        <v>3.1356547619047622E-3</v>
      </c>
      <c r="AG281" s="262">
        <v>4.6699583333333333E-3</v>
      </c>
      <c r="AH281" s="262">
        <v>8.4560773809523818E-3</v>
      </c>
      <c r="AI281" s="262">
        <v>6.4737619047619058E-3</v>
      </c>
      <c r="AJ281" s="262">
        <v>9.3010238095238111E-3</v>
      </c>
      <c r="AK281" s="262">
        <v>9.0634642857142875E-3</v>
      </c>
      <c r="AL281" s="262">
        <v>1.3703363095238097E-2</v>
      </c>
      <c r="AM281" s="262">
        <v>1.6454494047619048E-2</v>
      </c>
      <c r="AN281" s="262">
        <v>1.9474922619047617E-2</v>
      </c>
      <c r="AO281" s="262">
        <v>1.7106321428571429E-2</v>
      </c>
      <c r="AP281" s="262">
        <v>1.5512660714285713E-2</v>
      </c>
      <c r="AQ281" s="262">
        <v>1.3342178571428567E-2</v>
      </c>
      <c r="AR281" s="262">
        <v>9.4843511904761854E-3</v>
      </c>
      <c r="AS281" s="262">
        <v>-2.1559880952380971E-3</v>
      </c>
      <c r="AT281" s="262">
        <v>-6.4775476190476189E-3</v>
      </c>
      <c r="AU281" s="262">
        <v>-1.2586988095238096E-2</v>
      </c>
      <c r="AV281" s="262">
        <f t="shared" ca="1" si="21"/>
        <v>-1.0861160714285712E-2</v>
      </c>
      <c r="AX281" s="88" t="str">
        <f t="shared" ca="1" si="23"/>
        <v>GNRC</v>
      </c>
    </row>
    <row r="282" spans="1:50" hidden="1">
      <c r="A282" s="88" t="str">
        <f t="shared" ca="1" si="22"/>
        <v>GS</v>
      </c>
      <c r="F282" s="253">
        <v>802.63800000000003</v>
      </c>
      <c r="G282" s="253">
        <v>796.24</v>
      </c>
      <c r="H282" s="253">
        <v>786.1</v>
      </c>
      <c r="I282" s="253">
        <v>779.89</v>
      </c>
      <c r="J282" s="253">
        <v>790.03</v>
      </c>
      <c r="K282" s="253">
        <v>789.89</v>
      </c>
      <c r="L282" s="253">
        <v>777.02</v>
      </c>
      <c r="M282" s="253">
        <v>780.24</v>
      </c>
      <c r="N282" s="253">
        <v>779.96</v>
      </c>
      <c r="O282" s="253">
        <v>787.91</v>
      </c>
      <c r="P282" s="253">
        <v>771.14</v>
      </c>
      <c r="Q282" s="253">
        <v>764.16</v>
      </c>
      <c r="R282" s="253">
        <v>758.32</v>
      </c>
      <c r="S282" s="253">
        <v>750.77</v>
      </c>
      <c r="T282" s="253">
        <v>763.09</v>
      </c>
      <c r="U282" s="253">
        <v>759.07</v>
      </c>
      <c r="V282" s="253">
        <v>744.58</v>
      </c>
      <c r="W282" s="253">
        <v>744.58</v>
      </c>
      <c r="X282" s="253">
        <v>751.01</v>
      </c>
      <c r="Y282" s="253">
        <v>783.87</v>
      </c>
      <c r="Z282" s="247">
        <f ca="1">[1]ExtEntry!$H80</f>
        <v>783.88</v>
      </c>
      <c r="AB282" s="265">
        <v>-4.1694791666666677E-3</v>
      </c>
      <c r="AC282" s="265">
        <v>-6.2204827380952388E-3</v>
      </c>
      <c r="AD282" s="265">
        <v>-7.6190755952380961E-3</v>
      </c>
      <c r="AE282" s="265">
        <v>-8.0460065476190487E-3</v>
      </c>
      <c r="AF282" s="265">
        <v>-5.9932922619047625E-3</v>
      </c>
      <c r="AG282" s="265">
        <v>-4.2861434523809522E-3</v>
      </c>
      <c r="AH282" s="265">
        <v>-4.4343398809523794E-3</v>
      </c>
      <c r="AI282" s="265">
        <v>-4.9441791666666665E-3</v>
      </c>
      <c r="AJ282" s="265">
        <v>-3.6562654761904748E-3</v>
      </c>
      <c r="AK282" s="265">
        <v>-3.4672976190476133E-4</v>
      </c>
      <c r="AL282" s="265">
        <v>3.6372857142857152E-4</v>
      </c>
      <c r="AM282" s="265">
        <v>1.0496809523809528E-3</v>
      </c>
      <c r="AN282" s="265">
        <v>-1.6997892857142859E-3</v>
      </c>
      <c r="AO282" s="265">
        <v>-7.5453333333333353E-4</v>
      </c>
      <c r="AP282" s="265">
        <v>2.5536142857142856E-3</v>
      </c>
      <c r="AQ282" s="265">
        <v>1.561333333333333E-3</v>
      </c>
      <c r="AR282" s="265">
        <v>-5.1766666666666671E-4</v>
      </c>
      <c r="AS282" s="265">
        <v>-5.7608273809523821E-3</v>
      </c>
      <c r="AT282" s="265">
        <v>-3.4325714285714285E-3</v>
      </c>
      <c r="AU282" s="265">
        <v>1.1714821428571429E-3</v>
      </c>
      <c r="AV282" s="262">
        <f t="shared" ca="1" si="21"/>
        <v>6.6217499999999992E-3</v>
      </c>
      <c r="AX282" s="88" t="str">
        <f t="shared" ca="1" si="23"/>
        <v>GS</v>
      </c>
    </row>
    <row r="283" spans="1:50" hidden="1">
      <c r="A283" s="88" t="str">
        <f t="shared" ca="1" si="22"/>
        <v>LAZR</v>
      </c>
      <c r="F283" s="253">
        <v>2.0099999999999998</v>
      </c>
      <c r="G283" s="253">
        <v>1.91</v>
      </c>
      <c r="H283" s="253">
        <v>1.9650000000000001</v>
      </c>
      <c r="I283" s="253">
        <v>2.17</v>
      </c>
      <c r="J283" s="253">
        <v>2.4500000000000002</v>
      </c>
      <c r="K283" s="253">
        <v>2.0499999999999998</v>
      </c>
      <c r="L283" s="253">
        <v>2.21</v>
      </c>
      <c r="M283" s="253">
        <v>2.1</v>
      </c>
      <c r="N283" s="253">
        <v>2.1</v>
      </c>
      <c r="O283" s="253">
        <v>2.1</v>
      </c>
      <c r="P283" s="253">
        <v>2.09</v>
      </c>
      <c r="Q283" s="253">
        <v>2.0049999999999999</v>
      </c>
      <c r="R283" s="253">
        <v>1.89</v>
      </c>
      <c r="S283" s="253">
        <v>1.94</v>
      </c>
      <c r="T283" s="253">
        <v>2</v>
      </c>
      <c r="U283" s="253">
        <v>1.8149999999999999</v>
      </c>
      <c r="V283" s="253">
        <v>1.72</v>
      </c>
      <c r="W283" s="253">
        <v>1.72</v>
      </c>
      <c r="X283" s="253">
        <v>1.69</v>
      </c>
      <c r="Y283" s="253">
        <v>2.2200000000000002</v>
      </c>
      <c r="Z283" s="247">
        <f ca="1">[1]ExtEntry!$H81</f>
        <v>2.2200000000000002</v>
      </c>
      <c r="AB283" s="262">
        <v>-2.7566279761904761E-2</v>
      </c>
      <c r="AC283" s="262">
        <v>-3.2453732142857142E-2</v>
      </c>
      <c r="AD283" s="262">
        <v>-2.8017809523809528E-2</v>
      </c>
      <c r="AE283" s="262">
        <v>-1.1411178571428574E-2</v>
      </c>
      <c r="AF283" s="262">
        <v>-7.7606785714285711E-3</v>
      </c>
      <c r="AG283" s="262">
        <v>-8.5420476190476175E-3</v>
      </c>
      <c r="AH283" s="262">
        <v>2.5650833333333359E-3</v>
      </c>
      <c r="AI283" s="262">
        <v>4.3334702380952352E-3</v>
      </c>
      <c r="AJ283" s="262">
        <v>3.6516607142857063E-3</v>
      </c>
      <c r="AK283" s="262">
        <v>1.9211833333333331E-2</v>
      </c>
      <c r="AL283" s="262">
        <v>2.0436369047619043E-2</v>
      </c>
      <c r="AM283" s="262">
        <v>1.0580869047619047E-2</v>
      </c>
      <c r="AN283" s="262">
        <v>-1.0975202380952384E-2</v>
      </c>
      <c r="AO283" s="262">
        <v>-1.1117857142857153E-4</v>
      </c>
      <c r="AP283" s="262">
        <v>-8.0924940476190463E-3</v>
      </c>
      <c r="AQ283" s="262">
        <v>-9.646910714285712E-3</v>
      </c>
      <c r="AR283" s="262">
        <v>-1.0503815476190476E-2</v>
      </c>
      <c r="AS283" s="262">
        <v>-2.2010577380952381E-2</v>
      </c>
      <c r="AT283" s="262">
        <v>-2.4421339285714289E-2</v>
      </c>
      <c r="AU283" s="262">
        <v>2.9992500000000036E-3</v>
      </c>
      <c r="AV283" s="262">
        <f t="shared" ca="1" si="21"/>
        <v>3.2851922619047624E-2</v>
      </c>
      <c r="AX283" s="88" t="str">
        <f t="shared" ca="1" si="23"/>
        <v>LAZR</v>
      </c>
    </row>
    <row r="284" spans="1:50" hidden="1">
      <c r="A284" s="88" t="str">
        <f t="shared" ca="1" si="22"/>
        <v>LUV</v>
      </c>
      <c r="F284" s="253">
        <v>32.659999999999997</v>
      </c>
      <c r="G284" s="253">
        <v>31.914999999999999</v>
      </c>
      <c r="H284" s="253">
        <v>32.284999999999997</v>
      </c>
      <c r="I284" s="253">
        <v>32.31</v>
      </c>
      <c r="J284" s="253">
        <v>32.524999999999999</v>
      </c>
      <c r="K284" s="253">
        <v>32.39</v>
      </c>
      <c r="L284" s="253">
        <v>32.465000000000003</v>
      </c>
      <c r="M284" s="253">
        <v>31.7</v>
      </c>
      <c r="N284" s="253">
        <v>31.68</v>
      </c>
      <c r="O284" s="253">
        <v>31.89</v>
      </c>
      <c r="P284" s="253">
        <v>33.405000000000001</v>
      </c>
      <c r="Q284" s="253">
        <v>33.770000000000003</v>
      </c>
      <c r="R284" s="253">
        <v>33.29</v>
      </c>
      <c r="S284" s="253">
        <v>33.520000000000003</v>
      </c>
      <c r="T284" s="253">
        <v>34.405000000000001</v>
      </c>
      <c r="U284" s="253">
        <v>34.685000000000002</v>
      </c>
      <c r="V284" s="253">
        <v>33.72</v>
      </c>
      <c r="W284" s="253">
        <v>33.72</v>
      </c>
      <c r="X284" s="253">
        <v>31.65</v>
      </c>
      <c r="Y284" s="253">
        <v>32.19</v>
      </c>
      <c r="Z284" s="247">
        <f ca="1">[1]ExtEntry!$H82</f>
        <v>32.200000000000003</v>
      </c>
      <c r="AB284" s="265">
        <v>2.8114702380952379E-3</v>
      </c>
      <c r="AC284" s="265">
        <v>-1.769869047619047E-3</v>
      </c>
      <c r="AD284" s="265">
        <v>-8.9338690476190366E-4</v>
      </c>
      <c r="AE284" s="265">
        <v>9.7607857142857136E-4</v>
      </c>
      <c r="AF284" s="265">
        <v>-4.2966416666666675E-3</v>
      </c>
      <c r="AG284" s="265">
        <v>-3.2350583333333334E-3</v>
      </c>
      <c r="AH284" s="265">
        <v>1.1654285714285634E-4</v>
      </c>
      <c r="AI284" s="265">
        <v>-3.7776297619047626E-3</v>
      </c>
      <c r="AJ284" s="265">
        <v>-5.0571595238095238E-3</v>
      </c>
      <c r="AK284" s="265">
        <v>-4.3170119047619064E-4</v>
      </c>
      <c r="AL284" s="265">
        <v>1.6221976190476189E-3</v>
      </c>
      <c r="AM284" s="265">
        <v>1.9704809523809512E-3</v>
      </c>
      <c r="AN284" s="265">
        <v>7.2829642857142858E-4</v>
      </c>
      <c r="AO284" s="265">
        <v>2.2143023809523803E-3</v>
      </c>
      <c r="AP284" s="265">
        <v>4.3367190476190469E-3</v>
      </c>
      <c r="AQ284" s="265">
        <v>8.1677071428571408E-3</v>
      </c>
      <c r="AR284" s="265">
        <v>8.4540583333333318E-3</v>
      </c>
      <c r="AS284" s="265">
        <v>5.4409809523809525E-3</v>
      </c>
      <c r="AT284" s="265">
        <v>-5.67832261904762E-3</v>
      </c>
      <c r="AU284" s="265">
        <v>-7.2876023809523805E-3</v>
      </c>
      <c r="AV284" s="262">
        <f t="shared" ca="1" si="21"/>
        <v>-4.0648226190476188E-3</v>
      </c>
      <c r="AX284" s="88" t="str">
        <f t="shared" ca="1" si="23"/>
        <v>LUV</v>
      </c>
    </row>
    <row r="285" spans="1:50" hidden="1">
      <c r="A285" s="88" t="str">
        <f t="shared" ca="1" si="22"/>
        <v>MA</v>
      </c>
      <c r="F285" s="253">
        <v>566.97500000000002</v>
      </c>
      <c r="G285" s="253">
        <v>568.80999999999995</v>
      </c>
      <c r="H285" s="253">
        <v>574.12</v>
      </c>
      <c r="I285" s="253">
        <v>577.46</v>
      </c>
      <c r="J285" s="253">
        <v>580.47</v>
      </c>
      <c r="K285" s="253">
        <v>579.84</v>
      </c>
      <c r="L285" s="253">
        <v>576.41</v>
      </c>
      <c r="M285" s="253">
        <v>564.63</v>
      </c>
      <c r="N285" s="253">
        <v>564.54999999999995</v>
      </c>
      <c r="O285" s="253">
        <v>559.25</v>
      </c>
      <c r="P285" s="253">
        <v>567.70000000000005</v>
      </c>
      <c r="Q285" s="253">
        <v>563.68499999999995</v>
      </c>
      <c r="R285" s="253">
        <v>550.08000000000004</v>
      </c>
      <c r="S285" s="253">
        <v>560.97</v>
      </c>
      <c r="T285" s="253">
        <v>566.66999999999996</v>
      </c>
      <c r="U285" s="253">
        <v>571.97</v>
      </c>
      <c r="V285" s="253">
        <v>571.27</v>
      </c>
      <c r="W285" s="253">
        <v>571.27</v>
      </c>
      <c r="X285" s="253">
        <v>573.85</v>
      </c>
      <c r="Y285" s="253">
        <v>574.23</v>
      </c>
      <c r="Z285" s="247">
        <f ca="1">[1]ExtEntry!$H83</f>
        <v>573.66999999999996</v>
      </c>
      <c r="AB285" s="262">
        <v>-2.2832130952380957E-3</v>
      </c>
      <c r="AC285" s="262">
        <v>-2.4739988095238098E-3</v>
      </c>
      <c r="AD285" s="262">
        <v>-1.314520238095238E-3</v>
      </c>
      <c r="AE285" s="262">
        <v>-6.7135476190476181E-4</v>
      </c>
      <c r="AF285" s="262">
        <v>3.0035738095238094E-3</v>
      </c>
      <c r="AG285" s="262">
        <v>3.6325500000000004E-3</v>
      </c>
      <c r="AH285" s="262">
        <v>3.2980678571428571E-3</v>
      </c>
      <c r="AI285" s="262">
        <v>2.0141511904761909E-3</v>
      </c>
      <c r="AJ285" s="262">
        <v>9.4994285714285719E-4</v>
      </c>
      <c r="AK285" s="262">
        <v>4.1329999999999969E-4</v>
      </c>
      <c r="AL285" s="262">
        <v>8.2561547619047597E-4</v>
      </c>
      <c r="AM285" s="262">
        <v>-3.3047976190476265E-4</v>
      </c>
      <c r="AN285" s="262">
        <v>-2.4608726190476181E-3</v>
      </c>
      <c r="AO285" s="262">
        <v>-2.1274202380952389E-3</v>
      </c>
      <c r="AP285" s="262">
        <v>-7.5534880952380984E-4</v>
      </c>
      <c r="AQ285" s="262">
        <v>2.2341511904761906E-3</v>
      </c>
      <c r="AR285" s="262">
        <v>4.5358333333333336E-3</v>
      </c>
      <c r="AS285" s="262">
        <v>2.8686428571428574E-3</v>
      </c>
      <c r="AT285" s="262">
        <v>1.2112500000000001E-3</v>
      </c>
      <c r="AU285" s="262">
        <v>2.0706494047619049E-3</v>
      </c>
      <c r="AV285" s="262">
        <f t="shared" ca="1" si="21"/>
        <v>4.6642988095238107E-3</v>
      </c>
      <c r="AX285" s="88" t="str">
        <f t="shared" ca="1" si="23"/>
        <v>MA</v>
      </c>
    </row>
    <row r="286" spans="1:50" hidden="1">
      <c r="A286" s="88" t="str">
        <f t="shared" ca="1" si="22"/>
        <v>NVAX</v>
      </c>
      <c r="F286" s="253">
        <v>8.5549999999999997</v>
      </c>
      <c r="G286" s="253">
        <v>8.67</v>
      </c>
      <c r="H286" s="253">
        <v>9.5</v>
      </c>
      <c r="I286" s="253">
        <v>9.5500000000000007</v>
      </c>
      <c r="J286" s="253">
        <v>9.4600000000000009</v>
      </c>
      <c r="K286" s="253">
        <v>9.2200000000000006</v>
      </c>
      <c r="L286" s="253">
        <v>8.9009999999999998</v>
      </c>
      <c r="M286" s="253">
        <v>8.59</v>
      </c>
      <c r="N286" s="253">
        <v>8.59</v>
      </c>
      <c r="O286" s="253">
        <v>8.6199999999999992</v>
      </c>
      <c r="P286" s="253">
        <v>8.89</v>
      </c>
      <c r="Q286" s="253">
        <v>9.0150000000000006</v>
      </c>
      <c r="R286" s="253">
        <v>8.48</v>
      </c>
      <c r="S286" s="253">
        <v>8.1</v>
      </c>
      <c r="T286" s="253">
        <v>8.7899999999999991</v>
      </c>
      <c r="U286" s="253">
        <v>8.59</v>
      </c>
      <c r="V286" s="253">
        <v>8.4600000000000009</v>
      </c>
      <c r="W286" s="253">
        <v>8.4600000000000009</v>
      </c>
      <c r="X286" s="253">
        <v>8.36</v>
      </c>
      <c r="Y286" s="253">
        <v>8.52</v>
      </c>
      <c r="Z286" s="247">
        <f ca="1">[1]ExtEntry!$H84</f>
        <v>8.52</v>
      </c>
      <c r="AB286" s="265">
        <v>-5.2196642857142888E-3</v>
      </c>
      <c r="AC286" s="265">
        <v>-6.7632178571428603E-3</v>
      </c>
      <c r="AD286" s="265">
        <v>-1.930039285714287E-3</v>
      </c>
      <c r="AE286" s="265">
        <v>-4.8368785714285722E-3</v>
      </c>
      <c r="AF286" s="265">
        <v>-2.379500000000024E-4</v>
      </c>
      <c r="AG286" s="265">
        <v>3.6297261904761659E-4</v>
      </c>
      <c r="AH286" s="265">
        <v>3.4427761904761885E-3</v>
      </c>
      <c r="AI286" s="265">
        <v>-2.3999797619047632E-3</v>
      </c>
      <c r="AJ286" s="265">
        <v>-3.2839071428571428E-3</v>
      </c>
      <c r="AK286" s="265">
        <v>-3.7739250000000009E-3</v>
      </c>
      <c r="AL286" s="265">
        <v>-1.2660240476190479E-2</v>
      </c>
      <c r="AM286" s="265">
        <v>-1.1633347619047621E-2</v>
      </c>
      <c r="AN286" s="265">
        <v>-1.1360895238095237E-2</v>
      </c>
      <c r="AO286" s="265">
        <v>-1.5961169047619048E-2</v>
      </c>
      <c r="AP286" s="265">
        <v>-4.0397404761904768E-3</v>
      </c>
      <c r="AQ286" s="265">
        <v>-4.4165714285714346E-4</v>
      </c>
      <c r="AR286" s="265">
        <v>3.6432297619047641E-3</v>
      </c>
      <c r="AS286" s="265">
        <v>-2.9533178571428576E-3</v>
      </c>
      <c r="AT286" s="265">
        <v>-7.9480976190476199E-3</v>
      </c>
      <c r="AU286" s="265">
        <v>-9.8781571428571413E-3</v>
      </c>
      <c r="AV286" s="262">
        <f t="shared" ca="1" si="21"/>
        <v>-1.1656154761904773E-3</v>
      </c>
      <c r="AX286" s="88" t="str">
        <f t="shared" ca="1" si="23"/>
        <v>NVAX</v>
      </c>
    </row>
    <row r="287" spans="1:50" hidden="1">
      <c r="A287" s="88" t="str">
        <f t="shared" ca="1" si="22"/>
        <v>NVS</v>
      </c>
      <c r="F287" s="253">
        <v>123.935</v>
      </c>
      <c r="G287" s="253">
        <v>128.22999999999999</v>
      </c>
      <c r="H287" s="253">
        <v>131.72</v>
      </c>
      <c r="I287" s="253">
        <v>130.97999999999999</v>
      </c>
      <c r="J287" s="253">
        <v>132.38999999999999</v>
      </c>
      <c r="K287" s="253">
        <v>131.56</v>
      </c>
      <c r="L287" s="253">
        <v>132.31</v>
      </c>
      <c r="M287" s="253">
        <v>131.06</v>
      </c>
      <c r="N287" s="253">
        <v>131.06</v>
      </c>
      <c r="O287" s="253">
        <v>129.15</v>
      </c>
      <c r="P287" s="253">
        <v>130.30000000000001</v>
      </c>
      <c r="Q287" s="253">
        <v>129.95500000000001</v>
      </c>
      <c r="R287" s="253">
        <v>130.72</v>
      </c>
      <c r="S287" s="253">
        <v>131.43</v>
      </c>
      <c r="T287" s="253">
        <v>131.79</v>
      </c>
      <c r="U287" s="253">
        <v>131.34</v>
      </c>
      <c r="V287" s="253">
        <v>131.43</v>
      </c>
      <c r="W287" s="253">
        <v>131.43</v>
      </c>
      <c r="X287" s="253">
        <v>131.63999999999999</v>
      </c>
      <c r="Y287" s="253">
        <v>130.38</v>
      </c>
      <c r="Z287" s="247">
        <f ca="1">[1]ExtEntry!$H85</f>
        <v>130.36000000000001</v>
      </c>
      <c r="AB287" s="262">
        <v>4.1636428571428571E-3</v>
      </c>
      <c r="AC287" s="262">
        <v>5.8382797619047615E-3</v>
      </c>
      <c r="AD287" s="262">
        <v>7.7288511904761896E-3</v>
      </c>
      <c r="AE287" s="262">
        <v>7.1394821428571427E-3</v>
      </c>
      <c r="AF287" s="262">
        <v>8.596142857142856E-3</v>
      </c>
      <c r="AG287" s="262">
        <v>7.6142261904761904E-3</v>
      </c>
      <c r="AH287" s="262">
        <v>8.5830297619047639E-3</v>
      </c>
      <c r="AI287" s="262">
        <v>5.814964285714287E-3</v>
      </c>
      <c r="AJ287" s="262">
        <v>5.1946011904761913E-3</v>
      </c>
      <c r="AK287" s="262">
        <v>-8.2220833333333321E-4</v>
      </c>
      <c r="AL287" s="262">
        <v>-4.1785297619047618E-3</v>
      </c>
      <c r="AM287" s="262">
        <v>-3.9681904761904776E-3</v>
      </c>
      <c r="AN287" s="262">
        <v>-5.0544940476190481E-3</v>
      </c>
      <c r="AO287" s="262">
        <v>-4.0818273809523813E-3</v>
      </c>
      <c r="AP287" s="262">
        <v>-4.3428154761904775E-3</v>
      </c>
      <c r="AQ287" s="262">
        <v>-3.1768809523809532E-3</v>
      </c>
      <c r="AR287" s="262">
        <v>-1.6561928571428575E-3</v>
      </c>
      <c r="AS287" s="262">
        <v>-9.6560000000000005E-4</v>
      </c>
      <c r="AT287" s="262">
        <v>-1.9164630952380956E-3</v>
      </c>
      <c r="AU287" s="262">
        <v>-2.6549095238095244E-3</v>
      </c>
      <c r="AV287" s="262">
        <f t="shared" ca="1" si="21"/>
        <v>-3.5637547619047625E-3</v>
      </c>
      <c r="AX287" s="88" t="str">
        <f t="shared" ca="1" si="23"/>
        <v>NVS</v>
      </c>
    </row>
    <row r="288" spans="1:50" hidden="1">
      <c r="A288" s="88" t="str">
        <f t="shared" ca="1" si="22"/>
        <v>ORA</v>
      </c>
      <c r="F288" s="253">
        <v>13.7</v>
      </c>
      <c r="G288" s="253">
        <v>13.81</v>
      </c>
      <c r="H288" s="253">
        <v>13.705</v>
      </c>
      <c r="I288" s="253">
        <v>13.535</v>
      </c>
      <c r="J288" s="253">
        <v>13.32</v>
      </c>
      <c r="K288" s="253">
        <v>13.215</v>
      </c>
      <c r="L288" s="253">
        <v>13.39</v>
      </c>
      <c r="M288" s="253">
        <v>13.56</v>
      </c>
      <c r="N288" s="253">
        <v>13.58</v>
      </c>
      <c r="O288" s="253">
        <v>13.43</v>
      </c>
      <c r="P288" s="253">
        <v>13.57</v>
      </c>
      <c r="Q288" s="253">
        <v>14.015000000000001</v>
      </c>
      <c r="R288" s="253">
        <v>14.085000000000001</v>
      </c>
      <c r="S288" s="253">
        <v>14.335000000000001</v>
      </c>
      <c r="T288" s="253">
        <v>14.16</v>
      </c>
      <c r="U288" s="253">
        <v>14.125</v>
      </c>
      <c r="V288" s="253">
        <v>14.07</v>
      </c>
      <c r="W288" s="253">
        <v>14.07</v>
      </c>
      <c r="X288" s="253">
        <v>14.15</v>
      </c>
      <c r="Y288" s="253">
        <v>13.92</v>
      </c>
      <c r="Z288" s="247">
        <f ca="1">[1]ExtEntry!$H86</f>
        <v>13.92</v>
      </c>
      <c r="AB288" s="265">
        <v>1.9129666666666669E-3</v>
      </c>
      <c r="AC288" s="265">
        <v>1.3598952380952383E-3</v>
      </c>
      <c r="AD288" s="265">
        <v>-9.2398571428571434E-4</v>
      </c>
      <c r="AE288" s="265">
        <v>-1.3837047619047616E-3</v>
      </c>
      <c r="AF288" s="265">
        <v>-1.9138000000000004E-3</v>
      </c>
      <c r="AG288" s="265">
        <v>-7.5648452380952329E-4</v>
      </c>
      <c r="AH288" s="265">
        <v>-6.5907976190476218E-4</v>
      </c>
      <c r="AI288" s="265">
        <v>-6.9471071428571485E-4</v>
      </c>
      <c r="AJ288" s="265">
        <v>5.5447380952380941E-4</v>
      </c>
      <c r="AK288" s="265">
        <v>-1.3258761904761905E-3</v>
      </c>
      <c r="AL288" s="265">
        <v>3.9686071428571382E-4</v>
      </c>
      <c r="AM288" s="265">
        <v>4.2279619047619049E-3</v>
      </c>
      <c r="AN288" s="265">
        <v>6.0662000000000008E-3</v>
      </c>
      <c r="AO288" s="265">
        <v>6.9464023809523816E-3</v>
      </c>
      <c r="AP288" s="265">
        <v>4.6435511904761905E-3</v>
      </c>
      <c r="AQ288" s="265">
        <v>3.1624559523809521E-3</v>
      </c>
      <c r="AR288" s="265">
        <v>2.6941309523809513E-3</v>
      </c>
      <c r="AS288" s="265">
        <v>3.5518154761904762E-3</v>
      </c>
      <c r="AT288" s="265">
        <v>2.1818511904761898E-3</v>
      </c>
      <c r="AU288" s="265">
        <v>-2.6272619047619048E-3</v>
      </c>
      <c r="AV288" s="262">
        <f t="shared" ca="1" si="21"/>
        <v>-4.055196428571428E-3</v>
      </c>
      <c r="AX288" s="88" t="str">
        <f t="shared" ca="1" si="23"/>
        <v>ORA</v>
      </c>
    </row>
    <row r="289" spans="1:50" hidden="1">
      <c r="A289" s="88" t="str">
        <f t="shared" ca="1" si="22"/>
        <v>OXY</v>
      </c>
      <c r="F289" s="253">
        <v>48.215000000000003</v>
      </c>
      <c r="G289" s="253">
        <v>47.26</v>
      </c>
      <c r="H289" s="253">
        <v>47.73</v>
      </c>
      <c r="I289" s="253">
        <v>44.22</v>
      </c>
      <c r="J289" s="253">
        <v>44.844999999999999</v>
      </c>
      <c r="K289" s="253">
        <v>45.325000000000003</v>
      </c>
      <c r="L289" s="253">
        <v>45.05</v>
      </c>
      <c r="M289" s="253">
        <v>44.52</v>
      </c>
      <c r="N289" s="253">
        <v>44.52</v>
      </c>
      <c r="O289" s="253">
        <v>42.43</v>
      </c>
      <c r="P289" s="253">
        <v>42.28</v>
      </c>
      <c r="Q289" s="253">
        <v>41.854999999999997</v>
      </c>
      <c r="R289" s="253">
        <v>41.04</v>
      </c>
      <c r="S289" s="253">
        <v>40.9</v>
      </c>
      <c r="T289" s="253">
        <v>41.03</v>
      </c>
      <c r="U289" s="253">
        <v>40.909999999999997</v>
      </c>
      <c r="V289" s="253">
        <v>41.734999999999999</v>
      </c>
      <c r="W289" s="253">
        <v>41.734999999999999</v>
      </c>
      <c r="X289" s="253">
        <v>42.88</v>
      </c>
      <c r="Y289" s="253">
        <v>42.58</v>
      </c>
      <c r="Z289" s="247">
        <f ca="1">[1]ExtEntry!$H87</f>
        <v>42.57</v>
      </c>
      <c r="AB289" s="262">
        <v>-5.0599999999999951E-4</v>
      </c>
      <c r="AC289" s="262">
        <v>1.7046666666666662E-3</v>
      </c>
      <c r="AD289" s="262">
        <v>4.5573988095238098E-3</v>
      </c>
      <c r="AE289" s="262">
        <v>-2.001517857142858E-3</v>
      </c>
      <c r="AF289" s="262">
        <v>-2.4096011904761907E-3</v>
      </c>
      <c r="AG289" s="262">
        <v>-4.3051845238095245E-3</v>
      </c>
      <c r="AH289" s="262">
        <v>-5.3121250000000009E-3</v>
      </c>
      <c r="AI289" s="262">
        <v>-6.0028869047619067E-3</v>
      </c>
      <c r="AJ289" s="262">
        <v>-9.1253333333333343E-3</v>
      </c>
      <c r="AK289" s="262">
        <v>-6.8008154761904777E-3</v>
      </c>
      <c r="AL289" s="262">
        <v>-8.3886190476190475E-3</v>
      </c>
      <c r="AM289" s="262">
        <v>-1.8080357142857134E-4</v>
      </c>
      <c r="AN289" s="262">
        <v>-1.0779583333333327E-3</v>
      </c>
      <c r="AO289" s="262">
        <v>-9.5883333333333324E-4</v>
      </c>
      <c r="AP289" s="262">
        <v>-1.2177440476190474E-3</v>
      </c>
      <c r="AQ289" s="262">
        <v>-1.2779107142857136E-3</v>
      </c>
      <c r="AR289" s="262">
        <v>1.4015357142857137E-3</v>
      </c>
      <c r="AS289" s="262">
        <v>2.8184345238095243E-3</v>
      </c>
      <c r="AT289" s="262">
        <v>5.8353035714285729E-3</v>
      </c>
      <c r="AU289" s="262">
        <v>6.6520178571428563E-3</v>
      </c>
      <c r="AV289" s="262">
        <f t="shared" ca="1" si="21"/>
        <v>9.0861845238095242E-3</v>
      </c>
      <c r="AX289" s="88" t="str">
        <f t="shared" ca="1" si="23"/>
        <v>OXY</v>
      </c>
    </row>
    <row r="290" spans="1:50" ht="28" hidden="1" customHeight="1">
      <c r="A290" s="88" t="str">
        <f t="shared" ca="1" si="22"/>
        <v>PFE</v>
      </c>
      <c r="F290" s="253">
        <v>23.779900000000001</v>
      </c>
      <c r="G290" s="253">
        <v>25.475000000000001</v>
      </c>
      <c r="H290" s="253">
        <v>27.225000000000001</v>
      </c>
      <c r="I290" s="253">
        <v>27.094999999999999</v>
      </c>
      <c r="J290" s="253">
        <v>27.364999999999998</v>
      </c>
      <c r="K290" s="253">
        <v>26.265000000000001</v>
      </c>
      <c r="L290" s="253">
        <v>25.68</v>
      </c>
      <c r="M290" s="253">
        <v>25.234999999999999</v>
      </c>
      <c r="N290" s="253">
        <v>25.24</v>
      </c>
      <c r="O290" s="253">
        <v>24.704999999999998</v>
      </c>
      <c r="P290" s="253">
        <v>24.524999999999999</v>
      </c>
      <c r="Q290" s="253">
        <v>24.35</v>
      </c>
      <c r="R290" s="253">
        <v>24.23</v>
      </c>
      <c r="S290" s="253">
        <v>24.51</v>
      </c>
      <c r="T290" s="253">
        <v>24.684999999999999</v>
      </c>
      <c r="U290" s="253">
        <v>24.824999999999999</v>
      </c>
      <c r="V290" s="253">
        <v>24.734999999999999</v>
      </c>
      <c r="W290" s="253">
        <v>24.734999999999999</v>
      </c>
      <c r="X290" s="253">
        <v>24.684999999999999</v>
      </c>
      <c r="Y290" s="253">
        <v>24.78</v>
      </c>
      <c r="Z290" s="247">
        <f ca="1">[1]ExtEntry!$H88</f>
        <v>24.76</v>
      </c>
      <c r="AB290" s="265">
        <v>1.5151374999999997E-3</v>
      </c>
      <c r="AC290" s="265">
        <v>7.5304886904761902E-3</v>
      </c>
      <c r="AD290" s="265">
        <v>1.3441514880952382E-2</v>
      </c>
      <c r="AE290" s="265">
        <v>1.1555937499999999E-2</v>
      </c>
      <c r="AF290" s="265">
        <v>1.1380431547619044E-2</v>
      </c>
      <c r="AG290" s="265">
        <v>1.0579312499999998E-2</v>
      </c>
      <c r="AH290" s="265">
        <v>1.1687800595238095E-2</v>
      </c>
      <c r="AI290" s="265">
        <v>9.2946279761904737E-3</v>
      </c>
      <c r="AJ290" s="265">
        <v>8.3873809523809517E-3</v>
      </c>
      <c r="AK290" s="265">
        <v>-2.2407916666666661E-3</v>
      </c>
      <c r="AL290" s="265">
        <v>-1.143292857142857E-2</v>
      </c>
      <c r="AM290" s="265">
        <v>-1.1231684523809522E-2</v>
      </c>
      <c r="AN290" s="265">
        <v>-1.3243517857142855E-2</v>
      </c>
      <c r="AO290" s="265">
        <v>-1.1400642857142856E-2</v>
      </c>
      <c r="AP290" s="265">
        <v>-8.2773869047619054E-3</v>
      </c>
      <c r="AQ290" s="265">
        <v>-5.924761904761904E-3</v>
      </c>
      <c r="AR290" s="265">
        <v>-3.6853690476190467E-3</v>
      </c>
      <c r="AS290" s="265">
        <v>-3.4709702380952374E-3</v>
      </c>
      <c r="AT290" s="265">
        <v>-2.6528154761904761E-3</v>
      </c>
      <c r="AU290" s="265">
        <v>-2.3998630952380955E-3</v>
      </c>
      <c r="AV290" s="262">
        <f t="shared" ca="1" si="21"/>
        <v>-9.848154761904755E-4</v>
      </c>
      <c r="AX290" s="88" t="str">
        <f t="shared" ca="1" si="23"/>
        <v>PFE</v>
      </c>
    </row>
    <row r="291" spans="1:50" hidden="1">
      <c r="A291" s="88" t="str">
        <f t="shared" ca="1" si="22"/>
        <v>RIG</v>
      </c>
      <c r="F291" s="253">
        <v>3.1</v>
      </c>
      <c r="G291" s="253">
        <v>3.1150000000000002</v>
      </c>
      <c r="H291" s="253">
        <v>3.2250000000000001</v>
      </c>
      <c r="I291" s="253">
        <v>3.2949999999999999</v>
      </c>
      <c r="J291" s="253">
        <v>3.3650000000000002</v>
      </c>
      <c r="K291" s="253">
        <v>3.4649999999999999</v>
      </c>
      <c r="L291" s="253">
        <v>3.4049999999999998</v>
      </c>
      <c r="M291" s="253">
        <v>3.3250000000000002</v>
      </c>
      <c r="N291" s="253">
        <v>3.33</v>
      </c>
      <c r="O291" s="253">
        <v>3.1949999999999998</v>
      </c>
      <c r="P291" s="253">
        <v>3.1150000000000002</v>
      </c>
      <c r="Q291" s="253">
        <v>3.29</v>
      </c>
      <c r="R291" s="253">
        <v>3.2250000000000001</v>
      </c>
      <c r="S291" s="253">
        <v>3.26</v>
      </c>
      <c r="T291" s="253">
        <v>3.2850000000000001</v>
      </c>
      <c r="U291" s="253">
        <v>3.3050000000000002</v>
      </c>
      <c r="V291" s="253">
        <v>3.4249999999999998</v>
      </c>
      <c r="W291" s="253">
        <v>3.4249999999999998</v>
      </c>
      <c r="X291" s="253">
        <v>3.8849999999999998</v>
      </c>
      <c r="Y291" s="253">
        <v>3.895</v>
      </c>
      <c r="Z291" s="247">
        <f ca="1">[1]ExtEntry!$H89</f>
        <v>3.9</v>
      </c>
      <c r="AB291" s="262">
        <v>-1.8609934523809525E-2</v>
      </c>
      <c r="AC291" s="262">
        <v>-1.3506327380952379E-2</v>
      </c>
      <c r="AD291" s="262">
        <v>-7.0083988095238098E-3</v>
      </c>
      <c r="AE291" s="262">
        <v>-9.1647678571428574E-3</v>
      </c>
      <c r="AF291" s="262">
        <v>-1.1235363095238093E-2</v>
      </c>
      <c r="AG291" s="262">
        <v>-1.2404267857142855E-2</v>
      </c>
      <c r="AH291" s="262">
        <v>2.644220238095238E-3</v>
      </c>
      <c r="AI291" s="262">
        <v>1.3891130952380958E-3</v>
      </c>
      <c r="AJ291" s="262">
        <v>3.5357142857142866E-3</v>
      </c>
      <c r="AK291" s="262">
        <v>6.8812976190476202E-3</v>
      </c>
      <c r="AL291" s="262">
        <v>1.8456488095238085E-3</v>
      </c>
      <c r="AM291" s="262">
        <v>3.7628333333333316E-3</v>
      </c>
      <c r="AN291" s="262">
        <v>1.6873273809523805E-3</v>
      </c>
      <c r="AO291" s="262">
        <v>2.0409226190476158E-3</v>
      </c>
      <c r="AP291" s="262">
        <v>2.6945952380952364E-3</v>
      </c>
      <c r="AQ291" s="262">
        <v>3.8779880952380941E-3</v>
      </c>
      <c r="AR291" s="262">
        <v>1.013964880952381E-2</v>
      </c>
      <c r="AS291" s="262">
        <v>1.019765476190476E-2</v>
      </c>
      <c r="AT291" s="262">
        <v>2.5317035714285712E-2</v>
      </c>
      <c r="AU291" s="262">
        <v>1.2260738095238097E-2</v>
      </c>
      <c r="AV291" s="262">
        <f t="shared" ca="1" si="21"/>
        <v>1.6046398809523812E-2</v>
      </c>
      <c r="AX291" s="88" t="str">
        <f t="shared" ca="1" si="23"/>
        <v>RIG</v>
      </c>
    </row>
    <row r="292" spans="1:50">
      <c r="A292" s="88" t="str">
        <f t="shared" ca="1" si="22"/>
        <v>RRC</v>
      </c>
      <c r="F292" s="253">
        <v>37.54</v>
      </c>
      <c r="G292" s="253">
        <v>37.64</v>
      </c>
      <c r="H292" s="253">
        <v>39.729999999999997</v>
      </c>
      <c r="I292" s="253">
        <v>38.57</v>
      </c>
      <c r="J292" s="253">
        <v>38.22</v>
      </c>
      <c r="K292" s="253">
        <v>39.36</v>
      </c>
      <c r="L292" s="253">
        <v>39.549999999999997</v>
      </c>
      <c r="M292" s="253">
        <v>38.57</v>
      </c>
      <c r="N292" s="253">
        <v>38.57</v>
      </c>
      <c r="O292" s="253">
        <v>36.97</v>
      </c>
      <c r="P292" s="253">
        <v>36.130000000000003</v>
      </c>
      <c r="Q292" s="253">
        <v>37.24</v>
      </c>
      <c r="R292" s="253">
        <v>35.69</v>
      </c>
      <c r="S292" s="253">
        <v>35.97</v>
      </c>
      <c r="T292" s="253">
        <v>37.130000000000003</v>
      </c>
      <c r="U292" s="253">
        <v>36.78</v>
      </c>
      <c r="V292" s="253">
        <v>36.25</v>
      </c>
      <c r="W292" s="253">
        <v>36.25</v>
      </c>
      <c r="X292" s="253">
        <v>37.5</v>
      </c>
      <c r="Y292" s="253">
        <v>37.604999999999997</v>
      </c>
      <c r="Z292" s="247">
        <f ca="1">[1]ExtEntry!$H90</f>
        <v>37.619999999999997</v>
      </c>
      <c r="AB292" s="265">
        <v>6.5466666666666624E-4</v>
      </c>
      <c r="AC292" s="265">
        <v>3.941416666666666E-3</v>
      </c>
      <c r="AD292" s="265">
        <v>1.1180654761904763E-2</v>
      </c>
      <c r="AE292" s="265">
        <v>8.2824464285714289E-3</v>
      </c>
      <c r="AF292" s="265">
        <v>5.4636964285714271E-3</v>
      </c>
      <c r="AG292" s="265">
        <v>1.8752738095238084E-3</v>
      </c>
      <c r="AH292" s="265">
        <v>9.2131547619047575E-4</v>
      </c>
      <c r="AI292" s="265">
        <v>-1.3181904761904763E-3</v>
      </c>
      <c r="AJ292" s="265">
        <v>-2.4056488095238098E-3</v>
      </c>
      <c r="AK292" s="265">
        <v>-1.6919285714285717E-3</v>
      </c>
      <c r="AL292" s="265">
        <v>-1.0633660714285714E-2</v>
      </c>
      <c r="AM292" s="265">
        <v>-4.8765476190476189E-3</v>
      </c>
      <c r="AN292" s="265">
        <v>-5.7316488095238097E-3</v>
      </c>
      <c r="AO292" s="265">
        <v>-7.3182440476190483E-3</v>
      </c>
      <c r="AP292" s="265">
        <v>-6.4921607142857142E-3</v>
      </c>
      <c r="AQ292" s="265">
        <v>-5.1695178571428578E-3</v>
      </c>
      <c r="AR292" s="265">
        <v>-3.1164166666666675E-3</v>
      </c>
      <c r="AS292" s="265">
        <v>-5.2314345238095236E-3</v>
      </c>
      <c r="AT292" s="265">
        <v>1.7426369047619044E-3</v>
      </c>
      <c r="AU292" s="265">
        <v>-1.2474226190476194E-3</v>
      </c>
      <c r="AV292" s="262">
        <f t="shared" ca="1" si="21"/>
        <v>4.3533571428571432E-3</v>
      </c>
      <c r="AX292" s="88" t="str">
        <f t="shared" ca="1" si="23"/>
        <v>RRC</v>
      </c>
    </row>
    <row r="293" spans="1:50">
      <c r="A293" s="88" t="str">
        <f t="shared" ca="1" si="22"/>
        <v>XYZ</v>
      </c>
      <c r="F293" s="245">
        <v>75.430000000000007</v>
      </c>
      <c r="G293" s="245">
        <v>72.27</v>
      </c>
      <c r="H293" s="245">
        <v>73.41</v>
      </c>
      <c r="I293" s="245">
        <v>76.8</v>
      </c>
      <c r="J293" s="245">
        <v>76.965000000000003</v>
      </c>
      <c r="K293" s="245">
        <v>79.040000000000006</v>
      </c>
      <c r="L293" s="245">
        <v>81.14</v>
      </c>
      <c r="M293" s="245">
        <v>80.87</v>
      </c>
      <c r="N293" s="245">
        <v>80.849999999999994</v>
      </c>
      <c r="O293" s="245">
        <v>75.02</v>
      </c>
      <c r="P293" s="245">
        <v>76.180000000000007</v>
      </c>
      <c r="Q293" s="245">
        <v>75.97</v>
      </c>
      <c r="R293" s="245">
        <v>74.55</v>
      </c>
      <c r="S293" s="245">
        <v>75.2</v>
      </c>
      <c r="T293" s="245">
        <v>76.5</v>
      </c>
      <c r="U293" s="245">
        <v>77.709999999999994</v>
      </c>
      <c r="V293" s="245">
        <v>75.930000000000007</v>
      </c>
      <c r="W293" s="245">
        <v>75.930000000000007</v>
      </c>
      <c r="X293" s="245">
        <v>78.55</v>
      </c>
      <c r="Y293" s="245">
        <v>79.540000000000006</v>
      </c>
      <c r="Z293" s="247">
        <f ca="1">[1]ExtEntry!$H91</f>
        <v>79.540000000000006</v>
      </c>
      <c r="AB293" s="262">
        <v>-3.1733261904761901E-3</v>
      </c>
      <c r="AC293" s="262">
        <v>-8.2737130952380972E-3</v>
      </c>
      <c r="AD293" s="262">
        <v>-6.9998440476190492E-3</v>
      </c>
      <c r="AE293" s="262">
        <v>-1.4021357142857136E-3</v>
      </c>
      <c r="AF293" s="262">
        <v>-5.1989285714285679E-5</v>
      </c>
      <c r="AG293" s="262">
        <v>1.7771101190476193E-3</v>
      </c>
      <c r="AH293" s="262">
        <v>8.2341994047619056E-3</v>
      </c>
      <c r="AI293" s="262">
        <v>6.9154297619047622E-3</v>
      </c>
      <c r="AJ293" s="262">
        <v>3.9942392857142874E-3</v>
      </c>
      <c r="AK293" s="262">
        <v>8.6511916666666688E-3</v>
      </c>
      <c r="AL293" s="262">
        <v>8.8104595238095232E-3</v>
      </c>
      <c r="AM293" s="262">
        <v>3.9472035714285701E-3</v>
      </c>
      <c r="AN293" s="262">
        <v>2.8355130952380956E-3</v>
      </c>
      <c r="AO293" s="262">
        <v>2.5554535714285721E-3</v>
      </c>
      <c r="AP293" s="262">
        <v>3.2408452380952428E-4</v>
      </c>
      <c r="AQ293" s="262">
        <v>1.7024654761904779E-3</v>
      </c>
      <c r="AR293" s="262">
        <v>-5.6036190476190396E-4</v>
      </c>
      <c r="AS293" s="262">
        <v>-3.4025761904761917E-3</v>
      </c>
      <c r="AT293" s="262">
        <v>-2.6610440476190489E-3</v>
      </c>
      <c r="AU293" s="262">
        <v>-3.0942345238095248E-3</v>
      </c>
      <c r="AV293" s="262">
        <f t="shared" ca="1" si="21"/>
        <v>4.5888095238095106E-4</v>
      </c>
      <c r="AX293" s="88" t="str">
        <f t="shared" ca="1" si="23"/>
        <v>XYZ</v>
      </c>
    </row>
    <row r="294" spans="1:50">
      <c r="A294" s="88" t="str">
        <f t="shared" ca="1" si="22"/>
        <v>THC</v>
      </c>
      <c r="F294" s="253">
        <v>200.67</v>
      </c>
      <c r="G294" s="253">
        <v>202.88</v>
      </c>
      <c r="H294" s="253">
        <v>201.34</v>
      </c>
      <c r="I294" s="253">
        <v>203.38</v>
      </c>
      <c r="J294" s="253">
        <v>203</v>
      </c>
      <c r="K294" s="253">
        <v>204.94</v>
      </c>
      <c r="L294" s="253">
        <v>200.48</v>
      </c>
      <c r="M294" s="253">
        <v>194.85</v>
      </c>
      <c r="N294" s="253">
        <v>194.85</v>
      </c>
      <c r="O294" s="253">
        <v>189.965</v>
      </c>
      <c r="P294" s="253">
        <v>196.45</v>
      </c>
      <c r="Q294" s="253">
        <v>198</v>
      </c>
      <c r="R294" s="253">
        <v>199.13</v>
      </c>
      <c r="S294" s="253">
        <v>200</v>
      </c>
      <c r="T294" s="253">
        <v>202.05500000000001</v>
      </c>
      <c r="U294" s="253">
        <v>202.36</v>
      </c>
      <c r="V294" s="253">
        <v>205.12</v>
      </c>
      <c r="W294" s="253">
        <v>205.12</v>
      </c>
      <c r="X294" s="253">
        <v>206.91</v>
      </c>
      <c r="Y294" s="253">
        <v>210.38</v>
      </c>
      <c r="Z294" s="247">
        <f ca="1">[1]ExtEntry!$H92</f>
        <v>210.38</v>
      </c>
      <c r="AB294" s="265">
        <v>3.854477380952381E-3</v>
      </c>
      <c r="AC294" s="265">
        <v>4.7332410714285705E-3</v>
      </c>
      <c r="AD294" s="265">
        <v>4.3585821428571434E-3</v>
      </c>
      <c r="AE294" s="265">
        <v>3.6171654761904754E-3</v>
      </c>
      <c r="AF294" s="265">
        <v>5.5911059523809526E-3</v>
      </c>
      <c r="AG294" s="265">
        <v>4.4587904761904757E-3</v>
      </c>
      <c r="AH294" s="265">
        <v>3.6963083333333333E-3</v>
      </c>
      <c r="AI294" s="265">
        <v>-2.9750904761904761E-3</v>
      </c>
      <c r="AJ294" s="265">
        <v>-3.9452750000000007E-3</v>
      </c>
      <c r="AK294" s="265">
        <v>-5.0067214285714288E-3</v>
      </c>
      <c r="AL294" s="265">
        <v>-2.0519119047619056E-3</v>
      </c>
      <c r="AM294" s="265">
        <v>-4.1592571428571432E-3</v>
      </c>
      <c r="AN294" s="265">
        <v>-4.9973089285714296E-3</v>
      </c>
      <c r="AO294" s="265">
        <v>-6.1305113095238093E-3</v>
      </c>
      <c r="AP294" s="265">
        <v>-2.7183351190476195E-3</v>
      </c>
      <c r="AQ294" s="265">
        <v>8.5022202380952367E-4</v>
      </c>
      <c r="AR294" s="265">
        <v>6.1536744047619042E-3</v>
      </c>
      <c r="AS294" s="265">
        <v>6.6964958333333349E-3</v>
      </c>
      <c r="AT294" s="265">
        <v>3.9792815476190468E-3</v>
      </c>
      <c r="AU294" s="265">
        <v>4.2476922619047617E-3</v>
      </c>
      <c r="AV294" s="262">
        <f t="shared" ca="1" si="21"/>
        <v>6.8959952380952382E-3</v>
      </c>
      <c r="AX294" s="88" t="str">
        <f t="shared" ca="1" si="23"/>
        <v>THC</v>
      </c>
    </row>
    <row r="295" spans="1:50">
      <c r="A295" s="88" t="str">
        <f t="shared" ca="1" si="22"/>
        <v>X</v>
      </c>
      <c r="F295" s="245">
        <v>54.84</v>
      </c>
      <c r="G295" s="245">
        <v>54.84</v>
      </c>
      <c r="H295" s="245">
        <v>54.84</v>
      </c>
      <c r="I295" s="245">
        <v>54.84</v>
      </c>
      <c r="J295" s="245">
        <v>54.84</v>
      </c>
      <c r="K295" s="245">
        <v>54.84</v>
      </c>
      <c r="L295" s="245">
        <v>54.84</v>
      </c>
      <c r="M295" s="245">
        <v>54.84</v>
      </c>
      <c r="N295" s="245">
        <v>54.84</v>
      </c>
      <c r="O295" s="245">
        <v>54.84</v>
      </c>
      <c r="P295" s="245">
        <v>54.84</v>
      </c>
      <c r="Q295" s="245">
        <v>54.84</v>
      </c>
      <c r="R295" s="245">
        <v>54.84</v>
      </c>
      <c r="S295" s="245">
        <v>54.84</v>
      </c>
      <c r="T295" s="245">
        <v>54.84</v>
      </c>
      <c r="U295" s="245">
        <v>54.84</v>
      </c>
      <c r="V295" s="245">
        <v>54.84</v>
      </c>
      <c r="W295" s="245">
        <v>54.84</v>
      </c>
      <c r="X295" s="245">
        <v>54.84</v>
      </c>
      <c r="Y295" s="245">
        <v>54.84</v>
      </c>
      <c r="Z295" s="247">
        <f ca="1">[1]ExtEntry!$H93</f>
        <v>54.84</v>
      </c>
      <c r="AB295" s="262">
        <v>0</v>
      </c>
      <c r="AC295" s="262">
        <v>0</v>
      </c>
      <c r="AD295" s="262">
        <v>0</v>
      </c>
      <c r="AE295" s="262">
        <v>0</v>
      </c>
      <c r="AF295" s="262">
        <v>0</v>
      </c>
      <c r="AG295" s="262">
        <v>0</v>
      </c>
      <c r="AH295" s="262">
        <v>0</v>
      </c>
      <c r="AI295" s="262">
        <v>0</v>
      </c>
      <c r="AJ295" s="262">
        <v>0</v>
      </c>
      <c r="AK295" s="262">
        <v>0</v>
      </c>
      <c r="AL295" s="262">
        <v>0</v>
      </c>
      <c r="AM295" s="262">
        <v>0</v>
      </c>
      <c r="AN295" s="262">
        <v>0</v>
      </c>
      <c r="AO295" s="262">
        <v>0</v>
      </c>
      <c r="AP295" s="262">
        <v>0</v>
      </c>
      <c r="AQ295" s="262">
        <v>0</v>
      </c>
      <c r="AR295" s="262">
        <v>0</v>
      </c>
      <c r="AS295" s="262">
        <v>0</v>
      </c>
      <c r="AT295" s="262">
        <v>0</v>
      </c>
      <c r="AU295" s="262">
        <v>0</v>
      </c>
      <c r="AV295" s="262">
        <f t="shared" ca="1" si="21"/>
        <v>0</v>
      </c>
      <c r="AX295" s="88" t="str">
        <f t="shared" ca="1" si="23"/>
        <v>X</v>
      </c>
    </row>
    <row r="296" spans="1:50">
      <c r="A296" s="88" t="str">
        <f t="shared" ca="1" si="22"/>
        <v>JBEOAN</v>
      </c>
      <c r="F296" s="245">
        <v>10.336</v>
      </c>
      <c r="G296" s="245">
        <v>10.298</v>
      </c>
      <c r="H296" s="245">
        <v>10.278</v>
      </c>
      <c r="I296" s="245">
        <v>10.36</v>
      </c>
      <c r="J296" s="245">
        <v>10.456</v>
      </c>
      <c r="K296" s="245">
        <v>10.358000000000001</v>
      </c>
      <c r="L296" s="245">
        <v>10.375999999999999</v>
      </c>
      <c r="M296" s="245">
        <v>10.55</v>
      </c>
      <c r="N296" s="245">
        <v>10.54</v>
      </c>
      <c r="O296" s="245">
        <v>10.3</v>
      </c>
      <c r="P296" s="245">
        <v>10.208</v>
      </c>
      <c r="Q296" s="245">
        <v>10.353999999999999</v>
      </c>
      <c r="R296" s="245">
        <v>10.356</v>
      </c>
      <c r="S296" s="245">
        <v>10.156000000000001</v>
      </c>
      <c r="T296" s="245">
        <v>10.25</v>
      </c>
      <c r="U296" s="245">
        <v>10.465999999999999</v>
      </c>
      <c r="V296" s="245">
        <v>10.353999999999999</v>
      </c>
      <c r="W296" s="245">
        <v>10.353999999999999</v>
      </c>
      <c r="X296" s="245">
        <v>10.384</v>
      </c>
      <c r="Y296" s="245">
        <v>10.587999999999999</v>
      </c>
      <c r="Z296" s="247">
        <f ca="1">[1]ExtEntry!$H94</f>
        <v>16.085000000000001</v>
      </c>
      <c r="AB296" s="265">
        <v>4.7280476190476196E-3</v>
      </c>
      <c r="AC296" s="265">
        <v>-4.1693809523809522E-3</v>
      </c>
      <c r="AD296" s="265">
        <v>-3.729857142857142E-3</v>
      </c>
      <c r="AE296" s="265">
        <v>-2.8150357142857135E-3</v>
      </c>
      <c r="AF296" s="265">
        <v>-2.1699523809523809E-3</v>
      </c>
      <c r="AG296" s="265">
        <v>-1.0225535714285714E-3</v>
      </c>
      <c r="AH296" s="265">
        <v>8.7759523809523819E-4</v>
      </c>
      <c r="AI296" s="265">
        <v>1.6739047619047617E-3</v>
      </c>
      <c r="AJ296" s="265">
        <v>1.3459898809523806E-3</v>
      </c>
      <c r="AK296" s="265">
        <v>-3.514446428571433E-4</v>
      </c>
      <c r="AL296" s="265">
        <v>-4.7162321428571483E-4</v>
      </c>
      <c r="AM296" s="265">
        <v>-1.0323630952380983E-4</v>
      </c>
      <c r="AN296" s="265">
        <v>-1.559202976190477E-3</v>
      </c>
      <c r="AO296" s="265">
        <v>-6.8017916666666674E-4</v>
      </c>
      <c r="AP296" s="265">
        <v>-3.5404821428571421E-4</v>
      </c>
      <c r="AQ296" s="265">
        <v>-9.9238154761904698E-4</v>
      </c>
      <c r="AR296" s="265">
        <v>-1.7019476190476179E-3</v>
      </c>
      <c r="AS296" s="265">
        <v>6.9371904761904757E-4</v>
      </c>
      <c r="AT296" s="265">
        <v>1.4517726190476192E-3</v>
      </c>
      <c r="AU296" s="265">
        <v>5.436000000000002E-4</v>
      </c>
      <c r="AV296" s="262">
        <f t="shared" ca="1" si="21"/>
        <v>1.1297238095238095E-3</v>
      </c>
      <c r="AX296" s="88" t="str">
        <f t="shared" ca="1" si="23"/>
        <v>JBEOAN</v>
      </c>
    </row>
    <row r="297" spans="1:50">
      <c r="A297" s="88" t="str">
        <f t="shared" si="22"/>
        <v>LOCK</v>
      </c>
      <c r="F297" s="245">
        <v>825.5</v>
      </c>
      <c r="G297" s="245">
        <v>828.1</v>
      </c>
      <c r="H297" s="245">
        <v>841.4</v>
      </c>
      <c r="I297" s="245">
        <v>877.6</v>
      </c>
      <c r="J297" s="1207">
        <v>880.1</v>
      </c>
      <c r="K297" s="247">
        <v>874.8</v>
      </c>
      <c r="L297" s="1208">
        <v>851.8</v>
      </c>
      <c r="M297" s="243">
        <v>849.8</v>
      </c>
      <c r="N297" s="245">
        <v>842.3</v>
      </c>
      <c r="O297" s="1209">
        <v>844</v>
      </c>
      <c r="P297" s="1209">
        <v>846.6</v>
      </c>
      <c r="Q297" s="245">
        <v>873</v>
      </c>
      <c r="R297" s="249">
        <v>877.4</v>
      </c>
      <c r="S297" s="245">
        <v>875.7</v>
      </c>
      <c r="T297" s="245">
        <v>899</v>
      </c>
      <c r="U297" s="245">
        <v>889.8</v>
      </c>
      <c r="V297" s="245">
        <v>870.1</v>
      </c>
      <c r="W297" s="1210">
        <v>870.1</v>
      </c>
      <c r="X297" s="347">
        <v>887.7</v>
      </c>
      <c r="Y297" s="245">
        <v>894.4</v>
      </c>
      <c r="Z297" s="247">
        <f ca="1">[1]ExtEntry!$H95</f>
        <v>10.571999999999999</v>
      </c>
      <c r="AB297" s="262">
        <v>0</v>
      </c>
      <c r="AC297" s="262">
        <v>0</v>
      </c>
      <c r="AD297" s="262">
        <v>0</v>
      </c>
      <c r="AE297" s="262">
        <v>0</v>
      </c>
      <c r="AF297" s="262">
        <v>0</v>
      </c>
      <c r="AG297" s="262">
        <v>0</v>
      </c>
      <c r="AH297" s="262">
        <v>0</v>
      </c>
      <c r="AI297" s="262">
        <v>0</v>
      </c>
      <c r="AJ297" s="262">
        <v>-1.7007916666666664E-3</v>
      </c>
      <c r="AK297" s="262">
        <v>-9.681250000000011E-4</v>
      </c>
      <c r="AL297" s="262">
        <v>-2.3693522727272738E-3</v>
      </c>
      <c r="AM297" s="262">
        <v>-6.0068750000000001E-3</v>
      </c>
      <c r="AN297" s="262">
        <v>-5.5475192307692317E-3</v>
      </c>
      <c r="AO297" s="262">
        <v>-1.9979821428571442E-3</v>
      </c>
      <c r="AP297" s="262">
        <v>3.28115E-3</v>
      </c>
      <c r="AQ297" s="262">
        <v>3.4313750000000021E-3</v>
      </c>
      <c r="AR297" s="262">
        <v>3.4698088235294144E-3</v>
      </c>
      <c r="AS297" s="262">
        <v>-2.4069444444444455E-3</v>
      </c>
      <c r="AT297" s="262">
        <v>-1.1392828947368438E-3</v>
      </c>
      <c r="AU297" s="262">
        <v>-4.2479250000000014E-3</v>
      </c>
      <c r="AV297" s="262">
        <f t="shared" ca="1" si="21"/>
        <v>-3.574392857142858E-3</v>
      </c>
      <c r="AX297" s="88" t="str">
        <f t="shared" si="23"/>
        <v>LOCK</v>
      </c>
    </row>
    <row r="298" spans="1:50">
      <c r="A298" s="88" t="str">
        <f t="shared" si="22"/>
        <v>Total</v>
      </c>
      <c r="F298" s="253">
        <v>16.004999999999999</v>
      </c>
      <c r="G298" s="253">
        <v>16.07</v>
      </c>
      <c r="H298" s="253">
        <v>16.16</v>
      </c>
      <c r="I298" s="253">
        <v>15.96</v>
      </c>
      <c r="J298" s="253">
        <v>16.12</v>
      </c>
      <c r="K298" s="253">
        <v>16.114999999999998</v>
      </c>
      <c r="L298" s="253">
        <v>16.18</v>
      </c>
      <c r="M298" s="253">
        <v>16.175000000000001</v>
      </c>
      <c r="N298" s="253">
        <v>16.18</v>
      </c>
      <c r="O298" s="253">
        <v>16.260000000000002</v>
      </c>
      <c r="P298" s="253">
        <v>16.37</v>
      </c>
      <c r="Q298" s="253">
        <v>16.2</v>
      </c>
      <c r="R298" s="253">
        <v>16.25</v>
      </c>
      <c r="S298" s="253">
        <v>16.27</v>
      </c>
      <c r="T298" s="253">
        <v>16.420000000000002</v>
      </c>
      <c r="U298" s="253">
        <v>16.364999999999998</v>
      </c>
      <c r="V298" s="253">
        <v>16.100000000000001</v>
      </c>
      <c r="W298" s="253">
        <v>16.100000000000001</v>
      </c>
      <c r="X298" s="253">
        <v>15.98</v>
      </c>
      <c r="Y298" s="253">
        <v>16.059999999999999</v>
      </c>
      <c r="Z298" s="247">
        <f>[1]ExtEntry!$H96</f>
        <v>0</v>
      </c>
      <c r="AB298" s="262" t="e">
        <v>#DIV/0!</v>
      </c>
      <c r="AC298" s="262">
        <v>-8.6041666666667425E-5</v>
      </c>
      <c r="AD298" s="262">
        <v>-6.5491071428571291E-4</v>
      </c>
      <c r="AE298" s="262">
        <v>-1.6939285714285728E-3</v>
      </c>
      <c r="AF298" s="262">
        <v>-8.3115476190476255E-4</v>
      </c>
      <c r="AG298" s="262">
        <v>-6.6352976190476145E-4</v>
      </c>
      <c r="AH298" s="262">
        <v>-2.2623928571428569E-3</v>
      </c>
      <c r="AI298" s="262">
        <v>-2.9131666666666663E-3</v>
      </c>
      <c r="AJ298" s="262">
        <v>-2.6087125000000006E-3</v>
      </c>
      <c r="AK298" s="262">
        <v>-9.7774226190476196E-4</v>
      </c>
      <c r="AL298" s="262">
        <v>-3.4145059523809588E-4</v>
      </c>
      <c r="AM298" s="262">
        <v>1.199424404761904E-3</v>
      </c>
      <c r="AN298" s="262">
        <v>-2.3723630952380984E-4</v>
      </c>
      <c r="AO298" s="262">
        <v>-8.4969464285714362E-4</v>
      </c>
      <c r="AP298" s="262">
        <v>-3.9437916666666727E-4</v>
      </c>
      <c r="AQ298" s="262">
        <v>-3.6878988095238093E-4</v>
      </c>
      <c r="AR298" s="262">
        <v>-1.4155523809523808E-3</v>
      </c>
      <c r="AS298" s="262">
        <v>-4.0398380952380956E-3</v>
      </c>
      <c r="AT298" s="262">
        <v>-5.2494690476190481E-3</v>
      </c>
      <c r="AU298" s="262">
        <v>-2.8832607142857142E-3</v>
      </c>
      <c r="AV298" s="262">
        <f t="shared" ca="1" si="21"/>
        <v>2.1266780952380951E-2</v>
      </c>
      <c r="AX298" s="88" t="str">
        <f t="shared" si="23"/>
        <v>Total</v>
      </c>
    </row>
    <row r="299" spans="1:50">
      <c r="AX299" s="88"/>
    </row>
    <row r="300" spans="1:50">
      <c r="F300" s="115"/>
      <c r="G300" s="115"/>
      <c r="H300" s="115"/>
      <c r="I300" s="115"/>
      <c r="J300" s="115"/>
      <c r="K300" s="115"/>
      <c r="L300" s="115"/>
      <c r="M300" s="115"/>
      <c r="N300" s="115"/>
      <c r="O300" s="115"/>
      <c r="P300" s="115"/>
      <c r="Q300" s="115"/>
      <c r="R300" s="115"/>
      <c r="S300" s="115"/>
      <c r="T300" s="115"/>
      <c r="U300" s="115"/>
      <c r="V300" s="115"/>
      <c r="W300" s="115"/>
      <c r="Y300" s="115"/>
      <c r="Z300" s="115"/>
      <c r="AX300" s="88"/>
    </row>
    <row r="301" spans="1:50">
      <c r="G301" s="115"/>
      <c r="H301" s="115"/>
      <c r="I301" s="115"/>
      <c r="J301" s="115"/>
      <c r="K301" s="115"/>
      <c r="L301" s="115"/>
      <c r="M301" s="115"/>
      <c r="N301" s="115"/>
      <c r="O301" s="115"/>
      <c r="P301" s="115"/>
      <c r="Q301" s="115"/>
      <c r="R301" s="115"/>
      <c r="S301" s="115"/>
      <c r="T301" s="115"/>
      <c r="U301" s="115"/>
      <c r="V301" s="115"/>
      <c r="W301" s="115"/>
      <c r="Y301" s="115"/>
      <c r="Z301" s="115"/>
      <c r="AX301" s="88"/>
    </row>
    <row r="302" spans="1:50" ht="26">
      <c r="E302" s="1264"/>
      <c r="F302" s="112"/>
      <c r="G302" s="112"/>
      <c r="H302" s="112"/>
      <c r="I302" s="112"/>
      <c r="J302" s="112"/>
      <c r="K302" s="112"/>
      <c r="L302" s="112"/>
      <c r="M302" s="112"/>
      <c r="N302" s="112"/>
      <c r="O302" s="112"/>
      <c r="P302" s="112"/>
      <c r="Q302" s="112"/>
      <c r="R302" s="112"/>
      <c r="S302" s="112"/>
      <c r="T302" s="112"/>
      <c r="U302" s="112"/>
      <c r="V302" s="112"/>
      <c r="W302" s="112"/>
      <c r="X302" s="112"/>
      <c r="Y302" s="112"/>
      <c r="Z302" s="112"/>
    </row>
    <row r="303" spans="1:50">
      <c r="F303" s="117">
        <f t="shared" ref="F303:Z303" ca="1" si="24">F203</f>
        <v>45929</v>
      </c>
      <c r="G303" s="117">
        <f t="shared" ca="1" si="24"/>
        <v>45930</v>
      </c>
      <c r="H303" s="117">
        <f t="shared" ca="1" si="24"/>
        <v>45931</v>
      </c>
      <c r="I303" s="117">
        <f t="shared" ca="1" si="24"/>
        <v>45932</v>
      </c>
      <c r="J303" s="117">
        <f t="shared" ca="1" si="24"/>
        <v>45933</v>
      </c>
      <c r="K303" s="117">
        <f t="shared" ca="1" si="24"/>
        <v>45936</v>
      </c>
      <c r="L303" s="117">
        <f t="shared" ca="1" si="24"/>
        <v>45937</v>
      </c>
      <c r="M303" s="117">
        <f t="shared" ca="1" si="24"/>
        <v>45938</v>
      </c>
      <c r="N303" s="117">
        <f t="shared" ca="1" si="24"/>
        <v>45939</v>
      </c>
      <c r="O303" s="117">
        <f t="shared" ca="1" si="24"/>
        <v>45940</v>
      </c>
      <c r="P303" s="117">
        <f t="shared" ca="1" si="24"/>
        <v>45943</v>
      </c>
      <c r="Q303" s="117">
        <f t="shared" ca="1" si="24"/>
        <v>45944</v>
      </c>
      <c r="R303" s="117">
        <f t="shared" ca="1" si="24"/>
        <v>45945</v>
      </c>
      <c r="S303" s="117">
        <f t="shared" ca="1" si="24"/>
        <v>45946</v>
      </c>
      <c r="T303" s="117">
        <f t="shared" ca="1" si="24"/>
        <v>45947</v>
      </c>
      <c r="U303" s="117">
        <f t="shared" ca="1" si="24"/>
        <v>45950</v>
      </c>
      <c r="V303" s="117">
        <f t="shared" ca="1" si="24"/>
        <v>45951</v>
      </c>
      <c r="W303" s="117">
        <f t="shared" ca="1" si="24"/>
        <v>45952</v>
      </c>
      <c r="X303" s="117">
        <f t="shared" ca="1" si="24"/>
        <v>45953</v>
      </c>
      <c r="Y303" s="117">
        <f t="shared" ca="1" si="24"/>
        <v>45954</v>
      </c>
      <c r="Z303" s="117">
        <f t="shared" ca="1" si="24"/>
        <v>45956</v>
      </c>
      <c r="AB303" s="117">
        <f t="shared" ref="AB303:AV303" ca="1" si="25">F303</f>
        <v>45929</v>
      </c>
      <c r="AC303" s="117">
        <f t="shared" ca="1" si="25"/>
        <v>45930</v>
      </c>
      <c r="AD303" s="117">
        <f t="shared" ca="1" si="25"/>
        <v>45931</v>
      </c>
      <c r="AE303" s="117">
        <f t="shared" ca="1" si="25"/>
        <v>45932</v>
      </c>
      <c r="AF303" s="117">
        <f t="shared" ca="1" si="25"/>
        <v>45933</v>
      </c>
      <c r="AG303" s="117">
        <f t="shared" ca="1" si="25"/>
        <v>45936</v>
      </c>
      <c r="AH303" s="117">
        <f t="shared" ca="1" si="25"/>
        <v>45937</v>
      </c>
      <c r="AI303" s="117">
        <f t="shared" ca="1" si="25"/>
        <v>45938</v>
      </c>
      <c r="AJ303" s="117">
        <f t="shared" ca="1" si="25"/>
        <v>45939</v>
      </c>
      <c r="AK303" s="117">
        <f t="shared" ca="1" si="25"/>
        <v>45940</v>
      </c>
      <c r="AL303" s="117">
        <f t="shared" ca="1" si="25"/>
        <v>45943</v>
      </c>
      <c r="AM303" s="117">
        <f t="shared" ca="1" si="25"/>
        <v>45944</v>
      </c>
      <c r="AN303" s="117">
        <f t="shared" ca="1" si="25"/>
        <v>45945</v>
      </c>
      <c r="AO303" s="117">
        <f t="shared" ca="1" si="25"/>
        <v>45946</v>
      </c>
      <c r="AP303" s="117">
        <f t="shared" ca="1" si="25"/>
        <v>45947</v>
      </c>
      <c r="AQ303" s="117">
        <f t="shared" ca="1" si="25"/>
        <v>45950</v>
      </c>
      <c r="AR303" s="117">
        <f t="shared" ca="1" si="25"/>
        <v>45951</v>
      </c>
      <c r="AS303" s="117">
        <f t="shared" ca="1" si="25"/>
        <v>45952</v>
      </c>
      <c r="AT303" s="117">
        <f t="shared" ca="1" si="25"/>
        <v>45953</v>
      </c>
      <c r="AU303" s="117">
        <f t="shared" ca="1" si="25"/>
        <v>45954</v>
      </c>
      <c r="AV303" s="117">
        <f t="shared" ca="1" si="25"/>
        <v>45956</v>
      </c>
    </row>
    <row r="304" spans="1:50">
      <c r="F304" s="268" t="s">
        <v>267</v>
      </c>
      <c r="G304" s="268" t="s">
        <v>268</v>
      </c>
      <c r="H304" s="268" t="s">
        <v>269</v>
      </c>
      <c r="I304" s="268" t="s">
        <v>270</v>
      </c>
      <c r="J304" s="268" t="s">
        <v>271</v>
      </c>
      <c r="K304" s="268" t="s">
        <v>272</v>
      </c>
      <c r="L304" s="268" t="s">
        <v>273</v>
      </c>
      <c r="M304" s="268" t="s">
        <v>274</v>
      </c>
      <c r="N304" s="268" t="s">
        <v>275</v>
      </c>
      <c r="O304" s="268" t="s">
        <v>276</v>
      </c>
      <c r="P304" s="268" t="s">
        <v>277</v>
      </c>
      <c r="Q304" s="268" t="s">
        <v>278</v>
      </c>
      <c r="R304" s="268" t="s">
        <v>279</v>
      </c>
      <c r="S304" s="268" t="s">
        <v>280</v>
      </c>
      <c r="T304" s="268" t="s">
        <v>281</v>
      </c>
      <c r="U304" s="268" t="s">
        <v>282</v>
      </c>
      <c r="V304" s="268" t="s">
        <v>283</v>
      </c>
      <c r="W304" s="268" t="s">
        <v>284</v>
      </c>
      <c r="X304" s="268" t="s">
        <v>285</v>
      </c>
      <c r="Y304" s="268" t="s">
        <v>286</v>
      </c>
      <c r="Z304" s="268" t="s">
        <v>287</v>
      </c>
      <c r="AB304" s="281" t="s">
        <v>523</v>
      </c>
      <c r="AC304" s="281" t="s">
        <v>524</v>
      </c>
      <c r="AD304" s="281" t="s">
        <v>525</v>
      </c>
      <c r="AE304" s="281" t="s">
        <v>526</v>
      </c>
      <c r="AF304" s="281" t="s">
        <v>527</v>
      </c>
      <c r="AG304" s="281" t="s">
        <v>528</v>
      </c>
      <c r="AH304" s="281" t="s">
        <v>529</v>
      </c>
      <c r="AI304" s="281" t="s">
        <v>530</v>
      </c>
      <c r="AJ304" s="281" t="s">
        <v>531</v>
      </c>
      <c r="AK304" s="281" t="s">
        <v>532</v>
      </c>
      <c r="AL304" s="281" t="s">
        <v>533</v>
      </c>
      <c r="AM304" s="281" t="s">
        <v>534</v>
      </c>
      <c r="AN304" s="281" t="s">
        <v>535</v>
      </c>
      <c r="AO304" s="281" t="s">
        <v>536</v>
      </c>
      <c r="AP304" s="281" t="s">
        <v>537</v>
      </c>
      <c r="AQ304" s="281" t="s">
        <v>538</v>
      </c>
      <c r="AR304" s="281" t="s">
        <v>539</v>
      </c>
      <c r="AS304" s="281" t="s">
        <v>540</v>
      </c>
      <c r="AT304" s="281" t="s">
        <v>541</v>
      </c>
      <c r="AU304" s="281" t="s">
        <v>542</v>
      </c>
      <c r="AV304" s="281" t="s">
        <v>543</v>
      </c>
    </row>
    <row r="305" spans="1:50">
      <c r="A305" s="88" t="str">
        <f t="shared" ref="A305:A336" ca="1" si="26">A205</f>
        <v>AAPL</v>
      </c>
      <c r="F305" s="245">
        <v>253.01</v>
      </c>
      <c r="G305" s="245">
        <v>253.11</v>
      </c>
      <c r="H305" s="245">
        <v>254.93</v>
      </c>
      <c r="I305" s="245">
        <v>254.15</v>
      </c>
      <c r="J305" s="245">
        <v>253.95</v>
      </c>
      <c r="K305" s="245">
        <v>255.43</v>
      </c>
      <c r="L305" s="245">
        <v>256.11</v>
      </c>
      <c r="M305" s="245">
        <v>253.14</v>
      </c>
      <c r="N305" s="245">
        <v>253.14</v>
      </c>
      <c r="O305" s="245">
        <v>245.56</v>
      </c>
      <c r="P305" s="245">
        <v>244.7</v>
      </c>
      <c r="Q305" s="245">
        <v>247.48</v>
      </c>
      <c r="R305" s="245">
        <v>245.13</v>
      </c>
      <c r="S305" s="245">
        <v>247.27</v>
      </c>
      <c r="T305" s="245">
        <v>255.63</v>
      </c>
      <c r="U305" s="245">
        <v>261.83</v>
      </c>
      <c r="V305" s="245">
        <v>255.43</v>
      </c>
      <c r="W305" s="245">
        <v>255.43</v>
      </c>
      <c r="X305" s="245">
        <v>258.01010000000002</v>
      </c>
      <c r="Y305" s="245">
        <v>259.18</v>
      </c>
      <c r="Z305" s="247">
        <f ca="1">[1]ExtEntry!$I3</f>
        <v>259.18</v>
      </c>
      <c r="AB305" s="263">
        <v>-12441.450000000186</v>
      </c>
      <c r="AC305" s="263">
        <v>-2362.5</v>
      </c>
      <c r="AD305" s="263">
        <v>4305</v>
      </c>
      <c r="AE305" s="263">
        <v>5827.5</v>
      </c>
      <c r="AF305" s="263">
        <v>35227.5</v>
      </c>
      <c r="AG305" s="263">
        <v>-3412.5</v>
      </c>
      <c r="AH305" s="263">
        <v>16170</v>
      </c>
      <c r="AI305" s="263">
        <v>-38779.5</v>
      </c>
      <c r="AJ305" s="263">
        <v>-38779.5</v>
      </c>
      <c r="AK305" s="263">
        <v>-18900</v>
      </c>
      <c r="AL305" s="263">
        <v>12600</v>
      </c>
      <c r="AM305" s="263">
        <v>210</v>
      </c>
      <c r="AN305" s="263">
        <v>-8400</v>
      </c>
      <c r="AO305" s="263">
        <v>44835</v>
      </c>
      <c r="AP305" s="263">
        <v>66727.5</v>
      </c>
      <c r="AQ305" s="263">
        <v>8900</v>
      </c>
      <c r="AR305" s="263">
        <v>-42000</v>
      </c>
      <c r="AS305" s="263">
        <v>-42000</v>
      </c>
      <c r="AT305" s="263">
        <v>-3600</v>
      </c>
      <c r="AU305" s="263">
        <v>16300</v>
      </c>
      <c r="AV305" s="263">
        <f ca="1">Calc!AP3</f>
        <v>16300</v>
      </c>
      <c r="AX305" s="88" t="str">
        <f t="shared" ref="AX305:AX336" ca="1" si="27">A305</f>
        <v>AAPL</v>
      </c>
    </row>
    <row r="306" spans="1:50">
      <c r="A306" s="88" t="str">
        <f t="shared" ca="1" si="26"/>
        <v>ADEA</v>
      </c>
      <c r="F306" s="253">
        <v>16.625</v>
      </c>
      <c r="G306" s="253">
        <v>16.48</v>
      </c>
      <c r="H306" s="253">
        <v>16.357500000000002</v>
      </c>
      <c r="I306" s="253">
        <v>16.844999999999999</v>
      </c>
      <c r="J306" s="253">
        <v>17.25</v>
      </c>
      <c r="K306" s="253">
        <v>16.88</v>
      </c>
      <c r="L306" s="253">
        <v>16.515000000000001</v>
      </c>
      <c r="M306" s="253">
        <v>15.92</v>
      </c>
      <c r="N306" s="253">
        <v>15.92</v>
      </c>
      <c r="O306" s="253">
        <v>15.61</v>
      </c>
      <c r="P306" s="253">
        <v>15.45</v>
      </c>
      <c r="Q306" s="253">
        <v>16.649999999999999</v>
      </c>
      <c r="R306" s="253">
        <v>16.559999999999999</v>
      </c>
      <c r="S306" s="253">
        <v>16.010000000000002</v>
      </c>
      <c r="T306" s="253">
        <v>16.47</v>
      </c>
      <c r="U306" s="253">
        <v>16.649999999999999</v>
      </c>
      <c r="V306" s="253">
        <v>16.54</v>
      </c>
      <c r="W306" s="253">
        <v>16.54</v>
      </c>
      <c r="X306" s="253">
        <v>16.75</v>
      </c>
      <c r="Y306" s="253">
        <v>16.95</v>
      </c>
      <c r="Z306" s="247">
        <f ca="1">[1]ExtEntry!$I4</f>
        <v>16.95</v>
      </c>
      <c r="AB306" s="266">
        <v>-1650</v>
      </c>
      <c r="AC306" s="266">
        <v>649.99999999998545</v>
      </c>
      <c r="AD306" s="266">
        <v>2250</v>
      </c>
      <c r="AE306" s="266">
        <v>800</v>
      </c>
      <c r="AF306" s="266">
        <v>-400</v>
      </c>
      <c r="AG306" s="266">
        <v>-4850</v>
      </c>
      <c r="AH306" s="266">
        <v>-3100</v>
      </c>
      <c r="AI306" s="266">
        <v>-499.99999999998545</v>
      </c>
      <c r="AJ306" s="266">
        <v>-499.99999999998545</v>
      </c>
      <c r="AK306" s="266">
        <v>-1800</v>
      </c>
      <c r="AL306" s="266">
        <v>5649.9999999999854</v>
      </c>
      <c r="AM306" s="266">
        <v>1800</v>
      </c>
      <c r="AN306" s="266">
        <v>-3500</v>
      </c>
      <c r="AO306" s="266">
        <v>500</v>
      </c>
      <c r="AP306" s="266">
        <v>650</v>
      </c>
      <c r="AQ306" s="266">
        <v>1000.0000000000146</v>
      </c>
      <c r="AR306" s="266">
        <v>-950.00000000001455</v>
      </c>
      <c r="AS306" s="266">
        <v>-950.00000000001455</v>
      </c>
      <c r="AT306" s="266">
        <v>-150</v>
      </c>
      <c r="AU306" s="266">
        <v>50</v>
      </c>
      <c r="AV306" s="263">
        <f ca="1">Calc!AP4</f>
        <v>50</v>
      </c>
      <c r="AX306" s="88" t="str">
        <f t="shared" ca="1" si="27"/>
        <v>ADEA</v>
      </c>
    </row>
    <row r="307" spans="1:50">
      <c r="A307" s="88" t="str">
        <f t="shared" ca="1" si="26"/>
        <v>AET</v>
      </c>
      <c r="F307" s="245">
        <v>48.8</v>
      </c>
      <c r="G307" s="245">
        <v>48.2</v>
      </c>
      <c r="H307" s="245">
        <v>47.2</v>
      </c>
      <c r="I307" s="245">
        <v>47</v>
      </c>
      <c r="J307" s="245">
        <v>46.8</v>
      </c>
      <c r="K307" s="245">
        <v>46.1</v>
      </c>
      <c r="L307" s="245">
        <v>45.6</v>
      </c>
      <c r="M307" s="245">
        <v>45.1</v>
      </c>
      <c r="N307" s="245" t="e" vm="411">
        <v>#VALUE!</v>
      </c>
      <c r="O307" s="245">
        <v>42.6</v>
      </c>
      <c r="P307" s="245">
        <v>42.5</v>
      </c>
      <c r="Q307" s="245">
        <v>40.700000000000003</v>
      </c>
      <c r="R307" s="245">
        <v>41</v>
      </c>
      <c r="S307" s="245">
        <v>40</v>
      </c>
      <c r="T307" s="245">
        <v>41.4</v>
      </c>
      <c r="U307" s="245">
        <v>41.6</v>
      </c>
      <c r="V307" s="245">
        <v>43.3</v>
      </c>
      <c r="W307" s="245">
        <v>43.3</v>
      </c>
      <c r="X307" s="245">
        <v>43.8</v>
      </c>
      <c r="Y307" s="245">
        <v>44.5</v>
      </c>
      <c r="Z307" s="247">
        <f ca="1">[1]ExtEntry!$I5</f>
        <v>44.5</v>
      </c>
      <c r="AB307" s="263">
        <v>-2340</v>
      </c>
      <c r="AC307" s="263">
        <v>1560</v>
      </c>
      <c r="AD307" s="263">
        <v>-15600</v>
      </c>
      <c r="AE307" s="263">
        <v>6240</v>
      </c>
      <c r="AF307" s="263">
        <v>-1560</v>
      </c>
      <c r="AG307" s="263">
        <v>-13260</v>
      </c>
      <c r="AH307" s="263">
        <v>-16380</v>
      </c>
      <c r="AI307" s="263">
        <v>-4000</v>
      </c>
      <c r="AJ307" s="263" t="e" vm="411">
        <v>#VALUE!</v>
      </c>
      <c r="AK307" s="263">
        <v>2460</v>
      </c>
      <c r="AL307" s="263">
        <v>-8200</v>
      </c>
      <c r="AM307" s="263">
        <v>-7380</v>
      </c>
      <c r="AN307" s="263">
        <v>-9840</v>
      </c>
      <c r="AO307" s="263">
        <v>8200</v>
      </c>
      <c r="AP307" s="263">
        <v>2460</v>
      </c>
      <c r="AQ307" s="263">
        <v>7380</v>
      </c>
      <c r="AR307" s="263">
        <v>-2460</v>
      </c>
      <c r="AS307" s="263">
        <v>-2460</v>
      </c>
      <c r="AT307" s="263">
        <v>820</v>
      </c>
      <c r="AU307" s="263">
        <v>7380</v>
      </c>
      <c r="AV307" s="263">
        <f ca="1">Calc!AP5</f>
        <v>7380</v>
      </c>
      <c r="AX307" s="88" t="str">
        <f t="shared" ca="1" si="27"/>
        <v>AET</v>
      </c>
    </row>
    <row r="308" spans="1:50">
      <c r="A308" s="88" t="str">
        <f t="shared" ca="1" si="26"/>
        <v>AMZN</v>
      </c>
      <c r="F308" s="253">
        <v>219.3</v>
      </c>
      <c r="G308" s="253">
        <v>217.89</v>
      </c>
      <c r="H308" s="253">
        <v>216.61</v>
      </c>
      <c r="I308" s="253">
        <v>218.94499999999999</v>
      </c>
      <c r="J308" s="253">
        <v>219.34</v>
      </c>
      <c r="K308" s="253">
        <v>220.17</v>
      </c>
      <c r="L308" s="253">
        <v>221.19</v>
      </c>
      <c r="M308" s="253">
        <v>221.75</v>
      </c>
      <c r="N308" s="253">
        <v>221.75</v>
      </c>
      <c r="O308" s="253">
        <v>217.04</v>
      </c>
      <c r="P308" s="253">
        <v>212.6</v>
      </c>
      <c r="Q308" s="253">
        <v>212.66</v>
      </c>
      <c r="R308" s="253">
        <v>212.81010000000001</v>
      </c>
      <c r="S308" s="253">
        <v>211.03</v>
      </c>
      <c r="T308" s="253">
        <v>213.59</v>
      </c>
      <c r="U308" s="253">
        <v>217.99</v>
      </c>
      <c r="V308" s="253">
        <v>216.52</v>
      </c>
      <c r="W308" s="253">
        <v>216.52</v>
      </c>
      <c r="X308" s="253">
        <v>218.18</v>
      </c>
      <c r="Y308" s="253">
        <v>221.9</v>
      </c>
      <c r="Z308" s="247">
        <f ca="1">[1]ExtEntry!$I6</f>
        <v>221.9</v>
      </c>
      <c r="AB308" s="266">
        <v>13080</v>
      </c>
      <c r="AC308" s="266">
        <v>-29520</v>
      </c>
      <c r="AD308" s="266">
        <v>39240</v>
      </c>
      <c r="AE308" s="266">
        <v>16800</v>
      </c>
      <c r="AF308" s="266">
        <v>-47160</v>
      </c>
      <c r="AG308" s="266">
        <v>10800</v>
      </c>
      <c r="AH308" s="266">
        <v>27600</v>
      </c>
      <c r="AI308" s="266">
        <v>32940</v>
      </c>
      <c r="AJ308" s="266">
        <v>32940</v>
      </c>
      <c r="AK308" s="266">
        <v>30840</v>
      </c>
      <c r="AL308" s="266">
        <v>10680</v>
      </c>
      <c r="AM308" s="266">
        <v>-13800</v>
      </c>
      <c r="AN308" s="266">
        <v>-14400</v>
      </c>
      <c r="AO308" s="266">
        <v>-18240</v>
      </c>
      <c r="AP308" s="266">
        <v>31200</v>
      </c>
      <c r="AQ308" s="266">
        <v>43200</v>
      </c>
      <c r="AR308" s="266">
        <v>-16200</v>
      </c>
      <c r="AS308" s="266">
        <v>-16200</v>
      </c>
      <c r="AT308" s="266">
        <v>25080</v>
      </c>
      <c r="AU308" s="266">
        <v>26880</v>
      </c>
      <c r="AV308" s="263">
        <f ca="1">Calc!AP6</f>
        <v>26880</v>
      </c>
      <c r="AX308" s="88" t="str">
        <f t="shared" ca="1" si="27"/>
        <v>AMZN</v>
      </c>
    </row>
    <row r="309" spans="1:50">
      <c r="A309" s="88" t="str">
        <f t="shared" ca="1" si="26"/>
        <v>ALDNE</v>
      </c>
      <c r="F309" s="245">
        <v>0.8</v>
      </c>
      <c r="G309" s="245">
        <v>0.83</v>
      </c>
      <c r="H309" s="245">
        <v>0.84</v>
      </c>
      <c r="I309" s="245">
        <v>0.85</v>
      </c>
      <c r="J309" s="245">
        <v>0.79200000000000004</v>
      </c>
      <c r="K309" s="245">
        <v>0.82199999999999995</v>
      </c>
      <c r="L309" s="245">
        <v>0.82199999999999995</v>
      </c>
      <c r="M309" s="245">
        <v>0.82199999999999995</v>
      </c>
      <c r="N309" s="245">
        <v>0.82199999999999995</v>
      </c>
      <c r="O309" s="245">
        <v>0.82</v>
      </c>
      <c r="P309" s="245">
        <v>0.82</v>
      </c>
      <c r="Q309" s="245">
        <v>0.82</v>
      </c>
      <c r="R309" s="245">
        <v>0.81</v>
      </c>
      <c r="S309" s="245">
        <v>0.81</v>
      </c>
      <c r="T309" s="245">
        <v>0.80400000000000005</v>
      </c>
      <c r="U309" s="245">
        <v>0.76400000000000001</v>
      </c>
      <c r="V309" s="245">
        <v>0.82</v>
      </c>
      <c r="W309" s="245">
        <v>0.82</v>
      </c>
      <c r="X309" s="245">
        <v>0.81</v>
      </c>
      <c r="Y309" s="245">
        <v>0.76400000000000001</v>
      </c>
      <c r="Z309" s="247">
        <f ca="1">[1]ExtEntry!$I7</f>
        <v>0.76400000000000001</v>
      </c>
      <c r="AB309" s="263">
        <v>166980</v>
      </c>
      <c r="AC309" s="263">
        <v>45540</v>
      </c>
      <c r="AD309" s="263">
        <v>101200</v>
      </c>
      <c r="AE309" s="263">
        <v>0</v>
      </c>
      <c r="AF309" s="263">
        <v>0</v>
      </c>
      <c r="AG309" s="263">
        <v>0</v>
      </c>
      <c r="AH309" s="263">
        <v>0</v>
      </c>
      <c r="AI309" s="263">
        <v>-45540.000000000233</v>
      </c>
      <c r="AJ309" s="263">
        <v>0</v>
      </c>
      <c r="AK309" s="263">
        <v>0</v>
      </c>
      <c r="AL309" s="263">
        <v>10120</v>
      </c>
      <c r="AM309" s="263">
        <v>45540.000000000233</v>
      </c>
      <c r="AN309" s="263">
        <v>25300.000000000233</v>
      </c>
      <c r="AO309" s="263">
        <v>5060</v>
      </c>
      <c r="AP309" s="263">
        <v>25299.999999999534</v>
      </c>
      <c r="AQ309" s="263">
        <v>50599.999999999767</v>
      </c>
      <c r="AR309" s="263">
        <v>50600.000000000233</v>
      </c>
      <c r="AS309" s="263">
        <v>50600.000000000233</v>
      </c>
      <c r="AT309" s="263">
        <v>-5060</v>
      </c>
      <c r="AU309" s="263">
        <v>15180.000000000233</v>
      </c>
      <c r="AV309" s="263">
        <f ca="1">Calc!AP7</f>
        <v>15180.000000000233</v>
      </c>
      <c r="AX309" s="88" t="str">
        <f t="shared" ca="1" si="27"/>
        <v>ALDNE</v>
      </c>
    </row>
    <row r="310" spans="1:50">
      <c r="A310" s="88" t="str">
        <f t="shared" ca="1" si="26"/>
        <v>ASML</v>
      </c>
      <c r="F310" s="253">
        <v>817.1</v>
      </c>
      <c r="G310" s="253">
        <v>821.3</v>
      </c>
      <c r="H310" s="253">
        <v>812.1</v>
      </c>
      <c r="I310" s="253">
        <v>859.6</v>
      </c>
      <c r="J310" s="253">
        <v>864.4</v>
      </c>
      <c r="K310" s="253">
        <v>874.8</v>
      </c>
      <c r="L310" s="253">
        <v>812.6</v>
      </c>
      <c r="M310" s="253">
        <v>836</v>
      </c>
      <c r="N310" s="253">
        <v>839.2</v>
      </c>
      <c r="O310" s="253">
        <v>823</v>
      </c>
      <c r="P310" s="253">
        <v>825.6</v>
      </c>
      <c r="Q310" s="253">
        <v>854.9</v>
      </c>
      <c r="R310" s="253">
        <v>874</v>
      </c>
      <c r="S310" s="253">
        <v>855</v>
      </c>
      <c r="T310" s="253">
        <v>877.2</v>
      </c>
      <c r="U310" s="253">
        <v>883.9</v>
      </c>
      <c r="V310" s="253">
        <v>870.1</v>
      </c>
      <c r="W310" s="253">
        <v>870.1</v>
      </c>
      <c r="X310" s="253">
        <v>854.1</v>
      </c>
      <c r="Y310" s="253">
        <v>889.6</v>
      </c>
      <c r="Z310" s="247">
        <f ca="1">[1]ExtEntry!$I8</f>
        <v>889.6</v>
      </c>
      <c r="AB310" s="266">
        <v>-1809.4999999999854</v>
      </c>
      <c r="AC310" s="266">
        <v>12710</v>
      </c>
      <c r="AD310" s="266">
        <v>95940</v>
      </c>
      <c r="AE310" s="266">
        <v>69030</v>
      </c>
      <c r="AF310" s="266">
        <v>42510</v>
      </c>
      <c r="AG310" s="266">
        <v>-57380</v>
      </c>
      <c r="AH310" s="266">
        <v>6840</v>
      </c>
      <c r="AI310" s="266">
        <v>-3800</v>
      </c>
      <c r="AJ310" s="266">
        <v>-10640</v>
      </c>
      <c r="AK310" s="266">
        <v>83200</v>
      </c>
      <c r="AL310" s="266">
        <v>47600</v>
      </c>
      <c r="AM310" s="266">
        <v>-10400</v>
      </c>
      <c r="AN310" s="266">
        <v>-24570</v>
      </c>
      <c r="AO310" s="266">
        <v>61180</v>
      </c>
      <c r="AP310" s="266">
        <v>57000</v>
      </c>
      <c r="AQ310" s="266">
        <v>-760</v>
      </c>
      <c r="AR310" s="266">
        <v>-25080</v>
      </c>
      <c r="AS310" s="266">
        <v>-25080</v>
      </c>
      <c r="AT310" s="266">
        <v>59660</v>
      </c>
      <c r="AU310" s="266">
        <v>-20720</v>
      </c>
      <c r="AV310" s="263">
        <f ca="1">Calc!AP8</f>
        <v>-20720</v>
      </c>
      <c r="AX310" s="88" t="str">
        <f t="shared" ca="1" si="27"/>
        <v>ASML</v>
      </c>
    </row>
    <row r="311" spans="1:50">
      <c r="A311" s="88" t="str">
        <f t="shared" ca="1" si="26"/>
        <v>AZN</v>
      </c>
      <c r="F311" s="253">
        <v>330.83</v>
      </c>
      <c r="G311" s="253">
        <v>324.61</v>
      </c>
      <c r="H311" s="253">
        <v>324.5</v>
      </c>
      <c r="I311" s="253">
        <v>335.25</v>
      </c>
      <c r="J311" s="253">
        <v>335.74</v>
      </c>
      <c r="K311" s="253">
        <v>326.58</v>
      </c>
      <c r="L311" s="253">
        <v>332.62</v>
      </c>
      <c r="M311" s="253">
        <v>340.4</v>
      </c>
      <c r="N311" s="253">
        <v>340.4</v>
      </c>
      <c r="O311" s="253">
        <v>343.52010000000001</v>
      </c>
      <c r="P311" s="253">
        <v>339.65320000000003</v>
      </c>
      <c r="Q311" s="253">
        <v>347.5</v>
      </c>
      <c r="R311" s="253">
        <v>349.48500000000001</v>
      </c>
      <c r="S311" s="253">
        <v>340.78</v>
      </c>
      <c r="T311" s="253">
        <v>347.84</v>
      </c>
      <c r="U311" s="253">
        <v>341.31</v>
      </c>
      <c r="V311" s="253">
        <v>335.51</v>
      </c>
      <c r="W311" s="253">
        <v>335.51</v>
      </c>
      <c r="X311" s="253">
        <v>340.4</v>
      </c>
      <c r="Y311" s="253">
        <v>350.875</v>
      </c>
      <c r="Z311" s="247">
        <f ca="1">[1]ExtEntry!$I9</f>
        <v>82.92</v>
      </c>
      <c r="AB311" s="266">
        <v>17480</v>
      </c>
      <c r="AC311" s="266">
        <v>-73.499999999985448</v>
      </c>
      <c r="AD311" s="266">
        <v>1835.75</v>
      </c>
      <c r="AE311" s="266">
        <v>-3300.5</v>
      </c>
      <c r="AF311" s="266">
        <v>-1095.5</v>
      </c>
      <c r="AG311" s="266">
        <v>-215.2499999999709</v>
      </c>
      <c r="AH311" s="266">
        <v>4088</v>
      </c>
      <c r="AI311" s="266">
        <v>-138.69999999999709</v>
      </c>
      <c r="AJ311" s="266">
        <v>-138.69999999999709</v>
      </c>
      <c r="AK311" s="266">
        <v>1496</v>
      </c>
      <c r="AL311" s="266">
        <v>-2408</v>
      </c>
      <c r="AM311" s="266">
        <v>-1560</v>
      </c>
      <c r="AN311" s="266">
        <v>-1060</v>
      </c>
      <c r="AO311" s="266">
        <v>-112</v>
      </c>
      <c r="AP311" s="266">
        <v>-1824</v>
      </c>
      <c r="AQ311" s="266">
        <v>-2936</v>
      </c>
      <c r="AR311" s="266">
        <v>-2800</v>
      </c>
      <c r="AS311" s="266">
        <v>-2800</v>
      </c>
      <c r="AT311" s="266">
        <v>1556</v>
      </c>
      <c r="AU311" s="266">
        <v>648</v>
      </c>
      <c r="AV311" s="263">
        <f ca="1">Calc!AP9</f>
        <v>-80</v>
      </c>
      <c r="AX311" s="88" t="str">
        <f t="shared" ca="1" si="27"/>
        <v>AZN</v>
      </c>
    </row>
    <row r="312" spans="1:50" hidden="1">
      <c r="A312" s="88" t="str">
        <f t="shared" ca="1" si="26"/>
        <v>BLDP</v>
      </c>
      <c r="F312" s="253">
        <v>73.849999999999994</v>
      </c>
      <c r="G312" s="253">
        <v>73.959999999999994</v>
      </c>
      <c r="H312" s="253">
        <v>80.819999999999993</v>
      </c>
      <c r="I312" s="253">
        <v>82.88</v>
      </c>
      <c r="J312" s="253">
        <v>83.84</v>
      </c>
      <c r="K312" s="253">
        <v>85.354399999999998</v>
      </c>
      <c r="L312" s="253">
        <v>85.155000000000001</v>
      </c>
      <c r="M312" s="253">
        <v>84.99</v>
      </c>
      <c r="N312" s="253">
        <v>84.99</v>
      </c>
      <c r="O312" s="253">
        <v>84.055000000000007</v>
      </c>
      <c r="P312" s="253">
        <v>84.3</v>
      </c>
      <c r="Q312" s="253">
        <v>83.53</v>
      </c>
      <c r="R312" s="253">
        <v>83.094999999999999</v>
      </c>
      <c r="S312" s="253">
        <v>83.650499999999994</v>
      </c>
      <c r="T312" s="253">
        <v>83.775000000000006</v>
      </c>
      <c r="U312" s="253">
        <v>83.12</v>
      </c>
      <c r="V312" s="253">
        <v>83.278000000000006</v>
      </c>
      <c r="W312" s="253">
        <v>83.278000000000006</v>
      </c>
      <c r="X312" s="253">
        <v>83.12</v>
      </c>
      <c r="Y312" s="253">
        <v>82.92</v>
      </c>
      <c r="Z312" s="247">
        <f ca="1">[1]ExtEntry!$I10</f>
        <v>3.34</v>
      </c>
      <c r="AB312" s="263">
        <v>-230</v>
      </c>
      <c r="AC312" s="263">
        <v>2290</v>
      </c>
      <c r="AD312" s="263">
        <v>3325</v>
      </c>
      <c r="AE312" s="263">
        <v>250</v>
      </c>
      <c r="AF312" s="263">
        <v>1010</v>
      </c>
      <c r="AG312" s="263">
        <v>450</v>
      </c>
      <c r="AH312" s="263">
        <v>-970</v>
      </c>
      <c r="AI312" s="263">
        <v>-430</v>
      </c>
      <c r="AJ312" s="263">
        <v>-430</v>
      </c>
      <c r="AK312" s="263">
        <v>85</v>
      </c>
      <c r="AL312" s="263">
        <v>280</v>
      </c>
      <c r="AM312" s="263">
        <v>707.5</v>
      </c>
      <c r="AN312" s="263">
        <v>155</v>
      </c>
      <c r="AO312" s="263">
        <v>427.5</v>
      </c>
      <c r="AP312" s="263">
        <v>-495</v>
      </c>
      <c r="AQ312" s="263">
        <v>-310</v>
      </c>
      <c r="AR312" s="263">
        <v>-10</v>
      </c>
      <c r="AS312" s="263">
        <v>-10</v>
      </c>
      <c r="AT312" s="263">
        <v>115</v>
      </c>
      <c r="AU312" s="263">
        <v>-80</v>
      </c>
      <c r="AV312" s="263">
        <f ca="1">Calc!AP10</f>
        <v>1200</v>
      </c>
      <c r="AX312" s="88" t="str">
        <f t="shared" ca="1" si="27"/>
        <v>BLDP</v>
      </c>
    </row>
    <row r="313" spans="1:50" hidden="1">
      <c r="A313" s="88" t="str">
        <f t="shared" ca="1" si="26"/>
        <v>BMRA</v>
      </c>
      <c r="F313" s="253">
        <v>2.67</v>
      </c>
      <c r="G313" s="253">
        <v>2.64</v>
      </c>
      <c r="H313" s="253">
        <v>2.71</v>
      </c>
      <c r="I313" s="253">
        <v>2.84</v>
      </c>
      <c r="J313" s="253">
        <v>2.96</v>
      </c>
      <c r="K313" s="253">
        <v>3.49</v>
      </c>
      <c r="L313" s="253">
        <v>3.4939</v>
      </c>
      <c r="M313" s="253">
        <v>3.4849999999999999</v>
      </c>
      <c r="N313" s="253">
        <v>3.4849999999999999</v>
      </c>
      <c r="O313" s="253">
        <v>3.411</v>
      </c>
      <c r="P313" s="253">
        <v>3.302</v>
      </c>
      <c r="Q313" s="253">
        <v>3.63</v>
      </c>
      <c r="R313" s="253">
        <v>3.66</v>
      </c>
      <c r="S313" s="253">
        <v>3.52</v>
      </c>
      <c r="T313" s="253">
        <v>3.58</v>
      </c>
      <c r="U313" s="253">
        <v>3.29</v>
      </c>
      <c r="V313" s="253">
        <v>3.14</v>
      </c>
      <c r="W313" s="253">
        <v>3.14</v>
      </c>
      <c r="X313" s="253">
        <v>3.21</v>
      </c>
      <c r="Y313" s="253">
        <v>3.34</v>
      </c>
      <c r="Z313" s="247">
        <f ca="1">[1]ExtEntry!$I11</f>
        <v>2.9</v>
      </c>
      <c r="AB313" s="266">
        <v>-1432.6000000000058</v>
      </c>
      <c r="AC313" s="266">
        <v>1040</v>
      </c>
      <c r="AD313" s="266">
        <v>5720</v>
      </c>
      <c r="AE313" s="266">
        <v>-2600</v>
      </c>
      <c r="AF313" s="266">
        <v>14820</v>
      </c>
      <c r="AG313" s="266">
        <v>0</v>
      </c>
      <c r="AH313" s="266">
        <v>520</v>
      </c>
      <c r="AI313" s="266">
        <v>1820</v>
      </c>
      <c r="AJ313" s="266">
        <v>1820</v>
      </c>
      <c r="AK313" s="266">
        <v>800</v>
      </c>
      <c r="AL313" s="266">
        <v>12600</v>
      </c>
      <c r="AM313" s="266">
        <v>-4700</v>
      </c>
      <c r="AN313" s="266">
        <v>-3800</v>
      </c>
      <c r="AO313" s="266">
        <v>1800</v>
      </c>
      <c r="AP313" s="266">
        <v>-1600</v>
      </c>
      <c r="AQ313" s="266">
        <v>-6200</v>
      </c>
      <c r="AR313" s="266">
        <v>2600</v>
      </c>
      <c r="AS313" s="266">
        <v>2600</v>
      </c>
      <c r="AT313" s="266">
        <v>300</v>
      </c>
      <c r="AU313" s="266">
        <v>1200</v>
      </c>
      <c r="AV313" s="263">
        <f ca="1">Calc!AP11</f>
        <v>750</v>
      </c>
      <c r="AX313" s="88" t="str">
        <f t="shared" ca="1" si="27"/>
        <v>BMRA</v>
      </c>
    </row>
    <row r="314" spans="1:50" hidden="1">
      <c r="A314" s="88" t="str">
        <f t="shared" ca="1" si="26"/>
        <v>C</v>
      </c>
      <c r="F314" s="253">
        <v>2.81</v>
      </c>
      <c r="G314" s="253">
        <v>2.7643</v>
      </c>
      <c r="H314" s="253">
        <v>2.7610999999999999</v>
      </c>
      <c r="I314" s="253">
        <v>2.68</v>
      </c>
      <c r="J314" s="253">
        <v>2.7101000000000002</v>
      </c>
      <c r="K314" s="253">
        <v>2.82</v>
      </c>
      <c r="L314" s="253">
        <v>2.8</v>
      </c>
      <c r="M314" s="253">
        <v>2.86</v>
      </c>
      <c r="N314" s="253">
        <v>2.86</v>
      </c>
      <c r="O314" s="253">
        <v>2.73</v>
      </c>
      <c r="P314" s="253">
        <v>2.76</v>
      </c>
      <c r="Q314" s="253">
        <v>2.7774999999999999</v>
      </c>
      <c r="R314" s="253">
        <v>2.62</v>
      </c>
      <c r="S314" s="253">
        <v>2.82</v>
      </c>
      <c r="T314" s="253">
        <v>2.94</v>
      </c>
      <c r="U314" s="253">
        <v>3.06</v>
      </c>
      <c r="V314" s="253">
        <v>2.85</v>
      </c>
      <c r="W314" s="253">
        <v>2.85</v>
      </c>
      <c r="X314" s="253">
        <v>2.82</v>
      </c>
      <c r="Y314" s="253">
        <v>2.9</v>
      </c>
      <c r="Z314" s="247">
        <f ca="1">[1]ExtEntry!$I12</f>
        <v>97.35</v>
      </c>
      <c r="AB314" s="263">
        <v>-500</v>
      </c>
      <c r="AC314" s="263">
        <v>312.5</v>
      </c>
      <c r="AD314" s="263">
        <v>656.25</v>
      </c>
      <c r="AE314" s="263">
        <v>-62.5</v>
      </c>
      <c r="AF314" s="263">
        <v>875</v>
      </c>
      <c r="AG314" s="263">
        <v>-625</v>
      </c>
      <c r="AH314" s="263">
        <v>875</v>
      </c>
      <c r="AI314" s="263">
        <v>625</v>
      </c>
      <c r="AJ314" s="263">
        <v>625</v>
      </c>
      <c r="AK314" s="263">
        <v>500</v>
      </c>
      <c r="AL314" s="263">
        <v>1250</v>
      </c>
      <c r="AM314" s="263">
        <v>250</v>
      </c>
      <c r="AN314" s="263">
        <v>4062.5</v>
      </c>
      <c r="AO314" s="263">
        <v>250</v>
      </c>
      <c r="AP314" s="263">
        <v>1375</v>
      </c>
      <c r="AQ314" s="263">
        <v>1000</v>
      </c>
      <c r="AR314" s="263">
        <v>-3213.75</v>
      </c>
      <c r="AS314" s="263">
        <v>-3213.75</v>
      </c>
      <c r="AT314" s="263">
        <v>-250</v>
      </c>
      <c r="AU314" s="263">
        <v>750</v>
      </c>
      <c r="AV314" s="263">
        <f ca="1">Calc!AP12</f>
        <v>6.9749999999999659</v>
      </c>
      <c r="AX314" s="88" t="str">
        <f t="shared" ca="1" si="27"/>
        <v>C</v>
      </c>
    </row>
    <row r="315" spans="1:50" hidden="1">
      <c r="A315" s="88" t="str">
        <f t="shared" ca="1" si="26"/>
        <v>CSCO</v>
      </c>
      <c r="F315" s="253">
        <v>102.88</v>
      </c>
      <c r="G315" s="253">
        <v>99.14</v>
      </c>
      <c r="H315" s="253">
        <v>98.614999999999995</v>
      </c>
      <c r="I315" s="253">
        <v>96.7</v>
      </c>
      <c r="J315" s="253">
        <v>97.295000000000002</v>
      </c>
      <c r="K315" s="253">
        <v>96.677999999999997</v>
      </c>
      <c r="L315" s="253">
        <v>96.59</v>
      </c>
      <c r="M315" s="253">
        <v>95.46</v>
      </c>
      <c r="N315" s="253">
        <v>95.46</v>
      </c>
      <c r="O315" s="253">
        <v>95.45</v>
      </c>
      <c r="P315" s="253">
        <v>95.037999999999997</v>
      </c>
      <c r="Q315" s="253">
        <v>98.86</v>
      </c>
      <c r="R315" s="253">
        <v>95.234999999999999</v>
      </c>
      <c r="S315" s="253">
        <v>95.275000000000006</v>
      </c>
      <c r="T315" s="253">
        <v>97.12</v>
      </c>
      <c r="U315" s="253">
        <v>97.97</v>
      </c>
      <c r="V315" s="253">
        <v>95</v>
      </c>
      <c r="W315" s="253">
        <v>95</v>
      </c>
      <c r="X315" s="253">
        <v>96.3</v>
      </c>
      <c r="Y315" s="253">
        <v>97.35</v>
      </c>
      <c r="Z315" s="247">
        <f ca="1">[1]ExtEntry!$I13</f>
        <v>70.06</v>
      </c>
      <c r="AB315" s="266">
        <v>-5.3999999999999773</v>
      </c>
      <c r="AC315" s="266">
        <v>-8.0250000000000341</v>
      </c>
      <c r="AD315" s="266">
        <v>-11.150000000000034</v>
      </c>
      <c r="AE315" s="266">
        <v>-8.8000000000000114</v>
      </c>
      <c r="AF315" s="266">
        <v>1.875</v>
      </c>
      <c r="AG315" s="266">
        <v>-3.2249999999999659</v>
      </c>
      <c r="AH315" s="266">
        <v>-7.3499999999999659</v>
      </c>
      <c r="AI315" s="266">
        <v>-5.4999999999999432</v>
      </c>
      <c r="AJ315" s="266">
        <v>-5.4999999999999432</v>
      </c>
      <c r="AK315" s="266">
        <v>2.3499999999999659</v>
      </c>
      <c r="AL315" s="266">
        <v>21.699999999999989</v>
      </c>
      <c r="AM315" s="266">
        <v>-9.2150000000000318</v>
      </c>
      <c r="AN315" s="266">
        <v>-19.649999999999977</v>
      </c>
      <c r="AO315" s="266">
        <v>4.3249999999999886</v>
      </c>
      <c r="AP315" s="266">
        <v>9.125</v>
      </c>
      <c r="AQ315" s="266">
        <v>-3.375</v>
      </c>
      <c r="AR315" s="266">
        <v>-9.3500000000000227</v>
      </c>
      <c r="AS315" s="266">
        <v>-9.3500000000000227</v>
      </c>
      <c r="AT315" s="266">
        <v>-0.77500000000003411</v>
      </c>
      <c r="AU315" s="266">
        <v>7.0500000000000114</v>
      </c>
      <c r="AV315" s="263">
        <f ca="1">Calc!AP13</f>
        <v>-5</v>
      </c>
      <c r="AX315" s="88" t="str">
        <f t="shared" ca="1" si="27"/>
        <v>CSCO</v>
      </c>
    </row>
    <row r="316" spans="1:50" hidden="1">
      <c r="A316" s="88" t="str">
        <f t="shared" ca="1" si="26"/>
        <v>CVS</v>
      </c>
      <c r="F316" s="253">
        <v>67.44</v>
      </c>
      <c r="G316" s="253">
        <v>67.69</v>
      </c>
      <c r="H316" s="253">
        <v>67.69</v>
      </c>
      <c r="I316" s="253">
        <v>68.254999999999995</v>
      </c>
      <c r="J316" s="253">
        <v>67.650000000000006</v>
      </c>
      <c r="K316" s="253">
        <v>68.444999999999993</v>
      </c>
      <c r="L316" s="253">
        <v>69</v>
      </c>
      <c r="M316" s="253">
        <v>69.03</v>
      </c>
      <c r="N316" s="253">
        <v>69.03</v>
      </c>
      <c r="O316" s="253">
        <v>67.13</v>
      </c>
      <c r="P316" s="253">
        <v>66.813100000000006</v>
      </c>
      <c r="Q316" s="253">
        <v>68.83</v>
      </c>
      <c r="R316" s="253">
        <v>68.569999999999993</v>
      </c>
      <c r="S316" s="253">
        <v>68.95</v>
      </c>
      <c r="T316" s="253">
        <v>70.12</v>
      </c>
      <c r="U316" s="253">
        <v>70.38</v>
      </c>
      <c r="V316" s="253">
        <v>69.849999999999994</v>
      </c>
      <c r="W316" s="253">
        <v>69.849999999999994</v>
      </c>
      <c r="X316" s="253">
        <v>70.23</v>
      </c>
      <c r="Y316" s="253">
        <v>70.06</v>
      </c>
      <c r="Z316" s="247">
        <f ca="1">[1]ExtEntry!$I14</f>
        <v>81.084999999999994</v>
      </c>
      <c r="AB316" s="263">
        <v>-530</v>
      </c>
      <c r="AC316" s="263">
        <v>1430</v>
      </c>
      <c r="AD316" s="263">
        <v>1700</v>
      </c>
      <c r="AE316" s="263">
        <v>-1730</v>
      </c>
      <c r="AF316" s="263">
        <v>-60</v>
      </c>
      <c r="AG316" s="263">
        <v>140</v>
      </c>
      <c r="AH316" s="263">
        <v>1040</v>
      </c>
      <c r="AI316" s="263">
        <v>-700</v>
      </c>
      <c r="AJ316" s="263">
        <v>-700</v>
      </c>
      <c r="AK316" s="263">
        <v>-2140</v>
      </c>
      <c r="AL316" s="263">
        <v>3300</v>
      </c>
      <c r="AM316" s="263">
        <v>255</v>
      </c>
      <c r="AN316" s="263">
        <v>-690</v>
      </c>
      <c r="AO316" s="263">
        <v>1070</v>
      </c>
      <c r="AP316" s="263">
        <v>530</v>
      </c>
      <c r="AQ316" s="263">
        <v>140</v>
      </c>
      <c r="AR316" s="263">
        <v>-200</v>
      </c>
      <c r="AS316" s="263">
        <v>-200</v>
      </c>
      <c r="AT316" s="263">
        <v>-330</v>
      </c>
      <c r="AU316" s="263">
        <v>-5</v>
      </c>
      <c r="AV316" s="263">
        <f ca="1">Calc!AP14</f>
        <v>0.4100000000000108</v>
      </c>
      <c r="AX316" s="88" t="str">
        <f t="shared" ca="1" si="27"/>
        <v>CVS</v>
      </c>
    </row>
    <row r="317" spans="1:50" hidden="1">
      <c r="A317" s="88" t="str">
        <f t="shared" ca="1" si="26"/>
        <v>DDD</v>
      </c>
      <c r="F317" s="253">
        <v>74.09</v>
      </c>
      <c r="G317" s="253">
        <v>73.83</v>
      </c>
      <c r="H317" s="253">
        <v>75.25</v>
      </c>
      <c r="I317" s="253">
        <v>76.27</v>
      </c>
      <c r="J317" s="253">
        <v>77.08</v>
      </c>
      <c r="K317" s="253">
        <v>76.64</v>
      </c>
      <c r="L317" s="253">
        <v>75.63</v>
      </c>
      <c r="M317" s="253">
        <v>76.53</v>
      </c>
      <c r="N317" s="253">
        <v>76.53</v>
      </c>
      <c r="O317" s="253">
        <v>77.37</v>
      </c>
      <c r="P317" s="253">
        <v>77.8</v>
      </c>
      <c r="Q317" s="253">
        <v>79.849999999999994</v>
      </c>
      <c r="R317" s="253">
        <v>80.632400000000004</v>
      </c>
      <c r="S317" s="253">
        <v>81.010000000000005</v>
      </c>
      <c r="T317" s="253">
        <v>81.52</v>
      </c>
      <c r="U317" s="253">
        <v>82.08</v>
      </c>
      <c r="V317" s="253">
        <v>81.739999999999995</v>
      </c>
      <c r="W317" s="253">
        <v>81.739999999999995</v>
      </c>
      <c r="X317" s="253">
        <v>80.510000000000005</v>
      </c>
      <c r="Y317" s="253">
        <v>81.084999999999994</v>
      </c>
      <c r="Z317" s="247">
        <f ca="1">[1]ExtEntry!$I15</f>
        <v>3.11</v>
      </c>
      <c r="AB317" s="266">
        <v>0.19999999999998863</v>
      </c>
      <c r="AC317" s="266">
        <v>0.17000000000000171</v>
      </c>
      <c r="AD317" s="266">
        <v>1.5600000000000023</v>
      </c>
      <c r="AE317" s="266">
        <v>1.0900000000000034</v>
      </c>
      <c r="AF317" s="266">
        <v>3.9999999999992042E-2</v>
      </c>
      <c r="AG317" s="266">
        <v>-0.37999999999999545</v>
      </c>
      <c r="AH317" s="266">
        <v>-0.39999999999999147</v>
      </c>
      <c r="AI317" s="266">
        <v>-0.5</v>
      </c>
      <c r="AJ317" s="266">
        <v>-0.51000000000000512</v>
      </c>
      <c r="AK317" s="266">
        <v>1</v>
      </c>
      <c r="AL317" s="266">
        <v>1.3800000000000097</v>
      </c>
      <c r="AM317" s="266">
        <v>1.1299999999999955</v>
      </c>
      <c r="AN317" s="266">
        <v>0.67000000000000171</v>
      </c>
      <c r="AO317" s="266">
        <v>1.1199999999999903</v>
      </c>
      <c r="AP317" s="266">
        <v>-9.9999999999909051E-3</v>
      </c>
      <c r="AQ317" s="266">
        <v>0.65999999999999659</v>
      </c>
      <c r="AR317" s="266">
        <v>-0.91999999999998749</v>
      </c>
      <c r="AS317" s="266">
        <v>-0.91999999999998749</v>
      </c>
      <c r="AT317" s="266">
        <v>-0.17000000000000171</v>
      </c>
      <c r="AU317" s="266">
        <v>0.38000000000000966</v>
      </c>
      <c r="AV317" s="263">
        <f ca="1">Calc!AP15</f>
        <v>-4250</v>
      </c>
      <c r="AX317" s="88" t="str">
        <f t="shared" ca="1" si="27"/>
        <v>DDD</v>
      </c>
    </row>
    <row r="318" spans="1:50" hidden="1">
      <c r="A318" s="88" t="str">
        <f t="shared" ca="1" si="26"/>
        <v>DIS</v>
      </c>
      <c r="F318" s="253">
        <v>2.9</v>
      </c>
      <c r="G318" s="253">
        <v>2.83</v>
      </c>
      <c r="H318" s="253">
        <v>2.8</v>
      </c>
      <c r="I318" s="253">
        <v>2.83</v>
      </c>
      <c r="J318" s="253">
        <v>3.01</v>
      </c>
      <c r="K318" s="253">
        <v>3.13</v>
      </c>
      <c r="L318" s="253">
        <v>3.14</v>
      </c>
      <c r="M318" s="253">
        <v>3.14</v>
      </c>
      <c r="N318" s="253">
        <v>3.14</v>
      </c>
      <c r="O318" s="253">
        <v>2.86</v>
      </c>
      <c r="P318" s="253">
        <v>2.87</v>
      </c>
      <c r="Q318" s="253">
        <v>3.1150000000000002</v>
      </c>
      <c r="R318" s="253">
        <v>3.23</v>
      </c>
      <c r="S318" s="253">
        <v>3.09</v>
      </c>
      <c r="T318" s="253">
        <v>3.21</v>
      </c>
      <c r="U318" s="253">
        <v>3.31</v>
      </c>
      <c r="V318" s="253">
        <v>2.94</v>
      </c>
      <c r="W318" s="253">
        <v>2.94</v>
      </c>
      <c r="X318" s="253">
        <v>3.01</v>
      </c>
      <c r="Y318" s="253">
        <v>3.11</v>
      </c>
      <c r="Z318" s="247">
        <f ca="1">[1]ExtEntry!$I16</f>
        <v>111.59</v>
      </c>
      <c r="AB318" s="263">
        <v>-30000</v>
      </c>
      <c r="AC318" s="263">
        <v>-5000</v>
      </c>
      <c r="AD318" s="263">
        <v>-2500</v>
      </c>
      <c r="AE318" s="263">
        <v>5500</v>
      </c>
      <c r="AF318" s="263">
        <v>11000</v>
      </c>
      <c r="AG318" s="263">
        <v>-3325</v>
      </c>
      <c r="AH318" s="263">
        <v>5525</v>
      </c>
      <c r="AI318" s="263">
        <v>-8500</v>
      </c>
      <c r="AJ318" s="263">
        <v>-8500</v>
      </c>
      <c r="AK318" s="263">
        <v>8500.0000000000291</v>
      </c>
      <c r="AL318" s="263">
        <v>11900</v>
      </c>
      <c r="AM318" s="263">
        <v>3400</v>
      </c>
      <c r="AN318" s="263">
        <v>-4250</v>
      </c>
      <c r="AO318" s="263">
        <v>-5950</v>
      </c>
      <c r="AP318" s="263">
        <v>46325</v>
      </c>
      <c r="AQ318" s="263">
        <v>-24650</v>
      </c>
      <c r="AR318" s="263">
        <v>-31025</v>
      </c>
      <c r="AS318" s="263">
        <v>-31025</v>
      </c>
      <c r="AT318" s="263">
        <v>-424.9999999999709</v>
      </c>
      <c r="AU318" s="263">
        <v>-4675</v>
      </c>
      <c r="AV318" s="263">
        <f ca="1">Calc!AP16</f>
        <v>-1550</v>
      </c>
      <c r="AX318" s="88" t="str">
        <f t="shared" ca="1" si="27"/>
        <v>DIS</v>
      </c>
    </row>
    <row r="319" spans="1:50" hidden="1">
      <c r="A319" s="88" t="str">
        <f t="shared" ca="1" si="26"/>
        <v>DSY</v>
      </c>
      <c r="F319" s="253">
        <v>113.33</v>
      </c>
      <c r="G319" s="253">
        <v>113.33499999999999</v>
      </c>
      <c r="H319" s="253">
        <v>112.79</v>
      </c>
      <c r="I319" s="253">
        <v>110.77500000000001</v>
      </c>
      <c r="J319" s="253">
        <v>111.56</v>
      </c>
      <c r="K319" s="253">
        <v>111.8</v>
      </c>
      <c r="L319" s="253">
        <v>111.65</v>
      </c>
      <c r="M319" s="253">
        <v>110.875</v>
      </c>
      <c r="N319" s="253">
        <v>110.875</v>
      </c>
      <c r="O319" s="253">
        <v>109.38</v>
      </c>
      <c r="P319" s="253">
        <v>109.2</v>
      </c>
      <c r="Q319" s="253">
        <v>111.14</v>
      </c>
      <c r="R319" s="253">
        <v>108.51</v>
      </c>
      <c r="S319" s="253">
        <v>109.44</v>
      </c>
      <c r="T319" s="253">
        <v>110.6</v>
      </c>
      <c r="U319" s="253">
        <v>112.04</v>
      </c>
      <c r="V319" s="253">
        <v>112.98</v>
      </c>
      <c r="W319" s="253">
        <v>112.98</v>
      </c>
      <c r="X319" s="253">
        <v>111.90009999999999</v>
      </c>
      <c r="Y319" s="253">
        <v>111.59</v>
      </c>
      <c r="Z319" s="247">
        <f ca="1">[1]ExtEntry!$I17</f>
        <v>25.54</v>
      </c>
      <c r="AB319" s="266">
        <v>815</v>
      </c>
      <c r="AC319" s="266">
        <v>-50</v>
      </c>
      <c r="AD319" s="266">
        <v>-1145</v>
      </c>
      <c r="AE319" s="266">
        <v>-815</v>
      </c>
      <c r="AF319" s="266">
        <v>455</v>
      </c>
      <c r="AG319" s="266">
        <v>-60</v>
      </c>
      <c r="AH319" s="266">
        <v>-915</v>
      </c>
      <c r="AI319" s="266">
        <v>-830</v>
      </c>
      <c r="AJ319" s="266">
        <v>-830</v>
      </c>
      <c r="AK319" s="266">
        <v>130</v>
      </c>
      <c r="AL319" s="266">
        <v>1395</v>
      </c>
      <c r="AM319" s="266">
        <v>455</v>
      </c>
      <c r="AN319" s="266">
        <v>-1895</v>
      </c>
      <c r="AO319" s="266">
        <v>930</v>
      </c>
      <c r="AP319" s="266">
        <v>950</v>
      </c>
      <c r="AQ319" s="266">
        <v>2060</v>
      </c>
      <c r="AR319" s="266">
        <v>-900</v>
      </c>
      <c r="AS319" s="266">
        <v>-900</v>
      </c>
      <c r="AT319" s="266">
        <v>-150</v>
      </c>
      <c r="AU319" s="266">
        <v>-1560</v>
      </c>
      <c r="AV319" s="263">
        <f ca="1">Calc!AP17</f>
        <v>-2440</v>
      </c>
      <c r="AX319" s="88" t="str">
        <f t="shared" ca="1" si="27"/>
        <v>DSY</v>
      </c>
    </row>
    <row r="320" spans="1:50" hidden="1">
      <c r="A320" s="88" t="str">
        <f t="shared" ca="1" si="26"/>
        <v>DVA</v>
      </c>
      <c r="F320" s="253">
        <v>27.9</v>
      </c>
      <c r="G320" s="253">
        <v>28.02</v>
      </c>
      <c r="H320" s="253">
        <v>28.15</v>
      </c>
      <c r="I320" s="253">
        <v>28.54</v>
      </c>
      <c r="J320" s="253">
        <v>29.04</v>
      </c>
      <c r="K320" s="253">
        <v>29</v>
      </c>
      <c r="L320" s="253">
        <v>28.77</v>
      </c>
      <c r="M320" s="253">
        <v>28.46</v>
      </c>
      <c r="N320" s="253">
        <v>29.08</v>
      </c>
      <c r="O320" s="253">
        <v>28.5</v>
      </c>
      <c r="P320" s="253">
        <v>28.29</v>
      </c>
      <c r="Q320" s="253">
        <v>28.59</v>
      </c>
      <c r="R320" s="253">
        <v>28.72</v>
      </c>
      <c r="S320" s="253">
        <v>28.92</v>
      </c>
      <c r="T320" s="253">
        <v>29.2</v>
      </c>
      <c r="U320" s="253">
        <v>29.6</v>
      </c>
      <c r="V320" s="253">
        <v>29.92</v>
      </c>
      <c r="W320" s="253">
        <v>29.92</v>
      </c>
      <c r="X320" s="253">
        <v>25.01</v>
      </c>
      <c r="Y320" s="253">
        <v>25.54</v>
      </c>
      <c r="Z320" s="247">
        <f ca="1">[1]ExtEntry!$I18</f>
        <v>128.47999999999999</v>
      </c>
      <c r="AB320" s="263">
        <v>960</v>
      </c>
      <c r="AC320" s="263">
        <v>1380</v>
      </c>
      <c r="AD320" s="263">
        <v>1380</v>
      </c>
      <c r="AE320" s="263">
        <v>4980</v>
      </c>
      <c r="AF320" s="263">
        <v>-1740</v>
      </c>
      <c r="AG320" s="263">
        <v>-1800</v>
      </c>
      <c r="AH320" s="263">
        <v>-920</v>
      </c>
      <c r="AI320" s="263">
        <v>400</v>
      </c>
      <c r="AJ320" s="263">
        <v>1080</v>
      </c>
      <c r="AK320" s="263">
        <v>1240</v>
      </c>
      <c r="AL320" s="263">
        <v>-1200</v>
      </c>
      <c r="AM320" s="263">
        <v>1160</v>
      </c>
      <c r="AN320" s="263">
        <v>2200</v>
      </c>
      <c r="AO320" s="263">
        <v>1240</v>
      </c>
      <c r="AP320" s="263">
        <v>1320</v>
      </c>
      <c r="AQ320" s="263">
        <v>1920</v>
      </c>
      <c r="AR320" s="263">
        <v>280</v>
      </c>
      <c r="AS320" s="263">
        <v>280</v>
      </c>
      <c r="AT320" s="263">
        <v>840</v>
      </c>
      <c r="AU320" s="263">
        <v>-2440</v>
      </c>
      <c r="AV320" s="263">
        <f ca="1">Calc!AP18</f>
        <v>-140</v>
      </c>
      <c r="AX320" s="88" t="str">
        <f t="shared" ca="1" si="27"/>
        <v>DVA</v>
      </c>
    </row>
    <row r="321" spans="1:50" hidden="1">
      <c r="A321" s="88" t="str">
        <f t="shared" ca="1" si="26"/>
        <v>DXC</v>
      </c>
      <c r="F321" s="253">
        <v>129.19999999999999</v>
      </c>
      <c r="G321" s="253">
        <v>130.09</v>
      </c>
      <c r="H321" s="253">
        <v>132.07</v>
      </c>
      <c r="I321" s="253">
        <v>131.1</v>
      </c>
      <c r="J321" s="253">
        <v>130.86000000000001</v>
      </c>
      <c r="K321" s="253">
        <v>129.17500000000001</v>
      </c>
      <c r="L321" s="253">
        <v>127.43</v>
      </c>
      <c r="M321" s="253">
        <v>126.31</v>
      </c>
      <c r="N321" s="253">
        <v>126.31</v>
      </c>
      <c r="O321" s="253">
        <v>122.94499999999999</v>
      </c>
      <c r="P321" s="253">
        <v>123.095</v>
      </c>
      <c r="Q321" s="253">
        <v>124.8708</v>
      </c>
      <c r="R321" s="253">
        <v>124.76</v>
      </c>
      <c r="S321" s="253">
        <v>124.6</v>
      </c>
      <c r="T321" s="253">
        <v>125.655</v>
      </c>
      <c r="U321" s="253">
        <v>127.2807</v>
      </c>
      <c r="V321" s="253">
        <v>128.161</v>
      </c>
      <c r="W321" s="253">
        <v>128.161</v>
      </c>
      <c r="X321" s="253">
        <v>126.57</v>
      </c>
      <c r="Y321" s="253">
        <v>128.47999999999999</v>
      </c>
      <c r="Z321" s="247">
        <f ca="1">[1]ExtEntry!$I19</f>
        <v>13.49</v>
      </c>
      <c r="AB321" s="266">
        <v>-664.99999999998545</v>
      </c>
      <c r="AC321" s="266">
        <v>2230.0000000000146</v>
      </c>
      <c r="AD321" s="266">
        <v>130</v>
      </c>
      <c r="AE321" s="266">
        <v>-410</v>
      </c>
      <c r="AF321" s="266">
        <v>-1440</v>
      </c>
      <c r="AG321" s="266">
        <v>1629.9999999999854</v>
      </c>
      <c r="AH321" s="266">
        <v>-3335</v>
      </c>
      <c r="AI321" s="266">
        <v>-3164</v>
      </c>
      <c r="AJ321" s="266">
        <v>-3094</v>
      </c>
      <c r="AK321" s="266">
        <v>-154</v>
      </c>
      <c r="AL321" s="266">
        <v>3880.7999999999884</v>
      </c>
      <c r="AM321" s="266">
        <v>1001</v>
      </c>
      <c r="AN321" s="266">
        <v>-1050</v>
      </c>
      <c r="AO321" s="266">
        <v>714</v>
      </c>
      <c r="AP321" s="266">
        <v>2268.0000000000291</v>
      </c>
      <c r="AQ321" s="266">
        <v>448</v>
      </c>
      <c r="AR321" s="266">
        <v>882.00000000005821</v>
      </c>
      <c r="AS321" s="266">
        <v>882.00000000005821</v>
      </c>
      <c r="AT321" s="266">
        <v>-266</v>
      </c>
      <c r="AU321" s="266">
        <v>-140</v>
      </c>
      <c r="AV321" s="263">
        <f ca="1">Calc!AP19</f>
        <v>180</v>
      </c>
      <c r="AX321" s="88" t="str">
        <f t="shared" ca="1" si="27"/>
        <v>DXC</v>
      </c>
    </row>
    <row r="322" spans="1:50" hidden="1">
      <c r="A322" s="88" t="str">
        <f t="shared" ca="1" si="26"/>
        <v>EOAN</v>
      </c>
      <c r="F322" s="253">
        <v>13.7</v>
      </c>
      <c r="G322" s="253">
        <v>13.46</v>
      </c>
      <c r="H322" s="253">
        <v>13.48</v>
      </c>
      <c r="I322" s="253">
        <v>13.58</v>
      </c>
      <c r="J322" s="253">
        <v>13.6149</v>
      </c>
      <c r="K322" s="253">
        <v>13.2</v>
      </c>
      <c r="L322" s="253">
        <v>13.29</v>
      </c>
      <c r="M322" s="253">
        <v>13.17</v>
      </c>
      <c r="N322" s="253">
        <v>13.17</v>
      </c>
      <c r="O322" s="253">
        <v>12.95</v>
      </c>
      <c r="P322" s="253">
        <v>12.984999999999999</v>
      </c>
      <c r="Q322" s="253">
        <v>13.08</v>
      </c>
      <c r="R322" s="253">
        <v>12.63</v>
      </c>
      <c r="S322" s="253">
        <v>12.69</v>
      </c>
      <c r="T322" s="253">
        <v>12.82</v>
      </c>
      <c r="U322" s="253">
        <v>12.99</v>
      </c>
      <c r="V322" s="253">
        <v>13.08</v>
      </c>
      <c r="W322" s="253">
        <v>13.08</v>
      </c>
      <c r="X322" s="253">
        <v>13.12</v>
      </c>
      <c r="Y322" s="253">
        <v>13.49</v>
      </c>
      <c r="Z322" s="247">
        <f ca="1">[1]ExtEntry!$I20</f>
        <v>15.79</v>
      </c>
      <c r="AB322" s="263">
        <v>-1530</v>
      </c>
      <c r="AC322" s="263">
        <v>120</v>
      </c>
      <c r="AD322" s="263">
        <v>1470</v>
      </c>
      <c r="AE322" s="263">
        <v>-1500</v>
      </c>
      <c r="AF322" s="263">
        <v>840</v>
      </c>
      <c r="AG322" s="263">
        <v>-2040</v>
      </c>
      <c r="AH322" s="263">
        <v>-120</v>
      </c>
      <c r="AI322" s="263">
        <v>1200</v>
      </c>
      <c r="AJ322" s="263">
        <v>1200</v>
      </c>
      <c r="AK322" s="263">
        <v>1110</v>
      </c>
      <c r="AL322" s="263">
        <v>1830</v>
      </c>
      <c r="AM322" s="263">
        <v>-1380</v>
      </c>
      <c r="AN322" s="263">
        <v>-1500</v>
      </c>
      <c r="AO322" s="263">
        <v>960</v>
      </c>
      <c r="AP322" s="263">
        <v>150</v>
      </c>
      <c r="AQ322" s="263">
        <v>1650</v>
      </c>
      <c r="AR322" s="263">
        <v>420</v>
      </c>
      <c r="AS322" s="263">
        <v>420</v>
      </c>
      <c r="AT322" s="263">
        <v>1440</v>
      </c>
      <c r="AU322" s="263">
        <v>180</v>
      </c>
      <c r="AV322" s="263">
        <f ca="1">Calc!AP20</f>
        <v>63.25</v>
      </c>
      <c r="AX322" s="88" t="str">
        <f t="shared" ca="1" si="27"/>
        <v>EOAN</v>
      </c>
    </row>
    <row r="323" spans="1:50" hidden="1">
      <c r="A323" s="88" t="str">
        <f t="shared" ca="1" si="26"/>
        <v>EPIX</v>
      </c>
      <c r="F323" s="253">
        <v>15.91</v>
      </c>
      <c r="G323" s="253">
        <v>15.82</v>
      </c>
      <c r="H323" s="253">
        <v>15.96</v>
      </c>
      <c r="I323" s="253">
        <v>15.83</v>
      </c>
      <c r="J323" s="253">
        <v>15.93</v>
      </c>
      <c r="K323" s="253">
        <v>16.04</v>
      </c>
      <c r="L323" s="253">
        <v>16.14</v>
      </c>
      <c r="M323" s="253">
        <v>16.100000000000001</v>
      </c>
      <c r="N323" s="253">
        <v>16.14</v>
      </c>
      <c r="O323" s="253">
        <v>16.114999999999998</v>
      </c>
      <c r="P323" s="253">
        <v>16.164999999999999</v>
      </c>
      <c r="Q323" s="253">
        <v>16.2</v>
      </c>
      <c r="R323" s="253">
        <v>16.13</v>
      </c>
      <c r="S323" s="253">
        <v>16.164999999999999</v>
      </c>
      <c r="T323" s="253">
        <v>16.234999999999999</v>
      </c>
      <c r="U323" s="253">
        <v>16.32</v>
      </c>
      <c r="V323" s="253">
        <v>16.100000000000001</v>
      </c>
      <c r="W323" s="253">
        <v>16.100000000000001</v>
      </c>
      <c r="X323" s="253">
        <v>15.97</v>
      </c>
      <c r="Y323" s="253">
        <v>15.815</v>
      </c>
      <c r="Z323" s="247">
        <f ca="1">[1]ExtEntry!$I21</f>
        <v>0.18990000000000001</v>
      </c>
      <c r="AB323" s="266">
        <v>-337.5</v>
      </c>
      <c r="AC323" s="266">
        <v>375</v>
      </c>
      <c r="AD323" s="266">
        <v>750</v>
      </c>
      <c r="AE323" s="266">
        <v>-581.24999999999272</v>
      </c>
      <c r="AF323" s="266">
        <v>637.50000000000728</v>
      </c>
      <c r="AG323" s="266">
        <v>16.5</v>
      </c>
      <c r="AH323" s="266">
        <v>22</v>
      </c>
      <c r="AI323" s="266">
        <v>-22</v>
      </c>
      <c r="AJ323" s="266">
        <v>13.75</v>
      </c>
      <c r="AK323" s="266">
        <v>41.25</v>
      </c>
      <c r="AL323" s="266">
        <v>112.75</v>
      </c>
      <c r="AM323" s="266">
        <v>-93.5</v>
      </c>
      <c r="AN323" s="266">
        <v>5.5</v>
      </c>
      <c r="AO323" s="266">
        <v>57.75</v>
      </c>
      <c r="AP323" s="266">
        <v>57.750000000001819</v>
      </c>
      <c r="AQ323" s="266">
        <v>5.5</v>
      </c>
      <c r="AR323" s="266">
        <v>-110</v>
      </c>
      <c r="AS323" s="266">
        <v>-110</v>
      </c>
      <c r="AT323" s="266">
        <v>-82.5</v>
      </c>
      <c r="AU323" s="266">
        <v>41.25</v>
      </c>
      <c r="AV323" s="263">
        <f ca="1">Calc!AP21</f>
        <v>36</v>
      </c>
      <c r="AX323" s="88" t="str">
        <f t="shared" ca="1" si="27"/>
        <v>EPIX</v>
      </c>
    </row>
    <row r="324" spans="1:50" hidden="1">
      <c r="A324" s="88" t="str">
        <f t="shared" ca="1" si="26"/>
        <v>GM</v>
      </c>
      <c r="F324" s="253">
        <v>0.1913</v>
      </c>
      <c r="G324" s="253">
        <v>0.185</v>
      </c>
      <c r="H324" s="253">
        <v>0.19</v>
      </c>
      <c r="I324" s="253">
        <v>0.2</v>
      </c>
      <c r="J324" s="253">
        <v>0.1956</v>
      </c>
      <c r="K324" s="253">
        <v>0.2</v>
      </c>
      <c r="L324" s="253">
        <v>0.18990000000000001</v>
      </c>
      <c r="M324" s="253">
        <v>0.18990000000000001</v>
      </c>
      <c r="N324" s="253">
        <v>0.18990000000000001</v>
      </c>
      <c r="O324" s="253">
        <v>0.18990000000000001</v>
      </c>
      <c r="P324" s="253">
        <v>0.18990000000000001</v>
      </c>
      <c r="Q324" s="253">
        <v>0.18990000000000001</v>
      </c>
      <c r="R324" s="253">
        <v>0.18990000000000001</v>
      </c>
      <c r="S324" s="253">
        <v>0.18990000000000001</v>
      </c>
      <c r="T324" s="253">
        <v>0.18990000000000001</v>
      </c>
      <c r="U324" s="253">
        <v>0.18990000000000001</v>
      </c>
      <c r="V324" s="253">
        <v>0.18990000000000001</v>
      </c>
      <c r="W324" s="253">
        <v>0.18990000000000001</v>
      </c>
      <c r="X324" s="253">
        <v>0.18990000000000001</v>
      </c>
      <c r="Y324" s="253">
        <v>0.18990000000000001</v>
      </c>
      <c r="Z324" s="247">
        <f ca="1">[1]ExtEntry!$I22</f>
        <v>67.290000000000006</v>
      </c>
      <c r="AB324" s="263">
        <v>-159</v>
      </c>
      <c r="AC324" s="263">
        <v>-267</v>
      </c>
      <c r="AD324" s="263">
        <v>477</v>
      </c>
      <c r="AE324" s="263">
        <v>222</v>
      </c>
      <c r="AF324" s="263">
        <v>75</v>
      </c>
      <c r="AG324" s="263">
        <v>-411</v>
      </c>
      <c r="AH324" s="263">
        <v>36</v>
      </c>
      <c r="AI324" s="263">
        <v>36</v>
      </c>
      <c r="AJ324" s="263">
        <v>36</v>
      </c>
      <c r="AK324" s="263">
        <v>36</v>
      </c>
      <c r="AL324" s="263">
        <v>36</v>
      </c>
      <c r="AM324" s="263">
        <v>36</v>
      </c>
      <c r="AN324" s="263">
        <v>36</v>
      </c>
      <c r="AO324" s="263">
        <v>36</v>
      </c>
      <c r="AP324" s="263">
        <v>36</v>
      </c>
      <c r="AQ324" s="263">
        <v>36</v>
      </c>
      <c r="AR324" s="263">
        <v>36</v>
      </c>
      <c r="AS324" s="263">
        <v>36</v>
      </c>
      <c r="AT324" s="263">
        <v>36</v>
      </c>
      <c r="AU324" s="263">
        <v>36</v>
      </c>
      <c r="AV324" s="263">
        <f ca="1">Calc!AP22</f>
        <v>22</v>
      </c>
      <c r="AX324" s="88" t="str">
        <f t="shared" ca="1" si="27"/>
        <v>GM</v>
      </c>
    </row>
    <row r="325" spans="1:50" hidden="1">
      <c r="A325" s="88" t="str">
        <f t="shared" ca="1" si="26"/>
        <v>HPE</v>
      </c>
      <c r="F325" s="253">
        <v>60.77</v>
      </c>
      <c r="G325" s="253">
        <v>60.55</v>
      </c>
      <c r="H325" s="253">
        <v>60.13</v>
      </c>
      <c r="I325" s="253">
        <v>59.21</v>
      </c>
      <c r="J325" s="253">
        <v>58.67</v>
      </c>
      <c r="K325" s="253">
        <v>56.63</v>
      </c>
      <c r="L325" s="253">
        <v>56.24</v>
      </c>
      <c r="M325" s="253">
        <v>55.91</v>
      </c>
      <c r="N325" s="253">
        <v>55.91</v>
      </c>
      <c r="O325" s="253">
        <v>55.35</v>
      </c>
      <c r="P325" s="253">
        <v>54.33</v>
      </c>
      <c r="Q325" s="253">
        <v>57.01</v>
      </c>
      <c r="R325" s="253">
        <v>56.81</v>
      </c>
      <c r="S325" s="253">
        <v>57.55</v>
      </c>
      <c r="T325" s="253">
        <v>57.68</v>
      </c>
      <c r="U325" s="253">
        <v>62.36</v>
      </c>
      <c r="V325" s="253">
        <v>65.89</v>
      </c>
      <c r="W325" s="253">
        <v>65.89</v>
      </c>
      <c r="X325" s="253">
        <v>66.569999999999993</v>
      </c>
      <c r="Y325" s="253">
        <v>67.290000000000006</v>
      </c>
      <c r="Z325" s="247">
        <f ca="1">[1]ExtEntry!$I23</f>
        <v>23.274999999999999</v>
      </c>
      <c r="AB325" s="266">
        <v>-9.8500000000000227</v>
      </c>
      <c r="AC325" s="266">
        <v>-7.5</v>
      </c>
      <c r="AD325" s="266">
        <v>3.8999999999999773</v>
      </c>
      <c r="AE325" s="266">
        <v>-21.199999999999932</v>
      </c>
      <c r="AF325" s="266">
        <v>8.1000000000000227</v>
      </c>
      <c r="AG325" s="266">
        <v>-13.600000000000023</v>
      </c>
      <c r="AH325" s="266">
        <v>-9.25</v>
      </c>
      <c r="AI325" s="266">
        <v>-8.3999999999999773</v>
      </c>
      <c r="AJ325" s="266">
        <v>-8.5999999999999091</v>
      </c>
      <c r="AK325" s="266">
        <v>-2.1000000000000227</v>
      </c>
      <c r="AL325" s="266">
        <v>25.5</v>
      </c>
      <c r="AM325" s="266">
        <v>7.1989999999999554</v>
      </c>
      <c r="AN325" s="266">
        <v>-5.4499999999999318</v>
      </c>
      <c r="AO325" s="266">
        <v>6.5000000000001137</v>
      </c>
      <c r="AP325" s="266">
        <v>-5.1999999999999318</v>
      </c>
      <c r="AQ325" s="266">
        <v>28.5</v>
      </c>
      <c r="AR325" s="266">
        <v>2.6999999999999318</v>
      </c>
      <c r="AS325" s="266">
        <v>2.6999999999999318</v>
      </c>
      <c r="AT325" s="266">
        <v>-11.350000000000136</v>
      </c>
      <c r="AU325" s="266">
        <v>22.100000000000136</v>
      </c>
      <c r="AV325" s="263">
        <f ca="1">Calc!AP23</f>
        <v>-1760</v>
      </c>
      <c r="AX325" s="88" t="str">
        <f t="shared" ca="1" si="27"/>
        <v>HPE</v>
      </c>
    </row>
    <row r="326" spans="1:50" hidden="1">
      <c r="A326" s="88" t="str">
        <f t="shared" ca="1" si="26"/>
        <v>HPQ</v>
      </c>
      <c r="F326" s="253">
        <v>24.1</v>
      </c>
      <c r="G326" s="253">
        <v>23.98</v>
      </c>
      <c r="H326" s="253">
        <v>24.23</v>
      </c>
      <c r="I326" s="253">
        <v>24.41</v>
      </c>
      <c r="J326" s="253">
        <v>24.3</v>
      </c>
      <c r="K326" s="253">
        <v>24.664999999999999</v>
      </c>
      <c r="L326" s="253">
        <v>24.85</v>
      </c>
      <c r="M326" s="253">
        <v>25.739899999999999</v>
      </c>
      <c r="N326" s="253">
        <v>25.739899999999999</v>
      </c>
      <c r="O326" s="253">
        <v>24.75</v>
      </c>
      <c r="P326" s="253">
        <v>24.28</v>
      </c>
      <c r="Q326" s="253">
        <v>24.864999999999998</v>
      </c>
      <c r="R326" s="253">
        <v>22.11</v>
      </c>
      <c r="S326" s="253">
        <v>22.24</v>
      </c>
      <c r="T326" s="253">
        <v>22.44</v>
      </c>
      <c r="U326" s="253">
        <v>22.62</v>
      </c>
      <c r="V326" s="253">
        <v>22.6</v>
      </c>
      <c r="W326" s="253">
        <v>22.6</v>
      </c>
      <c r="X326" s="253">
        <v>23.055</v>
      </c>
      <c r="Y326" s="253">
        <v>23.274999999999999</v>
      </c>
      <c r="Z326" s="247">
        <f ca="1">[1]ExtEntry!$I24</f>
        <v>27.635000000000002</v>
      </c>
      <c r="AB326" s="263">
        <v>-1401</v>
      </c>
      <c r="AC326" s="263">
        <v>4400</v>
      </c>
      <c r="AD326" s="263">
        <v>5550</v>
      </c>
      <c r="AE326" s="263">
        <v>-6256.0000000000291</v>
      </c>
      <c r="AF326" s="263">
        <v>-1610</v>
      </c>
      <c r="AG326" s="263">
        <v>-5060</v>
      </c>
      <c r="AH326" s="263">
        <v>9720</v>
      </c>
      <c r="AI326" s="263">
        <v>1680</v>
      </c>
      <c r="AJ326" s="263">
        <v>1680</v>
      </c>
      <c r="AK326" s="263">
        <v>-2254</v>
      </c>
      <c r="AL326" s="263">
        <v>6256</v>
      </c>
      <c r="AM326" s="263">
        <v>1518</v>
      </c>
      <c r="AN326" s="263">
        <v>-4140</v>
      </c>
      <c r="AO326" s="263">
        <v>5612</v>
      </c>
      <c r="AP326" s="263">
        <v>-2255</v>
      </c>
      <c r="AQ326" s="263">
        <v>3410</v>
      </c>
      <c r="AR326" s="263">
        <v>-385</v>
      </c>
      <c r="AS326" s="263">
        <v>-550</v>
      </c>
      <c r="AT326" s="263">
        <v>660</v>
      </c>
      <c r="AU326" s="263">
        <v>-1760</v>
      </c>
      <c r="AV326" s="263">
        <f ca="1">Calc!AP24</f>
        <v>-3000</v>
      </c>
      <c r="AX326" s="88" t="str">
        <f t="shared" ca="1" si="27"/>
        <v>HPQ</v>
      </c>
    </row>
    <row r="327" spans="1:50" hidden="1">
      <c r="A327" s="88" t="str">
        <f t="shared" ca="1" si="26"/>
        <v>IAG</v>
      </c>
      <c r="F327" s="253">
        <v>26.68</v>
      </c>
      <c r="G327" s="253">
        <v>26.844999999999999</v>
      </c>
      <c r="H327" s="253">
        <v>26.4</v>
      </c>
      <c r="I327" s="253">
        <v>26.42</v>
      </c>
      <c r="J327" s="253">
        <v>26.504999999999999</v>
      </c>
      <c r="K327" s="253">
        <v>26.2</v>
      </c>
      <c r="L327" s="253">
        <v>26.44</v>
      </c>
      <c r="M327" s="253">
        <v>26.73</v>
      </c>
      <c r="N327" s="253">
        <v>26.73</v>
      </c>
      <c r="O327" s="253">
        <v>26.01</v>
      </c>
      <c r="P327" s="253">
        <v>27.4</v>
      </c>
      <c r="Q327" s="253">
        <v>28.39</v>
      </c>
      <c r="R327" s="253">
        <v>27.085000000000001</v>
      </c>
      <c r="S327" s="253">
        <v>27</v>
      </c>
      <c r="T327" s="253">
        <v>27.5</v>
      </c>
      <c r="U327" s="253">
        <v>27.672499999999999</v>
      </c>
      <c r="V327" s="253">
        <v>26.97</v>
      </c>
      <c r="W327" s="253">
        <v>26.97</v>
      </c>
      <c r="X327" s="253">
        <v>27.664999999999999</v>
      </c>
      <c r="Y327" s="253">
        <v>27.635000000000002</v>
      </c>
      <c r="Z327" s="247">
        <f ca="1">[1]ExtEntry!$I25</f>
        <v>402</v>
      </c>
      <c r="AB327" s="266">
        <v>-95</v>
      </c>
      <c r="AC327" s="266">
        <v>310</v>
      </c>
      <c r="AD327" s="266">
        <v>-500</v>
      </c>
      <c r="AE327" s="266">
        <v>-295</v>
      </c>
      <c r="AF327" s="266">
        <v>30</v>
      </c>
      <c r="AG327" s="266">
        <v>-220</v>
      </c>
      <c r="AH327" s="266">
        <v>450</v>
      </c>
      <c r="AI327" s="266">
        <v>-190</v>
      </c>
      <c r="AJ327" s="266">
        <v>-190</v>
      </c>
      <c r="AK327" s="266">
        <v>6250</v>
      </c>
      <c r="AL327" s="266">
        <v>4625</v>
      </c>
      <c r="AM327" s="266">
        <v>-680</v>
      </c>
      <c r="AN327" s="266">
        <v>-7375</v>
      </c>
      <c r="AO327" s="266">
        <v>1350</v>
      </c>
      <c r="AP327" s="266">
        <v>475</v>
      </c>
      <c r="AQ327" s="266">
        <v>2150</v>
      </c>
      <c r="AR327" s="266">
        <v>2300</v>
      </c>
      <c r="AS327" s="266">
        <v>2300</v>
      </c>
      <c r="AT327" s="266">
        <v>225</v>
      </c>
      <c r="AU327" s="266">
        <v>-3000</v>
      </c>
      <c r="AV327" s="263">
        <f ca="1">Calc!AP25</f>
        <v>4800</v>
      </c>
      <c r="AX327" s="88" t="str">
        <f t="shared" ca="1" si="27"/>
        <v>IAG</v>
      </c>
    </row>
    <row r="328" spans="1:50" hidden="1">
      <c r="A328" s="88" t="str">
        <f t="shared" ca="1" si="26"/>
        <v>KR</v>
      </c>
      <c r="F328" s="253">
        <v>381.2</v>
      </c>
      <c r="G328" s="253">
        <v>381.8</v>
      </c>
      <c r="H328" s="253">
        <v>377.5</v>
      </c>
      <c r="I328" s="253">
        <v>379.2</v>
      </c>
      <c r="J328" s="253">
        <v>384</v>
      </c>
      <c r="K328" s="253">
        <v>385.1</v>
      </c>
      <c r="L328" s="253">
        <v>389.7</v>
      </c>
      <c r="M328" s="253">
        <v>399.9</v>
      </c>
      <c r="N328" s="253">
        <v>407.8</v>
      </c>
      <c r="O328" s="253">
        <v>404.5</v>
      </c>
      <c r="P328" s="253">
        <v>395.8</v>
      </c>
      <c r="Q328" s="253">
        <v>407.3</v>
      </c>
      <c r="R328" s="253">
        <v>398.9</v>
      </c>
      <c r="S328" s="253">
        <v>391.2</v>
      </c>
      <c r="T328" s="253">
        <v>393</v>
      </c>
      <c r="U328" s="253">
        <v>389.7</v>
      </c>
      <c r="V328" s="253">
        <v>397.7</v>
      </c>
      <c r="W328" s="253">
        <v>397.7</v>
      </c>
      <c r="X328" s="253">
        <v>398.9</v>
      </c>
      <c r="Y328" s="253">
        <v>402</v>
      </c>
      <c r="Z328" s="247">
        <f ca="1">[1]ExtEntry!$I26</f>
        <v>66.905000000000001</v>
      </c>
      <c r="AB328" s="263">
        <v>0</v>
      </c>
      <c r="AC328" s="263">
        <v>3510</v>
      </c>
      <c r="AD328" s="263">
        <v>-14580</v>
      </c>
      <c r="AE328" s="263">
        <v>13500</v>
      </c>
      <c r="AF328" s="263">
        <v>-5460</v>
      </c>
      <c r="AG328" s="263">
        <v>3900</v>
      </c>
      <c r="AH328" s="263">
        <v>25000</v>
      </c>
      <c r="AI328" s="263">
        <v>24240</v>
      </c>
      <c r="AJ328" s="263">
        <v>-13920</v>
      </c>
      <c r="AK328" s="263">
        <v>0</v>
      </c>
      <c r="AL328" s="263">
        <v>240</v>
      </c>
      <c r="AM328" s="263">
        <v>-11040</v>
      </c>
      <c r="AN328" s="263">
        <v>-8640</v>
      </c>
      <c r="AO328" s="263">
        <v>-25920</v>
      </c>
      <c r="AP328" s="263">
        <v>3120</v>
      </c>
      <c r="AQ328" s="263">
        <v>-10080</v>
      </c>
      <c r="AR328" s="263">
        <v>5980</v>
      </c>
      <c r="AS328" s="263">
        <v>5980</v>
      </c>
      <c r="AT328" s="263">
        <v>6600</v>
      </c>
      <c r="AU328" s="263">
        <v>4800</v>
      </c>
      <c r="AV328" s="263">
        <f ca="1">Calc!AP26</f>
        <v>-8800</v>
      </c>
      <c r="AX328" s="88" t="str">
        <f t="shared" ca="1" si="27"/>
        <v>KR</v>
      </c>
    </row>
    <row r="329" spans="1:50" hidden="1">
      <c r="A329" s="88" t="str">
        <f t="shared" ca="1" si="26"/>
        <v>LNSR</v>
      </c>
      <c r="F329" s="253">
        <v>65.03</v>
      </c>
      <c r="G329" s="253">
        <v>66.2</v>
      </c>
      <c r="H329" s="253">
        <v>65.614999999999995</v>
      </c>
      <c r="I329" s="253">
        <v>65.87</v>
      </c>
      <c r="J329" s="253">
        <v>66.004999999999995</v>
      </c>
      <c r="K329" s="253">
        <v>64.930000000000007</v>
      </c>
      <c r="L329" s="253">
        <v>67</v>
      </c>
      <c r="M329" s="253">
        <v>67.13</v>
      </c>
      <c r="N329" s="253">
        <v>67.13</v>
      </c>
      <c r="O329" s="253">
        <v>65.745000000000005</v>
      </c>
      <c r="P329" s="253">
        <v>67.2</v>
      </c>
      <c r="Q329" s="253">
        <v>68.72</v>
      </c>
      <c r="R329" s="253">
        <v>68.614999999999995</v>
      </c>
      <c r="S329" s="253">
        <v>68.84</v>
      </c>
      <c r="T329" s="253">
        <v>68.239999999999995</v>
      </c>
      <c r="U329" s="253">
        <v>67.459999999999994</v>
      </c>
      <c r="V329" s="253">
        <v>67.05</v>
      </c>
      <c r="W329" s="253">
        <v>67.05</v>
      </c>
      <c r="X329" s="253">
        <v>68.185000000000002</v>
      </c>
      <c r="Y329" s="253">
        <v>66.905000000000001</v>
      </c>
      <c r="Z329" s="247">
        <f ca="1">[1]ExtEntry!$I27</f>
        <v>11.94</v>
      </c>
      <c r="AB329" s="266">
        <v>1396.5000000000291</v>
      </c>
      <c r="AC329" s="266">
        <v>3005.7999999999593</v>
      </c>
      <c r="AD329" s="266">
        <v>-1569.3999999999942</v>
      </c>
      <c r="AE329" s="266">
        <v>452.20000000001164</v>
      </c>
      <c r="AF329" s="266">
        <v>79.800000000017462</v>
      </c>
      <c r="AG329" s="266">
        <v>5186.9999999999709</v>
      </c>
      <c r="AH329" s="266">
        <v>2447.2000000000116</v>
      </c>
      <c r="AI329" s="266">
        <v>-2393.9999999999709</v>
      </c>
      <c r="AJ329" s="266">
        <v>-2393.9999999999709</v>
      </c>
      <c r="AK329" s="266">
        <v>359.10000000000582</v>
      </c>
      <c r="AL329" s="266">
        <v>3670.7999999999884</v>
      </c>
      <c r="AM329" s="266">
        <v>625.10000000000582</v>
      </c>
      <c r="AN329" s="266">
        <v>-186.19999999998254</v>
      </c>
      <c r="AO329" s="266">
        <v>-1010.8000000000175</v>
      </c>
      <c r="AP329" s="266">
        <v>640</v>
      </c>
      <c r="AQ329" s="266">
        <v>-4560</v>
      </c>
      <c r="AR329" s="266">
        <v>3280</v>
      </c>
      <c r="AS329" s="266">
        <v>3280</v>
      </c>
      <c r="AT329" s="266">
        <v>-80</v>
      </c>
      <c r="AU329" s="266">
        <v>-8850</v>
      </c>
      <c r="AV329" s="263">
        <f ca="1">Calc!AP27</f>
        <v>0</v>
      </c>
      <c r="AX329" s="88" t="str">
        <f t="shared" ca="1" si="27"/>
        <v>LNSR</v>
      </c>
    </row>
    <row r="330" spans="1:50" hidden="1">
      <c r="A330" s="88" t="str">
        <f t="shared" ca="1" si="26"/>
        <v>LUMN</v>
      </c>
      <c r="F330" s="253">
        <v>12.11</v>
      </c>
      <c r="G330" s="253">
        <v>12.12</v>
      </c>
      <c r="H330" s="253">
        <v>12.19</v>
      </c>
      <c r="I330" s="253">
        <v>12.18</v>
      </c>
      <c r="J330" s="253">
        <v>12.1</v>
      </c>
      <c r="K330" s="253">
        <v>12</v>
      </c>
      <c r="L330" s="253">
        <v>12.06</v>
      </c>
      <c r="M330" s="253">
        <v>11.965</v>
      </c>
      <c r="N330" s="253">
        <v>11.965</v>
      </c>
      <c r="O330" s="253">
        <v>11.83</v>
      </c>
      <c r="P330" s="253">
        <v>11.91</v>
      </c>
      <c r="Q330" s="253">
        <v>11.68</v>
      </c>
      <c r="R330" s="253">
        <v>11.61</v>
      </c>
      <c r="S330" s="253">
        <v>11.77</v>
      </c>
      <c r="T330" s="253">
        <v>11.88</v>
      </c>
      <c r="U330" s="253">
        <v>12.14</v>
      </c>
      <c r="V330" s="253">
        <v>12.145</v>
      </c>
      <c r="W330" s="253">
        <v>12.145</v>
      </c>
      <c r="X330" s="253">
        <v>11.94</v>
      </c>
      <c r="Y330" s="253">
        <v>11.94</v>
      </c>
      <c r="Z330" s="247">
        <f ca="1">[1]ExtEntry!$I28</f>
        <v>7.9550000000000001</v>
      </c>
      <c r="AB330" s="263">
        <v>0</v>
      </c>
      <c r="AC330" s="263">
        <v>0</v>
      </c>
      <c r="AD330" s="263">
        <v>0</v>
      </c>
      <c r="AE330" s="263">
        <v>0</v>
      </c>
      <c r="AF330" s="263">
        <v>0</v>
      </c>
      <c r="AG330" s="263">
        <v>0</v>
      </c>
      <c r="AH330" s="263">
        <v>0</v>
      </c>
      <c r="AI330" s="263">
        <v>0</v>
      </c>
      <c r="AJ330" s="263">
        <v>0</v>
      </c>
      <c r="AK330" s="263">
        <v>0</v>
      </c>
      <c r="AL330" s="263">
        <v>0</v>
      </c>
      <c r="AM330" s="263">
        <v>0</v>
      </c>
      <c r="AN330" s="263">
        <v>0</v>
      </c>
      <c r="AO330" s="263">
        <v>0</v>
      </c>
      <c r="AP330" s="263">
        <v>0</v>
      </c>
      <c r="AQ330" s="263">
        <v>0</v>
      </c>
      <c r="AR330" s="263">
        <v>0</v>
      </c>
      <c r="AS330" s="263">
        <v>0</v>
      </c>
      <c r="AT330" s="263">
        <v>0</v>
      </c>
      <c r="AU330" s="263">
        <v>0</v>
      </c>
      <c r="AV330" s="263">
        <f ca="1">Calc!AP28</f>
        <v>0.60000000000000853</v>
      </c>
      <c r="AX330" s="88" t="str">
        <f t="shared" ca="1" si="27"/>
        <v>LUMN</v>
      </c>
    </row>
    <row r="331" spans="1:50" hidden="1">
      <c r="A331" s="88" t="str">
        <f t="shared" ca="1" si="26"/>
        <v>MRNA</v>
      </c>
      <c r="F331" s="253">
        <v>5.7</v>
      </c>
      <c r="G331" s="253">
        <v>5.85</v>
      </c>
      <c r="H331" s="253">
        <v>5.86</v>
      </c>
      <c r="I331" s="253">
        <v>6.1120000000000001</v>
      </c>
      <c r="J331" s="253">
        <v>6.28</v>
      </c>
      <c r="K331" s="253">
        <v>6.85</v>
      </c>
      <c r="L331" s="253">
        <v>6.88</v>
      </c>
      <c r="M331" s="253">
        <v>6.68</v>
      </c>
      <c r="N331" s="253">
        <v>6.68</v>
      </c>
      <c r="O331" s="253">
        <v>6.62</v>
      </c>
      <c r="P331" s="253">
        <v>6.38</v>
      </c>
      <c r="Q331" s="253">
        <v>6.93</v>
      </c>
      <c r="R331" s="253">
        <v>6.9749999999999996</v>
      </c>
      <c r="S331" s="253">
        <v>6.73</v>
      </c>
      <c r="T331" s="253">
        <v>6.9</v>
      </c>
      <c r="U331" s="253">
        <v>7.02</v>
      </c>
      <c r="V331" s="253">
        <v>6.76</v>
      </c>
      <c r="W331" s="253">
        <v>6.76</v>
      </c>
      <c r="X331" s="253">
        <v>7.2</v>
      </c>
      <c r="Y331" s="253">
        <v>7.9550000000000001</v>
      </c>
      <c r="Z331" s="247">
        <f ca="1">[1]ExtEntry!$I29</f>
        <v>26.11</v>
      </c>
      <c r="AB331" s="266">
        <v>-36.900000000000546</v>
      </c>
      <c r="AC331" s="266">
        <v>275</v>
      </c>
      <c r="AD331" s="266">
        <v>25</v>
      </c>
      <c r="AE331" s="266">
        <v>145</v>
      </c>
      <c r="AF331" s="266">
        <v>235</v>
      </c>
      <c r="AG331" s="266">
        <v>-245</v>
      </c>
      <c r="AH331" s="266">
        <v>135</v>
      </c>
      <c r="AI331" s="266">
        <v>-1.6499999999999773</v>
      </c>
      <c r="AJ331" s="266">
        <v>-1.6999999999999886</v>
      </c>
      <c r="AK331" s="266">
        <v>0.84999999999999432</v>
      </c>
      <c r="AL331" s="266">
        <v>3.2000000000000028</v>
      </c>
      <c r="AM331" s="266">
        <v>1.0499999999999972</v>
      </c>
      <c r="AN331" s="266">
        <v>-2.8499999999999943</v>
      </c>
      <c r="AO331" s="266">
        <v>-0.59999999999999432</v>
      </c>
      <c r="AP331" s="266">
        <v>1.5499999999999972</v>
      </c>
      <c r="AQ331" s="266">
        <v>0.95000000000000284</v>
      </c>
      <c r="AR331" s="266">
        <v>-0.20000000000000284</v>
      </c>
      <c r="AS331" s="266">
        <v>-0.20000000000000284</v>
      </c>
      <c r="AT331" s="266">
        <v>5.3499999999999943</v>
      </c>
      <c r="AU331" s="266">
        <v>0.55000000000001137</v>
      </c>
      <c r="AV331" s="263">
        <f ca="1">Calc!AP29</f>
        <v>2640</v>
      </c>
      <c r="AX331" s="88" t="str">
        <f t="shared" ca="1" si="27"/>
        <v>MRNA</v>
      </c>
    </row>
    <row r="332" spans="1:50" hidden="1">
      <c r="A332" s="88" t="str">
        <f t="shared" ca="1" si="26"/>
        <v>MSFT</v>
      </c>
      <c r="F332" s="253">
        <v>24.44</v>
      </c>
      <c r="G332" s="253">
        <v>24.56</v>
      </c>
      <c r="H332" s="253">
        <v>26.12</v>
      </c>
      <c r="I332" s="253">
        <v>26.99</v>
      </c>
      <c r="J332" s="253">
        <v>27.914999999999999</v>
      </c>
      <c r="K332" s="253">
        <v>26.91</v>
      </c>
      <c r="L332" s="253">
        <v>27.31</v>
      </c>
      <c r="M332" s="253">
        <v>27.4</v>
      </c>
      <c r="N332" s="253">
        <v>27.4</v>
      </c>
      <c r="O332" s="253">
        <v>26.605</v>
      </c>
      <c r="P332" s="253">
        <v>26.01</v>
      </c>
      <c r="Q332" s="253">
        <v>26.38</v>
      </c>
      <c r="R332" s="253">
        <v>27.11</v>
      </c>
      <c r="S332" s="253">
        <v>25.684999999999999</v>
      </c>
      <c r="T332" s="253">
        <v>26.39</v>
      </c>
      <c r="U332" s="253">
        <v>26.65</v>
      </c>
      <c r="V332" s="253">
        <v>26.265000000000001</v>
      </c>
      <c r="W332" s="253">
        <v>26.265000000000001</v>
      </c>
      <c r="X332" s="253">
        <v>25.57</v>
      </c>
      <c r="Y332" s="253">
        <v>26.11</v>
      </c>
      <c r="Z332" s="247">
        <f ca="1">[1]ExtEntry!$I30</f>
        <v>520.71</v>
      </c>
      <c r="AB332" s="263">
        <v>3463.2000000000116</v>
      </c>
      <c r="AC332" s="263">
        <v>8760</v>
      </c>
      <c r="AD332" s="263">
        <v>17760</v>
      </c>
      <c r="AE332" s="263">
        <v>4200</v>
      </c>
      <c r="AF332" s="263">
        <v>-2040</v>
      </c>
      <c r="AG332" s="263">
        <v>-3300</v>
      </c>
      <c r="AH332" s="263">
        <v>6600</v>
      </c>
      <c r="AI332" s="263">
        <v>-6840</v>
      </c>
      <c r="AJ332" s="263">
        <v>-6840</v>
      </c>
      <c r="AK332" s="263">
        <v>-6000</v>
      </c>
      <c r="AL332" s="263">
        <v>-840</v>
      </c>
      <c r="AM332" s="263">
        <v>14220</v>
      </c>
      <c r="AN332" s="263">
        <v>-8460</v>
      </c>
      <c r="AO332" s="263">
        <v>-4920</v>
      </c>
      <c r="AP332" s="263">
        <v>9960</v>
      </c>
      <c r="AQ332" s="263">
        <v>2880</v>
      </c>
      <c r="AR332" s="263">
        <v>-4320</v>
      </c>
      <c r="AS332" s="263">
        <v>-4320</v>
      </c>
      <c r="AT332" s="263">
        <v>5160</v>
      </c>
      <c r="AU332" s="263">
        <v>2640</v>
      </c>
      <c r="AV332" s="263">
        <f ca="1">Calc!AP30</f>
        <v>8036</v>
      </c>
      <c r="AX332" s="88" t="str">
        <f t="shared" ca="1" si="27"/>
        <v>MSFT</v>
      </c>
    </row>
    <row r="333" spans="1:50" hidden="1">
      <c r="A333" s="88" t="str">
        <f t="shared" ca="1" si="26"/>
        <v>NEE</v>
      </c>
      <c r="F333" s="253">
        <v>508.88</v>
      </c>
      <c r="G333" s="253">
        <v>509.66</v>
      </c>
      <c r="H333" s="253">
        <v>511.69</v>
      </c>
      <c r="I333" s="253">
        <v>510.67910000000001</v>
      </c>
      <c r="J333" s="253">
        <v>515</v>
      </c>
      <c r="K333" s="253">
        <v>521.44000000000005</v>
      </c>
      <c r="L333" s="253">
        <v>523.09</v>
      </c>
      <c r="M333" s="253">
        <v>517.4</v>
      </c>
      <c r="N333" s="253">
        <v>517.4</v>
      </c>
      <c r="O333" s="253">
        <v>511.68</v>
      </c>
      <c r="P333" s="253">
        <v>506</v>
      </c>
      <c r="Q333" s="253">
        <v>510</v>
      </c>
      <c r="R333" s="253">
        <v>508.13</v>
      </c>
      <c r="S333" s="253">
        <v>507.31</v>
      </c>
      <c r="T333" s="253">
        <v>513.42999999999995</v>
      </c>
      <c r="U333" s="253">
        <v>513.04</v>
      </c>
      <c r="V333" s="253">
        <v>517.71</v>
      </c>
      <c r="W333" s="253">
        <v>517.71</v>
      </c>
      <c r="X333" s="253">
        <v>518.61</v>
      </c>
      <c r="Y333" s="253">
        <v>520.71</v>
      </c>
      <c r="Z333" s="247">
        <f ca="1">[1]ExtEntry!$I31</f>
        <v>83.36</v>
      </c>
      <c r="AB333" s="266">
        <v>35672.979999999516</v>
      </c>
      <c r="AC333" s="266">
        <v>46158</v>
      </c>
      <c r="AD333" s="266">
        <v>48118</v>
      </c>
      <c r="AE333" s="266">
        <v>-18620</v>
      </c>
      <c r="AF333" s="266">
        <v>2450</v>
      </c>
      <c r="AG333" s="266">
        <v>-41543.25</v>
      </c>
      <c r="AH333" s="266">
        <v>15150.5</v>
      </c>
      <c r="AI333" s="266">
        <v>627.25</v>
      </c>
      <c r="AJ333" s="266">
        <v>627.25</v>
      </c>
      <c r="AK333" s="266">
        <v>-19306</v>
      </c>
      <c r="AL333" s="266">
        <v>34986.000000000931</v>
      </c>
      <c r="AM333" s="266">
        <v>-24107.020000000484</v>
      </c>
      <c r="AN333" s="266">
        <v>-9506</v>
      </c>
      <c r="AO333" s="266">
        <v>44492</v>
      </c>
      <c r="AP333" s="266">
        <v>21364</v>
      </c>
      <c r="AQ333" s="266">
        <v>1568</v>
      </c>
      <c r="AR333" s="266">
        <v>-5978</v>
      </c>
      <c r="AS333" s="266">
        <v>-5978</v>
      </c>
      <c r="AT333" s="266">
        <v>-18620.000000000931</v>
      </c>
      <c r="AU333" s="266">
        <v>8036</v>
      </c>
      <c r="AV333" s="263">
        <f ca="1">Calc!AP31</f>
        <v>332</v>
      </c>
      <c r="AX333" s="88" t="str">
        <f t="shared" ca="1" si="27"/>
        <v>NEE</v>
      </c>
    </row>
    <row r="334" spans="1:50" hidden="1">
      <c r="A334" s="88" t="str">
        <f t="shared" ca="1" si="26"/>
        <v>NEM</v>
      </c>
      <c r="F334" s="253">
        <v>75.27</v>
      </c>
      <c r="G334" s="253">
        <v>75.12</v>
      </c>
      <c r="H334" s="253">
        <v>76.22</v>
      </c>
      <c r="I334" s="253">
        <v>77.534999999999997</v>
      </c>
      <c r="J334" s="253">
        <v>77.650000000000006</v>
      </c>
      <c r="K334" s="253">
        <v>82.41</v>
      </c>
      <c r="L334" s="253">
        <v>82.870699999999999</v>
      </c>
      <c r="M334" s="253">
        <v>83.45</v>
      </c>
      <c r="N334" s="253">
        <v>83.45</v>
      </c>
      <c r="O334" s="253">
        <v>83.009500000000003</v>
      </c>
      <c r="P334" s="253">
        <v>83.43</v>
      </c>
      <c r="Q334" s="253">
        <v>84.834999999999994</v>
      </c>
      <c r="R334" s="253">
        <v>84.974999999999994</v>
      </c>
      <c r="S334" s="253">
        <v>84.17</v>
      </c>
      <c r="T334" s="253">
        <v>84.31</v>
      </c>
      <c r="U334" s="253">
        <v>83.03</v>
      </c>
      <c r="V334" s="253">
        <v>82.47</v>
      </c>
      <c r="W334" s="253">
        <v>82.47</v>
      </c>
      <c r="X334" s="253">
        <v>82.57</v>
      </c>
      <c r="Y334" s="253">
        <v>83.36</v>
      </c>
      <c r="Z334" s="247">
        <f ca="1">[1]ExtEntry!$I32</f>
        <v>81.290000000000006</v>
      </c>
      <c r="AB334" s="263">
        <v>-54</v>
      </c>
      <c r="AC334" s="263">
        <v>-1187.9999999999854</v>
      </c>
      <c r="AD334" s="263">
        <v>2814</v>
      </c>
      <c r="AE334" s="263">
        <v>-558</v>
      </c>
      <c r="AF334" s="263">
        <v>1950</v>
      </c>
      <c r="AG334" s="263">
        <v>112.00000000000728</v>
      </c>
      <c r="AH334" s="263">
        <v>252</v>
      </c>
      <c r="AI334" s="263">
        <v>-531.99999999999272</v>
      </c>
      <c r="AJ334" s="263">
        <v>-525</v>
      </c>
      <c r="AK334" s="263">
        <v>749.00000000000728</v>
      </c>
      <c r="AL334" s="263">
        <v>178</v>
      </c>
      <c r="AM334" s="263">
        <v>300</v>
      </c>
      <c r="AN334" s="263">
        <v>-468</v>
      </c>
      <c r="AO334" s="263">
        <v>-368</v>
      </c>
      <c r="AP334" s="263">
        <v>-166</v>
      </c>
      <c r="AQ334" s="263">
        <v>-404</v>
      </c>
      <c r="AR334" s="263">
        <v>-488</v>
      </c>
      <c r="AS334" s="263">
        <v>-488</v>
      </c>
      <c r="AT334" s="263">
        <v>-248</v>
      </c>
      <c r="AU334" s="263">
        <v>332</v>
      </c>
      <c r="AV334" s="263">
        <f ca="1">Calc!AP32</f>
        <v>14110</v>
      </c>
      <c r="AX334" s="88" t="str">
        <f t="shared" ca="1" si="27"/>
        <v>NEM</v>
      </c>
    </row>
    <row r="335" spans="1:50" hidden="1">
      <c r="A335" s="88" t="str">
        <f t="shared" ca="1" si="26"/>
        <v>NFLX</v>
      </c>
      <c r="F335" s="253">
        <v>83.8</v>
      </c>
      <c r="G335" s="253">
        <v>82.3</v>
      </c>
      <c r="H335" s="253">
        <v>84.5</v>
      </c>
      <c r="I335" s="253">
        <v>83.24</v>
      </c>
      <c r="J335" s="253">
        <v>85.9</v>
      </c>
      <c r="K335" s="253">
        <v>86.63</v>
      </c>
      <c r="L335" s="253">
        <v>87.26</v>
      </c>
      <c r="M335" s="253">
        <v>84.4</v>
      </c>
      <c r="N335" s="253">
        <v>84.4</v>
      </c>
      <c r="O335" s="253">
        <v>87.56</v>
      </c>
      <c r="P335" s="253">
        <v>87.7</v>
      </c>
      <c r="Q335" s="253">
        <v>91.265000000000001</v>
      </c>
      <c r="R335" s="253">
        <v>94.11</v>
      </c>
      <c r="S335" s="253">
        <v>89.92</v>
      </c>
      <c r="T335" s="253">
        <v>91.85</v>
      </c>
      <c r="U335" s="253">
        <v>85.4</v>
      </c>
      <c r="V335" s="253">
        <v>82.8</v>
      </c>
      <c r="W335" s="253">
        <v>82.8</v>
      </c>
      <c r="X335" s="253">
        <v>87.27</v>
      </c>
      <c r="Y335" s="253">
        <v>81.290000000000006</v>
      </c>
      <c r="Z335" s="247">
        <f ca="1">[1]ExtEntry!$I33</f>
        <v>1094.4100000000001</v>
      </c>
      <c r="AB335" s="266">
        <v>-41116.600000000093</v>
      </c>
      <c r="AC335" s="266">
        <v>10080</v>
      </c>
      <c r="AD335" s="266">
        <v>13580</v>
      </c>
      <c r="AE335" s="266">
        <v>-7070</v>
      </c>
      <c r="AF335" s="266">
        <v>9590</v>
      </c>
      <c r="AG335" s="266">
        <v>-23520</v>
      </c>
      <c r="AH335" s="266">
        <v>-5600</v>
      </c>
      <c r="AI335" s="266">
        <v>-46340</v>
      </c>
      <c r="AJ335" s="266">
        <v>-46620</v>
      </c>
      <c r="AK335" s="266">
        <v>19600</v>
      </c>
      <c r="AL335" s="266">
        <v>39760</v>
      </c>
      <c r="AM335" s="266">
        <v>19320</v>
      </c>
      <c r="AN335" s="266">
        <v>44940</v>
      </c>
      <c r="AO335" s="266">
        <v>-78260</v>
      </c>
      <c r="AP335" s="266">
        <v>13455</v>
      </c>
      <c r="AQ335" s="266">
        <v>-46325</v>
      </c>
      <c r="AR335" s="266">
        <v>66470</v>
      </c>
      <c r="AS335" s="266">
        <v>66470</v>
      </c>
      <c r="AT335" s="266">
        <v>-4350</v>
      </c>
      <c r="AU335" s="266">
        <v>13430</v>
      </c>
      <c r="AV335" s="263">
        <f ca="1">Calc!AP33</f>
        <v>-48930</v>
      </c>
      <c r="AX335" s="88" t="str">
        <f t="shared" ca="1" si="27"/>
        <v>NFLX</v>
      </c>
    </row>
    <row r="336" spans="1:50" hidden="1">
      <c r="A336" s="88" t="str">
        <f t="shared" ca="1" si="26"/>
        <v>NOTE</v>
      </c>
      <c r="F336" s="253">
        <v>1187.54</v>
      </c>
      <c r="G336" s="253">
        <v>1178</v>
      </c>
      <c r="H336" s="253">
        <v>1163.21</v>
      </c>
      <c r="I336" s="253">
        <v>1134</v>
      </c>
      <c r="J336" s="253">
        <v>1143.22</v>
      </c>
      <c r="K336" s="253">
        <v>1177.46</v>
      </c>
      <c r="L336" s="253">
        <v>1192</v>
      </c>
      <c r="M336" s="253">
        <v>1211.82</v>
      </c>
      <c r="N336" s="253">
        <v>1211.82</v>
      </c>
      <c r="O336" s="253">
        <v>1206.81</v>
      </c>
      <c r="P336" s="253">
        <v>1203.0999999999999</v>
      </c>
      <c r="Q336" s="253">
        <v>1203.21</v>
      </c>
      <c r="R336" s="253">
        <v>1176</v>
      </c>
      <c r="S336" s="253">
        <v>1178.95</v>
      </c>
      <c r="T336" s="253">
        <v>1206.9000000000001</v>
      </c>
      <c r="U336" s="253">
        <v>1231.76</v>
      </c>
      <c r="V336" s="253">
        <v>1112.51</v>
      </c>
      <c r="W336" s="253">
        <v>1112.51</v>
      </c>
      <c r="X336" s="253">
        <v>1099.73</v>
      </c>
      <c r="Y336" s="253">
        <v>1094.4100000000001</v>
      </c>
      <c r="Z336" s="247">
        <f ca="1">[1]ExtEntry!$I34</f>
        <v>4.3499999999999996</v>
      </c>
      <c r="AB336" s="263">
        <v>-276</v>
      </c>
      <c r="AC336" s="263">
        <v>-4494</v>
      </c>
      <c r="AD336" s="263">
        <v>-2754</v>
      </c>
      <c r="AE336" s="263">
        <v>618</v>
      </c>
      <c r="AF336" s="263">
        <v>-7008</v>
      </c>
      <c r="AG336" s="263">
        <v>10616</v>
      </c>
      <c r="AH336" s="263">
        <v>13712.000000000116</v>
      </c>
      <c r="AI336" s="263">
        <v>11774</v>
      </c>
      <c r="AJ336" s="263">
        <v>11774</v>
      </c>
      <c r="AK336" s="263">
        <v>-1623.9999999998836</v>
      </c>
      <c r="AL336" s="263">
        <v>419.99999999988358</v>
      </c>
      <c r="AM336" s="263">
        <v>-4501</v>
      </c>
      <c r="AN336" s="263">
        <v>-22848.000000000233</v>
      </c>
      <c r="AO336" s="263">
        <v>12608</v>
      </c>
      <c r="AP336" s="263">
        <v>21479.5</v>
      </c>
      <c r="AQ336" s="263">
        <v>-1036.0000000001164</v>
      </c>
      <c r="AR336" s="263">
        <v>-53060</v>
      </c>
      <c r="AS336" s="263">
        <v>-53060</v>
      </c>
      <c r="AT336" s="263">
        <v>-33275</v>
      </c>
      <c r="AU336" s="263">
        <v>-48930</v>
      </c>
      <c r="AV336" s="263">
        <f ca="1">Calc!AP34</f>
        <v>-2933.3700000000099</v>
      </c>
      <c r="AX336" s="88" t="str">
        <f t="shared" ca="1" si="27"/>
        <v>NOTE</v>
      </c>
    </row>
    <row r="337" spans="1:50" hidden="1">
      <c r="A337" s="88" t="str">
        <f t="shared" ref="A337:A368" ca="1" si="28">A237</f>
        <v>PAAS</v>
      </c>
      <c r="F337" s="253">
        <v>4.5578000000000003</v>
      </c>
      <c r="G337" s="253">
        <v>4.45</v>
      </c>
      <c r="H337" s="253">
        <v>4.55</v>
      </c>
      <c r="I337" s="253">
        <v>4.7300000000000004</v>
      </c>
      <c r="J337" s="253">
        <v>4.97</v>
      </c>
      <c r="K337" s="253">
        <v>4.99</v>
      </c>
      <c r="L337" s="253">
        <v>5.0999999999999996</v>
      </c>
      <c r="M337" s="253">
        <v>4.87</v>
      </c>
      <c r="N337" s="253">
        <v>4.87</v>
      </c>
      <c r="O337" s="253">
        <v>4.59</v>
      </c>
      <c r="P337" s="253">
        <v>4.45</v>
      </c>
      <c r="Q337" s="253">
        <v>4.6150000000000002</v>
      </c>
      <c r="R337" s="253">
        <v>4.3600000000000003</v>
      </c>
      <c r="S337" s="253">
        <v>4.2</v>
      </c>
      <c r="T337" s="253">
        <v>4.32</v>
      </c>
      <c r="U337" s="253">
        <v>4.3574999999999999</v>
      </c>
      <c r="V337" s="253">
        <v>4.1500000000000004</v>
      </c>
      <c r="W337" s="253">
        <v>4.1500000000000004</v>
      </c>
      <c r="X337" s="253">
        <v>4.2693000000000003</v>
      </c>
      <c r="Y337" s="253">
        <v>4.3499999999999996</v>
      </c>
      <c r="Z337" s="247">
        <f ca="1">[1]ExtEntry!$I35</f>
        <v>35.619999999999997</v>
      </c>
      <c r="AB337" s="266">
        <v>-1066.679999999993</v>
      </c>
      <c r="AC337" s="266">
        <v>-533.34000000001106</v>
      </c>
      <c r="AD337" s="266">
        <v>3200.0400000000081</v>
      </c>
      <c r="AE337" s="266">
        <v>6400.0799999999726</v>
      </c>
      <c r="AF337" s="266">
        <v>1866.6900000000023</v>
      </c>
      <c r="AG337" s="266">
        <v>-4000.0499999999884</v>
      </c>
      <c r="AH337" s="266">
        <v>4533.390000000014</v>
      </c>
      <c r="AI337" s="266">
        <v>-10400.130000000005</v>
      </c>
      <c r="AJ337" s="266">
        <v>-10400.130000000005</v>
      </c>
      <c r="AK337" s="266">
        <v>-4800.0599999999831</v>
      </c>
      <c r="AL337" s="266">
        <v>4533.3899999999994</v>
      </c>
      <c r="AM337" s="266">
        <v>-6826.7519999999931</v>
      </c>
      <c r="AN337" s="266">
        <v>-7733.4300000000076</v>
      </c>
      <c r="AO337" s="266">
        <v>-2400.0299999999988</v>
      </c>
      <c r="AP337" s="266">
        <v>2133.3600000000006</v>
      </c>
      <c r="AQ337" s="266">
        <v>800.01000000000931</v>
      </c>
      <c r="AR337" s="266">
        <v>-6933.4199999999983</v>
      </c>
      <c r="AS337" s="266">
        <v>-6933.4199999999983</v>
      </c>
      <c r="AT337" s="266">
        <v>4800.0600000000268</v>
      </c>
      <c r="AU337" s="266">
        <v>-2933.3700000000099</v>
      </c>
      <c r="AV337" s="263">
        <f ca="1">Calc!AP35</f>
        <v>2880</v>
      </c>
      <c r="AX337" s="88" t="str">
        <f t="shared" ref="AX337:AX368" ca="1" si="29">A337</f>
        <v>PAAS</v>
      </c>
    </row>
    <row r="338" spans="1:50" hidden="1">
      <c r="A338" s="88" t="str">
        <f t="shared" ca="1" si="28"/>
        <v>PROF</v>
      </c>
      <c r="F338" s="253">
        <v>38.630000000000003</v>
      </c>
      <c r="G338" s="253">
        <v>37.549999999999997</v>
      </c>
      <c r="H338" s="253">
        <v>38.950000000000003</v>
      </c>
      <c r="I338" s="253">
        <v>37.555</v>
      </c>
      <c r="J338" s="253">
        <v>38.75</v>
      </c>
      <c r="K338" s="253">
        <v>39.17</v>
      </c>
      <c r="L338" s="253">
        <v>39.695</v>
      </c>
      <c r="M338" s="253">
        <v>38.030200000000001</v>
      </c>
      <c r="N338" s="253">
        <v>38.030200000000001</v>
      </c>
      <c r="O338" s="253">
        <v>40.01</v>
      </c>
      <c r="P338" s="253">
        <v>39.255000000000003</v>
      </c>
      <c r="Q338" s="253">
        <v>40.1</v>
      </c>
      <c r="R338" s="253">
        <v>40.93</v>
      </c>
      <c r="S338" s="253">
        <v>37.700000000000003</v>
      </c>
      <c r="T338" s="253">
        <v>38.56</v>
      </c>
      <c r="U338" s="253">
        <v>34.72</v>
      </c>
      <c r="V338" s="253">
        <v>34.229999999999997</v>
      </c>
      <c r="W338" s="253">
        <v>34.229999999999997</v>
      </c>
      <c r="X338" s="253">
        <v>36.119999999999997</v>
      </c>
      <c r="Y338" s="253">
        <v>35.619999999999997</v>
      </c>
      <c r="Z338" s="247">
        <f ca="1">[1]ExtEntry!$I36</f>
        <v>5.2</v>
      </c>
      <c r="AB338" s="263">
        <v>-237.50000000001455</v>
      </c>
      <c r="AC338" s="263">
        <v>2312.5</v>
      </c>
      <c r="AD338" s="263">
        <v>-675</v>
      </c>
      <c r="AE338" s="263">
        <v>-1600</v>
      </c>
      <c r="AF338" s="263">
        <v>-1150</v>
      </c>
      <c r="AG338" s="263">
        <v>-1649.9999999999854</v>
      </c>
      <c r="AH338" s="263">
        <v>-2150</v>
      </c>
      <c r="AI338" s="263">
        <v>-4962.5</v>
      </c>
      <c r="AJ338" s="263">
        <v>-4987.5</v>
      </c>
      <c r="AK338" s="263">
        <v>1750.0000000000146</v>
      </c>
      <c r="AL338" s="263">
        <v>-725</v>
      </c>
      <c r="AM338" s="263">
        <v>1550</v>
      </c>
      <c r="AN338" s="263">
        <v>1075</v>
      </c>
      <c r="AO338" s="263">
        <v>-6275</v>
      </c>
      <c r="AP338" s="263">
        <v>-149.99999999998545</v>
      </c>
      <c r="AQ338" s="263">
        <v>-2460</v>
      </c>
      <c r="AR338" s="263">
        <v>6060</v>
      </c>
      <c r="AS338" s="263">
        <v>6060</v>
      </c>
      <c r="AT338" s="263">
        <v>-2960</v>
      </c>
      <c r="AU338" s="263">
        <v>2840</v>
      </c>
      <c r="AV338" s="263">
        <f ca="1">Calc!AP36</f>
        <v>480</v>
      </c>
      <c r="AX338" s="88" t="str">
        <f t="shared" ca="1" si="29"/>
        <v>PROF</v>
      </c>
    </row>
    <row r="339" spans="1:50" hidden="1">
      <c r="A339" s="88" t="str">
        <f t="shared" ca="1" si="28"/>
        <v>POET</v>
      </c>
      <c r="F339" s="253">
        <v>5.05</v>
      </c>
      <c r="G339" s="253">
        <v>4.88</v>
      </c>
      <c r="H339" s="253">
        <v>4.8600000000000003</v>
      </c>
      <c r="I339" s="253">
        <v>4.91</v>
      </c>
      <c r="J339" s="253">
        <v>5.34</v>
      </c>
      <c r="K339" s="253">
        <v>5.65</v>
      </c>
      <c r="L339" s="253">
        <v>6.07</v>
      </c>
      <c r="M339" s="253">
        <v>6.47</v>
      </c>
      <c r="N339" s="253">
        <v>6.47</v>
      </c>
      <c r="O339" s="253">
        <v>5.9</v>
      </c>
      <c r="P339" s="253">
        <v>5.78</v>
      </c>
      <c r="Q339" s="253">
        <v>5.6</v>
      </c>
      <c r="R339" s="253">
        <v>5.47</v>
      </c>
      <c r="S339" s="253">
        <v>5.34</v>
      </c>
      <c r="T339" s="253">
        <v>5.55</v>
      </c>
      <c r="U339" s="253">
        <v>5.5738000000000003</v>
      </c>
      <c r="V339" s="253">
        <v>5.33</v>
      </c>
      <c r="W339" s="253">
        <v>5.33</v>
      </c>
      <c r="X339" s="253">
        <v>5.3</v>
      </c>
      <c r="Y339" s="253">
        <v>5.2</v>
      </c>
      <c r="Z339" s="247">
        <f ca="1">[1]ExtEntry!$I37</f>
        <v>7.51</v>
      </c>
      <c r="AB339" s="266">
        <v>-900.00000000000364</v>
      </c>
      <c r="AC339" s="266">
        <v>-1200.0000000000036</v>
      </c>
      <c r="AD339" s="266">
        <v>240</v>
      </c>
      <c r="AE339" s="266">
        <v>2399.9999999999964</v>
      </c>
      <c r="AF339" s="266">
        <v>2010</v>
      </c>
      <c r="AG339" s="266">
        <v>3240</v>
      </c>
      <c r="AH339" s="266">
        <v>2040</v>
      </c>
      <c r="AI339" s="266">
        <v>-1080</v>
      </c>
      <c r="AJ339" s="266">
        <v>-1080</v>
      </c>
      <c r="AK339" s="266">
        <v>420</v>
      </c>
      <c r="AL339" s="266">
        <v>-720</v>
      </c>
      <c r="AM339" s="266">
        <v>-1160</v>
      </c>
      <c r="AN339" s="266">
        <v>-840</v>
      </c>
      <c r="AO339" s="266">
        <v>-40</v>
      </c>
      <c r="AP339" s="266">
        <v>720</v>
      </c>
      <c r="AQ339" s="266">
        <v>120</v>
      </c>
      <c r="AR339" s="266">
        <v>-1120</v>
      </c>
      <c r="AS339" s="266">
        <v>-1120</v>
      </c>
      <c r="AT339" s="266">
        <v>-1176</v>
      </c>
      <c r="AU339" s="266">
        <v>480</v>
      </c>
      <c r="AV339" s="263">
        <f ca="1">Calc!AP37</f>
        <v>29475</v>
      </c>
      <c r="AX339" s="88" t="str">
        <f t="shared" ca="1" si="29"/>
        <v>POET</v>
      </c>
    </row>
    <row r="340" spans="1:50" hidden="1">
      <c r="A340" s="88" t="str">
        <f t="shared" ca="1" si="28"/>
        <v>PW</v>
      </c>
      <c r="F340" s="253">
        <v>5.2750000000000004</v>
      </c>
      <c r="G340" s="253">
        <v>5.38</v>
      </c>
      <c r="H340" s="253">
        <v>5.45</v>
      </c>
      <c r="I340" s="253">
        <v>6.12</v>
      </c>
      <c r="J340" s="253">
        <v>6.07</v>
      </c>
      <c r="K340" s="253">
        <v>6.47</v>
      </c>
      <c r="L340" s="253">
        <v>8.01</v>
      </c>
      <c r="M340" s="253">
        <v>8.41</v>
      </c>
      <c r="N340" s="253">
        <v>8.41</v>
      </c>
      <c r="O340" s="253">
        <v>7.41</v>
      </c>
      <c r="P340" s="253">
        <v>7.89</v>
      </c>
      <c r="Q340" s="253">
        <v>7.92</v>
      </c>
      <c r="R340" s="253">
        <v>7.5350000000000001</v>
      </c>
      <c r="S340" s="253">
        <v>6.98</v>
      </c>
      <c r="T340" s="253">
        <v>7</v>
      </c>
      <c r="U340" s="253">
        <v>7.29</v>
      </c>
      <c r="V340" s="253">
        <v>7.01</v>
      </c>
      <c r="W340" s="253">
        <v>7.01</v>
      </c>
      <c r="X340" s="253">
        <v>7.12</v>
      </c>
      <c r="Y340" s="253">
        <v>7.51</v>
      </c>
      <c r="Z340" s="247">
        <f ca="1">[1]ExtEntry!$I38</f>
        <v>0.70289999999999997</v>
      </c>
      <c r="AB340" s="263">
        <v>-19385</v>
      </c>
      <c r="AC340" s="263">
        <v>3000</v>
      </c>
      <c r="AD340" s="263">
        <v>20750</v>
      </c>
      <c r="AE340" s="263">
        <v>12000</v>
      </c>
      <c r="AF340" s="263">
        <v>-14500</v>
      </c>
      <c r="AG340" s="263">
        <v>54625</v>
      </c>
      <c r="AH340" s="263">
        <v>31275</v>
      </c>
      <c r="AI340" s="263">
        <v>-19575.000000000058</v>
      </c>
      <c r="AJ340" s="263">
        <v>-19575.000000000058</v>
      </c>
      <c r="AK340" s="263">
        <v>23400</v>
      </c>
      <c r="AL340" s="263">
        <v>47250.000000000058</v>
      </c>
      <c r="AM340" s="263">
        <v>-43425</v>
      </c>
      <c r="AN340" s="263">
        <v>-45000</v>
      </c>
      <c r="AO340" s="263">
        <v>-17100</v>
      </c>
      <c r="AP340" s="263">
        <v>18000</v>
      </c>
      <c r="AQ340" s="263">
        <v>-20025</v>
      </c>
      <c r="AR340" s="263">
        <v>-16650</v>
      </c>
      <c r="AS340" s="263">
        <v>-16650</v>
      </c>
      <c r="AT340" s="263">
        <v>1575</v>
      </c>
      <c r="AU340" s="263">
        <v>29475</v>
      </c>
      <c r="AV340" s="263">
        <f ca="1">Calc!AP38</f>
        <v>434.99999999999909</v>
      </c>
      <c r="AX340" s="88" t="str">
        <f t="shared" ca="1" si="29"/>
        <v>PW</v>
      </c>
    </row>
    <row r="341" spans="1:50" hidden="1">
      <c r="A341" s="88" t="str">
        <f t="shared" ca="1" si="28"/>
        <v>RIGL</v>
      </c>
      <c r="F341" s="253">
        <v>0.96</v>
      </c>
      <c r="G341" s="253">
        <v>0.99329999999999996</v>
      </c>
      <c r="H341" s="253">
        <v>0.96799999999999997</v>
      </c>
      <c r="I341" s="253">
        <v>1.0101</v>
      </c>
      <c r="J341" s="253">
        <v>1.02</v>
      </c>
      <c r="K341" s="253">
        <v>1.0249999999999999</v>
      </c>
      <c r="L341" s="253">
        <v>0.94730000000000003</v>
      </c>
      <c r="M341" s="253">
        <v>0.92</v>
      </c>
      <c r="N341" s="253">
        <v>0.92</v>
      </c>
      <c r="O341" s="253">
        <v>0.88100000000000001</v>
      </c>
      <c r="P341" s="253">
        <v>0.83340000000000003</v>
      </c>
      <c r="Q341" s="253">
        <v>0.88519999999999999</v>
      </c>
      <c r="R341" s="253">
        <v>0.86009999999999998</v>
      </c>
      <c r="S341" s="253">
        <v>0.80249999999999999</v>
      </c>
      <c r="T341" s="253">
        <v>0.78110000000000002</v>
      </c>
      <c r="U341" s="253">
        <v>0.73309999999999997</v>
      </c>
      <c r="V341" s="253">
        <v>0.69079999999999997</v>
      </c>
      <c r="W341" s="253">
        <v>0.69079999999999997</v>
      </c>
      <c r="X341" s="253">
        <v>0.66600000000000004</v>
      </c>
      <c r="Y341" s="253">
        <v>0.70289999999999997</v>
      </c>
      <c r="Z341" s="247">
        <f ca="1">[1]ExtEntry!$I39</f>
        <v>29.61</v>
      </c>
      <c r="AB341" s="266">
        <v>698</v>
      </c>
      <c r="AC341" s="266">
        <v>-400</v>
      </c>
      <c r="AD341" s="266">
        <v>400</v>
      </c>
      <c r="AE341" s="266">
        <v>-14</v>
      </c>
      <c r="AF341" s="266">
        <v>-200</v>
      </c>
      <c r="AG341" s="266">
        <v>-100</v>
      </c>
      <c r="AH341" s="266">
        <v>-526</v>
      </c>
      <c r="AI341" s="266">
        <v>-399</v>
      </c>
      <c r="AJ341" s="266">
        <v>-399</v>
      </c>
      <c r="AK341" s="266">
        <v>45</v>
      </c>
      <c r="AL341" s="266">
        <v>97</v>
      </c>
      <c r="AM341" s="266">
        <v>0</v>
      </c>
      <c r="AN341" s="266">
        <v>-400</v>
      </c>
      <c r="AO341" s="266">
        <v>-796</v>
      </c>
      <c r="AP341" s="266">
        <v>-589</v>
      </c>
      <c r="AQ341" s="266">
        <v>-159</v>
      </c>
      <c r="AR341" s="266">
        <v>-105</v>
      </c>
      <c r="AS341" s="266">
        <v>-105</v>
      </c>
      <c r="AT341" s="266">
        <v>-49.999999999998181</v>
      </c>
      <c r="AU341" s="266">
        <v>434.99999999999909</v>
      </c>
      <c r="AV341" s="263">
        <f ca="1">Calc!AP39</f>
        <v>520</v>
      </c>
      <c r="AX341" s="88" t="str">
        <f t="shared" ca="1" si="29"/>
        <v>RIGL</v>
      </c>
    </row>
    <row r="342" spans="1:50" hidden="1">
      <c r="A342" s="88" t="str">
        <f t="shared" ca="1" si="28"/>
        <v>RWE</v>
      </c>
      <c r="F342" s="253">
        <v>28.331</v>
      </c>
      <c r="G342" s="253">
        <v>28</v>
      </c>
      <c r="H342" s="253">
        <v>27.9054</v>
      </c>
      <c r="I342" s="253">
        <v>27.75</v>
      </c>
      <c r="J342" s="253">
        <v>28.03</v>
      </c>
      <c r="K342" s="253">
        <v>28.44</v>
      </c>
      <c r="L342" s="253">
        <v>27.15</v>
      </c>
      <c r="M342" s="253">
        <v>27.24</v>
      </c>
      <c r="N342" s="253">
        <v>27.24</v>
      </c>
      <c r="O342" s="253">
        <v>26.54</v>
      </c>
      <c r="P342" s="253">
        <v>26.38</v>
      </c>
      <c r="Q342" s="253">
        <v>27.41</v>
      </c>
      <c r="R342" s="253">
        <v>27.635000000000002</v>
      </c>
      <c r="S342" s="253">
        <v>27.75</v>
      </c>
      <c r="T342" s="253">
        <v>27.855</v>
      </c>
      <c r="U342" s="253">
        <v>29.05</v>
      </c>
      <c r="V342" s="253">
        <v>30.13</v>
      </c>
      <c r="W342" s="253">
        <v>30.13</v>
      </c>
      <c r="X342" s="253">
        <v>29.23</v>
      </c>
      <c r="Y342" s="253">
        <v>29.61</v>
      </c>
      <c r="Z342" s="247">
        <f ca="1">[1]ExtEntry!$I40</f>
        <v>40.1</v>
      </c>
      <c r="AB342" s="263">
        <v>80</v>
      </c>
      <c r="AC342" s="263">
        <v>-1240</v>
      </c>
      <c r="AD342" s="263">
        <v>-640</v>
      </c>
      <c r="AE342" s="263">
        <v>-1440</v>
      </c>
      <c r="AF342" s="263">
        <v>2000</v>
      </c>
      <c r="AG342" s="263">
        <v>2200</v>
      </c>
      <c r="AH342" s="263">
        <v>-5960</v>
      </c>
      <c r="AI342" s="263">
        <v>-600</v>
      </c>
      <c r="AJ342" s="263">
        <v>-600</v>
      </c>
      <c r="AK342" s="263">
        <v>-5680</v>
      </c>
      <c r="AL342" s="263">
        <v>3560</v>
      </c>
      <c r="AM342" s="263">
        <v>2520</v>
      </c>
      <c r="AN342" s="263">
        <v>-1360</v>
      </c>
      <c r="AO342" s="263">
        <v>-320</v>
      </c>
      <c r="AP342" s="263">
        <v>4640</v>
      </c>
      <c r="AQ342" s="263">
        <v>1540</v>
      </c>
      <c r="AR342" s="263">
        <v>880</v>
      </c>
      <c r="AS342" s="263">
        <v>880</v>
      </c>
      <c r="AT342" s="263">
        <v>-2600</v>
      </c>
      <c r="AU342" s="263">
        <v>520</v>
      </c>
      <c r="AV342" s="263">
        <f ca="1">Calc!AP40</f>
        <v>12</v>
      </c>
      <c r="AX342" s="88" t="str">
        <f t="shared" ca="1" si="29"/>
        <v>RWE</v>
      </c>
    </row>
    <row r="343" spans="1:50" hidden="1">
      <c r="A343" s="88" t="str">
        <f t="shared" ca="1" si="28"/>
        <v>SAP</v>
      </c>
      <c r="F343" s="253">
        <v>37.53</v>
      </c>
      <c r="G343" s="253">
        <v>37.43</v>
      </c>
      <c r="H343" s="253">
        <v>37.78</v>
      </c>
      <c r="I343" s="253">
        <v>38.57</v>
      </c>
      <c r="J343" s="253">
        <v>39.01</v>
      </c>
      <c r="K343" s="253">
        <v>39.6</v>
      </c>
      <c r="L343" s="253">
        <v>40.14</v>
      </c>
      <c r="M343" s="253">
        <v>40.07</v>
      </c>
      <c r="N343" s="253">
        <v>40.35</v>
      </c>
      <c r="O343" s="253">
        <v>40.25</v>
      </c>
      <c r="P343" s="253">
        <v>40.46</v>
      </c>
      <c r="Q343" s="253">
        <v>40.47</v>
      </c>
      <c r="R343" s="253">
        <v>40.85</v>
      </c>
      <c r="S343" s="253">
        <v>40.56</v>
      </c>
      <c r="T343" s="253">
        <v>40.83</v>
      </c>
      <c r="U343" s="253">
        <v>40.47</v>
      </c>
      <c r="V343" s="253">
        <v>39.869999999999997</v>
      </c>
      <c r="W343" s="253">
        <v>39.869999999999997</v>
      </c>
      <c r="X343" s="253">
        <v>39.78</v>
      </c>
      <c r="Y343" s="253">
        <v>40.17</v>
      </c>
      <c r="Z343" s="247">
        <f ca="1">[1]ExtEntry!$I41</f>
        <v>233.35</v>
      </c>
      <c r="AB343" s="266">
        <v>-8.5000000000002274</v>
      </c>
      <c r="AC343" s="266">
        <v>9.5000000000002274</v>
      </c>
      <c r="AD343" s="266">
        <v>63</v>
      </c>
      <c r="AE343" s="266">
        <v>-12</v>
      </c>
      <c r="AF343" s="266">
        <v>10.5</v>
      </c>
      <c r="AG343" s="266">
        <v>-2</v>
      </c>
      <c r="AH343" s="266">
        <v>17.5</v>
      </c>
      <c r="AI343" s="266">
        <v>-9.4999999999997726</v>
      </c>
      <c r="AJ343" s="266">
        <v>5</v>
      </c>
      <c r="AK343" s="266">
        <v>27</v>
      </c>
      <c r="AL343" s="266">
        <v>-6.0000000000002274</v>
      </c>
      <c r="AM343" s="266">
        <v>1</v>
      </c>
      <c r="AN343" s="266">
        <v>26.5</v>
      </c>
      <c r="AO343" s="266">
        <v>-4</v>
      </c>
      <c r="AP343" s="266">
        <v>3</v>
      </c>
      <c r="AQ343" s="266">
        <v>-19.999999999999773</v>
      </c>
      <c r="AR343" s="266">
        <v>-18</v>
      </c>
      <c r="AS343" s="266">
        <v>-18</v>
      </c>
      <c r="AT343" s="266">
        <v>11</v>
      </c>
      <c r="AU343" s="266">
        <v>6.9999999999995453</v>
      </c>
      <c r="AV343" s="263">
        <f ca="1">Calc!AP41</f>
        <v>-30020</v>
      </c>
      <c r="AX343" s="88" t="str">
        <f t="shared" ca="1" si="29"/>
        <v>SAP</v>
      </c>
    </row>
    <row r="344" spans="1:50" hidden="1">
      <c r="A344" s="88" t="str">
        <f t="shared" ca="1" si="28"/>
        <v>SHECY</v>
      </c>
      <c r="F344" s="253">
        <v>222.95</v>
      </c>
      <c r="G344" s="253">
        <v>224.5</v>
      </c>
      <c r="H344" s="253">
        <v>224.5</v>
      </c>
      <c r="I344" s="253">
        <v>226.45</v>
      </c>
      <c r="J344" s="253">
        <v>228.25</v>
      </c>
      <c r="K344" s="253">
        <v>233.1</v>
      </c>
      <c r="L344" s="253">
        <v>234.65</v>
      </c>
      <c r="M344" s="253">
        <v>235.05</v>
      </c>
      <c r="N344" s="253">
        <v>237.35</v>
      </c>
      <c r="O344" s="253">
        <v>229.65</v>
      </c>
      <c r="P344" s="253">
        <v>228.45</v>
      </c>
      <c r="Q344" s="253">
        <v>231.45</v>
      </c>
      <c r="R344" s="253">
        <v>230.35</v>
      </c>
      <c r="S344" s="253">
        <v>227</v>
      </c>
      <c r="T344" s="253">
        <v>232.9</v>
      </c>
      <c r="U344" s="253">
        <v>236.35</v>
      </c>
      <c r="V344" s="253">
        <v>236.5</v>
      </c>
      <c r="W344" s="253">
        <v>236.5</v>
      </c>
      <c r="X344" s="253">
        <v>229.7</v>
      </c>
      <c r="Y344" s="253">
        <v>233.35</v>
      </c>
      <c r="Z344" s="247">
        <f ca="1">[1]ExtEntry!$I42</f>
        <v>15.6</v>
      </c>
      <c r="AB344" s="263">
        <v>0</v>
      </c>
      <c r="AC344" s="263">
        <v>10150</v>
      </c>
      <c r="AD344" s="263">
        <v>9625</v>
      </c>
      <c r="AE344" s="263">
        <v>18000</v>
      </c>
      <c r="AF344" s="263">
        <v>-10000</v>
      </c>
      <c r="AG344" s="263">
        <v>4200</v>
      </c>
      <c r="AH344" s="263">
        <v>7000</v>
      </c>
      <c r="AI344" s="263">
        <v>-4800</v>
      </c>
      <c r="AJ344" s="263">
        <v>-3040</v>
      </c>
      <c r="AK344" s="263">
        <v>-1520</v>
      </c>
      <c r="AL344" s="263">
        <v>6650</v>
      </c>
      <c r="AM344" s="263">
        <v>9120</v>
      </c>
      <c r="AN344" s="263">
        <v>7600</v>
      </c>
      <c r="AO344" s="263">
        <v>6460</v>
      </c>
      <c r="AP344" s="263">
        <v>18240</v>
      </c>
      <c r="AQ344" s="263">
        <v>8550</v>
      </c>
      <c r="AR344" s="263">
        <v>-16340</v>
      </c>
      <c r="AS344" s="263">
        <v>-16340</v>
      </c>
      <c r="AT344" s="263">
        <v>9880</v>
      </c>
      <c r="AU344" s="263">
        <v>-30020</v>
      </c>
      <c r="AV344" s="263">
        <f ca="1">Calc!AP42</f>
        <v>-1789.4400000000023</v>
      </c>
      <c r="AX344" s="88" t="str">
        <f t="shared" ca="1" si="29"/>
        <v>SHECY</v>
      </c>
    </row>
    <row r="345" spans="1:50" hidden="1">
      <c r="A345" s="88" t="str">
        <f t="shared" ca="1" si="28"/>
        <v>SSYS</v>
      </c>
      <c r="F345" s="253">
        <v>15.69</v>
      </c>
      <c r="G345" s="253">
        <v>16</v>
      </c>
      <c r="H345" s="253">
        <v>16.407499999999999</v>
      </c>
      <c r="I345" s="253">
        <v>16.2</v>
      </c>
      <c r="J345" s="253">
        <v>16.52</v>
      </c>
      <c r="K345" s="253">
        <v>17.04</v>
      </c>
      <c r="L345" s="253">
        <v>16.650099999999998</v>
      </c>
      <c r="M345" s="253">
        <v>16.399999999999999</v>
      </c>
      <c r="N345" s="253">
        <v>16.399999999999999</v>
      </c>
      <c r="O345" s="253">
        <v>16</v>
      </c>
      <c r="P345" s="253">
        <v>16.420000000000002</v>
      </c>
      <c r="Q345" s="253">
        <v>15.86</v>
      </c>
      <c r="R345" s="253">
        <v>16.399999999999999</v>
      </c>
      <c r="S345" s="253">
        <v>16</v>
      </c>
      <c r="T345" s="253">
        <v>15.77</v>
      </c>
      <c r="U345" s="253">
        <v>16.055</v>
      </c>
      <c r="V345" s="253">
        <v>15.65</v>
      </c>
      <c r="W345" s="253">
        <v>15.65</v>
      </c>
      <c r="X345" s="253">
        <v>16</v>
      </c>
      <c r="Y345" s="253">
        <v>15.6</v>
      </c>
      <c r="Z345" s="247">
        <f ca="1">[1]ExtEntry!$I43</f>
        <v>11.83</v>
      </c>
      <c r="AB345" s="266">
        <v>-12075.000000000058</v>
      </c>
      <c r="AC345" s="266">
        <v>-5174.9999999999418</v>
      </c>
      <c r="AD345" s="266">
        <v>-920</v>
      </c>
      <c r="AE345" s="266">
        <v>7378.4000000000233</v>
      </c>
      <c r="AF345" s="266">
        <v>14260</v>
      </c>
      <c r="AG345" s="266">
        <v>-19550.000000000058</v>
      </c>
      <c r="AH345" s="266">
        <v>2069.9999999999418</v>
      </c>
      <c r="AI345" s="266">
        <v>7590.0000000000582</v>
      </c>
      <c r="AJ345" s="266">
        <v>7590.0000000000582</v>
      </c>
      <c r="AK345" s="266">
        <v>6440</v>
      </c>
      <c r="AL345" s="266">
        <v>-7222</v>
      </c>
      <c r="AM345" s="266">
        <v>15616.373399999982</v>
      </c>
      <c r="AN345" s="266">
        <v>-223.68000000005122</v>
      </c>
      <c r="AO345" s="266">
        <v>11184</v>
      </c>
      <c r="AP345" s="266">
        <v>12749.760000000009</v>
      </c>
      <c r="AQ345" s="266">
        <v>1565.7600000000093</v>
      </c>
      <c r="AR345" s="266">
        <v>5927.5199999999604</v>
      </c>
      <c r="AS345" s="266">
        <v>5927.5199999999604</v>
      </c>
      <c r="AT345" s="266">
        <v>-12078.720000000088</v>
      </c>
      <c r="AU345" s="266">
        <v>-1789.4400000000023</v>
      </c>
      <c r="AV345" s="263">
        <f ca="1">Calc!AP43</f>
        <v>1056</v>
      </c>
      <c r="AX345" s="88" t="str">
        <f t="shared" ca="1" si="29"/>
        <v>SSYS</v>
      </c>
    </row>
    <row r="346" spans="1:50" hidden="1">
      <c r="A346" s="88" t="str">
        <f t="shared" ca="1" si="28"/>
        <v>TSLA</v>
      </c>
      <c r="F346" s="253">
        <v>11.31</v>
      </c>
      <c r="G346" s="253">
        <v>11.0402</v>
      </c>
      <c r="H346" s="253">
        <v>11.01</v>
      </c>
      <c r="I346" s="253">
        <v>11.21</v>
      </c>
      <c r="J346" s="253">
        <v>11.560700000000001</v>
      </c>
      <c r="K346" s="253">
        <v>11.44</v>
      </c>
      <c r="L346" s="253">
        <v>11.4</v>
      </c>
      <c r="M346" s="253">
        <v>11.3</v>
      </c>
      <c r="N346" s="253">
        <v>11.3</v>
      </c>
      <c r="O346" s="253">
        <v>10.61</v>
      </c>
      <c r="P346" s="253">
        <v>10.4001</v>
      </c>
      <c r="Q346" s="253">
        <v>11.07</v>
      </c>
      <c r="R346" s="253">
        <v>11.4</v>
      </c>
      <c r="S346" s="253">
        <v>10.850099999999999</v>
      </c>
      <c r="T346" s="253">
        <v>11.04</v>
      </c>
      <c r="U346" s="253">
        <v>12.09</v>
      </c>
      <c r="V346" s="253">
        <v>11.01</v>
      </c>
      <c r="W346" s="253">
        <v>11.01</v>
      </c>
      <c r="X346" s="253">
        <v>11.15</v>
      </c>
      <c r="Y346" s="253">
        <v>11.83</v>
      </c>
      <c r="Z346" s="247">
        <f ca="1">[1]ExtEntry!$I44</f>
        <v>430.17</v>
      </c>
      <c r="AB346" s="263">
        <v>-6560</v>
      </c>
      <c r="AC346" s="263">
        <v>-3040</v>
      </c>
      <c r="AD346" s="263">
        <v>0</v>
      </c>
      <c r="AE346" s="263">
        <v>5440</v>
      </c>
      <c r="AF346" s="263">
        <v>480</v>
      </c>
      <c r="AG346" s="263">
        <v>-6560</v>
      </c>
      <c r="AH346" s="263">
        <v>-800</v>
      </c>
      <c r="AI346" s="263">
        <v>-1280</v>
      </c>
      <c r="AJ346" s="263">
        <v>-1280</v>
      </c>
      <c r="AK346" s="263">
        <v>3520</v>
      </c>
      <c r="AL346" s="263">
        <v>2560</v>
      </c>
      <c r="AM346" s="263">
        <v>6224</v>
      </c>
      <c r="AN346" s="263">
        <v>-7200</v>
      </c>
      <c r="AO346" s="263">
        <v>-5920</v>
      </c>
      <c r="AP346" s="263">
        <v>20560</v>
      </c>
      <c r="AQ346" s="263">
        <v>-4400</v>
      </c>
      <c r="AR346" s="263">
        <v>-14560</v>
      </c>
      <c r="AS346" s="263">
        <v>-14560</v>
      </c>
      <c r="AT346" s="263">
        <v>7680</v>
      </c>
      <c r="AU346" s="263">
        <v>1056</v>
      </c>
      <c r="AV346" s="263">
        <f ca="1">Calc!AP44</f>
        <v>-13.109999999999957</v>
      </c>
      <c r="AX346" s="88" t="str">
        <f t="shared" ca="1" si="29"/>
        <v>TSLA</v>
      </c>
    </row>
    <row r="347" spans="1:50" hidden="1">
      <c r="A347" s="88" t="str">
        <f t="shared" ca="1" si="28"/>
        <v>TSM</v>
      </c>
      <c r="F347" s="253">
        <v>439.5</v>
      </c>
      <c r="G347" s="253">
        <v>433.12</v>
      </c>
      <c r="H347" s="253">
        <v>440.75</v>
      </c>
      <c r="I347" s="253">
        <v>435.57</v>
      </c>
      <c r="J347" s="253">
        <v>416.57499999999999</v>
      </c>
      <c r="K347" s="253">
        <v>432.45010000000002</v>
      </c>
      <c r="L347" s="253">
        <v>425.23</v>
      </c>
      <c r="M347" s="253">
        <v>426.18</v>
      </c>
      <c r="N347" s="253">
        <v>426.18</v>
      </c>
      <c r="O347" s="253">
        <v>419.7</v>
      </c>
      <c r="P347" s="253">
        <v>417.86</v>
      </c>
      <c r="Q347" s="253">
        <v>426.33010000000002</v>
      </c>
      <c r="R347" s="253">
        <v>421.31009999999998</v>
      </c>
      <c r="S347" s="253">
        <v>423.6</v>
      </c>
      <c r="T347" s="253">
        <v>440.61</v>
      </c>
      <c r="U347" s="253">
        <v>442.05</v>
      </c>
      <c r="V347" s="253">
        <v>429</v>
      </c>
      <c r="W347" s="253">
        <v>429</v>
      </c>
      <c r="X347" s="253">
        <v>413.9</v>
      </c>
      <c r="Y347" s="253">
        <v>430.17</v>
      </c>
      <c r="Z347" s="247">
        <f ca="1">[1]ExtEntry!$I45</f>
        <v>294.3897</v>
      </c>
      <c r="AB347" s="266">
        <v>-33.5</v>
      </c>
      <c r="AC347" s="266">
        <v>32.000000000000909</v>
      </c>
      <c r="AD347" s="266">
        <v>156.59999999999945</v>
      </c>
      <c r="AE347" s="266">
        <v>-345.40000000000055</v>
      </c>
      <c r="AF347" s="266">
        <v>-134.55000000000018</v>
      </c>
      <c r="AG347" s="266">
        <v>-147.30000000000018</v>
      </c>
      <c r="AH347" s="266">
        <v>11.199999999999818</v>
      </c>
      <c r="AI347" s="266">
        <v>37.300000000000182</v>
      </c>
      <c r="AJ347" s="266">
        <v>37.300000000000182</v>
      </c>
      <c r="AK347" s="266">
        <v>128.30000000000018</v>
      </c>
      <c r="AL347" s="266">
        <v>2.5900000000000318</v>
      </c>
      <c r="AM347" s="266">
        <v>-1.3799000000000206</v>
      </c>
      <c r="AN347" s="266">
        <v>-5.9800000000000182</v>
      </c>
      <c r="AO347" s="266">
        <v>13.810000000000002</v>
      </c>
      <c r="AP347" s="266">
        <v>3.5649999999999977</v>
      </c>
      <c r="AQ347" s="266">
        <v>-3.1549999999999727</v>
      </c>
      <c r="AR347" s="266">
        <v>-4.4799999999999613</v>
      </c>
      <c r="AS347" s="266">
        <v>-4.4799999999999613</v>
      </c>
      <c r="AT347" s="266">
        <v>28.980000000000018</v>
      </c>
      <c r="AU347" s="266">
        <v>-13.109999999999957</v>
      </c>
      <c r="AV347" s="263">
        <f ca="1">Calc!AP45</f>
        <v>-2928</v>
      </c>
      <c r="AX347" s="88" t="str">
        <f t="shared" ca="1" si="29"/>
        <v>TSM</v>
      </c>
    </row>
    <row r="348" spans="1:50" hidden="1">
      <c r="A348" s="88" t="str">
        <f t="shared" ca="1" si="28"/>
        <v>UN0</v>
      </c>
      <c r="F348" s="253">
        <v>274.44</v>
      </c>
      <c r="G348" s="253">
        <v>273.83</v>
      </c>
      <c r="H348" s="253">
        <v>277.17</v>
      </c>
      <c r="I348" s="253">
        <v>287.03100000000001</v>
      </c>
      <c r="J348" s="253">
        <v>290.49</v>
      </c>
      <c r="K348" s="253">
        <v>293.27999999999997</v>
      </c>
      <c r="L348" s="253">
        <v>293.98</v>
      </c>
      <c r="M348" s="253">
        <v>297.42</v>
      </c>
      <c r="N348" s="253">
        <v>297.42</v>
      </c>
      <c r="O348" s="253">
        <v>292.38</v>
      </c>
      <c r="P348" s="253">
        <v>291.3426</v>
      </c>
      <c r="Q348" s="253">
        <v>300.07</v>
      </c>
      <c r="R348" s="253">
        <v>296.69</v>
      </c>
      <c r="S348" s="253">
        <v>294.91500000000002</v>
      </c>
      <c r="T348" s="253">
        <v>297.06</v>
      </c>
      <c r="U348" s="253">
        <v>293.65499999999997</v>
      </c>
      <c r="V348" s="253">
        <v>284.39999999999998</v>
      </c>
      <c r="W348" s="253">
        <v>284.39999999999998</v>
      </c>
      <c r="X348" s="253">
        <v>289.63</v>
      </c>
      <c r="Y348" s="253">
        <v>294.3897</v>
      </c>
      <c r="Z348" s="247">
        <f ca="1">[1]ExtEntry!$I46</f>
        <v>30.15</v>
      </c>
      <c r="AB348" s="263">
        <v>-7942.5</v>
      </c>
      <c r="AC348" s="263">
        <v>17662.5</v>
      </c>
      <c r="AD348" s="263">
        <v>45742.5</v>
      </c>
      <c r="AE348" s="263">
        <v>-37755</v>
      </c>
      <c r="AF348" s="263">
        <v>-2520</v>
      </c>
      <c r="AG348" s="263">
        <v>-56340</v>
      </c>
      <c r="AH348" s="263">
        <v>42795</v>
      </c>
      <c r="AI348" s="263">
        <v>-11092.5</v>
      </c>
      <c r="AJ348" s="263">
        <v>-10912.5</v>
      </c>
      <c r="AK348" s="263">
        <v>23580</v>
      </c>
      <c r="AL348" s="263">
        <v>1552.5</v>
      </c>
      <c r="AM348" s="263">
        <v>-5017.5</v>
      </c>
      <c r="AN348" s="263">
        <v>-49319.999999999767</v>
      </c>
      <c r="AO348" s="263">
        <v>-13260</v>
      </c>
      <c r="AP348" s="263">
        <v>-8824</v>
      </c>
      <c r="AQ348" s="263">
        <v>-17920</v>
      </c>
      <c r="AR348" s="263">
        <v>-19680</v>
      </c>
      <c r="AS348" s="263">
        <v>-19680</v>
      </c>
      <c r="AT348" s="263">
        <v>4512</v>
      </c>
      <c r="AU348" s="263">
        <v>-2736</v>
      </c>
      <c r="AV348" s="263">
        <f ca="1">Calc!AP46</f>
        <v>-2550</v>
      </c>
      <c r="AX348" s="88" t="str">
        <f t="shared" ca="1" si="29"/>
        <v>UN0</v>
      </c>
    </row>
    <row r="349" spans="1:50" hidden="1">
      <c r="A349" s="88" t="str">
        <f t="shared" ca="1" si="28"/>
        <v>UNIT</v>
      </c>
      <c r="F349" s="253">
        <v>34.4</v>
      </c>
      <c r="G349" s="253">
        <v>34</v>
      </c>
      <c r="H349" s="253">
        <v>34</v>
      </c>
      <c r="I349" s="253">
        <v>33.799999999999997</v>
      </c>
      <c r="J349" s="253">
        <v>34</v>
      </c>
      <c r="K349" s="253">
        <v>32.049999999999997</v>
      </c>
      <c r="L349" s="253">
        <v>31.8</v>
      </c>
      <c r="M349" s="253">
        <v>32.299999999999997</v>
      </c>
      <c r="N349" s="253">
        <v>32.25</v>
      </c>
      <c r="O349" s="253">
        <v>31.9</v>
      </c>
      <c r="P349" s="253">
        <v>31.4</v>
      </c>
      <c r="Q349" s="253">
        <v>31.55</v>
      </c>
      <c r="R349" s="253">
        <v>31.2</v>
      </c>
      <c r="S349" s="253">
        <v>31.35</v>
      </c>
      <c r="T349" s="253">
        <v>32.049999999999997</v>
      </c>
      <c r="U349" s="253">
        <v>31.7</v>
      </c>
      <c r="V349" s="253">
        <v>31.6</v>
      </c>
      <c r="W349" s="253">
        <v>31.6</v>
      </c>
      <c r="X349" s="253">
        <v>30.9</v>
      </c>
      <c r="Y349" s="253">
        <v>30.15</v>
      </c>
      <c r="Z349" s="247">
        <f ca="1">[1]ExtEntry!$I47</f>
        <v>5.84</v>
      </c>
      <c r="AB349" s="266">
        <v>1500</v>
      </c>
      <c r="AC349" s="266">
        <v>-300.00000000001455</v>
      </c>
      <c r="AD349" s="266">
        <v>-300</v>
      </c>
      <c r="AE349" s="266">
        <v>-1050.0000000000146</v>
      </c>
      <c r="AF349" s="266">
        <v>-149.99999999998545</v>
      </c>
      <c r="AG349" s="266">
        <v>-3300.0000000000146</v>
      </c>
      <c r="AH349" s="266">
        <v>2400</v>
      </c>
      <c r="AI349" s="266">
        <v>1800</v>
      </c>
      <c r="AJ349" s="266">
        <v>0</v>
      </c>
      <c r="AK349" s="266">
        <v>-1949.9999999999854</v>
      </c>
      <c r="AL349" s="266">
        <v>-1350</v>
      </c>
      <c r="AM349" s="266">
        <v>-450</v>
      </c>
      <c r="AN349" s="266">
        <v>150</v>
      </c>
      <c r="AO349" s="266">
        <v>600</v>
      </c>
      <c r="AP349" s="266">
        <v>2850.0000000000146</v>
      </c>
      <c r="AQ349" s="266">
        <v>-1200</v>
      </c>
      <c r="AR349" s="266">
        <v>600</v>
      </c>
      <c r="AS349" s="266">
        <v>600</v>
      </c>
      <c r="AT349" s="266">
        <v>-1050</v>
      </c>
      <c r="AU349" s="266">
        <v>-2550</v>
      </c>
      <c r="AV349" s="263">
        <f ca="1">Calc!AP47</f>
        <v>217.05000000000291</v>
      </c>
      <c r="AX349" s="88" t="str">
        <f t="shared" ca="1" si="29"/>
        <v>UNIT</v>
      </c>
    </row>
    <row r="350" spans="1:50" hidden="1">
      <c r="A350" s="88" t="str">
        <f t="shared" ca="1" si="28"/>
        <v>AVGO</v>
      </c>
      <c r="F350" s="253">
        <v>6.05</v>
      </c>
      <c r="G350" s="253">
        <v>5.8</v>
      </c>
      <c r="H350" s="253">
        <v>6.03</v>
      </c>
      <c r="I350" s="253">
        <v>5.72</v>
      </c>
      <c r="J350" s="253">
        <v>5.66</v>
      </c>
      <c r="K350" s="253">
        <v>5.95</v>
      </c>
      <c r="L350" s="253">
        <v>5.87</v>
      </c>
      <c r="M350" s="253">
        <v>5.8550000000000004</v>
      </c>
      <c r="N350" s="253">
        <v>5.8550000000000004</v>
      </c>
      <c r="O350" s="253">
        <v>5.35</v>
      </c>
      <c r="P350" s="253">
        <v>5.3018999999999998</v>
      </c>
      <c r="Q350" s="253">
        <v>5.34</v>
      </c>
      <c r="R350" s="253">
        <v>5.48</v>
      </c>
      <c r="S350" s="253">
        <v>5.4850000000000003</v>
      </c>
      <c r="T350" s="253">
        <v>5.5449999999999999</v>
      </c>
      <c r="U350" s="253">
        <v>5.4749999999999996</v>
      </c>
      <c r="V350" s="253">
        <v>5.54</v>
      </c>
      <c r="W350" s="253">
        <v>5.54</v>
      </c>
      <c r="X350" s="253">
        <v>5.4450000000000003</v>
      </c>
      <c r="Y350" s="253">
        <v>5.84</v>
      </c>
      <c r="Z350" s="247">
        <f ca="1">[1]ExtEntry!$I48</f>
        <v>350.875</v>
      </c>
      <c r="AB350" s="263">
        <v>-2080.0050000000047</v>
      </c>
      <c r="AC350" s="263">
        <v>2170.4400000000023</v>
      </c>
      <c r="AD350" s="263">
        <v>-1085.2200000000157</v>
      </c>
      <c r="AE350" s="263">
        <v>-4160.0099999999948</v>
      </c>
      <c r="AF350" s="263">
        <v>1989.5699999999924</v>
      </c>
      <c r="AG350" s="263">
        <v>-1989.570000000007</v>
      </c>
      <c r="AH350" s="263">
        <v>1627.8300000000017</v>
      </c>
      <c r="AI350" s="263">
        <v>-1627.8300000000017</v>
      </c>
      <c r="AJ350" s="263">
        <v>-1627.8300000000017</v>
      </c>
      <c r="AK350" s="263">
        <v>-5606.9699999999866</v>
      </c>
      <c r="AL350" s="263">
        <v>542.61000000000058</v>
      </c>
      <c r="AM350" s="263">
        <v>4702.6199999999953</v>
      </c>
      <c r="AN350" s="263">
        <v>-2532.179999999993</v>
      </c>
      <c r="AO350" s="263">
        <v>1627.8300000000163</v>
      </c>
      <c r="AP350" s="263">
        <v>-868.19999999999709</v>
      </c>
      <c r="AQ350" s="263">
        <v>578.80000000000291</v>
      </c>
      <c r="AR350" s="263">
        <v>-217.05000000000291</v>
      </c>
      <c r="AS350" s="263">
        <v>-217.05000000000291</v>
      </c>
      <c r="AT350" s="263">
        <v>2170.5</v>
      </c>
      <c r="AU350" s="263">
        <v>217.05000000000291</v>
      </c>
      <c r="AV350" s="263">
        <f ca="1">Calc!AP48</f>
        <v>648</v>
      </c>
      <c r="AX350" s="88" t="str">
        <f t="shared" ca="1" si="29"/>
        <v>AVGO</v>
      </c>
    </row>
    <row r="351" spans="1:50" hidden="1">
      <c r="A351" s="88" t="str">
        <f t="shared" ca="1" si="28"/>
        <v>VLVLY</v>
      </c>
      <c r="F351" s="253">
        <v>28.46</v>
      </c>
      <c r="G351" s="253">
        <v>28.359500000000001</v>
      </c>
      <c r="H351" s="253">
        <v>28.61</v>
      </c>
      <c r="I351" s="253">
        <v>28.85</v>
      </c>
      <c r="J351" s="253">
        <v>29.23</v>
      </c>
      <c r="K351" s="253">
        <v>28.55</v>
      </c>
      <c r="L351" s="253">
        <v>28.38</v>
      </c>
      <c r="M351" s="253">
        <v>27.8901</v>
      </c>
      <c r="N351" s="253">
        <v>27.8901</v>
      </c>
      <c r="O351" s="253">
        <v>27.4</v>
      </c>
      <c r="P351" s="253">
        <v>27.52</v>
      </c>
      <c r="Q351" s="253">
        <v>27.65</v>
      </c>
      <c r="R351" s="253">
        <v>28.02</v>
      </c>
      <c r="S351" s="253">
        <v>26.11</v>
      </c>
      <c r="T351" s="253">
        <v>26.914999999999999</v>
      </c>
      <c r="U351" s="253">
        <v>26.986499999999999</v>
      </c>
      <c r="V351" s="253">
        <v>27.08</v>
      </c>
      <c r="W351" s="253">
        <v>27.08</v>
      </c>
      <c r="X351" s="253">
        <v>27.324999999999999</v>
      </c>
      <c r="Y351" s="253">
        <v>27.6</v>
      </c>
      <c r="Z351" s="247">
        <f ca="1">[1]ExtEntry!$I49</f>
        <v>27.6</v>
      </c>
      <c r="AB351" s="263">
        <v>-75</v>
      </c>
      <c r="AC351" s="263">
        <v>285</v>
      </c>
      <c r="AD351" s="263">
        <v>240</v>
      </c>
      <c r="AE351" s="263">
        <v>-75</v>
      </c>
      <c r="AF351" s="263">
        <v>285</v>
      </c>
      <c r="AG351" s="263">
        <v>-420</v>
      </c>
      <c r="AH351" s="263">
        <v>75</v>
      </c>
      <c r="AI351" s="263">
        <v>-825</v>
      </c>
      <c r="AJ351" s="263">
        <v>-825</v>
      </c>
      <c r="AK351" s="263">
        <v>-240</v>
      </c>
      <c r="AL351" s="263">
        <v>180.15000000000146</v>
      </c>
      <c r="AM351" s="263">
        <v>-1.5</v>
      </c>
      <c r="AN351" s="263">
        <v>67.5</v>
      </c>
      <c r="AO351" s="263">
        <v>255</v>
      </c>
      <c r="AP351" s="263">
        <v>262.5</v>
      </c>
      <c r="AQ351" s="263">
        <v>495</v>
      </c>
      <c r="AR351" s="263">
        <v>-105</v>
      </c>
      <c r="AS351" s="263">
        <v>-105</v>
      </c>
      <c r="AT351" s="263">
        <v>-240</v>
      </c>
      <c r="AU351" s="263">
        <v>-165</v>
      </c>
      <c r="AV351" s="263">
        <f ca="1">Calc!AP49</f>
        <v>-165</v>
      </c>
      <c r="AX351" s="88" t="str">
        <f t="shared" ca="1" si="29"/>
        <v>VLVLY</v>
      </c>
    </row>
    <row r="352" spans="1:50" hidden="1">
      <c r="A352" s="88" t="str">
        <f t="shared" ca="1" si="28"/>
        <v>VONN</v>
      </c>
      <c r="F352" s="253">
        <v>59.7</v>
      </c>
      <c r="G352" s="253">
        <v>59.4</v>
      </c>
      <c r="H352" s="253">
        <v>59.6</v>
      </c>
      <c r="I352" s="253">
        <v>59.6</v>
      </c>
      <c r="J352" s="253">
        <v>59.7</v>
      </c>
      <c r="K352" s="253">
        <v>60.4</v>
      </c>
      <c r="L352" s="253">
        <v>60.8</v>
      </c>
      <c r="M352" s="253">
        <v>61</v>
      </c>
      <c r="N352" s="253">
        <v>61</v>
      </c>
      <c r="O352" s="253">
        <v>60.2</v>
      </c>
      <c r="P352" s="253">
        <v>59.8</v>
      </c>
      <c r="Q352" s="253">
        <v>60.2</v>
      </c>
      <c r="R352" s="253">
        <v>59.6</v>
      </c>
      <c r="S352" s="253">
        <v>58.5</v>
      </c>
      <c r="T352" s="253">
        <v>58.8</v>
      </c>
      <c r="U352" s="253">
        <v>58.6</v>
      </c>
      <c r="V352" s="253">
        <v>58.9</v>
      </c>
      <c r="W352" s="253">
        <v>58.9</v>
      </c>
      <c r="X352" s="253">
        <v>60.2</v>
      </c>
      <c r="Y352" s="253">
        <v>60.4</v>
      </c>
      <c r="Z352" s="247">
        <f ca="1">[1]ExtEntry!$I50</f>
        <v>60.4</v>
      </c>
      <c r="AB352" s="266">
        <v>-1600</v>
      </c>
      <c r="AC352" s="266">
        <v>8000</v>
      </c>
      <c r="AD352" s="266">
        <v>-1600</v>
      </c>
      <c r="AE352" s="266">
        <v>0</v>
      </c>
      <c r="AF352" s="266">
        <v>-1500</v>
      </c>
      <c r="AG352" s="266">
        <v>-1500</v>
      </c>
      <c r="AH352" s="266">
        <v>1500</v>
      </c>
      <c r="AI352" s="266">
        <v>1400</v>
      </c>
      <c r="AJ352" s="266">
        <v>-11200</v>
      </c>
      <c r="AK352" s="266">
        <v>-8400</v>
      </c>
      <c r="AL352" s="266">
        <v>0</v>
      </c>
      <c r="AM352" s="266">
        <v>-5600</v>
      </c>
      <c r="AN352" s="266">
        <v>-10500</v>
      </c>
      <c r="AO352" s="266">
        <v>1600</v>
      </c>
      <c r="AP352" s="266">
        <v>-1600</v>
      </c>
      <c r="AQ352" s="266">
        <v>-4800</v>
      </c>
      <c r="AR352" s="266">
        <v>22400</v>
      </c>
      <c r="AS352" s="266">
        <v>22400</v>
      </c>
      <c r="AT352" s="266">
        <v>14400</v>
      </c>
      <c r="AU352" s="266">
        <v>3200</v>
      </c>
      <c r="AV352" s="263">
        <f ca="1">Calc!AP50</f>
        <v>3200</v>
      </c>
      <c r="AX352" s="88" t="str">
        <f t="shared" ca="1" si="29"/>
        <v>VONN</v>
      </c>
    </row>
    <row r="353" spans="1:50" hidden="1">
      <c r="A353" s="88" t="str">
        <f t="shared" ca="1" si="28"/>
        <v>VTRS</v>
      </c>
      <c r="F353" s="253">
        <v>9.4649999999999999</v>
      </c>
      <c r="G353" s="253">
        <v>9.5548999999999999</v>
      </c>
      <c r="H353" s="253">
        <v>9.92</v>
      </c>
      <c r="I353" s="253">
        <v>9.94</v>
      </c>
      <c r="J353" s="253">
        <v>10.06</v>
      </c>
      <c r="K353" s="253">
        <v>10.06</v>
      </c>
      <c r="L353" s="253">
        <v>9.9250000000000007</v>
      </c>
      <c r="M353" s="253">
        <v>9.9499999999999993</v>
      </c>
      <c r="N353" s="253">
        <v>9.9499999999999993</v>
      </c>
      <c r="O353" s="253">
        <v>9.74</v>
      </c>
      <c r="P353" s="253">
        <v>9.74</v>
      </c>
      <c r="Q353" s="253">
        <v>9.8550000000000004</v>
      </c>
      <c r="R353" s="253">
        <v>10.0137</v>
      </c>
      <c r="S353" s="253">
        <v>10.07</v>
      </c>
      <c r="T353" s="253">
        <v>10.130000000000001</v>
      </c>
      <c r="U353" s="253">
        <v>10.3</v>
      </c>
      <c r="V353" s="253">
        <v>10.31</v>
      </c>
      <c r="W353" s="253">
        <v>10.31</v>
      </c>
      <c r="X353" s="253">
        <v>10.29</v>
      </c>
      <c r="Y353" s="253">
        <v>10.335000000000001</v>
      </c>
      <c r="Z353" s="247">
        <f ca="1">[1]ExtEntry!$I51</f>
        <v>10.335000000000001</v>
      </c>
      <c r="AB353" s="263">
        <v>-158</v>
      </c>
      <c r="AC353" s="263">
        <v>2900</v>
      </c>
      <c r="AD353" s="263">
        <v>1700</v>
      </c>
      <c r="AE353" s="263">
        <v>300</v>
      </c>
      <c r="AF353" s="263">
        <v>100</v>
      </c>
      <c r="AG353" s="263">
        <v>200.00000000001455</v>
      </c>
      <c r="AH353" s="263">
        <v>-1499.9999999999854</v>
      </c>
      <c r="AI353" s="263">
        <v>-200</v>
      </c>
      <c r="AJ353" s="263">
        <v>-200</v>
      </c>
      <c r="AK353" s="263">
        <v>800</v>
      </c>
      <c r="AL353" s="263">
        <v>1800</v>
      </c>
      <c r="AM353" s="263">
        <v>-450</v>
      </c>
      <c r="AN353" s="263">
        <v>100</v>
      </c>
      <c r="AO353" s="263">
        <v>400</v>
      </c>
      <c r="AP353" s="263">
        <v>700</v>
      </c>
      <c r="AQ353" s="263">
        <v>400</v>
      </c>
      <c r="AR353" s="263">
        <v>50</v>
      </c>
      <c r="AS353" s="263">
        <v>50</v>
      </c>
      <c r="AT353" s="263">
        <v>-400</v>
      </c>
      <c r="AU353" s="263">
        <v>-50</v>
      </c>
      <c r="AV353" s="263">
        <f ca="1">Calc!AP51</f>
        <v>-50</v>
      </c>
      <c r="AX353" s="88" t="str">
        <f t="shared" ca="1" si="29"/>
        <v>VTRS</v>
      </c>
    </row>
    <row r="354" spans="1:50" hidden="1">
      <c r="A354" s="88" t="str">
        <f t="shared" ca="1" si="28"/>
        <v>WBA</v>
      </c>
      <c r="F354" s="253">
        <v>11.9</v>
      </c>
      <c r="G354" s="253">
        <v>11.9</v>
      </c>
      <c r="H354" s="253">
        <v>11.9</v>
      </c>
      <c r="I354" s="253">
        <v>11.9</v>
      </c>
      <c r="J354" s="253">
        <v>11.9</v>
      </c>
      <c r="K354" s="253">
        <v>11.9</v>
      </c>
      <c r="L354" s="253">
        <v>11.9</v>
      </c>
      <c r="M354" s="253">
        <v>11.9</v>
      </c>
      <c r="N354" s="253">
        <v>11.9</v>
      </c>
      <c r="O354" s="253">
        <v>11.9</v>
      </c>
      <c r="P354" s="253">
        <v>11.9</v>
      </c>
      <c r="Q354" s="253">
        <v>11.9</v>
      </c>
      <c r="R354" s="253">
        <v>11.9</v>
      </c>
      <c r="S354" s="253">
        <v>11.9</v>
      </c>
      <c r="T354" s="253">
        <v>11.9</v>
      </c>
      <c r="U354" s="253">
        <v>11.9</v>
      </c>
      <c r="V354" s="253">
        <v>11.9</v>
      </c>
      <c r="W354" s="253">
        <v>11.9</v>
      </c>
      <c r="X354" s="253">
        <v>11.9</v>
      </c>
      <c r="Y354" s="253">
        <v>11.9</v>
      </c>
      <c r="Z354" s="247">
        <f ca="1">[1]ExtEntry!$I52</f>
        <v>11.9</v>
      </c>
      <c r="AB354" s="266">
        <v>195</v>
      </c>
      <c r="AC354" s="266">
        <v>195</v>
      </c>
      <c r="AD354" s="266">
        <v>195</v>
      </c>
      <c r="AE354" s="266">
        <v>195</v>
      </c>
      <c r="AF354" s="266">
        <v>195</v>
      </c>
      <c r="AG354" s="266">
        <v>195</v>
      </c>
      <c r="AH354" s="266">
        <v>195</v>
      </c>
      <c r="AI354" s="266">
        <v>195</v>
      </c>
      <c r="AJ354" s="266">
        <v>195</v>
      </c>
      <c r="AK354" s="266">
        <v>195</v>
      </c>
      <c r="AL354" s="266">
        <v>195</v>
      </c>
      <c r="AM354" s="266">
        <v>195</v>
      </c>
      <c r="AN354" s="266">
        <v>195</v>
      </c>
      <c r="AO354" s="266">
        <v>195</v>
      </c>
      <c r="AP354" s="266">
        <v>195</v>
      </c>
      <c r="AQ354" s="266">
        <v>195</v>
      </c>
      <c r="AR354" s="266">
        <v>195</v>
      </c>
      <c r="AS354" s="266">
        <v>195</v>
      </c>
      <c r="AT354" s="266">
        <v>195</v>
      </c>
      <c r="AU354" s="266">
        <v>195</v>
      </c>
      <c r="AV354" s="263">
        <f ca="1">Calc!AP52</f>
        <v>195</v>
      </c>
      <c r="AX354" s="88" t="str">
        <f t="shared" ca="1" si="29"/>
        <v>WBA</v>
      </c>
    </row>
    <row r="355" spans="1:50" hidden="1">
      <c r="A355" s="88" t="str">
        <f t="shared" ca="1" si="28"/>
        <v>XOM</v>
      </c>
      <c r="F355" s="253">
        <v>114.05</v>
      </c>
      <c r="G355" s="253">
        <v>111.9393</v>
      </c>
      <c r="H355" s="253">
        <v>111.2925</v>
      </c>
      <c r="I355" s="253">
        <v>111.02500000000001</v>
      </c>
      <c r="J355" s="253">
        <v>111.9</v>
      </c>
      <c r="K355" s="253">
        <v>111.74</v>
      </c>
      <c r="L355" s="253">
        <v>113.41</v>
      </c>
      <c r="M355" s="253">
        <v>112.735</v>
      </c>
      <c r="N355" s="253">
        <v>112.735</v>
      </c>
      <c r="O355" s="253">
        <v>111.315</v>
      </c>
      <c r="P355" s="253">
        <v>110.73</v>
      </c>
      <c r="Q355" s="253">
        <v>110.97</v>
      </c>
      <c r="R355" s="253">
        <v>110.38500000000001</v>
      </c>
      <c r="S355" s="253">
        <v>111.18</v>
      </c>
      <c r="T355" s="253">
        <v>111.98</v>
      </c>
      <c r="U355" s="253">
        <v>111.99</v>
      </c>
      <c r="V355" s="253">
        <v>113.08</v>
      </c>
      <c r="W355" s="253">
        <v>113.08</v>
      </c>
      <c r="X355" s="253">
        <v>115.36</v>
      </c>
      <c r="Y355" s="253">
        <v>115.18</v>
      </c>
      <c r="Z355" s="247">
        <f ca="1">[1]ExtEntry!$I53</f>
        <v>115.18</v>
      </c>
      <c r="AB355" s="263">
        <v>-1075</v>
      </c>
      <c r="AC355" s="263">
        <v>-310</v>
      </c>
      <c r="AD355" s="263">
        <v>-292.5</v>
      </c>
      <c r="AE355" s="263">
        <v>-330</v>
      </c>
      <c r="AF355" s="263">
        <v>677.5</v>
      </c>
      <c r="AG355" s="263">
        <v>90</v>
      </c>
      <c r="AH355" s="263">
        <v>-160</v>
      </c>
      <c r="AI355" s="263">
        <v>-757.5</v>
      </c>
      <c r="AJ355" s="263">
        <v>-757.5</v>
      </c>
      <c r="AK355" s="263">
        <v>360</v>
      </c>
      <c r="AL355" s="263">
        <v>770</v>
      </c>
      <c r="AM355" s="263">
        <v>-477.5</v>
      </c>
      <c r="AN355" s="263">
        <v>-620</v>
      </c>
      <c r="AO355" s="263">
        <v>305</v>
      </c>
      <c r="AP355" s="263">
        <v>352.5</v>
      </c>
      <c r="AQ355" s="263">
        <v>-95</v>
      </c>
      <c r="AR355" s="263">
        <v>640</v>
      </c>
      <c r="AS355" s="263">
        <v>640</v>
      </c>
      <c r="AT355" s="263">
        <v>-340</v>
      </c>
      <c r="AU355" s="263">
        <v>-475</v>
      </c>
      <c r="AV355" s="263">
        <f ca="1">Calc!AP53</f>
        <v>-480</v>
      </c>
      <c r="AX355" s="88" t="str">
        <f t="shared" ca="1" si="29"/>
        <v>XOM</v>
      </c>
    </row>
    <row r="356" spans="1:50" hidden="1">
      <c r="A356" s="88" t="str">
        <f t="shared" ca="1" si="28"/>
        <v>XPER</v>
      </c>
      <c r="F356" s="253">
        <v>6.55</v>
      </c>
      <c r="G356" s="253">
        <v>6.4450000000000003</v>
      </c>
      <c r="H356" s="253">
        <v>6.43</v>
      </c>
      <c r="I356" s="253">
        <v>6.4950000000000001</v>
      </c>
      <c r="J356" s="253">
        <v>6.78</v>
      </c>
      <c r="K356" s="253">
        <v>6.53</v>
      </c>
      <c r="L356" s="253">
        <v>6.56</v>
      </c>
      <c r="M356" s="253">
        <v>6.55</v>
      </c>
      <c r="N356" s="253">
        <v>6.55</v>
      </c>
      <c r="O356" s="253">
        <v>6.32</v>
      </c>
      <c r="P356" s="253">
        <v>6.38</v>
      </c>
      <c r="Q356" s="253">
        <v>6.7</v>
      </c>
      <c r="R356" s="253">
        <v>6.67</v>
      </c>
      <c r="S356" s="253">
        <v>6.59</v>
      </c>
      <c r="T356" s="253">
        <v>6.62</v>
      </c>
      <c r="U356" s="253">
        <v>6.6349999999999998</v>
      </c>
      <c r="V356" s="253">
        <v>6.44</v>
      </c>
      <c r="W356" s="253">
        <v>6.44</v>
      </c>
      <c r="X356" s="253">
        <v>6.54</v>
      </c>
      <c r="Y356" s="253">
        <v>6.67</v>
      </c>
      <c r="Z356" s="247">
        <f ca="1">[1]ExtEntry!$I54</f>
        <v>6.67</v>
      </c>
      <c r="AB356" s="266">
        <v>-225</v>
      </c>
      <c r="AC356" s="266">
        <v>-549.99999999999636</v>
      </c>
      <c r="AD356" s="266">
        <v>700</v>
      </c>
      <c r="AE356" s="266">
        <v>-550</v>
      </c>
      <c r="AF356" s="266">
        <v>400</v>
      </c>
      <c r="AG356" s="266">
        <v>-1300</v>
      </c>
      <c r="AH356" s="266">
        <v>200</v>
      </c>
      <c r="AI356" s="266">
        <v>1100</v>
      </c>
      <c r="AJ356" s="266">
        <v>1100</v>
      </c>
      <c r="AK356" s="266">
        <v>1400</v>
      </c>
      <c r="AL356" s="266">
        <v>2950</v>
      </c>
      <c r="AM356" s="266">
        <v>101</v>
      </c>
      <c r="AN356" s="266">
        <v>-600</v>
      </c>
      <c r="AO356" s="266">
        <v>-400</v>
      </c>
      <c r="AP356" s="266">
        <v>300</v>
      </c>
      <c r="AQ356" s="266">
        <v>800</v>
      </c>
      <c r="AR356" s="266">
        <v>-1700</v>
      </c>
      <c r="AS356" s="266">
        <v>-1800</v>
      </c>
      <c r="AT356" s="266">
        <v>700</v>
      </c>
      <c r="AU356" s="266">
        <v>0</v>
      </c>
      <c r="AV356" s="263">
        <f ca="1">Calc!AP54</f>
        <v>-200</v>
      </c>
      <c r="AX356" s="88" t="str">
        <f t="shared" ca="1" si="29"/>
        <v>XPER</v>
      </c>
    </row>
    <row r="357" spans="1:50" hidden="1">
      <c r="A357" s="88" t="str">
        <f t="shared" ca="1" si="28"/>
        <v>MVEALDNE</v>
      </c>
      <c r="F357" s="253">
        <v>0.8</v>
      </c>
      <c r="G357" s="253">
        <v>0.83</v>
      </c>
      <c r="H357" s="253">
        <v>0.84</v>
      </c>
      <c r="I357" s="253">
        <v>0.85</v>
      </c>
      <c r="J357" s="253">
        <v>0.79200000000000004</v>
      </c>
      <c r="K357" s="253">
        <v>0.82199999999999995</v>
      </c>
      <c r="L357" s="253">
        <v>0.82199999999999995</v>
      </c>
      <c r="M357" s="253">
        <v>0.82199999999999995</v>
      </c>
      <c r="N357" s="253">
        <v>0.82199999999999995</v>
      </c>
      <c r="O357" s="253">
        <v>0.82</v>
      </c>
      <c r="P357" s="253">
        <v>0.82</v>
      </c>
      <c r="Q357" s="253">
        <v>0.82</v>
      </c>
      <c r="R357" s="253">
        <v>0.81</v>
      </c>
      <c r="S357" s="253">
        <v>0.81</v>
      </c>
      <c r="T357" s="253">
        <v>0.80400000000000005</v>
      </c>
      <c r="U357" s="253">
        <v>0.76400000000000001</v>
      </c>
      <c r="V357" s="253">
        <v>0.82</v>
      </c>
      <c r="W357" s="253">
        <v>0.82</v>
      </c>
      <c r="X357" s="253">
        <v>0.81</v>
      </c>
      <c r="Y357" s="253">
        <v>0.76400000000000001</v>
      </c>
      <c r="Z357" s="247">
        <f ca="1">[1]ExtEntry!$I55</f>
        <v>0.76400000000000001</v>
      </c>
      <c r="AB357" s="263">
        <v>33330</v>
      </c>
      <c r="AC357" s="263">
        <v>9090</v>
      </c>
      <c r="AD357" s="263">
        <v>20200</v>
      </c>
      <c r="AE357" s="263">
        <v>0</v>
      </c>
      <c r="AF357" s="263">
        <v>0</v>
      </c>
      <c r="AG357" s="263">
        <v>0</v>
      </c>
      <c r="AH357" s="263">
        <v>0</v>
      </c>
      <c r="AI357" s="263">
        <v>-9090</v>
      </c>
      <c r="AJ357" s="263">
        <v>0</v>
      </c>
      <c r="AK357" s="263">
        <v>0</v>
      </c>
      <c r="AL357" s="263">
        <v>2020</v>
      </c>
      <c r="AM357" s="263">
        <v>9090</v>
      </c>
      <c r="AN357" s="263">
        <v>5050</v>
      </c>
      <c r="AO357" s="263">
        <v>1010</v>
      </c>
      <c r="AP357" s="263">
        <v>5050</v>
      </c>
      <c r="AQ357" s="263">
        <v>10100</v>
      </c>
      <c r="AR357" s="263">
        <v>10100</v>
      </c>
      <c r="AS357" s="263">
        <v>10100</v>
      </c>
      <c r="AT357" s="263">
        <v>-1010</v>
      </c>
      <c r="AU357" s="263">
        <v>3030</v>
      </c>
      <c r="AV357" s="263">
        <f ca="1">Calc!AP55</f>
        <v>3030</v>
      </c>
      <c r="AX357" s="88" t="str">
        <f t="shared" ca="1" si="29"/>
        <v>MVEALDNE</v>
      </c>
    </row>
    <row r="358" spans="1:50" hidden="1">
      <c r="A358" s="88" t="str">
        <f t="shared" ca="1" si="28"/>
        <v>MVEDDD</v>
      </c>
      <c r="F358" s="253">
        <v>2.9</v>
      </c>
      <c r="G358" s="253">
        <v>2.83</v>
      </c>
      <c r="H358" s="253">
        <v>2.8</v>
      </c>
      <c r="I358" s="253">
        <v>2.83</v>
      </c>
      <c r="J358" s="253">
        <v>3.01</v>
      </c>
      <c r="K358" s="253">
        <v>3.13</v>
      </c>
      <c r="L358" s="253">
        <v>3.14</v>
      </c>
      <c r="M358" s="253">
        <v>3.14</v>
      </c>
      <c r="N358" s="253">
        <v>3.14</v>
      </c>
      <c r="O358" s="253">
        <v>2.86</v>
      </c>
      <c r="P358" s="253">
        <v>2.87</v>
      </c>
      <c r="Q358" s="253">
        <v>3.1150000000000002</v>
      </c>
      <c r="R358" s="253">
        <v>3.23</v>
      </c>
      <c r="S358" s="253">
        <v>3.09</v>
      </c>
      <c r="T358" s="253">
        <v>3.21</v>
      </c>
      <c r="U358" s="253">
        <v>3.31</v>
      </c>
      <c r="V358" s="253">
        <v>2.94</v>
      </c>
      <c r="W358" s="253">
        <v>2.94</v>
      </c>
      <c r="X358" s="253">
        <v>3.01</v>
      </c>
      <c r="Y358" s="253">
        <v>3.11</v>
      </c>
      <c r="Z358" s="247">
        <f ca="1">[1]ExtEntry!$I56</f>
        <v>3.11</v>
      </c>
      <c r="AB358" s="266">
        <v>-2999.9999999999964</v>
      </c>
      <c r="AC358" s="266">
        <v>-500</v>
      </c>
      <c r="AD358" s="266">
        <v>-249.99999999999636</v>
      </c>
      <c r="AE358" s="266">
        <v>550</v>
      </c>
      <c r="AF358" s="266">
        <v>1100.0000000000036</v>
      </c>
      <c r="AG358" s="266">
        <v>-350.00000000000364</v>
      </c>
      <c r="AH358" s="266">
        <v>650</v>
      </c>
      <c r="AI358" s="266">
        <v>-1000</v>
      </c>
      <c r="AJ358" s="266">
        <v>-1000</v>
      </c>
      <c r="AK358" s="266">
        <v>1000.0000000000036</v>
      </c>
      <c r="AL358" s="266">
        <v>1400</v>
      </c>
      <c r="AM358" s="266">
        <v>400</v>
      </c>
      <c r="AN358" s="266">
        <v>-500.00000000000364</v>
      </c>
      <c r="AO358" s="266">
        <v>-700</v>
      </c>
      <c r="AP358" s="266">
        <v>5449.9999999999964</v>
      </c>
      <c r="AQ358" s="266">
        <v>-2900</v>
      </c>
      <c r="AR358" s="266">
        <v>-3650</v>
      </c>
      <c r="AS358" s="266">
        <v>-3650</v>
      </c>
      <c r="AT358" s="266">
        <v>-50</v>
      </c>
      <c r="AU358" s="266">
        <v>-550</v>
      </c>
      <c r="AV358" s="263">
        <f ca="1">Calc!AP56</f>
        <v>-500</v>
      </c>
      <c r="AX358" s="88" t="str">
        <f t="shared" ca="1" si="29"/>
        <v>MVEDDD</v>
      </c>
    </row>
    <row r="359" spans="1:50" hidden="1">
      <c r="A359" s="88" t="str">
        <f t="shared" ca="1" si="28"/>
        <v>MVEDSY</v>
      </c>
      <c r="F359" s="253">
        <v>27.9</v>
      </c>
      <c r="G359" s="253">
        <v>1</v>
      </c>
      <c r="H359" s="253">
        <v>1.01</v>
      </c>
      <c r="I359" s="253">
        <v>1.03</v>
      </c>
      <c r="J359" s="253">
        <v>1.04</v>
      </c>
      <c r="K359" s="253">
        <v>0.86850000000000005</v>
      </c>
      <c r="L359" s="253">
        <v>28.77</v>
      </c>
      <c r="M359" s="253">
        <v>28.46</v>
      </c>
      <c r="N359" s="253">
        <v>29.08</v>
      </c>
      <c r="O359" s="253">
        <v>28.5</v>
      </c>
      <c r="P359" s="253">
        <v>28.29</v>
      </c>
      <c r="Q359" s="253">
        <v>28.59</v>
      </c>
      <c r="R359" s="253">
        <v>28.72</v>
      </c>
      <c r="S359" s="253">
        <v>28.92</v>
      </c>
      <c r="T359" s="253">
        <v>29.2</v>
      </c>
      <c r="U359" s="253">
        <v>29.6</v>
      </c>
      <c r="V359" s="253">
        <v>29.92</v>
      </c>
      <c r="W359" s="253">
        <v>29.92</v>
      </c>
      <c r="X359" s="253">
        <v>25.01</v>
      </c>
      <c r="Y359" s="253">
        <v>25.54</v>
      </c>
      <c r="Z359" s="247">
        <f ca="1">[1]ExtEntry!$I57</f>
        <v>25.54</v>
      </c>
      <c r="AB359" s="263">
        <v>1920</v>
      </c>
      <c r="AC359" s="263">
        <v>120</v>
      </c>
      <c r="AD359" s="263">
        <v>240</v>
      </c>
      <c r="AE359" s="263">
        <v>120</v>
      </c>
      <c r="AF359" s="263">
        <v>0</v>
      </c>
      <c r="AG359" s="263">
        <v>-1982.3999999999996</v>
      </c>
      <c r="AH359" s="263">
        <v>-2760</v>
      </c>
      <c r="AI359" s="263">
        <v>1200</v>
      </c>
      <c r="AJ359" s="263">
        <v>3240</v>
      </c>
      <c r="AK359" s="263">
        <v>3720</v>
      </c>
      <c r="AL359" s="263">
        <v>-3600</v>
      </c>
      <c r="AM359" s="263">
        <v>3480</v>
      </c>
      <c r="AN359" s="263">
        <v>6600</v>
      </c>
      <c r="AO359" s="263">
        <v>3720</v>
      </c>
      <c r="AP359" s="263">
        <v>3960</v>
      </c>
      <c r="AQ359" s="263">
        <v>5760</v>
      </c>
      <c r="AR359" s="263">
        <v>840</v>
      </c>
      <c r="AS359" s="263">
        <v>840</v>
      </c>
      <c r="AT359" s="263">
        <v>2520</v>
      </c>
      <c r="AU359" s="263">
        <v>-7320</v>
      </c>
      <c r="AV359" s="263">
        <f ca="1">Calc!AP57</f>
        <v>-7320</v>
      </c>
      <c r="AX359" s="88" t="str">
        <f t="shared" ca="1" si="29"/>
        <v>MVEDSY</v>
      </c>
    </row>
    <row r="360" spans="1:50" hidden="1">
      <c r="A360" s="88" t="str">
        <f t="shared" ca="1" si="28"/>
        <v>MVEEOAN</v>
      </c>
      <c r="F360" s="253">
        <v>15.91</v>
      </c>
      <c r="G360" s="253">
        <v>15.82</v>
      </c>
      <c r="H360" s="253">
        <v>15.96</v>
      </c>
      <c r="I360" s="253">
        <v>15.83</v>
      </c>
      <c r="J360" s="253">
        <v>15.93</v>
      </c>
      <c r="K360" s="253">
        <v>16.04</v>
      </c>
      <c r="L360" s="253">
        <v>16.14</v>
      </c>
      <c r="M360" s="253">
        <v>16.100000000000001</v>
      </c>
      <c r="N360" s="253">
        <v>16.14</v>
      </c>
      <c r="O360" s="253">
        <v>16.114999999999998</v>
      </c>
      <c r="P360" s="253">
        <v>16.164999999999999</v>
      </c>
      <c r="Q360" s="253">
        <v>16.2</v>
      </c>
      <c r="R360" s="253">
        <v>16.13</v>
      </c>
      <c r="S360" s="253">
        <v>16.164999999999999</v>
      </c>
      <c r="T360" s="253">
        <v>16.234999999999999</v>
      </c>
      <c r="U360" s="253">
        <v>16.32</v>
      </c>
      <c r="V360" s="253">
        <v>16.100000000000001</v>
      </c>
      <c r="W360" s="253">
        <v>16.100000000000001</v>
      </c>
      <c r="X360" s="253">
        <v>15.97</v>
      </c>
      <c r="Y360" s="253">
        <v>15.815</v>
      </c>
      <c r="Z360" s="247">
        <f ca="1">[1]ExtEntry!$I58</f>
        <v>15.79</v>
      </c>
      <c r="AB360" s="266">
        <v>-0.90000000000000568</v>
      </c>
      <c r="AC360" s="266">
        <v>0.99999999999997158</v>
      </c>
      <c r="AD360" s="266">
        <v>1.9999999999999716</v>
      </c>
      <c r="AE360" s="266">
        <v>-1.5499999999999545</v>
      </c>
      <c r="AF360" s="266">
        <v>1.7000000000000171</v>
      </c>
      <c r="AG360" s="266">
        <v>0.29999999999995453</v>
      </c>
      <c r="AH360" s="266">
        <v>0.40000000000000568</v>
      </c>
      <c r="AI360" s="266">
        <v>-0.40000000000000568</v>
      </c>
      <c r="AJ360" s="266">
        <v>0.25</v>
      </c>
      <c r="AK360" s="266">
        <v>0.75000000000002842</v>
      </c>
      <c r="AL360" s="266">
        <v>2.0500000000000398</v>
      </c>
      <c r="AM360" s="266">
        <v>-1.7000000000000171</v>
      </c>
      <c r="AN360" s="266">
        <v>0.10000000000002274</v>
      </c>
      <c r="AO360" s="266">
        <v>1.0500000000000114</v>
      </c>
      <c r="AP360" s="266">
        <v>1.0500000000000114</v>
      </c>
      <c r="AQ360" s="266">
        <v>9.9999999999965894E-2</v>
      </c>
      <c r="AR360" s="266">
        <v>-2</v>
      </c>
      <c r="AS360" s="266">
        <v>-2</v>
      </c>
      <c r="AT360" s="266">
        <v>-1.4999999999999716</v>
      </c>
      <c r="AU360" s="266">
        <v>0.75</v>
      </c>
      <c r="AV360" s="263">
        <f ca="1">Calc!AP58</f>
        <v>1.1500000000000057</v>
      </c>
      <c r="AX360" s="88" t="str">
        <f t="shared" ca="1" si="29"/>
        <v>MVEEOAN</v>
      </c>
    </row>
    <row r="361" spans="1:50" hidden="1">
      <c r="A361" s="88" t="str">
        <f t="shared" ca="1" si="28"/>
        <v>MVEENI</v>
      </c>
      <c r="F361" s="253">
        <v>15.055999999999999</v>
      </c>
      <c r="G361" s="253">
        <v>14.786</v>
      </c>
      <c r="H361" s="253">
        <v>14.86</v>
      </c>
      <c r="I361" s="253">
        <v>14.866</v>
      </c>
      <c r="J361" s="253">
        <v>14.868</v>
      </c>
      <c r="K361" s="253">
        <v>15.1</v>
      </c>
      <c r="L361" s="253">
        <v>15.247999999999999</v>
      </c>
      <c r="M361" s="253">
        <v>15.334</v>
      </c>
      <c r="N361" s="253">
        <v>15.196</v>
      </c>
      <c r="O361" s="253">
        <v>14.9</v>
      </c>
      <c r="P361" s="253">
        <v>14.7</v>
      </c>
      <c r="Q361" s="253">
        <v>14.69</v>
      </c>
      <c r="R361" s="253">
        <v>14.747999999999999</v>
      </c>
      <c r="S361" s="253">
        <v>14.54</v>
      </c>
      <c r="T361" s="253">
        <v>14.818</v>
      </c>
      <c r="U361" s="253">
        <v>14.882</v>
      </c>
      <c r="V361" s="253">
        <v>15.012</v>
      </c>
      <c r="W361" s="253">
        <v>15.012</v>
      </c>
      <c r="X361" s="253">
        <v>15.327999999999999</v>
      </c>
      <c r="Y361" s="253">
        <v>15.638</v>
      </c>
      <c r="Z361" s="247">
        <f ca="1">[1]ExtEntry!$I59</f>
        <v>15.638</v>
      </c>
      <c r="AB361" s="263">
        <v>-7120</v>
      </c>
      <c r="AC361" s="263">
        <v>-6720</v>
      </c>
      <c r="AD361" s="263">
        <v>4240</v>
      </c>
      <c r="AE361" s="263">
        <v>240</v>
      </c>
      <c r="AF361" s="263">
        <v>240</v>
      </c>
      <c r="AG361" s="263">
        <v>720</v>
      </c>
      <c r="AH361" s="263">
        <v>-504</v>
      </c>
      <c r="AI361" s="263">
        <v>1368</v>
      </c>
      <c r="AJ361" s="263">
        <v>-1728</v>
      </c>
      <c r="AK361" s="263">
        <v>-2016</v>
      </c>
      <c r="AL361" s="263">
        <v>-7560</v>
      </c>
      <c r="AM361" s="263">
        <v>936</v>
      </c>
      <c r="AN361" s="263">
        <v>-504</v>
      </c>
      <c r="AO361" s="263">
        <v>9504</v>
      </c>
      <c r="AP361" s="263">
        <v>576</v>
      </c>
      <c r="AQ361" s="263">
        <v>-504</v>
      </c>
      <c r="AR361" s="263">
        <v>2736</v>
      </c>
      <c r="AS361" s="263">
        <v>2736</v>
      </c>
      <c r="AT361" s="263">
        <v>8496</v>
      </c>
      <c r="AU361" s="263">
        <v>216</v>
      </c>
      <c r="AV361" s="263">
        <f ca="1">Calc!AP59</f>
        <v>216</v>
      </c>
      <c r="AX361" s="88" t="str">
        <f t="shared" ca="1" si="29"/>
        <v>MVEENI</v>
      </c>
    </row>
    <row r="362" spans="1:50" hidden="1">
      <c r="A362" s="88" t="str">
        <f t="shared" ca="1" si="28"/>
        <v>MVEEPIX</v>
      </c>
      <c r="F362" s="253">
        <v>0.1913</v>
      </c>
      <c r="G362" s="253">
        <v>0.185</v>
      </c>
      <c r="H362" s="253">
        <v>0.19</v>
      </c>
      <c r="I362" s="253">
        <v>0.2</v>
      </c>
      <c r="J362" s="253">
        <v>0.1956</v>
      </c>
      <c r="K362" s="253">
        <v>0.2</v>
      </c>
      <c r="L362" s="253">
        <v>0.18990000000000001</v>
      </c>
      <c r="M362" s="253">
        <v>0.18990000000000001</v>
      </c>
      <c r="N362" s="253">
        <v>0.18990000000000001</v>
      </c>
      <c r="O362" s="253">
        <v>0.18990000000000001</v>
      </c>
      <c r="P362" s="253">
        <v>0.18990000000000001</v>
      </c>
      <c r="Q362" s="253">
        <v>0.18990000000000001</v>
      </c>
      <c r="R362" s="253">
        <v>0.18990000000000001</v>
      </c>
      <c r="S362" s="253">
        <v>0.18990000000000001</v>
      </c>
      <c r="T362" s="253">
        <v>0.18990000000000001</v>
      </c>
      <c r="U362" s="253">
        <v>0.18990000000000001</v>
      </c>
      <c r="V362" s="253">
        <v>0.18990000000000001</v>
      </c>
      <c r="W362" s="253">
        <v>0.18990000000000001</v>
      </c>
      <c r="X362" s="253">
        <v>0.18990000000000001</v>
      </c>
      <c r="Y362" s="253">
        <v>0.18990000000000001</v>
      </c>
      <c r="Z362" s="247">
        <f ca="1">[1]ExtEntry!$I60</f>
        <v>0.18990000000000001</v>
      </c>
      <c r="AB362" s="266">
        <v>-63.599999999999909</v>
      </c>
      <c r="AC362" s="266">
        <v>-106.79999999999973</v>
      </c>
      <c r="AD362" s="266">
        <v>190.80000000000018</v>
      </c>
      <c r="AE362" s="266">
        <v>88.800000000000182</v>
      </c>
      <c r="AF362" s="266">
        <v>30.000000000000455</v>
      </c>
      <c r="AG362" s="266">
        <v>-164.40000000000009</v>
      </c>
      <c r="AH362" s="266">
        <v>14.400000000000091</v>
      </c>
      <c r="AI362" s="266">
        <v>14.400000000000091</v>
      </c>
      <c r="AJ362" s="266">
        <v>14.400000000000091</v>
      </c>
      <c r="AK362" s="266">
        <v>14.400000000000091</v>
      </c>
      <c r="AL362" s="266">
        <v>14.400000000000091</v>
      </c>
      <c r="AM362" s="266">
        <v>14.400000000000091</v>
      </c>
      <c r="AN362" s="266">
        <v>14.400000000000091</v>
      </c>
      <c r="AO362" s="266">
        <v>14.400000000000091</v>
      </c>
      <c r="AP362" s="266">
        <v>14.400000000000091</v>
      </c>
      <c r="AQ362" s="266">
        <v>14.400000000000091</v>
      </c>
      <c r="AR362" s="266">
        <v>14.400000000000091</v>
      </c>
      <c r="AS362" s="266">
        <v>14.400000000000091</v>
      </c>
      <c r="AT362" s="266">
        <v>14.400000000000091</v>
      </c>
      <c r="AU362" s="266">
        <v>14.400000000000091</v>
      </c>
      <c r="AV362" s="263">
        <f ca="1">Calc!AP60</f>
        <v>14.400000000000091</v>
      </c>
      <c r="AX362" s="88" t="str">
        <f t="shared" ca="1" si="29"/>
        <v>MVEEPIX</v>
      </c>
    </row>
    <row r="363" spans="1:50" hidden="1">
      <c r="A363" s="88" t="str">
        <f t="shared" ca="1" si="28"/>
        <v>MVEGLE</v>
      </c>
      <c r="F363" s="253">
        <v>56.58</v>
      </c>
      <c r="G363" s="253">
        <v>56.24</v>
      </c>
      <c r="H363" s="253">
        <v>55.66</v>
      </c>
      <c r="I363" s="253">
        <v>56.72</v>
      </c>
      <c r="J363" s="253">
        <v>56.36</v>
      </c>
      <c r="K363" s="253">
        <v>53.06</v>
      </c>
      <c r="L363" s="253">
        <v>53.42</v>
      </c>
      <c r="M363" s="253">
        <v>54.36</v>
      </c>
      <c r="N363" s="253">
        <v>54.06</v>
      </c>
      <c r="O363" s="253">
        <v>53.54</v>
      </c>
      <c r="P363" s="253">
        <v>52.8</v>
      </c>
      <c r="Q363" s="253">
        <v>55.56</v>
      </c>
      <c r="R363" s="253">
        <v>54.88</v>
      </c>
      <c r="S363" s="253">
        <v>53.18</v>
      </c>
      <c r="T363" s="253">
        <v>51.98</v>
      </c>
      <c r="U363" s="253">
        <v>52.84</v>
      </c>
      <c r="V363" s="253">
        <v>52.26</v>
      </c>
      <c r="W363" s="253">
        <v>52.26</v>
      </c>
      <c r="X363" s="253">
        <v>52.8</v>
      </c>
      <c r="Y363" s="253">
        <v>52.4</v>
      </c>
      <c r="Z363" s="247">
        <f ca="1">[1]ExtEntry!$I61</f>
        <v>52.4</v>
      </c>
      <c r="AB363" s="263">
        <v>-1440</v>
      </c>
      <c r="AC363" s="263">
        <v>-760</v>
      </c>
      <c r="AD363" s="263">
        <v>1400</v>
      </c>
      <c r="AE363" s="263">
        <v>-1200</v>
      </c>
      <c r="AF363" s="263">
        <v>-600</v>
      </c>
      <c r="AG363" s="263">
        <v>-960</v>
      </c>
      <c r="AH363" s="263">
        <v>4000</v>
      </c>
      <c r="AI363" s="263">
        <v>-1440</v>
      </c>
      <c r="AJ363" s="263">
        <v>-1200</v>
      </c>
      <c r="AK363" s="263">
        <v>-1560</v>
      </c>
      <c r="AL363" s="263">
        <v>11400</v>
      </c>
      <c r="AM363" s="263">
        <v>-3360</v>
      </c>
      <c r="AN363" s="263">
        <v>6600</v>
      </c>
      <c r="AO363" s="263">
        <v>-6720</v>
      </c>
      <c r="AP363" s="263">
        <v>-11060</v>
      </c>
      <c r="AQ363" s="263">
        <v>-2240</v>
      </c>
      <c r="AR363" s="263">
        <v>-700</v>
      </c>
      <c r="AS363" s="263">
        <v>-700</v>
      </c>
      <c r="AT363" s="263">
        <v>2520</v>
      </c>
      <c r="AU363" s="263">
        <v>-1820</v>
      </c>
      <c r="AV363" s="263">
        <f ca="1">Calc!AP61</f>
        <v>-1820</v>
      </c>
      <c r="AX363" s="88" t="str">
        <f t="shared" ca="1" si="29"/>
        <v>MVEGLE</v>
      </c>
    </row>
    <row r="364" spans="1:50" hidden="1">
      <c r="A364" s="88" t="str">
        <f t="shared" ca="1" si="28"/>
        <v>MVEORA</v>
      </c>
      <c r="F364" s="253">
        <v>13.61</v>
      </c>
      <c r="G364" s="253">
        <v>45.87</v>
      </c>
      <c r="H364" s="253">
        <v>13.59</v>
      </c>
      <c r="I364" s="253">
        <v>13.275</v>
      </c>
      <c r="J364" s="253">
        <v>13.275</v>
      </c>
      <c r="K364" s="253">
        <v>13.11</v>
      </c>
      <c r="L364" s="253">
        <v>13.26</v>
      </c>
      <c r="M364" s="253">
        <v>13.375</v>
      </c>
      <c r="N364" s="253">
        <v>13.54</v>
      </c>
      <c r="O364" s="253">
        <v>13.43</v>
      </c>
      <c r="P364" s="253">
        <v>13.465</v>
      </c>
      <c r="Q364" s="253">
        <v>13.805</v>
      </c>
      <c r="R364" s="253">
        <v>13.815</v>
      </c>
      <c r="S364" s="253">
        <v>13.994999999999999</v>
      </c>
      <c r="T364" s="253">
        <v>14.16</v>
      </c>
      <c r="U364" s="253">
        <v>14.07</v>
      </c>
      <c r="V364" s="253">
        <v>13.92</v>
      </c>
      <c r="W364" s="253">
        <v>13.92</v>
      </c>
      <c r="X364" s="253">
        <v>13.994999999999999</v>
      </c>
      <c r="Y364" s="253">
        <v>13.805</v>
      </c>
      <c r="Z364" s="247">
        <f ca="1">[1]ExtEntry!$I62</f>
        <v>13.805</v>
      </c>
      <c r="AB364" s="266">
        <v>-495</v>
      </c>
      <c r="AC364" s="266">
        <v>-42372</v>
      </c>
      <c r="AD364" s="266">
        <v>-2277</v>
      </c>
      <c r="AE364" s="266">
        <v>3465</v>
      </c>
      <c r="AF364" s="266">
        <v>-5643</v>
      </c>
      <c r="AG364" s="266">
        <v>-495</v>
      </c>
      <c r="AH364" s="266">
        <v>2178</v>
      </c>
      <c r="AI364" s="266">
        <v>3168</v>
      </c>
      <c r="AJ364" s="266">
        <v>99</v>
      </c>
      <c r="AK364" s="266">
        <v>-4158</v>
      </c>
      <c r="AL364" s="266">
        <v>1980</v>
      </c>
      <c r="AM364" s="266">
        <v>-693</v>
      </c>
      <c r="AN364" s="266">
        <v>2079</v>
      </c>
      <c r="AO364" s="266">
        <v>6039</v>
      </c>
      <c r="AP364" s="266">
        <v>-1683</v>
      </c>
      <c r="AQ364" s="266">
        <v>-1188</v>
      </c>
      <c r="AR364" s="266">
        <v>-792</v>
      </c>
      <c r="AS364" s="266">
        <v>-792</v>
      </c>
      <c r="AT364" s="266">
        <v>990</v>
      </c>
      <c r="AU364" s="266">
        <v>-4158</v>
      </c>
      <c r="AV364" s="263">
        <f ca="1">Calc!AP62</f>
        <v>-4158</v>
      </c>
      <c r="AX364" s="88" t="str">
        <f t="shared" ca="1" si="29"/>
        <v>MVEORA</v>
      </c>
    </row>
    <row r="365" spans="1:50" hidden="1">
      <c r="A365" s="88" t="str">
        <f t="shared" ca="1" si="28"/>
        <v>MVERWE</v>
      </c>
      <c r="F365" s="253">
        <v>37.53</v>
      </c>
      <c r="G365" s="253">
        <v>37.43</v>
      </c>
      <c r="H365" s="253">
        <v>37.78</v>
      </c>
      <c r="I365" s="253">
        <v>38.57</v>
      </c>
      <c r="J365" s="253">
        <v>39.01</v>
      </c>
      <c r="K365" s="253">
        <v>39.6</v>
      </c>
      <c r="L365" s="253">
        <v>40.14</v>
      </c>
      <c r="M365" s="253">
        <v>40.07</v>
      </c>
      <c r="N365" s="253">
        <v>40.35</v>
      </c>
      <c r="O365" s="253">
        <v>40.25</v>
      </c>
      <c r="P365" s="253">
        <v>40.46</v>
      </c>
      <c r="Q365" s="253">
        <v>40.47</v>
      </c>
      <c r="R365" s="253">
        <v>40.85</v>
      </c>
      <c r="S365" s="253">
        <v>40.56</v>
      </c>
      <c r="T365" s="253">
        <v>40.83</v>
      </c>
      <c r="U365" s="253">
        <v>40.47</v>
      </c>
      <c r="V365" s="253">
        <v>39.869999999999997</v>
      </c>
      <c r="W365" s="253">
        <v>39.869999999999997</v>
      </c>
      <c r="X365" s="253">
        <v>39.78</v>
      </c>
      <c r="Y365" s="253">
        <v>40.17</v>
      </c>
      <c r="Z365" s="247">
        <f ca="1">[1]ExtEntry!$I63</f>
        <v>40.1</v>
      </c>
      <c r="AB365" s="263">
        <v>-0.17000000000000171</v>
      </c>
      <c r="AC365" s="263">
        <v>0.19000000000000483</v>
      </c>
      <c r="AD365" s="263">
        <v>1.259999999999998</v>
      </c>
      <c r="AE365" s="263">
        <v>-0.24000000000000199</v>
      </c>
      <c r="AF365" s="263">
        <v>0.21000000000000085</v>
      </c>
      <c r="AG365" s="263">
        <v>-3.9999999999999147E-2</v>
      </c>
      <c r="AH365" s="263">
        <v>0.35000000000000142</v>
      </c>
      <c r="AI365" s="263">
        <v>-0.18999999999999773</v>
      </c>
      <c r="AJ365" s="263">
        <v>0.10000000000000142</v>
      </c>
      <c r="AK365" s="263">
        <v>0.53999999999999915</v>
      </c>
      <c r="AL365" s="263">
        <v>-0.12000000000000455</v>
      </c>
      <c r="AM365" s="263">
        <v>1.9999999999996021E-2</v>
      </c>
      <c r="AN365" s="263">
        <v>0.53000000000000114</v>
      </c>
      <c r="AO365" s="263">
        <v>-7.9999999999998295E-2</v>
      </c>
      <c r="AP365" s="263">
        <v>6.0000000000002274E-2</v>
      </c>
      <c r="AQ365" s="263">
        <v>-0.39999999999999858</v>
      </c>
      <c r="AR365" s="263">
        <v>-0.35999999999999943</v>
      </c>
      <c r="AS365" s="263">
        <v>-0.35999999999999943</v>
      </c>
      <c r="AT365" s="263">
        <v>0.21999999999999886</v>
      </c>
      <c r="AU365" s="263">
        <v>0.13999999999999346</v>
      </c>
      <c r="AV365" s="263">
        <f ca="1">Calc!AP63</f>
        <v>0.24000000000000199</v>
      </c>
      <c r="AX365" s="88" t="str">
        <f t="shared" ca="1" si="29"/>
        <v>MVERWE</v>
      </c>
    </row>
    <row r="366" spans="1:50" hidden="1">
      <c r="A366" s="88" t="str">
        <f t="shared" ca="1" si="28"/>
        <v>MVESAP</v>
      </c>
      <c r="F366" s="253">
        <v>222.95</v>
      </c>
      <c r="G366" s="253">
        <v>224.5</v>
      </c>
      <c r="H366" s="253">
        <v>224.5</v>
      </c>
      <c r="I366" s="253">
        <v>226.45</v>
      </c>
      <c r="J366" s="253">
        <v>228.25</v>
      </c>
      <c r="K366" s="253">
        <v>233.1</v>
      </c>
      <c r="L366" s="253">
        <v>234.65</v>
      </c>
      <c r="M366" s="253">
        <v>235.05</v>
      </c>
      <c r="N366" s="253">
        <v>237.35</v>
      </c>
      <c r="O366" s="253">
        <v>229.65</v>
      </c>
      <c r="P366" s="253">
        <v>228.45</v>
      </c>
      <c r="Q366" s="253">
        <v>231.45</v>
      </c>
      <c r="R366" s="253">
        <v>230.35</v>
      </c>
      <c r="S366" s="253">
        <v>227</v>
      </c>
      <c r="T366" s="253">
        <v>232.9</v>
      </c>
      <c r="U366" s="253">
        <v>236.35</v>
      </c>
      <c r="V366" s="253">
        <v>236.5</v>
      </c>
      <c r="W366" s="253">
        <v>236.5</v>
      </c>
      <c r="X366" s="253">
        <v>229.7</v>
      </c>
      <c r="Y366" s="253">
        <v>233.35</v>
      </c>
      <c r="Z366" s="247">
        <f ca="1">[1]ExtEntry!$I64</f>
        <v>233.35</v>
      </c>
      <c r="AB366" s="266">
        <v>0</v>
      </c>
      <c r="AC366" s="266">
        <v>1162.9000000000087</v>
      </c>
      <c r="AD366" s="266">
        <v>1102.75</v>
      </c>
      <c r="AE366" s="266">
        <v>1804.5</v>
      </c>
      <c r="AF366" s="266">
        <v>-1002.5</v>
      </c>
      <c r="AG366" s="266">
        <v>421.05000000000291</v>
      </c>
      <c r="AH366" s="266">
        <v>701.75</v>
      </c>
      <c r="AI366" s="266">
        <v>-481.19999999999709</v>
      </c>
      <c r="AJ366" s="266">
        <v>-320.80000000000291</v>
      </c>
      <c r="AK366" s="266">
        <v>-160.39999999999418</v>
      </c>
      <c r="AL366" s="266">
        <v>701.75</v>
      </c>
      <c r="AM366" s="266">
        <v>962.39999999999418</v>
      </c>
      <c r="AN366" s="266">
        <v>802</v>
      </c>
      <c r="AO366" s="266">
        <v>681.69999999999709</v>
      </c>
      <c r="AP366" s="266">
        <v>1924.7999999999884</v>
      </c>
      <c r="AQ366" s="266">
        <v>902.25</v>
      </c>
      <c r="AR366" s="266">
        <v>-1724.3000000000175</v>
      </c>
      <c r="AS366" s="266">
        <v>-1724.3000000000175</v>
      </c>
      <c r="AT366" s="266">
        <v>1042.5999999999913</v>
      </c>
      <c r="AU366" s="266">
        <v>-3167.9000000000087</v>
      </c>
      <c r="AV366" s="263">
        <f ca="1">Calc!AP64</f>
        <v>-3167.9000000000087</v>
      </c>
      <c r="AX366" s="88" t="str">
        <f t="shared" ca="1" si="29"/>
        <v>MVESAP</v>
      </c>
    </row>
    <row r="367" spans="1:50" hidden="1">
      <c r="A367" s="88" t="str">
        <f t="shared" ca="1" si="28"/>
        <v>MVEUN0</v>
      </c>
      <c r="F367" s="253">
        <v>34.4</v>
      </c>
      <c r="G367" s="253">
        <v>34</v>
      </c>
      <c r="H367" s="253">
        <v>34</v>
      </c>
      <c r="I367" s="253">
        <v>33.799999999999997</v>
      </c>
      <c r="J367" s="253">
        <v>34</v>
      </c>
      <c r="K367" s="253">
        <v>32.049999999999997</v>
      </c>
      <c r="L367" s="253">
        <v>31.8</v>
      </c>
      <c r="M367" s="253">
        <v>32.299999999999997</v>
      </c>
      <c r="N367" s="253">
        <v>32.25</v>
      </c>
      <c r="O367" s="253">
        <v>31.9</v>
      </c>
      <c r="P367" s="253">
        <v>31.4</v>
      </c>
      <c r="Q367" s="253">
        <v>31.55</v>
      </c>
      <c r="R367" s="253">
        <v>31.2</v>
      </c>
      <c r="S367" s="253">
        <v>31.35</v>
      </c>
      <c r="T367" s="253">
        <v>32.049999999999997</v>
      </c>
      <c r="U367" s="253">
        <v>31.7</v>
      </c>
      <c r="V367" s="253">
        <v>31.6</v>
      </c>
      <c r="W367" s="253">
        <v>31.6</v>
      </c>
      <c r="X367" s="253">
        <v>30.9</v>
      </c>
      <c r="Y367" s="253">
        <v>30.15</v>
      </c>
      <c r="Z367" s="247">
        <f ca="1">[1]ExtEntry!$I65</f>
        <v>30.15</v>
      </c>
      <c r="AB367" s="263">
        <v>280</v>
      </c>
      <c r="AC367" s="263">
        <v>-56</v>
      </c>
      <c r="AD367" s="263">
        <v>-56</v>
      </c>
      <c r="AE367" s="263">
        <v>-196</v>
      </c>
      <c r="AF367" s="263">
        <v>-28</v>
      </c>
      <c r="AG367" s="263">
        <v>-616</v>
      </c>
      <c r="AH367" s="263">
        <v>448</v>
      </c>
      <c r="AI367" s="263">
        <v>336</v>
      </c>
      <c r="AJ367" s="263">
        <v>0</v>
      </c>
      <c r="AK367" s="263">
        <v>-364</v>
      </c>
      <c r="AL367" s="263">
        <v>-252</v>
      </c>
      <c r="AM367" s="263">
        <v>-84</v>
      </c>
      <c r="AN367" s="263">
        <v>28</v>
      </c>
      <c r="AO367" s="263">
        <v>112</v>
      </c>
      <c r="AP367" s="263">
        <v>532</v>
      </c>
      <c r="AQ367" s="263">
        <v>-224</v>
      </c>
      <c r="AR367" s="263">
        <v>112</v>
      </c>
      <c r="AS367" s="263">
        <v>112</v>
      </c>
      <c r="AT367" s="263">
        <v>-196</v>
      </c>
      <c r="AU367" s="263">
        <v>-476</v>
      </c>
      <c r="AV367" s="263">
        <f ca="1">Calc!AP65</f>
        <v>-476</v>
      </c>
      <c r="AX367" s="88" t="str">
        <f t="shared" ca="1" si="29"/>
        <v>MVEUN0</v>
      </c>
    </row>
    <row r="368" spans="1:50" hidden="1">
      <c r="A368" s="88" t="str">
        <f t="shared" ca="1" si="28"/>
        <v>SAFAAPL</v>
      </c>
      <c r="F368" s="253">
        <v>253.01</v>
      </c>
      <c r="G368" s="253">
        <v>253.11</v>
      </c>
      <c r="H368" s="253">
        <v>254.93</v>
      </c>
      <c r="I368" s="253">
        <v>254.15</v>
      </c>
      <c r="J368" s="253">
        <v>253.95</v>
      </c>
      <c r="K368" s="253">
        <v>255.43</v>
      </c>
      <c r="L368" s="253">
        <v>256.11</v>
      </c>
      <c r="M368" s="253">
        <v>253.14</v>
      </c>
      <c r="N368" s="253">
        <v>253.14</v>
      </c>
      <c r="O368" s="253">
        <v>245.56</v>
      </c>
      <c r="P368" s="253">
        <v>244.7</v>
      </c>
      <c r="Q368" s="253">
        <v>247.48</v>
      </c>
      <c r="R368" s="253">
        <v>245.13</v>
      </c>
      <c r="S368" s="253">
        <v>247.27</v>
      </c>
      <c r="T368" s="253">
        <v>255.63</v>
      </c>
      <c r="U368" s="253">
        <v>261.83</v>
      </c>
      <c r="V368" s="253">
        <v>255.43</v>
      </c>
      <c r="W368" s="253">
        <v>255.43</v>
      </c>
      <c r="X368" s="253">
        <v>258.01010000000002</v>
      </c>
      <c r="Y368" s="253">
        <v>259.18</v>
      </c>
      <c r="Z368" s="247">
        <f ca="1">[1]ExtEntry!$I66</f>
        <v>259.18</v>
      </c>
      <c r="AB368" s="266">
        <v>-592.44999999999709</v>
      </c>
      <c r="AC368" s="266">
        <v>-112.5</v>
      </c>
      <c r="AD368" s="266">
        <v>205</v>
      </c>
      <c r="AE368" s="266">
        <v>277.5</v>
      </c>
      <c r="AF368" s="266">
        <v>1677.4999999999854</v>
      </c>
      <c r="AG368" s="266">
        <v>-113.75</v>
      </c>
      <c r="AH368" s="266">
        <v>539</v>
      </c>
      <c r="AI368" s="266">
        <v>-1317.75</v>
      </c>
      <c r="AJ368" s="266">
        <v>-1317.75</v>
      </c>
      <c r="AK368" s="266">
        <v>-630</v>
      </c>
      <c r="AL368" s="266">
        <v>420</v>
      </c>
      <c r="AM368" s="266">
        <v>7</v>
      </c>
      <c r="AN368" s="266">
        <v>-280</v>
      </c>
      <c r="AO368" s="266">
        <v>1494.5</v>
      </c>
      <c r="AP368" s="266">
        <v>2224.25</v>
      </c>
      <c r="AQ368" s="266">
        <v>311.5</v>
      </c>
      <c r="AR368" s="266">
        <v>-1469.9999999999854</v>
      </c>
      <c r="AS368" s="266">
        <v>-1469.9999999999854</v>
      </c>
      <c r="AT368" s="266">
        <v>-126</v>
      </c>
      <c r="AU368" s="266">
        <v>570.5</v>
      </c>
      <c r="AV368" s="263">
        <f ca="1">Calc!AP66</f>
        <v>570.5</v>
      </c>
      <c r="AX368" s="88" t="str">
        <f t="shared" ca="1" si="29"/>
        <v>SAFAAPL</v>
      </c>
    </row>
    <row r="369" spans="1:50" hidden="1">
      <c r="A369" s="88" t="str">
        <f t="shared" ref="A369:A398" ca="1" si="30">A269</f>
        <v>SAFAMZN</v>
      </c>
      <c r="F369" s="253">
        <v>219.3</v>
      </c>
      <c r="G369" s="253">
        <v>217.89</v>
      </c>
      <c r="H369" s="253">
        <v>216.61</v>
      </c>
      <c r="I369" s="253">
        <v>218.94499999999999</v>
      </c>
      <c r="J369" s="253">
        <v>219.34</v>
      </c>
      <c r="K369" s="253">
        <v>220.17</v>
      </c>
      <c r="L369" s="253">
        <v>221.19</v>
      </c>
      <c r="M369" s="253">
        <v>221.75</v>
      </c>
      <c r="N369" s="253">
        <v>221.75</v>
      </c>
      <c r="O369" s="253">
        <v>217.04</v>
      </c>
      <c r="P369" s="253">
        <v>212.6</v>
      </c>
      <c r="Q369" s="253">
        <v>212.66</v>
      </c>
      <c r="R369" s="253">
        <v>212.81010000000001</v>
      </c>
      <c r="S369" s="253">
        <v>211.03</v>
      </c>
      <c r="T369" s="253">
        <v>213.59</v>
      </c>
      <c r="U369" s="253">
        <v>217.99</v>
      </c>
      <c r="V369" s="253">
        <v>216.52</v>
      </c>
      <c r="W369" s="253">
        <v>216.52</v>
      </c>
      <c r="X369" s="253">
        <v>218.18</v>
      </c>
      <c r="Y369" s="253">
        <v>221.9</v>
      </c>
      <c r="Z369" s="247">
        <f ca="1">[1]ExtEntry!$I67</f>
        <v>221.9</v>
      </c>
      <c r="AB369" s="263">
        <v>2180</v>
      </c>
      <c r="AC369" s="263">
        <v>-4920</v>
      </c>
      <c r="AD369" s="263">
        <v>6540</v>
      </c>
      <c r="AE369" s="263">
        <v>2800</v>
      </c>
      <c r="AF369" s="263">
        <v>-7860</v>
      </c>
      <c r="AG369" s="263">
        <v>1800</v>
      </c>
      <c r="AH369" s="263">
        <v>4600</v>
      </c>
      <c r="AI369" s="263">
        <v>5490</v>
      </c>
      <c r="AJ369" s="263">
        <v>5490</v>
      </c>
      <c r="AK369" s="263">
        <v>5140</v>
      </c>
      <c r="AL369" s="263">
        <v>1780</v>
      </c>
      <c r="AM369" s="263">
        <v>-2300</v>
      </c>
      <c r="AN369" s="263">
        <v>-2400</v>
      </c>
      <c r="AO369" s="263">
        <v>-3040</v>
      </c>
      <c r="AP369" s="263">
        <v>5200</v>
      </c>
      <c r="AQ369" s="263">
        <v>5400</v>
      </c>
      <c r="AR369" s="263">
        <v>-2025</v>
      </c>
      <c r="AS369" s="263">
        <v>-2025</v>
      </c>
      <c r="AT369" s="263">
        <v>3135</v>
      </c>
      <c r="AU369" s="263">
        <v>3360</v>
      </c>
      <c r="AV369" s="263">
        <f ca="1">Calc!AP67</f>
        <v>3360</v>
      </c>
      <c r="AX369" s="88" t="str">
        <f t="shared" ref="AX369:AX398" ca="1" si="31">A369</f>
        <v>SAFAMZN</v>
      </c>
    </row>
    <row r="370" spans="1:50" hidden="1">
      <c r="A370" s="88" t="str">
        <f t="shared" ca="1" si="30"/>
        <v>SAFASML</v>
      </c>
      <c r="F370" s="253">
        <v>817.1</v>
      </c>
      <c r="G370" s="253">
        <v>963.07</v>
      </c>
      <c r="H370" s="253">
        <v>964.82</v>
      </c>
      <c r="I370" s="253">
        <v>1021.89</v>
      </c>
      <c r="J370" s="253">
        <v>1025.46</v>
      </c>
      <c r="K370" s="253">
        <v>874.8</v>
      </c>
      <c r="L370" s="253">
        <v>812.6</v>
      </c>
      <c r="M370" s="253">
        <v>836</v>
      </c>
      <c r="N370" s="253">
        <v>839.2</v>
      </c>
      <c r="O370" s="253">
        <v>823</v>
      </c>
      <c r="P370" s="253">
        <v>825.6</v>
      </c>
      <c r="Q370" s="253">
        <v>854.9</v>
      </c>
      <c r="R370" s="253">
        <v>874</v>
      </c>
      <c r="S370" s="253">
        <v>855</v>
      </c>
      <c r="T370" s="253">
        <v>877.2</v>
      </c>
      <c r="U370" s="253">
        <v>883.9</v>
      </c>
      <c r="V370" s="253">
        <v>870.1</v>
      </c>
      <c r="W370" s="253">
        <v>870.1</v>
      </c>
      <c r="X370" s="253">
        <v>854.1</v>
      </c>
      <c r="Y370" s="253">
        <v>889.6</v>
      </c>
      <c r="Z370" s="247">
        <f ca="1">[1]ExtEntry!$I68</f>
        <v>889.6</v>
      </c>
      <c r="AB370" s="266">
        <v>1150</v>
      </c>
      <c r="AC370" s="266">
        <v>13.75</v>
      </c>
      <c r="AD370" s="266">
        <v>9416.25</v>
      </c>
      <c r="AE370" s="266">
        <v>-2207.4999999999709</v>
      </c>
      <c r="AF370" s="266">
        <v>305</v>
      </c>
      <c r="AG370" s="266">
        <v>-3775</v>
      </c>
      <c r="AH370" s="266">
        <v>450</v>
      </c>
      <c r="AI370" s="266">
        <v>-250</v>
      </c>
      <c r="AJ370" s="266">
        <v>-700</v>
      </c>
      <c r="AK370" s="266">
        <v>5200</v>
      </c>
      <c r="AL370" s="266">
        <v>2975</v>
      </c>
      <c r="AM370" s="266">
        <v>-650</v>
      </c>
      <c r="AN370" s="266">
        <v>-1575</v>
      </c>
      <c r="AO370" s="266">
        <v>4025</v>
      </c>
      <c r="AP370" s="266">
        <v>3750</v>
      </c>
      <c r="AQ370" s="266">
        <v>-50</v>
      </c>
      <c r="AR370" s="266">
        <v>-1650</v>
      </c>
      <c r="AS370" s="266">
        <v>-1650</v>
      </c>
      <c r="AT370" s="266">
        <v>3925</v>
      </c>
      <c r="AU370" s="266">
        <v>-1400</v>
      </c>
      <c r="AV370" s="263">
        <f ca="1">Calc!AP68</f>
        <v>-1400</v>
      </c>
      <c r="AX370" s="88" t="str">
        <f t="shared" ca="1" si="31"/>
        <v>SAFASML</v>
      </c>
    </row>
    <row r="371" spans="1:50" hidden="1">
      <c r="A371" s="88" t="str">
        <f t="shared" ca="1" si="30"/>
        <v>SAFDDD</v>
      </c>
      <c r="F371" s="253">
        <v>2.9</v>
      </c>
      <c r="G371" s="253">
        <v>2.83</v>
      </c>
      <c r="H371" s="253">
        <v>2.8</v>
      </c>
      <c r="I371" s="253">
        <v>2.83</v>
      </c>
      <c r="J371" s="253">
        <v>3.01</v>
      </c>
      <c r="K371" s="253">
        <v>3.13</v>
      </c>
      <c r="L371" s="253">
        <v>3.14</v>
      </c>
      <c r="M371" s="253">
        <v>3.14</v>
      </c>
      <c r="N371" s="253">
        <v>3.14</v>
      </c>
      <c r="O371" s="253">
        <v>2.86</v>
      </c>
      <c r="P371" s="253">
        <v>2.87</v>
      </c>
      <c r="Q371" s="253">
        <v>3.1150000000000002</v>
      </c>
      <c r="R371" s="253">
        <v>3.23</v>
      </c>
      <c r="S371" s="253">
        <v>3.09</v>
      </c>
      <c r="T371" s="253">
        <v>3.21</v>
      </c>
      <c r="U371" s="253">
        <v>3.31</v>
      </c>
      <c r="V371" s="253">
        <v>2.94</v>
      </c>
      <c r="W371" s="253">
        <v>2.94</v>
      </c>
      <c r="X371" s="253">
        <v>3.01</v>
      </c>
      <c r="Y371" s="253">
        <v>3.11</v>
      </c>
      <c r="Z371" s="247">
        <f ca="1">[1]ExtEntry!$I69</f>
        <v>3.11</v>
      </c>
      <c r="AB371" s="263">
        <v>-36300</v>
      </c>
      <c r="AC371" s="263">
        <v>-6050</v>
      </c>
      <c r="AD371" s="263">
        <v>-3025</v>
      </c>
      <c r="AE371" s="263">
        <v>6655</v>
      </c>
      <c r="AF371" s="263">
        <v>13310</v>
      </c>
      <c r="AG371" s="263">
        <v>-3850</v>
      </c>
      <c r="AH371" s="263">
        <v>7150</v>
      </c>
      <c r="AI371" s="263">
        <v>-11000</v>
      </c>
      <c r="AJ371" s="263">
        <v>-11000</v>
      </c>
      <c r="AK371" s="263">
        <v>11000</v>
      </c>
      <c r="AL371" s="263">
        <v>15400</v>
      </c>
      <c r="AM371" s="263">
        <v>4400</v>
      </c>
      <c r="AN371" s="263">
        <v>-5500</v>
      </c>
      <c r="AO371" s="263">
        <v>-7700</v>
      </c>
      <c r="AP371" s="263">
        <v>59950</v>
      </c>
      <c r="AQ371" s="263">
        <v>-31900</v>
      </c>
      <c r="AR371" s="263">
        <v>-40150</v>
      </c>
      <c r="AS371" s="263">
        <v>-40150</v>
      </c>
      <c r="AT371" s="263">
        <v>-550</v>
      </c>
      <c r="AU371" s="263">
        <v>-6050</v>
      </c>
      <c r="AV371" s="263">
        <f ca="1">Calc!AP69</f>
        <v>-5500</v>
      </c>
      <c r="AX371" s="88" t="str">
        <f t="shared" ca="1" si="31"/>
        <v>SAFDDD</v>
      </c>
    </row>
    <row r="372" spans="1:50" hidden="1">
      <c r="A372" s="88" t="str">
        <f t="shared" ca="1" si="30"/>
        <v>SAFDIS</v>
      </c>
      <c r="F372" s="253">
        <v>113.33</v>
      </c>
      <c r="G372" s="253">
        <v>113.33499999999999</v>
      </c>
      <c r="H372" s="253">
        <v>112.79</v>
      </c>
      <c r="I372" s="253">
        <v>110.77500000000001</v>
      </c>
      <c r="J372" s="253">
        <v>111.56</v>
      </c>
      <c r="K372" s="253">
        <v>111.8</v>
      </c>
      <c r="L372" s="253">
        <v>111.65</v>
      </c>
      <c r="M372" s="253">
        <v>110.875</v>
      </c>
      <c r="N372" s="253">
        <v>110.875</v>
      </c>
      <c r="O372" s="253">
        <v>109.38</v>
      </c>
      <c r="P372" s="253">
        <v>109.2</v>
      </c>
      <c r="Q372" s="253">
        <v>111.14</v>
      </c>
      <c r="R372" s="253">
        <v>108.51</v>
      </c>
      <c r="S372" s="253">
        <v>109.44</v>
      </c>
      <c r="T372" s="253">
        <v>110.6</v>
      </c>
      <c r="U372" s="253">
        <v>112.04</v>
      </c>
      <c r="V372" s="253">
        <v>112.98</v>
      </c>
      <c r="W372" s="253">
        <v>112.98</v>
      </c>
      <c r="X372" s="253">
        <v>111.90009999999999</v>
      </c>
      <c r="Y372" s="253">
        <v>111.59</v>
      </c>
      <c r="Z372" s="247">
        <f ca="1">[1]ExtEntry!$I70</f>
        <v>111.59</v>
      </c>
      <c r="AB372" s="266">
        <v>546.04999999998836</v>
      </c>
      <c r="AC372" s="266">
        <v>-33.5</v>
      </c>
      <c r="AD372" s="266">
        <v>-767.15000000000873</v>
      </c>
      <c r="AE372" s="266">
        <v>-546.05000000000291</v>
      </c>
      <c r="AF372" s="266">
        <v>304.85000000000582</v>
      </c>
      <c r="AG372" s="266">
        <v>-72</v>
      </c>
      <c r="AH372" s="266">
        <v>-1098</v>
      </c>
      <c r="AI372" s="266">
        <v>-996</v>
      </c>
      <c r="AJ372" s="266">
        <v>-996</v>
      </c>
      <c r="AK372" s="266">
        <v>156</v>
      </c>
      <c r="AL372" s="266">
        <v>1674</v>
      </c>
      <c r="AM372" s="266">
        <v>546</v>
      </c>
      <c r="AN372" s="266">
        <v>-2274</v>
      </c>
      <c r="AO372" s="266">
        <v>1116</v>
      </c>
      <c r="AP372" s="266">
        <v>1140</v>
      </c>
      <c r="AQ372" s="266">
        <v>2472</v>
      </c>
      <c r="AR372" s="266">
        <v>-1080</v>
      </c>
      <c r="AS372" s="266">
        <v>-1080</v>
      </c>
      <c r="AT372" s="266">
        <v>-180</v>
      </c>
      <c r="AU372" s="266">
        <v>-1872</v>
      </c>
      <c r="AV372" s="263">
        <f ca="1">Calc!AP70</f>
        <v>-1860</v>
      </c>
      <c r="AX372" s="88" t="str">
        <f t="shared" ca="1" si="31"/>
        <v>SAFDIS</v>
      </c>
    </row>
    <row r="373" spans="1:50" hidden="1">
      <c r="A373" s="88" t="str">
        <f t="shared" ca="1" si="30"/>
        <v>SAFGM</v>
      </c>
      <c r="F373" s="253">
        <v>60.77</v>
      </c>
      <c r="G373" s="253">
        <v>60.55</v>
      </c>
      <c r="H373" s="253">
        <v>60.13</v>
      </c>
      <c r="I373" s="253">
        <v>59.21</v>
      </c>
      <c r="J373" s="253">
        <v>58.67</v>
      </c>
      <c r="K373" s="253">
        <v>56.63</v>
      </c>
      <c r="L373" s="253">
        <v>56.24</v>
      </c>
      <c r="M373" s="253">
        <v>55.91</v>
      </c>
      <c r="N373" s="253">
        <v>55.91</v>
      </c>
      <c r="O373" s="253">
        <v>55.35</v>
      </c>
      <c r="P373" s="253">
        <v>54.33</v>
      </c>
      <c r="Q373" s="253">
        <v>57.01</v>
      </c>
      <c r="R373" s="253">
        <v>56.81</v>
      </c>
      <c r="S373" s="253">
        <v>57.55</v>
      </c>
      <c r="T373" s="253">
        <v>57.68</v>
      </c>
      <c r="U373" s="253">
        <v>62.36</v>
      </c>
      <c r="V373" s="253">
        <v>65.89</v>
      </c>
      <c r="W373" s="253">
        <v>65.89</v>
      </c>
      <c r="X373" s="253">
        <v>66.569999999999993</v>
      </c>
      <c r="Y373" s="253">
        <v>67.290000000000006</v>
      </c>
      <c r="Z373" s="247">
        <f ca="1">[1]ExtEntry!$I71</f>
        <v>67.290000000000006</v>
      </c>
      <c r="AB373" s="263">
        <v>0</v>
      </c>
      <c r="AC373" s="263">
        <v>0</v>
      </c>
      <c r="AD373" s="263">
        <v>0</v>
      </c>
      <c r="AE373" s="263">
        <v>0</v>
      </c>
      <c r="AF373" s="263">
        <v>0</v>
      </c>
      <c r="AG373" s="263">
        <v>0</v>
      </c>
      <c r="AH373" s="263">
        <v>0</v>
      </c>
      <c r="AI373" s="263">
        <v>0</v>
      </c>
      <c r="AJ373" s="263">
        <v>0</v>
      </c>
      <c r="AK373" s="263">
        <v>0</v>
      </c>
      <c r="AL373" s="263">
        <v>0</v>
      </c>
      <c r="AM373" s="263">
        <v>0</v>
      </c>
      <c r="AN373" s="263">
        <v>0</v>
      </c>
      <c r="AO373" s="263">
        <v>0</v>
      </c>
      <c r="AP373" s="263">
        <v>0</v>
      </c>
      <c r="AQ373" s="263">
        <v>0</v>
      </c>
      <c r="AR373" s="263">
        <v>0</v>
      </c>
      <c r="AS373" s="263">
        <v>0</v>
      </c>
      <c r="AT373" s="263">
        <v>0</v>
      </c>
      <c r="AU373" s="263">
        <v>0</v>
      </c>
      <c r="AV373" s="263">
        <f ca="1">Calc!AP71</f>
        <v>0</v>
      </c>
      <c r="AX373" s="88" t="str">
        <f t="shared" ca="1" si="31"/>
        <v>SAFGM</v>
      </c>
    </row>
    <row r="374" spans="1:50" hidden="1">
      <c r="A374" s="88" t="str">
        <f t="shared" ca="1" si="30"/>
        <v>SAFIAG</v>
      </c>
      <c r="F374" s="253">
        <v>381.2</v>
      </c>
      <c r="G374" s="253">
        <v>381.8</v>
      </c>
      <c r="H374" s="253">
        <v>377.5</v>
      </c>
      <c r="I374" s="253">
        <v>379.2</v>
      </c>
      <c r="J374" s="253">
        <v>384</v>
      </c>
      <c r="K374" s="253">
        <v>385.1</v>
      </c>
      <c r="L374" s="253">
        <v>389.7</v>
      </c>
      <c r="M374" s="253">
        <v>399.9</v>
      </c>
      <c r="N374" s="253">
        <v>407.8</v>
      </c>
      <c r="O374" s="253">
        <v>404.5</v>
      </c>
      <c r="P374" s="253">
        <v>395.8</v>
      </c>
      <c r="Q374" s="253">
        <v>407.3</v>
      </c>
      <c r="R374" s="253">
        <v>398.9</v>
      </c>
      <c r="S374" s="253">
        <v>391.2</v>
      </c>
      <c r="T374" s="253">
        <v>393</v>
      </c>
      <c r="U374" s="253">
        <v>389.7</v>
      </c>
      <c r="V374" s="253">
        <v>397.7</v>
      </c>
      <c r="W374" s="253">
        <v>397.7</v>
      </c>
      <c r="X374" s="253">
        <v>398.9</v>
      </c>
      <c r="Y374" s="253">
        <v>402</v>
      </c>
      <c r="Z374" s="247">
        <f ca="1">[1]ExtEntry!$I72</f>
        <v>402</v>
      </c>
      <c r="AB374" s="266">
        <v>0</v>
      </c>
      <c r="AC374" s="266">
        <v>0</v>
      </c>
      <c r="AD374" s="266">
        <v>0</v>
      </c>
      <c r="AE374" s="266">
        <v>0</v>
      </c>
      <c r="AF374" s="266">
        <v>0</v>
      </c>
      <c r="AG374" s="266">
        <v>0</v>
      </c>
      <c r="AH374" s="266">
        <v>0</v>
      </c>
      <c r="AI374" s="266">
        <v>0</v>
      </c>
      <c r="AJ374" s="266">
        <v>0</v>
      </c>
      <c r="AK374" s="266">
        <v>0</v>
      </c>
      <c r="AL374" s="266">
        <v>0</v>
      </c>
      <c r="AM374" s="266">
        <v>0</v>
      </c>
      <c r="AN374" s="266">
        <v>0</v>
      </c>
      <c r="AO374" s="266">
        <v>0</v>
      </c>
      <c r="AP374" s="266">
        <v>0</v>
      </c>
      <c r="AQ374" s="266">
        <v>0</v>
      </c>
      <c r="AR374" s="266">
        <v>0</v>
      </c>
      <c r="AS374" s="266">
        <v>0</v>
      </c>
      <c r="AT374" s="266">
        <v>0</v>
      </c>
      <c r="AU374" s="266">
        <v>0</v>
      </c>
      <c r="AV374" s="263">
        <f ca="1">Calc!AP72</f>
        <v>0</v>
      </c>
      <c r="AX374" s="88" t="str">
        <f t="shared" ca="1" si="31"/>
        <v>SAFIAG</v>
      </c>
    </row>
    <row r="375" spans="1:50" hidden="1">
      <c r="A375" s="88" t="str">
        <f t="shared" ca="1" si="30"/>
        <v>SAFMRNA</v>
      </c>
      <c r="F375" s="253">
        <v>24.44</v>
      </c>
      <c r="G375" s="253">
        <v>24.56</v>
      </c>
      <c r="H375" s="253">
        <v>26.12</v>
      </c>
      <c r="I375" s="253">
        <v>26.99</v>
      </c>
      <c r="J375" s="253">
        <v>27.914999999999999</v>
      </c>
      <c r="K375" s="253">
        <v>26.91</v>
      </c>
      <c r="L375" s="253">
        <v>27.31</v>
      </c>
      <c r="M375" s="253">
        <v>27.4</v>
      </c>
      <c r="N375" s="253">
        <v>27.4</v>
      </c>
      <c r="O375" s="253">
        <v>26.605</v>
      </c>
      <c r="P375" s="253">
        <v>26.01</v>
      </c>
      <c r="Q375" s="253">
        <v>26.38</v>
      </c>
      <c r="R375" s="253">
        <v>27.11</v>
      </c>
      <c r="S375" s="253">
        <v>25.684999999999999</v>
      </c>
      <c r="T375" s="253">
        <v>26.39</v>
      </c>
      <c r="U375" s="253">
        <v>26.65</v>
      </c>
      <c r="V375" s="253">
        <v>26.265000000000001</v>
      </c>
      <c r="W375" s="253">
        <v>26.265000000000001</v>
      </c>
      <c r="X375" s="253">
        <v>25.57</v>
      </c>
      <c r="Y375" s="253">
        <v>26.11</v>
      </c>
      <c r="Z375" s="247">
        <f ca="1">[1]ExtEntry!$I73</f>
        <v>26.11</v>
      </c>
      <c r="AB375" s="263">
        <v>1443</v>
      </c>
      <c r="AC375" s="263">
        <v>3649.9999999999854</v>
      </c>
      <c r="AD375" s="263">
        <v>7400</v>
      </c>
      <c r="AE375" s="263">
        <v>1750</v>
      </c>
      <c r="AF375" s="263">
        <v>-850</v>
      </c>
      <c r="AG375" s="263">
        <v>-1375</v>
      </c>
      <c r="AH375" s="263">
        <v>2750</v>
      </c>
      <c r="AI375" s="263">
        <v>-2850</v>
      </c>
      <c r="AJ375" s="263">
        <v>-2850</v>
      </c>
      <c r="AK375" s="263">
        <v>-2500</v>
      </c>
      <c r="AL375" s="263">
        <v>-350</v>
      </c>
      <c r="AM375" s="263">
        <v>5925</v>
      </c>
      <c r="AN375" s="263">
        <v>-3525</v>
      </c>
      <c r="AO375" s="263">
        <v>-2049.9999999999854</v>
      </c>
      <c r="AP375" s="263">
        <v>4150</v>
      </c>
      <c r="AQ375" s="263">
        <v>1200</v>
      </c>
      <c r="AR375" s="263">
        <v>-1800</v>
      </c>
      <c r="AS375" s="263">
        <v>-1800</v>
      </c>
      <c r="AT375" s="263">
        <v>2150</v>
      </c>
      <c r="AU375" s="263">
        <v>1100</v>
      </c>
      <c r="AV375" s="263">
        <f ca="1">Calc!AP73</f>
        <v>1100</v>
      </c>
      <c r="AX375" s="88" t="str">
        <f t="shared" ca="1" si="31"/>
        <v>SAFMRNA</v>
      </c>
    </row>
    <row r="376" spans="1:50" hidden="1">
      <c r="A376" s="88" t="str">
        <f t="shared" ca="1" si="30"/>
        <v>BLNK</v>
      </c>
      <c r="F376" s="253">
        <v>1.55</v>
      </c>
      <c r="G376" s="253">
        <v>1.62</v>
      </c>
      <c r="H376" s="253">
        <v>1.6209</v>
      </c>
      <c r="I376" s="253">
        <v>1.76</v>
      </c>
      <c r="J376" s="253">
        <v>1.82</v>
      </c>
      <c r="K376" s="253">
        <v>2.35</v>
      </c>
      <c r="L376" s="253">
        <v>2.23</v>
      </c>
      <c r="M376" s="253">
        <v>2.15</v>
      </c>
      <c r="N376" s="253">
        <v>2.15</v>
      </c>
      <c r="O376" s="253">
        <v>2.09</v>
      </c>
      <c r="P376" s="253">
        <v>2.0499999999999998</v>
      </c>
      <c r="Q376" s="253">
        <v>2.08</v>
      </c>
      <c r="R376" s="253">
        <v>1.89</v>
      </c>
      <c r="S376" s="253">
        <v>1.76</v>
      </c>
      <c r="T376" s="253">
        <v>1.87</v>
      </c>
      <c r="U376" s="253">
        <v>1.7450000000000001</v>
      </c>
      <c r="V376" s="253">
        <v>1.69</v>
      </c>
      <c r="W376" s="253">
        <v>1.69</v>
      </c>
      <c r="X376" s="253">
        <v>1.7649999999999999</v>
      </c>
      <c r="Y376" s="253">
        <v>1.8</v>
      </c>
      <c r="Z376" s="247">
        <f ca="1">[1]ExtEntry!$I74</f>
        <v>1.8</v>
      </c>
      <c r="AB376" s="266">
        <v>22440</v>
      </c>
      <c r="AC376" s="266">
        <v>-13200</v>
      </c>
      <c r="AD376" s="266">
        <v>23760</v>
      </c>
      <c r="AE376" s="266">
        <v>-6600</v>
      </c>
      <c r="AF376" s="266">
        <v>22440</v>
      </c>
      <c r="AG376" s="266">
        <v>-30360</v>
      </c>
      <c r="AH376" s="266">
        <v>-14520</v>
      </c>
      <c r="AI376" s="266">
        <v>-13200</v>
      </c>
      <c r="AJ376" s="266">
        <v>-13200</v>
      </c>
      <c r="AK376" s="266">
        <v>11880</v>
      </c>
      <c r="AL376" s="266">
        <v>15840</v>
      </c>
      <c r="AM376" s="266">
        <v>-17820</v>
      </c>
      <c r="AN376" s="266">
        <v>-26400</v>
      </c>
      <c r="AO376" s="266">
        <v>-4800</v>
      </c>
      <c r="AP376" s="266">
        <v>-1200</v>
      </c>
      <c r="AQ376" s="266">
        <v>-10800</v>
      </c>
      <c r="AR376" s="266">
        <v>9600</v>
      </c>
      <c r="AS376" s="266">
        <v>9600</v>
      </c>
      <c r="AT376" s="266">
        <v>-1200</v>
      </c>
      <c r="AU376" s="266">
        <v>12000</v>
      </c>
      <c r="AV376" s="263">
        <f ca="1">Calc!AP74</f>
        <v>12000</v>
      </c>
      <c r="AX376" s="88" t="str">
        <f t="shared" ca="1" si="31"/>
        <v>BLNK</v>
      </c>
    </row>
    <row r="377" spans="1:50" hidden="1">
      <c r="A377" s="88" t="str">
        <f t="shared" ca="1" si="30"/>
        <v>ENI</v>
      </c>
      <c r="F377" s="253">
        <v>15.055999999999999</v>
      </c>
      <c r="G377" s="253">
        <v>14.786</v>
      </c>
      <c r="H377" s="253">
        <v>14.86</v>
      </c>
      <c r="I377" s="253">
        <v>14.866</v>
      </c>
      <c r="J377" s="253">
        <v>14.868</v>
      </c>
      <c r="K377" s="253">
        <v>15.1</v>
      </c>
      <c r="L377" s="253">
        <v>15.247999999999999</v>
      </c>
      <c r="M377" s="253">
        <v>15.334</v>
      </c>
      <c r="N377" s="253">
        <v>15.196</v>
      </c>
      <c r="O377" s="253">
        <v>14.9</v>
      </c>
      <c r="P377" s="253">
        <v>14.7</v>
      </c>
      <c r="Q377" s="253">
        <v>14.69</v>
      </c>
      <c r="R377" s="253">
        <v>14.747999999999999</v>
      </c>
      <c r="S377" s="253">
        <v>14.54</v>
      </c>
      <c r="T377" s="253">
        <v>14.818</v>
      </c>
      <c r="U377" s="253">
        <v>14.882</v>
      </c>
      <c r="V377" s="253">
        <v>15.012</v>
      </c>
      <c r="W377" s="253">
        <v>15.012</v>
      </c>
      <c r="X377" s="253">
        <v>15.327999999999999</v>
      </c>
      <c r="Y377" s="253">
        <v>15.638</v>
      </c>
      <c r="Z377" s="247">
        <f ca="1">[1]ExtEntry!$I75</f>
        <v>15.638</v>
      </c>
      <c r="AB377" s="263">
        <v>-3916</v>
      </c>
      <c r="AC377" s="263">
        <v>-3696</v>
      </c>
      <c r="AD377" s="263">
        <v>2332</v>
      </c>
      <c r="AE377" s="263">
        <v>132</v>
      </c>
      <c r="AF377" s="263">
        <v>132</v>
      </c>
      <c r="AG377" s="263">
        <v>440</v>
      </c>
      <c r="AH377" s="263">
        <v>-308</v>
      </c>
      <c r="AI377" s="263">
        <v>836</v>
      </c>
      <c r="AJ377" s="263">
        <v>-1056</v>
      </c>
      <c r="AK377" s="263">
        <v>-1232</v>
      </c>
      <c r="AL377" s="263">
        <v>-4620</v>
      </c>
      <c r="AM377" s="263">
        <v>572</v>
      </c>
      <c r="AN377" s="263">
        <v>-308</v>
      </c>
      <c r="AO377" s="263">
        <v>5808</v>
      </c>
      <c r="AP377" s="263">
        <v>352</v>
      </c>
      <c r="AQ377" s="263">
        <v>-308</v>
      </c>
      <c r="AR377" s="263">
        <v>1672</v>
      </c>
      <c r="AS377" s="263">
        <v>1672</v>
      </c>
      <c r="AT377" s="263">
        <v>5192</v>
      </c>
      <c r="AU377" s="263">
        <v>132</v>
      </c>
      <c r="AV377" s="263">
        <f ca="1">Calc!AP75</f>
        <v>132</v>
      </c>
      <c r="AX377" s="88" t="str">
        <f t="shared" ca="1" si="31"/>
        <v>ENI</v>
      </c>
    </row>
    <row r="378" spans="1:50" hidden="1">
      <c r="A378" s="88" t="str">
        <f t="shared" ca="1" si="30"/>
        <v>EZJ</v>
      </c>
      <c r="F378" s="253">
        <v>454.8</v>
      </c>
      <c r="G378" s="253">
        <v>459</v>
      </c>
      <c r="H378" s="253">
        <v>457</v>
      </c>
      <c r="I378" s="253">
        <v>462.1</v>
      </c>
      <c r="J378" s="253">
        <v>463.8</v>
      </c>
      <c r="K378" s="253">
        <v>465.4</v>
      </c>
      <c r="L378" s="253">
        <v>464.1</v>
      </c>
      <c r="M378" s="253">
        <v>470.3</v>
      </c>
      <c r="N378" s="253">
        <v>470.3</v>
      </c>
      <c r="O378" s="253">
        <v>462</v>
      </c>
      <c r="P378" s="253">
        <v>473</v>
      </c>
      <c r="Q378" s="253">
        <v>480.7</v>
      </c>
      <c r="R378" s="253">
        <v>478.2</v>
      </c>
      <c r="S378" s="253">
        <v>479.7</v>
      </c>
      <c r="T378" s="253">
        <v>479.8</v>
      </c>
      <c r="U378" s="253">
        <v>474.7</v>
      </c>
      <c r="V378" s="253">
        <v>482.2</v>
      </c>
      <c r="W378" s="253">
        <v>482.2</v>
      </c>
      <c r="X378" s="253">
        <v>479.5</v>
      </c>
      <c r="Y378" s="253">
        <v>477.5</v>
      </c>
      <c r="Z378" s="247">
        <f ca="1">[1]ExtEntry!$I76</f>
        <v>477.5</v>
      </c>
      <c r="AB378" s="266">
        <v>1720</v>
      </c>
      <c r="AC378" s="266">
        <v>800</v>
      </c>
      <c r="AD378" s="266">
        <v>-120</v>
      </c>
      <c r="AE378" s="266">
        <v>-400</v>
      </c>
      <c r="AF378" s="266">
        <v>2560</v>
      </c>
      <c r="AG378" s="266">
        <v>-1560</v>
      </c>
      <c r="AH378" s="266">
        <v>2200</v>
      </c>
      <c r="AI378" s="266">
        <v>-600</v>
      </c>
      <c r="AJ378" s="266">
        <v>-989.28</v>
      </c>
      <c r="AK378" s="266">
        <v>600</v>
      </c>
      <c r="AL378" s="266">
        <v>-3440</v>
      </c>
      <c r="AM378" s="266">
        <v>-7960</v>
      </c>
      <c r="AN378" s="266">
        <v>3360</v>
      </c>
      <c r="AO378" s="266">
        <v>1480</v>
      </c>
      <c r="AP378" s="266">
        <v>-1080</v>
      </c>
      <c r="AQ378" s="266">
        <v>-2040</v>
      </c>
      <c r="AR378" s="266">
        <v>3030</v>
      </c>
      <c r="AS378" s="266">
        <v>3030</v>
      </c>
      <c r="AT378" s="266">
        <v>-2430</v>
      </c>
      <c r="AU378" s="266">
        <v>930</v>
      </c>
      <c r="AV378" s="263">
        <f ca="1">Calc!AP76</f>
        <v>930</v>
      </c>
      <c r="AX378" s="88" t="str">
        <f t="shared" ca="1" si="31"/>
        <v>EZJ</v>
      </c>
    </row>
    <row r="379" spans="1:50" hidden="1">
      <c r="A379" s="88" t="str">
        <f t="shared" ca="1" si="30"/>
        <v>F</v>
      </c>
      <c r="F379" s="253">
        <v>11.89</v>
      </c>
      <c r="G379" s="253">
        <v>11.91</v>
      </c>
      <c r="H379" s="253">
        <v>12.04</v>
      </c>
      <c r="I379" s="253">
        <v>12.12</v>
      </c>
      <c r="J379" s="253">
        <v>12.2</v>
      </c>
      <c r="K379" s="253">
        <v>11.74</v>
      </c>
      <c r="L379" s="253">
        <v>11.68</v>
      </c>
      <c r="M379" s="253">
        <v>11.48</v>
      </c>
      <c r="N379" s="253">
        <v>11.48</v>
      </c>
      <c r="O379" s="253">
        <v>11.46</v>
      </c>
      <c r="P379" s="253">
        <v>11.34</v>
      </c>
      <c r="Q379" s="253">
        <v>11.64</v>
      </c>
      <c r="R379" s="253">
        <v>11.64</v>
      </c>
      <c r="S379" s="253">
        <v>11.72</v>
      </c>
      <c r="T379" s="253">
        <v>11.91</v>
      </c>
      <c r="U379" s="253">
        <v>12.07</v>
      </c>
      <c r="V379" s="253">
        <v>12.28</v>
      </c>
      <c r="W379" s="253">
        <v>12.28</v>
      </c>
      <c r="X379" s="253">
        <v>12.19</v>
      </c>
      <c r="Y379" s="253">
        <v>12.71</v>
      </c>
      <c r="Z379" s="247">
        <f ca="1">[1]ExtEntry!$I77</f>
        <v>12.71</v>
      </c>
      <c r="AB379" s="263">
        <v>-471.90000000000146</v>
      </c>
      <c r="AC379" s="263">
        <v>-465</v>
      </c>
      <c r="AD379" s="263">
        <v>450</v>
      </c>
      <c r="AE379" s="263">
        <v>-135</v>
      </c>
      <c r="AF379" s="263">
        <v>1245</v>
      </c>
      <c r="AG379" s="263">
        <v>-1725</v>
      </c>
      <c r="AH379" s="263">
        <v>-705</v>
      </c>
      <c r="AI379" s="263">
        <v>-675</v>
      </c>
      <c r="AJ379" s="263">
        <v>-735</v>
      </c>
      <c r="AK379" s="263">
        <v>165</v>
      </c>
      <c r="AL379" s="263">
        <v>795</v>
      </c>
      <c r="AM379" s="263">
        <v>225</v>
      </c>
      <c r="AN379" s="263">
        <v>15</v>
      </c>
      <c r="AO379" s="263">
        <v>540</v>
      </c>
      <c r="AP379" s="263">
        <v>0</v>
      </c>
      <c r="AQ379" s="263">
        <v>0</v>
      </c>
      <c r="AR379" s="263">
        <v>0</v>
      </c>
      <c r="AS379" s="263">
        <v>0</v>
      </c>
      <c r="AT379" s="263">
        <v>0</v>
      </c>
      <c r="AU379" s="263">
        <v>0</v>
      </c>
      <c r="AV379" s="263">
        <f ca="1">Calc!AP77</f>
        <v>0</v>
      </c>
      <c r="AX379" s="88" t="str">
        <f t="shared" ca="1" si="31"/>
        <v>F</v>
      </c>
    </row>
    <row r="380" spans="1:50" hidden="1">
      <c r="A380" s="88" t="str">
        <f t="shared" ca="1" si="30"/>
        <v>GLE</v>
      </c>
      <c r="F380" s="253">
        <v>56.58</v>
      </c>
      <c r="G380" s="253">
        <v>56.24</v>
      </c>
      <c r="H380" s="253">
        <v>55.66</v>
      </c>
      <c r="I380" s="253">
        <v>56.72</v>
      </c>
      <c r="J380" s="253">
        <v>56.36</v>
      </c>
      <c r="K380" s="253">
        <v>53.06</v>
      </c>
      <c r="L380" s="253">
        <v>53.42</v>
      </c>
      <c r="M380" s="253">
        <v>54.36</v>
      </c>
      <c r="N380" s="253">
        <v>54.06</v>
      </c>
      <c r="O380" s="253">
        <v>53.54</v>
      </c>
      <c r="P380" s="253">
        <v>52.8</v>
      </c>
      <c r="Q380" s="253">
        <v>55.56</v>
      </c>
      <c r="R380" s="253">
        <v>54.88</v>
      </c>
      <c r="S380" s="253">
        <v>53.18</v>
      </c>
      <c r="T380" s="253">
        <v>51.98</v>
      </c>
      <c r="U380" s="253">
        <v>52.84</v>
      </c>
      <c r="V380" s="253">
        <v>52.26</v>
      </c>
      <c r="W380" s="253">
        <v>52.26</v>
      </c>
      <c r="X380" s="253">
        <v>52.8</v>
      </c>
      <c r="Y380" s="253">
        <v>52.4</v>
      </c>
      <c r="Z380" s="247">
        <f ca="1">[1]ExtEntry!$I78</f>
        <v>52.4</v>
      </c>
      <c r="AB380" s="266">
        <v>0</v>
      </c>
      <c r="AC380" s="266">
        <v>0</v>
      </c>
      <c r="AD380" s="266">
        <v>0</v>
      </c>
      <c r="AE380" s="266">
        <v>0</v>
      </c>
      <c r="AF380" s="266">
        <v>0</v>
      </c>
      <c r="AG380" s="266">
        <v>0</v>
      </c>
      <c r="AH380" s="266">
        <v>0</v>
      </c>
      <c r="AI380" s="266">
        <v>0</v>
      </c>
      <c r="AJ380" s="266">
        <v>0</v>
      </c>
      <c r="AK380" s="266">
        <v>0</v>
      </c>
      <c r="AL380" s="266">
        <v>0</v>
      </c>
      <c r="AM380" s="266">
        <v>0</v>
      </c>
      <c r="AN380" s="266">
        <v>0</v>
      </c>
      <c r="AO380" s="266">
        <v>0</v>
      </c>
      <c r="AP380" s="266">
        <v>0</v>
      </c>
      <c r="AQ380" s="266">
        <v>0</v>
      </c>
      <c r="AR380" s="266">
        <v>0</v>
      </c>
      <c r="AS380" s="266">
        <v>0</v>
      </c>
      <c r="AT380" s="266">
        <v>0</v>
      </c>
      <c r="AU380" s="266">
        <v>0</v>
      </c>
      <c r="AV380" s="263">
        <f ca="1">Calc!AP78</f>
        <v>0</v>
      </c>
      <c r="AX380" s="88" t="str">
        <f t="shared" ca="1" si="31"/>
        <v>GLE</v>
      </c>
    </row>
    <row r="381" spans="1:50" hidden="1">
      <c r="A381" s="88" t="str">
        <f t="shared" ca="1" si="30"/>
        <v>GNRC</v>
      </c>
      <c r="F381" s="253">
        <v>164.80590000000001</v>
      </c>
      <c r="G381" s="253">
        <v>166.13</v>
      </c>
      <c r="H381" s="253">
        <v>165.12</v>
      </c>
      <c r="I381" s="253">
        <v>167.03</v>
      </c>
      <c r="J381" s="253">
        <v>163.69</v>
      </c>
      <c r="K381" s="253">
        <v>163.74</v>
      </c>
      <c r="L381" s="253">
        <v>166.47</v>
      </c>
      <c r="M381" s="253">
        <v>168.15</v>
      </c>
      <c r="N381" s="253">
        <v>168.15</v>
      </c>
      <c r="O381" s="253">
        <v>171.47</v>
      </c>
      <c r="P381" s="253">
        <v>170.52</v>
      </c>
      <c r="Q381" s="253">
        <v>186.22</v>
      </c>
      <c r="R381" s="253">
        <v>188.76</v>
      </c>
      <c r="S381" s="253">
        <v>188.12</v>
      </c>
      <c r="T381" s="253">
        <v>192.46</v>
      </c>
      <c r="U381" s="253">
        <v>190.5</v>
      </c>
      <c r="V381" s="253">
        <v>180.32</v>
      </c>
      <c r="W381" s="253">
        <v>180.32</v>
      </c>
      <c r="X381" s="253">
        <v>181.69499999999999</v>
      </c>
      <c r="Y381" s="253">
        <v>190.91</v>
      </c>
      <c r="Z381" s="247">
        <f ca="1">[1]ExtEntry!$I79</f>
        <v>190.91</v>
      </c>
      <c r="AB381" s="263">
        <v>-2448</v>
      </c>
      <c r="AC381" s="263">
        <v>896</v>
      </c>
      <c r="AD381" s="263">
        <v>304</v>
      </c>
      <c r="AE381" s="263">
        <v>1400</v>
      </c>
      <c r="AF381" s="263">
        <v>-3464</v>
      </c>
      <c r="AG381" s="263">
        <v>2072</v>
      </c>
      <c r="AH381" s="263">
        <v>2884</v>
      </c>
      <c r="AI381" s="263">
        <v>1784</v>
      </c>
      <c r="AJ381" s="263">
        <v>1784</v>
      </c>
      <c r="AK381" s="263">
        <v>1256</v>
      </c>
      <c r="AL381" s="263">
        <v>10380</v>
      </c>
      <c r="AM381" s="263">
        <v>5100</v>
      </c>
      <c r="AN381" s="263">
        <v>-435</v>
      </c>
      <c r="AO381" s="263">
        <v>-222.00000000001455</v>
      </c>
      <c r="AP381" s="263">
        <v>1662</v>
      </c>
      <c r="AQ381" s="263">
        <v>-732</v>
      </c>
      <c r="AR381" s="263">
        <v>-8919</v>
      </c>
      <c r="AS381" s="263">
        <v>-8919</v>
      </c>
      <c r="AT381" s="263">
        <v>5346</v>
      </c>
      <c r="AU381" s="263">
        <v>-630</v>
      </c>
      <c r="AV381" s="263">
        <f ca="1">Calc!AP79</f>
        <v>-684</v>
      </c>
      <c r="AX381" s="88" t="str">
        <f t="shared" ca="1" si="31"/>
        <v>GNRC</v>
      </c>
    </row>
    <row r="382" spans="1:50" hidden="1">
      <c r="A382" s="88" t="str">
        <f t="shared" ca="1" si="30"/>
        <v>GS</v>
      </c>
      <c r="F382" s="253">
        <v>797.98500000000001</v>
      </c>
      <c r="G382" s="253">
        <v>786.45309999999995</v>
      </c>
      <c r="H382" s="253">
        <v>783.23</v>
      </c>
      <c r="I382" s="253">
        <v>772.44470000000001</v>
      </c>
      <c r="J382" s="253">
        <v>777.86</v>
      </c>
      <c r="K382" s="253">
        <v>781.39</v>
      </c>
      <c r="L382" s="253">
        <v>774.34</v>
      </c>
      <c r="M382" s="253">
        <v>771.35</v>
      </c>
      <c r="N382" s="253">
        <v>771.35</v>
      </c>
      <c r="O382" s="253">
        <v>777.88</v>
      </c>
      <c r="P382" s="253">
        <v>742.46010000000001</v>
      </c>
      <c r="Q382" s="253">
        <v>762.82</v>
      </c>
      <c r="R382" s="253">
        <v>752.41</v>
      </c>
      <c r="S382" s="253">
        <v>740.01</v>
      </c>
      <c r="T382" s="253">
        <v>752.88</v>
      </c>
      <c r="U382" s="253">
        <v>758.27</v>
      </c>
      <c r="V382" s="253">
        <v>743.11</v>
      </c>
      <c r="W382" s="253">
        <v>743.11</v>
      </c>
      <c r="X382" s="253">
        <v>744.66</v>
      </c>
      <c r="Y382" s="253">
        <v>756</v>
      </c>
      <c r="Z382" s="247">
        <f ca="1">[1]ExtEntry!$I80</f>
        <v>756</v>
      </c>
      <c r="AB382" s="266">
        <v>0</v>
      </c>
      <c r="AC382" s="266">
        <v>0</v>
      </c>
      <c r="AD382" s="266">
        <v>0</v>
      </c>
      <c r="AE382" s="266">
        <v>0</v>
      </c>
      <c r="AF382" s="266">
        <v>0</v>
      </c>
      <c r="AG382" s="266">
        <v>0</v>
      </c>
      <c r="AH382" s="266">
        <v>0</v>
      </c>
      <c r="AI382" s="266">
        <v>0</v>
      </c>
      <c r="AJ382" s="266">
        <v>0</v>
      </c>
      <c r="AK382" s="266">
        <v>0</v>
      </c>
      <c r="AL382" s="266">
        <v>0</v>
      </c>
      <c r="AM382" s="266">
        <v>0</v>
      </c>
      <c r="AN382" s="266">
        <v>0</v>
      </c>
      <c r="AO382" s="266">
        <v>0</v>
      </c>
      <c r="AP382" s="266">
        <v>0</v>
      </c>
      <c r="AQ382" s="266">
        <v>0</v>
      </c>
      <c r="AR382" s="266">
        <v>0</v>
      </c>
      <c r="AS382" s="266">
        <v>0</v>
      </c>
      <c r="AT382" s="266">
        <v>0</v>
      </c>
      <c r="AU382" s="266">
        <v>0</v>
      </c>
      <c r="AV382" s="263">
        <f ca="1">Calc!AP80</f>
        <v>0</v>
      </c>
      <c r="AX382" s="88" t="str">
        <f t="shared" ca="1" si="31"/>
        <v>GS</v>
      </c>
    </row>
    <row r="383" spans="1:50" hidden="1">
      <c r="A383" s="88" t="str">
        <f t="shared" ca="1" si="30"/>
        <v>LAZR</v>
      </c>
      <c r="F383" s="253">
        <v>1.97</v>
      </c>
      <c r="G383" s="253">
        <v>1.82</v>
      </c>
      <c r="H383" s="253">
        <v>1.89</v>
      </c>
      <c r="I383" s="253">
        <v>2</v>
      </c>
      <c r="J383" s="253">
        <v>2.17</v>
      </c>
      <c r="K383" s="253">
        <v>2.02</v>
      </c>
      <c r="L383" s="253">
        <v>2.06</v>
      </c>
      <c r="M383" s="253">
        <v>2.09</v>
      </c>
      <c r="N383" s="253">
        <v>2.09</v>
      </c>
      <c r="O383" s="253">
        <v>1.98</v>
      </c>
      <c r="P383" s="253">
        <v>1.96</v>
      </c>
      <c r="Q383" s="253">
        <v>2</v>
      </c>
      <c r="R383" s="253">
        <v>1.87</v>
      </c>
      <c r="S383" s="253">
        <v>1.92</v>
      </c>
      <c r="T383" s="253">
        <v>1.95</v>
      </c>
      <c r="U383" s="253">
        <v>1.8</v>
      </c>
      <c r="V383" s="253">
        <v>1.67</v>
      </c>
      <c r="W383" s="253">
        <v>1.67</v>
      </c>
      <c r="X383" s="253">
        <v>1.67</v>
      </c>
      <c r="Y383" s="253">
        <v>1.72</v>
      </c>
      <c r="Z383" s="247">
        <f ca="1">[1]ExtEntry!$I81</f>
        <v>1.72</v>
      </c>
      <c r="AB383" s="263">
        <v>-465.54000000000451</v>
      </c>
      <c r="AC383" s="263">
        <v>-1706.9800000000032</v>
      </c>
      <c r="AD383" s="263">
        <v>1008.6700000000055</v>
      </c>
      <c r="AE383" s="263">
        <v>2482.880000000001</v>
      </c>
      <c r="AF383" s="263">
        <v>4345.0400000000081</v>
      </c>
      <c r="AG383" s="263">
        <v>-2948.4200000000019</v>
      </c>
      <c r="AH383" s="263">
        <v>2172.5200000000004</v>
      </c>
      <c r="AI383" s="263">
        <v>-2172.5199999999968</v>
      </c>
      <c r="AJ383" s="263">
        <v>-2172.5199999999968</v>
      </c>
      <c r="AK383" s="263">
        <v>1086.2600000000057</v>
      </c>
      <c r="AL383" s="263">
        <v>931.08000000000175</v>
      </c>
      <c r="AM383" s="263">
        <v>-2560.4699999999975</v>
      </c>
      <c r="AN383" s="263">
        <v>-2638.0600000000049</v>
      </c>
      <c r="AO383" s="263">
        <v>-1551.8000000000029</v>
      </c>
      <c r="AP383" s="263">
        <v>620.72000000000116</v>
      </c>
      <c r="AQ383" s="263">
        <v>-3026.0099999999984</v>
      </c>
      <c r="AR383" s="263">
        <v>-1862.1600000000035</v>
      </c>
      <c r="AS383" s="263">
        <v>-1862.1600000000035</v>
      </c>
      <c r="AT383" s="263">
        <v>-465.54000000000087</v>
      </c>
      <c r="AU383" s="263">
        <v>7681.4100000000035</v>
      </c>
      <c r="AV383" s="263">
        <f ca="1">Calc!AP81</f>
        <v>7681.4100000000035</v>
      </c>
      <c r="AX383" s="88" t="str">
        <f t="shared" ca="1" si="31"/>
        <v>LAZR</v>
      </c>
    </row>
    <row r="384" spans="1:50" hidden="1">
      <c r="A384" s="88" t="str">
        <f t="shared" ca="1" si="30"/>
        <v>LUV</v>
      </c>
      <c r="F384" s="253">
        <v>32.409999999999997</v>
      </c>
      <c r="G384" s="253">
        <v>30.765000000000001</v>
      </c>
      <c r="H384" s="253">
        <v>31.81</v>
      </c>
      <c r="I384" s="253">
        <v>31.835000000000001</v>
      </c>
      <c r="J384" s="253">
        <v>32.51</v>
      </c>
      <c r="K384" s="253">
        <v>32.093000000000004</v>
      </c>
      <c r="L384" s="253">
        <v>32.11</v>
      </c>
      <c r="M384" s="253">
        <v>31.47</v>
      </c>
      <c r="N384" s="253">
        <v>31.47</v>
      </c>
      <c r="O384" s="253">
        <v>31.555</v>
      </c>
      <c r="P384" s="253">
        <v>31.42</v>
      </c>
      <c r="Q384" s="253">
        <v>33.25</v>
      </c>
      <c r="R384" s="253">
        <v>32.840000000000003</v>
      </c>
      <c r="S384" s="253">
        <v>33.19</v>
      </c>
      <c r="T384" s="253">
        <v>33.604599999999998</v>
      </c>
      <c r="U384" s="253">
        <v>34.06</v>
      </c>
      <c r="V384" s="253">
        <v>33.43</v>
      </c>
      <c r="W384" s="253">
        <v>33.43</v>
      </c>
      <c r="X384" s="253">
        <v>31.02</v>
      </c>
      <c r="Y384" s="253">
        <v>31.38</v>
      </c>
      <c r="Z384" s="247">
        <f ca="1">[1]ExtEntry!$I82</f>
        <v>31.38</v>
      </c>
      <c r="AB384" s="266">
        <v>-168.00000000000728</v>
      </c>
      <c r="AC384" s="266">
        <v>-1098</v>
      </c>
      <c r="AD384" s="266">
        <v>353.99999999999272</v>
      </c>
      <c r="AE384" s="266">
        <v>36</v>
      </c>
      <c r="AF384" s="266">
        <v>-270</v>
      </c>
      <c r="AG384" s="266">
        <v>-216</v>
      </c>
      <c r="AH384" s="266">
        <v>-233.99999999998545</v>
      </c>
      <c r="AI384" s="266">
        <v>-2196</v>
      </c>
      <c r="AJ384" s="266">
        <v>-2220</v>
      </c>
      <c r="AK384" s="266">
        <v>168</v>
      </c>
      <c r="AL384" s="266">
        <v>2244</v>
      </c>
      <c r="AM384" s="266">
        <v>162.00000000000728</v>
      </c>
      <c r="AN384" s="266">
        <v>-456</v>
      </c>
      <c r="AO384" s="266">
        <v>348.00000000001455</v>
      </c>
      <c r="AP384" s="266">
        <v>750</v>
      </c>
      <c r="AQ384" s="266">
        <v>678</v>
      </c>
      <c r="AR384" s="266">
        <v>-768</v>
      </c>
      <c r="AS384" s="266">
        <v>-768</v>
      </c>
      <c r="AT384" s="266">
        <v>-1404</v>
      </c>
      <c r="AU384" s="266">
        <v>168</v>
      </c>
      <c r="AV384" s="263">
        <f ca="1">Calc!AP82</f>
        <v>180</v>
      </c>
      <c r="AX384" s="88" t="str">
        <f t="shared" ca="1" si="31"/>
        <v>LUV</v>
      </c>
    </row>
    <row r="385" spans="1:70" hidden="1">
      <c r="A385" s="88" t="str">
        <f t="shared" ca="1" si="30"/>
        <v>MA</v>
      </c>
      <c r="F385" s="253">
        <v>562.51</v>
      </c>
      <c r="G385" s="253">
        <v>563.65</v>
      </c>
      <c r="H385" s="253">
        <v>565.01</v>
      </c>
      <c r="I385" s="253">
        <v>570.77</v>
      </c>
      <c r="J385" s="253">
        <v>576.42999999999995</v>
      </c>
      <c r="K385" s="253">
        <v>578.91</v>
      </c>
      <c r="L385" s="253">
        <v>576.08000000000004</v>
      </c>
      <c r="M385" s="253">
        <v>562.51</v>
      </c>
      <c r="N385" s="253">
        <v>562.51</v>
      </c>
      <c r="O385" s="253">
        <v>553.01</v>
      </c>
      <c r="P385" s="253">
        <v>556</v>
      </c>
      <c r="Q385" s="253">
        <v>559.4</v>
      </c>
      <c r="R385" s="253">
        <v>547.39</v>
      </c>
      <c r="S385" s="253">
        <v>552.01</v>
      </c>
      <c r="T385" s="253">
        <v>553.79</v>
      </c>
      <c r="U385" s="253">
        <v>560.76499999999999</v>
      </c>
      <c r="V385" s="253">
        <v>568.58000000000004</v>
      </c>
      <c r="W385" s="253">
        <v>568.58000000000004</v>
      </c>
      <c r="X385" s="253">
        <v>571.66999999999996</v>
      </c>
      <c r="Y385" s="253">
        <v>573.08000000000004</v>
      </c>
      <c r="Z385" s="247">
        <f ca="1">[1]ExtEntry!$I83</f>
        <v>573.08000000000004</v>
      </c>
      <c r="AB385" s="263">
        <v>175</v>
      </c>
      <c r="AC385" s="263">
        <v>600</v>
      </c>
      <c r="AD385" s="263">
        <v>1688.0000000000146</v>
      </c>
      <c r="AE385" s="263">
        <v>946</v>
      </c>
      <c r="AF385" s="263">
        <v>808.00000000001455</v>
      </c>
      <c r="AG385" s="263">
        <v>170</v>
      </c>
      <c r="AH385" s="263">
        <v>-982.00000000001455</v>
      </c>
      <c r="AI385" s="263">
        <v>-2522</v>
      </c>
      <c r="AJ385" s="263">
        <v>-2538.0000000000146</v>
      </c>
      <c r="AK385" s="263">
        <v>50</v>
      </c>
      <c r="AL385" s="263">
        <v>2186.0000000000146</v>
      </c>
      <c r="AM385" s="263">
        <v>-331.00000000001455</v>
      </c>
      <c r="AN385" s="263">
        <v>-2543.9999999999709</v>
      </c>
      <c r="AO385" s="263">
        <v>1696</v>
      </c>
      <c r="AP385" s="263">
        <v>993.9999999999709</v>
      </c>
      <c r="AQ385" s="263">
        <v>1962</v>
      </c>
      <c r="AR385" s="263">
        <v>44.000000000014552</v>
      </c>
      <c r="AS385" s="263">
        <v>44.000000000014552</v>
      </c>
      <c r="AT385" s="263">
        <v>-102</v>
      </c>
      <c r="AU385" s="263">
        <v>-602</v>
      </c>
      <c r="AV385" s="263">
        <f ca="1">Calc!AP83</f>
        <v>-714.00000000001455</v>
      </c>
      <c r="AX385" s="88" t="str">
        <f t="shared" ca="1" si="31"/>
        <v>MA</v>
      </c>
    </row>
    <row r="386" spans="1:70" hidden="1">
      <c r="A386" s="88" t="str">
        <f t="shared" ca="1" si="30"/>
        <v>NVAX</v>
      </c>
      <c r="F386" s="253">
        <v>8.4749999999999996</v>
      </c>
      <c r="G386" s="253">
        <v>8.32</v>
      </c>
      <c r="H386" s="253">
        <v>8.6300000000000008</v>
      </c>
      <c r="I386" s="253">
        <v>9.3049999999999997</v>
      </c>
      <c r="J386" s="253">
        <v>9.24</v>
      </c>
      <c r="K386" s="253">
        <v>8.9499999999999993</v>
      </c>
      <c r="L386" s="253">
        <v>8.8000000000000007</v>
      </c>
      <c r="M386" s="253">
        <v>8.49</v>
      </c>
      <c r="N386" s="253">
        <v>8.49</v>
      </c>
      <c r="O386" s="253">
        <v>8.33</v>
      </c>
      <c r="P386" s="253">
        <v>8.5299999999999994</v>
      </c>
      <c r="Q386" s="253">
        <v>8.85</v>
      </c>
      <c r="R386" s="253">
        <v>8.4649999999999999</v>
      </c>
      <c r="S386" s="253">
        <v>8.02</v>
      </c>
      <c r="T386" s="253">
        <v>8.19</v>
      </c>
      <c r="U386" s="253">
        <v>8.56</v>
      </c>
      <c r="V386" s="253">
        <v>8.19</v>
      </c>
      <c r="W386" s="253">
        <v>8.19</v>
      </c>
      <c r="X386" s="253">
        <v>8.24</v>
      </c>
      <c r="Y386" s="253">
        <v>8.4250000000000007</v>
      </c>
      <c r="Z386" s="247">
        <f ca="1">[1]ExtEntry!$I84</f>
        <v>8.4250000000000007</v>
      </c>
      <c r="AB386" s="266">
        <v>-385</v>
      </c>
      <c r="AC386" s="266">
        <v>1760</v>
      </c>
      <c r="AD386" s="266">
        <v>8360</v>
      </c>
      <c r="AE386" s="266">
        <v>-329.99999999998545</v>
      </c>
      <c r="AF386" s="266">
        <v>-1429.9999999999854</v>
      </c>
      <c r="AG386" s="266">
        <v>1100.0000000000146</v>
      </c>
      <c r="AH386" s="266">
        <v>-4059</v>
      </c>
      <c r="AI386" s="266">
        <v>-3630</v>
      </c>
      <c r="AJ386" s="266">
        <v>-3630</v>
      </c>
      <c r="AK386" s="266">
        <v>2089.9999999999854</v>
      </c>
      <c r="AL386" s="266">
        <v>1495.0000000000073</v>
      </c>
      <c r="AM386" s="266">
        <v>682.50000000000728</v>
      </c>
      <c r="AN386" s="266">
        <v>-2925</v>
      </c>
      <c r="AO386" s="266">
        <v>-1105</v>
      </c>
      <c r="AP386" s="266">
        <v>3835</v>
      </c>
      <c r="AQ386" s="266">
        <v>-780.00000000000728</v>
      </c>
      <c r="AR386" s="266">
        <v>338.00000000000728</v>
      </c>
      <c r="AS386" s="266">
        <v>338.00000000000728</v>
      </c>
      <c r="AT386" s="266">
        <v>-747.50000000000728</v>
      </c>
      <c r="AU386" s="266">
        <v>-455</v>
      </c>
      <c r="AV386" s="263">
        <f ca="1">Calc!AP84</f>
        <v>-455</v>
      </c>
      <c r="AX386" s="88" t="str">
        <f t="shared" ca="1" si="31"/>
        <v>NVAX</v>
      </c>
    </row>
    <row r="387" spans="1:70" hidden="1">
      <c r="A387" s="88" t="str">
        <f t="shared" ca="1" si="30"/>
        <v>NVS</v>
      </c>
      <c r="F387" s="253">
        <v>123.22</v>
      </c>
      <c r="G387" s="253">
        <v>123.83</v>
      </c>
      <c r="H387" s="253">
        <v>128.94</v>
      </c>
      <c r="I387" s="253">
        <v>129.965</v>
      </c>
      <c r="J387" s="253">
        <v>131.94999999999999</v>
      </c>
      <c r="K387" s="253">
        <v>131.32</v>
      </c>
      <c r="L387" s="253">
        <v>132.26</v>
      </c>
      <c r="M387" s="253">
        <v>130.99</v>
      </c>
      <c r="N387" s="253">
        <v>130.99</v>
      </c>
      <c r="O387" s="253">
        <v>128.85</v>
      </c>
      <c r="P387" s="253">
        <v>129.33500000000001</v>
      </c>
      <c r="Q387" s="253">
        <v>128.23500000000001</v>
      </c>
      <c r="R387" s="253">
        <v>129.64500000000001</v>
      </c>
      <c r="S387" s="253">
        <v>130.41</v>
      </c>
      <c r="T387" s="253">
        <v>130.6</v>
      </c>
      <c r="U387" s="253">
        <v>130.88</v>
      </c>
      <c r="V387" s="253">
        <v>131.06</v>
      </c>
      <c r="W387" s="253">
        <v>131.06</v>
      </c>
      <c r="X387" s="253">
        <v>130.62</v>
      </c>
      <c r="Y387" s="253">
        <v>130.28</v>
      </c>
      <c r="Z387" s="247">
        <f ca="1">[1]ExtEntry!$I85</f>
        <v>130.28</v>
      </c>
      <c r="AB387" s="263">
        <v>0</v>
      </c>
      <c r="AC387" s="263">
        <v>0</v>
      </c>
      <c r="AD387" s="263">
        <v>0</v>
      </c>
      <c r="AE387" s="263">
        <v>0</v>
      </c>
      <c r="AF387" s="263">
        <v>0</v>
      </c>
      <c r="AG387" s="263">
        <v>0</v>
      </c>
      <c r="AH387" s="263">
        <v>0</v>
      </c>
      <c r="AI387" s="263">
        <v>0</v>
      </c>
      <c r="AJ387" s="263">
        <v>0</v>
      </c>
      <c r="AK387" s="263">
        <v>0</v>
      </c>
      <c r="AL387" s="263">
        <v>0</v>
      </c>
      <c r="AM387" s="263">
        <v>0</v>
      </c>
      <c r="AN387" s="263">
        <v>0</v>
      </c>
      <c r="AO387" s="263">
        <v>0</v>
      </c>
      <c r="AP387" s="263">
        <v>0</v>
      </c>
      <c r="AQ387" s="263">
        <v>0</v>
      </c>
      <c r="AR387" s="263">
        <v>0</v>
      </c>
      <c r="AS387" s="263">
        <v>0</v>
      </c>
      <c r="AT387" s="263">
        <v>0</v>
      </c>
      <c r="AU387" s="263">
        <v>0</v>
      </c>
      <c r="AV387" s="263">
        <f ca="1">Calc!AP85</f>
        <v>0</v>
      </c>
      <c r="AX387" s="88" t="str">
        <f t="shared" ca="1" si="31"/>
        <v>NVS</v>
      </c>
    </row>
    <row r="388" spans="1:70" hidden="1">
      <c r="A388" s="88" t="str">
        <f t="shared" ca="1" si="30"/>
        <v>ORA</v>
      </c>
      <c r="F388" s="253">
        <v>13.61</v>
      </c>
      <c r="G388" s="253">
        <v>13.59</v>
      </c>
      <c r="H388" s="253">
        <v>13.59</v>
      </c>
      <c r="I388" s="253">
        <v>13.275</v>
      </c>
      <c r="J388" s="253">
        <v>13.275</v>
      </c>
      <c r="K388" s="253">
        <v>13.11</v>
      </c>
      <c r="L388" s="253">
        <v>13.26</v>
      </c>
      <c r="M388" s="253">
        <v>13.375</v>
      </c>
      <c r="N388" s="253">
        <v>13.54</v>
      </c>
      <c r="O388" s="253">
        <v>13.43</v>
      </c>
      <c r="P388" s="253">
        <v>13.465</v>
      </c>
      <c r="Q388" s="253">
        <v>13.805</v>
      </c>
      <c r="R388" s="253">
        <v>13.815</v>
      </c>
      <c r="S388" s="253">
        <v>13.994999999999999</v>
      </c>
      <c r="T388" s="253">
        <v>14.16</v>
      </c>
      <c r="U388" s="253">
        <v>14.07</v>
      </c>
      <c r="V388" s="253">
        <v>13.92</v>
      </c>
      <c r="W388" s="253">
        <v>13.92</v>
      </c>
      <c r="X388" s="253">
        <v>13.994999999999999</v>
      </c>
      <c r="Y388" s="253">
        <v>13.805</v>
      </c>
      <c r="Z388" s="247">
        <f ca="1">[1]ExtEntry!$I86</f>
        <v>13.805</v>
      </c>
      <c r="AB388" s="266">
        <v>-30</v>
      </c>
      <c r="AC388" s="266">
        <v>162</v>
      </c>
      <c r="AD388" s="266">
        <v>-138</v>
      </c>
      <c r="AE388" s="266">
        <v>210</v>
      </c>
      <c r="AF388" s="266">
        <v>-342</v>
      </c>
      <c r="AG388" s="266">
        <v>-30</v>
      </c>
      <c r="AH388" s="266">
        <v>132</v>
      </c>
      <c r="AI388" s="266">
        <v>192</v>
      </c>
      <c r="AJ388" s="266">
        <v>6</v>
      </c>
      <c r="AK388" s="266">
        <v>-252</v>
      </c>
      <c r="AL388" s="266">
        <v>120</v>
      </c>
      <c r="AM388" s="266">
        <v>-42</v>
      </c>
      <c r="AN388" s="266">
        <v>126</v>
      </c>
      <c r="AO388" s="266">
        <v>366</v>
      </c>
      <c r="AP388" s="266">
        <v>-102</v>
      </c>
      <c r="AQ388" s="266">
        <v>-72</v>
      </c>
      <c r="AR388" s="266">
        <v>-48</v>
      </c>
      <c r="AS388" s="266">
        <v>-48</v>
      </c>
      <c r="AT388" s="266">
        <v>60</v>
      </c>
      <c r="AU388" s="266">
        <v>-252</v>
      </c>
      <c r="AV388" s="263">
        <f ca="1">Calc!AP86</f>
        <v>-252</v>
      </c>
      <c r="AX388" s="88" t="str">
        <f t="shared" ca="1" si="31"/>
        <v>ORA</v>
      </c>
    </row>
    <row r="389" spans="1:70" hidden="1">
      <c r="A389" s="88" t="str">
        <f t="shared" ca="1" si="30"/>
        <v>OXY</v>
      </c>
      <c r="F389" s="253">
        <v>47.685000000000002</v>
      </c>
      <c r="G389" s="253">
        <v>46.44</v>
      </c>
      <c r="H389" s="253">
        <v>47.125</v>
      </c>
      <c r="I389" s="253">
        <v>43.84</v>
      </c>
      <c r="J389" s="253">
        <v>44.57</v>
      </c>
      <c r="K389" s="253">
        <v>44.805</v>
      </c>
      <c r="L389" s="253">
        <v>44.66</v>
      </c>
      <c r="M389" s="253">
        <v>44.4</v>
      </c>
      <c r="N389" s="253">
        <v>44.4</v>
      </c>
      <c r="O389" s="253">
        <v>42.129199999999997</v>
      </c>
      <c r="P389" s="253">
        <v>41.52</v>
      </c>
      <c r="Q389" s="253">
        <v>41.64</v>
      </c>
      <c r="R389" s="253">
        <v>40.51</v>
      </c>
      <c r="S389" s="253">
        <v>40.520000000000003</v>
      </c>
      <c r="T389" s="253">
        <v>40.840000000000003</v>
      </c>
      <c r="U389" s="253">
        <v>40.615000000000002</v>
      </c>
      <c r="V389" s="253">
        <v>40.9</v>
      </c>
      <c r="W389" s="253">
        <v>40.9</v>
      </c>
      <c r="X389" s="253">
        <v>42.72</v>
      </c>
      <c r="Y389" s="253">
        <v>42.53</v>
      </c>
      <c r="Z389" s="247">
        <f ca="1">[1]ExtEntry!$I87</f>
        <v>42.53</v>
      </c>
      <c r="AB389" s="263">
        <v>-260</v>
      </c>
      <c r="AC389" s="263">
        <v>-720</v>
      </c>
      <c r="AD389" s="263">
        <v>1100</v>
      </c>
      <c r="AE389" s="263">
        <v>-14560</v>
      </c>
      <c r="AF389" s="263">
        <v>-500</v>
      </c>
      <c r="AG389" s="263">
        <v>300</v>
      </c>
      <c r="AH389" s="263">
        <v>-1280</v>
      </c>
      <c r="AI389" s="263">
        <v>-3360</v>
      </c>
      <c r="AJ389" s="263">
        <v>-3360</v>
      </c>
      <c r="AK389" s="263">
        <v>-1500</v>
      </c>
      <c r="AL389" s="263">
        <v>1360</v>
      </c>
      <c r="AM389" s="263">
        <v>-2420</v>
      </c>
      <c r="AN389" s="263">
        <v>-3800</v>
      </c>
      <c r="AO389" s="263">
        <v>400</v>
      </c>
      <c r="AP389" s="263">
        <v>280</v>
      </c>
      <c r="AQ389" s="263">
        <v>-360</v>
      </c>
      <c r="AR389" s="263">
        <v>2060</v>
      </c>
      <c r="AS389" s="263">
        <v>2060</v>
      </c>
      <c r="AT389" s="263">
        <v>-1040</v>
      </c>
      <c r="AU389" s="263">
        <v>-1680</v>
      </c>
      <c r="AV389" s="263">
        <f ca="1">Calc!AP87</f>
        <v>-1720</v>
      </c>
      <c r="AX389" s="88" t="str">
        <f t="shared" ca="1" si="31"/>
        <v>OXY</v>
      </c>
    </row>
    <row r="390" spans="1:70" hidden="1">
      <c r="A390" s="88" t="str">
        <f t="shared" ca="1" si="30"/>
        <v>PFE</v>
      </c>
      <c r="F390" s="253">
        <v>23.64</v>
      </c>
      <c r="G390" s="253">
        <v>23.81</v>
      </c>
      <c r="H390" s="253">
        <v>25.58</v>
      </c>
      <c r="I390" s="253">
        <v>26.62</v>
      </c>
      <c r="J390" s="253">
        <v>27.035</v>
      </c>
      <c r="K390" s="253">
        <v>26.05</v>
      </c>
      <c r="L390" s="253">
        <v>25.63</v>
      </c>
      <c r="M390" s="253">
        <v>25.21</v>
      </c>
      <c r="N390" s="253">
        <v>25.21</v>
      </c>
      <c r="O390" s="253">
        <v>24.61</v>
      </c>
      <c r="P390" s="253">
        <v>24.48</v>
      </c>
      <c r="Q390" s="253">
        <v>24.21</v>
      </c>
      <c r="R390" s="253">
        <v>24.21</v>
      </c>
      <c r="S390" s="253">
        <v>24.16</v>
      </c>
      <c r="T390" s="253">
        <v>24.51</v>
      </c>
      <c r="U390" s="253">
        <v>24.6</v>
      </c>
      <c r="V390" s="253">
        <v>24.62</v>
      </c>
      <c r="W390" s="253">
        <v>24.62</v>
      </c>
      <c r="X390" s="253">
        <v>24.51</v>
      </c>
      <c r="Y390" s="253">
        <v>24.68</v>
      </c>
      <c r="Z390" s="247">
        <f ca="1">[1]ExtEntry!$I88</f>
        <v>24.68</v>
      </c>
      <c r="AB390" s="266">
        <v>-32.159999999996217</v>
      </c>
      <c r="AC390" s="266">
        <v>2600</v>
      </c>
      <c r="AD390" s="266">
        <v>2008</v>
      </c>
      <c r="AE390" s="266">
        <v>264</v>
      </c>
      <c r="AF390" s="266">
        <v>264</v>
      </c>
      <c r="AG390" s="266">
        <v>-248</v>
      </c>
      <c r="AH390" s="266">
        <v>-1184</v>
      </c>
      <c r="AI390" s="266">
        <v>-872</v>
      </c>
      <c r="AJ390" s="266">
        <v>-864</v>
      </c>
      <c r="AK390" s="266">
        <v>-216</v>
      </c>
      <c r="AL390" s="266">
        <v>-184</v>
      </c>
      <c r="AM390" s="266">
        <v>-208</v>
      </c>
      <c r="AN390" s="266">
        <v>-336</v>
      </c>
      <c r="AO390" s="266">
        <v>496</v>
      </c>
      <c r="AP390" s="266">
        <v>184</v>
      </c>
      <c r="AQ390" s="266">
        <v>168</v>
      </c>
      <c r="AR390" s="266">
        <v>-88</v>
      </c>
      <c r="AS390" s="266">
        <v>-88</v>
      </c>
      <c r="AT390" s="266">
        <v>-120</v>
      </c>
      <c r="AU390" s="266">
        <v>136</v>
      </c>
      <c r="AV390" s="263">
        <f ca="1">Calc!AP88</f>
        <v>104</v>
      </c>
      <c r="AX390" s="88" t="str">
        <f t="shared" ca="1" si="31"/>
        <v>PFE</v>
      </c>
    </row>
    <row r="391" spans="1:70" hidden="1">
      <c r="A391" s="88" t="str">
        <f t="shared" ca="1" si="30"/>
        <v>RIG</v>
      </c>
      <c r="F391" s="253">
        <v>3.09</v>
      </c>
      <c r="G391" s="253">
        <v>3.03</v>
      </c>
      <c r="H391" s="253">
        <v>3.105</v>
      </c>
      <c r="I391" s="253">
        <v>3.2149999999999999</v>
      </c>
      <c r="J391" s="253">
        <v>3.3</v>
      </c>
      <c r="K391" s="253">
        <v>3.36</v>
      </c>
      <c r="L391" s="253">
        <v>3.35</v>
      </c>
      <c r="M391" s="253">
        <v>3.28</v>
      </c>
      <c r="N391" s="253">
        <v>3.28</v>
      </c>
      <c r="O391" s="253">
        <v>3.08</v>
      </c>
      <c r="P391" s="253">
        <v>3.1</v>
      </c>
      <c r="Q391" s="253">
        <v>3.15</v>
      </c>
      <c r="R391" s="253">
        <v>3.2</v>
      </c>
      <c r="S391" s="253">
        <v>3.1440000000000001</v>
      </c>
      <c r="T391" s="253">
        <v>3.26</v>
      </c>
      <c r="U391" s="253">
        <v>3.22</v>
      </c>
      <c r="V391" s="253">
        <v>3.32</v>
      </c>
      <c r="W391" s="253">
        <v>3.32</v>
      </c>
      <c r="X391" s="253">
        <v>3.4950000000000001</v>
      </c>
      <c r="Y391" s="253">
        <v>3.87</v>
      </c>
      <c r="Z391" s="247">
        <f ca="1">[1]ExtEntry!$I89</f>
        <v>3.87</v>
      </c>
      <c r="AB391" s="263">
        <v>-3120</v>
      </c>
      <c r="AC391" s="263">
        <v>3120</v>
      </c>
      <c r="AD391" s="263">
        <v>4080</v>
      </c>
      <c r="AE391" s="263">
        <v>3120</v>
      </c>
      <c r="AF391" s="263">
        <v>3120</v>
      </c>
      <c r="AG391" s="263">
        <v>1680</v>
      </c>
      <c r="AH391" s="263">
        <v>-2160</v>
      </c>
      <c r="AI391" s="263">
        <v>-4080</v>
      </c>
      <c r="AJ391" s="263">
        <v>-3840</v>
      </c>
      <c r="AK391" s="263">
        <v>1440</v>
      </c>
      <c r="AL391" s="263">
        <v>-720</v>
      </c>
      <c r="AM391" s="263">
        <v>6240</v>
      </c>
      <c r="AN391" s="263">
        <v>-5040</v>
      </c>
      <c r="AO391" s="263">
        <v>2400</v>
      </c>
      <c r="AP391" s="263">
        <v>240</v>
      </c>
      <c r="AQ391" s="263">
        <v>720</v>
      </c>
      <c r="AR391" s="263">
        <v>4560</v>
      </c>
      <c r="AS391" s="263">
        <v>4560</v>
      </c>
      <c r="AT391" s="263">
        <v>17040</v>
      </c>
      <c r="AU391" s="263">
        <v>-240</v>
      </c>
      <c r="AV391" s="263">
        <f ca="1">Calc!AP89</f>
        <v>0</v>
      </c>
      <c r="AX391" s="88" t="str">
        <f t="shared" ca="1" si="31"/>
        <v>RIG</v>
      </c>
    </row>
    <row r="392" spans="1:70">
      <c r="A392" s="88" t="str">
        <f t="shared" ca="1" si="30"/>
        <v>RRC</v>
      </c>
      <c r="F392" s="253">
        <v>37.020000000000003</v>
      </c>
      <c r="G392" s="253">
        <v>36.86</v>
      </c>
      <c r="H392" s="253">
        <v>37.54</v>
      </c>
      <c r="I392" s="253">
        <v>38.384</v>
      </c>
      <c r="J392" s="253">
        <v>37.89</v>
      </c>
      <c r="K392" s="253">
        <v>38.479999999999997</v>
      </c>
      <c r="L392" s="253">
        <v>38.25</v>
      </c>
      <c r="M392" s="253">
        <v>38.204999999999998</v>
      </c>
      <c r="N392" s="253">
        <v>38.204999999999998</v>
      </c>
      <c r="O392" s="253">
        <v>36.204999999999998</v>
      </c>
      <c r="P392" s="253">
        <v>35.524999999999999</v>
      </c>
      <c r="Q392" s="253">
        <v>36.35</v>
      </c>
      <c r="R392" s="253">
        <v>35.380000000000003</v>
      </c>
      <c r="S392" s="253">
        <v>35.409999999999997</v>
      </c>
      <c r="T392" s="253">
        <v>36.5</v>
      </c>
      <c r="U392" s="253">
        <v>36.700000000000003</v>
      </c>
      <c r="V392" s="253">
        <v>35.89</v>
      </c>
      <c r="W392" s="253">
        <v>35.89</v>
      </c>
      <c r="X392" s="253">
        <v>36.335000000000001</v>
      </c>
      <c r="Y392" s="253">
        <v>37.25</v>
      </c>
      <c r="Z392" s="247">
        <f ca="1">[1]ExtEntry!$I90</f>
        <v>37.25</v>
      </c>
      <c r="AB392" s="266">
        <v>0</v>
      </c>
      <c r="AC392" s="266">
        <v>0</v>
      </c>
      <c r="AD392" s="266">
        <v>0</v>
      </c>
      <c r="AE392" s="266">
        <v>0</v>
      </c>
      <c r="AF392" s="266">
        <v>0</v>
      </c>
      <c r="AG392" s="266">
        <v>0</v>
      </c>
      <c r="AH392" s="266">
        <v>0</v>
      </c>
      <c r="AI392" s="266">
        <v>0</v>
      </c>
      <c r="AJ392" s="266">
        <v>0</v>
      </c>
      <c r="AK392" s="266">
        <v>0</v>
      </c>
      <c r="AL392" s="266">
        <v>0</v>
      </c>
      <c r="AM392" s="266">
        <v>0</v>
      </c>
      <c r="AN392" s="266">
        <v>0</v>
      </c>
      <c r="AO392" s="266">
        <v>0</v>
      </c>
      <c r="AP392" s="266">
        <v>0</v>
      </c>
      <c r="AQ392" s="266">
        <v>0</v>
      </c>
      <c r="AR392" s="266">
        <v>0</v>
      </c>
      <c r="AS392" s="266">
        <v>0</v>
      </c>
      <c r="AT392" s="266">
        <v>0</v>
      </c>
      <c r="AU392" s="266">
        <v>0</v>
      </c>
      <c r="AV392" s="263">
        <f ca="1">Calc!AP90</f>
        <v>0</v>
      </c>
      <c r="AX392" s="88" t="str">
        <f t="shared" ca="1" si="31"/>
        <v>RRC</v>
      </c>
      <c r="BQ392" t="s">
        <v>190</v>
      </c>
      <c r="BR392" t="s">
        <v>178</v>
      </c>
    </row>
    <row r="393" spans="1:70">
      <c r="A393" s="88" t="str">
        <f t="shared" ca="1" si="30"/>
        <v>XYZ</v>
      </c>
      <c r="F393" s="245">
        <v>74.334999999999994</v>
      </c>
      <c r="G393" s="245">
        <v>71.61</v>
      </c>
      <c r="H393" s="245">
        <v>71.834999999999994</v>
      </c>
      <c r="I393" s="245">
        <v>73.7</v>
      </c>
      <c r="J393" s="245">
        <v>76.099999999999994</v>
      </c>
      <c r="K393" s="245">
        <v>77.739999999999995</v>
      </c>
      <c r="L393" s="245">
        <v>79.05</v>
      </c>
      <c r="M393" s="245">
        <v>80.010000000000005</v>
      </c>
      <c r="N393" s="245">
        <v>80.010000000000005</v>
      </c>
      <c r="O393" s="245">
        <v>74.435000000000002</v>
      </c>
      <c r="P393" s="245">
        <v>71.92</v>
      </c>
      <c r="Q393" s="245">
        <v>75.33</v>
      </c>
      <c r="R393" s="245">
        <v>74.400000000000006</v>
      </c>
      <c r="S393" s="245">
        <v>73.38</v>
      </c>
      <c r="T393" s="245">
        <v>74.840100000000007</v>
      </c>
      <c r="U393" s="245">
        <v>76.05</v>
      </c>
      <c r="V393" s="245">
        <v>75.23</v>
      </c>
      <c r="W393" s="245">
        <v>75.23</v>
      </c>
      <c r="X393" s="245">
        <v>75.760000000000005</v>
      </c>
      <c r="Y393" s="245">
        <v>79.200500000000005</v>
      </c>
      <c r="Z393" s="247">
        <f ca="1">[1]ExtEntry!$I91</f>
        <v>79.200500000000005</v>
      </c>
      <c r="AB393" s="263">
        <v>576.00000000000728</v>
      </c>
      <c r="AC393" s="263">
        <v>-1829.9999999999927</v>
      </c>
      <c r="AD393" s="263">
        <v>504.00000000000728</v>
      </c>
      <c r="AE393" s="263">
        <v>1800</v>
      </c>
      <c r="AF393" s="263">
        <v>165</v>
      </c>
      <c r="AG393" s="263">
        <v>384.00000000000728</v>
      </c>
      <c r="AH393" s="263">
        <v>768</v>
      </c>
      <c r="AI393" s="263">
        <v>-132</v>
      </c>
      <c r="AJ393" s="263">
        <v>-144</v>
      </c>
      <c r="AK393" s="263">
        <v>-318</v>
      </c>
      <c r="AL393" s="263">
        <v>1596.0000000000073</v>
      </c>
      <c r="AM393" s="263">
        <v>-534</v>
      </c>
      <c r="AN393" s="263">
        <v>-1080</v>
      </c>
      <c r="AO393" s="263">
        <v>852</v>
      </c>
      <c r="AP393" s="263">
        <v>336</v>
      </c>
      <c r="AQ393" s="263">
        <v>881.99999999999272</v>
      </c>
      <c r="AR393" s="263">
        <v>-845.99999999999272</v>
      </c>
      <c r="AS393" s="263">
        <v>-845.99999999999272</v>
      </c>
      <c r="AT393" s="263">
        <v>1452</v>
      </c>
      <c r="AU393" s="263">
        <v>-155.99999999999272</v>
      </c>
      <c r="AV393" s="263">
        <f ca="1">Calc!AP91</f>
        <v>-155.99999999999272</v>
      </c>
      <c r="AX393" s="88" t="str">
        <f t="shared" ca="1" si="31"/>
        <v>XYZ</v>
      </c>
      <c r="BQ393" t="s">
        <v>191</v>
      </c>
      <c r="BR393" t="s">
        <v>2202</v>
      </c>
    </row>
    <row r="394" spans="1:70">
      <c r="A394" s="88" t="str">
        <f t="shared" ca="1" si="30"/>
        <v>THC</v>
      </c>
      <c r="F394" s="253">
        <v>200</v>
      </c>
      <c r="G394" s="253">
        <v>201.715</v>
      </c>
      <c r="H394" s="253">
        <v>197.58</v>
      </c>
      <c r="I394" s="253">
        <v>200.37370000000001</v>
      </c>
      <c r="J394" s="253">
        <v>202.01</v>
      </c>
      <c r="K394" s="253">
        <v>199.30439999999999</v>
      </c>
      <c r="L394" s="253">
        <v>200.17</v>
      </c>
      <c r="M394" s="253">
        <v>193.91</v>
      </c>
      <c r="N394" s="253">
        <v>193.91</v>
      </c>
      <c r="O394" s="253">
        <v>187.67</v>
      </c>
      <c r="P394" s="253">
        <v>190.16</v>
      </c>
      <c r="Q394" s="253">
        <v>196.01249999999999</v>
      </c>
      <c r="R394" s="253">
        <v>197.2</v>
      </c>
      <c r="S394" s="253">
        <v>196.2</v>
      </c>
      <c r="T394" s="253">
        <v>200.38499999999999</v>
      </c>
      <c r="U394" s="253">
        <v>200.88</v>
      </c>
      <c r="V394" s="253">
        <v>202.86</v>
      </c>
      <c r="W394" s="253">
        <v>202.86</v>
      </c>
      <c r="X394" s="253">
        <v>204.14</v>
      </c>
      <c r="Y394" s="253">
        <v>203.15</v>
      </c>
      <c r="Z394" s="247">
        <f ca="1">[1]ExtEntry!$I92</f>
        <v>203.15</v>
      </c>
      <c r="AB394" s="266">
        <v>-2926</v>
      </c>
      <c r="AC394" s="266">
        <v>2552</v>
      </c>
      <c r="AD394" s="266">
        <v>-2002</v>
      </c>
      <c r="AE394" s="266">
        <v>3828.0000000000582</v>
      </c>
      <c r="AF394" s="266">
        <v>-1144</v>
      </c>
      <c r="AG394" s="266">
        <v>4584</v>
      </c>
      <c r="AH394" s="266">
        <v>-6315</v>
      </c>
      <c r="AI394" s="266">
        <v>-9300</v>
      </c>
      <c r="AJ394" s="266">
        <v>-9300</v>
      </c>
      <c r="AK394" s="266">
        <v>-1807.5</v>
      </c>
      <c r="AL394" s="266">
        <v>9435</v>
      </c>
      <c r="AM394" s="266">
        <v>1425</v>
      </c>
      <c r="AN394" s="266">
        <v>-195</v>
      </c>
      <c r="AO394" s="266">
        <v>1305</v>
      </c>
      <c r="AP394" s="266">
        <v>1117.5</v>
      </c>
      <c r="AQ394" s="266">
        <v>-420</v>
      </c>
      <c r="AR394" s="266">
        <v>2550</v>
      </c>
      <c r="AS394" s="266">
        <v>2550</v>
      </c>
      <c r="AT394" s="266">
        <v>3960</v>
      </c>
      <c r="AU394" s="266">
        <v>1305</v>
      </c>
      <c r="AV394" s="263">
        <f ca="1">Calc!AP92</f>
        <v>1305</v>
      </c>
      <c r="AX394" s="88" t="str">
        <f t="shared" ca="1" si="31"/>
        <v>THC</v>
      </c>
      <c r="BQ394" t="s">
        <v>139</v>
      </c>
      <c r="BR394" t="s">
        <v>2203</v>
      </c>
    </row>
    <row r="395" spans="1:70">
      <c r="A395" s="88" t="str">
        <f t="shared" ca="1" si="30"/>
        <v>X</v>
      </c>
      <c r="F395" s="245">
        <v>54.78</v>
      </c>
      <c r="G395" s="245">
        <v>54.78</v>
      </c>
      <c r="H395" s="245">
        <v>54.78</v>
      </c>
      <c r="I395" s="245">
        <v>54.78</v>
      </c>
      <c r="J395" s="245">
        <v>54.78</v>
      </c>
      <c r="K395" s="245">
        <v>54.78</v>
      </c>
      <c r="L395" s="245">
        <v>54.78</v>
      </c>
      <c r="M395" s="245">
        <v>54.78</v>
      </c>
      <c r="N395" s="245">
        <v>54.78</v>
      </c>
      <c r="O395" s="245">
        <v>54.78</v>
      </c>
      <c r="P395" s="245">
        <v>54.78</v>
      </c>
      <c r="Q395" s="245">
        <v>54.78</v>
      </c>
      <c r="R395" s="245">
        <v>54.78</v>
      </c>
      <c r="S395" s="245">
        <v>54.78</v>
      </c>
      <c r="T395" s="245">
        <v>54.78</v>
      </c>
      <c r="U395" s="245">
        <v>54.78</v>
      </c>
      <c r="V395" s="245">
        <v>54.78</v>
      </c>
      <c r="W395" s="245">
        <v>54.78</v>
      </c>
      <c r="X395" s="245">
        <v>54.78</v>
      </c>
      <c r="Y395" s="245">
        <v>54.78</v>
      </c>
      <c r="Z395" s="247">
        <f ca="1">[1]ExtEntry!$I93</f>
        <v>54.78</v>
      </c>
      <c r="AB395" s="263">
        <v>0.10000000000013642</v>
      </c>
      <c r="AC395" s="263">
        <v>0.10000000000013642</v>
      </c>
      <c r="AD395" s="263">
        <v>0.10000000000013642</v>
      </c>
      <c r="AE395" s="263">
        <v>0.10000000000013642</v>
      </c>
      <c r="AF395" s="263">
        <v>0.10000000000013642</v>
      </c>
      <c r="AG395" s="263">
        <v>0.10000000000013642</v>
      </c>
      <c r="AH395" s="263">
        <v>0.10000000000013642</v>
      </c>
      <c r="AI395" s="263">
        <v>0.10000000000013642</v>
      </c>
      <c r="AJ395" s="263">
        <v>0.10000000000013642</v>
      </c>
      <c r="AK395" s="263">
        <v>0.10000000000013642</v>
      </c>
      <c r="AL395" s="263">
        <v>0.10000000000013642</v>
      </c>
      <c r="AM395" s="263">
        <v>0.10000000000013642</v>
      </c>
      <c r="AN395" s="263">
        <v>0.10000000000013642</v>
      </c>
      <c r="AO395" s="263">
        <v>0.10000000000013642</v>
      </c>
      <c r="AP395" s="263">
        <v>0.10000000000013642</v>
      </c>
      <c r="AQ395" s="263">
        <v>0.10000000000013642</v>
      </c>
      <c r="AR395" s="263">
        <v>0.10000000000013642</v>
      </c>
      <c r="AS395" s="263">
        <v>0.10000000000013642</v>
      </c>
      <c r="AT395" s="263">
        <v>0.10000000000013642</v>
      </c>
      <c r="AU395" s="263">
        <v>0.10000000000013642</v>
      </c>
      <c r="AV395" s="263">
        <f ca="1">Calc!AP93</f>
        <v>0.10000000000013642</v>
      </c>
      <c r="AX395" s="88" t="str">
        <f t="shared" ca="1" si="31"/>
        <v>X</v>
      </c>
      <c r="BQ395" t="s">
        <v>192</v>
      </c>
      <c r="BR395" t="s">
        <v>1894</v>
      </c>
    </row>
    <row r="396" spans="1:70">
      <c r="A396" s="88" t="str">
        <f t="shared" ca="1" si="30"/>
        <v>JBEOAN</v>
      </c>
      <c r="F396" s="348">
        <v>10.33</v>
      </c>
      <c r="G396" s="348">
        <v>10.298</v>
      </c>
      <c r="H396" s="245">
        <v>10.226000000000001</v>
      </c>
      <c r="I396" s="245">
        <v>10.286</v>
      </c>
      <c r="J396" s="245">
        <v>10.44</v>
      </c>
      <c r="K396" s="245">
        <v>10.358000000000001</v>
      </c>
      <c r="L396" s="245">
        <v>10.375999999999999</v>
      </c>
      <c r="M396" s="245">
        <v>10.544</v>
      </c>
      <c r="N396" s="245">
        <v>10.54</v>
      </c>
      <c r="O396" s="245">
        <v>10.3</v>
      </c>
      <c r="P396" s="245">
        <v>10.208</v>
      </c>
      <c r="Q396" s="245">
        <v>10.353999999999999</v>
      </c>
      <c r="R396" s="245">
        <v>10.356</v>
      </c>
      <c r="S396" s="245">
        <v>10.061999999999999</v>
      </c>
      <c r="T396" s="245">
        <v>10.25</v>
      </c>
      <c r="U396" s="245">
        <v>10.391999999999999</v>
      </c>
      <c r="V396" s="245">
        <v>10.353999999999999</v>
      </c>
      <c r="W396" s="245">
        <v>10.353999999999999</v>
      </c>
      <c r="X396" s="245">
        <v>10.384</v>
      </c>
      <c r="Y396" s="245">
        <v>10.494</v>
      </c>
      <c r="Z396" s="247">
        <f ca="1">[1]ExtEntry!$I94</f>
        <v>15.79</v>
      </c>
      <c r="AB396" s="263">
        <v>462.59999999997672</v>
      </c>
      <c r="AC396" s="263">
        <v>-2158.8000000000466</v>
      </c>
      <c r="AD396" s="263">
        <v>1387.8000000000466</v>
      </c>
      <c r="AE396" s="263">
        <v>5705.4000000000233</v>
      </c>
      <c r="AF396" s="263">
        <v>-1079.4000000000233</v>
      </c>
      <c r="AG396" s="263">
        <v>-10485.599999999977</v>
      </c>
      <c r="AH396" s="263">
        <v>0</v>
      </c>
      <c r="AI396" s="263">
        <v>462.59999999997672</v>
      </c>
      <c r="AJ396" s="263">
        <v>0</v>
      </c>
      <c r="AK396" s="263">
        <v>-462.59999999997672</v>
      </c>
      <c r="AL396" s="263">
        <v>-2621.4000000000233</v>
      </c>
      <c r="AM396" s="263">
        <v>0</v>
      </c>
      <c r="AN396" s="263">
        <v>-2004.5999999999767</v>
      </c>
      <c r="AO396" s="263">
        <v>-1079.3999999999069</v>
      </c>
      <c r="AP396" s="263">
        <v>0</v>
      </c>
      <c r="AQ396" s="263">
        <v>5705.4000000000233</v>
      </c>
      <c r="AR396" s="263">
        <v>-10639.800000000163</v>
      </c>
      <c r="AS396" s="263">
        <v>-10639.800000000163</v>
      </c>
      <c r="AT396" s="263">
        <v>0</v>
      </c>
      <c r="AU396" s="263">
        <v>7247.3999999999069</v>
      </c>
      <c r="AV396" s="263">
        <f ca="1">Calc!AP94</f>
        <v>2070</v>
      </c>
      <c r="AX396" s="88" t="str">
        <f t="shared" ca="1" si="31"/>
        <v>JBEOAN</v>
      </c>
      <c r="BQ396" t="s">
        <v>193</v>
      </c>
      <c r="BR396" t="s">
        <v>2204</v>
      </c>
    </row>
    <row r="397" spans="1:70">
      <c r="A397" s="88" t="str">
        <f t="shared" si="30"/>
        <v>LOCK</v>
      </c>
      <c r="F397" s="348">
        <v>817.1</v>
      </c>
      <c r="G397" s="245">
        <v>821.3</v>
      </c>
      <c r="H397" s="245">
        <v>812.1</v>
      </c>
      <c r="I397" s="245">
        <v>859.6</v>
      </c>
      <c r="J397" s="1207">
        <v>864.4</v>
      </c>
      <c r="K397" s="247">
        <v>874.8</v>
      </c>
      <c r="L397" s="1208">
        <v>812.6</v>
      </c>
      <c r="M397" s="243">
        <v>836</v>
      </c>
      <c r="N397" s="245">
        <v>839.2</v>
      </c>
      <c r="O397" s="1209">
        <v>823</v>
      </c>
      <c r="P397" s="1209">
        <v>825.6</v>
      </c>
      <c r="Q397" s="245">
        <v>854.9</v>
      </c>
      <c r="R397" s="249">
        <v>874</v>
      </c>
      <c r="S397" s="245">
        <v>855</v>
      </c>
      <c r="T397" s="245">
        <v>877.2</v>
      </c>
      <c r="U397" s="245">
        <v>883.9</v>
      </c>
      <c r="V397" s="245">
        <v>870.1</v>
      </c>
      <c r="W397" s="1210">
        <v>870.1</v>
      </c>
      <c r="X397" s="347">
        <v>854.1</v>
      </c>
      <c r="Y397" s="245">
        <v>889.6</v>
      </c>
      <c r="Z397" s="247">
        <f ca="1">[1]ExtEntry!$I95</f>
        <v>10.486000000000001</v>
      </c>
      <c r="AB397" s="263">
        <v>2300</v>
      </c>
      <c r="AC397" s="263">
        <v>620</v>
      </c>
      <c r="AD397" s="263">
        <v>4680</v>
      </c>
      <c r="AE397" s="263">
        <v>3540</v>
      </c>
      <c r="AF397" s="263">
        <v>2180</v>
      </c>
      <c r="AG397" s="263">
        <v>-3020</v>
      </c>
      <c r="AH397" s="263">
        <v>360</v>
      </c>
      <c r="AI397" s="263">
        <v>-200</v>
      </c>
      <c r="AJ397" s="263">
        <v>-560</v>
      </c>
      <c r="AK397" s="263">
        <v>4160</v>
      </c>
      <c r="AL397" s="263">
        <v>2380</v>
      </c>
      <c r="AM397" s="263">
        <v>-520</v>
      </c>
      <c r="AN397" s="263">
        <v>-1260</v>
      </c>
      <c r="AO397" s="263">
        <v>3220</v>
      </c>
      <c r="AP397" s="263">
        <v>3000</v>
      </c>
      <c r="AQ397" s="263">
        <v>-40</v>
      </c>
      <c r="AR397" s="263">
        <v>-1320</v>
      </c>
      <c r="AS397" s="263">
        <v>-1320</v>
      </c>
      <c r="AT397" s="263">
        <v>3140</v>
      </c>
      <c r="AU397" s="263">
        <v>-1120</v>
      </c>
      <c r="AV397" s="263">
        <f ca="1">Calc!AP95</f>
        <v>6630.5999999998603</v>
      </c>
      <c r="AX397" s="88" t="str">
        <f t="shared" si="31"/>
        <v>LOCK</v>
      </c>
      <c r="BQ397" t="s">
        <v>2205</v>
      </c>
      <c r="BR397" t="s">
        <v>1836</v>
      </c>
    </row>
    <row r="398" spans="1:70">
      <c r="A398" s="88" t="str">
        <f t="shared" si="30"/>
        <v>Total</v>
      </c>
      <c r="F398" s="253">
        <v>15.91</v>
      </c>
      <c r="G398" s="253">
        <v>15.82</v>
      </c>
      <c r="H398" s="253">
        <v>15.96</v>
      </c>
      <c r="I398" s="253">
        <v>15.83</v>
      </c>
      <c r="J398" s="253">
        <v>15.93</v>
      </c>
      <c r="K398" s="253">
        <v>16.04</v>
      </c>
      <c r="L398" s="253">
        <v>16.14</v>
      </c>
      <c r="M398" s="253">
        <v>16.100000000000001</v>
      </c>
      <c r="N398" s="253">
        <v>16.14</v>
      </c>
      <c r="O398" s="253">
        <v>16.114999999999998</v>
      </c>
      <c r="P398" s="253">
        <v>16.164999999999999</v>
      </c>
      <c r="Q398" s="253">
        <v>16.2</v>
      </c>
      <c r="R398" s="253">
        <v>16.13</v>
      </c>
      <c r="S398" s="253">
        <v>16.164999999999999</v>
      </c>
      <c r="T398" s="253">
        <v>16.234999999999999</v>
      </c>
      <c r="U398" s="253">
        <v>16.32</v>
      </c>
      <c r="V398" s="253">
        <v>16.100000000000001</v>
      </c>
      <c r="W398" s="253">
        <v>16.100000000000001</v>
      </c>
      <c r="X398" s="253">
        <v>15.97</v>
      </c>
      <c r="Y398" s="253">
        <v>15.815</v>
      </c>
      <c r="Z398" s="247">
        <f>[1]ExtEntry!$I96</f>
        <v>0</v>
      </c>
      <c r="AB398" s="266">
        <v>-1890</v>
      </c>
      <c r="AC398" s="266">
        <v>2100</v>
      </c>
      <c r="AD398" s="266">
        <v>4200</v>
      </c>
      <c r="AE398" s="266">
        <v>-3254.9999999999418</v>
      </c>
      <c r="AF398" s="266">
        <v>3570</v>
      </c>
      <c r="AG398" s="266">
        <v>540</v>
      </c>
      <c r="AH398" s="266">
        <v>720</v>
      </c>
      <c r="AI398" s="266">
        <v>-720</v>
      </c>
      <c r="AJ398" s="266">
        <v>450</v>
      </c>
      <c r="AK398" s="266">
        <v>1350</v>
      </c>
      <c r="AL398" s="266">
        <v>3690</v>
      </c>
      <c r="AM398" s="266">
        <v>-3060</v>
      </c>
      <c r="AN398" s="266">
        <v>180</v>
      </c>
      <c r="AO398" s="266">
        <v>1890</v>
      </c>
      <c r="AP398" s="266">
        <v>1890.0000000000582</v>
      </c>
      <c r="AQ398" s="266">
        <v>180</v>
      </c>
      <c r="AR398" s="266">
        <v>-3600</v>
      </c>
      <c r="AS398" s="266">
        <v>-3600</v>
      </c>
      <c r="AT398" s="266">
        <v>-2700</v>
      </c>
      <c r="AU398" s="266">
        <v>1350</v>
      </c>
      <c r="AV398" s="263" t="e">
        <f ca="1">Calc!AP96</f>
        <v>#VALUE!</v>
      </c>
      <c r="AX398" s="88" t="str">
        <f t="shared" si="31"/>
        <v>Total</v>
      </c>
      <c r="BQ398" t="s">
        <v>195</v>
      </c>
      <c r="BR398" t="s">
        <v>702</v>
      </c>
    </row>
    <row r="399" spans="1:70">
      <c r="AX399" s="88"/>
      <c r="BQ399" t="s">
        <v>2207</v>
      </c>
      <c r="BR399" t="s">
        <v>2206</v>
      </c>
    </row>
    <row r="400" spans="1:70">
      <c r="AX400" s="88"/>
      <c r="BQ400" t="s">
        <v>2208</v>
      </c>
      <c r="BR400" t="s">
        <v>2209</v>
      </c>
    </row>
    <row r="401" spans="1:70" ht="26">
      <c r="E401" s="1264"/>
      <c r="F401" s="112"/>
      <c r="G401" s="112"/>
      <c r="H401" s="112"/>
      <c r="I401" s="112"/>
      <c r="J401" s="112"/>
      <c r="K401" s="112"/>
      <c r="L401" s="112"/>
      <c r="M401" s="112"/>
      <c r="N401" s="112"/>
      <c r="O401" s="112"/>
      <c r="P401" s="112"/>
      <c r="Q401" s="112"/>
      <c r="R401" s="112"/>
      <c r="S401" s="112"/>
      <c r="T401" s="112"/>
      <c r="U401" s="112"/>
      <c r="V401" s="112"/>
      <c r="W401" s="112"/>
      <c r="X401" s="112"/>
      <c r="Y401" s="112"/>
      <c r="Z401" s="112"/>
      <c r="AV401" s="140" t="s">
        <v>1895</v>
      </c>
      <c r="BQ401" t="s">
        <v>2210</v>
      </c>
      <c r="BR401" t="s">
        <v>662</v>
      </c>
    </row>
    <row r="402" spans="1:70">
      <c r="F402" s="117">
        <f t="shared" ref="F402:Z402" ca="1" si="32">F303</f>
        <v>45929</v>
      </c>
      <c r="G402" s="117">
        <f t="shared" ca="1" si="32"/>
        <v>45930</v>
      </c>
      <c r="H402" s="117">
        <f t="shared" ca="1" si="32"/>
        <v>45931</v>
      </c>
      <c r="I402" s="117">
        <f t="shared" ca="1" si="32"/>
        <v>45932</v>
      </c>
      <c r="J402" s="117">
        <f t="shared" ca="1" si="32"/>
        <v>45933</v>
      </c>
      <c r="K402" s="117">
        <f t="shared" ca="1" si="32"/>
        <v>45936</v>
      </c>
      <c r="L402" s="117">
        <f t="shared" ca="1" si="32"/>
        <v>45937</v>
      </c>
      <c r="M402" s="117">
        <f t="shared" ca="1" si="32"/>
        <v>45938</v>
      </c>
      <c r="N402" s="117">
        <f t="shared" ca="1" si="32"/>
        <v>45939</v>
      </c>
      <c r="O402" s="117">
        <f t="shared" ca="1" si="32"/>
        <v>45940</v>
      </c>
      <c r="P402" s="117">
        <f t="shared" ca="1" si="32"/>
        <v>45943</v>
      </c>
      <c r="Q402" s="117">
        <f t="shared" ca="1" si="32"/>
        <v>45944</v>
      </c>
      <c r="R402" s="117">
        <f t="shared" ca="1" si="32"/>
        <v>45945</v>
      </c>
      <c r="S402" s="117">
        <f t="shared" ca="1" si="32"/>
        <v>45946</v>
      </c>
      <c r="T402" s="117">
        <f t="shared" ca="1" si="32"/>
        <v>45947</v>
      </c>
      <c r="U402" s="117">
        <f t="shared" ca="1" si="32"/>
        <v>45950</v>
      </c>
      <c r="V402" s="117">
        <f t="shared" ca="1" si="32"/>
        <v>45951</v>
      </c>
      <c r="W402" s="117">
        <f t="shared" ca="1" si="32"/>
        <v>45952</v>
      </c>
      <c r="X402" s="117">
        <f t="shared" ca="1" si="32"/>
        <v>45953</v>
      </c>
      <c r="Y402" s="117">
        <f t="shared" ca="1" si="32"/>
        <v>45954</v>
      </c>
      <c r="Z402" s="117">
        <f t="shared" ca="1" si="32"/>
        <v>45956</v>
      </c>
      <c r="AB402" s="117">
        <f t="shared" ref="AB402:AV402" ca="1" si="33">AB303</f>
        <v>45929</v>
      </c>
      <c r="AC402" s="117">
        <f t="shared" ca="1" si="33"/>
        <v>45930</v>
      </c>
      <c r="AD402" s="117">
        <f t="shared" ca="1" si="33"/>
        <v>45931</v>
      </c>
      <c r="AE402" s="117">
        <f t="shared" ca="1" si="33"/>
        <v>45932</v>
      </c>
      <c r="AF402" s="117">
        <f t="shared" ca="1" si="33"/>
        <v>45933</v>
      </c>
      <c r="AG402" s="117">
        <f t="shared" ca="1" si="33"/>
        <v>45936</v>
      </c>
      <c r="AH402" s="117">
        <f t="shared" ca="1" si="33"/>
        <v>45937</v>
      </c>
      <c r="AI402" s="117">
        <f t="shared" ca="1" si="33"/>
        <v>45938</v>
      </c>
      <c r="AJ402" s="117">
        <f t="shared" ca="1" si="33"/>
        <v>45939</v>
      </c>
      <c r="AK402" s="117">
        <f t="shared" ca="1" si="33"/>
        <v>45940</v>
      </c>
      <c r="AL402" s="117">
        <f t="shared" ca="1" si="33"/>
        <v>45943</v>
      </c>
      <c r="AM402" s="117">
        <f t="shared" ca="1" si="33"/>
        <v>45944</v>
      </c>
      <c r="AN402" s="117">
        <f t="shared" ca="1" si="33"/>
        <v>45945</v>
      </c>
      <c r="AO402" s="117">
        <f t="shared" ca="1" si="33"/>
        <v>45946</v>
      </c>
      <c r="AP402" s="117">
        <f t="shared" ca="1" si="33"/>
        <v>45947</v>
      </c>
      <c r="AQ402" s="117">
        <f t="shared" ca="1" si="33"/>
        <v>45950</v>
      </c>
      <c r="AR402" s="117">
        <f t="shared" ca="1" si="33"/>
        <v>45951</v>
      </c>
      <c r="AS402" s="117">
        <f t="shared" ca="1" si="33"/>
        <v>45952</v>
      </c>
      <c r="AT402" s="117">
        <f t="shared" ca="1" si="33"/>
        <v>45953</v>
      </c>
      <c r="AU402" s="117">
        <f t="shared" ca="1" si="33"/>
        <v>45954</v>
      </c>
      <c r="AV402" s="117">
        <f t="shared" ca="1" si="33"/>
        <v>45956</v>
      </c>
      <c r="BQ402" t="s">
        <v>199</v>
      </c>
      <c r="BR402" t="s">
        <v>2211</v>
      </c>
    </row>
    <row r="403" spans="1:70">
      <c r="BQ403" t="s">
        <v>2212</v>
      </c>
      <c r="BR403" t="s">
        <v>177</v>
      </c>
    </row>
    <row r="404" spans="1:70">
      <c r="A404" s="88"/>
      <c r="F404" s="268" t="s">
        <v>288</v>
      </c>
      <c r="G404" s="309" t="s">
        <v>289</v>
      </c>
      <c r="H404" s="309" t="s">
        <v>290</v>
      </c>
      <c r="I404" s="309" t="s">
        <v>291</v>
      </c>
      <c r="J404" s="309" t="s">
        <v>292</v>
      </c>
      <c r="K404" s="268" t="s">
        <v>293</v>
      </c>
      <c r="L404" s="268" t="s">
        <v>294</v>
      </c>
      <c r="M404" s="268" t="s">
        <v>295</v>
      </c>
      <c r="N404" s="268" t="s">
        <v>296</v>
      </c>
      <c r="O404" s="268" t="s">
        <v>297</v>
      </c>
      <c r="P404" s="268" t="s">
        <v>298</v>
      </c>
      <c r="Q404" s="268" t="s">
        <v>299</v>
      </c>
      <c r="R404" s="268" t="s">
        <v>300</v>
      </c>
      <c r="S404" s="268" t="s">
        <v>301</v>
      </c>
      <c r="T404" s="268" t="s">
        <v>302</v>
      </c>
      <c r="U404" s="268" t="s">
        <v>303</v>
      </c>
      <c r="V404" s="268" t="s">
        <v>304</v>
      </c>
      <c r="W404" s="268" t="s">
        <v>305</v>
      </c>
      <c r="X404" s="268" t="s">
        <v>306</v>
      </c>
      <c r="Y404" s="268" t="s">
        <v>307</v>
      </c>
      <c r="Z404" s="268" t="s">
        <v>308</v>
      </c>
      <c r="AB404" s="281" t="s">
        <v>2687</v>
      </c>
      <c r="AC404" s="281" t="s">
        <v>2688</v>
      </c>
      <c r="AD404" s="281" t="s">
        <v>2689</v>
      </c>
      <c r="AE404" s="281" t="s">
        <v>2690</v>
      </c>
      <c r="AF404" s="281" t="s">
        <v>2691</v>
      </c>
      <c r="AG404" s="281" t="s">
        <v>2692</v>
      </c>
      <c r="AH404" s="281" t="s">
        <v>2693</v>
      </c>
      <c r="AI404" s="281" t="s">
        <v>2694</v>
      </c>
      <c r="AJ404" s="281" t="s">
        <v>2695</v>
      </c>
      <c r="AK404" s="281" t="s">
        <v>2696</v>
      </c>
      <c r="AL404" s="281" t="s">
        <v>2697</v>
      </c>
      <c r="AM404" s="281" t="s">
        <v>2698</v>
      </c>
      <c r="AN404" s="281" t="s">
        <v>2699</v>
      </c>
      <c r="AO404" s="281" t="s">
        <v>2700</v>
      </c>
      <c r="AP404" s="281" t="s">
        <v>2701</v>
      </c>
      <c r="AQ404" s="281" t="s">
        <v>2702</v>
      </c>
      <c r="AR404" s="281" t="s">
        <v>2703</v>
      </c>
      <c r="AS404" s="281" t="s">
        <v>2704</v>
      </c>
      <c r="AT404" s="281" t="s">
        <v>2705</v>
      </c>
      <c r="AU404" s="281" t="s">
        <v>2706</v>
      </c>
      <c r="AV404" s="281" t="s">
        <v>2707</v>
      </c>
      <c r="AX404" s="88"/>
      <c r="BQ404" t="s">
        <v>179</v>
      </c>
      <c r="BR404" t="s">
        <v>2213</v>
      </c>
    </row>
    <row r="405" spans="1:70">
      <c r="A405" s="88" t="str">
        <f ca="1">A5</f>
        <v>AAPL</v>
      </c>
      <c r="F405" s="245">
        <v>254.87</v>
      </c>
      <c r="G405" s="245">
        <v>255.91900000000001</v>
      </c>
      <c r="H405" s="245">
        <v>258.79000000000002</v>
      </c>
      <c r="I405" s="245">
        <v>258.18</v>
      </c>
      <c r="J405" s="245">
        <v>259.24</v>
      </c>
      <c r="K405" s="245">
        <v>257.39999999999998</v>
      </c>
      <c r="L405" s="245">
        <v>258.52</v>
      </c>
      <c r="M405" s="245">
        <v>258</v>
      </c>
      <c r="N405" s="245">
        <v>258</v>
      </c>
      <c r="O405" s="245">
        <v>249.6893</v>
      </c>
      <c r="P405" s="245">
        <v>248.845</v>
      </c>
      <c r="Q405" s="245">
        <v>251.82</v>
      </c>
      <c r="R405" s="245">
        <v>249.04</v>
      </c>
      <c r="S405" s="245">
        <v>253.38</v>
      </c>
      <c r="T405" s="245">
        <v>264.375</v>
      </c>
      <c r="U405" s="245">
        <v>265.29000000000002</v>
      </c>
      <c r="V405" s="245">
        <v>262.85000000000002</v>
      </c>
      <c r="W405" s="245">
        <v>262.85000000000002</v>
      </c>
      <c r="X405" s="245">
        <v>260.62</v>
      </c>
      <c r="Y405" s="245">
        <v>264.13</v>
      </c>
      <c r="Z405" s="247">
        <f ca="1">[1]ExtEntry!$J3</f>
        <v>264.13</v>
      </c>
      <c r="AB405" s="264">
        <v>-74059.650000000373</v>
      </c>
      <c r="AC405" s="264">
        <v>13492.5</v>
      </c>
      <c r="AD405" s="264">
        <v>34860</v>
      </c>
      <c r="AE405" s="264">
        <v>-32655</v>
      </c>
      <c r="AF405" s="264">
        <v>18217.5</v>
      </c>
      <c r="AG405" s="264">
        <v>9028.9500000001863</v>
      </c>
      <c r="AH405" s="264">
        <v>18532.5</v>
      </c>
      <c r="AI405" s="264">
        <v>-43084.5</v>
      </c>
      <c r="AJ405" s="264">
        <v>-44607</v>
      </c>
      <c r="AK405" s="264">
        <v>-54127.5</v>
      </c>
      <c r="AL405" s="264">
        <v>16012.5</v>
      </c>
      <c r="AM405" s="264">
        <v>-15960</v>
      </c>
      <c r="AN405" s="264">
        <v>30379.5</v>
      </c>
      <c r="AO405" s="264">
        <v>83614.5</v>
      </c>
      <c r="AP405" s="264">
        <v>85627.5</v>
      </c>
      <c r="AQ405" s="264">
        <v>-3700</v>
      </c>
      <c r="AR405" s="264">
        <v>-42210</v>
      </c>
      <c r="AS405" s="264">
        <v>-33600</v>
      </c>
      <c r="AT405" s="264">
        <v>-48435</v>
      </c>
      <c r="AU405" s="264">
        <v>-50427.5</v>
      </c>
      <c r="AV405" s="263">
        <f ca="1">AV305-AP305</f>
        <v>-50427.5</v>
      </c>
      <c r="AX405" s="88" t="str">
        <f ca="1">A5</f>
        <v>AAPL</v>
      </c>
      <c r="BQ405" t="s">
        <v>1016</v>
      </c>
      <c r="BR405" t="s">
        <v>2214</v>
      </c>
    </row>
    <row r="406" spans="1:70">
      <c r="A406" s="88" t="str">
        <f t="shared" ref="A406:A469" ca="1" si="34">A6</f>
        <v>ADEA</v>
      </c>
      <c r="F406" s="253">
        <v>16.98</v>
      </c>
      <c r="G406" s="253">
        <v>16.815000000000001</v>
      </c>
      <c r="H406" s="253">
        <v>17.164999999999999</v>
      </c>
      <c r="I406" s="253">
        <v>17.66</v>
      </c>
      <c r="J406" s="253">
        <v>17.84</v>
      </c>
      <c r="K406" s="253">
        <v>18.25</v>
      </c>
      <c r="L406" s="253">
        <v>17.16</v>
      </c>
      <c r="M406" s="253">
        <v>16.52</v>
      </c>
      <c r="N406" s="253">
        <v>16.52</v>
      </c>
      <c r="O406" s="253">
        <v>16.125</v>
      </c>
      <c r="P406" s="253">
        <v>16.82</v>
      </c>
      <c r="Q406" s="253">
        <v>17.25</v>
      </c>
      <c r="R406" s="253">
        <v>17.364999999999998</v>
      </c>
      <c r="S406" s="253">
        <v>16.690000000000001</v>
      </c>
      <c r="T406" s="253">
        <v>16.920000000000002</v>
      </c>
      <c r="U406" s="253">
        <v>17.190000000000001</v>
      </c>
      <c r="V406" s="253">
        <v>17.05</v>
      </c>
      <c r="W406" s="253">
        <v>17.05</v>
      </c>
      <c r="X406" s="253">
        <v>17.079999999999998</v>
      </c>
      <c r="Y406" s="253">
        <v>17.440000000000001</v>
      </c>
      <c r="Z406" s="247">
        <f ca="1">[1]ExtEntry!$J4</f>
        <v>17.440000000000001</v>
      </c>
      <c r="AB406" s="267">
        <v>-2400</v>
      </c>
      <c r="AC406" s="267">
        <v>1249.9999999999709</v>
      </c>
      <c r="AD406" s="267">
        <v>2800</v>
      </c>
      <c r="AE406" s="267">
        <v>399.99999999998545</v>
      </c>
      <c r="AF406" s="267">
        <v>-1499.9999999999854</v>
      </c>
      <c r="AG406" s="267">
        <v>-3200</v>
      </c>
      <c r="AH406" s="267">
        <v>-3749.9999999999854</v>
      </c>
      <c r="AI406" s="267">
        <v>-2749.9999999999854</v>
      </c>
      <c r="AJ406" s="267">
        <v>-1299.9999999999854</v>
      </c>
      <c r="AK406" s="267">
        <v>-1400</v>
      </c>
      <c r="AL406" s="267">
        <v>10499.999999999985</v>
      </c>
      <c r="AM406" s="267">
        <v>4900</v>
      </c>
      <c r="AN406" s="267">
        <v>-3000.0000000000146</v>
      </c>
      <c r="AO406" s="267">
        <v>999.99999999998545</v>
      </c>
      <c r="AP406" s="267">
        <v>2450</v>
      </c>
      <c r="AQ406" s="267">
        <v>-4649.9999999999709</v>
      </c>
      <c r="AR406" s="267">
        <v>-2750.0000000000146</v>
      </c>
      <c r="AS406" s="267">
        <v>2549.9999999999854</v>
      </c>
      <c r="AT406" s="267">
        <v>-650</v>
      </c>
      <c r="AU406" s="267">
        <v>-600</v>
      </c>
      <c r="AV406" s="263">
        <f t="shared" ref="AV406:AV469" ca="1" si="35">AV306-AP306</f>
        <v>-600</v>
      </c>
      <c r="AX406" s="88" t="str">
        <f t="shared" ref="AX406:AX469" ca="1" si="36">A6</f>
        <v>ADEA</v>
      </c>
      <c r="BR406" t="s">
        <v>2215</v>
      </c>
    </row>
    <row r="407" spans="1:70">
      <c r="A407" s="88" t="str">
        <f t="shared" ca="1" si="34"/>
        <v>AET</v>
      </c>
      <c r="F407" s="245">
        <v>50.6</v>
      </c>
      <c r="G407" s="245">
        <v>49.2</v>
      </c>
      <c r="H407" s="245">
        <v>50</v>
      </c>
      <c r="I407" s="245">
        <v>49.4</v>
      </c>
      <c r="J407" s="245">
        <v>47.8</v>
      </c>
      <c r="K407" s="245">
        <v>48</v>
      </c>
      <c r="L407" s="245">
        <v>48.5</v>
      </c>
      <c r="M407" s="245">
        <v>46.4</v>
      </c>
      <c r="N407" s="245" t="e" vm="411">
        <v>#VALUE!</v>
      </c>
      <c r="O407" s="245">
        <v>43.6</v>
      </c>
      <c r="P407" s="245">
        <v>44.6</v>
      </c>
      <c r="Q407" s="245">
        <v>43</v>
      </c>
      <c r="R407" s="245">
        <v>42.2</v>
      </c>
      <c r="S407" s="245">
        <v>42.6</v>
      </c>
      <c r="T407" s="245">
        <v>42.3</v>
      </c>
      <c r="U407" s="245">
        <v>43.3</v>
      </c>
      <c r="V407" s="245">
        <v>44.6</v>
      </c>
      <c r="W407" s="245">
        <v>44.6</v>
      </c>
      <c r="X407" s="245">
        <v>44.4</v>
      </c>
      <c r="Y407" s="245">
        <v>45.9</v>
      </c>
      <c r="Z407" s="247">
        <f ca="1">[1]ExtEntry!$J5</f>
        <v>45.9</v>
      </c>
      <c r="AB407" s="264">
        <v>6240</v>
      </c>
      <c r="AC407" s="264">
        <v>-3120</v>
      </c>
      <c r="AD407" s="264">
        <v>-24180</v>
      </c>
      <c r="AE407" s="264">
        <v>-10920</v>
      </c>
      <c r="AF407" s="264">
        <v>-4680</v>
      </c>
      <c r="AG407" s="264">
        <v>-10920</v>
      </c>
      <c r="AH407" s="264">
        <v>-17940</v>
      </c>
      <c r="AI407" s="264">
        <v>11600</v>
      </c>
      <c r="AJ407" s="264" t="e" vm="411">
        <v>#VALUE!</v>
      </c>
      <c r="AK407" s="264">
        <v>4020</v>
      </c>
      <c r="AL407" s="264">
        <v>5060</v>
      </c>
      <c r="AM407" s="264">
        <v>9000</v>
      </c>
      <c r="AN407" s="264">
        <v>-5840</v>
      </c>
      <c r="AO407" s="264" t="e" vm="411">
        <v>#VALUE!</v>
      </c>
      <c r="AP407" s="264">
        <v>0</v>
      </c>
      <c r="AQ407" s="264">
        <v>15580</v>
      </c>
      <c r="AR407" s="264">
        <v>4920</v>
      </c>
      <c r="AS407" s="264">
        <v>7380</v>
      </c>
      <c r="AT407" s="264">
        <v>-7380</v>
      </c>
      <c r="AU407" s="264">
        <v>4920</v>
      </c>
      <c r="AV407" s="263">
        <f t="shared" ca="1" si="35"/>
        <v>4920</v>
      </c>
      <c r="AX407" s="88" t="str">
        <f t="shared" ca="1" si="36"/>
        <v>AET</v>
      </c>
      <c r="BR407" t="s">
        <v>2147</v>
      </c>
    </row>
    <row r="408" spans="1:70">
      <c r="A408" s="88" t="str">
        <f t="shared" ca="1" si="34"/>
        <v>AMZN</v>
      </c>
      <c r="F408" s="253">
        <v>222.09</v>
      </c>
      <c r="G408" s="253">
        <v>222.24</v>
      </c>
      <c r="H408" s="253">
        <v>222.15</v>
      </c>
      <c r="I408" s="253">
        <v>222.81</v>
      </c>
      <c r="J408" s="253">
        <v>224.2</v>
      </c>
      <c r="K408" s="253">
        <v>222.89</v>
      </c>
      <c r="L408" s="253">
        <v>226.73</v>
      </c>
      <c r="M408" s="253">
        <v>228.21</v>
      </c>
      <c r="N408" s="253">
        <v>228.21</v>
      </c>
      <c r="O408" s="253">
        <v>220.67</v>
      </c>
      <c r="P408" s="253">
        <v>219.32</v>
      </c>
      <c r="Q408" s="253">
        <v>217.71</v>
      </c>
      <c r="R408" s="253">
        <v>218.59</v>
      </c>
      <c r="S408" s="253">
        <v>214.8</v>
      </c>
      <c r="T408" s="253">
        <v>216.69</v>
      </c>
      <c r="U408" s="253">
        <v>223.32</v>
      </c>
      <c r="V408" s="253">
        <v>220.005</v>
      </c>
      <c r="W408" s="253">
        <v>220.005</v>
      </c>
      <c r="X408" s="253">
        <v>221.3</v>
      </c>
      <c r="Y408" s="253">
        <v>225.4</v>
      </c>
      <c r="Z408" s="247">
        <f ca="1">[1]ExtEntry!$J6</f>
        <v>225.4</v>
      </c>
      <c r="AB408" s="267">
        <v>37236</v>
      </c>
      <c r="AC408" s="267">
        <v>55392</v>
      </c>
      <c r="AD408" s="267">
        <v>87308</v>
      </c>
      <c r="AE408" s="267">
        <v>40102</v>
      </c>
      <c r="AF408" s="267">
        <v>-56676</v>
      </c>
      <c r="AG408" s="267">
        <v>-2280</v>
      </c>
      <c r="AH408" s="267">
        <v>57120</v>
      </c>
      <c r="AI408" s="267">
        <v>-6300</v>
      </c>
      <c r="AJ408" s="267">
        <v>16140</v>
      </c>
      <c r="AK408" s="267">
        <v>78000</v>
      </c>
      <c r="AL408" s="267">
        <v>-120</v>
      </c>
      <c r="AM408" s="267">
        <v>-41400</v>
      </c>
      <c r="AN408" s="267">
        <v>-47340</v>
      </c>
      <c r="AO408" s="267">
        <v>-51180</v>
      </c>
      <c r="AP408" s="267">
        <v>360</v>
      </c>
      <c r="AQ408" s="267">
        <v>32520</v>
      </c>
      <c r="AR408" s="267">
        <v>-2400</v>
      </c>
      <c r="AS408" s="267">
        <v>-1800</v>
      </c>
      <c r="AT408" s="267">
        <v>43320</v>
      </c>
      <c r="AU408" s="267">
        <v>-4320</v>
      </c>
      <c r="AV408" s="263">
        <f t="shared" ca="1" si="35"/>
        <v>-4320</v>
      </c>
      <c r="AX408" s="88" t="str">
        <f t="shared" ca="1" si="36"/>
        <v>AMZN</v>
      </c>
    </row>
    <row r="409" spans="1:70">
      <c r="A409" s="88" t="str">
        <f t="shared" ca="1" si="34"/>
        <v>ALDNE</v>
      </c>
      <c r="F409" s="245">
        <v>0.87</v>
      </c>
      <c r="G409" s="245">
        <v>0.86799999999999999</v>
      </c>
      <c r="H409" s="245">
        <v>0.88</v>
      </c>
      <c r="I409" s="245">
        <v>0.87</v>
      </c>
      <c r="J409" s="245">
        <v>0.86799999999999999</v>
      </c>
      <c r="K409" s="245">
        <v>0.84</v>
      </c>
      <c r="L409" s="245">
        <v>0.83799999999999997</v>
      </c>
      <c r="M409" s="245">
        <v>0.84</v>
      </c>
      <c r="N409" s="245">
        <v>0.83799999999999997</v>
      </c>
      <c r="O409" s="245">
        <v>0.83799999999999997</v>
      </c>
      <c r="P409" s="245">
        <v>0.84</v>
      </c>
      <c r="Q409" s="245">
        <v>0.83799999999999997</v>
      </c>
      <c r="R409" s="245">
        <v>0.83399999999999996</v>
      </c>
      <c r="S409" s="245">
        <v>0.83</v>
      </c>
      <c r="T409" s="245">
        <v>0.83</v>
      </c>
      <c r="U409" s="245">
        <v>0.84</v>
      </c>
      <c r="V409" s="245">
        <v>0.84</v>
      </c>
      <c r="W409" s="245">
        <v>0.84</v>
      </c>
      <c r="X409" s="245">
        <v>0.84</v>
      </c>
      <c r="Y409" s="245">
        <v>0.83799999999999997</v>
      </c>
      <c r="Z409" s="247">
        <f ca="1">[1]ExtEntry!$J7</f>
        <v>0.83799999999999997</v>
      </c>
      <c r="AB409" s="264">
        <v>126500</v>
      </c>
      <c r="AC409" s="264">
        <v>258060</v>
      </c>
      <c r="AD409" s="264">
        <v>172040.00000000023</v>
      </c>
      <c r="AE409" s="264">
        <v>-30360.000000000233</v>
      </c>
      <c r="AF409" s="264">
        <v>-15180</v>
      </c>
      <c r="AG409" s="264">
        <v>-166980</v>
      </c>
      <c r="AH409" s="264">
        <v>-45540</v>
      </c>
      <c r="AI409" s="264">
        <v>-146740.00000000023</v>
      </c>
      <c r="AJ409" s="264">
        <v>0</v>
      </c>
      <c r="AK409" s="264">
        <v>0</v>
      </c>
      <c r="AL409" s="264">
        <v>10120</v>
      </c>
      <c r="AM409" s="264">
        <v>45540.000000000233</v>
      </c>
      <c r="AN409" s="264">
        <v>70840.000000000466</v>
      </c>
      <c r="AO409" s="264">
        <v>5060</v>
      </c>
      <c r="AP409" s="264">
        <v>25299.999999999534</v>
      </c>
      <c r="AQ409" s="264">
        <v>40479.999999999767</v>
      </c>
      <c r="AR409" s="264">
        <v>5060</v>
      </c>
      <c r="AS409" s="264">
        <v>25300</v>
      </c>
      <c r="AT409" s="264">
        <v>-10120</v>
      </c>
      <c r="AU409" s="264">
        <v>-10119.999999999302</v>
      </c>
      <c r="AV409" s="263">
        <f t="shared" ca="1" si="35"/>
        <v>-10119.999999999302</v>
      </c>
      <c r="AX409" s="88" t="str">
        <f t="shared" ca="1" si="36"/>
        <v>ALDNE</v>
      </c>
    </row>
    <row r="410" spans="1:70">
      <c r="A410" s="88" t="str">
        <f t="shared" ca="1" si="34"/>
        <v>ASML</v>
      </c>
      <c r="F410" s="253">
        <v>828.3</v>
      </c>
      <c r="G410" s="253">
        <v>830.5</v>
      </c>
      <c r="H410" s="253">
        <v>844.6</v>
      </c>
      <c r="I410" s="253">
        <v>888.4</v>
      </c>
      <c r="J410" s="253">
        <v>883.8</v>
      </c>
      <c r="K410" s="253">
        <v>896</v>
      </c>
      <c r="L410" s="253">
        <v>863.9</v>
      </c>
      <c r="M410" s="253">
        <v>864.6</v>
      </c>
      <c r="N410" s="253">
        <v>847.6</v>
      </c>
      <c r="O410" s="253">
        <v>844.4</v>
      </c>
      <c r="P410" s="253">
        <v>847.9</v>
      </c>
      <c r="Q410" s="253">
        <v>893.5</v>
      </c>
      <c r="R410" s="253">
        <v>900.5</v>
      </c>
      <c r="S410" s="253">
        <v>885.9</v>
      </c>
      <c r="T410" s="253">
        <v>901.5</v>
      </c>
      <c r="U410" s="253">
        <v>894.4</v>
      </c>
      <c r="V410" s="253">
        <v>892.4</v>
      </c>
      <c r="W410" s="253">
        <v>892.4</v>
      </c>
      <c r="X410" s="253">
        <v>891.2</v>
      </c>
      <c r="Y410" s="253">
        <v>902.6</v>
      </c>
      <c r="Z410" s="247">
        <f ca="1">[1]ExtEntry!$J8</f>
        <v>902.6</v>
      </c>
      <c r="AB410" s="267">
        <v>25880</v>
      </c>
      <c r="AC410" s="267">
        <v>13081</v>
      </c>
      <c r="AD410" s="267">
        <v>96095.75</v>
      </c>
      <c r="AE410" s="267">
        <v>67941.499999999985</v>
      </c>
      <c r="AF410" s="267">
        <v>43563.500000000015</v>
      </c>
      <c r="AG410" s="267">
        <v>-55570.500000000015</v>
      </c>
      <c r="AH410" s="267">
        <v>-5870</v>
      </c>
      <c r="AI410" s="267">
        <v>-99740</v>
      </c>
      <c r="AJ410" s="267">
        <v>-79670</v>
      </c>
      <c r="AK410" s="267">
        <v>40690</v>
      </c>
      <c r="AL410" s="267">
        <v>104980</v>
      </c>
      <c r="AM410" s="267">
        <v>-17240</v>
      </c>
      <c r="AN410" s="267">
        <v>-20770</v>
      </c>
      <c r="AO410" s="267">
        <v>71820</v>
      </c>
      <c r="AP410" s="267">
        <v>-26200</v>
      </c>
      <c r="AQ410" s="267">
        <v>-48360</v>
      </c>
      <c r="AR410" s="267">
        <v>-14680</v>
      </c>
      <c r="AS410" s="267">
        <v>-510</v>
      </c>
      <c r="AT410" s="267">
        <v>-1520</v>
      </c>
      <c r="AU410" s="267">
        <v>-77720</v>
      </c>
      <c r="AV410" s="263">
        <f t="shared" ca="1" si="35"/>
        <v>-77720</v>
      </c>
      <c r="AX410" s="88" t="str">
        <f t="shared" ca="1" si="36"/>
        <v>ASML</v>
      </c>
    </row>
    <row r="411" spans="1:70">
      <c r="A411" s="88" t="str">
        <f t="shared" ca="1" si="34"/>
        <v>AZN</v>
      </c>
      <c r="F411" s="253">
        <v>341.05</v>
      </c>
      <c r="G411" s="253">
        <v>331.05</v>
      </c>
      <c r="H411" s="253">
        <v>337.95</v>
      </c>
      <c r="I411" s="253">
        <v>347.61</v>
      </c>
      <c r="J411" s="253">
        <v>344.4</v>
      </c>
      <c r="K411" s="253">
        <v>338.11</v>
      </c>
      <c r="L411" s="253">
        <v>346.54</v>
      </c>
      <c r="M411" s="253">
        <v>347.31</v>
      </c>
      <c r="N411" s="253">
        <v>347.31</v>
      </c>
      <c r="O411" s="253">
        <v>359.37</v>
      </c>
      <c r="P411" s="253">
        <v>350.67</v>
      </c>
      <c r="Q411" s="253">
        <v>359.4</v>
      </c>
      <c r="R411" s="253">
        <v>363.24</v>
      </c>
      <c r="S411" s="253">
        <v>350.97</v>
      </c>
      <c r="T411" s="253">
        <v>356.59</v>
      </c>
      <c r="U411" s="253">
        <v>351.1</v>
      </c>
      <c r="V411" s="253">
        <v>348.01</v>
      </c>
      <c r="W411" s="253">
        <v>348.01</v>
      </c>
      <c r="X411" s="253">
        <v>346.57</v>
      </c>
      <c r="Y411" s="253">
        <v>358.3</v>
      </c>
      <c r="Z411" s="247">
        <f ca="1">[1]ExtEntry!$J9</f>
        <v>83.515000000000001</v>
      </c>
      <c r="AB411" s="264">
        <v>-1040</v>
      </c>
      <c r="AC411" s="264">
        <v>-66493.499999999985</v>
      </c>
      <c r="AD411" s="264">
        <v>48635.75</v>
      </c>
      <c r="AE411" s="264">
        <v>-19290.5</v>
      </c>
      <c r="AF411" s="264">
        <v>-26515.5</v>
      </c>
      <c r="AG411" s="264">
        <v>-17695.249999999971</v>
      </c>
      <c r="AH411" s="264">
        <v>4161.4999999999854</v>
      </c>
      <c r="AI411" s="264">
        <v>-1974.4499999999971</v>
      </c>
      <c r="AJ411" s="264">
        <v>3161.8000000000029</v>
      </c>
      <c r="AK411" s="264">
        <v>2591.5</v>
      </c>
      <c r="AL411" s="264">
        <v>-2192.7500000000291</v>
      </c>
      <c r="AM411" s="264">
        <v>-5648</v>
      </c>
      <c r="AN411" s="264">
        <v>-921.30000000000291</v>
      </c>
      <c r="AO411" s="264">
        <v>26.69999999999709</v>
      </c>
      <c r="AP411" s="264">
        <v>-3320</v>
      </c>
      <c r="AQ411" s="264">
        <v>-528</v>
      </c>
      <c r="AR411" s="264">
        <v>-1240</v>
      </c>
      <c r="AS411" s="264">
        <v>-1740</v>
      </c>
      <c r="AT411" s="264">
        <v>1668</v>
      </c>
      <c r="AU411" s="264">
        <v>2472</v>
      </c>
      <c r="AV411" s="263">
        <f t="shared" ca="1" si="35"/>
        <v>1744</v>
      </c>
      <c r="AX411" s="88" t="str">
        <f t="shared" ca="1" si="36"/>
        <v>AZN</v>
      </c>
    </row>
    <row r="412" spans="1:70" hidden="1">
      <c r="A412" s="88" t="str">
        <f t="shared" ca="1" si="34"/>
        <v>BLDP</v>
      </c>
      <c r="F412" s="253">
        <v>74.680000000000007</v>
      </c>
      <c r="G412" s="253">
        <v>76.989999999999995</v>
      </c>
      <c r="H412" s="253">
        <v>84.61</v>
      </c>
      <c r="I412" s="253">
        <v>84.05</v>
      </c>
      <c r="J412" s="253">
        <v>85.5</v>
      </c>
      <c r="K412" s="253">
        <v>86.24</v>
      </c>
      <c r="L412" s="253">
        <v>86.48</v>
      </c>
      <c r="M412" s="253">
        <v>86.38</v>
      </c>
      <c r="N412" s="253">
        <v>86.38</v>
      </c>
      <c r="O412" s="253">
        <v>84.92</v>
      </c>
      <c r="P412" s="253">
        <v>85.17</v>
      </c>
      <c r="Q412" s="253">
        <v>85.04</v>
      </c>
      <c r="R412" s="253">
        <v>84.415000000000006</v>
      </c>
      <c r="S412" s="253">
        <v>85.06</v>
      </c>
      <c r="T412" s="253">
        <v>85.18</v>
      </c>
      <c r="U412" s="253">
        <v>83.91</v>
      </c>
      <c r="V412" s="253">
        <v>84.21</v>
      </c>
      <c r="W412" s="253">
        <v>84.21</v>
      </c>
      <c r="X412" s="253">
        <v>83.81</v>
      </c>
      <c r="Y412" s="253">
        <v>83.515000000000001</v>
      </c>
      <c r="Z412" s="247">
        <f ca="1">[1]ExtEntry!$J10</f>
        <v>3.4950000000000001</v>
      </c>
      <c r="AB412" s="267">
        <v>-2340.0000000000146</v>
      </c>
      <c r="AC412" s="267">
        <v>2990</v>
      </c>
      <c r="AD412" s="267">
        <v>3165</v>
      </c>
      <c r="AE412" s="267">
        <v>1290</v>
      </c>
      <c r="AF412" s="267">
        <v>940</v>
      </c>
      <c r="AG412" s="267">
        <v>680</v>
      </c>
      <c r="AH412" s="267">
        <v>-3260</v>
      </c>
      <c r="AI412" s="267">
        <v>-3755</v>
      </c>
      <c r="AJ412" s="267">
        <v>-680</v>
      </c>
      <c r="AK412" s="267">
        <v>-925</v>
      </c>
      <c r="AL412" s="267">
        <v>-170</v>
      </c>
      <c r="AM412" s="267">
        <v>1677.5</v>
      </c>
      <c r="AN412" s="267">
        <v>585</v>
      </c>
      <c r="AO412" s="267">
        <v>857.5</v>
      </c>
      <c r="AP412" s="267">
        <v>-580</v>
      </c>
      <c r="AQ412" s="267">
        <v>-590</v>
      </c>
      <c r="AR412" s="267">
        <v>-717.5</v>
      </c>
      <c r="AS412" s="267">
        <v>-165</v>
      </c>
      <c r="AT412" s="267">
        <v>-312.5</v>
      </c>
      <c r="AU412" s="267">
        <v>415</v>
      </c>
      <c r="AV412" s="263">
        <f t="shared" ca="1" si="35"/>
        <v>1695</v>
      </c>
      <c r="AX412" s="88" t="str">
        <f t="shared" ca="1" si="36"/>
        <v>BLDP</v>
      </c>
    </row>
    <row r="413" spans="1:70" hidden="1">
      <c r="A413" s="88" t="str">
        <f t="shared" ca="1" si="34"/>
        <v>BMRA</v>
      </c>
      <c r="F413" s="253">
        <v>2.81</v>
      </c>
      <c r="G413" s="253">
        <v>2.7349999999999999</v>
      </c>
      <c r="H413" s="253">
        <v>2.96</v>
      </c>
      <c r="I413" s="253">
        <v>2.99</v>
      </c>
      <c r="J413" s="253">
        <v>3.6</v>
      </c>
      <c r="K413" s="253">
        <v>3.7</v>
      </c>
      <c r="L413" s="253">
        <v>3.6688999999999998</v>
      </c>
      <c r="M413" s="253">
        <v>3.63</v>
      </c>
      <c r="N413" s="253">
        <v>3.63</v>
      </c>
      <c r="O413" s="253">
        <v>3.66</v>
      </c>
      <c r="P413" s="253">
        <v>4.0599999999999996</v>
      </c>
      <c r="Q413" s="253">
        <v>4.0999999999999996</v>
      </c>
      <c r="R413" s="253">
        <v>4.03</v>
      </c>
      <c r="S413" s="253">
        <v>3.6899000000000002</v>
      </c>
      <c r="T413" s="253">
        <v>3.8098000000000001</v>
      </c>
      <c r="U413" s="253">
        <v>3.64</v>
      </c>
      <c r="V413" s="253">
        <v>3.42</v>
      </c>
      <c r="W413" s="253">
        <v>3.42</v>
      </c>
      <c r="X413" s="253">
        <v>3.3</v>
      </c>
      <c r="Y413" s="253">
        <v>3.4950000000000001</v>
      </c>
      <c r="Z413" s="247">
        <f ca="1">[1]ExtEntry!$J11</f>
        <v>3.01</v>
      </c>
      <c r="AB413" s="264">
        <v>-500</v>
      </c>
      <c r="AC413" s="264">
        <v>6240</v>
      </c>
      <c r="AD413" s="264">
        <v>6760</v>
      </c>
      <c r="AE413" s="264">
        <v>-5200</v>
      </c>
      <c r="AF413" s="264">
        <v>19240</v>
      </c>
      <c r="AG413" s="264">
        <v>1432.6000000000058</v>
      </c>
      <c r="AH413" s="264">
        <v>-520</v>
      </c>
      <c r="AI413" s="264">
        <v>-3900</v>
      </c>
      <c r="AJ413" s="264">
        <v>4420</v>
      </c>
      <c r="AK413" s="264">
        <v>-14020</v>
      </c>
      <c r="AL413" s="264">
        <v>12600</v>
      </c>
      <c r="AM413" s="264">
        <v>-5220</v>
      </c>
      <c r="AN413" s="264">
        <v>-5620</v>
      </c>
      <c r="AO413" s="264">
        <v>-20</v>
      </c>
      <c r="AP413" s="264">
        <v>-2400</v>
      </c>
      <c r="AQ413" s="264">
        <v>-18800</v>
      </c>
      <c r="AR413" s="264">
        <v>7300</v>
      </c>
      <c r="AS413" s="264">
        <v>6400</v>
      </c>
      <c r="AT413" s="264">
        <v>-1500</v>
      </c>
      <c r="AU413" s="264">
        <v>2800</v>
      </c>
      <c r="AV413" s="263">
        <f t="shared" ca="1" si="35"/>
        <v>2350</v>
      </c>
      <c r="AX413" s="88" t="str">
        <f t="shared" ca="1" si="36"/>
        <v>BMRA</v>
      </c>
    </row>
    <row r="414" spans="1:70" hidden="1">
      <c r="A414" s="88" t="str">
        <f t="shared" ca="1" si="34"/>
        <v>C</v>
      </c>
      <c r="F414" s="253">
        <v>2.8824999999999998</v>
      </c>
      <c r="G414" s="253">
        <v>2.85</v>
      </c>
      <c r="H414" s="253">
        <v>2.82</v>
      </c>
      <c r="I414" s="253">
        <v>2.84</v>
      </c>
      <c r="J414" s="253">
        <v>2.81</v>
      </c>
      <c r="K414" s="253">
        <v>2.99</v>
      </c>
      <c r="L414" s="253">
        <v>2.9298999999999999</v>
      </c>
      <c r="M414" s="253">
        <v>2.99</v>
      </c>
      <c r="N414" s="253">
        <v>2.99</v>
      </c>
      <c r="O414" s="253">
        <v>2.8450000000000002</v>
      </c>
      <c r="P414" s="253">
        <v>2.89</v>
      </c>
      <c r="Q414" s="253">
        <v>2.9599000000000002</v>
      </c>
      <c r="R414" s="253">
        <v>3.09</v>
      </c>
      <c r="S414" s="253">
        <v>3.08</v>
      </c>
      <c r="T414" s="253">
        <v>3.2132999999999998</v>
      </c>
      <c r="U414" s="253">
        <v>3.2</v>
      </c>
      <c r="V414" s="253">
        <v>3.2</v>
      </c>
      <c r="W414" s="253">
        <v>3.2</v>
      </c>
      <c r="X414" s="253">
        <v>2.9769000000000001</v>
      </c>
      <c r="Y414" s="253">
        <v>3.01</v>
      </c>
      <c r="Z414" s="247">
        <f ca="1">[1]ExtEntry!$J12</f>
        <v>99.51</v>
      </c>
      <c r="AB414" s="267">
        <v>-13.774999999999977</v>
      </c>
      <c r="AC414" s="267">
        <v>312.5</v>
      </c>
      <c r="AD414" s="267">
        <v>281.25</v>
      </c>
      <c r="AE414" s="267">
        <v>562.5</v>
      </c>
      <c r="AF414" s="267">
        <v>250</v>
      </c>
      <c r="AG414" s="267">
        <v>-125</v>
      </c>
      <c r="AH414" s="267">
        <v>562.5</v>
      </c>
      <c r="AI414" s="267">
        <v>-31.25</v>
      </c>
      <c r="AJ414" s="267">
        <v>687.5</v>
      </c>
      <c r="AK414" s="267">
        <v>-375</v>
      </c>
      <c r="AL414" s="267">
        <v>1875</v>
      </c>
      <c r="AM414" s="267">
        <v>-625</v>
      </c>
      <c r="AN414" s="267">
        <v>3437.5</v>
      </c>
      <c r="AO414" s="267">
        <v>-375</v>
      </c>
      <c r="AP414" s="267">
        <v>875</v>
      </c>
      <c r="AQ414" s="267">
        <v>-250</v>
      </c>
      <c r="AR414" s="267">
        <v>-3463.75</v>
      </c>
      <c r="AS414" s="267">
        <v>-7276.25</v>
      </c>
      <c r="AT414" s="267">
        <v>-500</v>
      </c>
      <c r="AU414" s="267">
        <v>-625</v>
      </c>
      <c r="AV414" s="263">
        <f t="shared" ca="1" si="35"/>
        <v>-1368.0250000000001</v>
      </c>
      <c r="AX414" s="88" t="str">
        <f t="shared" ca="1" si="36"/>
        <v>C</v>
      </c>
    </row>
    <row r="415" spans="1:70" hidden="1">
      <c r="A415" s="88" t="str">
        <f t="shared" ca="1" si="34"/>
        <v>CSCO</v>
      </c>
      <c r="F415" s="253">
        <v>104.386</v>
      </c>
      <c r="G415" s="253">
        <v>103.62</v>
      </c>
      <c r="H415" s="253">
        <v>101.14</v>
      </c>
      <c r="I415" s="253">
        <v>99.444999999999993</v>
      </c>
      <c r="J415" s="253">
        <v>98.58</v>
      </c>
      <c r="K415" s="253">
        <v>98.855000000000004</v>
      </c>
      <c r="L415" s="253">
        <v>98.19</v>
      </c>
      <c r="M415" s="253">
        <v>97.299599999999998</v>
      </c>
      <c r="N415" s="253">
        <v>97.299599999999998</v>
      </c>
      <c r="O415" s="253">
        <v>96.96</v>
      </c>
      <c r="P415" s="253">
        <v>101.22</v>
      </c>
      <c r="Q415" s="253">
        <v>102.1529</v>
      </c>
      <c r="R415" s="253">
        <v>100.7</v>
      </c>
      <c r="S415" s="253">
        <v>98.004999999999995</v>
      </c>
      <c r="T415" s="253">
        <v>99.599400000000003</v>
      </c>
      <c r="U415" s="253">
        <v>99.4</v>
      </c>
      <c r="V415" s="253">
        <v>98.48</v>
      </c>
      <c r="W415" s="253">
        <v>98.48</v>
      </c>
      <c r="X415" s="253">
        <v>97.529899999999998</v>
      </c>
      <c r="Y415" s="253">
        <v>99.51</v>
      </c>
      <c r="Z415" s="247">
        <f ca="1">[1]ExtEntry!$J13</f>
        <v>70.94</v>
      </c>
      <c r="AB415" s="264">
        <v>-105</v>
      </c>
      <c r="AC415" s="264">
        <v>-4.3750000000000568</v>
      </c>
      <c r="AD415" s="264">
        <v>-2.4499999999999886</v>
      </c>
      <c r="AE415" s="264">
        <v>-14.200000000000045</v>
      </c>
      <c r="AF415" s="264">
        <v>-1.6750000000000682</v>
      </c>
      <c r="AG415" s="264">
        <v>2.1750000000000114</v>
      </c>
      <c r="AH415" s="264">
        <v>0.67500000000006821</v>
      </c>
      <c r="AI415" s="264">
        <v>5.6500000000000909</v>
      </c>
      <c r="AJ415" s="264">
        <v>3.3000000000000682</v>
      </c>
      <c r="AK415" s="264">
        <v>0.47499999999996589</v>
      </c>
      <c r="AL415" s="264">
        <v>24.924999999999955</v>
      </c>
      <c r="AM415" s="264">
        <v>-1.8650000000000659</v>
      </c>
      <c r="AN415" s="264">
        <v>-14.150000000000034</v>
      </c>
      <c r="AO415" s="264">
        <v>9.8249999999999318</v>
      </c>
      <c r="AP415" s="264">
        <v>6.7750000000000341</v>
      </c>
      <c r="AQ415" s="264">
        <v>-25.074999999999989</v>
      </c>
      <c r="AR415" s="264">
        <v>-0.13499999999999091</v>
      </c>
      <c r="AS415" s="264">
        <v>10.299999999999955</v>
      </c>
      <c r="AT415" s="264">
        <v>-5.1000000000000227</v>
      </c>
      <c r="AU415" s="264">
        <v>-2.0749999999999886</v>
      </c>
      <c r="AV415" s="263">
        <f t="shared" ca="1" si="35"/>
        <v>-14.125</v>
      </c>
      <c r="AX415" s="88" t="str">
        <f t="shared" ca="1" si="36"/>
        <v>CSCO</v>
      </c>
    </row>
    <row r="416" spans="1:70" hidden="1">
      <c r="A416" s="88" t="str">
        <f t="shared" ca="1" si="34"/>
        <v>CVS</v>
      </c>
      <c r="F416" s="253">
        <v>67.95</v>
      </c>
      <c r="G416" s="253">
        <v>68.77</v>
      </c>
      <c r="H416" s="253">
        <v>68.819999999999993</v>
      </c>
      <c r="I416" s="253">
        <v>69.489999999999995</v>
      </c>
      <c r="J416" s="253">
        <v>68.584999999999994</v>
      </c>
      <c r="K416" s="253">
        <v>69.224999999999994</v>
      </c>
      <c r="L416" s="253">
        <v>70.754999999999995</v>
      </c>
      <c r="M416" s="253">
        <v>70.62</v>
      </c>
      <c r="N416" s="253">
        <v>70.62</v>
      </c>
      <c r="O416" s="253">
        <v>68.89</v>
      </c>
      <c r="P416" s="253">
        <v>69.16</v>
      </c>
      <c r="Q416" s="253">
        <v>70.299899999999994</v>
      </c>
      <c r="R416" s="253">
        <v>70.069999999999993</v>
      </c>
      <c r="S416" s="253">
        <v>70.77</v>
      </c>
      <c r="T416" s="253">
        <v>70.97</v>
      </c>
      <c r="U416" s="253">
        <v>71.237499999999997</v>
      </c>
      <c r="V416" s="253">
        <v>70.97</v>
      </c>
      <c r="W416" s="253">
        <v>70.97</v>
      </c>
      <c r="X416" s="253">
        <v>71.234999999999999</v>
      </c>
      <c r="Y416" s="253">
        <v>70.94</v>
      </c>
      <c r="Z416" s="247">
        <f ca="1">[1]ExtEntry!$J14</f>
        <v>82.16</v>
      </c>
      <c r="AB416" s="267">
        <v>-163.55000000000001</v>
      </c>
      <c r="AC416" s="267">
        <v>1470</v>
      </c>
      <c r="AD416" s="267">
        <v>2080</v>
      </c>
      <c r="AE416" s="267">
        <v>-2260</v>
      </c>
      <c r="AF416" s="267">
        <v>1200</v>
      </c>
      <c r="AG416" s="267">
        <v>670</v>
      </c>
      <c r="AH416" s="267">
        <v>-390</v>
      </c>
      <c r="AI416" s="267">
        <v>-2400</v>
      </c>
      <c r="AJ416" s="267">
        <v>1030</v>
      </c>
      <c r="AK416" s="267">
        <v>-2080</v>
      </c>
      <c r="AL416" s="267">
        <v>3160</v>
      </c>
      <c r="AM416" s="267">
        <v>-785</v>
      </c>
      <c r="AN416" s="267">
        <v>10</v>
      </c>
      <c r="AO416" s="267">
        <v>1770</v>
      </c>
      <c r="AP416" s="267">
        <v>2670</v>
      </c>
      <c r="AQ416" s="267">
        <v>-3160</v>
      </c>
      <c r="AR416" s="267">
        <v>-455</v>
      </c>
      <c r="AS416" s="267">
        <v>490</v>
      </c>
      <c r="AT416" s="267">
        <v>-1400</v>
      </c>
      <c r="AU416" s="267">
        <v>-535</v>
      </c>
      <c r="AV416" s="263">
        <f t="shared" ca="1" si="35"/>
        <v>-529.59</v>
      </c>
      <c r="AX416" s="88" t="str">
        <f t="shared" ca="1" si="36"/>
        <v>CVS</v>
      </c>
    </row>
    <row r="417" spans="1:50" hidden="1">
      <c r="A417" s="88" t="str">
        <f t="shared" ca="1" si="34"/>
        <v>DDD</v>
      </c>
      <c r="F417" s="253">
        <v>75.849999999999994</v>
      </c>
      <c r="G417" s="253">
        <v>75.83</v>
      </c>
      <c r="H417" s="253">
        <v>77.540000000000006</v>
      </c>
      <c r="I417" s="253">
        <v>77.760000000000005</v>
      </c>
      <c r="J417" s="253">
        <v>79.2</v>
      </c>
      <c r="K417" s="253">
        <v>77.900000000000006</v>
      </c>
      <c r="L417" s="253">
        <v>77.92</v>
      </c>
      <c r="M417" s="253">
        <v>77.66</v>
      </c>
      <c r="N417" s="253">
        <v>77.66</v>
      </c>
      <c r="O417" s="253">
        <v>79.674999999999997</v>
      </c>
      <c r="P417" s="253">
        <v>79.94</v>
      </c>
      <c r="Q417" s="253">
        <v>81.93</v>
      </c>
      <c r="R417" s="253">
        <v>81.905000000000001</v>
      </c>
      <c r="S417" s="253">
        <v>82.875</v>
      </c>
      <c r="T417" s="253">
        <v>82.625</v>
      </c>
      <c r="U417" s="253">
        <v>83.52</v>
      </c>
      <c r="V417" s="253">
        <v>83.03</v>
      </c>
      <c r="W417" s="253">
        <v>83.03</v>
      </c>
      <c r="X417" s="253">
        <v>81.625</v>
      </c>
      <c r="Y417" s="253">
        <v>82.16</v>
      </c>
      <c r="Z417" s="247">
        <f ca="1">[1]ExtEntry!$J15</f>
        <v>3.29</v>
      </c>
      <c r="AB417" s="264">
        <v>-29499.999999999971</v>
      </c>
      <c r="AC417" s="264">
        <v>-347.33</v>
      </c>
      <c r="AD417" s="264">
        <v>74.06</v>
      </c>
      <c r="AE417" s="264">
        <v>3.2000000000000028</v>
      </c>
      <c r="AF417" s="264">
        <v>-0.6600000000000108</v>
      </c>
      <c r="AG417" s="264">
        <v>-0.57999999999998408</v>
      </c>
      <c r="AH417" s="264">
        <v>-0.56999999999999318</v>
      </c>
      <c r="AI417" s="264">
        <v>-2.0600000000000023</v>
      </c>
      <c r="AJ417" s="264">
        <v>-1.6000000000000085</v>
      </c>
      <c r="AK417" s="264">
        <v>0.96000000000000796</v>
      </c>
      <c r="AL417" s="264">
        <v>1.7600000000000051</v>
      </c>
      <c r="AM417" s="264">
        <v>1.5299999999999869</v>
      </c>
      <c r="AN417" s="264">
        <v>1.1700000000000017</v>
      </c>
      <c r="AO417" s="264">
        <v>1.6299999999999955</v>
      </c>
      <c r="AP417" s="264">
        <v>-1.0099999999999909</v>
      </c>
      <c r="AQ417" s="264">
        <v>-0.72000000000001307</v>
      </c>
      <c r="AR417" s="264">
        <v>-2.0499999999999829</v>
      </c>
      <c r="AS417" s="264">
        <v>-1.5899999999999892</v>
      </c>
      <c r="AT417" s="264">
        <v>-1.289999999999992</v>
      </c>
      <c r="AU417" s="264">
        <v>0.39000000000000057</v>
      </c>
      <c r="AV417" s="263">
        <f t="shared" ca="1" si="35"/>
        <v>-4249.99</v>
      </c>
      <c r="AX417" s="88" t="str">
        <f t="shared" ca="1" si="36"/>
        <v>DDD</v>
      </c>
    </row>
    <row r="418" spans="1:50" hidden="1">
      <c r="A418" s="88" t="str">
        <f t="shared" ca="1" si="34"/>
        <v>DIS</v>
      </c>
      <c r="F418" s="253">
        <v>3.3849999999999998</v>
      </c>
      <c r="G418" s="253">
        <v>2.97</v>
      </c>
      <c r="H418" s="253">
        <v>2.95</v>
      </c>
      <c r="I418" s="253">
        <v>3.14</v>
      </c>
      <c r="J418" s="253">
        <v>3.29</v>
      </c>
      <c r="K418" s="253">
        <v>3.54</v>
      </c>
      <c r="L418" s="253">
        <v>3.3815</v>
      </c>
      <c r="M418" s="253">
        <v>3.48</v>
      </c>
      <c r="N418" s="253">
        <v>3.48</v>
      </c>
      <c r="O418" s="253">
        <v>3.12</v>
      </c>
      <c r="P418" s="253">
        <v>3.17</v>
      </c>
      <c r="Q418" s="253">
        <v>3.28</v>
      </c>
      <c r="R418" s="253">
        <v>3.5497000000000001</v>
      </c>
      <c r="S418" s="253">
        <v>3.32</v>
      </c>
      <c r="T418" s="253">
        <v>3.8</v>
      </c>
      <c r="U418" s="253">
        <v>3.75</v>
      </c>
      <c r="V418" s="253">
        <v>3.43</v>
      </c>
      <c r="W418" s="253">
        <v>3.43</v>
      </c>
      <c r="X418" s="253">
        <v>3.21</v>
      </c>
      <c r="Y418" s="253">
        <v>3.29</v>
      </c>
      <c r="Z418" s="247">
        <f ca="1">[1]ExtEntry!$J16</f>
        <v>113.65</v>
      </c>
      <c r="AB418" s="267">
        <v>510.29999999998836</v>
      </c>
      <c r="AC418" s="267">
        <v>-26499.999999999971</v>
      </c>
      <c r="AD418" s="267">
        <v>-4500</v>
      </c>
      <c r="AE418" s="267">
        <v>0</v>
      </c>
      <c r="AF418" s="267">
        <v>-11500</v>
      </c>
      <c r="AG418" s="267">
        <v>26675</v>
      </c>
      <c r="AH418" s="267">
        <v>10525</v>
      </c>
      <c r="AI418" s="267">
        <v>-6000</v>
      </c>
      <c r="AJ418" s="267">
        <v>-14000</v>
      </c>
      <c r="AK418" s="267">
        <v>-2499.9999999999709</v>
      </c>
      <c r="AL418" s="267">
        <v>15225</v>
      </c>
      <c r="AM418" s="267">
        <v>-2125</v>
      </c>
      <c r="AN418" s="267">
        <v>4250</v>
      </c>
      <c r="AO418" s="267">
        <v>2550</v>
      </c>
      <c r="AP418" s="267">
        <v>37824.999999999971</v>
      </c>
      <c r="AQ418" s="267">
        <v>-36550</v>
      </c>
      <c r="AR418" s="267">
        <v>-34425</v>
      </c>
      <c r="AS418" s="267">
        <v>-26775</v>
      </c>
      <c r="AT418" s="267">
        <v>5525.0000000000291</v>
      </c>
      <c r="AU418" s="267">
        <v>-51000</v>
      </c>
      <c r="AV418" s="263">
        <f t="shared" ca="1" si="35"/>
        <v>-47875</v>
      </c>
      <c r="AX418" s="88" t="str">
        <f t="shared" ca="1" si="36"/>
        <v>DIS</v>
      </c>
    </row>
    <row r="419" spans="1:50" hidden="1">
      <c r="A419" s="88" t="str">
        <f t="shared" ca="1" si="34"/>
        <v>DSY</v>
      </c>
      <c r="F419" s="253">
        <v>114.8</v>
      </c>
      <c r="G419" s="253">
        <v>114.88</v>
      </c>
      <c r="H419" s="253">
        <v>116.059</v>
      </c>
      <c r="I419" s="253">
        <v>113.17</v>
      </c>
      <c r="J419" s="253">
        <v>113.57</v>
      </c>
      <c r="K419" s="253">
        <v>113.4</v>
      </c>
      <c r="L419" s="253">
        <v>113.2</v>
      </c>
      <c r="M419" s="253">
        <v>113</v>
      </c>
      <c r="N419" s="253">
        <v>113</v>
      </c>
      <c r="O419" s="253">
        <v>110.96</v>
      </c>
      <c r="P419" s="253">
        <v>111.84</v>
      </c>
      <c r="Q419" s="253">
        <v>112.675</v>
      </c>
      <c r="R419" s="253">
        <v>112.08499999999999</v>
      </c>
      <c r="S419" s="253">
        <v>111.46</v>
      </c>
      <c r="T419" s="253">
        <v>112.25</v>
      </c>
      <c r="U419" s="253">
        <v>114.5395</v>
      </c>
      <c r="V419" s="253">
        <v>114.28</v>
      </c>
      <c r="W419" s="253">
        <v>114.28</v>
      </c>
      <c r="X419" s="253">
        <v>113.83</v>
      </c>
      <c r="Y419" s="253">
        <v>113.65</v>
      </c>
      <c r="Z419" s="247">
        <f ca="1">[1]ExtEntry!$J17</f>
        <v>26.43</v>
      </c>
      <c r="AB419" s="264">
        <v>300</v>
      </c>
      <c r="AC419" s="264">
        <v>500</v>
      </c>
      <c r="AD419" s="264">
        <v>-2155</v>
      </c>
      <c r="AE419" s="264">
        <v>-1125</v>
      </c>
      <c r="AF419" s="264">
        <v>-80</v>
      </c>
      <c r="AG419" s="264">
        <v>-875</v>
      </c>
      <c r="AH419" s="264">
        <v>-865</v>
      </c>
      <c r="AI419" s="264">
        <v>315</v>
      </c>
      <c r="AJ419" s="264">
        <v>-15</v>
      </c>
      <c r="AK419" s="264">
        <v>-325</v>
      </c>
      <c r="AL419" s="264">
        <v>1455</v>
      </c>
      <c r="AM419" s="264">
        <v>1370</v>
      </c>
      <c r="AN419" s="264">
        <v>-1065</v>
      </c>
      <c r="AO419" s="264">
        <v>1760</v>
      </c>
      <c r="AP419" s="264">
        <v>820</v>
      </c>
      <c r="AQ419" s="264">
        <v>665</v>
      </c>
      <c r="AR419" s="264">
        <v>-1355</v>
      </c>
      <c r="AS419" s="264">
        <v>995</v>
      </c>
      <c r="AT419" s="264">
        <v>-1080</v>
      </c>
      <c r="AU419" s="264">
        <v>-2510</v>
      </c>
      <c r="AV419" s="263">
        <f t="shared" ca="1" si="35"/>
        <v>-3390</v>
      </c>
      <c r="AX419" s="88" t="str">
        <f t="shared" ca="1" si="36"/>
        <v>DSY</v>
      </c>
    </row>
    <row r="420" spans="1:50" hidden="1">
      <c r="A420" s="88" t="str">
        <f t="shared" ca="1" si="34"/>
        <v>DVA</v>
      </c>
      <c r="F420" s="253">
        <v>28.37</v>
      </c>
      <c r="G420" s="253">
        <v>28.54</v>
      </c>
      <c r="H420" s="253">
        <v>28.7</v>
      </c>
      <c r="I420" s="253">
        <v>29.84</v>
      </c>
      <c r="J420" s="253">
        <v>29.62</v>
      </c>
      <c r="K420" s="253">
        <v>29.39</v>
      </c>
      <c r="L420" s="253">
        <v>29.33</v>
      </c>
      <c r="M420" s="253">
        <v>29.08</v>
      </c>
      <c r="N420" s="253">
        <v>29.49</v>
      </c>
      <c r="O420" s="253">
        <v>29.02</v>
      </c>
      <c r="P420" s="253">
        <v>28.82</v>
      </c>
      <c r="Q420" s="253">
        <v>29.1</v>
      </c>
      <c r="R420" s="253">
        <v>29.44</v>
      </c>
      <c r="S420" s="253">
        <v>29.41</v>
      </c>
      <c r="T420" s="253">
        <v>29.78</v>
      </c>
      <c r="U420" s="253">
        <v>30.27</v>
      </c>
      <c r="V420" s="253">
        <v>30.36</v>
      </c>
      <c r="W420" s="253">
        <v>30.36</v>
      </c>
      <c r="X420" s="253">
        <v>26.35</v>
      </c>
      <c r="Y420" s="253">
        <v>26.43</v>
      </c>
      <c r="Z420" s="247">
        <f ca="1">[1]ExtEntry!$J18</f>
        <v>130.47</v>
      </c>
      <c r="AB420" s="267">
        <v>-1394.9999999999709</v>
      </c>
      <c r="AC420" s="267">
        <v>1680</v>
      </c>
      <c r="AD420" s="267">
        <v>1800</v>
      </c>
      <c r="AE420" s="267">
        <v>3600</v>
      </c>
      <c r="AF420" s="267">
        <v>-1320</v>
      </c>
      <c r="AG420" s="267">
        <v>-2760</v>
      </c>
      <c r="AH420" s="267">
        <v>-2300</v>
      </c>
      <c r="AI420" s="267">
        <v>-980</v>
      </c>
      <c r="AJ420" s="267">
        <v>-3900</v>
      </c>
      <c r="AK420" s="267">
        <v>2980</v>
      </c>
      <c r="AL420" s="267">
        <v>600</v>
      </c>
      <c r="AM420" s="267">
        <v>2080</v>
      </c>
      <c r="AN420" s="267">
        <v>1800</v>
      </c>
      <c r="AO420" s="267">
        <v>160</v>
      </c>
      <c r="AP420" s="267">
        <v>80</v>
      </c>
      <c r="AQ420" s="267">
        <v>3120</v>
      </c>
      <c r="AR420" s="267">
        <v>-880</v>
      </c>
      <c r="AS420" s="267">
        <v>-1920</v>
      </c>
      <c r="AT420" s="267">
        <v>-400</v>
      </c>
      <c r="AU420" s="267">
        <v>-3760</v>
      </c>
      <c r="AV420" s="263">
        <f t="shared" ca="1" si="35"/>
        <v>-1460</v>
      </c>
      <c r="AX420" s="88" t="str">
        <f t="shared" ca="1" si="36"/>
        <v>DVA</v>
      </c>
    </row>
    <row r="421" spans="1:50" hidden="1">
      <c r="A421" s="88" t="str">
        <f t="shared" ca="1" si="34"/>
        <v>DXC</v>
      </c>
      <c r="F421" s="253">
        <v>131.80000000000001</v>
      </c>
      <c r="G421" s="253">
        <v>133.55000000000001</v>
      </c>
      <c r="H421" s="253">
        <v>134.59</v>
      </c>
      <c r="I421" s="253">
        <v>133.5</v>
      </c>
      <c r="J421" s="253">
        <v>133.21789999999999</v>
      </c>
      <c r="K421" s="253">
        <v>131.84</v>
      </c>
      <c r="L421" s="253">
        <v>131.26</v>
      </c>
      <c r="M421" s="253">
        <v>128.88499999999999</v>
      </c>
      <c r="N421" s="253">
        <v>128.88499999999999</v>
      </c>
      <c r="O421" s="253">
        <v>124.6</v>
      </c>
      <c r="P421" s="253">
        <v>126.941</v>
      </c>
      <c r="Q421" s="253">
        <v>127.92</v>
      </c>
      <c r="R421" s="253">
        <v>126.94</v>
      </c>
      <c r="S421" s="253">
        <v>126.27</v>
      </c>
      <c r="T421" s="253">
        <v>128.47999999999999</v>
      </c>
      <c r="U421" s="253">
        <v>129.10499999999999</v>
      </c>
      <c r="V421" s="253">
        <v>130.245</v>
      </c>
      <c r="W421" s="253">
        <v>130.245</v>
      </c>
      <c r="X421" s="253">
        <v>128.36000000000001</v>
      </c>
      <c r="Y421" s="253">
        <v>130.47</v>
      </c>
      <c r="Z421" s="247">
        <f ca="1">[1]ExtEntry!$J19</f>
        <v>13.64</v>
      </c>
      <c r="AB421" s="264">
        <v>-3621</v>
      </c>
      <c r="AC421" s="264">
        <v>585.00000000001455</v>
      </c>
      <c r="AD421" s="264">
        <v>-1440</v>
      </c>
      <c r="AE421" s="264">
        <v>2739.9999999999854</v>
      </c>
      <c r="AF421" s="264">
        <v>-1450</v>
      </c>
      <c r="AG421" s="264">
        <v>2294.9999999999709</v>
      </c>
      <c r="AH421" s="264">
        <v>-5565.0000000000146</v>
      </c>
      <c r="AI421" s="264">
        <v>-3294</v>
      </c>
      <c r="AJ421" s="264">
        <v>-2684</v>
      </c>
      <c r="AK421" s="264">
        <v>1286</v>
      </c>
      <c r="AL421" s="264">
        <v>2250.8000000000029</v>
      </c>
      <c r="AM421" s="264">
        <v>4336</v>
      </c>
      <c r="AN421" s="264">
        <v>2114</v>
      </c>
      <c r="AO421" s="264">
        <v>3808</v>
      </c>
      <c r="AP421" s="264">
        <v>2422.0000000000291</v>
      </c>
      <c r="AQ421" s="264">
        <v>-3432.7999999999884</v>
      </c>
      <c r="AR421" s="264">
        <v>-118.99999999994179</v>
      </c>
      <c r="AS421" s="264">
        <v>1932.0000000000582</v>
      </c>
      <c r="AT421" s="264">
        <v>-980</v>
      </c>
      <c r="AU421" s="264">
        <v>-2408.0000000000291</v>
      </c>
      <c r="AV421" s="263">
        <f t="shared" ca="1" si="35"/>
        <v>-2088.0000000000291</v>
      </c>
      <c r="AX421" s="88" t="str">
        <f t="shared" ca="1" si="36"/>
        <v>DXC</v>
      </c>
    </row>
    <row r="422" spans="1:50" hidden="1">
      <c r="A422" s="88" t="str">
        <f t="shared" ca="1" si="34"/>
        <v>EOAN</v>
      </c>
      <c r="F422" s="253">
        <v>14.09</v>
      </c>
      <c r="G422" s="253">
        <v>13.76</v>
      </c>
      <c r="H422" s="253">
        <v>13.87</v>
      </c>
      <c r="I422" s="253">
        <v>14.01</v>
      </c>
      <c r="J422" s="253">
        <v>13.945</v>
      </c>
      <c r="K422" s="253">
        <v>13.65</v>
      </c>
      <c r="L422" s="253">
        <v>13.56</v>
      </c>
      <c r="M422" s="253">
        <v>13.595000000000001</v>
      </c>
      <c r="N422" s="253">
        <v>13.595000000000001</v>
      </c>
      <c r="O422" s="253">
        <v>13.244999999999999</v>
      </c>
      <c r="P422" s="253">
        <v>13.494999999999999</v>
      </c>
      <c r="Q422" s="253">
        <v>13.425000000000001</v>
      </c>
      <c r="R422" s="253">
        <v>13.12</v>
      </c>
      <c r="S422" s="253">
        <v>13</v>
      </c>
      <c r="T422" s="253">
        <v>13.1</v>
      </c>
      <c r="U422" s="253">
        <v>13.43</v>
      </c>
      <c r="V422" s="253">
        <v>13.455</v>
      </c>
      <c r="W422" s="253">
        <v>13.455</v>
      </c>
      <c r="X422" s="253">
        <v>13.37</v>
      </c>
      <c r="Y422" s="253">
        <v>13.64</v>
      </c>
      <c r="Z422" s="247">
        <f ca="1">[1]ExtEntry!$J20</f>
        <v>16.085000000000001</v>
      </c>
      <c r="AB422" s="267">
        <v>-637.5</v>
      </c>
      <c r="AC422" s="267">
        <v>4140</v>
      </c>
      <c r="AD422" s="267">
        <v>450</v>
      </c>
      <c r="AE422" s="267">
        <v>1770</v>
      </c>
      <c r="AF422" s="267">
        <v>-2940</v>
      </c>
      <c r="AG422" s="267">
        <v>-510</v>
      </c>
      <c r="AH422" s="267">
        <v>-240</v>
      </c>
      <c r="AI422" s="267">
        <v>-270</v>
      </c>
      <c r="AJ422" s="267">
        <v>2700</v>
      </c>
      <c r="AK422" s="267">
        <v>270</v>
      </c>
      <c r="AL422" s="267">
        <v>3870</v>
      </c>
      <c r="AM422" s="267">
        <v>-1260</v>
      </c>
      <c r="AN422" s="267">
        <v>-2700</v>
      </c>
      <c r="AO422" s="267">
        <v>-240</v>
      </c>
      <c r="AP422" s="267">
        <v>-960</v>
      </c>
      <c r="AQ422" s="267">
        <v>-180</v>
      </c>
      <c r="AR422" s="267">
        <v>1800</v>
      </c>
      <c r="AS422" s="267">
        <v>1920</v>
      </c>
      <c r="AT422" s="267">
        <v>480</v>
      </c>
      <c r="AU422" s="267">
        <v>30</v>
      </c>
      <c r="AV422" s="263">
        <f t="shared" ca="1" si="35"/>
        <v>-86.75</v>
      </c>
      <c r="AX422" s="88" t="str">
        <f t="shared" ca="1" si="36"/>
        <v>EOAN</v>
      </c>
    </row>
    <row r="423" spans="1:50" hidden="1">
      <c r="A423" s="88" t="str">
        <f t="shared" ca="1" si="34"/>
        <v>EPIX</v>
      </c>
      <c r="F423" s="253">
        <v>16.16</v>
      </c>
      <c r="G423" s="253">
        <v>16.07</v>
      </c>
      <c r="H423" s="253">
        <v>16.164999999999999</v>
      </c>
      <c r="I423" s="253">
        <v>16.149999999999999</v>
      </c>
      <c r="J423" s="253">
        <v>16.12</v>
      </c>
      <c r="K423" s="253">
        <v>16.135000000000002</v>
      </c>
      <c r="L423" s="253">
        <v>16.344999999999999</v>
      </c>
      <c r="M423" s="253">
        <v>16.245000000000001</v>
      </c>
      <c r="N423" s="253">
        <v>16.204999999999998</v>
      </c>
      <c r="O423" s="253">
        <v>16.260000000000002</v>
      </c>
      <c r="P423" s="253">
        <v>16.425000000000001</v>
      </c>
      <c r="Q423" s="253">
        <v>16.37</v>
      </c>
      <c r="R423" s="253">
        <v>16.305</v>
      </c>
      <c r="S423" s="253">
        <v>16.38</v>
      </c>
      <c r="T423" s="253">
        <v>16.454999999999998</v>
      </c>
      <c r="U423" s="253">
        <v>16.48</v>
      </c>
      <c r="V423" s="253">
        <v>16.395</v>
      </c>
      <c r="W423" s="253">
        <v>16.395</v>
      </c>
      <c r="X423" s="253">
        <v>16.13</v>
      </c>
      <c r="Y423" s="253">
        <v>16.059999999999999</v>
      </c>
      <c r="Z423" s="247">
        <f ca="1">[1]ExtEntry!$J21</f>
        <v>0.20699999999999999</v>
      </c>
      <c r="AB423" s="264">
        <v>-81</v>
      </c>
      <c r="AC423" s="264">
        <v>656.25</v>
      </c>
      <c r="AD423" s="264">
        <v>900</v>
      </c>
      <c r="AE423" s="264">
        <v>-1574.9999999999927</v>
      </c>
      <c r="AF423" s="264">
        <v>525</v>
      </c>
      <c r="AG423" s="264">
        <v>354</v>
      </c>
      <c r="AH423" s="264">
        <v>-353</v>
      </c>
      <c r="AI423" s="264">
        <v>-772</v>
      </c>
      <c r="AJ423" s="264">
        <v>594.99999999999272</v>
      </c>
      <c r="AK423" s="264">
        <v>-596.25000000000728</v>
      </c>
      <c r="AL423" s="264">
        <v>96.25</v>
      </c>
      <c r="AM423" s="264">
        <v>-115.5</v>
      </c>
      <c r="AN423" s="264">
        <v>27.5</v>
      </c>
      <c r="AO423" s="264">
        <v>44</v>
      </c>
      <c r="AP423" s="264">
        <v>16.500000000001819</v>
      </c>
      <c r="AQ423" s="264">
        <v>-107.25</v>
      </c>
      <c r="AR423" s="264">
        <v>-16.5</v>
      </c>
      <c r="AS423" s="264">
        <v>-115.5</v>
      </c>
      <c r="AT423" s="264">
        <v>-140.25</v>
      </c>
      <c r="AU423" s="264">
        <v>-16.500000000001819</v>
      </c>
      <c r="AV423" s="263">
        <f t="shared" ca="1" si="35"/>
        <v>-21.750000000001819</v>
      </c>
      <c r="AX423" s="88" t="str">
        <f t="shared" ca="1" si="36"/>
        <v>EPIX</v>
      </c>
    </row>
    <row r="424" spans="1:50" hidden="1">
      <c r="A424" s="88" t="str">
        <f t="shared" ca="1" si="34"/>
        <v>GM</v>
      </c>
      <c r="F424" s="253">
        <v>0.19750000000000001</v>
      </c>
      <c r="G424" s="253">
        <v>0.2</v>
      </c>
      <c r="H424" s="253">
        <v>0.2099</v>
      </c>
      <c r="I424" s="253">
        <v>0.2329</v>
      </c>
      <c r="J424" s="253">
        <v>0.217</v>
      </c>
      <c r="K424" s="253">
        <v>0.22</v>
      </c>
      <c r="L424" s="253">
        <v>0.20699999999999999</v>
      </c>
      <c r="M424" s="253">
        <v>0.20699999999999999</v>
      </c>
      <c r="N424" s="253">
        <v>0.20699999999999999</v>
      </c>
      <c r="O424" s="253">
        <v>0.20699999999999999</v>
      </c>
      <c r="P424" s="253">
        <v>0.20699999999999999</v>
      </c>
      <c r="Q424" s="253">
        <v>0.20699999999999999</v>
      </c>
      <c r="R424" s="253">
        <v>0.20699999999999999</v>
      </c>
      <c r="S424" s="253">
        <v>0.20699999999999999</v>
      </c>
      <c r="T424" s="253">
        <v>0.20699999999999999</v>
      </c>
      <c r="U424" s="253">
        <v>0.20699999999999999</v>
      </c>
      <c r="V424" s="253">
        <v>0.20699999999999999</v>
      </c>
      <c r="W424" s="253">
        <v>0.20699999999999999</v>
      </c>
      <c r="X424" s="253">
        <v>0.20699999999999999</v>
      </c>
      <c r="Y424" s="253">
        <v>0.20699999999999999</v>
      </c>
      <c r="Z424" s="247">
        <f ca="1">[1]ExtEntry!$J22</f>
        <v>69.7</v>
      </c>
      <c r="AB424" s="267">
        <v>-8.8000000000000682</v>
      </c>
      <c r="AC424" s="267">
        <v>99</v>
      </c>
      <c r="AD424" s="267">
        <v>-150</v>
      </c>
      <c r="AE424" s="267">
        <v>216</v>
      </c>
      <c r="AF424" s="267">
        <v>12</v>
      </c>
      <c r="AG424" s="267">
        <v>-252</v>
      </c>
      <c r="AH424" s="267">
        <v>303</v>
      </c>
      <c r="AI424" s="267">
        <v>-441</v>
      </c>
      <c r="AJ424" s="267">
        <v>-186</v>
      </c>
      <c r="AK424" s="267">
        <v>-39</v>
      </c>
      <c r="AL424" s="267">
        <v>447</v>
      </c>
      <c r="AM424" s="267">
        <v>0</v>
      </c>
      <c r="AN424" s="267">
        <v>0</v>
      </c>
      <c r="AO424" s="267">
        <v>0</v>
      </c>
      <c r="AP424" s="267">
        <v>0</v>
      </c>
      <c r="AQ424" s="267">
        <v>0</v>
      </c>
      <c r="AR424" s="267">
        <v>0</v>
      </c>
      <c r="AS424" s="267">
        <v>0</v>
      </c>
      <c r="AT424" s="267">
        <v>0</v>
      </c>
      <c r="AU424" s="267">
        <v>0</v>
      </c>
      <c r="AV424" s="263">
        <f t="shared" ca="1" si="35"/>
        <v>-14</v>
      </c>
      <c r="AX424" s="88" t="str">
        <f t="shared" ca="1" si="36"/>
        <v>GM</v>
      </c>
    </row>
    <row r="425" spans="1:50" hidden="1">
      <c r="A425" s="88" t="str">
        <f t="shared" ca="1" si="34"/>
        <v>HPE</v>
      </c>
      <c r="F425" s="253">
        <v>62.11</v>
      </c>
      <c r="G425" s="253">
        <v>62.06</v>
      </c>
      <c r="H425" s="253">
        <v>61.585000000000001</v>
      </c>
      <c r="I425" s="253">
        <v>61.5</v>
      </c>
      <c r="J425" s="253">
        <v>60.61</v>
      </c>
      <c r="K425" s="253">
        <v>58.66</v>
      </c>
      <c r="L425" s="253">
        <v>57.7</v>
      </c>
      <c r="M425" s="253">
        <v>56.865000000000002</v>
      </c>
      <c r="N425" s="253">
        <v>56.865000000000002</v>
      </c>
      <c r="O425" s="253">
        <v>56.2</v>
      </c>
      <c r="P425" s="253">
        <v>57.25</v>
      </c>
      <c r="Q425" s="253">
        <v>58.25</v>
      </c>
      <c r="R425" s="253">
        <v>58.4</v>
      </c>
      <c r="S425" s="253">
        <v>59.17</v>
      </c>
      <c r="T425" s="253">
        <v>58.555</v>
      </c>
      <c r="U425" s="253">
        <v>67.55</v>
      </c>
      <c r="V425" s="253">
        <v>67.584999999999994</v>
      </c>
      <c r="W425" s="253">
        <v>67.584999999999994</v>
      </c>
      <c r="X425" s="253">
        <v>68.48</v>
      </c>
      <c r="Y425" s="253">
        <v>69.7</v>
      </c>
      <c r="Z425" s="247">
        <f ca="1">[1]ExtEntry!$J23</f>
        <v>23.699200000000001</v>
      </c>
      <c r="AB425" s="264">
        <v>-3651</v>
      </c>
      <c r="AC425" s="264">
        <v>-0.80000000000006821</v>
      </c>
      <c r="AD425" s="264">
        <v>5.8000000000000682</v>
      </c>
      <c r="AE425" s="264">
        <v>-31.800000000000068</v>
      </c>
      <c r="AF425" s="264">
        <v>2.2000000000000455</v>
      </c>
      <c r="AG425" s="264">
        <v>-3.75</v>
      </c>
      <c r="AH425" s="264">
        <v>-1.75</v>
      </c>
      <c r="AI425" s="264">
        <v>-12.299999999999955</v>
      </c>
      <c r="AJ425" s="264">
        <v>12.600000000000023</v>
      </c>
      <c r="AK425" s="264">
        <v>-10.200000000000045</v>
      </c>
      <c r="AL425" s="264">
        <v>39.100000000000023</v>
      </c>
      <c r="AM425" s="264">
        <v>16.448999999999955</v>
      </c>
      <c r="AN425" s="264">
        <v>2.9500000000000455</v>
      </c>
      <c r="AO425" s="264">
        <v>15.100000000000023</v>
      </c>
      <c r="AP425" s="264">
        <v>-3.0999999999999091</v>
      </c>
      <c r="AQ425" s="264">
        <v>3</v>
      </c>
      <c r="AR425" s="264">
        <v>-4.4990000000000236</v>
      </c>
      <c r="AS425" s="264">
        <v>8.1499999999998636</v>
      </c>
      <c r="AT425" s="264">
        <v>-17.85000000000025</v>
      </c>
      <c r="AU425" s="264">
        <v>27.300000000000068</v>
      </c>
      <c r="AV425" s="263">
        <f t="shared" ca="1" si="35"/>
        <v>-1754.8000000000002</v>
      </c>
      <c r="AX425" s="88" t="str">
        <f t="shared" ca="1" si="36"/>
        <v>HPE</v>
      </c>
    </row>
    <row r="426" spans="1:50" hidden="1">
      <c r="A426" s="88" t="str">
        <f t="shared" ca="1" si="34"/>
        <v>HPQ</v>
      </c>
      <c r="F426" s="253">
        <v>24.684999999999999</v>
      </c>
      <c r="G426" s="253">
        <v>24.565000000000001</v>
      </c>
      <c r="H426" s="253">
        <v>24.975000000000001</v>
      </c>
      <c r="I426" s="253">
        <v>25.31</v>
      </c>
      <c r="J426" s="253">
        <v>25</v>
      </c>
      <c r="K426" s="253">
        <v>25.92</v>
      </c>
      <c r="L426" s="253">
        <v>26.44</v>
      </c>
      <c r="M426" s="253">
        <v>26.37</v>
      </c>
      <c r="N426" s="253">
        <v>26.37</v>
      </c>
      <c r="O426" s="253">
        <v>25.454999999999998</v>
      </c>
      <c r="P426" s="253">
        <v>25.369900000000001</v>
      </c>
      <c r="Q426" s="253">
        <v>26.31</v>
      </c>
      <c r="R426" s="253">
        <v>23.49</v>
      </c>
      <c r="S426" s="253">
        <v>23.27</v>
      </c>
      <c r="T426" s="253">
        <v>23.105</v>
      </c>
      <c r="U426" s="253">
        <v>23.43</v>
      </c>
      <c r="V426" s="253">
        <v>23.245000000000001</v>
      </c>
      <c r="W426" s="253">
        <v>23.245000000000001</v>
      </c>
      <c r="X426" s="253">
        <v>23.46</v>
      </c>
      <c r="Y426" s="253">
        <v>23.699200000000001</v>
      </c>
      <c r="Z426" s="247">
        <f ca="1">[1]ExtEntry!$J24</f>
        <v>28.43</v>
      </c>
      <c r="AB426" s="267">
        <v>-245</v>
      </c>
      <c r="AC426" s="267">
        <v>7700</v>
      </c>
      <c r="AD426" s="267">
        <v>9900.0000000000291</v>
      </c>
      <c r="AE426" s="267">
        <v>-8106</v>
      </c>
      <c r="AF426" s="267">
        <v>-660</v>
      </c>
      <c r="AG426" s="267">
        <v>-3659</v>
      </c>
      <c r="AH426" s="267">
        <v>5320</v>
      </c>
      <c r="AI426" s="267">
        <v>-3870</v>
      </c>
      <c r="AJ426" s="267">
        <v>7936.0000000000291</v>
      </c>
      <c r="AK426" s="267">
        <v>-644</v>
      </c>
      <c r="AL426" s="267">
        <v>11316</v>
      </c>
      <c r="AM426" s="267">
        <v>-8202</v>
      </c>
      <c r="AN426" s="267">
        <v>-5820</v>
      </c>
      <c r="AO426" s="267">
        <v>3932</v>
      </c>
      <c r="AP426" s="267">
        <v>-1</v>
      </c>
      <c r="AQ426" s="267">
        <v>-2846</v>
      </c>
      <c r="AR426" s="267">
        <v>-1903</v>
      </c>
      <c r="AS426" s="267">
        <v>3590</v>
      </c>
      <c r="AT426" s="267">
        <v>-4952</v>
      </c>
      <c r="AU426" s="267">
        <v>495</v>
      </c>
      <c r="AV426" s="263">
        <f t="shared" ca="1" si="35"/>
        <v>-745</v>
      </c>
      <c r="AX426" s="88" t="str">
        <f t="shared" ca="1" si="36"/>
        <v>HPQ</v>
      </c>
    </row>
    <row r="427" spans="1:50" hidden="1">
      <c r="A427" s="88" t="str">
        <f t="shared" ca="1" si="34"/>
        <v>IAG</v>
      </c>
      <c r="F427" s="253">
        <v>27.040099999999999</v>
      </c>
      <c r="G427" s="253">
        <v>27.25</v>
      </c>
      <c r="H427" s="253">
        <v>27.22</v>
      </c>
      <c r="I427" s="253">
        <v>27.15</v>
      </c>
      <c r="J427" s="253">
        <v>27.29</v>
      </c>
      <c r="K427" s="253">
        <v>26.84</v>
      </c>
      <c r="L427" s="253">
        <v>27.175000000000001</v>
      </c>
      <c r="M427" s="253">
        <v>27.34</v>
      </c>
      <c r="N427" s="253">
        <v>27.34</v>
      </c>
      <c r="O427" s="253">
        <v>27.38</v>
      </c>
      <c r="P427" s="253">
        <v>28.74</v>
      </c>
      <c r="Q427" s="253">
        <v>28.984999999999999</v>
      </c>
      <c r="R427" s="253">
        <v>28.73</v>
      </c>
      <c r="S427" s="253">
        <v>27.61</v>
      </c>
      <c r="T427" s="253">
        <v>28.09</v>
      </c>
      <c r="U427" s="253">
        <v>28.5</v>
      </c>
      <c r="V427" s="253">
        <v>27.965</v>
      </c>
      <c r="W427" s="253">
        <v>27.965</v>
      </c>
      <c r="X427" s="253">
        <v>28.14</v>
      </c>
      <c r="Y427" s="253">
        <v>28.43</v>
      </c>
      <c r="Z427" s="247">
        <f ca="1">[1]ExtEntry!$J25</f>
        <v>410</v>
      </c>
      <c r="AB427" s="264">
        <v>10260</v>
      </c>
      <c r="AC427" s="264">
        <v>140</v>
      </c>
      <c r="AD427" s="264">
        <v>490</v>
      </c>
      <c r="AE427" s="264">
        <v>-50</v>
      </c>
      <c r="AF427" s="264">
        <v>90</v>
      </c>
      <c r="AG427" s="264">
        <v>-125</v>
      </c>
      <c r="AH427" s="264">
        <v>140</v>
      </c>
      <c r="AI427" s="264">
        <v>310</v>
      </c>
      <c r="AJ427" s="264">
        <v>105</v>
      </c>
      <c r="AK427" s="264">
        <v>6220</v>
      </c>
      <c r="AL427" s="264">
        <v>4845</v>
      </c>
      <c r="AM427" s="264">
        <v>-1130</v>
      </c>
      <c r="AN427" s="264">
        <v>-7185</v>
      </c>
      <c r="AO427" s="264">
        <v>1540</v>
      </c>
      <c r="AP427" s="264">
        <v>-5775</v>
      </c>
      <c r="AQ427" s="264">
        <v>-2475</v>
      </c>
      <c r="AR427" s="264">
        <v>2980</v>
      </c>
      <c r="AS427" s="264">
        <v>9675</v>
      </c>
      <c r="AT427" s="264">
        <v>-1125</v>
      </c>
      <c r="AU427" s="264">
        <v>-3475</v>
      </c>
      <c r="AV427" s="263">
        <f t="shared" ca="1" si="35"/>
        <v>4325</v>
      </c>
      <c r="AX427" s="88" t="str">
        <f t="shared" ca="1" si="36"/>
        <v>IAG</v>
      </c>
    </row>
    <row r="428" spans="1:50" hidden="1">
      <c r="A428" s="88" t="str">
        <f t="shared" ca="1" si="34"/>
        <v>KR</v>
      </c>
      <c r="F428" s="253">
        <v>386.2</v>
      </c>
      <c r="G428" s="253">
        <v>387.9</v>
      </c>
      <c r="H428" s="253">
        <v>384.9</v>
      </c>
      <c r="I428" s="253">
        <v>386.6</v>
      </c>
      <c r="J428" s="253">
        <v>389.3</v>
      </c>
      <c r="K428" s="253">
        <v>391.3</v>
      </c>
      <c r="L428" s="253">
        <v>405</v>
      </c>
      <c r="M428" s="253">
        <v>416</v>
      </c>
      <c r="N428" s="253">
        <v>413.9</v>
      </c>
      <c r="O428" s="253">
        <v>411.3</v>
      </c>
      <c r="P428" s="253">
        <v>408.6</v>
      </c>
      <c r="Q428" s="253">
        <v>414.8</v>
      </c>
      <c r="R428" s="253">
        <v>411.9</v>
      </c>
      <c r="S428" s="253">
        <v>402</v>
      </c>
      <c r="T428" s="253">
        <v>398.4</v>
      </c>
      <c r="U428" s="253">
        <v>398.1</v>
      </c>
      <c r="V428" s="253">
        <v>404.8</v>
      </c>
      <c r="W428" s="253">
        <v>404.8</v>
      </c>
      <c r="X428" s="253">
        <v>406.2</v>
      </c>
      <c r="Y428" s="253">
        <v>410</v>
      </c>
      <c r="Z428" s="247">
        <f ca="1">[1]ExtEntry!$J26</f>
        <v>68.900000000000006</v>
      </c>
      <c r="AB428" s="267">
        <v>3511.2000000000407</v>
      </c>
      <c r="AC428" s="267">
        <v>-1890</v>
      </c>
      <c r="AD428" s="267">
        <v>-21060</v>
      </c>
      <c r="AE428" s="267">
        <v>13770</v>
      </c>
      <c r="AF428" s="267">
        <v>-1950</v>
      </c>
      <c r="AG428" s="267">
        <v>3900</v>
      </c>
      <c r="AH428" s="267">
        <v>21490</v>
      </c>
      <c r="AI428" s="267">
        <v>38820</v>
      </c>
      <c r="AJ428" s="267">
        <v>-27420</v>
      </c>
      <c r="AK428" s="267">
        <v>5460</v>
      </c>
      <c r="AL428" s="267">
        <v>-3660</v>
      </c>
      <c r="AM428" s="267">
        <v>-36040</v>
      </c>
      <c r="AN428" s="267">
        <v>-32880</v>
      </c>
      <c r="AO428" s="267">
        <v>-12000</v>
      </c>
      <c r="AP428" s="267">
        <v>3120</v>
      </c>
      <c r="AQ428" s="267">
        <v>-10320</v>
      </c>
      <c r="AR428" s="267">
        <v>17020</v>
      </c>
      <c r="AS428" s="267">
        <v>14620</v>
      </c>
      <c r="AT428" s="267">
        <v>32520</v>
      </c>
      <c r="AU428" s="267">
        <v>1680</v>
      </c>
      <c r="AV428" s="263">
        <f t="shared" ca="1" si="35"/>
        <v>-11920</v>
      </c>
      <c r="AX428" s="88" t="str">
        <f t="shared" ca="1" si="36"/>
        <v>KR</v>
      </c>
    </row>
    <row r="429" spans="1:50" hidden="1">
      <c r="A429" s="88" t="str">
        <f t="shared" ca="1" si="34"/>
        <v>LNSR</v>
      </c>
      <c r="F429" s="253">
        <v>66.06</v>
      </c>
      <c r="G429" s="253">
        <v>67.459999999999994</v>
      </c>
      <c r="H429" s="253">
        <v>67.16</v>
      </c>
      <c r="I429" s="253">
        <v>66.959999999999994</v>
      </c>
      <c r="J429" s="253">
        <v>66.63</v>
      </c>
      <c r="K429" s="253">
        <v>66.900000000000006</v>
      </c>
      <c r="L429" s="253">
        <v>68.25</v>
      </c>
      <c r="M429" s="253">
        <v>68.775000000000006</v>
      </c>
      <c r="N429" s="253">
        <v>68.775000000000006</v>
      </c>
      <c r="O429" s="253">
        <v>67.234999999999999</v>
      </c>
      <c r="P429" s="253">
        <v>69.504999999999995</v>
      </c>
      <c r="Q429" s="253">
        <v>69.37</v>
      </c>
      <c r="R429" s="253">
        <v>69.81</v>
      </c>
      <c r="S429" s="253">
        <v>69.715000000000003</v>
      </c>
      <c r="T429" s="253">
        <v>69.400000000000006</v>
      </c>
      <c r="U429" s="253">
        <v>68.75</v>
      </c>
      <c r="V429" s="253">
        <v>68.86</v>
      </c>
      <c r="W429" s="253">
        <v>68.86</v>
      </c>
      <c r="X429" s="253">
        <v>68.83</v>
      </c>
      <c r="Y429" s="253">
        <v>68.900000000000006</v>
      </c>
      <c r="Z429" s="247">
        <f ca="1">[1]ExtEntry!$J27</f>
        <v>12.2599</v>
      </c>
      <c r="AB429" s="264">
        <v>0</v>
      </c>
      <c r="AC429" s="264">
        <v>372.39999999993597</v>
      </c>
      <c r="AD429" s="264">
        <v>-2420.5999999999767</v>
      </c>
      <c r="AE429" s="264">
        <v>1835.4000000000233</v>
      </c>
      <c r="AF429" s="264">
        <v>425.60000000006403</v>
      </c>
      <c r="AG429" s="264">
        <v>3790.4999999999418</v>
      </c>
      <c r="AH429" s="264">
        <v>-558.59999999994761</v>
      </c>
      <c r="AI429" s="264">
        <v>-824.59999999997672</v>
      </c>
      <c r="AJ429" s="264">
        <v>-2846.1999999999825</v>
      </c>
      <c r="AK429" s="264">
        <v>279.29999999998836</v>
      </c>
      <c r="AL429" s="264">
        <v>-1516.1999999999825</v>
      </c>
      <c r="AM429" s="264">
        <v>-1822.1000000000058</v>
      </c>
      <c r="AN429" s="264">
        <v>2207.7999999999884</v>
      </c>
      <c r="AO429" s="264">
        <v>1383.1999999999534</v>
      </c>
      <c r="AP429" s="264">
        <v>280.89999999999418</v>
      </c>
      <c r="AQ429" s="264">
        <v>-8230.7999999999884</v>
      </c>
      <c r="AR429" s="264">
        <v>2654.8999999999942</v>
      </c>
      <c r="AS429" s="264">
        <v>3466.1999999999825</v>
      </c>
      <c r="AT429" s="264">
        <v>930.80000000001746</v>
      </c>
      <c r="AU429" s="264">
        <v>-9490</v>
      </c>
      <c r="AV429" s="263">
        <f t="shared" ca="1" si="35"/>
        <v>-640</v>
      </c>
      <c r="AX429" s="88" t="str">
        <f t="shared" ca="1" si="36"/>
        <v>LNSR</v>
      </c>
    </row>
    <row r="430" spans="1:50" hidden="1">
      <c r="A430" s="88" t="str">
        <f t="shared" ca="1" si="34"/>
        <v>LUMN</v>
      </c>
      <c r="F430" s="253">
        <v>12.35</v>
      </c>
      <c r="G430" s="253">
        <v>12.35</v>
      </c>
      <c r="H430" s="253">
        <v>12.36</v>
      </c>
      <c r="I430" s="253">
        <v>12.48</v>
      </c>
      <c r="J430" s="253">
        <v>12.6</v>
      </c>
      <c r="K430" s="253">
        <v>12.135</v>
      </c>
      <c r="L430" s="253">
        <v>12.22</v>
      </c>
      <c r="M430" s="253">
        <v>12.2</v>
      </c>
      <c r="N430" s="253">
        <v>12.2</v>
      </c>
      <c r="O430" s="253">
        <v>12</v>
      </c>
      <c r="P430" s="253">
        <v>12.039400000000001</v>
      </c>
      <c r="Q430" s="253">
        <v>12.02</v>
      </c>
      <c r="R430" s="253">
        <v>11.867000000000001</v>
      </c>
      <c r="S430" s="253">
        <v>11.99</v>
      </c>
      <c r="T430" s="253">
        <v>12.3</v>
      </c>
      <c r="U430" s="253">
        <v>12.32</v>
      </c>
      <c r="V430" s="253">
        <v>12.31</v>
      </c>
      <c r="W430" s="253">
        <v>12.31</v>
      </c>
      <c r="X430" s="253">
        <v>12.262499999999999</v>
      </c>
      <c r="Y430" s="253">
        <v>12.2599</v>
      </c>
      <c r="Z430" s="247">
        <f ca="1">[1]ExtEntry!$J28</f>
        <v>8.4</v>
      </c>
      <c r="AB430" s="267">
        <v>-631.90000000000055</v>
      </c>
      <c r="AC430" s="267">
        <v>0</v>
      </c>
      <c r="AD430" s="267">
        <v>0</v>
      </c>
      <c r="AE430" s="267">
        <v>0</v>
      </c>
      <c r="AF430" s="267">
        <v>0</v>
      </c>
      <c r="AG430" s="267">
        <v>0</v>
      </c>
      <c r="AH430" s="267">
        <v>0</v>
      </c>
      <c r="AI430" s="267">
        <v>0</v>
      </c>
      <c r="AJ430" s="267">
        <v>0</v>
      </c>
      <c r="AK430" s="267">
        <v>0</v>
      </c>
      <c r="AL430" s="267">
        <v>0</v>
      </c>
      <c r="AM430" s="267">
        <v>0</v>
      </c>
      <c r="AN430" s="267">
        <v>0</v>
      </c>
      <c r="AO430" s="267">
        <v>0</v>
      </c>
      <c r="AP430" s="267">
        <v>0</v>
      </c>
      <c r="AQ430" s="267">
        <v>0</v>
      </c>
      <c r="AR430" s="267">
        <v>0</v>
      </c>
      <c r="AS430" s="267">
        <v>0</v>
      </c>
      <c r="AT430" s="267">
        <v>0</v>
      </c>
      <c r="AU430" s="267">
        <v>0</v>
      </c>
      <c r="AV430" s="263">
        <f t="shared" ca="1" si="35"/>
        <v>0.60000000000000853</v>
      </c>
      <c r="AX430" s="88" t="str">
        <f t="shared" ca="1" si="36"/>
        <v>LUMN</v>
      </c>
    </row>
    <row r="431" spans="1:50" hidden="1">
      <c r="A431" s="88" t="str">
        <f t="shared" ca="1" si="34"/>
        <v>MRNA</v>
      </c>
      <c r="F431" s="253">
        <v>5.9424999999999999</v>
      </c>
      <c r="G431" s="253">
        <v>6.21</v>
      </c>
      <c r="H431" s="253">
        <v>6.2350000000000003</v>
      </c>
      <c r="I431" s="253">
        <v>6.51</v>
      </c>
      <c r="J431" s="253">
        <v>6.6</v>
      </c>
      <c r="K431" s="253">
        <v>7.2693000000000003</v>
      </c>
      <c r="L431" s="253">
        <v>7.21</v>
      </c>
      <c r="M431" s="253">
        <v>7.0747</v>
      </c>
      <c r="N431" s="253">
        <v>7.0747</v>
      </c>
      <c r="O431" s="253">
        <v>6.8498999999999999</v>
      </c>
      <c r="P431" s="253">
        <v>7.03</v>
      </c>
      <c r="Q431" s="253">
        <v>7.4297000000000004</v>
      </c>
      <c r="R431" s="253">
        <v>7.4550000000000001</v>
      </c>
      <c r="S431" s="253">
        <v>7.03</v>
      </c>
      <c r="T431" s="253">
        <v>7.17</v>
      </c>
      <c r="U431" s="253">
        <v>7.31</v>
      </c>
      <c r="V431" s="253">
        <v>7.1849999999999996</v>
      </c>
      <c r="W431" s="253">
        <v>7.1849999999999996</v>
      </c>
      <c r="X431" s="253">
        <v>7.8250000000000002</v>
      </c>
      <c r="Y431" s="253">
        <v>8.4</v>
      </c>
      <c r="Z431" s="247">
        <f ca="1">[1]ExtEntry!$J29</f>
        <v>26.91</v>
      </c>
      <c r="AB431" s="264">
        <v>-20236.799999999988</v>
      </c>
      <c r="AC431" s="264">
        <v>655</v>
      </c>
      <c r="AD431" s="264">
        <v>190</v>
      </c>
      <c r="AE431" s="264">
        <v>-295</v>
      </c>
      <c r="AF431" s="264">
        <v>190</v>
      </c>
      <c r="AG431" s="264">
        <v>-208.09999999999945</v>
      </c>
      <c r="AH431" s="264">
        <v>-140</v>
      </c>
      <c r="AI431" s="264">
        <v>-26.649999999999977</v>
      </c>
      <c r="AJ431" s="264">
        <v>-146.69999999999999</v>
      </c>
      <c r="AK431" s="264">
        <v>-234.15</v>
      </c>
      <c r="AL431" s="264">
        <v>248.2</v>
      </c>
      <c r="AM431" s="264">
        <v>-133.94999999999999</v>
      </c>
      <c r="AN431" s="264">
        <v>-1.2000000000000171</v>
      </c>
      <c r="AO431" s="264">
        <v>1.0999999999999943</v>
      </c>
      <c r="AP431" s="264">
        <v>0.70000000000000284</v>
      </c>
      <c r="AQ431" s="264">
        <v>-2.25</v>
      </c>
      <c r="AR431" s="264">
        <v>-1.25</v>
      </c>
      <c r="AS431" s="264">
        <v>2.6499999999999915</v>
      </c>
      <c r="AT431" s="264">
        <v>5.9499999999999886</v>
      </c>
      <c r="AU431" s="264">
        <v>-0.99999999999998579</v>
      </c>
      <c r="AV431" s="263">
        <f t="shared" ca="1" si="35"/>
        <v>2638.45</v>
      </c>
      <c r="AX431" s="88" t="str">
        <f t="shared" ca="1" si="36"/>
        <v>MRNA</v>
      </c>
    </row>
    <row r="432" spans="1:50" hidden="1">
      <c r="A432" s="88" t="str">
        <f t="shared" ca="1" si="34"/>
        <v>MSFT</v>
      </c>
      <c r="F432" s="253">
        <v>25.155000000000001</v>
      </c>
      <c r="G432" s="253">
        <v>26.01</v>
      </c>
      <c r="H432" s="253">
        <v>28.35</v>
      </c>
      <c r="I432" s="253">
        <v>28.41</v>
      </c>
      <c r="J432" s="253">
        <v>28.99</v>
      </c>
      <c r="K432" s="253">
        <v>27.759399999999999</v>
      </c>
      <c r="L432" s="253">
        <v>29.45</v>
      </c>
      <c r="M432" s="253">
        <v>28.3</v>
      </c>
      <c r="N432" s="253">
        <v>28.3</v>
      </c>
      <c r="O432" s="253">
        <v>28.06</v>
      </c>
      <c r="P432" s="253">
        <v>26.69</v>
      </c>
      <c r="Q432" s="253">
        <v>27.952000000000002</v>
      </c>
      <c r="R432" s="253">
        <v>28.48</v>
      </c>
      <c r="S432" s="253">
        <v>26.94</v>
      </c>
      <c r="T432" s="253">
        <v>28.12</v>
      </c>
      <c r="U432" s="253">
        <v>27.59</v>
      </c>
      <c r="V432" s="253">
        <v>27.35</v>
      </c>
      <c r="W432" s="253">
        <v>27.35</v>
      </c>
      <c r="X432" s="253">
        <v>26.67</v>
      </c>
      <c r="Y432" s="253">
        <v>26.91</v>
      </c>
      <c r="Z432" s="247">
        <f ca="1">[1]ExtEntry!$J30</f>
        <v>525.34500000000003</v>
      </c>
      <c r="AB432" s="267">
        <v>47606.979999999516</v>
      </c>
      <c r="AC432" s="267">
        <v>19920</v>
      </c>
      <c r="AD432" s="267">
        <v>17040</v>
      </c>
      <c r="AE432" s="267">
        <v>17040</v>
      </c>
      <c r="AF432" s="267">
        <v>-1800</v>
      </c>
      <c r="AG432" s="267">
        <v>-6763.2000000000116</v>
      </c>
      <c r="AH432" s="267">
        <v>-2160</v>
      </c>
      <c r="AI432" s="267">
        <v>-24600</v>
      </c>
      <c r="AJ432" s="267">
        <v>-11040</v>
      </c>
      <c r="AK432" s="267">
        <v>-3960</v>
      </c>
      <c r="AL432" s="267">
        <v>2460</v>
      </c>
      <c r="AM432" s="267">
        <v>7620</v>
      </c>
      <c r="AN432" s="267">
        <v>-1620</v>
      </c>
      <c r="AO432" s="267">
        <v>1920</v>
      </c>
      <c r="AP432" s="267">
        <v>15960</v>
      </c>
      <c r="AQ432" s="267">
        <v>3720</v>
      </c>
      <c r="AR432" s="267">
        <v>-18540</v>
      </c>
      <c r="AS432" s="267">
        <v>4140</v>
      </c>
      <c r="AT432" s="267">
        <v>10080</v>
      </c>
      <c r="AU432" s="267">
        <v>-7320</v>
      </c>
      <c r="AV432" s="263">
        <f t="shared" ca="1" si="35"/>
        <v>-1924</v>
      </c>
      <c r="AX432" s="88" t="str">
        <f t="shared" ca="1" si="36"/>
        <v>MSFT</v>
      </c>
    </row>
    <row r="433" spans="1:50" hidden="1">
      <c r="A433" s="88" t="str">
        <f t="shared" ca="1" si="34"/>
        <v>NEE</v>
      </c>
      <c r="F433" s="253">
        <v>516.84500000000003</v>
      </c>
      <c r="G433" s="253">
        <v>518.16</v>
      </c>
      <c r="H433" s="253">
        <v>520.505</v>
      </c>
      <c r="I433" s="253">
        <v>521.6</v>
      </c>
      <c r="J433" s="253">
        <v>520.49</v>
      </c>
      <c r="K433" s="253">
        <v>529.79999999999995</v>
      </c>
      <c r="L433" s="253">
        <v>526.95000000000005</v>
      </c>
      <c r="M433" s="253">
        <v>524.32500000000005</v>
      </c>
      <c r="N433" s="253">
        <v>524.32500000000005</v>
      </c>
      <c r="O433" s="253">
        <v>516.41</v>
      </c>
      <c r="P433" s="253">
        <v>515.28200000000004</v>
      </c>
      <c r="Q433" s="253">
        <v>517.17999999999995</v>
      </c>
      <c r="R433" s="253">
        <v>516.85</v>
      </c>
      <c r="S433" s="253">
        <v>515.48</v>
      </c>
      <c r="T433" s="253">
        <v>518.70000000000005</v>
      </c>
      <c r="U433" s="253">
        <v>518.69000000000005</v>
      </c>
      <c r="V433" s="253">
        <v>525.23</v>
      </c>
      <c r="W433" s="253">
        <v>525.23</v>
      </c>
      <c r="X433" s="253">
        <v>523.95000000000005</v>
      </c>
      <c r="Y433" s="253">
        <v>525.34500000000003</v>
      </c>
      <c r="Z433" s="247">
        <f ca="1">[1]ExtEntry!$J31</f>
        <v>84.775800000000004</v>
      </c>
      <c r="AB433" s="264">
        <v>-3834</v>
      </c>
      <c r="AC433" s="264">
        <v>91650.000000000931</v>
      </c>
      <c r="AD433" s="264">
        <v>50464</v>
      </c>
      <c r="AE433" s="264">
        <v>-5666</v>
      </c>
      <c r="AF433" s="264">
        <v>-10950</v>
      </c>
      <c r="AG433" s="264">
        <v>-77216.229999999516</v>
      </c>
      <c r="AH433" s="264">
        <v>-31007.5</v>
      </c>
      <c r="AI433" s="264">
        <v>-47490.75</v>
      </c>
      <c r="AJ433" s="264">
        <v>19247.25</v>
      </c>
      <c r="AK433" s="264">
        <v>-21756</v>
      </c>
      <c r="AL433" s="264">
        <v>76529.250000000931</v>
      </c>
      <c r="AM433" s="264">
        <v>-39257.520000000484</v>
      </c>
      <c r="AN433" s="264">
        <v>-10133.25</v>
      </c>
      <c r="AO433" s="264">
        <v>43864.75</v>
      </c>
      <c r="AP433" s="264">
        <v>40670</v>
      </c>
      <c r="AQ433" s="264">
        <v>-33418.000000000931</v>
      </c>
      <c r="AR433" s="264">
        <v>18129.020000000484</v>
      </c>
      <c r="AS433" s="264">
        <v>3528</v>
      </c>
      <c r="AT433" s="264">
        <v>-63112.000000000931</v>
      </c>
      <c r="AU433" s="264">
        <v>-13328</v>
      </c>
      <c r="AV433" s="263">
        <f t="shared" ca="1" si="35"/>
        <v>-21032</v>
      </c>
      <c r="AX433" s="88" t="str">
        <f t="shared" ca="1" si="36"/>
        <v>NEE</v>
      </c>
    </row>
    <row r="434" spans="1:50" hidden="1">
      <c r="A434" s="88" t="str">
        <f t="shared" ca="1" si="34"/>
        <v>NEM</v>
      </c>
      <c r="F434" s="253">
        <v>76.06</v>
      </c>
      <c r="G434" s="253">
        <v>76.7</v>
      </c>
      <c r="H434" s="253">
        <v>78.7</v>
      </c>
      <c r="I434" s="253">
        <v>78.89</v>
      </c>
      <c r="J434" s="253">
        <v>81.364999999999995</v>
      </c>
      <c r="K434" s="253">
        <v>84.61</v>
      </c>
      <c r="L434" s="253">
        <v>84.39</v>
      </c>
      <c r="M434" s="253">
        <v>84.82</v>
      </c>
      <c r="N434" s="253">
        <v>84.82</v>
      </c>
      <c r="O434" s="253">
        <v>85.03</v>
      </c>
      <c r="P434" s="253">
        <v>84.84</v>
      </c>
      <c r="Q434" s="253">
        <v>86.48</v>
      </c>
      <c r="R434" s="253">
        <v>86.74</v>
      </c>
      <c r="S434" s="253">
        <v>85.82</v>
      </c>
      <c r="T434" s="253">
        <v>85.34</v>
      </c>
      <c r="U434" s="253">
        <v>85.11</v>
      </c>
      <c r="V434" s="253">
        <v>84.22</v>
      </c>
      <c r="W434" s="253">
        <v>84.22</v>
      </c>
      <c r="X434" s="253">
        <v>83.89</v>
      </c>
      <c r="Y434" s="253">
        <v>84.775800000000004</v>
      </c>
      <c r="Z434" s="247">
        <f ca="1">[1]ExtEntry!$J32</f>
        <v>86</v>
      </c>
      <c r="AB434" s="267">
        <v>-34513.600000000093</v>
      </c>
      <c r="AC434" s="267">
        <v>-2027.9999999999854</v>
      </c>
      <c r="AD434" s="267">
        <v>-3948</v>
      </c>
      <c r="AE434" s="267">
        <v>-1856</v>
      </c>
      <c r="AF434" s="267">
        <v>774.00000000001455</v>
      </c>
      <c r="AG434" s="267">
        <v>166.00000000000728</v>
      </c>
      <c r="AH434" s="267">
        <v>1439.9999999999854</v>
      </c>
      <c r="AI434" s="267">
        <v>-3345.9999999999927</v>
      </c>
      <c r="AJ434" s="267">
        <v>33</v>
      </c>
      <c r="AK434" s="267">
        <v>-1200.9999999999927</v>
      </c>
      <c r="AL434" s="267">
        <v>65.999999999992724</v>
      </c>
      <c r="AM434" s="267">
        <v>48</v>
      </c>
      <c r="AN434" s="267">
        <v>63.999999999992724</v>
      </c>
      <c r="AO434" s="267">
        <v>157</v>
      </c>
      <c r="AP434" s="267">
        <v>-915.00000000000728</v>
      </c>
      <c r="AQ434" s="267">
        <v>-582</v>
      </c>
      <c r="AR434" s="267">
        <v>-788</v>
      </c>
      <c r="AS434" s="267">
        <v>-20</v>
      </c>
      <c r="AT434" s="267">
        <v>120</v>
      </c>
      <c r="AU434" s="267">
        <v>498</v>
      </c>
      <c r="AV434" s="263">
        <f t="shared" ca="1" si="35"/>
        <v>14276</v>
      </c>
      <c r="AX434" s="88" t="str">
        <f t="shared" ca="1" si="36"/>
        <v>NEM</v>
      </c>
    </row>
    <row r="435" spans="1:50" hidden="1">
      <c r="A435" s="88" t="str">
        <f t="shared" ca="1" si="34"/>
        <v>NFLX</v>
      </c>
      <c r="F435" s="253">
        <v>87.93</v>
      </c>
      <c r="G435" s="253">
        <v>85.28</v>
      </c>
      <c r="H435" s="253">
        <v>86.305000000000007</v>
      </c>
      <c r="I435" s="253">
        <v>86.93</v>
      </c>
      <c r="J435" s="253">
        <v>87.39</v>
      </c>
      <c r="K435" s="253">
        <v>88.905000000000001</v>
      </c>
      <c r="L435" s="253">
        <v>89</v>
      </c>
      <c r="M435" s="253">
        <v>88.96</v>
      </c>
      <c r="N435" s="253">
        <v>88.96</v>
      </c>
      <c r="O435" s="253">
        <v>89.42</v>
      </c>
      <c r="P435" s="253">
        <v>91.236999999999995</v>
      </c>
      <c r="Q435" s="253">
        <v>93.93</v>
      </c>
      <c r="R435" s="253">
        <v>98.578000000000003</v>
      </c>
      <c r="S435" s="253">
        <v>96.36</v>
      </c>
      <c r="T435" s="253">
        <v>95.02</v>
      </c>
      <c r="U435" s="253">
        <v>89.03</v>
      </c>
      <c r="V435" s="253">
        <v>87.61</v>
      </c>
      <c r="W435" s="253">
        <v>87.61</v>
      </c>
      <c r="X435" s="253">
        <v>90.19</v>
      </c>
      <c r="Y435" s="253">
        <v>86</v>
      </c>
      <c r="Z435" s="247">
        <f ca="1">[1]ExtEntry!$J33</f>
        <v>1114.51</v>
      </c>
      <c r="AB435" s="264">
        <v>-3252.0000000001164</v>
      </c>
      <c r="AC435" s="264">
        <v>5320</v>
      </c>
      <c r="AD435" s="264">
        <v>29120</v>
      </c>
      <c r="AE435" s="264">
        <v>-9870</v>
      </c>
      <c r="AF435" s="264">
        <v>-9800</v>
      </c>
      <c r="AG435" s="264">
        <v>17596.600000000093</v>
      </c>
      <c r="AH435" s="264">
        <v>-15680</v>
      </c>
      <c r="AI435" s="264">
        <v>-59920</v>
      </c>
      <c r="AJ435" s="264">
        <v>-39550</v>
      </c>
      <c r="AK435" s="264">
        <v>10010</v>
      </c>
      <c r="AL435" s="264">
        <v>63280</v>
      </c>
      <c r="AM435" s="264">
        <v>24920</v>
      </c>
      <c r="AN435" s="264">
        <v>91280</v>
      </c>
      <c r="AO435" s="264">
        <v>-31640</v>
      </c>
      <c r="AP435" s="264">
        <v>-6145</v>
      </c>
      <c r="AQ435" s="264">
        <v>-86085</v>
      </c>
      <c r="AR435" s="264">
        <v>47150</v>
      </c>
      <c r="AS435" s="264">
        <v>21530</v>
      </c>
      <c r="AT435" s="264">
        <v>73910</v>
      </c>
      <c r="AU435" s="264">
        <v>-25</v>
      </c>
      <c r="AV435" s="263">
        <f t="shared" ca="1" si="35"/>
        <v>-62385</v>
      </c>
      <c r="AX435" s="88" t="str">
        <f t="shared" ca="1" si="36"/>
        <v>NFLX</v>
      </c>
    </row>
    <row r="436" spans="1:50" hidden="1">
      <c r="A436" s="88" t="str">
        <f t="shared" ca="1" si="34"/>
        <v>NOTE</v>
      </c>
      <c r="F436" s="253">
        <v>1224.44</v>
      </c>
      <c r="G436" s="253">
        <v>1208.5</v>
      </c>
      <c r="H436" s="253">
        <v>1179.1400000000001</v>
      </c>
      <c r="I436" s="253">
        <v>1163.33</v>
      </c>
      <c r="J436" s="253">
        <v>1168</v>
      </c>
      <c r="K436" s="253">
        <v>1201.365</v>
      </c>
      <c r="L436" s="253">
        <v>1217.3900000000001</v>
      </c>
      <c r="M436" s="253">
        <v>1237.5</v>
      </c>
      <c r="N436" s="253">
        <v>1237.5</v>
      </c>
      <c r="O436" s="253">
        <v>1231.1199999999999</v>
      </c>
      <c r="P436" s="253">
        <v>1224.2899</v>
      </c>
      <c r="Q436" s="253">
        <v>1219.6199999999999</v>
      </c>
      <c r="R436" s="253">
        <v>1216.71</v>
      </c>
      <c r="S436" s="253">
        <v>1203.1199999999999</v>
      </c>
      <c r="T436" s="253">
        <v>1247.76</v>
      </c>
      <c r="U436" s="253">
        <v>1248.5998999999999</v>
      </c>
      <c r="V436" s="253">
        <v>1157.5999999999999</v>
      </c>
      <c r="W436" s="253">
        <v>1157.5999999999999</v>
      </c>
      <c r="X436" s="253">
        <v>1127.8285000000001</v>
      </c>
      <c r="Y436" s="253">
        <v>1114.51</v>
      </c>
      <c r="Z436" s="247">
        <f ca="1">[1]ExtEntry!$J34</f>
        <v>4.5439999999999996</v>
      </c>
      <c r="AB436" s="267">
        <v>-9066.7799999999843</v>
      </c>
      <c r="AC436" s="267">
        <v>288</v>
      </c>
      <c r="AD436" s="267">
        <v>6041.9999999998836</v>
      </c>
      <c r="AE436" s="267">
        <v>-2472</v>
      </c>
      <c r="AF436" s="267">
        <v>-10121.999999999884</v>
      </c>
      <c r="AG436" s="267">
        <v>10892</v>
      </c>
      <c r="AH436" s="267">
        <v>18206.000000000116</v>
      </c>
      <c r="AI436" s="267">
        <v>14528</v>
      </c>
      <c r="AJ436" s="267">
        <v>11156</v>
      </c>
      <c r="AK436" s="267">
        <v>5384.0000000001164</v>
      </c>
      <c r="AL436" s="267">
        <v>-10196.000000000116</v>
      </c>
      <c r="AM436" s="267">
        <v>-18213.000000000116</v>
      </c>
      <c r="AN436" s="267">
        <v>-34622.000000000233</v>
      </c>
      <c r="AO436" s="267">
        <v>834</v>
      </c>
      <c r="AP436" s="267">
        <v>23103.499999999884</v>
      </c>
      <c r="AQ436" s="267">
        <v>-1456</v>
      </c>
      <c r="AR436" s="267">
        <v>-48559</v>
      </c>
      <c r="AS436" s="267">
        <v>-30211.999999999767</v>
      </c>
      <c r="AT436" s="267">
        <v>-45883</v>
      </c>
      <c r="AU436" s="267">
        <v>-70409.5</v>
      </c>
      <c r="AV436" s="263">
        <f t="shared" ca="1" si="35"/>
        <v>-24412.87000000001</v>
      </c>
      <c r="AX436" s="88" t="str">
        <f t="shared" ca="1" si="36"/>
        <v>NOTE</v>
      </c>
    </row>
    <row r="437" spans="1:50" hidden="1">
      <c r="A437" s="88" t="str">
        <f t="shared" ca="1" si="34"/>
        <v>PAAS</v>
      </c>
      <c r="F437" s="253">
        <v>4.7300000000000004</v>
      </c>
      <c r="G437" s="253">
        <v>4.71</v>
      </c>
      <c r="H437" s="253">
        <v>4.8099999999999996</v>
      </c>
      <c r="I437" s="253">
        <v>4.99</v>
      </c>
      <c r="J437" s="253">
        <v>5.56</v>
      </c>
      <c r="K437" s="253">
        <v>5.4</v>
      </c>
      <c r="L437" s="253">
        <v>5.5</v>
      </c>
      <c r="M437" s="253">
        <v>5.3891</v>
      </c>
      <c r="N437" s="253">
        <v>5.3891</v>
      </c>
      <c r="O437" s="253">
        <v>4.8499999999999996</v>
      </c>
      <c r="P437" s="253">
        <v>4.88</v>
      </c>
      <c r="Q437" s="253">
        <v>5.0842999999999998</v>
      </c>
      <c r="R437" s="253">
        <v>4.7705000000000002</v>
      </c>
      <c r="S437" s="253">
        <v>4.415</v>
      </c>
      <c r="T437" s="253">
        <v>4.4800000000000004</v>
      </c>
      <c r="U437" s="253">
        <v>4.63</v>
      </c>
      <c r="V437" s="253">
        <v>4.5</v>
      </c>
      <c r="W437" s="253">
        <v>4.5</v>
      </c>
      <c r="X437" s="253">
        <v>4.47</v>
      </c>
      <c r="Y437" s="253">
        <v>4.5439999999999996</v>
      </c>
      <c r="Z437" s="247">
        <f ca="1">[1]ExtEntry!$J35</f>
        <v>36.613</v>
      </c>
      <c r="AB437" s="264">
        <v>1511.4999999999709</v>
      </c>
      <c r="AC437" s="264">
        <v>2266.6949999999924</v>
      </c>
      <c r="AD437" s="264">
        <v>4933.3950000000041</v>
      </c>
      <c r="AE437" s="264">
        <v>10666.799999999959</v>
      </c>
      <c r="AF437" s="264">
        <v>5066.7300000000105</v>
      </c>
      <c r="AG437" s="264">
        <v>-2933.3699999999953</v>
      </c>
      <c r="AH437" s="264">
        <v>5066.730000000025</v>
      </c>
      <c r="AI437" s="264">
        <v>-13600.170000000013</v>
      </c>
      <c r="AJ437" s="264">
        <v>-16800.209999999977</v>
      </c>
      <c r="AK437" s="264">
        <v>-6666.7499999999854</v>
      </c>
      <c r="AL437" s="264">
        <v>8533.4399999999878</v>
      </c>
      <c r="AM437" s="264">
        <v>-11360.142000000007</v>
      </c>
      <c r="AN437" s="264">
        <v>2666.6999999999971</v>
      </c>
      <c r="AO437" s="264">
        <v>8000.1000000000058</v>
      </c>
      <c r="AP437" s="264">
        <v>6933.4199999999837</v>
      </c>
      <c r="AQ437" s="264">
        <v>-3733.3799999999901</v>
      </c>
      <c r="AR437" s="264">
        <v>-106.66800000000512</v>
      </c>
      <c r="AS437" s="264">
        <v>800.01000000000931</v>
      </c>
      <c r="AT437" s="264">
        <v>7200.0900000000256</v>
      </c>
      <c r="AU437" s="264">
        <v>-5066.7300000000105</v>
      </c>
      <c r="AV437" s="263">
        <f t="shared" ca="1" si="35"/>
        <v>746.63999999999942</v>
      </c>
      <c r="AX437" s="88" t="str">
        <f t="shared" ca="1" si="36"/>
        <v>PAAS</v>
      </c>
    </row>
    <row r="438" spans="1:50" hidden="1">
      <c r="A438" s="88" t="str">
        <f t="shared" ca="1" si="34"/>
        <v>PROF</v>
      </c>
      <c r="F438" s="253">
        <v>39.6</v>
      </c>
      <c r="G438" s="253">
        <v>39.119999999999997</v>
      </c>
      <c r="H438" s="253">
        <v>40.3399</v>
      </c>
      <c r="I438" s="253">
        <v>39.92</v>
      </c>
      <c r="J438" s="253">
        <v>39.76</v>
      </c>
      <c r="K438" s="253">
        <v>40.200000000000003</v>
      </c>
      <c r="L438" s="253">
        <v>40.64</v>
      </c>
      <c r="M438" s="253">
        <v>40.840000000000003</v>
      </c>
      <c r="N438" s="253">
        <v>40.840000000000003</v>
      </c>
      <c r="O438" s="253">
        <v>41.5</v>
      </c>
      <c r="P438" s="253">
        <v>40.64</v>
      </c>
      <c r="Q438" s="253">
        <v>41.2</v>
      </c>
      <c r="R438" s="253">
        <v>42.57</v>
      </c>
      <c r="S438" s="253">
        <v>41.439</v>
      </c>
      <c r="T438" s="253">
        <v>39.85</v>
      </c>
      <c r="U438" s="253">
        <v>36.29</v>
      </c>
      <c r="V438" s="253">
        <v>36.034999999999997</v>
      </c>
      <c r="W438" s="253">
        <v>36.034999999999997</v>
      </c>
      <c r="X438" s="253">
        <v>37</v>
      </c>
      <c r="Y438" s="253">
        <v>36.613</v>
      </c>
      <c r="Z438" s="247">
        <f ca="1">[1]ExtEntry!$J36</f>
        <v>5.58</v>
      </c>
      <c r="AB438" s="267">
        <v>-980.00000000000364</v>
      </c>
      <c r="AC438" s="267">
        <v>2432.5</v>
      </c>
      <c r="AD438" s="267">
        <v>4095.0000000000146</v>
      </c>
      <c r="AE438" s="267">
        <v>-699.99999999998545</v>
      </c>
      <c r="AF438" s="267">
        <v>-5080.0000000000146</v>
      </c>
      <c r="AG438" s="267">
        <v>-1412.4999999999709</v>
      </c>
      <c r="AH438" s="267">
        <v>-4462.5</v>
      </c>
      <c r="AI438" s="267">
        <v>-4287.5</v>
      </c>
      <c r="AJ438" s="267">
        <v>-3387.5</v>
      </c>
      <c r="AK438" s="267">
        <v>2900.0000000000146</v>
      </c>
      <c r="AL438" s="267">
        <v>924.99999999998545</v>
      </c>
      <c r="AM438" s="267">
        <v>3700</v>
      </c>
      <c r="AN438" s="267">
        <v>6037.5</v>
      </c>
      <c r="AO438" s="267">
        <v>-1287.5</v>
      </c>
      <c r="AP438" s="267">
        <v>-1900</v>
      </c>
      <c r="AQ438" s="267">
        <v>-1735</v>
      </c>
      <c r="AR438" s="267">
        <v>4510</v>
      </c>
      <c r="AS438" s="267">
        <v>4985</v>
      </c>
      <c r="AT438" s="267">
        <v>3315</v>
      </c>
      <c r="AU438" s="267">
        <v>2989.9999999999854</v>
      </c>
      <c r="AV438" s="263">
        <f t="shared" ca="1" si="35"/>
        <v>629.99999999998545</v>
      </c>
      <c r="AX438" s="88" t="str">
        <f t="shared" ca="1" si="36"/>
        <v>PROF</v>
      </c>
    </row>
    <row r="439" spans="1:50" hidden="1">
      <c r="A439" s="88" t="str">
        <f t="shared" ca="1" si="34"/>
        <v>POET</v>
      </c>
      <c r="F439" s="253">
        <v>5.3692000000000002</v>
      </c>
      <c r="G439" s="253">
        <v>5.2450000000000001</v>
      </c>
      <c r="H439" s="253">
        <v>5.07</v>
      </c>
      <c r="I439" s="253">
        <v>5.3985000000000003</v>
      </c>
      <c r="J439" s="253">
        <v>5.8898999999999999</v>
      </c>
      <c r="K439" s="253">
        <v>6.46</v>
      </c>
      <c r="L439" s="253">
        <v>6.88</v>
      </c>
      <c r="M439" s="253">
        <v>7.17</v>
      </c>
      <c r="N439" s="253">
        <v>7.17</v>
      </c>
      <c r="O439" s="253">
        <v>6.2241999999999997</v>
      </c>
      <c r="P439" s="253">
        <v>6.01</v>
      </c>
      <c r="Q439" s="253">
        <v>5.89</v>
      </c>
      <c r="R439" s="253">
        <v>5.9</v>
      </c>
      <c r="S439" s="253">
        <v>5.66</v>
      </c>
      <c r="T439" s="253">
        <v>5.9184000000000001</v>
      </c>
      <c r="U439" s="253">
        <v>5.88</v>
      </c>
      <c r="V439" s="253">
        <v>5.77</v>
      </c>
      <c r="W439" s="253">
        <v>5.77</v>
      </c>
      <c r="X439" s="253">
        <v>5.6</v>
      </c>
      <c r="Y439" s="253">
        <v>5.58</v>
      </c>
      <c r="Z439" s="247">
        <f ca="1">[1]ExtEntry!$J37</f>
        <v>8.59</v>
      </c>
      <c r="AB439" s="264">
        <v>-15270</v>
      </c>
      <c r="AC439" s="264">
        <v>-2620.0000000000036</v>
      </c>
      <c r="AD439" s="264">
        <v>-1680</v>
      </c>
      <c r="AE439" s="264">
        <v>3899.9999999999964</v>
      </c>
      <c r="AF439" s="264">
        <v>1410</v>
      </c>
      <c r="AG439" s="264">
        <v>4140.0000000000036</v>
      </c>
      <c r="AH439" s="264">
        <v>3240.0000000000036</v>
      </c>
      <c r="AI439" s="264">
        <v>-1320</v>
      </c>
      <c r="AJ439" s="264">
        <v>-3479.9999999999964</v>
      </c>
      <c r="AK439" s="264">
        <v>-1590</v>
      </c>
      <c r="AL439" s="264">
        <v>-3960</v>
      </c>
      <c r="AM439" s="264">
        <v>-3200</v>
      </c>
      <c r="AN439" s="264">
        <v>240</v>
      </c>
      <c r="AO439" s="264">
        <v>1040</v>
      </c>
      <c r="AP439" s="264">
        <v>300</v>
      </c>
      <c r="AQ439" s="264">
        <v>840</v>
      </c>
      <c r="AR439" s="264">
        <v>40</v>
      </c>
      <c r="AS439" s="264">
        <v>-280</v>
      </c>
      <c r="AT439" s="264">
        <v>-1136</v>
      </c>
      <c r="AU439" s="264">
        <v>-240</v>
      </c>
      <c r="AV439" s="263">
        <f t="shared" ca="1" si="35"/>
        <v>28755</v>
      </c>
      <c r="AX439" s="88" t="str">
        <f t="shared" ca="1" si="36"/>
        <v>POET</v>
      </c>
    </row>
    <row r="440" spans="1:50" hidden="1">
      <c r="A440" s="88" t="str">
        <f t="shared" ca="1" si="34"/>
        <v>PW</v>
      </c>
      <c r="F440" s="253">
        <v>5.8853</v>
      </c>
      <c r="G440" s="253">
        <v>5.73</v>
      </c>
      <c r="H440" s="253">
        <v>6.0877999999999997</v>
      </c>
      <c r="I440" s="253">
        <v>6.5964999999999998</v>
      </c>
      <c r="J440" s="253">
        <v>6.6299000000000001</v>
      </c>
      <c r="K440" s="253">
        <v>8.1300000000000008</v>
      </c>
      <c r="L440" s="253">
        <v>9.2200000000000006</v>
      </c>
      <c r="M440" s="253">
        <v>9.41</v>
      </c>
      <c r="N440" s="253">
        <v>9.41</v>
      </c>
      <c r="O440" s="253">
        <v>8.5350000000000001</v>
      </c>
      <c r="P440" s="253">
        <v>9.4</v>
      </c>
      <c r="Q440" s="253">
        <v>9.41</v>
      </c>
      <c r="R440" s="253">
        <v>8.84</v>
      </c>
      <c r="S440" s="253">
        <v>7.56</v>
      </c>
      <c r="T440" s="253">
        <v>7.8949999999999996</v>
      </c>
      <c r="U440" s="253">
        <v>8.17</v>
      </c>
      <c r="V440" s="253">
        <v>8.65</v>
      </c>
      <c r="W440" s="253">
        <v>8.65</v>
      </c>
      <c r="X440" s="253">
        <v>7.9398999999999997</v>
      </c>
      <c r="Y440" s="253">
        <v>8.59</v>
      </c>
      <c r="Z440" s="247">
        <f ca="1">[1]ExtEntry!$J38</f>
        <v>0.91300000000000003</v>
      </c>
      <c r="AB440" s="267">
        <v>398</v>
      </c>
      <c r="AC440" s="267">
        <v>-34000</v>
      </c>
      <c r="AD440" s="267">
        <v>47000</v>
      </c>
      <c r="AE440" s="267">
        <v>4500</v>
      </c>
      <c r="AF440" s="267">
        <v>26000</v>
      </c>
      <c r="AG440" s="267">
        <v>74010</v>
      </c>
      <c r="AH440" s="267">
        <v>28275</v>
      </c>
      <c r="AI440" s="267">
        <v>-40325.000000000058</v>
      </c>
      <c r="AJ440" s="267">
        <v>-31575.000000000058</v>
      </c>
      <c r="AK440" s="267">
        <v>37900</v>
      </c>
      <c r="AL440" s="267">
        <v>-7374.9999999999418</v>
      </c>
      <c r="AM440" s="267">
        <v>-74700</v>
      </c>
      <c r="AN440" s="267">
        <v>-25424.999999999942</v>
      </c>
      <c r="AO440" s="267">
        <v>2475.0000000000582</v>
      </c>
      <c r="AP440" s="267">
        <v>-5400</v>
      </c>
      <c r="AQ440" s="267">
        <v>-67275.000000000058</v>
      </c>
      <c r="AR440" s="267">
        <v>26775</v>
      </c>
      <c r="AS440" s="267">
        <v>28350</v>
      </c>
      <c r="AT440" s="267">
        <v>18675</v>
      </c>
      <c r="AU440" s="267">
        <v>11475</v>
      </c>
      <c r="AV440" s="263">
        <f t="shared" ca="1" si="35"/>
        <v>-17565</v>
      </c>
      <c r="AX440" s="88" t="str">
        <f t="shared" ca="1" si="36"/>
        <v>PW</v>
      </c>
    </row>
    <row r="441" spans="1:50" hidden="1">
      <c r="A441" s="88" t="str">
        <f t="shared" ca="1" si="34"/>
        <v>RIGL</v>
      </c>
      <c r="F441" s="253">
        <v>1.07</v>
      </c>
      <c r="G441" s="253">
        <v>1.05</v>
      </c>
      <c r="H441" s="253">
        <v>1.0589</v>
      </c>
      <c r="I441" s="253">
        <v>1.05</v>
      </c>
      <c r="J441" s="253">
        <v>1.06</v>
      </c>
      <c r="K441" s="253">
        <v>1.07</v>
      </c>
      <c r="L441" s="253">
        <v>1.06</v>
      </c>
      <c r="M441" s="253">
        <v>0.99139999999999995</v>
      </c>
      <c r="N441" s="253">
        <v>0.99139999999999995</v>
      </c>
      <c r="O441" s="253">
        <v>0.92879999999999996</v>
      </c>
      <c r="P441" s="253">
        <v>0.91</v>
      </c>
      <c r="Q441" s="253">
        <v>0.91890000000000005</v>
      </c>
      <c r="R441" s="253">
        <v>0.93989999999999996</v>
      </c>
      <c r="S441" s="253">
        <v>0.9</v>
      </c>
      <c r="T441" s="253">
        <v>0.84</v>
      </c>
      <c r="U441" s="253">
        <v>0.78</v>
      </c>
      <c r="V441" s="253">
        <v>0.75490000000000002</v>
      </c>
      <c r="W441" s="253">
        <v>0.75490000000000002</v>
      </c>
      <c r="X441" s="253">
        <v>0.71</v>
      </c>
      <c r="Y441" s="253">
        <v>0.91300000000000003</v>
      </c>
      <c r="Z441" s="247">
        <f ca="1">[1]ExtEntry!$J39</f>
        <v>30.57</v>
      </c>
      <c r="AB441" s="264">
        <v>-460</v>
      </c>
      <c r="AC441" s="264">
        <v>-699</v>
      </c>
      <c r="AD441" s="264">
        <v>651</v>
      </c>
      <c r="AE441" s="264">
        <v>36</v>
      </c>
      <c r="AF441" s="264">
        <v>-1249</v>
      </c>
      <c r="AG441" s="264">
        <v>-798</v>
      </c>
      <c r="AH441" s="264">
        <v>-126</v>
      </c>
      <c r="AI441" s="264">
        <v>-799</v>
      </c>
      <c r="AJ441" s="264">
        <v>-385</v>
      </c>
      <c r="AK441" s="264">
        <v>245</v>
      </c>
      <c r="AL441" s="264">
        <v>197</v>
      </c>
      <c r="AM441" s="264">
        <v>526</v>
      </c>
      <c r="AN441" s="264">
        <v>-1</v>
      </c>
      <c r="AO441" s="264">
        <v>-397</v>
      </c>
      <c r="AP441" s="264">
        <v>-634</v>
      </c>
      <c r="AQ441" s="264">
        <v>-256</v>
      </c>
      <c r="AR441" s="264">
        <v>-105</v>
      </c>
      <c r="AS441" s="264">
        <v>295</v>
      </c>
      <c r="AT441" s="264">
        <v>746.00000000000182</v>
      </c>
      <c r="AU441" s="264">
        <v>1023.9999999999991</v>
      </c>
      <c r="AV441" s="263">
        <f t="shared" ca="1" si="35"/>
        <v>1109</v>
      </c>
      <c r="AX441" s="88" t="str">
        <f t="shared" ca="1" si="36"/>
        <v>RIGL</v>
      </c>
    </row>
    <row r="442" spans="1:50" hidden="1">
      <c r="A442" s="88" t="str">
        <f t="shared" ca="1" si="34"/>
        <v>RWE</v>
      </c>
      <c r="F442" s="253">
        <v>29.16</v>
      </c>
      <c r="G442" s="253">
        <v>29.2149</v>
      </c>
      <c r="H442" s="253">
        <v>28.94</v>
      </c>
      <c r="I442" s="253">
        <v>29.18</v>
      </c>
      <c r="J442" s="253">
        <v>29.46</v>
      </c>
      <c r="K442" s="253">
        <v>30.29</v>
      </c>
      <c r="L442" s="253">
        <v>30.599900000000002</v>
      </c>
      <c r="M442" s="253">
        <v>28.62</v>
      </c>
      <c r="N442" s="253">
        <v>28.62</v>
      </c>
      <c r="O442" s="253">
        <v>28.614999999999998</v>
      </c>
      <c r="P442" s="253">
        <v>27.49</v>
      </c>
      <c r="Q442" s="253">
        <v>28.21</v>
      </c>
      <c r="R442" s="253">
        <v>28.45</v>
      </c>
      <c r="S442" s="253">
        <v>28.99</v>
      </c>
      <c r="T442" s="253">
        <v>30</v>
      </c>
      <c r="U442" s="253">
        <v>30.37</v>
      </c>
      <c r="V442" s="253">
        <v>31.59</v>
      </c>
      <c r="W442" s="253">
        <v>31.59</v>
      </c>
      <c r="X442" s="253">
        <v>31.92</v>
      </c>
      <c r="Y442" s="253">
        <v>30.57</v>
      </c>
      <c r="Z442" s="247">
        <f ca="1">[1]ExtEntry!$J40</f>
        <v>40.71</v>
      </c>
      <c r="AB442" s="267">
        <v>-44.5</v>
      </c>
      <c r="AC442" s="267">
        <v>-380</v>
      </c>
      <c r="AD442" s="267">
        <v>6000</v>
      </c>
      <c r="AE442" s="267">
        <v>700</v>
      </c>
      <c r="AF442" s="267">
        <v>1920</v>
      </c>
      <c r="AG442" s="267">
        <v>2120</v>
      </c>
      <c r="AH442" s="267">
        <v>-4720</v>
      </c>
      <c r="AI442" s="267">
        <v>40</v>
      </c>
      <c r="AJ442" s="267">
        <v>840</v>
      </c>
      <c r="AK442" s="267">
        <v>-7680</v>
      </c>
      <c r="AL442" s="267">
        <v>1360</v>
      </c>
      <c r="AM442" s="267">
        <v>8480</v>
      </c>
      <c r="AN442" s="267">
        <v>-760</v>
      </c>
      <c r="AO442" s="267">
        <v>280</v>
      </c>
      <c r="AP442" s="267">
        <v>10320</v>
      </c>
      <c r="AQ442" s="267">
        <v>-2020</v>
      </c>
      <c r="AR442" s="267">
        <v>-1640</v>
      </c>
      <c r="AS442" s="267">
        <v>2240</v>
      </c>
      <c r="AT442" s="267">
        <v>-2280</v>
      </c>
      <c r="AU442" s="267">
        <v>-4120</v>
      </c>
      <c r="AV442" s="263">
        <f t="shared" ca="1" si="35"/>
        <v>-4628</v>
      </c>
      <c r="AX442" s="88" t="str">
        <f t="shared" ca="1" si="36"/>
        <v>RWE</v>
      </c>
    </row>
    <row r="443" spans="1:50" hidden="1">
      <c r="A443" s="88" t="str">
        <f t="shared" ca="1" si="34"/>
        <v>SAP</v>
      </c>
      <c r="F443" s="253">
        <v>38.1</v>
      </c>
      <c r="G443" s="253">
        <v>37.92</v>
      </c>
      <c r="H443" s="253">
        <v>39.130000000000003</v>
      </c>
      <c r="I443" s="253">
        <v>39.17</v>
      </c>
      <c r="J443" s="253">
        <v>39.22</v>
      </c>
      <c r="K443" s="253">
        <v>39.9</v>
      </c>
      <c r="L443" s="253">
        <v>40.85</v>
      </c>
      <c r="M443" s="253">
        <v>40.869999999999997</v>
      </c>
      <c r="N443" s="253">
        <v>40.6</v>
      </c>
      <c r="O443" s="253">
        <v>41</v>
      </c>
      <c r="P443" s="253">
        <v>40.94</v>
      </c>
      <c r="Q443" s="253">
        <v>41.01</v>
      </c>
      <c r="R443" s="253">
        <v>41.5</v>
      </c>
      <c r="S443" s="253">
        <v>41.26</v>
      </c>
      <c r="T443" s="253">
        <v>41.16</v>
      </c>
      <c r="U443" s="253">
        <v>41</v>
      </c>
      <c r="V443" s="253">
        <v>41.27</v>
      </c>
      <c r="W443" s="253">
        <v>41.27</v>
      </c>
      <c r="X443" s="253">
        <v>40.119999999999997</v>
      </c>
      <c r="Y443" s="253">
        <v>40.69</v>
      </c>
      <c r="Z443" s="247">
        <f ca="1">[1]ExtEntry!$J41</f>
        <v>241.3</v>
      </c>
      <c r="AB443" s="264">
        <v>2800</v>
      </c>
      <c r="AC443" s="264">
        <v>9.5000000000002274</v>
      </c>
      <c r="AD443" s="264">
        <v>45</v>
      </c>
      <c r="AE443" s="264">
        <v>-21.500000000000227</v>
      </c>
      <c r="AF443" s="264">
        <v>-12.499999999999545</v>
      </c>
      <c r="AG443" s="264">
        <v>6.5000000000002274</v>
      </c>
      <c r="AH443" s="264">
        <v>7.9999999999997726</v>
      </c>
      <c r="AI443" s="264">
        <v>-72.499999999999773</v>
      </c>
      <c r="AJ443" s="264">
        <v>17</v>
      </c>
      <c r="AK443" s="264">
        <v>16.5</v>
      </c>
      <c r="AL443" s="264">
        <v>-4.0000000000002274</v>
      </c>
      <c r="AM443" s="264">
        <v>-16.5</v>
      </c>
      <c r="AN443" s="264">
        <v>35.999999999999773</v>
      </c>
      <c r="AO443" s="264">
        <v>-9</v>
      </c>
      <c r="AP443" s="264">
        <v>-24</v>
      </c>
      <c r="AQ443" s="264">
        <v>-13.999999999999545</v>
      </c>
      <c r="AR443" s="264">
        <v>-19</v>
      </c>
      <c r="AS443" s="264">
        <v>-44.5</v>
      </c>
      <c r="AT443" s="264">
        <v>15</v>
      </c>
      <c r="AU443" s="264">
        <v>3.9999999999995453</v>
      </c>
      <c r="AV443" s="263">
        <f t="shared" ca="1" si="35"/>
        <v>-30023</v>
      </c>
      <c r="AX443" s="88" t="str">
        <f t="shared" ca="1" si="36"/>
        <v>SAP</v>
      </c>
    </row>
    <row r="444" spans="1:50" hidden="1">
      <c r="A444" s="88" t="str">
        <f t="shared" ca="1" si="34"/>
        <v>SHECY</v>
      </c>
      <c r="F444" s="253">
        <v>226.1</v>
      </c>
      <c r="G444" s="253">
        <v>228.6</v>
      </c>
      <c r="H444" s="253">
        <v>228.5</v>
      </c>
      <c r="I444" s="253">
        <v>233.6</v>
      </c>
      <c r="J444" s="253">
        <v>233</v>
      </c>
      <c r="K444" s="253">
        <v>236.4</v>
      </c>
      <c r="L444" s="253">
        <v>239.25</v>
      </c>
      <c r="M444" s="253">
        <v>239.35</v>
      </c>
      <c r="N444" s="253">
        <v>239.1</v>
      </c>
      <c r="O444" s="253">
        <v>233.75</v>
      </c>
      <c r="P444" s="253">
        <v>232.7</v>
      </c>
      <c r="Q444" s="253">
        <v>234.65</v>
      </c>
      <c r="R444" s="253">
        <v>237.1</v>
      </c>
      <c r="S444" s="253">
        <v>232</v>
      </c>
      <c r="T444" s="253">
        <v>239.6</v>
      </c>
      <c r="U444" s="253">
        <v>241.25</v>
      </c>
      <c r="V444" s="253">
        <v>241.25</v>
      </c>
      <c r="W444" s="253">
        <v>241.25</v>
      </c>
      <c r="X444" s="253">
        <v>244.3</v>
      </c>
      <c r="Y444" s="253">
        <v>241.3</v>
      </c>
      <c r="Z444" s="247">
        <f ca="1">[1]ExtEntry!$J42</f>
        <v>15.82</v>
      </c>
      <c r="AB444" s="267">
        <v>-8093.7000000000698</v>
      </c>
      <c r="AC444" s="267">
        <v>8050</v>
      </c>
      <c r="AD444" s="267">
        <v>1925</v>
      </c>
      <c r="AE444" s="267">
        <v>30775</v>
      </c>
      <c r="AF444" s="267">
        <v>-8600</v>
      </c>
      <c r="AG444" s="267">
        <v>4200</v>
      </c>
      <c r="AH444" s="267">
        <v>-3150</v>
      </c>
      <c r="AI444" s="267">
        <v>-14425</v>
      </c>
      <c r="AJ444" s="267">
        <v>-21040</v>
      </c>
      <c r="AK444" s="267">
        <v>8480</v>
      </c>
      <c r="AL444" s="267">
        <v>2450</v>
      </c>
      <c r="AM444" s="267">
        <v>2120</v>
      </c>
      <c r="AN444" s="267">
        <v>12400</v>
      </c>
      <c r="AO444" s="267">
        <v>9500</v>
      </c>
      <c r="AP444" s="267">
        <v>19760</v>
      </c>
      <c r="AQ444" s="267">
        <v>1900</v>
      </c>
      <c r="AR444" s="267">
        <v>-25460</v>
      </c>
      <c r="AS444" s="267">
        <v>-23940</v>
      </c>
      <c r="AT444" s="267">
        <v>3420</v>
      </c>
      <c r="AU444" s="267">
        <v>-48260</v>
      </c>
      <c r="AV444" s="263">
        <f t="shared" ca="1" si="35"/>
        <v>-20029.440000000002</v>
      </c>
      <c r="AX444" s="88" t="str">
        <f t="shared" ca="1" si="36"/>
        <v>SHECY</v>
      </c>
    </row>
    <row r="445" spans="1:50" hidden="1">
      <c r="A445" s="88" t="str">
        <f t="shared" ca="1" si="34"/>
        <v>SSYS</v>
      </c>
      <c r="F445" s="253">
        <v>16.71</v>
      </c>
      <c r="G445" s="253">
        <v>16.524999999999999</v>
      </c>
      <c r="H445" s="253">
        <v>16.52</v>
      </c>
      <c r="I445" s="253">
        <v>17.09</v>
      </c>
      <c r="J445" s="253">
        <v>17.170000000000002</v>
      </c>
      <c r="K445" s="253">
        <v>17.93</v>
      </c>
      <c r="L445" s="253">
        <v>16.82</v>
      </c>
      <c r="M445" s="253">
        <v>16.87</v>
      </c>
      <c r="N445" s="253">
        <v>16.87</v>
      </c>
      <c r="O445" s="253">
        <v>16.760000000000002</v>
      </c>
      <c r="P445" s="253">
        <v>16.884</v>
      </c>
      <c r="Q445" s="253">
        <v>16.64</v>
      </c>
      <c r="R445" s="253">
        <v>16.54</v>
      </c>
      <c r="S445" s="253">
        <v>16.809999999999999</v>
      </c>
      <c r="T445" s="253">
        <v>16.37</v>
      </c>
      <c r="U445" s="253">
        <v>16.28</v>
      </c>
      <c r="V445" s="253">
        <v>16.690000000000001</v>
      </c>
      <c r="W445" s="253">
        <v>16.690000000000001</v>
      </c>
      <c r="X445" s="253">
        <v>16.690000000000001</v>
      </c>
      <c r="Y445" s="253">
        <v>15.82</v>
      </c>
      <c r="Z445" s="247">
        <f ca="1">[1]ExtEntry!$J43</f>
        <v>12.2837</v>
      </c>
      <c r="AB445" s="264">
        <v>-1120</v>
      </c>
      <c r="AC445" s="264">
        <v>-804.99999999988358</v>
      </c>
      <c r="AD445" s="264">
        <v>-12190</v>
      </c>
      <c r="AE445" s="264">
        <v>22155.900000000023</v>
      </c>
      <c r="AF445" s="264">
        <v>19320</v>
      </c>
      <c r="AG445" s="264">
        <v>-7475</v>
      </c>
      <c r="AH445" s="264">
        <v>7244.9999999998836</v>
      </c>
      <c r="AI445" s="264">
        <v>8510.0000000000582</v>
      </c>
      <c r="AJ445" s="264">
        <v>211.60000000003492</v>
      </c>
      <c r="AK445" s="264">
        <v>-7820</v>
      </c>
      <c r="AL445" s="264">
        <v>12328.000000000058</v>
      </c>
      <c r="AM445" s="264">
        <v>13546.37340000004</v>
      </c>
      <c r="AN445" s="264">
        <v>-7813.6800000001094</v>
      </c>
      <c r="AO445" s="264">
        <v>3593.9999999999418</v>
      </c>
      <c r="AP445" s="264">
        <v>6309.7600000000093</v>
      </c>
      <c r="AQ445" s="264">
        <v>8787.7600000000093</v>
      </c>
      <c r="AR445" s="264">
        <v>-9688.8534000000218</v>
      </c>
      <c r="AS445" s="264">
        <v>6151.2000000000116</v>
      </c>
      <c r="AT445" s="264">
        <v>-23262.720000000088</v>
      </c>
      <c r="AU445" s="264">
        <v>-14539.200000000012</v>
      </c>
      <c r="AV445" s="263">
        <f t="shared" ca="1" si="35"/>
        <v>-11693.760000000009</v>
      </c>
      <c r="AX445" s="88" t="str">
        <f t="shared" ca="1" si="36"/>
        <v>SSYS</v>
      </c>
    </row>
    <row r="446" spans="1:50" hidden="1">
      <c r="A446" s="88" t="str">
        <f t="shared" ca="1" si="34"/>
        <v>TSLA</v>
      </c>
      <c r="F446" s="253">
        <v>11.8399</v>
      </c>
      <c r="G446" s="253">
        <v>11.47</v>
      </c>
      <c r="H446" s="253">
        <v>11.19</v>
      </c>
      <c r="I446" s="253">
        <v>11.61</v>
      </c>
      <c r="J446" s="253">
        <v>11.95</v>
      </c>
      <c r="K446" s="253">
        <v>12.25</v>
      </c>
      <c r="L446" s="253">
        <v>11.6599</v>
      </c>
      <c r="M446" s="253">
        <v>11.65</v>
      </c>
      <c r="N446" s="253">
        <v>11.65</v>
      </c>
      <c r="O446" s="253">
        <v>10.97</v>
      </c>
      <c r="P446" s="253">
        <v>11</v>
      </c>
      <c r="Q446" s="253">
        <v>11.48</v>
      </c>
      <c r="R446" s="253">
        <v>12.2674</v>
      </c>
      <c r="S446" s="253">
        <v>11.58</v>
      </c>
      <c r="T446" s="253">
        <v>12.49</v>
      </c>
      <c r="U446" s="253">
        <v>12.81</v>
      </c>
      <c r="V446" s="253">
        <v>12.38</v>
      </c>
      <c r="W446" s="253">
        <v>12.38</v>
      </c>
      <c r="X446" s="253">
        <v>12.05</v>
      </c>
      <c r="Y446" s="253">
        <v>12.2837</v>
      </c>
      <c r="Z446" s="247">
        <f ca="1">[1]ExtEntry!$J44</f>
        <v>451.68</v>
      </c>
      <c r="AB446" s="267">
        <v>-52.681999999999789</v>
      </c>
      <c r="AC446" s="267">
        <v>-22560</v>
      </c>
      <c r="AD446" s="267">
        <v>640</v>
      </c>
      <c r="AE446" s="267">
        <v>-1120</v>
      </c>
      <c r="AF446" s="267">
        <v>-320</v>
      </c>
      <c r="AG446" s="267">
        <v>0</v>
      </c>
      <c r="AH446" s="267">
        <v>2240</v>
      </c>
      <c r="AI446" s="267">
        <v>-1280</v>
      </c>
      <c r="AJ446" s="267">
        <v>-6720</v>
      </c>
      <c r="AK446" s="267">
        <v>3040</v>
      </c>
      <c r="AL446" s="267">
        <v>9120</v>
      </c>
      <c r="AM446" s="267">
        <v>7024</v>
      </c>
      <c r="AN446" s="267">
        <v>-5920</v>
      </c>
      <c r="AO446" s="267">
        <v>-4640</v>
      </c>
      <c r="AP446" s="267">
        <v>17040</v>
      </c>
      <c r="AQ446" s="267">
        <v>-6960</v>
      </c>
      <c r="AR446" s="267">
        <v>-20784</v>
      </c>
      <c r="AS446" s="267">
        <v>-7360</v>
      </c>
      <c r="AT446" s="267">
        <v>13600</v>
      </c>
      <c r="AU446" s="267">
        <v>-19504</v>
      </c>
      <c r="AV446" s="263">
        <f t="shared" ca="1" si="35"/>
        <v>-20573.11</v>
      </c>
      <c r="AX446" s="88" t="str">
        <f t="shared" ca="1" si="36"/>
        <v>TSLA</v>
      </c>
    </row>
    <row r="447" spans="1:50" hidden="1">
      <c r="A447" s="88" t="str">
        <f t="shared" ca="1" si="34"/>
        <v>TSM</v>
      </c>
      <c r="F447" s="253">
        <v>450.98</v>
      </c>
      <c r="G447" s="253">
        <v>445</v>
      </c>
      <c r="H447" s="253">
        <v>462.29</v>
      </c>
      <c r="I447" s="253">
        <v>470.75</v>
      </c>
      <c r="J447" s="253">
        <v>446.77</v>
      </c>
      <c r="K447" s="253">
        <v>452.68</v>
      </c>
      <c r="L447" s="253">
        <v>441.33</v>
      </c>
      <c r="M447" s="253">
        <v>436.35</v>
      </c>
      <c r="N447" s="253">
        <v>436.35</v>
      </c>
      <c r="O447" s="253">
        <v>436.89</v>
      </c>
      <c r="P447" s="253">
        <v>434.2</v>
      </c>
      <c r="Q447" s="253">
        <v>440.51</v>
      </c>
      <c r="R447" s="253">
        <v>439.35</v>
      </c>
      <c r="S447" s="253">
        <v>441.45580000000001</v>
      </c>
      <c r="T447" s="253">
        <v>449.8</v>
      </c>
      <c r="U447" s="253">
        <v>449.3</v>
      </c>
      <c r="V447" s="253">
        <v>445.53899999999999</v>
      </c>
      <c r="W447" s="253">
        <v>445.53899999999999</v>
      </c>
      <c r="X447" s="253">
        <v>449.3999</v>
      </c>
      <c r="Y447" s="253">
        <v>451.68</v>
      </c>
      <c r="Z447" s="247">
        <f ca="1">[1]ExtEntry!$J45</f>
        <v>297.94990000000001</v>
      </c>
      <c r="AB447" s="264">
        <v>-45495</v>
      </c>
      <c r="AC447" s="264">
        <v>172.10000000000127</v>
      </c>
      <c r="AD447" s="264">
        <v>26.999999999999091</v>
      </c>
      <c r="AE447" s="264">
        <v>-226.85600000000068</v>
      </c>
      <c r="AF447" s="264">
        <v>-258.55000000000018</v>
      </c>
      <c r="AG447" s="264">
        <v>-113.80000000000018</v>
      </c>
      <c r="AH447" s="264">
        <v>-20.800000000001091</v>
      </c>
      <c r="AI447" s="264">
        <v>-119.29999999999927</v>
      </c>
      <c r="AJ447" s="264">
        <v>382.70000000000073</v>
      </c>
      <c r="AK447" s="264">
        <v>262.85000000000036</v>
      </c>
      <c r="AL447" s="264">
        <v>149.89000000000021</v>
      </c>
      <c r="AM447" s="264">
        <v>-12.579899999999839</v>
      </c>
      <c r="AN447" s="264">
        <v>-43.2800000000002</v>
      </c>
      <c r="AO447" s="264">
        <v>-23.49000000000018</v>
      </c>
      <c r="AP447" s="264">
        <v>-124.73500000000018</v>
      </c>
      <c r="AQ447" s="264">
        <v>-5.7450000000000045</v>
      </c>
      <c r="AR447" s="264">
        <v>-3.1000999999999408</v>
      </c>
      <c r="AS447" s="264">
        <v>1.5000000000000568</v>
      </c>
      <c r="AT447" s="264">
        <v>15.170000000000016</v>
      </c>
      <c r="AU447" s="264">
        <v>-16.674999999999955</v>
      </c>
      <c r="AV447" s="263">
        <f t="shared" ca="1" si="35"/>
        <v>-2931.5650000000001</v>
      </c>
      <c r="AX447" s="88" t="str">
        <f t="shared" ca="1" si="36"/>
        <v>TSM</v>
      </c>
    </row>
    <row r="448" spans="1:50" hidden="1">
      <c r="A448" s="88" t="str">
        <f t="shared" ca="1" si="34"/>
        <v>UN0</v>
      </c>
      <c r="F448" s="253">
        <v>279.87</v>
      </c>
      <c r="G448" s="253">
        <v>279.49</v>
      </c>
      <c r="H448" s="253">
        <v>290.48</v>
      </c>
      <c r="I448" s="253">
        <v>296.72000000000003</v>
      </c>
      <c r="J448" s="253">
        <v>296.0634</v>
      </c>
      <c r="K448" s="253">
        <v>307.10000000000002</v>
      </c>
      <c r="L448" s="253">
        <v>306.39999999999998</v>
      </c>
      <c r="M448" s="253">
        <v>302.83</v>
      </c>
      <c r="N448" s="253">
        <v>302.83</v>
      </c>
      <c r="O448" s="253">
        <v>304.63</v>
      </c>
      <c r="P448" s="253">
        <v>301.75</v>
      </c>
      <c r="Q448" s="253">
        <v>306.36900000000003</v>
      </c>
      <c r="R448" s="253">
        <v>311.36849999999998</v>
      </c>
      <c r="S448" s="253">
        <v>303.3</v>
      </c>
      <c r="T448" s="253">
        <v>303.64999999999998</v>
      </c>
      <c r="U448" s="253">
        <v>299.37</v>
      </c>
      <c r="V448" s="253">
        <v>295.2</v>
      </c>
      <c r="W448" s="253">
        <v>295.2</v>
      </c>
      <c r="X448" s="253">
        <v>294.08999999999997</v>
      </c>
      <c r="Y448" s="253">
        <v>297.94990000000001</v>
      </c>
      <c r="Z448" s="247">
        <f ca="1">[1]ExtEntry!$J46</f>
        <v>31.2</v>
      </c>
      <c r="AB448" s="267">
        <v>1050.0000000000146</v>
      </c>
      <c r="AC448" s="267">
        <v>15142.5</v>
      </c>
      <c r="AD448" s="267">
        <v>43740</v>
      </c>
      <c r="AE448" s="267">
        <v>-53325</v>
      </c>
      <c r="AF448" s="267">
        <v>-562.5</v>
      </c>
      <c r="AG448" s="267">
        <v>-48397.5</v>
      </c>
      <c r="AH448" s="267">
        <v>25132.5</v>
      </c>
      <c r="AI448" s="267">
        <v>-56835</v>
      </c>
      <c r="AJ448" s="267">
        <v>26842.5</v>
      </c>
      <c r="AK448" s="267">
        <v>26100</v>
      </c>
      <c r="AL448" s="267">
        <v>57892.5</v>
      </c>
      <c r="AM448" s="267">
        <v>-47812.5</v>
      </c>
      <c r="AN448" s="267">
        <v>-38227.499999999767</v>
      </c>
      <c r="AO448" s="267">
        <v>-2347.5</v>
      </c>
      <c r="AP448" s="267">
        <v>-32404</v>
      </c>
      <c r="AQ448" s="267">
        <v>-19472.5</v>
      </c>
      <c r="AR448" s="267">
        <v>-14662.5</v>
      </c>
      <c r="AS448" s="267">
        <v>29639.999999999767</v>
      </c>
      <c r="AT448" s="267">
        <v>17772</v>
      </c>
      <c r="AU448" s="267">
        <v>6088</v>
      </c>
      <c r="AV448" s="263">
        <f t="shared" ca="1" si="35"/>
        <v>6274</v>
      </c>
      <c r="AX448" s="88" t="str">
        <f t="shared" ca="1" si="36"/>
        <v>UN0</v>
      </c>
    </row>
    <row r="449" spans="1:50" hidden="1">
      <c r="A449" s="88" t="str">
        <f t="shared" ca="1" si="34"/>
        <v>UNIT</v>
      </c>
      <c r="F449" s="253">
        <v>34.950000000000003</v>
      </c>
      <c r="G449" s="253">
        <v>34.5</v>
      </c>
      <c r="H449" s="253">
        <v>34.4</v>
      </c>
      <c r="I449" s="253">
        <v>34.15</v>
      </c>
      <c r="J449" s="253">
        <v>34.4</v>
      </c>
      <c r="K449" s="253">
        <v>33.450000000000003</v>
      </c>
      <c r="L449" s="253">
        <v>33.15</v>
      </c>
      <c r="M449" s="253">
        <v>33</v>
      </c>
      <c r="N449" s="253">
        <v>32.25</v>
      </c>
      <c r="O449" s="253">
        <v>33.15</v>
      </c>
      <c r="P449" s="253">
        <v>32</v>
      </c>
      <c r="Q449" s="253">
        <v>31.85</v>
      </c>
      <c r="R449" s="253">
        <v>31.75</v>
      </c>
      <c r="S449" s="253">
        <v>31.85</v>
      </c>
      <c r="T449" s="253">
        <v>33</v>
      </c>
      <c r="U449" s="253">
        <v>32.1</v>
      </c>
      <c r="V449" s="253">
        <v>32.450000000000003</v>
      </c>
      <c r="W449" s="253">
        <v>32.450000000000003</v>
      </c>
      <c r="X449" s="253">
        <v>31.3</v>
      </c>
      <c r="Y449" s="253">
        <v>31.2</v>
      </c>
      <c r="Z449" s="247">
        <f ca="1">[1]ExtEntry!$J47</f>
        <v>6.12</v>
      </c>
      <c r="AB449" s="264">
        <v>-5154.7949999999983</v>
      </c>
      <c r="AC449" s="264">
        <v>3000</v>
      </c>
      <c r="AD449" s="264">
        <v>-449.99999999998545</v>
      </c>
      <c r="AE449" s="264">
        <v>-1500.0000000000146</v>
      </c>
      <c r="AF449" s="264">
        <v>150.0000000000291</v>
      </c>
      <c r="AG449" s="264">
        <v>-4800.0000000000146</v>
      </c>
      <c r="AH449" s="264">
        <v>2700.0000000000146</v>
      </c>
      <c r="AI449" s="264">
        <v>2100</v>
      </c>
      <c r="AJ449" s="264">
        <v>1050.0000000000146</v>
      </c>
      <c r="AK449" s="264">
        <v>-1800</v>
      </c>
      <c r="AL449" s="264">
        <v>1950.0000000000146</v>
      </c>
      <c r="AM449" s="264">
        <v>-2850</v>
      </c>
      <c r="AN449" s="264">
        <v>-1650</v>
      </c>
      <c r="AO449" s="264">
        <v>600</v>
      </c>
      <c r="AP449" s="264">
        <v>4800</v>
      </c>
      <c r="AQ449" s="264">
        <v>150</v>
      </c>
      <c r="AR449" s="264">
        <v>1050</v>
      </c>
      <c r="AS449" s="264">
        <v>450</v>
      </c>
      <c r="AT449" s="264">
        <v>-1650</v>
      </c>
      <c r="AU449" s="264">
        <v>-5400.0000000000146</v>
      </c>
      <c r="AV449" s="263">
        <f t="shared" ca="1" si="35"/>
        <v>-2632.9500000000116</v>
      </c>
      <c r="AX449" s="88" t="str">
        <f t="shared" ca="1" si="36"/>
        <v>UNIT</v>
      </c>
    </row>
    <row r="450" spans="1:50" hidden="1">
      <c r="A450" s="88" t="str">
        <f t="shared" ca="1" si="34"/>
        <v>AVGO</v>
      </c>
      <c r="F450" s="253">
        <v>6.19</v>
      </c>
      <c r="G450" s="253">
        <v>6.17</v>
      </c>
      <c r="H450" s="253">
        <v>6.2</v>
      </c>
      <c r="I450" s="253">
        <v>6.07</v>
      </c>
      <c r="J450" s="253">
        <v>5.9749999999999996</v>
      </c>
      <c r="K450" s="253">
        <v>6.12</v>
      </c>
      <c r="L450" s="253">
        <v>6.28</v>
      </c>
      <c r="M450" s="253">
        <v>6.13</v>
      </c>
      <c r="N450" s="253">
        <v>6.13</v>
      </c>
      <c r="O450" s="253">
        <v>5.8</v>
      </c>
      <c r="P450" s="253">
        <v>5.5353000000000003</v>
      </c>
      <c r="Q450" s="253">
        <v>5.6550000000000002</v>
      </c>
      <c r="R450" s="253">
        <v>5.91</v>
      </c>
      <c r="S450" s="253">
        <v>5.69</v>
      </c>
      <c r="T450" s="253">
        <v>5.875</v>
      </c>
      <c r="U450" s="253">
        <v>5.7149999999999999</v>
      </c>
      <c r="V450" s="253">
        <v>5.66</v>
      </c>
      <c r="W450" s="253">
        <v>5.66</v>
      </c>
      <c r="X450" s="253">
        <v>5.9</v>
      </c>
      <c r="Y450" s="253">
        <v>6.12</v>
      </c>
      <c r="Z450" s="247">
        <f ca="1">[1]ExtEntry!$J48</f>
        <v>358.3</v>
      </c>
      <c r="AB450" s="267">
        <v>-923.12499999998545</v>
      </c>
      <c r="AC450" s="267">
        <v>-904.34999999999127</v>
      </c>
      <c r="AD450" s="267">
        <v>5064.359999999986</v>
      </c>
      <c r="AE450" s="267">
        <v>-3074.7899999999936</v>
      </c>
      <c r="AF450" s="267">
        <v>2532.1799999999785</v>
      </c>
      <c r="AG450" s="267">
        <v>90.434999999997672</v>
      </c>
      <c r="AH450" s="267">
        <v>-542.61000000000058</v>
      </c>
      <c r="AI450" s="267">
        <v>-542.60999999998603</v>
      </c>
      <c r="AJ450" s="267">
        <v>2532.179999999993</v>
      </c>
      <c r="AK450" s="267">
        <v>-7596.539999999979</v>
      </c>
      <c r="AL450" s="267">
        <v>2532.1800000000076</v>
      </c>
      <c r="AM450" s="267">
        <v>3074.7899999999936</v>
      </c>
      <c r="AN450" s="267">
        <v>-904.34999999999127</v>
      </c>
      <c r="AO450" s="267">
        <v>3255.660000000018</v>
      </c>
      <c r="AP450" s="267">
        <v>4738.7699999999895</v>
      </c>
      <c r="AQ450" s="267">
        <v>36.190000000002328</v>
      </c>
      <c r="AR450" s="267">
        <v>-4919.6699999999983</v>
      </c>
      <c r="AS450" s="267">
        <v>2315.1299999999901</v>
      </c>
      <c r="AT450" s="267">
        <v>542.6699999999837</v>
      </c>
      <c r="AU450" s="267">
        <v>1085.25</v>
      </c>
      <c r="AV450" s="263">
        <f t="shared" ca="1" si="35"/>
        <v>1516.1999999999971</v>
      </c>
      <c r="AX450" s="88" t="str">
        <f t="shared" ca="1" si="36"/>
        <v>AVGO</v>
      </c>
    </row>
    <row r="451" spans="1:50" hidden="1">
      <c r="A451" s="88" t="str">
        <f t="shared" ca="1" si="34"/>
        <v>VLVLY</v>
      </c>
      <c r="F451" s="253">
        <v>28.738</v>
      </c>
      <c r="G451" s="253">
        <v>28.7</v>
      </c>
      <c r="H451" s="253">
        <v>28.87</v>
      </c>
      <c r="I451" s="253">
        <v>29.17</v>
      </c>
      <c r="J451" s="253">
        <v>29.489899999999999</v>
      </c>
      <c r="K451" s="253">
        <v>28.92</v>
      </c>
      <c r="L451" s="253">
        <v>28.667000000000002</v>
      </c>
      <c r="M451" s="253">
        <v>28.49</v>
      </c>
      <c r="N451" s="253">
        <v>28.49</v>
      </c>
      <c r="O451" s="253">
        <v>28.12</v>
      </c>
      <c r="P451" s="253">
        <v>27.9</v>
      </c>
      <c r="Q451" s="253">
        <v>27.945</v>
      </c>
      <c r="R451" s="253">
        <v>28.44</v>
      </c>
      <c r="S451" s="253">
        <v>26.46</v>
      </c>
      <c r="T451" s="253">
        <v>27.229900000000001</v>
      </c>
      <c r="U451" s="253">
        <v>27.4998</v>
      </c>
      <c r="V451" s="253">
        <v>27.32</v>
      </c>
      <c r="W451" s="253">
        <v>27.32</v>
      </c>
      <c r="X451" s="253">
        <v>27.57</v>
      </c>
      <c r="Y451" s="253">
        <v>27.8399</v>
      </c>
      <c r="Z451" s="247">
        <f ca="1">[1]ExtEntry!$J49</f>
        <v>27.8399</v>
      </c>
      <c r="AB451" s="264">
        <v>-277.5</v>
      </c>
      <c r="AC451" s="264">
        <v>495</v>
      </c>
      <c r="AD451" s="264">
        <v>435</v>
      </c>
      <c r="AE451" s="264">
        <v>165</v>
      </c>
      <c r="AF451" s="264">
        <v>-30</v>
      </c>
      <c r="AG451" s="264">
        <v>-345</v>
      </c>
      <c r="AH451" s="264">
        <v>-210</v>
      </c>
      <c r="AI451" s="264">
        <v>-1065</v>
      </c>
      <c r="AJ451" s="264">
        <v>-750</v>
      </c>
      <c r="AK451" s="264">
        <v>-525</v>
      </c>
      <c r="AL451" s="264">
        <v>600.15000000000146</v>
      </c>
      <c r="AM451" s="264">
        <v>-76.5</v>
      </c>
      <c r="AN451" s="264">
        <v>892.5</v>
      </c>
      <c r="AO451" s="264">
        <v>1080</v>
      </c>
      <c r="AP451" s="264">
        <v>502.5</v>
      </c>
      <c r="AQ451" s="264">
        <v>314.84999999999854</v>
      </c>
      <c r="AR451" s="264">
        <v>-103.5</v>
      </c>
      <c r="AS451" s="264">
        <v>-172.5</v>
      </c>
      <c r="AT451" s="264">
        <v>-495</v>
      </c>
      <c r="AU451" s="264">
        <v>-427.5</v>
      </c>
      <c r="AV451" s="263">
        <f t="shared" ca="1" si="35"/>
        <v>-427.5</v>
      </c>
      <c r="AX451" s="88" t="str">
        <f t="shared" ca="1" si="36"/>
        <v>VLVLY</v>
      </c>
    </row>
    <row r="452" spans="1:50" hidden="1">
      <c r="A452" s="88" t="str">
        <f t="shared" ca="1" si="34"/>
        <v>VONN</v>
      </c>
      <c r="F452" s="253">
        <v>60.3</v>
      </c>
      <c r="G452" s="253">
        <v>60.5</v>
      </c>
      <c r="H452" s="253">
        <v>60.4</v>
      </c>
      <c r="I452" s="253">
        <v>60.4</v>
      </c>
      <c r="J452" s="253">
        <v>60.5</v>
      </c>
      <c r="K452" s="253">
        <v>61.2</v>
      </c>
      <c r="L452" s="253">
        <v>61.4</v>
      </c>
      <c r="M452" s="253">
        <v>61.8</v>
      </c>
      <c r="N452" s="253">
        <v>61.8</v>
      </c>
      <c r="O452" s="253">
        <v>61.3</v>
      </c>
      <c r="P452" s="253">
        <v>61</v>
      </c>
      <c r="Q452" s="253">
        <v>60.7</v>
      </c>
      <c r="R452" s="253">
        <v>60.5</v>
      </c>
      <c r="S452" s="253">
        <v>59.4</v>
      </c>
      <c r="T452" s="253">
        <v>59.5</v>
      </c>
      <c r="U452" s="253">
        <v>59.3</v>
      </c>
      <c r="V452" s="253">
        <v>60.3</v>
      </c>
      <c r="W452" s="253">
        <v>60.3</v>
      </c>
      <c r="X452" s="253">
        <v>61.1</v>
      </c>
      <c r="Y452" s="253">
        <v>61.3</v>
      </c>
      <c r="Z452" s="247">
        <f ca="1">[1]ExtEntry!$J50</f>
        <v>61.3</v>
      </c>
      <c r="AB452" s="267">
        <v>-3000</v>
      </c>
      <c r="AC452" s="267">
        <v>2400</v>
      </c>
      <c r="AD452" s="267">
        <v>15200</v>
      </c>
      <c r="AE452" s="267">
        <v>4800</v>
      </c>
      <c r="AF452" s="267">
        <v>-7900</v>
      </c>
      <c r="AG452" s="267">
        <v>100</v>
      </c>
      <c r="AH452" s="267">
        <v>-6500</v>
      </c>
      <c r="AI452" s="267">
        <v>3000</v>
      </c>
      <c r="AJ452" s="267">
        <v>-11200</v>
      </c>
      <c r="AK452" s="267">
        <v>-6900</v>
      </c>
      <c r="AL452" s="267">
        <v>1500</v>
      </c>
      <c r="AM452" s="267">
        <v>-7100</v>
      </c>
      <c r="AN452" s="267">
        <v>-11900</v>
      </c>
      <c r="AO452" s="267">
        <v>12800</v>
      </c>
      <c r="AP452" s="267">
        <v>6800</v>
      </c>
      <c r="AQ452" s="267">
        <v>-4800</v>
      </c>
      <c r="AR452" s="267">
        <v>28000</v>
      </c>
      <c r="AS452" s="267">
        <v>32900</v>
      </c>
      <c r="AT452" s="267">
        <v>12800</v>
      </c>
      <c r="AU452" s="267">
        <v>4800</v>
      </c>
      <c r="AV452" s="263">
        <f t="shared" ca="1" si="35"/>
        <v>4800</v>
      </c>
      <c r="AX452" s="88" t="str">
        <f t="shared" ca="1" si="36"/>
        <v>VONN</v>
      </c>
    </row>
    <row r="453" spans="1:50" hidden="1">
      <c r="A453" s="88" t="str">
        <f t="shared" ca="1" si="34"/>
        <v>VTRS</v>
      </c>
      <c r="F453" s="253">
        <v>9.56</v>
      </c>
      <c r="G453" s="253">
        <v>9.9149999999999991</v>
      </c>
      <c r="H453" s="253">
        <v>10.17</v>
      </c>
      <c r="I453" s="253">
        <v>10.185</v>
      </c>
      <c r="J453" s="253">
        <v>10.3775</v>
      </c>
      <c r="K453" s="253">
        <v>10.26</v>
      </c>
      <c r="L453" s="253">
        <v>10.17</v>
      </c>
      <c r="M453" s="253">
        <v>10.145</v>
      </c>
      <c r="N453" s="253">
        <v>10.145</v>
      </c>
      <c r="O453" s="253">
        <v>9.9649999999999999</v>
      </c>
      <c r="P453" s="253">
        <v>9.9700000000000006</v>
      </c>
      <c r="Q453" s="253">
        <v>10.17</v>
      </c>
      <c r="R453" s="253">
        <v>10.199999999999999</v>
      </c>
      <c r="S453" s="253">
        <v>10.199999999999999</v>
      </c>
      <c r="T453" s="253">
        <v>10.32</v>
      </c>
      <c r="U453" s="253">
        <v>10.44</v>
      </c>
      <c r="V453" s="253">
        <v>10.515000000000001</v>
      </c>
      <c r="W453" s="253">
        <v>10.515000000000001</v>
      </c>
      <c r="X453" s="253">
        <v>10.494999999999999</v>
      </c>
      <c r="Y453" s="253">
        <v>10.4999</v>
      </c>
      <c r="Z453" s="247">
        <f ca="1">[1]ExtEntry!$J51</f>
        <v>10.4999</v>
      </c>
      <c r="AB453" s="264">
        <v>367</v>
      </c>
      <c r="AC453" s="264">
        <v>3849.9999999999927</v>
      </c>
      <c r="AD453" s="264">
        <v>1300</v>
      </c>
      <c r="AE453" s="264">
        <v>300</v>
      </c>
      <c r="AF453" s="264">
        <v>500</v>
      </c>
      <c r="AG453" s="264">
        <v>358.00000000001455</v>
      </c>
      <c r="AH453" s="264">
        <v>-4399.9999999999854</v>
      </c>
      <c r="AI453" s="264">
        <v>-1900</v>
      </c>
      <c r="AJ453" s="264">
        <v>-500</v>
      </c>
      <c r="AK453" s="264">
        <v>700</v>
      </c>
      <c r="AL453" s="264">
        <v>1599.9999999999854</v>
      </c>
      <c r="AM453" s="264">
        <v>1049.9999999999854</v>
      </c>
      <c r="AN453" s="264">
        <v>300</v>
      </c>
      <c r="AO453" s="264">
        <v>600</v>
      </c>
      <c r="AP453" s="264">
        <v>-100</v>
      </c>
      <c r="AQ453" s="264">
        <v>-1400</v>
      </c>
      <c r="AR453" s="264">
        <v>500</v>
      </c>
      <c r="AS453" s="264">
        <v>-50</v>
      </c>
      <c r="AT453" s="264">
        <v>-800</v>
      </c>
      <c r="AU453" s="264">
        <v>-750</v>
      </c>
      <c r="AV453" s="263">
        <f t="shared" ca="1" si="35"/>
        <v>-750</v>
      </c>
      <c r="AX453" s="88" t="str">
        <f t="shared" ca="1" si="36"/>
        <v>VTRS</v>
      </c>
    </row>
    <row r="454" spans="1:50" hidden="1">
      <c r="A454" s="88" t="str">
        <f t="shared" ca="1" si="34"/>
        <v>WBA</v>
      </c>
      <c r="F454" s="253">
        <v>12.11</v>
      </c>
      <c r="G454" s="253">
        <v>12.11</v>
      </c>
      <c r="H454" s="253">
        <v>12.11</v>
      </c>
      <c r="I454" s="253">
        <v>12.11</v>
      </c>
      <c r="J454" s="253">
        <v>12.11</v>
      </c>
      <c r="K454" s="253">
        <v>12.11</v>
      </c>
      <c r="L454" s="253">
        <v>12.11</v>
      </c>
      <c r="M454" s="253">
        <v>12.11</v>
      </c>
      <c r="N454" s="253">
        <v>12.11</v>
      </c>
      <c r="O454" s="253">
        <v>12.11</v>
      </c>
      <c r="P454" s="253">
        <v>12.11</v>
      </c>
      <c r="Q454" s="253">
        <v>12.11</v>
      </c>
      <c r="R454" s="253">
        <v>12.11</v>
      </c>
      <c r="S454" s="253">
        <v>12.11</v>
      </c>
      <c r="T454" s="253">
        <v>12.11</v>
      </c>
      <c r="U454" s="253">
        <v>12.11</v>
      </c>
      <c r="V454" s="253">
        <v>12.11</v>
      </c>
      <c r="W454" s="253">
        <v>12.11</v>
      </c>
      <c r="X454" s="253">
        <v>12.11</v>
      </c>
      <c r="Y454" s="253">
        <v>12.11</v>
      </c>
      <c r="Z454" s="247">
        <f ca="1">[1]ExtEntry!$J52</f>
        <v>12.11</v>
      </c>
      <c r="AB454" s="267">
        <v>0</v>
      </c>
      <c r="AC454" s="267">
        <v>0</v>
      </c>
      <c r="AD454" s="267">
        <v>0</v>
      </c>
      <c r="AE454" s="267">
        <v>0</v>
      </c>
      <c r="AF454" s="267">
        <v>0</v>
      </c>
      <c r="AG454" s="267">
        <v>0</v>
      </c>
      <c r="AH454" s="267">
        <v>0</v>
      </c>
      <c r="AI454" s="267">
        <v>0</v>
      </c>
      <c r="AJ454" s="267">
        <v>0</v>
      </c>
      <c r="AK454" s="267">
        <v>0</v>
      </c>
      <c r="AL454" s="267">
        <v>0</v>
      </c>
      <c r="AM454" s="267">
        <v>0</v>
      </c>
      <c r="AN454" s="267">
        <v>0</v>
      </c>
      <c r="AO454" s="267">
        <v>0</v>
      </c>
      <c r="AP454" s="267">
        <v>0</v>
      </c>
      <c r="AQ454" s="267">
        <v>0</v>
      </c>
      <c r="AR454" s="267">
        <v>0</v>
      </c>
      <c r="AS454" s="267">
        <v>0</v>
      </c>
      <c r="AT454" s="267">
        <v>0</v>
      </c>
      <c r="AU454" s="267">
        <v>0</v>
      </c>
      <c r="AV454" s="263">
        <f t="shared" ca="1" si="35"/>
        <v>0</v>
      </c>
      <c r="AX454" s="88" t="str">
        <f t="shared" ca="1" si="36"/>
        <v>WBA</v>
      </c>
    </row>
    <row r="455" spans="1:50" hidden="1">
      <c r="A455" s="88" t="str">
        <f t="shared" ca="1" si="34"/>
        <v>XOM</v>
      </c>
      <c r="F455" s="253">
        <v>116.5</v>
      </c>
      <c r="G455" s="253">
        <v>113.49</v>
      </c>
      <c r="H455" s="253">
        <v>113.02</v>
      </c>
      <c r="I455" s="253">
        <v>113.09</v>
      </c>
      <c r="J455" s="253">
        <v>113.745</v>
      </c>
      <c r="K455" s="253">
        <v>114.51</v>
      </c>
      <c r="L455" s="253">
        <v>115.01</v>
      </c>
      <c r="M455" s="253">
        <v>115.51</v>
      </c>
      <c r="N455" s="253">
        <v>115.51</v>
      </c>
      <c r="O455" s="253">
        <v>112.3</v>
      </c>
      <c r="P455" s="253">
        <v>112.962</v>
      </c>
      <c r="Q455" s="253">
        <v>113.57</v>
      </c>
      <c r="R455" s="253">
        <v>112.19</v>
      </c>
      <c r="S455" s="253">
        <v>112.91</v>
      </c>
      <c r="T455" s="253">
        <v>113.15</v>
      </c>
      <c r="U455" s="253">
        <v>113.3601</v>
      </c>
      <c r="V455" s="253">
        <v>115.18</v>
      </c>
      <c r="W455" s="253">
        <v>115.18</v>
      </c>
      <c r="X455" s="253">
        <v>116.85</v>
      </c>
      <c r="Y455" s="253">
        <v>116.47</v>
      </c>
      <c r="Z455" s="247">
        <f ca="1">[1]ExtEntry!$J53</f>
        <v>116.47</v>
      </c>
      <c r="AB455" s="264">
        <v>-967</v>
      </c>
      <c r="AC455" s="264">
        <v>-572</v>
      </c>
      <c r="AD455" s="264">
        <v>-288.5</v>
      </c>
      <c r="AE455" s="264">
        <v>-524</v>
      </c>
      <c r="AF455" s="264">
        <v>45</v>
      </c>
      <c r="AG455" s="264">
        <v>1165</v>
      </c>
      <c r="AH455" s="264">
        <v>150</v>
      </c>
      <c r="AI455" s="264">
        <v>-465</v>
      </c>
      <c r="AJ455" s="264">
        <v>-427.5</v>
      </c>
      <c r="AK455" s="264">
        <v>-317.5</v>
      </c>
      <c r="AL455" s="264">
        <v>680</v>
      </c>
      <c r="AM455" s="264">
        <v>-317.5</v>
      </c>
      <c r="AN455" s="264">
        <v>137.5</v>
      </c>
      <c r="AO455" s="264">
        <v>1062.5</v>
      </c>
      <c r="AP455" s="264">
        <v>-7.5</v>
      </c>
      <c r="AQ455" s="264">
        <v>-865</v>
      </c>
      <c r="AR455" s="264">
        <v>1117.5</v>
      </c>
      <c r="AS455" s="264">
        <v>1260</v>
      </c>
      <c r="AT455" s="264">
        <v>-645</v>
      </c>
      <c r="AU455" s="264">
        <v>-827.5</v>
      </c>
      <c r="AV455" s="263">
        <f t="shared" ca="1" si="35"/>
        <v>-832.5</v>
      </c>
      <c r="AX455" s="88" t="str">
        <f t="shared" ca="1" si="36"/>
        <v>XOM</v>
      </c>
    </row>
    <row r="456" spans="1:50" hidden="1">
      <c r="A456" s="88" t="str">
        <f t="shared" ca="1" si="34"/>
        <v>XPER</v>
      </c>
      <c r="F456" s="253">
        <v>6.66</v>
      </c>
      <c r="G456" s="253">
        <v>6.69</v>
      </c>
      <c r="H456" s="253">
        <v>6.61</v>
      </c>
      <c r="I456" s="253">
        <v>6.95</v>
      </c>
      <c r="J456" s="253">
        <v>6.9588999999999999</v>
      </c>
      <c r="K456" s="253">
        <v>6.95</v>
      </c>
      <c r="L456" s="253">
        <v>6.7949999999999999</v>
      </c>
      <c r="M456" s="253">
        <v>6.7085999999999997</v>
      </c>
      <c r="N456" s="253">
        <v>6.7085999999999997</v>
      </c>
      <c r="O456" s="253">
        <v>6.53</v>
      </c>
      <c r="P456" s="253">
        <v>6.7891000000000004</v>
      </c>
      <c r="Q456" s="253">
        <v>6.8</v>
      </c>
      <c r="R456" s="253">
        <v>6.9</v>
      </c>
      <c r="S456" s="253">
        <v>6.76</v>
      </c>
      <c r="T456" s="253">
        <v>6.77</v>
      </c>
      <c r="U456" s="253">
        <v>6.8949999999999996</v>
      </c>
      <c r="V456" s="253">
        <v>6.8049999999999997</v>
      </c>
      <c r="W456" s="253">
        <v>6.8049999999999997</v>
      </c>
      <c r="X456" s="253">
        <v>6.68</v>
      </c>
      <c r="Y456" s="253">
        <v>6.75</v>
      </c>
      <c r="Z456" s="247">
        <f ca="1">[1]ExtEntry!$J54</f>
        <v>6.75</v>
      </c>
      <c r="AB456" s="267">
        <v>-2400.0000000000036</v>
      </c>
      <c r="AC456" s="267">
        <v>550.00000000000364</v>
      </c>
      <c r="AD456" s="267">
        <v>-150</v>
      </c>
      <c r="AE456" s="267">
        <v>-800</v>
      </c>
      <c r="AF456" s="267">
        <v>-200</v>
      </c>
      <c r="AG456" s="267">
        <v>-1075</v>
      </c>
      <c r="AH456" s="267">
        <v>749.99999999999636</v>
      </c>
      <c r="AI456" s="267">
        <v>400</v>
      </c>
      <c r="AJ456" s="267">
        <v>1650</v>
      </c>
      <c r="AK456" s="267">
        <v>1000</v>
      </c>
      <c r="AL456" s="267">
        <v>4250</v>
      </c>
      <c r="AM456" s="267">
        <v>-99</v>
      </c>
      <c r="AN456" s="267">
        <v>-1700</v>
      </c>
      <c r="AO456" s="267">
        <v>-1500</v>
      </c>
      <c r="AP456" s="267">
        <v>-1100</v>
      </c>
      <c r="AQ456" s="267">
        <v>-2150</v>
      </c>
      <c r="AR456" s="267">
        <v>-1801</v>
      </c>
      <c r="AS456" s="267">
        <v>-1200</v>
      </c>
      <c r="AT456" s="267">
        <v>1100</v>
      </c>
      <c r="AU456" s="267">
        <v>-300</v>
      </c>
      <c r="AV456" s="263">
        <f t="shared" ca="1" si="35"/>
        <v>-500</v>
      </c>
      <c r="AX456" s="88" t="str">
        <f t="shared" ca="1" si="36"/>
        <v>XPER</v>
      </c>
    </row>
    <row r="457" spans="1:50" hidden="1">
      <c r="A457" s="88" t="str">
        <f t="shared" ca="1" si="34"/>
        <v>MVEALDNE</v>
      </c>
      <c r="F457" s="253">
        <v>0.87</v>
      </c>
      <c r="G457" s="253">
        <v>0.86799999999999999</v>
      </c>
      <c r="H457" s="253">
        <v>0.88</v>
      </c>
      <c r="I457" s="253">
        <v>0.87</v>
      </c>
      <c r="J457" s="253">
        <v>0.86799999999999999</v>
      </c>
      <c r="K457" s="253">
        <v>0.84</v>
      </c>
      <c r="L457" s="253">
        <v>0.83799999999999997</v>
      </c>
      <c r="M457" s="253">
        <v>0.84</v>
      </c>
      <c r="N457" s="253">
        <v>0.83799999999999997</v>
      </c>
      <c r="O457" s="253">
        <v>0.83799999999999997</v>
      </c>
      <c r="P457" s="253">
        <v>0.84</v>
      </c>
      <c r="Q457" s="253">
        <v>0.83799999999999997</v>
      </c>
      <c r="R457" s="253">
        <v>0.83399999999999996</v>
      </c>
      <c r="S457" s="253">
        <v>0.83</v>
      </c>
      <c r="T457" s="253">
        <v>0.83</v>
      </c>
      <c r="U457" s="253">
        <v>0.84</v>
      </c>
      <c r="V457" s="253">
        <v>0.84</v>
      </c>
      <c r="W457" s="253">
        <v>0.84</v>
      </c>
      <c r="X457" s="253">
        <v>0.84</v>
      </c>
      <c r="Y457" s="253">
        <v>0.83799999999999997</v>
      </c>
      <c r="Z457" s="247">
        <f ca="1">[1]ExtEntry!$J55</f>
        <v>0.83799999999999997</v>
      </c>
      <c r="AB457" s="264">
        <v>25250</v>
      </c>
      <c r="AC457" s="264">
        <v>51510</v>
      </c>
      <c r="AD457" s="264">
        <v>34340</v>
      </c>
      <c r="AE457" s="264">
        <v>-6060</v>
      </c>
      <c r="AF457" s="264">
        <v>-3030</v>
      </c>
      <c r="AG457" s="264">
        <v>-33330</v>
      </c>
      <c r="AH457" s="264">
        <v>-9090</v>
      </c>
      <c r="AI457" s="264">
        <v>-29290</v>
      </c>
      <c r="AJ457" s="264">
        <v>0</v>
      </c>
      <c r="AK457" s="264">
        <v>0</v>
      </c>
      <c r="AL457" s="264">
        <v>2020</v>
      </c>
      <c r="AM457" s="264">
        <v>9090</v>
      </c>
      <c r="AN457" s="264">
        <v>14140</v>
      </c>
      <c r="AO457" s="264">
        <v>1010</v>
      </c>
      <c r="AP457" s="264">
        <v>5050</v>
      </c>
      <c r="AQ457" s="264">
        <v>8080</v>
      </c>
      <c r="AR457" s="264">
        <v>1010</v>
      </c>
      <c r="AS457" s="264">
        <v>5050</v>
      </c>
      <c r="AT457" s="264">
        <v>-2020</v>
      </c>
      <c r="AU457" s="264">
        <v>-2020</v>
      </c>
      <c r="AV457" s="263">
        <f t="shared" ca="1" si="35"/>
        <v>-2020</v>
      </c>
      <c r="AX457" s="88" t="str">
        <f t="shared" ca="1" si="36"/>
        <v>MVEALDNE</v>
      </c>
    </row>
    <row r="458" spans="1:50" hidden="1">
      <c r="A458" s="88" t="str">
        <f t="shared" ca="1" si="34"/>
        <v>MVEDDD</v>
      </c>
      <c r="F458" s="253">
        <v>3.3849999999999998</v>
      </c>
      <c r="G458" s="253">
        <v>2.97</v>
      </c>
      <c r="H458" s="253">
        <v>2.95</v>
      </c>
      <c r="I458" s="253">
        <v>3.14</v>
      </c>
      <c r="J458" s="253">
        <v>3.29</v>
      </c>
      <c r="K458" s="253">
        <v>3.54</v>
      </c>
      <c r="L458" s="253">
        <v>3.3815</v>
      </c>
      <c r="M458" s="253">
        <v>3.48</v>
      </c>
      <c r="N458" s="253">
        <v>3.48</v>
      </c>
      <c r="O458" s="253">
        <v>3.12</v>
      </c>
      <c r="P458" s="253">
        <v>3.17</v>
      </c>
      <c r="Q458" s="253">
        <v>3.28</v>
      </c>
      <c r="R458" s="253">
        <v>3.5497000000000001</v>
      </c>
      <c r="S458" s="253">
        <v>3.32</v>
      </c>
      <c r="T458" s="253">
        <v>3.8</v>
      </c>
      <c r="U458" s="253">
        <v>3.75</v>
      </c>
      <c r="V458" s="253">
        <v>3.43</v>
      </c>
      <c r="W458" s="253">
        <v>3.43</v>
      </c>
      <c r="X458" s="253">
        <v>3.21</v>
      </c>
      <c r="Y458" s="253">
        <v>3.29</v>
      </c>
      <c r="Z458" s="247">
        <f ca="1">[1]ExtEntry!$J56</f>
        <v>3.29</v>
      </c>
      <c r="AB458" s="267">
        <v>-2949.9999999999927</v>
      </c>
      <c r="AC458" s="267">
        <v>-2649.9999999999964</v>
      </c>
      <c r="AD458" s="267">
        <v>-449.99999999999636</v>
      </c>
      <c r="AE458" s="267">
        <v>3.637978807091713E-12</v>
      </c>
      <c r="AF458" s="267">
        <v>-1149.9999999999964</v>
      </c>
      <c r="AG458" s="267">
        <v>2649.9999999999927</v>
      </c>
      <c r="AH458" s="267">
        <v>1150</v>
      </c>
      <c r="AI458" s="267">
        <v>-750.00000000000364</v>
      </c>
      <c r="AJ458" s="267">
        <v>-1550</v>
      </c>
      <c r="AK458" s="267">
        <v>-100</v>
      </c>
      <c r="AL458" s="267">
        <v>1750.0000000000036</v>
      </c>
      <c r="AM458" s="267">
        <v>-250</v>
      </c>
      <c r="AN458" s="267">
        <v>499.99999999999636</v>
      </c>
      <c r="AO458" s="267">
        <v>300</v>
      </c>
      <c r="AP458" s="267">
        <v>4449.9999999999927</v>
      </c>
      <c r="AQ458" s="267">
        <v>-4300</v>
      </c>
      <c r="AR458" s="267">
        <v>-4050</v>
      </c>
      <c r="AS458" s="267">
        <v>-3149.9999999999964</v>
      </c>
      <c r="AT458" s="267">
        <v>650</v>
      </c>
      <c r="AU458" s="267">
        <v>-5999.9999999999964</v>
      </c>
      <c r="AV458" s="263">
        <f t="shared" ca="1" si="35"/>
        <v>-5949.9999999999964</v>
      </c>
      <c r="AX458" s="88" t="str">
        <f t="shared" ca="1" si="36"/>
        <v>MVEDDD</v>
      </c>
    </row>
    <row r="459" spans="1:50" hidden="1">
      <c r="A459" s="88" t="str">
        <f t="shared" ca="1" si="34"/>
        <v>MVEDSY</v>
      </c>
      <c r="F459" s="253">
        <v>28.37</v>
      </c>
      <c r="G459" s="253">
        <v>1.0795999999999999</v>
      </c>
      <c r="H459" s="253">
        <v>1.06</v>
      </c>
      <c r="I459" s="253">
        <v>1.06</v>
      </c>
      <c r="J459" s="253">
        <v>1.0804</v>
      </c>
      <c r="K459" s="253">
        <v>1.04</v>
      </c>
      <c r="L459" s="253">
        <v>29.33</v>
      </c>
      <c r="M459" s="253">
        <v>29.08</v>
      </c>
      <c r="N459" s="253">
        <v>29.49</v>
      </c>
      <c r="O459" s="253">
        <v>29.02</v>
      </c>
      <c r="P459" s="253">
        <v>28.82</v>
      </c>
      <c r="Q459" s="253">
        <v>29.1</v>
      </c>
      <c r="R459" s="253">
        <v>29.44</v>
      </c>
      <c r="S459" s="253">
        <v>29.41</v>
      </c>
      <c r="T459" s="253">
        <v>29.78</v>
      </c>
      <c r="U459" s="253">
        <v>30.27</v>
      </c>
      <c r="V459" s="253">
        <v>30.36</v>
      </c>
      <c r="W459" s="253">
        <v>30.36</v>
      </c>
      <c r="X459" s="253">
        <v>26.35</v>
      </c>
      <c r="Y459" s="253">
        <v>26.43</v>
      </c>
      <c r="Z459" s="247">
        <f ca="1">[1]ExtEntry!$J57</f>
        <v>26.43</v>
      </c>
      <c r="AB459" s="264">
        <v>600</v>
      </c>
      <c r="AC459" s="264">
        <v>720</v>
      </c>
      <c r="AD459" s="264">
        <v>1080</v>
      </c>
      <c r="AE459" s="264">
        <v>-2640</v>
      </c>
      <c r="AF459" s="264">
        <v>840</v>
      </c>
      <c r="AG459" s="264">
        <v>-3902.3999999999996</v>
      </c>
      <c r="AH459" s="264">
        <v>-2880</v>
      </c>
      <c r="AI459" s="264">
        <v>960</v>
      </c>
      <c r="AJ459" s="264">
        <v>3120</v>
      </c>
      <c r="AK459" s="264">
        <v>3720</v>
      </c>
      <c r="AL459" s="264">
        <v>-1617.6000000000004</v>
      </c>
      <c r="AM459" s="264">
        <v>6240</v>
      </c>
      <c r="AN459" s="264">
        <v>5400</v>
      </c>
      <c r="AO459" s="264">
        <v>480</v>
      </c>
      <c r="AP459" s="264">
        <v>240</v>
      </c>
      <c r="AQ459" s="264">
        <v>9360</v>
      </c>
      <c r="AR459" s="264">
        <v>-2640</v>
      </c>
      <c r="AS459" s="264">
        <v>-5760</v>
      </c>
      <c r="AT459" s="264">
        <v>-1200</v>
      </c>
      <c r="AU459" s="264">
        <v>-11280</v>
      </c>
      <c r="AV459" s="263">
        <f t="shared" ca="1" si="35"/>
        <v>-11280</v>
      </c>
      <c r="AX459" s="88" t="str">
        <f t="shared" ca="1" si="36"/>
        <v>MVEDSY</v>
      </c>
    </row>
    <row r="460" spans="1:50" hidden="1">
      <c r="A460" s="88" t="str">
        <f t="shared" ca="1" si="34"/>
        <v>MVEEOAN</v>
      </c>
      <c r="F460" s="253">
        <v>16.16</v>
      </c>
      <c r="G460" s="253">
        <v>16.07</v>
      </c>
      <c r="H460" s="253">
        <v>16.164999999999999</v>
      </c>
      <c r="I460" s="253">
        <v>16.149999999999999</v>
      </c>
      <c r="J460" s="253">
        <v>16.12</v>
      </c>
      <c r="K460" s="253">
        <v>16.135000000000002</v>
      </c>
      <c r="L460" s="253">
        <v>16.344999999999999</v>
      </c>
      <c r="M460" s="253">
        <v>16.245000000000001</v>
      </c>
      <c r="N460" s="253">
        <v>16.204999999999998</v>
      </c>
      <c r="O460" s="253">
        <v>16.260000000000002</v>
      </c>
      <c r="P460" s="253">
        <v>16.425000000000001</v>
      </c>
      <c r="Q460" s="253">
        <v>16.37</v>
      </c>
      <c r="R460" s="253">
        <v>16.305</v>
      </c>
      <c r="S460" s="253">
        <v>16.38</v>
      </c>
      <c r="T460" s="253">
        <v>16.454999999999998</v>
      </c>
      <c r="U460" s="253">
        <v>16.48</v>
      </c>
      <c r="V460" s="253">
        <v>16.395</v>
      </c>
      <c r="W460" s="253">
        <v>16.395</v>
      </c>
      <c r="X460" s="253">
        <v>16.13</v>
      </c>
      <c r="Y460" s="253">
        <v>16.059999999999999</v>
      </c>
      <c r="Z460" s="247">
        <f ca="1">[1]ExtEntry!$J58</f>
        <v>16.085000000000001</v>
      </c>
      <c r="AB460" s="267">
        <v>-1.6999999999999886</v>
      </c>
      <c r="AC460" s="267">
        <v>1.7499999999999716</v>
      </c>
      <c r="AD460" s="267">
        <v>2.3999999999999488</v>
      </c>
      <c r="AE460" s="267">
        <v>-4.1999999999999602</v>
      </c>
      <c r="AF460" s="267">
        <v>1.4000000000000057</v>
      </c>
      <c r="AG460" s="267">
        <v>1.1999999999999602</v>
      </c>
      <c r="AH460" s="267">
        <v>-0.59999999999996589</v>
      </c>
      <c r="AI460" s="267">
        <v>-2.3999999999999773</v>
      </c>
      <c r="AJ460" s="267">
        <v>1.7999999999999545</v>
      </c>
      <c r="AK460" s="267">
        <v>-0.94999999999998863</v>
      </c>
      <c r="AL460" s="267">
        <v>1.7500000000000853</v>
      </c>
      <c r="AM460" s="267">
        <v>-2.1000000000000227</v>
      </c>
      <c r="AN460" s="267">
        <v>0.50000000000002842</v>
      </c>
      <c r="AO460" s="267">
        <v>0.80000000000001137</v>
      </c>
      <c r="AP460" s="267">
        <v>0.29999999999998295</v>
      </c>
      <c r="AQ460" s="267">
        <v>-1.9500000000000739</v>
      </c>
      <c r="AR460" s="267">
        <v>-0.29999999999998295</v>
      </c>
      <c r="AS460" s="267">
        <v>-2.1000000000000227</v>
      </c>
      <c r="AT460" s="267">
        <v>-2.5499999999999829</v>
      </c>
      <c r="AU460" s="267">
        <v>-0.30000000000001137</v>
      </c>
      <c r="AV460" s="263">
        <f t="shared" ca="1" si="35"/>
        <v>9.9999999999994316E-2</v>
      </c>
      <c r="AX460" s="88" t="str">
        <f t="shared" ca="1" si="36"/>
        <v>MVEEOAN</v>
      </c>
    </row>
    <row r="461" spans="1:50" hidden="1">
      <c r="A461" s="88" t="str">
        <f t="shared" ca="1" si="34"/>
        <v>MVEENI</v>
      </c>
      <c r="F461" s="253">
        <v>15.324</v>
      </c>
      <c r="G461" s="253">
        <v>15.034000000000001</v>
      </c>
      <c r="H461" s="253">
        <v>15.012</v>
      </c>
      <c r="I461" s="253">
        <v>14.98</v>
      </c>
      <c r="J461" s="253">
        <v>14.932</v>
      </c>
      <c r="K461" s="253">
        <v>15.238</v>
      </c>
      <c r="L461" s="253">
        <v>15.334</v>
      </c>
      <c r="M461" s="253">
        <v>15.534000000000001</v>
      </c>
      <c r="N461" s="253">
        <v>15.302</v>
      </c>
      <c r="O461" s="253">
        <v>15.055999999999999</v>
      </c>
      <c r="P461" s="253">
        <v>14.926</v>
      </c>
      <c r="Q461" s="253">
        <v>14.811999999999999</v>
      </c>
      <c r="R461" s="253">
        <v>14.846</v>
      </c>
      <c r="S461" s="253">
        <v>14.866</v>
      </c>
      <c r="T461" s="253">
        <v>15.002000000000001</v>
      </c>
      <c r="U461" s="253">
        <v>15.007999999999999</v>
      </c>
      <c r="V461" s="253">
        <v>15.166</v>
      </c>
      <c r="W461" s="253">
        <v>15.166</v>
      </c>
      <c r="X461" s="253">
        <v>15.63</v>
      </c>
      <c r="Y461" s="253">
        <v>16.032</v>
      </c>
      <c r="Z461" s="247">
        <f ca="1">[1]ExtEntry!$J59</f>
        <v>16.032</v>
      </c>
      <c r="AB461" s="264">
        <v>-7520</v>
      </c>
      <c r="AC461" s="264">
        <v>-16320</v>
      </c>
      <c r="AD461" s="264">
        <v>-6320</v>
      </c>
      <c r="AE461" s="264">
        <v>-1600</v>
      </c>
      <c r="AF461" s="264">
        <v>-3600</v>
      </c>
      <c r="AG461" s="264">
        <v>7840</v>
      </c>
      <c r="AH461" s="264">
        <v>6216</v>
      </c>
      <c r="AI461" s="264">
        <v>-2872</v>
      </c>
      <c r="AJ461" s="264">
        <v>-1968</v>
      </c>
      <c r="AK461" s="264">
        <v>-2256</v>
      </c>
      <c r="AL461" s="264">
        <v>-8280</v>
      </c>
      <c r="AM461" s="264">
        <v>1440</v>
      </c>
      <c r="AN461" s="264">
        <v>-1872</v>
      </c>
      <c r="AO461" s="264">
        <v>11232</v>
      </c>
      <c r="AP461" s="264">
        <v>2592</v>
      </c>
      <c r="AQ461" s="264">
        <v>7056</v>
      </c>
      <c r="AR461" s="264">
        <v>1800</v>
      </c>
      <c r="AS461" s="264">
        <v>3240</v>
      </c>
      <c r="AT461" s="264">
        <v>-1008</v>
      </c>
      <c r="AU461" s="264">
        <v>-360</v>
      </c>
      <c r="AV461" s="263">
        <f t="shared" ca="1" si="35"/>
        <v>-360</v>
      </c>
      <c r="AX461" s="88" t="str">
        <f t="shared" ca="1" si="36"/>
        <v>MVEENI</v>
      </c>
    </row>
    <row r="462" spans="1:50" hidden="1">
      <c r="A462" s="88" t="str">
        <f t="shared" ca="1" si="34"/>
        <v>MVEEPIX</v>
      </c>
      <c r="F462" s="253">
        <v>0.19750000000000001</v>
      </c>
      <c r="G462" s="253">
        <v>0.2</v>
      </c>
      <c r="H462" s="253">
        <v>0.2099</v>
      </c>
      <c r="I462" s="253">
        <v>0.2329</v>
      </c>
      <c r="J462" s="253">
        <v>0.217</v>
      </c>
      <c r="K462" s="253">
        <v>0.22</v>
      </c>
      <c r="L462" s="253">
        <v>0.20699999999999999</v>
      </c>
      <c r="M462" s="253">
        <v>0.20699999999999999</v>
      </c>
      <c r="N462" s="253">
        <v>0.20699999999999999</v>
      </c>
      <c r="O462" s="253">
        <v>0.20699999999999999</v>
      </c>
      <c r="P462" s="253">
        <v>0.20699999999999999</v>
      </c>
      <c r="Q462" s="253">
        <v>0.20699999999999999</v>
      </c>
      <c r="R462" s="253">
        <v>0.20699999999999999</v>
      </c>
      <c r="S462" s="253">
        <v>0.20699999999999999</v>
      </c>
      <c r="T462" s="253">
        <v>0.20699999999999999</v>
      </c>
      <c r="U462" s="253">
        <v>0.20699999999999999</v>
      </c>
      <c r="V462" s="253">
        <v>0.20699999999999999</v>
      </c>
      <c r="W462" s="253">
        <v>0.20699999999999999</v>
      </c>
      <c r="X462" s="253">
        <v>0.20699999999999999</v>
      </c>
      <c r="Y462" s="253">
        <v>0.20699999999999999</v>
      </c>
      <c r="Z462" s="247">
        <f ca="1">[1]ExtEntry!$J60</f>
        <v>0.20699999999999999</v>
      </c>
      <c r="AB462" s="267">
        <v>-32.400000000000091</v>
      </c>
      <c r="AC462" s="267">
        <v>39.600000000000364</v>
      </c>
      <c r="AD462" s="267">
        <v>-59.999999999999545</v>
      </c>
      <c r="AE462" s="267">
        <v>86.400000000000091</v>
      </c>
      <c r="AF462" s="267">
        <v>4.8000000000001819</v>
      </c>
      <c r="AG462" s="267">
        <v>-100.80000000000018</v>
      </c>
      <c r="AH462" s="267">
        <v>121.19999999999982</v>
      </c>
      <c r="AI462" s="267">
        <v>-176.40000000000009</v>
      </c>
      <c r="AJ462" s="267">
        <v>-74.400000000000091</v>
      </c>
      <c r="AK462" s="267">
        <v>-15.600000000000364</v>
      </c>
      <c r="AL462" s="267">
        <v>178.80000000000018</v>
      </c>
      <c r="AM462" s="267">
        <v>0</v>
      </c>
      <c r="AN462" s="267">
        <v>0</v>
      </c>
      <c r="AO462" s="267">
        <v>0</v>
      </c>
      <c r="AP462" s="267">
        <v>0</v>
      </c>
      <c r="AQ462" s="267">
        <v>0</v>
      </c>
      <c r="AR462" s="267">
        <v>0</v>
      </c>
      <c r="AS462" s="267">
        <v>0</v>
      </c>
      <c r="AT462" s="267">
        <v>0</v>
      </c>
      <c r="AU462" s="267">
        <v>0</v>
      </c>
      <c r="AV462" s="263">
        <f t="shared" ca="1" si="35"/>
        <v>0</v>
      </c>
      <c r="AX462" s="88" t="str">
        <f t="shared" ca="1" si="36"/>
        <v>MVEEPIX</v>
      </c>
    </row>
    <row r="463" spans="1:50" hidden="1">
      <c r="A463" s="88" t="str">
        <f t="shared" ca="1" si="34"/>
        <v>MVEGLE</v>
      </c>
      <c r="F463" s="253">
        <v>57.36</v>
      </c>
      <c r="G463" s="253">
        <v>56.82</v>
      </c>
      <c r="H463" s="253">
        <v>57.04</v>
      </c>
      <c r="I463" s="253">
        <v>57.7</v>
      </c>
      <c r="J463" s="253">
        <v>57.78</v>
      </c>
      <c r="K463" s="253">
        <v>53.86</v>
      </c>
      <c r="L463" s="253">
        <v>54.8</v>
      </c>
      <c r="M463" s="253">
        <v>55.04</v>
      </c>
      <c r="N463" s="253">
        <v>54.76</v>
      </c>
      <c r="O463" s="253">
        <v>54.38</v>
      </c>
      <c r="P463" s="253">
        <v>55.46</v>
      </c>
      <c r="Q463" s="253">
        <v>56.62</v>
      </c>
      <c r="R463" s="253">
        <v>56.74</v>
      </c>
      <c r="S463" s="253">
        <v>54.92</v>
      </c>
      <c r="T463" s="253">
        <v>54.76</v>
      </c>
      <c r="U463" s="253">
        <v>53.9</v>
      </c>
      <c r="V463" s="253">
        <v>53.24</v>
      </c>
      <c r="W463" s="253">
        <v>53.24</v>
      </c>
      <c r="X463" s="253">
        <v>54</v>
      </c>
      <c r="Y463" s="253">
        <v>54.12</v>
      </c>
      <c r="Z463" s="247">
        <f ca="1">[1]ExtEntry!$J61</f>
        <v>54.12</v>
      </c>
      <c r="AB463" s="264">
        <v>80</v>
      </c>
      <c r="AC463" s="264">
        <v>1080</v>
      </c>
      <c r="AD463" s="264">
        <v>600</v>
      </c>
      <c r="AE463" s="264">
        <v>-1120</v>
      </c>
      <c r="AF463" s="264">
        <v>-1560</v>
      </c>
      <c r="AG463" s="264">
        <v>480</v>
      </c>
      <c r="AH463" s="264">
        <v>4760</v>
      </c>
      <c r="AI463" s="264">
        <v>-2840</v>
      </c>
      <c r="AJ463" s="264">
        <v>0</v>
      </c>
      <c r="AK463" s="264">
        <v>-960</v>
      </c>
      <c r="AL463" s="264">
        <v>12360</v>
      </c>
      <c r="AM463" s="264">
        <v>-7360</v>
      </c>
      <c r="AN463" s="264">
        <v>8040</v>
      </c>
      <c r="AO463" s="264">
        <v>-5520</v>
      </c>
      <c r="AP463" s="264">
        <v>-9500</v>
      </c>
      <c r="AQ463" s="264">
        <v>-13640</v>
      </c>
      <c r="AR463" s="264">
        <v>2660</v>
      </c>
      <c r="AS463" s="264">
        <v>-7300</v>
      </c>
      <c r="AT463" s="264">
        <v>9240</v>
      </c>
      <c r="AU463" s="264">
        <v>9240</v>
      </c>
      <c r="AV463" s="263">
        <f t="shared" ca="1" si="35"/>
        <v>9240</v>
      </c>
      <c r="AX463" s="88" t="str">
        <f t="shared" ca="1" si="36"/>
        <v>MVEGLE</v>
      </c>
    </row>
    <row r="464" spans="1:50" hidden="1">
      <c r="A464" s="88" t="str">
        <f t="shared" ca="1" si="34"/>
        <v>MVEORA</v>
      </c>
      <c r="F464" s="253">
        <v>13.76</v>
      </c>
      <c r="G464" s="253">
        <v>48.12</v>
      </c>
      <c r="H464" s="253">
        <v>13.835000000000001</v>
      </c>
      <c r="I464" s="253">
        <v>13.62</v>
      </c>
      <c r="J464" s="253">
        <v>13.61</v>
      </c>
      <c r="K464" s="253">
        <v>13.3</v>
      </c>
      <c r="L464" s="253">
        <v>13.455</v>
      </c>
      <c r="M464" s="253">
        <v>13.574999999999999</v>
      </c>
      <c r="N464" s="253">
        <v>13.6425</v>
      </c>
      <c r="O464" s="253">
        <v>13.645</v>
      </c>
      <c r="P464" s="253">
        <v>13.59</v>
      </c>
      <c r="Q464" s="253">
        <v>14.295</v>
      </c>
      <c r="R464" s="253">
        <v>14.135</v>
      </c>
      <c r="S464" s="253">
        <v>14.355</v>
      </c>
      <c r="T464" s="253">
        <v>14.275</v>
      </c>
      <c r="U464" s="253">
        <v>14.205</v>
      </c>
      <c r="V464" s="253">
        <v>14.13</v>
      </c>
      <c r="W464" s="253">
        <v>14.13</v>
      </c>
      <c r="X464" s="253">
        <v>14.29</v>
      </c>
      <c r="Y464" s="253">
        <v>14.16</v>
      </c>
      <c r="Z464" s="247">
        <f ca="1">[1]ExtEntry!$J62</f>
        <v>14.16</v>
      </c>
      <c r="AB464" s="267">
        <v>-2673</v>
      </c>
      <c r="AC464" s="267">
        <v>-39798</v>
      </c>
      <c r="AD464" s="267">
        <v>2277</v>
      </c>
      <c r="AE464" s="267">
        <v>-396</v>
      </c>
      <c r="AF464" s="267">
        <v>-7623</v>
      </c>
      <c r="AG464" s="267">
        <v>0</v>
      </c>
      <c r="AH464" s="267">
        <v>44550</v>
      </c>
      <c r="AI464" s="267">
        <v>5445</v>
      </c>
      <c r="AJ464" s="267">
        <v>-3366</v>
      </c>
      <c r="AK464" s="267">
        <v>1485</v>
      </c>
      <c r="AL464" s="267">
        <v>2475</v>
      </c>
      <c r="AM464" s="267">
        <v>-2871</v>
      </c>
      <c r="AN464" s="267">
        <v>-1089</v>
      </c>
      <c r="AO464" s="267">
        <v>5940</v>
      </c>
      <c r="AP464" s="267">
        <v>2475</v>
      </c>
      <c r="AQ464" s="267">
        <v>-3168</v>
      </c>
      <c r="AR464" s="267">
        <v>-99</v>
      </c>
      <c r="AS464" s="267">
        <v>-2871</v>
      </c>
      <c r="AT464" s="267">
        <v>-5049</v>
      </c>
      <c r="AU464" s="267">
        <v>-2475</v>
      </c>
      <c r="AV464" s="263">
        <f t="shared" ca="1" si="35"/>
        <v>-2475</v>
      </c>
      <c r="AX464" s="88" t="str">
        <f t="shared" ca="1" si="36"/>
        <v>MVEORA</v>
      </c>
    </row>
    <row r="465" spans="1:50" hidden="1">
      <c r="A465" s="88" t="str">
        <f t="shared" ca="1" si="34"/>
        <v>MVERWE</v>
      </c>
      <c r="F465" s="253">
        <v>38.1</v>
      </c>
      <c r="G465" s="253">
        <v>37.92</v>
      </c>
      <c r="H465" s="253">
        <v>39.130000000000003</v>
      </c>
      <c r="I465" s="253">
        <v>39.17</v>
      </c>
      <c r="J465" s="253">
        <v>39.22</v>
      </c>
      <c r="K465" s="253">
        <v>39.9</v>
      </c>
      <c r="L465" s="253">
        <v>40.85</v>
      </c>
      <c r="M465" s="253">
        <v>40.869999999999997</v>
      </c>
      <c r="N465" s="253">
        <v>40.6</v>
      </c>
      <c r="O465" s="253">
        <v>41</v>
      </c>
      <c r="P465" s="253">
        <v>40.94</v>
      </c>
      <c r="Q465" s="253">
        <v>41.01</v>
      </c>
      <c r="R465" s="253">
        <v>41.5</v>
      </c>
      <c r="S465" s="253">
        <v>41.26</v>
      </c>
      <c r="T465" s="253">
        <v>41.16</v>
      </c>
      <c r="U465" s="253">
        <v>41</v>
      </c>
      <c r="V465" s="253">
        <v>41.27</v>
      </c>
      <c r="W465" s="253">
        <v>41.27</v>
      </c>
      <c r="X465" s="253">
        <v>40.119999999999997</v>
      </c>
      <c r="Y465" s="253">
        <v>40.69</v>
      </c>
      <c r="Z465" s="247">
        <f ca="1">[1]ExtEntry!$J63</f>
        <v>40.71</v>
      </c>
      <c r="AB465" s="264">
        <v>-0.89000000000000057</v>
      </c>
      <c r="AC465" s="264">
        <v>0.19000000000000483</v>
      </c>
      <c r="AD465" s="264">
        <v>0.89999999999999858</v>
      </c>
      <c r="AE465" s="264">
        <v>-0.43000000000000682</v>
      </c>
      <c r="AF465" s="264">
        <v>-0.24999999999999289</v>
      </c>
      <c r="AG465" s="264">
        <v>0.13000000000000256</v>
      </c>
      <c r="AH465" s="264">
        <v>0.15999999999999659</v>
      </c>
      <c r="AI465" s="264">
        <v>-1.4499999999999957</v>
      </c>
      <c r="AJ465" s="264">
        <v>0.34000000000000341</v>
      </c>
      <c r="AK465" s="264">
        <v>0.32999999999999829</v>
      </c>
      <c r="AL465" s="264">
        <v>-8.00000000000054E-2</v>
      </c>
      <c r="AM465" s="264">
        <v>-0.3300000000000054</v>
      </c>
      <c r="AN465" s="264">
        <v>0.71999999999999886</v>
      </c>
      <c r="AO465" s="264">
        <v>-0.17999999999999972</v>
      </c>
      <c r="AP465" s="264">
        <v>-0.47999999999999687</v>
      </c>
      <c r="AQ465" s="264">
        <v>-0.27999999999999403</v>
      </c>
      <c r="AR465" s="264">
        <v>-0.37999999999999545</v>
      </c>
      <c r="AS465" s="264">
        <v>-0.89000000000000057</v>
      </c>
      <c r="AT465" s="264">
        <v>0.29999999999999716</v>
      </c>
      <c r="AU465" s="264">
        <v>7.9999999999991189E-2</v>
      </c>
      <c r="AV465" s="263">
        <f t="shared" ca="1" si="35"/>
        <v>0.17999999999999972</v>
      </c>
      <c r="AX465" s="88" t="str">
        <f t="shared" ca="1" si="36"/>
        <v>MVERWE</v>
      </c>
    </row>
    <row r="466" spans="1:50" hidden="1">
      <c r="A466" s="88" t="str">
        <f t="shared" ca="1" si="34"/>
        <v>MVESAP</v>
      </c>
      <c r="F466" s="253">
        <v>226.1</v>
      </c>
      <c r="G466" s="253">
        <v>228.6</v>
      </c>
      <c r="H466" s="253">
        <v>228.5</v>
      </c>
      <c r="I466" s="253">
        <v>233.6</v>
      </c>
      <c r="J466" s="253">
        <v>233</v>
      </c>
      <c r="K466" s="253">
        <v>236.4</v>
      </c>
      <c r="L466" s="253">
        <v>239.25</v>
      </c>
      <c r="M466" s="253">
        <v>239.35</v>
      </c>
      <c r="N466" s="253">
        <v>239.1</v>
      </c>
      <c r="O466" s="253">
        <v>233.75</v>
      </c>
      <c r="P466" s="253">
        <v>232.7</v>
      </c>
      <c r="Q466" s="253">
        <v>234.65</v>
      </c>
      <c r="R466" s="253">
        <v>237.1</v>
      </c>
      <c r="S466" s="253">
        <v>232</v>
      </c>
      <c r="T466" s="253">
        <v>239.6</v>
      </c>
      <c r="U466" s="253">
        <v>241.25</v>
      </c>
      <c r="V466" s="253">
        <v>241.25</v>
      </c>
      <c r="W466" s="253">
        <v>241.25</v>
      </c>
      <c r="X466" s="253">
        <v>244.3</v>
      </c>
      <c r="Y466" s="253">
        <v>241.3</v>
      </c>
      <c r="Z466" s="247">
        <f ca="1">[1]ExtEntry!$J64</f>
        <v>241.3</v>
      </c>
      <c r="AB466" s="267">
        <v>320.80000000000291</v>
      </c>
      <c r="AC466" s="267">
        <v>922.30000000000291</v>
      </c>
      <c r="AD466" s="267">
        <v>220.55000000000291</v>
      </c>
      <c r="AE466" s="267">
        <v>3268.1499999999942</v>
      </c>
      <c r="AF466" s="267">
        <v>-842.10000000000582</v>
      </c>
      <c r="AG466" s="267">
        <v>421.05000000000291</v>
      </c>
      <c r="AH466" s="267">
        <v>-461.15000000000873</v>
      </c>
      <c r="AI466" s="267">
        <v>-1583.9499999999971</v>
      </c>
      <c r="AJ466" s="267">
        <v>-2125.3000000000029</v>
      </c>
      <c r="AK466" s="267">
        <v>842.10000000000582</v>
      </c>
      <c r="AL466" s="267">
        <v>280.69999999999709</v>
      </c>
      <c r="AM466" s="267">
        <v>260.64999999999418</v>
      </c>
      <c r="AN466" s="267">
        <v>1283.1999999999971</v>
      </c>
      <c r="AO466" s="267">
        <v>1002.5</v>
      </c>
      <c r="AP466" s="267">
        <v>2085.1999999999825</v>
      </c>
      <c r="AQ466" s="267">
        <v>200.5</v>
      </c>
      <c r="AR466" s="267">
        <v>-2686.7000000000116</v>
      </c>
      <c r="AS466" s="267">
        <v>-2526.3000000000175</v>
      </c>
      <c r="AT466" s="267">
        <v>360.89999999999418</v>
      </c>
      <c r="AU466" s="267">
        <v>-5092.6999999999971</v>
      </c>
      <c r="AV466" s="263">
        <f t="shared" ca="1" si="35"/>
        <v>-5092.6999999999971</v>
      </c>
      <c r="AX466" s="88" t="str">
        <f t="shared" ca="1" si="36"/>
        <v>MVESAP</v>
      </c>
    </row>
    <row r="467" spans="1:50" hidden="1">
      <c r="A467" s="88" t="str">
        <f t="shared" ca="1" si="34"/>
        <v>MVEUN0</v>
      </c>
      <c r="F467" s="253">
        <v>34.950000000000003</v>
      </c>
      <c r="G467" s="253">
        <v>34.5</v>
      </c>
      <c r="H467" s="253">
        <v>34.4</v>
      </c>
      <c r="I467" s="253">
        <v>34.15</v>
      </c>
      <c r="J467" s="253">
        <v>34.4</v>
      </c>
      <c r="K467" s="253">
        <v>33.450000000000003</v>
      </c>
      <c r="L467" s="253">
        <v>33.15</v>
      </c>
      <c r="M467" s="253">
        <v>33</v>
      </c>
      <c r="N467" s="253">
        <v>32.25</v>
      </c>
      <c r="O467" s="253">
        <v>33.15</v>
      </c>
      <c r="P467" s="253">
        <v>32</v>
      </c>
      <c r="Q467" s="253">
        <v>31.85</v>
      </c>
      <c r="R467" s="253">
        <v>31.75</v>
      </c>
      <c r="S467" s="253">
        <v>31.85</v>
      </c>
      <c r="T467" s="253">
        <v>33</v>
      </c>
      <c r="U467" s="253">
        <v>32.1</v>
      </c>
      <c r="V467" s="253">
        <v>32.450000000000003</v>
      </c>
      <c r="W467" s="253">
        <v>32.450000000000003</v>
      </c>
      <c r="X467" s="253">
        <v>31.3</v>
      </c>
      <c r="Y467" s="253">
        <v>31.2</v>
      </c>
      <c r="Z467" s="247">
        <f ca="1">[1]ExtEntry!$J65</f>
        <v>31.2</v>
      </c>
      <c r="AB467" s="264">
        <v>196</v>
      </c>
      <c r="AC467" s="264">
        <v>560</v>
      </c>
      <c r="AD467" s="264">
        <v>-84</v>
      </c>
      <c r="AE467" s="264">
        <v>-280</v>
      </c>
      <c r="AF467" s="264">
        <v>28</v>
      </c>
      <c r="AG467" s="264">
        <v>-896</v>
      </c>
      <c r="AH467" s="264">
        <v>504</v>
      </c>
      <c r="AI467" s="264">
        <v>392</v>
      </c>
      <c r="AJ467" s="264">
        <v>196</v>
      </c>
      <c r="AK467" s="264">
        <v>-336</v>
      </c>
      <c r="AL467" s="264">
        <v>364</v>
      </c>
      <c r="AM467" s="264">
        <v>-532</v>
      </c>
      <c r="AN467" s="264">
        <v>-308</v>
      </c>
      <c r="AO467" s="264">
        <v>112</v>
      </c>
      <c r="AP467" s="264">
        <v>896</v>
      </c>
      <c r="AQ467" s="264">
        <v>28</v>
      </c>
      <c r="AR467" s="264">
        <v>196</v>
      </c>
      <c r="AS467" s="264">
        <v>84</v>
      </c>
      <c r="AT467" s="264">
        <v>-308</v>
      </c>
      <c r="AU467" s="264">
        <v>-1008</v>
      </c>
      <c r="AV467" s="263">
        <f t="shared" ca="1" si="35"/>
        <v>-1008</v>
      </c>
      <c r="AX467" s="88" t="str">
        <f t="shared" ca="1" si="36"/>
        <v>MVEUN0</v>
      </c>
    </row>
    <row r="468" spans="1:50" hidden="1">
      <c r="A468" s="88" t="str">
        <f t="shared" ca="1" si="34"/>
        <v>SAFAAPL</v>
      </c>
      <c r="F468" s="253">
        <v>254.87</v>
      </c>
      <c r="G468" s="253">
        <v>255.91900000000001</v>
      </c>
      <c r="H468" s="253">
        <v>258.79000000000002</v>
      </c>
      <c r="I468" s="253">
        <v>258.18</v>
      </c>
      <c r="J468" s="253">
        <v>259.24</v>
      </c>
      <c r="K468" s="253">
        <v>257.39999999999998</v>
      </c>
      <c r="L468" s="253">
        <v>258.52</v>
      </c>
      <c r="M468" s="253">
        <v>258</v>
      </c>
      <c r="N468" s="253">
        <v>258</v>
      </c>
      <c r="O468" s="253">
        <v>249.6893</v>
      </c>
      <c r="P468" s="253">
        <v>248.845</v>
      </c>
      <c r="Q468" s="253">
        <v>251.82</v>
      </c>
      <c r="R468" s="253">
        <v>249.04</v>
      </c>
      <c r="S468" s="253">
        <v>253.38</v>
      </c>
      <c r="T468" s="253">
        <v>264.375</v>
      </c>
      <c r="U468" s="253">
        <v>265.29000000000002</v>
      </c>
      <c r="V468" s="253">
        <v>262.85000000000002</v>
      </c>
      <c r="W468" s="253">
        <v>262.85000000000002</v>
      </c>
      <c r="X468" s="253">
        <v>260.62</v>
      </c>
      <c r="Y468" s="253">
        <v>264.13</v>
      </c>
      <c r="Z468" s="247">
        <f ca="1">[1]ExtEntry!$J66</f>
        <v>264.13</v>
      </c>
      <c r="AB468" s="267">
        <v>-3526.6499999999942</v>
      </c>
      <c r="AC468" s="267">
        <v>642.5</v>
      </c>
      <c r="AD468" s="267">
        <v>1660</v>
      </c>
      <c r="AE468" s="267">
        <v>-1555</v>
      </c>
      <c r="AF468" s="267">
        <v>867.49999999998545</v>
      </c>
      <c r="AG468" s="267">
        <v>478.69999999999709</v>
      </c>
      <c r="AH468" s="267">
        <v>651.5</v>
      </c>
      <c r="AI468" s="267">
        <v>-1522.75</v>
      </c>
      <c r="AJ468" s="267">
        <v>-1595.25</v>
      </c>
      <c r="AK468" s="267">
        <v>-2307.4999999999854</v>
      </c>
      <c r="AL468" s="267">
        <v>533.75</v>
      </c>
      <c r="AM468" s="267">
        <v>-532</v>
      </c>
      <c r="AN468" s="267">
        <v>1037.75</v>
      </c>
      <c r="AO468" s="267">
        <v>2812.25</v>
      </c>
      <c r="AP468" s="267">
        <v>2854.25</v>
      </c>
      <c r="AQ468" s="267">
        <v>-108.5</v>
      </c>
      <c r="AR468" s="267">
        <v>-1476.9999999999854</v>
      </c>
      <c r="AS468" s="267">
        <v>-1189.9999999999854</v>
      </c>
      <c r="AT468" s="267">
        <v>-1620.5</v>
      </c>
      <c r="AU468" s="267">
        <v>-1653.75</v>
      </c>
      <c r="AV468" s="263">
        <f t="shared" ca="1" si="35"/>
        <v>-1653.75</v>
      </c>
      <c r="AX468" s="88" t="str">
        <f t="shared" ca="1" si="36"/>
        <v>SAFAAPL</v>
      </c>
    </row>
    <row r="469" spans="1:50" hidden="1">
      <c r="A469" s="88" t="str">
        <f t="shared" ca="1" si="34"/>
        <v>SAFAMZN</v>
      </c>
      <c r="F469" s="253">
        <v>222.09</v>
      </c>
      <c r="G469" s="253">
        <v>222.24</v>
      </c>
      <c r="H469" s="253">
        <v>222.15</v>
      </c>
      <c r="I469" s="253">
        <v>222.81</v>
      </c>
      <c r="J469" s="253">
        <v>224.2</v>
      </c>
      <c r="K469" s="253">
        <v>222.89</v>
      </c>
      <c r="L469" s="253">
        <v>226.73</v>
      </c>
      <c r="M469" s="253">
        <v>228.21</v>
      </c>
      <c r="N469" s="253">
        <v>228.21</v>
      </c>
      <c r="O469" s="253">
        <v>220.67</v>
      </c>
      <c r="P469" s="253">
        <v>219.32</v>
      </c>
      <c r="Q469" s="253">
        <v>217.71</v>
      </c>
      <c r="R469" s="253">
        <v>218.59</v>
      </c>
      <c r="S469" s="253">
        <v>214.8</v>
      </c>
      <c r="T469" s="253">
        <v>216.69</v>
      </c>
      <c r="U469" s="253">
        <v>223.32</v>
      </c>
      <c r="V469" s="253">
        <v>220.005</v>
      </c>
      <c r="W469" s="253">
        <v>220.005</v>
      </c>
      <c r="X469" s="253">
        <v>221.3</v>
      </c>
      <c r="Y469" s="253">
        <v>225.4</v>
      </c>
      <c r="Z469" s="247">
        <f ca="1">[1]ExtEntry!$J67</f>
        <v>225.4</v>
      </c>
      <c r="AB469" s="264">
        <v>6140</v>
      </c>
      <c r="AC469" s="264">
        <v>9000</v>
      </c>
      <c r="AD469" s="264">
        <v>14420</v>
      </c>
      <c r="AE469" s="264">
        <v>6620</v>
      </c>
      <c r="AF469" s="264">
        <v>-9420</v>
      </c>
      <c r="AG469" s="264">
        <v>-380</v>
      </c>
      <c r="AH469" s="264">
        <v>9520</v>
      </c>
      <c r="AI469" s="264">
        <v>-1050</v>
      </c>
      <c r="AJ469" s="264">
        <v>2690</v>
      </c>
      <c r="AK469" s="264">
        <v>13000</v>
      </c>
      <c r="AL469" s="264">
        <v>-20</v>
      </c>
      <c r="AM469" s="264">
        <v>-6900</v>
      </c>
      <c r="AN469" s="264">
        <v>-7890</v>
      </c>
      <c r="AO469" s="264">
        <v>-8530</v>
      </c>
      <c r="AP469" s="264">
        <v>60</v>
      </c>
      <c r="AQ469" s="264">
        <v>3620</v>
      </c>
      <c r="AR469" s="264">
        <v>275</v>
      </c>
      <c r="AS469" s="264">
        <v>375</v>
      </c>
      <c r="AT469" s="264">
        <v>6175</v>
      </c>
      <c r="AU469" s="264">
        <v>-1840</v>
      </c>
      <c r="AV469" s="263">
        <f t="shared" ca="1" si="35"/>
        <v>-1840</v>
      </c>
      <c r="AX469" s="88" t="str">
        <f t="shared" ca="1" si="36"/>
        <v>SAFAMZN</v>
      </c>
    </row>
    <row r="470" spans="1:50" hidden="1">
      <c r="A470" s="88" t="str">
        <f t="shared" ref="A470:A497" ca="1" si="37">A70</f>
        <v>SAFASML</v>
      </c>
      <c r="F470" s="253">
        <v>828.3</v>
      </c>
      <c r="G470" s="253">
        <v>975.64</v>
      </c>
      <c r="H470" s="253">
        <v>1005.36</v>
      </c>
      <c r="I470" s="253">
        <v>1040.23</v>
      </c>
      <c r="J470" s="253">
        <v>1039.8498999999999</v>
      </c>
      <c r="K470" s="253">
        <v>896</v>
      </c>
      <c r="L470" s="253">
        <v>863.9</v>
      </c>
      <c r="M470" s="253">
        <v>864.6</v>
      </c>
      <c r="N470" s="253">
        <v>847.6</v>
      </c>
      <c r="O470" s="253">
        <v>844.4</v>
      </c>
      <c r="P470" s="253">
        <v>847.9</v>
      </c>
      <c r="Q470" s="253">
        <v>893.5</v>
      </c>
      <c r="R470" s="253">
        <v>900.5</v>
      </c>
      <c r="S470" s="253">
        <v>885.9</v>
      </c>
      <c r="T470" s="253">
        <v>901.5</v>
      </c>
      <c r="U470" s="253">
        <v>894.4</v>
      </c>
      <c r="V470" s="253">
        <v>892.4</v>
      </c>
      <c r="W470" s="253">
        <v>892.4</v>
      </c>
      <c r="X470" s="253">
        <v>891.2</v>
      </c>
      <c r="Y470" s="253">
        <v>902.6</v>
      </c>
      <c r="Z470" s="247">
        <f ca="1">[1]ExtEntry!$J68</f>
        <v>902.6</v>
      </c>
      <c r="AB470" s="267">
        <v>1510</v>
      </c>
      <c r="AC470" s="267">
        <v>-2902.25</v>
      </c>
      <c r="AD470" s="267">
        <v>11576.25</v>
      </c>
      <c r="AE470" s="267">
        <v>-2909.4999999999709</v>
      </c>
      <c r="AF470" s="267">
        <v>-811</v>
      </c>
      <c r="AG470" s="267">
        <v>-4925</v>
      </c>
      <c r="AH470" s="267">
        <v>436.25</v>
      </c>
      <c r="AI470" s="267">
        <v>-9666.25</v>
      </c>
      <c r="AJ470" s="267">
        <v>1507.4999999999709</v>
      </c>
      <c r="AK470" s="267">
        <v>4895</v>
      </c>
      <c r="AL470" s="267">
        <v>6750</v>
      </c>
      <c r="AM470" s="267">
        <v>-1100</v>
      </c>
      <c r="AN470" s="267">
        <v>-1325</v>
      </c>
      <c r="AO470" s="267">
        <v>4725</v>
      </c>
      <c r="AP470" s="267">
        <v>-1450</v>
      </c>
      <c r="AQ470" s="267">
        <v>-3025</v>
      </c>
      <c r="AR470" s="267">
        <v>-1000</v>
      </c>
      <c r="AS470" s="267">
        <v>-75</v>
      </c>
      <c r="AT470" s="267">
        <v>-100</v>
      </c>
      <c r="AU470" s="267">
        <v>-5150</v>
      </c>
      <c r="AV470" s="263">
        <f t="shared" ref="AV470:AV498" ca="1" si="38">AV370-AP370</f>
        <v>-5150</v>
      </c>
      <c r="AX470" s="88" t="str">
        <f t="shared" ref="AX470:AX497" ca="1" si="39">A70</f>
        <v>SAFASML</v>
      </c>
    </row>
    <row r="471" spans="1:50" hidden="1">
      <c r="A471" s="88" t="str">
        <f t="shared" ca="1" si="37"/>
        <v>SAFDDD</v>
      </c>
      <c r="F471" s="253">
        <v>3.3849999999999998</v>
      </c>
      <c r="G471" s="253">
        <v>2.97</v>
      </c>
      <c r="H471" s="253">
        <v>2.95</v>
      </c>
      <c r="I471" s="253">
        <v>3.14</v>
      </c>
      <c r="J471" s="253">
        <v>3.29</v>
      </c>
      <c r="K471" s="253">
        <v>3.54</v>
      </c>
      <c r="L471" s="253">
        <v>3.3815</v>
      </c>
      <c r="M471" s="253">
        <v>3.48</v>
      </c>
      <c r="N471" s="253">
        <v>3.48</v>
      </c>
      <c r="O471" s="253">
        <v>3.12</v>
      </c>
      <c r="P471" s="253">
        <v>3.17</v>
      </c>
      <c r="Q471" s="253">
        <v>3.28</v>
      </c>
      <c r="R471" s="253">
        <v>3.5497000000000001</v>
      </c>
      <c r="S471" s="253">
        <v>3.32</v>
      </c>
      <c r="T471" s="253">
        <v>3.8</v>
      </c>
      <c r="U471" s="253">
        <v>3.75</v>
      </c>
      <c r="V471" s="253">
        <v>3.43</v>
      </c>
      <c r="W471" s="253">
        <v>3.43</v>
      </c>
      <c r="X471" s="253">
        <v>3.21</v>
      </c>
      <c r="Y471" s="253">
        <v>3.29</v>
      </c>
      <c r="Z471" s="247">
        <f ca="1">[1]ExtEntry!$J69</f>
        <v>3.29</v>
      </c>
      <c r="AB471" s="264">
        <v>-35695</v>
      </c>
      <c r="AC471" s="264">
        <v>-32065</v>
      </c>
      <c r="AD471" s="264">
        <v>-5445</v>
      </c>
      <c r="AE471" s="264">
        <v>0</v>
      </c>
      <c r="AF471" s="264">
        <v>-13915</v>
      </c>
      <c r="AG471" s="264">
        <v>32450</v>
      </c>
      <c r="AH471" s="264">
        <v>13200</v>
      </c>
      <c r="AI471" s="264">
        <v>-7975</v>
      </c>
      <c r="AJ471" s="264">
        <v>-17655</v>
      </c>
      <c r="AK471" s="264">
        <v>-2310</v>
      </c>
      <c r="AL471" s="264">
        <v>19250</v>
      </c>
      <c r="AM471" s="264">
        <v>-2750</v>
      </c>
      <c r="AN471" s="264">
        <v>5500</v>
      </c>
      <c r="AO471" s="264">
        <v>3300</v>
      </c>
      <c r="AP471" s="264">
        <v>48950</v>
      </c>
      <c r="AQ471" s="264">
        <v>-47300</v>
      </c>
      <c r="AR471" s="264">
        <v>-44550</v>
      </c>
      <c r="AS471" s="264">
        <v>-34650</v>
      </c>
      <c r="AT471" s="264">
        <v>7150</v>
      </c>
      <c r="AU471" s="264">
        <v>-66000</v>
      </c>
      <c r="AV471" s="263">
        <f t="shared" ca="1" si="38"/>
        <v>-65450</v>
      </c>
      <c r="AX471" s="88" t="str">
        <f t="shared" ca="1" si="39"/>
        <v>SAFDDD</v>
      </c>
    </row>
    <row r="472" spans="1:50" hidden="1">
      <c r="A472" s="88" t="str">
        <f t="shared" ca="1" si="37"/>
        <v>SAFDIS</v>
      </c>
      <c r="F472" s="253">
        <v>114.8</v>
      </c>
      <c r="G472" s="253">
        <v>114.88</v>
      </c>
      <c r="H472" s="253">
        <v>116.059</v>
      </c>
      <c r="I472" s="253">
        <v>113.17</v>
      </c>
      <c r="J472" s="253">
        <v>113.57</v>
      </c>
      <c r="K472" s="253">
        <v>113.4</v>
      </c>
      <c r="L472" s="253">
        <v>113.2</v>
      </c>
      <c r="M472" s="253">
        <v>113</v>
      </c>
      <c r="N472" s="253">
        <v>113</v>
      </c>
      <c r="O472" s="253">
        <v>110.96</v>
      </c>
      <c r="P472" s="253">
        <v>111.84</v>
      </c>
      <c r="Q472" s="253">
        <v>112.675</v>
      </c>
      <c r="R472" s="253">
        <v>112.08499999999999</v>
      </c>
      <c r="S472" s="253">
        <v>111.46</v>
      </c>
      <c r="T472" s="253">
        <v>112.25</v>
      </c>
      <c r="U472" s="253">
        <v>114.5395</v>
      </c>
      <c r="V472" s="253">
        <v>114.28</v>
      </c>
      <c r="W472" s="253">
        <v>114.28</v>
      </c>
      <c r="X472" s="253">
        <v>113.83</v>
      </c>
      <c r="Y472" s="253">
        <v>113.65</v>
      </c>
      <c r="Z472" s="247">
        <f ca="1">[1]ExtEntry!$J70</f>
        <v>113.65</v>
      </c>
      <c r="AB472" s="267">
        <v>341.90099999998347</v>
      </c>
      <c r="AC472" s="267">
        <v>335</v>
      </c>
      <c r="AD472" s="267">
        <v>-1443.8500000000058</v>
      </c>
      <c r="AE472" s="267">
        <v>-753.75</v>
      </c>
      <c r="AF472" s="267">
        <v>-53.599999999991269</v>
      </c>
      <c r="AG472" s="267">
        <v>-618.04999999998836</v>
      </c>
      <c r="AH472" s="267">
        <v>-1064.5</v>
      </c>
      <c r="AI472" s="267">
        <v>-228.84999999999127</v>
      </c>
      <c r="AJ472" s="267">
        <v>-449.94999999999709</v>
      </c>
      <c r="AK472" s="267">
        <v>-148.85000000000582</v>
      </c>
      <c r="AL472" s="267">
        <v>1746</v>
      </c>
      <c r="AM472" s="267">
        <v>1644</v>
      </c>
      <c r="AN472" s="267">
        <v>-1278</v>
      </c>
      <c r="AO472" s="267">
        <v>2112</v>
      </c>
      <c r="AP472" s="267">
        <v>984</v>
      </c>
      <c r="AQ472" s="267">
        <v>798</v>
      </c>
      <c r="AR472" s="267">
        <v>-1626</v>
      </c>
      <c r="AS472" s="267">
        <v>1194</v>
      </c>
      <c r="AT472" s="267">
        <v>-1296</v>
      </c>
      <c r="AU472" s="267">
        <v>-3012</v>
      </c>
      <c r="AV472" s="263">
        <f t="shared" ca="1" si="38"/>
        <v>-3000</v>
      </c>
      <c r="AX472" s="88" t="str">
        <f t="shared" ca="1" si="39"/>
        <v>SAFDIS</v>
      </c>
    </row>
    <row r="473" spans="1:50" hidden="1">
      <c r="A473" s="88" t="str">
        <f t="shared" ca="1" si="37"/>
        <v>SAFGM</v>
      </c>
      <c r="F473" s="253">
        <v>62.11</v>
      </c>
      <c r="G473" s="253">
        <v>62.06</v>
      </c>
      <c r="H473" s="253">
        <v>61.585000000000001</v>
      </c>
      <c r="I473" s="253">
        <v>61.5</v>
      </c>
      <c r="J473" s="253">
        <v>60.61</v>
      </c>
      <c r="K473" s="253">
        <v>58.66</v>
      </c>
      <c r="L473" s="253">
        <v>57.7</v>
      </c>
      <c r="M473" s="253">
        <v>56.865000000000002</v>
      </c>
      <c r="N473" s="253">
        <v>56.865000000000002</v>
      </c>
      <c r="O473" s="253">
        <v>56.2</v>
      </c>
      <c r="P473" s="253">
        <v>57.25</v>
      </c>
      <c r="Q473" s="253">
        <v>58.25</v>
      </c>
      <c r="R473" s="253">
        <v>58.4</v>
      </c>
      <c r="S473" s="253">
        <v>59.17</v>
      </c>
      <c r="T473" s="253">
        <v>58.555</v>
      </c>
      <c r="U473" s="253">
        <v>67.55</v>
      </c>
      <c r="V473" s="253">
        <v>67.584999999999994</v>
      </c>
      <c r="W473" s="253">
        <v>67.584999999999994</v>
      </c>
      <c r="X473" s="253">
        <v>68.48</v>
      </c>
      <c r="Y473" s="253">
        <v>69.7</v>
      </c>
      <c r="Z473" s="247">
        <f ca="1">[1]ExtEntry!$J71</f>
        <v>69.7</v>
      </c>
      <c r="AB473" s="264">
        <v>0</v>
      </c>
      <c r="AC473" s="264">
        <v>0</v>
      </c>
      <c r="AD473" s="264">
        <v>0</v>
      </c>
      <c r="AE473" s="264">
        <v>0</v>
      </c>
      <c r="AF473" s="264">
        <v>0</v>
      </c>
      <c r="AG473" s="264">
        <v>0</v>
      </c>
      <c r="AH473" s="264">
        <v>0</v>
      </c>
      <c r="AI473" s="264">
        <v>0</v>
      </c>
      <c r="AJ473" s="264">
        <v>0</v>
      </c>
      <c r="AK473" s="264">
        <v>0</v>
      </c>
      <c r="AL473" s="264">
        <v>0</v>
      </c>
      <c r="AM473" s="264">
        <v>0</v>
      </c>
      <c r="AN473" s="264">
        <v>0</v>
      </c>
      <c r="AO473" s="264">
        <v>0</v>
      </c>
      <c r="AP473" s="264">
        <v>0</v>
      </c>
      <c r="AQ473" s="264">
        <v>0</v>
      </c>
      <c r="AR473" s="264">
        <v>0</v>
      </c>
      <c r="AS473" s="264">
        <v>0</v>
      </c>
      <c r="AT473" s="264">
        <v>0</v>
      </c>
      <c r="AU473" s="264">
        <v>0</v>
      </c>
      <c r="AV473" s="263">
        <f t="shared" ca="1" si="38"/>
        <v>0</v>
      </c>
      <c r="AX473" s="88" t="str">
        <f t="shared" ca="1" si="39"/>
        <v>SAFGM</v>
      </c>
    </row>
    <row r="474" spans="1:50" hidden="1">
      <c r="A474" s="88" t="str">
        <f t="shared" ca="1" si="37"/>
        <v>SAFIAG</v>
      </c>
      <c r="F474" s="253">
        <v>386.2</v>
      </c>
      <c r="G474" s="253">
        <v>387.9</v>
      </c>
      <c r="H474" s="253">
        <v>384.9</v>
      </c>
      <c r="I474" s="253">
        <v>386.6</v>
      </c>
      <c r="J474" s="253">
        <v>389.3</v>
      </c>
      <c r="K474" s="253">
        <v>391.3</v>
      </c>
      <c r="L474" s="253">
        <v>405</v>
      </c>
      <c r="M474" s="253">
        <v>416</v>
      </c>
      <c r="N474" s="253">
        <v>413.9</v>
      </c>
      <c r="O474" s="253">
        <v>411.3</v>
      </c>
      <c r="P474" s="253">
        <v>408.6</v>
      </c>
      <c r="Q474" s="253">
        <v>414.8</v>
      </c>
      <c r="R474" s="253">
        <v>411.9</v>
      </c>
      <c r="S474" s="253">
        <v>402</v>
      </c>
      <c r="T474" s="253">
        <v>398.4</v>
      </c>
      <c r="U474" s="253">
        <v>398.1</v>
      </c>
      <c r="V474" s="253">
        <v>404.8</v>
      </c>
      <c r="W474" s="253">
        <v>404.8</v>
      </c>
      <c r="X474" s="253">
        <v>406.2</v>
      </c>
      <c r="Y474" s="253">
        <v>410</v>
      </c>
      <c r="Z474" s="247">
        <f ca="1">[1]ExtEntry!$J72</f>
        <v>410</v>
      </c>
      <c r="AB474" s="267">
        <v>0</v>
      </c>
      <c r="AC474" s="267">
        <v>0</v>
      </c>
      <c r="AD474" s="267">
        <v>0</v>
      </c>
      <c r="AE474" s="267">
        <v>0</v>
      </c>
      <c r="AF474" s="267">
        <v>0</v>
      </c>
      <c r="AG474" s="267">
        <v>0</v>
      </c>
      <c r="AH474" s="267">
        <v>0</v>
      </c>
      <c r="AI474" s="267">
        <v>0</v>
      </c>
      <c r="AJ474" s="267">
        <v>0</v>
      </c>
      <c r="AK474" s="267">
        <v>0</v>
      </c>
      <c r="AL474" s="267">
        <v>0</v>
      </c>
      <c r="AM474" s="267">
        <v>0</v>
      </c>
      <c r="AN474" s="267">
        <v>0</v>
      </c>
      <c r="AO474" s="267">
        <v>0</v>
      </c>
      <c r="AP474" s="267">
        <v>0</v>
      </c>
      <c r="AQ474" s="267">
        <v>0</v>
      </c>
      <c r="AR474" s="267">
        <v>0</v>
      </c>
      <c r="AS474" s="267">
        <v>0</v>
      </c>
      <c r="AT474" s="267">
        <v>0</v>
      </c>
      <c r="AU474" s="267">
        <v>0</v>
      </c>
      <c r="AV474" s="263">
        <f t="shared" ca="1" si="38"/>
        <v>0</v>
      </c>
      <c r="AX474" s="88" t="str">
        <f t="shared" ca="1" si="39"/>
        <v>SAFIAG</v>
      </c>
    </row>
    <row r="475" spans="1:50" hidden="1">
      <c r="A475" s="88" t="str">
        <f t="shared" ca="1" si="37"/>
        <v>SAFMRNA</v>
      </c>
      <c r="F475" s="253">
        <v>25.155000000000001</v>
      </c>
      <c r="G475" s="253">
        <v>26.01</v>
      </c>
      <c r="H475" s="253">
        <v>28.35</v>
      </c>
      <c r="I475" s="253">
        <v>28.41</v>
      </c>
      <c r="J475" s="253">
        <v>28.99</v>
      </c>
      <c r="K475" s="253">
        <v>27.759399999999999</v>
      </c>
      <c r="L475" s="253">
        <v>29.45</v>
      </c>
      <c r="M475" s="253">
        <v>28.3</v>
      </c>
      <c r="N475" s="253">
        <v>28.3</v>
      </c>
      <c r="O475" s="253">
        <v>28.06</v>
      </c>
      <c r="P475" s="253">
        <v>26.69</v>
      </c>
      <c r="Q475" s="253">
        <v>27.952000000000002</v>
      </c>
      <c r="R475" s="253">
        <v>28.48</v>
      </c>
      <c r="S475" s="253">
        <v>26.94</v>
      </c>
      <c r="T475" s="253">
        <v>28.12</v>
      </c>
      <c r="U475" s="253">
        <v>27.59</v>
      </c>
      <c r="V475" s="253">
        <v>27.35</v>
      </c>
      <c r="W475" s="253">
        <v>27.35</v>
      </c>
      <c r="X475" s="253">
        <v>26.67</v>
      </c>
      <c r="Y475" s="253">
        <v>26.91</v>
      </c>
      <c r="Z475" s="247">
        <f ca="1">[1]ExtEntry!$J73</f>
        <v>26.91</v>
      </c>
      <c r="AB475" s="264">
        <v>-8432</v>
      </c>
      <c r="AC475" s="264">
        <v>8299.9999999999854</v>
      </c>
      <c r="AD475" s="264">
        <v>7100</v>
      </c>
      <c r="AE475" s="264">
        <v>7100</v>
      </c>
      <c r="AF475" s="264">
        <v>-749.9999999999709</v>
      </c>
      <c r="AG475" s="264">
        <v>-2818</v>
      </c>
      <c r="AH475" s="264">
        <v>-899.99999999998545</v>
      </c>
      <c r="AI475" s="264">
        <v>-10250</v>
      </c>
      <c r="AJ475" s="264">
        <v>-4600</v>
      </c>
      <c r="AK475" s="264">
        <v>-1650</v>
      </c>
      <c r="AL475" s="264">
        <v>1025</v>
      </c>
      <c r="AM475" s="264">
        <v>3175</v>
      </c>
      <c r="AN475" s="264">
        <v>-675</v>
      </c>
      <c r="AO475" s="264">
        <v>800.00000000001455</v>
      </c>
      <c r="AP475" s="264">
        <v>6650</v>
      </c>
      <c r="AQ475" s="264">
        <v>1550</v>
      </c>
      <c r="AR475" s="264">
        <v>-7725</v>
      </c>
      <c r="AS475" s="264">
        <v>1725</v>
      </c>
      <c r="AT475" s="264">
        <v>4199.9999999999854</v>
      </c>
      <c r="AU475" s="264">
        <v>-3050</v>
      </c>
      <c r="AV475" s="263">
        <f t="shared" ca="1" si="38"/>
        <v>-3050</v>
      </c>
      <c r="AX475" s="88" t="str">
        <f t="shared" ca="1" si="39"/>
        <v>SAFMRNA</v>
      </c>
    </row>
    <row r="476" spans="1:50" hidden="1">
      <c r="A476" s="88" t="str">
        <f t="shared" ca="1" si="37"/>
        <v>BLNK</v>
      </c>
      <c r="F476" s="253">
        <v>1.82</v>
      </c>
      <c r="G476" s="253">
        <v>1.78</v>
      </c>
      <c r="H476" s="253">
        <v>1.84</v>
      </c>
      <c r="I476" s="253">
        <v>1.85</v>
      </c>
      <c r="J476" s="253">
        <v>2.17</v>
      </c>
      <c r="K476" s="253">
        <v>2.6499000000000001</v>
      </c>
      <c r="L476" s="253">
        <v>2.63</v>
      </c>
      <c r="M476" s="253">
        <v>2.38</v>
      </c>
      <c r="N476" s="253">
        <v>2.38</v>
      </c>
      <c r="O476" s="253">
        <v>2.2599999999999998</v>
      </c>
      <c r="P476" s="253">
        <v>2.36</v>
      </c>
      <c r="Q476" s="253">
        <v>2.35</v>
      </c>
      <c r="R476" s="253">
        <v>2.1549999999999998</v>
      </c>
      <c r="S476" s="253">
        <v>1.885</v>
      </c>
      <c r="T476" s="253">
        <v>1.93</v>
      </c>
      <c r="U476" s="253">
        <v>1.865</v>
      </c>
      <c r="V476" s="253">
        <v>1.8</v>
      </c>
      <c r="W476" s="253">
        <v>1.8</v>
      </c>
      <c r="X476" s="253">
        <v>1.82</v>
      </c>
      <c r="Y476" s="253">
        <v>1.94</v>
      </c>
      <c r="Z476" s="247">
        <f ca="1">[1]ExtEntry!$J74</f>
        <v>1.94</v>
      </c>
      <c r="AB476" s="267">
        <v>22328</v>
      </c>
      <c r="AC476" s="267">
        <v>-6800.0000000000291</v>
      </c>
      <c r="AD476" s="267">
        <v>26960</v>
      </c>
      <c r="AE476" s="267">
        <v>-6600</v>
      </c>
      <c r="AF476" s="267">
        <v>29040</v>
      </c>
      <c r="AG476" s="267">
        <v>-52800</v>
      </c>
      <c r="AH476" s="267">
        <v>-1320</v>
      </c>
      <c r="AI476" s="267">
        <v>-36960</v>
      </c>
      <c r="AJ476" s="267">
        <v>-6600</v>
      </c>
      <c r="AK476" s="267">
        <v>-10560</v>
      </c>
      <c r="AL476" s="267">
        <v>46200</v>
      </c>
      <c r="AM476" s="267">
        <v>-3300</v>
      </c>
      <c r="AN476" s="267">
        <v>-13200</v>
      </c>
      <c r="AO476" s="267">
        <v>8400</v>
      </c>
      <c r="AP476" s="267">
        <v>-13080</v>
      </c>
      <c r="AQ476" s="267">
        <v>-26640</v>
      </c>
      <c r="AR476" s="267">
        <v>27420</v>
      </c>
      <c r="AS476" s="267">
        <v>36000</v>
      </c>
      <c r="AT476" s="267">
        <v>3600</v>
      </c>
      <c r="AU476" s="267">
        <v>13200</v>
      </c>
      <c r="AV476" s="263">
        <f t="shared" ca="1" si="38"/>
        <v>13200</v>
      </c>
      <c r="AX476" s="88" t="str">
        <f t="shared" ca="1" si="39"/>
        <v>BLNK</v>
      </c>
    </row>
    <row r="477" spans="1:50" hidden="1">
      <c r="A477" s="88" t="str">
        <f t="shared" ca="1" si="37"/>
        <v>ENI</v>
      </c>
      <c r="F477" s="253">
        <v>15.324</v>
      </c>
      <c r="G477" s="253">
        <v>15.034000000000001</v>
      </c>
      <c r="H477" s="253">
        <v>15.012</v>
      </c>
      <c r="I477" s="253">
        <v>14.98</v>
      </c>
      <c r="J477" s="253">
        <v>14.932</v>
      </c>
      <c r="K477" s="253">
        <v>15.238</v>
      </c>
      <c r="L477" s="253">
        <v>15.334</v>
      </c>
      <c r="M477" s="253">
        <v>15.534000000000001</v>
      </c>
      <c r="N477" s="253">
        <v>15.302</v>
      </c>
      <c r="O477" s="253">
        <v>15.055999999999999</v>
      </c>
      <c r="P477" s="253">
        <v>14.926</v>
      </c>
      <c r="Q477" s="253">
        <v>14.811999999999999</v>
      </c>
      <c r="R477" s="253">
        <v>14.846</v>
      </c>
      <c r="S477" s="253">
        <v>14.866</v>
      </c>
      <c r="T477" s="253">
        <v>15.002000000000001</v>
      </c>
      <c r="U477" s="253">
        <v>15.007999999999999</v>
      </c>
      <c r="V477" s="253">
        <v>15.166</v>
      </c>
      <c r="W477" s="253">
        <v>15.166</v>
      </c>
      <c r="X477" s="253">
        <v>15.63</v>
      </c>
      <c r="Y477" s="253">
        <v>16.032</v>
      </c>
      <c r="Z477" s="247">
        <f ca="1">[1]ExtEntry!$J75</f>
        <v>16.032</v>
      </c>
      <c r="AB477" s="264">
        <v>-4136</v>
      </c>
      <c r="AC477" s="264">
        <v>-8976</v>
      </c>
      <c r="AD477" s="264">
        <v>-3476</v>
      </c>
      <c r="AE477" s="264">
        <v>-880</v>
      </c>
      <c r="AF477" s="264">
        <v>-1980</v>
      </c>
      <c r="AG477" s="264">
        <v>4356</v>
      </c>
      <c r="AH477" s="264">
        <v>3388</v>
      </c>
      <c r="AI477" s="264">
        <v>-1496</v>
      </c>
      <c r="AJ477" s="264">
        <v>-1188</v>
      </c>
      <c r="AK477" s="264">
        <v>-1364</v>
      </c>
      <c r="AL477" s="264">
        <v>-5060</v>
      </c>
      <c r="AM477" s="264">
        <v>880</v>
      </c>
      <c r="AN477" s="264">
        <v>-1144</v>
      </c>
      <c r="AO477" s="264">
        <v>6864</v>
      </c>
      <c r="AP477" s="264">
        <v>1584</v>
      </c>
      <c r="AQ477" s="264">
        <v>4312</v>
      </c>
      <c r="AR477" s="264">
        <v>1100</v>
      </c>
      <c r="AS477" s="264">
        <v>1980</v>
      </c>
      <c r="AT477" s="264">
        <v>-616</v>
      </c>
      <c r="AU477" s="264">
        <v>-220</v>
      </c>
      <c r="AV477" s="263">
        <f t="shared" ca="1" si="38"/>
        <v>-220</v>
      </c>
      <c r="AX477" s="88" t="str">
        <f t="shared" ca="1" si="39"/>
        <v>ENI</v>
      </c>
    </row>
    <row r="478" spans="1:50" hidden="1">
      <c r="A478" s="88" t="str">
        <f t="shared" ca="1" si="37"/>
        <v>EZJ</v>
      </c>
      <c r="F478" s="253">
        <v>463.8</v>
      </c>
      <c r="G478" s="253">
        <v>465</v>
      </c>
      <c r="H478" s="253">
        <v>464.7</v>
      </c>
      <c r="I478" s="253">
        <v>466.4</v>
      </c>
      <c r="J478" s="253">
        <v>471.3</v>
      </c>
      <c r="K478" s="253">
        <v>471.6</v>
      </c>
      <c r="L478" s="253">
        <v>472.5</v>
      </c>
      <c r="M478" s="253">
        <v>477.6</v>
      </c>
      <c r="N478" s="253">
        <v>473.9</v>
      </c>
      <c r="O478" s="253">
        <v>467.6</v>
      </c>
      <c r="P478" s="253">
        <v>517.20000000000005</v>
      </c>
      <c r="Q478" s="253">
        <v>510</v>
      </c>
      <c r="R478" s="253">
        <v>490.7</v>
      </c>
      <c r="S478" s="253">
        <v>491.4</v>
      </c>
      <c r="T478" s="253">
        <v>491.3</v>
      </c>
      <c r="U478" s="253">
        <v>485.4</v>
      </c>
      <c r="V478" s="253">
        <v>497.2</v>
      </c>
      <c r="W478" s="253">
        <v>497.2</v>
      </c>
      <c r="X478" s="253">
        <v>490.4</v>
      </c>
      <c r="Y478" s="253">
        <v>486.5</v>
      </c>
      <c r="Z478" s="247">
        <f ca="1">[1]ExtEntry!$J76</f>
        <v>486.5</v>
      </c>
      <c r="AB478" s="267">
        <v>3920</v>
      </c>
      <c r="AC478" s="267">
        <v>-1680</v>
      </c>
      <c r="AD478" s="267">
        <v>2120</v>
      </c>
      <c r="AE478" s="267">
        <v>-1320</v>
      </c>
      <c r="AF478" s="267">
        <v>1240</v>
      </c>
      <c r="AG478" s="267">
        <v>-3280</v>
      </c>
      <c r="AH478" s="267">
        <v>1400</v>
      </c>
      <c r="AI478" s="267">
        <v>-480</v>
      </c>
      <c r="AJ478" s="267">
        <v>-589.28</v>
      </c>
      <c r="AK478" s="267">
        <v>-1960</v>
      </c>
      <c r="AL478" s="267">
        <v>-1880</v>
      </c>
      <c r="AM478" s="267">
        <v>-10160</v>
      </c>
      <c r="AN478" s="267">
        <v>3960</v>
      </c>
      <c r="AO478" s="267">
        <v>2469.2799999999997</v>
      </c>
      <c r="AP478" s="267">
        <v>-1680</v>
      </c>
      <c r="AQ478" s="267">
        <v>1400</v>
      </c>
      <c r="AR478" s="267">
        <v>10990</v>
      </c>
      <c r="AS478" s="267">
        <v>-330</v>
      </c>
      <c r="AT478" s="267">
        <v>-3910</v>
      </c>
      <c r="AU478" s="267">
        <v>2010</v>
      </c>
      <c r="AV478" s="263">
        <f t="shared" ca="1" si="38"/>
        <v>2010</v>
      </c>
      <c r="AX478" s="88" t="str">
        <f t="shared" ca="1" si="39"/>
        <v>EZJ</v>
      </c>
    </row>
    <row r="479" spans="1:50" hidden="1">
      <c r="A479" s="88" t="str">
        <f t="shared" ca="1" si="37"/>
        <v>F</v>
      </c>
      <c r="F479" s="253">
        <v>12.12</v>
      </c>
      <c r="G479" s="253">
        <v>12.2</v>
      </c>
      <c r="H479" s="253">
        <v>12.28</v>
      </c>
      <c r="I479" s="253">
        <v>12.43</v>
      </c>
      <c r="J479" s="253">
        <v>12.67</v>
      </c>
      <c r="K479" s="253">
        <v>12.53</v>
      </c>
      <c r="L479" s="253">
        <v>12.013999999999999</v>
      </c>
      <c r="M479" s="253">
        <v>11.77</v>
      </c>
      <c r="N479" s="253">
        <v>11.77</v>
      </c>
      <c r="O479" s="253">
        <v>11.63</v>
      </c>
      <c r="P479" s="253">
        <v>11.76</v>
      </c>
      <c r="Q479" s="253">
        <v>11.78</v>
      </c>
      <c r="R479" s="253">
        <v>11.79</v>
      </c>
      <c r="S479" s="253">
        <v>12.01</v>
      </c>
      <c r="T479" s="253">
        <v>12.08</v>
      </c>
      <c r="U479" s="253">
        <v>12.63</v>
      </c>
      <c r="V479" s="253">
        <v>12.595000000000001</v>
      </c>
      <c r="W479" s="253">
        <v>12.595000000000001</v>
      </c>
      <c r="X479" s="253">
        <v>12.49</v>
      </c>
      <c r="Y479" s="253">
        <v>13.97</v>
      </c>
      <c r="Z479" s="247">
        <f ca="1">[1]ExtEntry!$J77</f>
        <v>13.97</v>
      </c>
      <c r="AB479" s="264">
        <v>-576.90000000000146</v>
      </c>
      <c r="AC479" s="264">
        <v>-570</v>
      </c>
      <c r="AD479" s="264">
        <v>780</v>
      </c>
      <c r="AE479" s="264">
        <v>-360</v>
      </c>
      <c r="AF479" s="264">
        <v>150</v>
      </c>
      <c r="AG479" s="264">
        <v>-1253.0999999999985</v>
      </c>
      <c r="AH479" s="264">
        <v>-240</v>
      </c>
      <c r="AI479" s="264">
        <v>-1125</v>
      </c>
      <c r="AJ479" s="264">
        <v>-600</v>
      </c>
      <c r="AK479" s="264">
        <v>-1080</v>
      </c>
      <c r="AL479" s="264">
        <v>2520</v>
      </c>
      <c r="AM479" s="264">
        <v>930</v>
      </c>
      <c r="AN479" s="264">
        <v>690</v>
      </c>
      <c r="AO479" s="264">
        <v>1275</v>
      </c>
      <c r="AP479" s="264">
        <v>-165</v>
      </c>
      <c r="AQ479" s="264">
        <v>-795</v>
      </c>
      <c r="AR479" s="264">
        <v>-225</v>
      </c>
      <c r="AS479" s="264">
        <v>-15</v>
      </c>
      <c r="AT479" s="264">
        <v>-540</v>
      </c>
      <c r="AU479" s="264">
        <v>0</v>
      </c>
      <c r="AV479" s="263">
        <f t="shared" ca="1" si="38"/>
        <v>0</v>
      </c>
      <c r="AX479" s="88" t="str">
        <f t="shared" ca="1" si="39"/>
        <v>F</v>
      </c>
    </row>
    <row r="480" spans="1:50" hidden="1">
      <c r="A480" s="88" t="str">
        <f t="shared" ca="1" si="37"/>
        <v>GLE</v>
      </c>
      <c r="F480" s="253">
        <v>57.36</v>
      </c>
      <c r="G480" s="253">
        <v>56.82</v>
      </c>
      <c r="H480" s="253">
        <v>57.04</v>
      </c>
      <c r="I480" s="253">
        <v>57.7</v>
      </c>
      <c r="J480" s="253">
        <v>57.78</v>
      </c>
      <c r="K480" s="253">
        <v>53.86</v>
      </c>
      <c r="L480" s="253">
        <v>54.8</v>
      </c>
      <c r="M480" s="253">
        <v>55.04</v>
      </c>
      <c r="N480" s="253">
        <v>54.76</v>
      </c>
      <c r="O480" s="253">
        <v>54.38</v>
      </c>
      <c r="P480" s="253">
        <v>55.46</v>
      </c>
      <c r="Q480" s="253">
        <v>56.62</v>
      </c>
      <c r="R480" s="253">
        <v>56.74</v>
      </c>
      <c r="S480" s="253">
        <v>54.92</v>
      </c>
      <c r="T480" s="253">
        <v>54.76</v>
      </c>
      <c r="U480" s="253">
        <v>53.9</v>
      </c>
      <c r="V480" s="253">
        <v>53.24</v>
      </c>
      <c r="W480" s="253">
        <v>53.24</v>
      </c>
      <c r="X480" s="253">
        <v>54</v>
      </c>
      <c r="Y480" s="253">
        <v>54.12</v>
      </c>
      <c r="Z480" s="247">
        <f ca="1">[1]ExtEntry!$J78</f>
        <v>54.12</v>
      </c>
      <c r="AB480" s="267">
        <v>0</v>
      </c>
      <c r="AC480" s="267">
        <v>0</v>
      </c>
      <c r="AD480" s="267">
        <v>0</v>
      </c>
      <c r="AE480" s="267">
        <v>0</v>
      </c>
      <c r="AF480" s="267">
        <v>0</v>
      </c>
      <c r="AG480" s="267">
        <v>0</v>
      </c>
      <c r="AH480" s="267">
        <v>0</v>
      </c>
      <c r="AI480" s="267">
        <v>0</v>
      </c>
      <c r="AJ480" s="267">
        <v>0</v>
      </c>
      <c r="AK480" s="267">
        <v>0</v>
      </c>
      <c r="AL480" s="267">
        <v>0</v>
      </c>
      <c r="AM480" s="267">
        <v>0</v>
      </c>
      <c r="AN480" s="267">
        <v>0</v>
      </c>
      <c r="AO480" s="267">
        <v>0</v>
      </c>
      <c r="AP480" s="267">
        <v>0</v>
      </c>
      <c r="AQ480" s="267">
        <v>0</v>
      </c>
      <c r="AR480" s="267">
        <v>0</v>
      </c>
      <c r="AS480" s="267">
        <v>0</v>
      </c>
      <c r="AT480" s="267">
        <v>0</v>
      </c>
      <c r="AU480" s="267">
        <v>0</v>
      </c>
      <c r="AV480" s="263">
        <f t="shared" ca="1" si="38"/>
        <v>0</v>
      </c>
      <c r="AX480" s="88" t="str">
        <f t="shared" ca="1" si="39"/>
        <v>GLE</v>
      </c>
    </row>
    <row r="481" spans="1:50" hidden="1">
      <c r="A481" s="88" t="str">
        <f t="shared" ca="1" si="37"/>
        <v>GNRC</v>
      </c>
      <c r="F481" s="253">
        <v>169.14</v>
      </c>
      <c r="G481" s="253">
        <v>168.65</v>
      </c>
      <c r="H481" s="253">
        <v>168.77</v>
      </c>
      <c r="I481" s="253">
        <v>170.52</v>
      </c>
      <c r="J481" s="253">
        <v>170</v>
      </c>
      <c r="K481" s="253">
        <v>167.12</v>
      </c>
      <c r="L481" s="253">
        <v>171.42</v>
      </c>
      <c r="M481" s="253">
        <v>171.97</v>
      </c>
      <c r="N481" s="253">
        <v>171.97</v>
      </c>
      <c r="O481" s="253">
        <v>174.63</v>
      </c>
      <c r="P481" s="253">
        <v>184.59</v>
      </c>
      <c r="Q481" s="253">
        <v>196.495</v>
      </c>
      <c r="R481" s="253">
        <v>194.09899999999999</v>
      </c>
      <c r="S481" s="253">
        <v>193.03</v>
      </c>
      <c r="T481" s="253">
        <v>196.92</v>
      </c>
      <c r="U481" s="253">
        <v>195.97</v>
      </c>
      <c r="V481" s="253">
        <v>193.625</v>
      </c>
      <c r="W481" s="253">
        <v>193.625</v>
      </c>
      <c r="X481" s="253">
        <v>191.11</v>
      </c>
      <c r="Y481" s="253">
        <v>195.2</v>
      </c>
      <c r="Z481" s="247">
        <f ca="1">[1]ExtEntry!$J79</f>
        <v>195.2</v>
      </c>
      <c r="AB481" s="264">
        <v>-3798</v>
      </c>
      <c r="AC481" s="264">
        <v>16592</v>
      </c>
      <c r="AD481" s="264">
        <v>568</v>
      </c>
      <c r="AE481" s="264">
        <v>888</v>
      </c>
      <c r="AF481" s="264">
        <v>-5876</v>
      </c>
      <c r="AG481" s="264">
        <v>4520</v>
      </c>
      <c r="AH481" s="264">
        <v>1988</v>
      </c>
      <c r="AI481" s="264">
        <v>1480</v>
      </c>
      <c r="AJ481" s="264">
        <v>384</v>
      </c>
      <c r="AK481" s="264">
        <v>4720</v>
      </c>
      <c r="AL481" s="264">
        <v>8308</v>
      </c>
      <c r="AM481" s="264">
        <v>2216</v>
      </c>
      <c r="AN481" s="264">
        <v>-2219</v>
      </c>
      <c r="AO481" s="264">
        <v>-2006.0000000000146</v>
      </c>
      <c r="AP481" s="264">
        <v>406</v>
      </c>
      <c r="AQ481" s="264">
        <v>-11112</v>
      </c>
      <c r="AR481" s="264">
        <v>-14019</v>
      </c>
      <c r="AS481" s="264">
        <v>-8484</v>
      </c>
      <c r="AT481" s="264">
        <v>5568.0000000000146</v>
      </c>
      <c r="AU481" s="264">
        <v>-2292</v>
      </c>
      <c r="AV481" s="263">
        <f t="shared" ca="1" si="38"/>
        <v>-2346</v>
      </c>
      <c r="AX481" s="88" t="str">
        <f t="shared" ca="1" si="39"/>
        <v>GNRC</v>
      </c>
    </row>
    <row r="482" spans="1:50" hidden="1">
      <c r="A482" s="88" t="str">
        <f t="shared" ca="1" si="37"/>
        <v>GS</v>
      </c>
      <c r="F482" s="253">
        <v>808.69989999999996</v>
      </c>
      <c r="G482" s="253">
        <v>809.62</v>
      </c>
      <c r="H482" s="253">
        <v>796.28</v>
      </c>
      <c r="I482" s="253">
        <v>791</v>
      </c>
      <c r="J482" s="253">
        <v>794.92</v>
      </c>
      <c r="K482" s="253">
        <v>805.322</v>
      </c>
      <c r="L482" s="253">
        <v>795</v>
      </c>
      <c r="M482" s="253">
        <v>782.91</v>
      </c>
      <c r="N482" s="253">
        <v>782.91</v>
      </c>
      <c r="O482" s="253">
        <v>791.05</v>
      </c>
      <c r="P482" s="253">
        <v>786.5299</v>
      </c>
      <c r="Q482" s="253">
        <v>782.44</v>
      </c>
      <c r="R482" s="253">
        <v>781.44</v>
      </c>
      <c r="S482" s="253">
        <v>758.93499999999995</v>
      </c>
      <c r="T482" s="253">
        <v>766.41989999999998</v>
      </c>
      <c r="U482" s="253">
        <v>765.29989999999998</v>
      </c>
      <c r="V482" s="253">
        <v>760.61</v>
      </c>
      <c r="W482" s="253">
        <v>760.61</v>
      </c>
      <c r="X482" s="253">
        <v>755</v>
      </c>
      <c r="Y482" s="253">
        <v>784.61</v>
      </c>
      <c r="Z482" s="247">
        <f ca="1">[1]ExtEntry!$J80</f>
        <v>784.61</v>
      </c>
      <c r="AB482" s="267">
        <v>0</v>
      </c>
      <c r="AC482" s="267">
        <v>0</v>
      </c>
      <c r="AD482" s="267">
        <v>0</v>
      </c>
      <c r="AE482" s="267">
        <v>0</v>
      </c>
      <c r="AF482" s="267">
        <v>0</v>
      </c>
      <c r="AG482" s="267">
        <v>0</v>
      </c>
      <c r="AH482" s="267">
        <v>0</v>
      </c>
      <c r="AI482" s="267">
        <v>0</v>
      </c>
      <c r="AJ482" s="267">
        <v>0</v>
      </c>
      <c r="AK482" s="267">
        <v>0</v>
      </c>
      <c r="AL482" s="267">
        <v>0</v>
      </c>
      <c r="AM482" s="267">
        <v>0</v>
      </c>
      <c r="AN482" s="267">
        <v>0</v>
      </c>
      <c r="AO482" s="267">
        <v>0</v>
      </c>
      <c r="AP482" s="267">
        <v>0</v>
      </c>
      <c r="AQ482" s="267">
        <v>0</v>
      </c>
      <c r="AR482" s="267">
        <v>0</v>
      </c>
      <c r="AS482" s="267">
        <v>0</v>
      </c>
      <c r="AT482" s="267">
        <v>0</v>
      </c>
      <c r="AU482" s="267">
        <v>0</v>
      </c>
      <c r="AV482" s="263">
        <f t="shared" ca="1" si="38"/>
        <v>0</v>
      </c>
      <c r="AX482" s="88" t="str">
        <f t="shared" ca="1" si="39"/>
        <v>GS</v>
      </c>
    </row>
    <row r="483" spans="1:50" hidden="1">
      <c r="A483" s="88" t="str">
        <f t="shared" ca="1" si="37"/>
        <v>LAZR</v>
      </c>
      <c r="F483" s="253">
        <v>2.0699999999999998</v>
      </c>
      <c r="G483" s="253">
        <v>2.04</v>
      </c>
      <c r="H483" s="253">
        <v>2.0699999999999998</v>
      </c>
      <c r="I483" s="253">
        <v>2.2000000000000002</v>
      </c>
      <c r="J483" s="253">
        <v>2.58</v>
      </c>
      <c r="K483" s="253">
        <v>2.25</v>
      </c>
      <c r="L483" s="253">
        <v>2.4700000000000002</v>
      </c>
      <c r="M483" s="253">
        <v>2.36</v>
      </c>
      <c r="N483" s="253">
        <v>2.36</v>
      </c>
      <c r="O483" s="253">
        <v>2.12</v>
      </c>
      <c r="P483" s="253">
        <v>2.2199</v>
      </c>
      <c r="Q483" s="253">
        <v>2.23</v>
      </c>
      <c r="R483" s="253">
        <v>2.165</v>
      </c>
      <c r="S483" s="253">
        <v>2.1</v>
      </c>
      <c r="T483" s="253">
        <v>2.09</v>
      </c>
      <c r="U483" s="253">
        <v>2.0499999999999998</v>
      </c>
      <c r="V483" s="253">
        <v>1.85</v>
      </c>
      <c r="W483" s="253">
        <v>1.85</v>
      </c>
      <c r="X483" s="253">
        <v>1.8</v>
      </c>
      <c r="Y483" s="253">
        <v>2.2799999999999998</v>
      </c>
      <c r="Z483" s="247">
        <f ca="1">[1]ExtEntry!$J81</f>
        <v>2.2799999999999998</v>
      </c>
      <c r="AB483" s="264">
        <v>1163.8499999999949</v>
      </c>
      <c r="AC483" s="264">
        <v>-3724.3199999999997</v>
      </c>
      <c r="AD483" s="264">
        <v>2094.9300000000003</v>
      </c>
      <c r="AE483" s="264">
        <v>2793.2400000000016</v>
      </c>
      <c r="AF483" s="264">
        <v>6207.2000000000116</v>
      </c>
      <c r="AG483" s="264">
        <v>-2482.8799999999974</v>
      </c>
      <c r="AH483" s="264">
        <v>3879.5000000000036</v>
      </c>
      <c r="AI483" s="264">
        <v>-3181.1900000000023</v>
      </c>
      <c r="AJ483" s="264">
        <v>-4655.3999999999978</v>
      </c>
      <c r="AK483" s="264">
        <v>-3258.7800000000025</v>
      </c>
      <c r="AL483" s="264">
        <v>3879.5000000000036</v>
      </c>
      <c r="AM483" s="264">
        <v>-4732.989999999998</v>
      </c>
      <c r="AN483" s="264">
        <v>-465.54000000000815</v>
      </c>
      <c r="AO483" s="264">
        <v>620.71999999999389</v>
      </c>
      <c r="AP483" s="264">
        <v>-465.54000000000451</v>
      </c>
      <c r="AQ483" s="264">
        <v>-3957.09</v>
      </c>
      <c r="AR483" s="264">
        <v>698.30999999999403</v>
      </c>
      <c r="AS483" s="264">
        <v>775.90000000000146</v>
      </c>
      <c r="AT483" s="264">
        <v>1086.260000000002</v>
      </c>
      <c r="AU483" s="264">
        <v>7060.6900000000023</v>
      </c>
      <c r="AV483" s="263">
        <f t="shared" ca="1" si="38"/>
        <v>7060.6900000000023</v>
      </c>
      <c r="AX483" s="88" t="str">
        <f t="shared" ca="1" si="39"/>
        <v>LAZR</v>
      </c>
    </row>
    <row r="484" spans="1:50" hidden="1">
      <c r="A484" s="88" t="str">
        <f t="shared" ca="1" si="37"/>
        <v>LUV</v>
      </c>
      <c r="F484" s="253">
        <v>33.06</v>
      </c>
      <c r="G484" s="253">
        <v>32.89</v>
      </c>
      <c r="H484" s="253">
        <v>32.547499999999999</v>
      </c>
      <c r="I484" s="253">
        <v>32.575000000000003</v>
      </c>
      <c r="J484" s="253">
        <v>33.484999999999999</v>
      </c>
      <c r="K484" s="253">
        <v>32.755000000000003</v>
      </c>
      <c r="L484" s="253">
        <v>32.700000000000003</v>
      </c>
      <c r="M484" s="253">
        <v>33.729999999999997</v>
      </c>
      <c r="N484" s="253">
        <v>33.729999999999997</v>
      </c>
      <c r="O484" s="253">
        <v>32.299999999999997</v>
      </c>
      <c r="P484" s="253">
        <v>33.625</v>
      </c>
      <c r="Q484" s="253">
        <v>33.880000000000003</v>
      </c>
      <c r="R484" s="253">
        <v>34.049999999999997</v>
      </c>
      <c r="S484" s="253">
        <v>33.795000000000002</v>
      </c>
      <c r="T484" s="253">
        <v>34.664999999999999</v>
      </c>
      <c r="U484" s="253">
        <v>34.975000000000001</v>
      </c>
      <c r="V484" s="253">
        <v>34.75</v>
      </c>
      <c r="W484" s="253">
        <v>34.75</v>
      </c>
      <c r="X484" s="253">
        <v>33.15</v>
      </c>
      <c r="Y484" s="253">
        <v>32.43</v>
      </c>
      <c r="Z484" s="247">
        <f ca="1">[1]ExtEntry!$J82</f>
        <v>32.43</v>
      </c>
      <c r="AB484" s="267">
        <v>-27.360000000000582</v>
      </c>
      <c r="AC484" s="267">
        <v>-2400</v>
      </c>
      <c r="AD484" s="267">
        <v>725.99999999999272</v>
      </c>
      <c r="AE484" s="267">
        <v>1164</v>
      </c>
      <c r="AF484" s="267">
        <v>-786</v>
      </c>
      <c r="AG484" s="267">
        <v>-47.999999999992724</v>
      </c>
      <c r="AH484" s="267">
        <v>864.00000000001455</v>
      </c>
      <c r="AI484" s="267">
        <v>-2549.9999999999927</v>
      </c>
      <c r="AJ484" s="267">
        <v>-2256</v>
      </c>
      <c r="AK484" s="267">
        <v>438</v>
      </c>
      <c r="AL484" s="267">
        <v>2460</v>
      </c>
      <c r="AM484" s="267">
        <v>395.99999999999272</v>
      </c>
      <c r="AN484" s="267">
        <v>1740</v>
      </c>
      <c r="AO484" s="267">
        <v>2568.0000000000146</v>
      </c>
      <c r="AP484" s="267">
        <v>582</v>
      </c>
      <c r="AQ484" s="267">
        <v>-1566</v>
      </c>
      <c r="AR484" s="267">
        <v>-930.00000000000728</v>
      </c>
      <c r="AS484" s="267">
        <v>-312</v>
      </c>
      <c r="AT484" s="267">
        <v>-1752.0000000000146</v>
      </c>
      <c r="AU484" s="267">
        <v>-582</v>
      </c>
      <c r="AV484" s="263">
        <f t="shared" ca="1" si="38"/>
        <v>-570</v>
      </c>
      <c r="AX484" s="88" t="str">
        <f t="shared" ca="1" si="39"/>
        <v>LUV</v>
      </c>
    </row>
    <row r="485" spans="1:50" hidden="1">
      <c r="A485" s="88" t="str">
        <f t="shared" ca="1" si="37"/>
        <v>MA</v>
      </c>
      <c r="F485" s="253">
        <v>568.41</v>
      </c>
      <c r="G485" s="253">
        <v>570.63</v>
      </c>
      <c r="H485" s="253">
        <v>575.47</v>
      </c>
      <c r="I485" s="253">
        <v>579.84</v>
      </c>
      <c r="J485" s="253">
        <v>583.22</v>
      </c>
      <c r="K485" s="253">
        <v>586.07500000000005</v>
      </c>
      <c r="L485" s="253">
        <v>583.07000000000005</v>
      </c>
      <c r="M485" s="253">
        <v>579.4</v>
      </c>
      <c r="N485" s="253">
        <v>579.4</v>
      </c>
      <c r="O485" s="253">
        <v>565</v>
      </c>
      <c r="P485" s="253">
        <v>569.71</v>
      </c>
      <c r="Q485" s="253">
        <v>568.69000000000005</v>
      </c>
      <c r="R485" s="253">
        <v>564.65</v>
      </c>
      <c r="S485" s="253">
        <v>562.79999999999995</v>
      </c>
      <c r="T485" s="253">
        <v>567.41999999999996</v>
      </c>
      <c r="U485" s="253">
        <v>575.98</v>
      </c>
      <c r="V485" s="253">
        <v>576.4348</v>
      </c>
      <c r="W485" s="253">
        <v>576.4348</v>
      </c>
      <c r="X485" s="253">
        <v>576.99</v>
      </c>
      <c r="Y485" s="253">
        <v>580.82000000000005</v>
      </c>
      <c r="Z485" s="247">
        <f ca="1">[1]ExtEntry!$J83</f>
        <v>580.82000000000005</v>
      </c>
      <c r="AB485" s="264">
        <v>-90</v>
      </c>
      <c r="AC485" s="264">
        <v>2134</v>
      </c>
      <c r="AD485" s="264">
        <v>2198.0000000000146</v>
      </c>
      <c r="AE485" s="264">
        <v>505.99999999998545</v>
      </c>
      <c r="AF485" s="264">
        <v>1258.7999999999884</v>
      </c>
      <c r="AG485" s="264">
        <v>-5</v>
      </c>
      <c r="AH485" s="264">
        <v>-1582.0000000000146</v>
      </c>
      <c r="AI485" s="264">
        <v>-4210.0000000000146</v>
      </c>
      <c r="AJ485" s="264">
        <v>-3484.0000000000146</v>
      </c>
      <c r="AK485" s="264">
        <v>-758.00000000001455</v>
      </c>
      <c r="AL485" s="264">
        <v>2016.0000000000146</v>
      </c>
      <c r="AM485" s="264">
        <v>651</v>
      </c>
      <c r="AN485" s="264">
        <v>-21.999999999970896</v>
      </c>
      <c r="AO485" s="264">
        <v>4234.0000000000146</v>
      </c>
      <c r="AP485" s="264">
        <v>943.9999999999709</v>
      </c>
      <c r="AQ485" s="264">
        <v>-224.00000000001455</v>
      </c>
      <c r="AR485" s="264">
        <v>375.0000000000291</v>
      </c>
      <c r="AS485" s="264">
        <v>2587.9999999999854</v>
      </c>
      <c r="AT485" s="264">
        <v>-1798</v>
      </c>
      <c r="AU485" s="264">
        <v>-1595.9999999999709</v>
      </c>
      <c r="AV485" s="263">
        <f t="shared" ca="1" si="38"/>
        <v>-1707.9999999999854</v>
      </c>
      <c r="AX485" s="88" t="str">
        <f t="shared" ca="1" si="39"/>
        <v>MA</v>
      </c>
    </row>
    <row r="486" spans="1:50" hidden="1">
      <c r="A486" s="88" t="str">
        <f t="shared" ca="1" si="37"/>
        <v>NVAX</v>
      </c>
      <c r="F486" s="253">
        <v>8.68</v>
      </c>
      <c r="G486" s="253">
        <v>8.73</v>
      </c>
      <c r="H486" s="253">
        <v>9.6298999999999992</v>
      </c>
      <c r="I486" s="253">
        <v>9.75</v>
      </c>
      <c r="J486" s="253">
        <v>9.75</v>
      </c>
      <c r="K486" s="253">
        <v>9.33</v>
      </c>
      <c r="L486" s="253">
        <v>9.6</v>
      </c>
      <c r="M486" s="253">
        <v>8.9600000000000009</v>
      </c>
      <c r="N486" s="253">
        <v>8.9600000000000009</v>
      </c>
      <c r="O486" s="253">
        <v>8.7497000000000007</v>
      </c>
      <c r="P486" s="253">
        <v>9.0399999999999991</v>
      </c>
      <c r="Q486" s="253">
        <v>9.34</v>
      </c>
      <c r="R486" s="253">
        <v>9.1</v>
      </c>
      <c r="S486" s="253">
        <v>8.36</v>
      </c>
      <c r="T486" s="253">
        <v>8.8249999999999993</v>
      </c>
      <c r="U486" s="253">
        <v>8.7750000000000004</v>
      </c>
      <c r="V486" s="253">
        <v>8.5500000000000007</v>
      </c>
      <c r="W486" s="253">
        <v>8.5500000000000007</v>
      </c>
      <c r="X486" s="253">
        <v>8.52</v>
      </c>
      <c r="Y486" s="253">
        <v>8.65</v>
      </c>
      <c r="Z486" s="247">
        <f ca="1">[1]ExtEntry!$J84</f>
        <v>8.65</v>
      </c>
      <c r="AB486" s="267">
        <v>-990</v>
      </c>
      <c r="AC486" s="267">
        <v>4290</v>
      </c>
      <c r="AD486" s="267">
        <v>9019.9999999999854</v>
      </c>
      <c r="AE486" s="267">
        <v>1210.0000000000146</v>
      </c>
      <c r="AF486" s="267">
        <v>-3850</v>
      </c>
      <c r="AG486" s="267">
        <v>1485.0000000000146</v>
      </c>
      <c r="AH486" s="267">
        <v>-5819</v>
      </c>
      <c r="AI486" s="267">
        <v>-11990</v>
      </c>
      <c r="AJ486" s="267">
        <v>-3300.0000000000146</v>
      </c>
      <c r="AK486" s="267">
        <v>3519.9999999999709</v>
      </c>
      <c r="AL486" s="267">
        <v>394.99999999999272</v>
      </c>
      <c r="AM486" s="267">
        <v>4741.5000000000073</v>
      </c>
      <c r="AN486" s="267">
        <v>705</v>
      </c>
      <c r="AO486" s="267">
        <v>2525</v>
      </c>
      <c r="AP486" s="267">
        <v>1745.0000000000146</v>
      </c>
      <c r="AQ486" s="267">
        <v>-2275.0000000000146</v>
      </c>
      <c r="AR486" s="267">
        <v>-344.5</v>
      </c>
      <c r="AS486" s="267">
        <v>3263.0000000000073</v>
      </c>
      <c r="AT486" s="267">
        <v>357.49999999999272</v>
      </c>
      <c r="AU486" s="267">
        <v>-4290</v>
      </c>
      <c r="AV486" s="263">
        <f t="shared" ca="1" si="38"/>
        <v>-4290</v>
      </c>
      <c r="AX486" s="88" t="str">
        <f t="shared" ca="1" si="39"/>
        <v>NVAX</v>
      </c>
    </row>
    <row r="487" spans="1:50" hidden="1">
      <c r="A487" s="88" t="str">
        <f t="shared" ca="1" si="37"/>
        <v>NVS</v>
      </c>
      <c r="F487" s="253">
        <v>124.6</v>
      </c>
      <c r="G487" s="253">
        <v>128.51</v>
      </c>
      <c r="H487" s="253">
        <v>131.9599</v>
      </c>
      <c r="I487" s="253">
        <v>131.52000000000001</v>
      </c>
      <c r="J487" s="253">
        <v>133.37</v>
      </c>
      <c r="K487" s="253">
        <v>132.55000000000001</v>
      </c>
      <c r="L487" s="253">
        <v>133.16</v>
      </c>
      <c r="M487" s="253">
        <v>132.91499999999999</v>
      </c>
      <c r="N487" s="253">
        <v>132.91499999999999</v>
      </c>
      <c r="O487" s="253">
        <v>130.01</v>
      </c>
      <c r="P487" s="253">
        <v>130.489</v>
      </c>
      <c r="Q487" s="253">
        <v>130.41</v>
      </c>
      <c r="R487" s="253">
        <v>131.19</v>
      </c>
      <c r="S487" s="253">
        <v>132.44</v>
      </c>
      <c r="T487" s="253">
        <v>132.21</v>
      </c>
      <c r="U487" s="253">
        <v>131.77000000000001</v>
      </c>
      <c r="V487" s="253">
        <v>132.33000000000001</v>
      </c>
      <c r="W487" s="253">
        <v>132.33000000000001</v>
      </c>
      <c r="X487" s="253">
        <v>131.68</v>
      </c>
      <c r="Y487" s="253">
        <v>131.54</v>
      </c>
      <c r="Z487" s="247">
        <f ca="1">[1]ExtEntry!$J85</f>
        <v>131.54</v>
      </c>
      <c r="AB487" s="264">
        <v>0</v>
      </c>
      <c r="AC487" s="264">
        <v>0</v>
      </c>
      <c r="AD487" s="264">
        <v>0</v>
      </c>
      <c r="AE487" s="264">
        <v>0</v>
      </c>
      <c r="AF487" s="264">
        <v>0</v>
      </c>
      <c r="AG487" s="264">
        <v>0</v>
      </c>
      <c r="AH487" s="264">
        <v>0</v>
      </c>
      <c r="AI487" s="264">
        <v>0</v>
      </c>
      <c r="AJ487" s="264">
        <v>0</v>
      </c>
      <c r="AK487" s="264">
        <v>0</v>
      </c>
      <c r="AL487" s="264">
        <v>0</v>
      </c>
      <c r="AM487" s="264">
        <v>0</v>
      </c>
      <c r="AN487" s="264">
        <v>0</v>
      </c>
      <c r="AO487" s="264">
        <v>0</v>
      </c>
      <c r="AP487" s="264">
        <v>0</v>
      </c>
      <c r="AQ487" s="264">
        <v>0</v>
      </c>
      <c r="AR487" s="264">
        <v>0</v>
      </c>
      <c r="AS487" s="264">
        <v>0</v>
      </c>
      <c r="AT487" s="264">
        <v>0</v>
      </c>
      <c r="AU487" s="264">
        <v>0</v>
      </c>
      <c r="AV487" s="263">
        <f t="shared" ca="1" si="38"/>
        <v>0</v>
      </c>
      <c r="AX487" s="88" t="str">
        <f t="shared" ca="1" si="39"/>
        <v>NVS</v>
      </c>
    </row>
    <row r="488" spans="1:50" hidden="1">
      <c r="A488" s="88" t="str">
        <f t="shared" ca="1" si="37"/>
        <v>ORA</v>
      </c>
      <c r="F488" s="253">
        <v>13.76</v>
      </c>
      <c r="G488" s="253">
        <v>13.81</v>
      </c>
      <c r="H488" s="253">
        <v>13.835000000000001</v>
      </c>
      <c r="I488" s="253">
        <v>13.62</v>
      </c>
      <c r="J488" s="253">
        <v>13.61</v>
      </c>
      <c r="K488" s="253">
        <v>13.3</v>
      </c>
      <c r="L488" s="253">
        <v>13.455</v>
      </c>
      <c r="M488" s="253">
        <v>13.574999999999999</v>
      </c>
      <c r="N488" s="253">
        <v>13.6425</v>
      </c>
      <c r="O488" s="253">
        <v>13.645</v>
      </c>
      <c r="P488" s="253">
        <v>13.59</v>
      </c>
      <c r="Q488" s="253">
        <v>14.295</v>
      </c>
      <c r="R488" s="253">
        <v>14.135</v>
      </c>
      <c r="S488" s="253">
        <v>14.355</v>
      </c>
      <c r="T488" s="253">
        <v>14.275</v>
      </c>
      <c r="U488" s="253">
        <v>14.205</v>
      </c>
      <c r="V488" s="253">
        <v>14.13</v>
      </c>
      <c r="W488" s="253">
        <v>14.13</v>
      </c>
      <c r="X488" s="253">
        <v>14.29</v>
      </c>
      <c r="Y488" s="253">
        <v>14.16</v>
      </c>
      <c r="Z488" s="247">
        <f ca="1">[1]ExtEntry!$J86</f>
        <v>14.16</v>
      </c>
      <c r="AB488" s="267">
        <v>-162</v>
      </c>
      <c r="AC488" s="267">
        <v>318.00000000000182</v>
      </c>
      <c r="AD488" s="267">
        <v>138</v>
      </c>
      <c r="AE488" s="267">
        <v>-24.000000000001819</v>
      </c>
      <c r="AF488" s="267">
        <v>-462</v>
      </c>
      <c r="AG488" s="267">
        <v>0</v>
      </c>
      <c r="AH488" s="267">
        <v>-30</v>
      </c>
      <c r="AI488" s="267">
        <v>330</v>
      </c>
      <c r="AJ488" s="267">
        <v>-204</v>
      </c>
      <c r="AK488" s="267">
        <v>90</v>
      </c>
      <c r="AL488" s="267">
        <v>150</v>
      </c>
      <c r="AM488" s="267">
        <v>-174</v>
      </c>
      <c r="AN488" s="267">
        <v>-66</v>
      </c>
      <c r="AO488" s="267">
        <v>360</v>
      </c>
      <c r="AP488" s="267">
        <v>150</v>
      </c>
      <c r="AQ488" s="267">
        <v>-192</v>
      </c>
      <c r="AR488" s="267">
        <v>-6</v>
      </c>
      <c r="AS488" s="267">
        <v>-174</v>
      </c>
      <c r="AT488" s="267">
        <v>-306</v>
      </c>
      <c r="AU488" s="267">
        <v>-150</v>
      </c>
      <c r="AV488" s="263">
        <f t="shared" ca="1" si="38"/>
        <v>-150</v>
      </c>
      <c r="AX488" s="88" t="str">
        <f t="shared" ca="1" si="39"/>
        <v>ORA</v>
      </c>
    </row>
    <row r="489" spans="1:50" hidden="1">
      <c r="A489" s="88" t="str">
        <f t="shared" ca="1" si="37"/>
        <v>OXY</v>
      </c>
      <c r="F489" s="253">
        <v>48.88</v>
      </c>
      <c r="G489" s="253">
        <v>49.45</v>
      </c>
      <c r="H489" s="253">
        <v>47.99</v>
      </c>
      <c r="I489" s="253">
        <v>47.92</v>
      </c>
      <c r="J489" s="253">
        <v>45.33</v>
      </c>
      <c r="K489" s="253">
        <v>45.41</v>
      </c>
      <c r="L489" s="253">
        <v>45.46</v>
      </c>
      <c r="M489" s="253">
        <v>45.743600000000001</v>
      </c>
      <c r="N489" s="253">
        <v>45.743600000000001</v>
      </c>
      <c r="O489" s="253">
        <v>42.829900000000002</v>
      </c>
      <c r="P489" s="253">
        <v>42.528199999999998</v>
      </c>
      <c r="Q489" s="253">
        <v>42.57</v>
      </c>
      <c r="R489" s="253">
        <v>42.089700000000001</v>
      </c>
      <c r="S489" s="253">
        <v>41.07</v>
      </c>
      <c r="T489" s="253">
        <v>41.46</v>
      </c>
      <c r="U489" s="253">
        <v>41.344999999999999</v>
      </c>
      <c r="V489" s="253">
        <v>41.854999999999997</v>
      </c>
      <c r="W489" s="253">
        <v>41.854999999999997</v>
      </c>
      <c r="X489" s="253">
        <v>43.347900000000003</v>
      </c>
      <c r="Y489" s="253">
        <v>43.174999999999997</v>
      </c>
      <c r="Z489" s="247">
        <f ca="1">[1]ExtEntry!$J87</f>
        <v>43.174999999999997</v>
      </c>
      <c r="AB489" s="264">
        <v>-304.80000000001746</v>
      </c>
      <c r="AC489" s="264">
        <v>-2240</v>
      </c>
      <c r="AD489" s="264">
        <v>1180</v>
      </c>
      <c r="AE489" s="264">
        <v>-15880</v>
      </c>
      <c r="AF489" s="264">
        <v>-1220</v>
      </c>
      <c r="AG489" s="264">
        <v>560</v>
      </c>
      <c r="AH489" s="264">
        <v>-560</v>
      </c>
      <c r="AI489" s="264">
        <v>-4460</v>
      </c>
      <c r="AJ489" s="264">
        <v>11200</v>
      </c>
      <c r="AK489" s="264">
        <v>-1000</v>
      </c>
      <c r="AL489" s="264">
        <v>1060</v>
      </c>
      <c r="AM489" s="264">
        <v>-1140</v>
      </c>
      <c r="AN489" s="264">
        <v>-440</v>
      </c>
      <c r="AO489" s="264">
        <v>3760</v>
      </c>
      <c r="AP489" s="264">
        <v>1780</v>
      </c>
      <c r="AQ489" s="264">
        <v>-1720</v>
      </c>
      <c r="AR489" s="264">
        <v>4480</v>
      </c>
      <c r="AS489" s="264">
        <v>5860</v>
      </c>
      <c r="AT489" s="264">
        <v>-1440</v>
      </c>
      <c r="AU489" s="264">
        <v>-1960</v>
      </c>
      <c r="AV489" s="263">
        <f t="shared" ca="1" si="38"/>
        <v>-2000</v>
      </c>
      <c r="AX489" s="88" t="str">
        <f t="shared" ca="1" si="39"/>
        <v>OXY</v>
      </c>
    </row>
    <row r="490" spans="1:50" hidden="1">
      <c r="A490" s="88" t="str">
        <f t="shared" ca="1" si="37"/>
        <v>PFE</v>
      </c>
      <c r="F490" s="253">
        <v>23.86</v>
      </c>
      <c r="G490" s="253">
        <v>25.63</v>
      </c>
      <c r="H490" s="253">
        <v>27.45</v>
      </c>
      <c r="I490" s="253">
        <v>27.17</v>
      </c>
      <c r="J490" s="253">
        <v>27.69</v>
      </c>
      <c r="K490" s="253">
        <v>26.58</v>
      </c>
      <c r="L490" s="253">
        <v>26.5</v>
      </c>
      <c r="M490" s="253">
        <v>25.9</v>
      </c>
      <c r="N490" s="253">
        <v>25.9</v>
      </c>
      <c r="O490" s="253">
        <v>24.9407</v>
      </c>
      <c r="P490" s="253">
        <v>24.79</v>
      </c>
      <c r="Q490" s="253">
        <v>24.58</v>
      </c>
      <c r="R490" s="253">
        <v>24.605</v>
      </c>
      <c r="S490" s="253">
        <v>24.53</v>
      </c>
      <c r="T490" s="253">
        <v>24.73</v>
      </c>
      <c r="U490" s="253">
        <v>24.96</v>
      </c>
      <c r="V490" s="253">
        <v>24.93</v>
      </c>
      <c r="W490" s="253">
        <v>24.93</v>
      </c>
      <c r="X490" s="253">
        <v>24.78</v>
      </c>
      <c r="Y490" s="253">
        <v>24.829000000000001</v>
      </c>
      <c r="Z490" s="247">
        <f ca="1">[1]ExtEntry!$J88</f>
        <v>24.829000000000001</v>
      </c>
      <c r="AB490" s="267">
        <v>-48.159999999996217</v>
      </c>
      <c r="AC490" s="267">
        <v>2587.1999999999971</v>
      </c>
      <c r="AD490" s="267">
        <v>2160</v>
      </c>
      <c r="AE490" s="267">
        <v>1040</v>
      </c>
      <c r="AF490" s="267">
        <v>240</v>
      </c>
      <c r="AG490" s="267">
        <v>-215.84000000000378</v>
      </c>
      <c r="AH490" s="267">
        <v>-3784</v>
      </c>
      <c r="AI490" s="267">
        <v>-2880</v>
      </c>
      <c r="AJ490" s="267">
        <v>-1128</v>
      </c>
      <c r="AK490" s="267">
        <v>-480</v>
      </c>
      <c r="AL490" s="267">
        <v>64</v>
      </c>
      <c r="AM490" s="267">
        <v>976</v>
      </c>
      <c r="AN490" s="267">
        <v>536</v>
      </c>
      <c r="AO490" s="267">
        <v>1360</v>
      </c>
      <c r="AP490" s="267">
        <v>400</v>
      </c>
      <c r="AQ490" s="267">
        <v>352</v>
      </c>
      <c r="AR490" s="267">
        <v>120</v>
      </c>
      <c r="AS490" s="267">
        <v>248</v>
      </c>
      <c r="AT490" s="267">
        <v>-616</v>
      </c>
      <c r="AU490" s="267">
        <v>-48</v>
      </c>
      <c r="AV490" s="263">
        <f t="shared" ca="1" si="38"/>
        <v>-80</v>
      </c>
      <c r="AX490" s="88" t="str">
        <f t="shared" ca="1" si="39"/>
        <v>PFE</v>
      </c>
    </row>
    <row r="491" spans="1:50" hidden="1">
      <c r="A491" s="88" t="str">
        <f t="shared" ca="1" si="37"/>
        <v>RIG</v>
      </c>
      <c r="F491" s="253">
        <v>3.17</v>
      </c>
      <c r="G491" s="253">
        <v>3.14</v>
      </c>
      <c r="H491" s="253">
        <v>3.24</v>
      </c>
      <c r="I491" s="253">
        <v>3.34</v>
      </c>
      <c r="J491" s="253">
        <v>3.42</v>
      </c>
      <c r="K491" s="253">
        <v>3.49</v>
      </c>
      <c r="L491" s="253">
        <v>3.49</v>
      </c>
      <c r="M491" s="253">
        <v>3.4849999999999999</v>
      </c>
      <c r="N491" s="253">
        <v>3.4849999999999999</v>
      </c>
      <c r="O491" s="253">
        <v>3.2</v>
      </c>
      <c r="P491" s="253">
        <v>3.19</v>
      </c>
      <c r="Q491" s="253">
        <v>3.3</v>
      </c>
      <c r="R491" s="253">
        <v>3.39</v>
      </c>
      <c r="S491" s="253">
        <v>3.26</v>
      </c>
      <c r="T491" s="253">
        <v>3.41</v>
      </c>
      <c r="U491" s="253">
        <v>3.38</v>
      </c>
      <c r="V491" s="253">
        <v>3.47</v>
      </c>
      <c r="W491" s="253">
        <v>3.47</v>
      </c>
      <c r="X491" s="253">
        <v>3.9550000000000001</v>
      </c>
      <c r="Y491" s="253">
        <v>4.07</v>
      </c>
      <c r="Z491" s="247">
        <f ca="1">[1]ExtEntry!$J89</f>
        <v>4.07</v>
      </c>
      <c r="AB491" s="264">
        <v>-7425.6000000000058</v>
      </c>
      <c r="AC491" s="264">
        <v>-1440</v>
      </c>
      <c r="AD491" s="264">
        <v>4800</v>
      </c>
      <c r="AE491" s="264">
        <v>-1435.2000000000116</v>
      </c>
      <c r="AF491" s="264">
        <v>2400</v>
      </c>
      <c r="AG491" s="264">
        <v>4800</v>
      </c>
      <c r="AH491" s="264">
        <v>-5280</v>
      </c>
      <c r="AI491" s="264">
        <v>-8160</v>
      </c>
      <c r="AJ491" s="264">
        <v>-6960</v>
      </c>
      <c r="AK491" s="264">
        <v>-1680</v>
      </c>
      <c r="AL491" s="264">
        <v>-2400</v>
      </c>
      <c r="AM491" s="264">
        <v>8400</v>
      </c>
      <c r="AN491" s="264">
        <v>-960</v>
      </c>
      <c r="AO491" s="264">
        <v>6240</v>
      </c>
      <c r="AP491" s="264">
        <v>-1200</v>
      </c>
      <c r="AQ491" s="264">
        <v>1440</v>
      </c>
      <c r="AR491" s="264">
        <v>-1680</v>
      </c>
      <c r="AS491" s="264">
        <v>9600</v>
      </c>
      <c r="AT491" s="264">
        <v>14640</v>
      </c>
      <c r="AU491" s="264">
        <v>-480</v>
      </c>
      <c r="AV491" s="263">
        <f t="shared" ca="1" si="38"/>
        <v>-240</v>
      </c>
      <c r="AX491" s="88" t="str">
        <f t="shared" ca="1" si="39"/>
        <v>RIG</v>
      </c>
    </row>
    <row r="492" spans="1:50">
      <c r="A492" s="88" t="str">
        <f t="shared" ca="1" si="37"/>
        <v>RRC</v>
      </c>
      <c r="F492" s="253">
        <v>37.729900000000001</v>
      </c>
      <c r="G492" s="253">
        <v>37.96</v>
      </c>
      <c r="H492" s="253">
        <v>39.755000000000003</v>
      </c>
      <c r="I492" s="253">
        <v>39.96</v>
      </c>
      <c r="J492" s="253">
        <v>38.93</v>
      </c>
      <c r="K492" s="253">
        <v>39.424999999999997</v>
      </c>
      <c r="L492" s="253">
        <v>39.89</v>
      </c>
      <c r="M492" s="253">
        <v>39.950000000000003</v>
      </c>
      <c r="N492" s="253">
        <v>39.950000000000003</v>
      </c>
      <c r="O492" s="253">
        <v>37.225000000000001</v>
      </c>
      <c r="P492" s="253">
        <v>36.56</v>
      </c>
      <c r="Q492" s="253">
        <v>37.32</v>
      </c>
      <c r="R492" s="253">
        <v>37.64</v>
      </c>
      <c r="S492" s="253">
        <v>36.119999999999997</v>
      </c>
      <c r="T492" s="253">
        <v>37.64</v>
      </c>
      <c r="U492" s="253">
        <v>37.49</v>
      </c>
      <c r="V492" s="253">
        <v>37.405000000000001</v>
      </c>
      <c r="W492" s="253">
        <v>37.405000000000001</v>
      </c>
      <c r="X492" s="253">
        <v>37.61</v>
      </c>
      <c r="Y492" s="253">
        <v>37.9</v>
      </c>
      <c r="Z492" s="247">
        <f ca="1">[1]ExtEntry!$J90</f>
        <v>37.9</v>
      </c>
      <c r="AB492" s="267">
        <v>0</v>
      </c>
      <c r="AC492" s="267">
        <v>0</v>
      </c>
      <c r="AD492" s="267">
        <v>0</v>
      </c>
      <c r="AE492" s="267">
        <v>0</v>
      </c>
      <c r="AF492" s="267">
        <v>0</v>
      </c>
      <c r="AG492" s="267">
        <v>0</v>
      </c>
      <c r="AH492" s="267">
        <v>0</v>
      </c>
      <c r="AI492" s="267">
        <v>0</v>
      </c>
      <c r="AJ492" s="267">
        <v>0</v>
      </c>
      <c r="AK492" s="267">
        <v>0</v>
      </c>
      <c r="AL492" s="267">
        <v>0</v>
      </c>
      <c r="AM492" s="267">
        <v>0</v>
      </c>
      <c r="AN492" s="267">
        <v>0</v>
      </c>
      <c r="AO492" s="267">
        <v>0</v>
      </c>
      <c r="AP492" s="267">
        <v>0</v>
      </c>
      <c r="AQ492" s="267">
        <v>0</v>
      </c>
      <c r="AR492" s="267">
        <v>0</v>
      </c>
      <c r="AS492" s="267">
        <v>0</v>
      </c>
      <c r="AT492" s="267">
        <v>0</v>
      </c>
      <c r="AU492" s="267">
        <v>0</v>
      </c>
      <c r="AV492" s="263">
        <f t="shared" ca="1" si="38"/>
        <v>0</v>
      </c>
      <c r="AX492" s="88" t="str">
        <f t="shared" ca="1" si="39"/>
        <v>RRC</v>
      </c>
    </row>
    <row r="493" spans="1:50">
      <c r="A493" s="88" t="str">
        <f t="shared" ca="1" si="37"/>
        <v>XYZ</v>
      </c>
      <c r="F493" s="245">
        <v>75.98</v>
      </c>
      <c r="G493" s="245">
        <v>75.665000000000006</v>
      </c>
      <c r="H493" s="245">
        <v>73.62</v>
      </c>
      <c r="I493" s="245">
        <v>77.239999999999995</v>
      </c>
      <c r="J493" s="245">
        <v>78.245000000000005</v>
      </c>
      <c r="K493" s="245">
        <v>79.97</v>
      </c>
      <c r="L493" s="245">
        <v>81.685000000000002</v>
      </c>
      <c r="M493" s="245">
        <v>81.5</v>
      </c>
      <c r="N493" s="245">
        <v>81.5</v>
      </c>
      <c r="O493" s="245">
        <v>76.05</v>
      </c>
      <c r="P493" s="245">
        <v>77.44</v>
      </c>
      <c r="Q493" s="245">
        <v>77.8</v>
      </c>
      <c r="R493" s="245">
        <v>77.69</v>
      </c>
      <c r="S493" s="245">
        <v>75.709999999999994</v>
      </c>
      <c r="T493" s="245">
        <v>76.87</v>
      </c>
      <c r="U493" s="245">
        <v>78.87</v>
      </c>
      <c r="V493" s="245">
        <v>77.34</v>
      </c>
      <c r="W493" s="245">
        <v>77.34</v>
      </c>
      <c r="X493" s="245">
        <v>79.290000000000006</v>
      </c>
      <c r="Y493" s="245">
        <v>80.38</v>
      </c>
      <c r="Z493" s="247">
        <f ca="1">[1]ExtEntry!$J91</f>
        <v>80.38</v>
      </c>
      <c r="AB493" s="264">
        <v>1308.0000000000073</v>
      </c>
      <c r="AC493" s="264">
        <v>-1262.9999999999927</v>
      </c>
      <c r="AD493" s="264">
        <v>324.00000000000728</v>
      </c>
      <c r="AE493" s="264">
        <v>2610.0000000000073</v>
      </c>
      <c r="AF493" s="264">
        <v>-3</v>
      </c>
      <c r="AG493" s="264">
        <v>-192</v>
      </c>
      <c r="AH493" s="264">
        <v>2597.9999999999927</v>
      </c>
      <c r="AI493" s="264">
        <v>-636.00000000000728</v>
      </c>
      <c r="AJ493" s="264">
        <v>-1944</v>
      </c>
      <c r="AK493" s="264">
        <v>-483</v>
      </c>
      <c r="AL493" s="264">
        <v>1212</v>
      </c>
      <c r="AM493" s="264">
        <v>-1302</v>
      </c>
      <c r="AN493" s="264">
        <v>-948</v>
      </c>
      <c r="AO493" s="264">
        <v>996</v>
      </c>
      <c r="AP493" s="264">
        <v>654</v>
      </c>
      <c r="AQ493" s="264">
        <v>-714.00000000001455</v>
      </c>
      <c r="AR493" s="264">
        <v>-311.99999999999272</v>
      </c>
      <c r="AS493" s="264">
        <v>234.00000000000728</v>
      </c>
      <c r="AT493" s="264">
        <v>600</v>
      </c>
      <c r="AU493" s="264">
        <v>-491.99999999999272</v>
      </c>
      <c r="AV493" s="263">
        <f t="shared" ca="1" si="38"/>
        <v>-491.99999999999272</v>
      </c>
      <c r="AX493" s="88" t="str">
        <f t="shared" ca="1" si="39"/>
        <v>XYZ</v>
      </c>
    </row>
    <row r="494" spans="1:50">
      <c r="A494" s="88" t="str">
        <f t="shared" ca="1" si="37"/>
        <v>THC</v>
      </c>
      <c r="F494" s="253">
        <v>202.71</v>
      </c>
      <c r="G494" s="253">
        <v>204.49</v>
      </c>
      <c r="H494" s="253">
        <v>202.6</v>
      </c>
      <c r="I494" s="253">
        <v>203.82</v>
      </c>
      <c r="J494" s="253">
        <v>205.99</v>
      </c>
      <c r="K494" s="253">
        <v>207.14</v>
      </c>
      <c r="L494" s="253">
        <v>205.96</v>
      </c>
      <c r="M494" s="253">
        <v>202</v>
      </c>
      <c r="N494" s="253">
        <v>202</v>
      </c>
      <c r="O494" s="253">
        <v>191.68</v>
      </c>
      <c r="P494" s="253">
        <v>196.58</v>
      </c>
      <c r="Q494" s="253">
        <v>200.26</v>
      </c>
      <c r="R494" s="253">
        <v>200.65</v>
      </c>
      <c r="S494" s="253">
        <v>200.12</v>
      </c>
      <c r="T494" s="253">
        <v>202.82499999999999</v>
      </c>
      <c r="U494" s="253">
        <v>203.29</v>
      </c>
      <c r="V494" s="253">
        <v>206.1</v>
      </c>
      <c r="W494" s="253">
        <v>206.1</v>
      </c>
      <c r="X494" s="253">
        <v>208.25</v>
      </c>
      <c r="Y494" s="253">
        <v>217.42500000000001</v>
      </c>
      <c r="Z494" s="247">
        <f ca="1">[1]ExtEntry!$J92</f>
        <v>217.42500000000001</v>
      </c>
      <c r="AB494" s="267">
        <v>-8459</v>
      </c>
      <c r="AC494" s="267">
        <v>5280</v>
      </c>
      <c r="AD494" s="267">
        <v>-9768</v>
      </c>
      <c r="AE494" s="267">
        <v>2596.0000000000582</v>
      </c>
      <c r="AF494" s="267">
        <v>-11011</v>
      </c>
      <c r="AG494" s="267">
        <v>7510</v>
      </c>
      <c r="AH494" s="267">
        <v>-8867</v>
      </c>
      <c r="AI494" s="267">
        <v>-7298</v>
      </c>
      <c r="AJ494" s="267">
        <v>-13128.000000000058</v>
      </c>
      <c r="AK494" s="267">
        <v>-663.5</v>
      </c>
      <c r="AL494" s="267">
        <v>4851</v>
      </c>
      <c r="AM494" s="267">
        <v>7740</v>
      </c>
      <c r="AN494" s="267">
        <v>9105</v>
      </c>
      <c r="AO494" s="267">
        <v>10605</v>
      </c>
      <c r="AP494" s="267">
        <v>2925</v>
      </c>
      <c r="AQ494" s="267">
        <v>-9855</v>
      </c>
      <c r="AR494" s="267">
        <v>1125</v>
      </c>
      <c r="AS494" s="267">
        <v>2745</v>
      </c>
      <c r="AT494" s="267">
        <v>2655</v>
      </c>
      <c r="AU494" s="267">
        <v>187.5</v>
      </c>
      <c r="AV494" s="263">
        <f t="shared" ca="1" si="38"/>
        <v>187.5</v>
      </c>
      <c r="AX494" s="88" t="str">
        <f t="shared" ca="1" si="39"/>
        <v>THC</v>
      </c>
    </row>
    <row r="495" spans="1:50">
      <c r="A495" s="88" t="str">
        <f t="shared" ca="1" si="37"/>
        <v>X</v>
      </c>
      <c r="F495" s="245">
        <v>54.89</v>
      </c>
      <c r="G495" s="245">
        <v>54.89</v>
      </c>
      <c r="H495" s="245">
        <v>54.89</v>
      </c>
      <c r="I495" s="245">
        <v>54.89</v>
      </c>
      <c r="J495" s="245">
        <v>54.89</v>
      </c>
      <c r="K495" s="245">
        <v>54.89</v>
      </c>
      <c r="L495" s="245">
        <v>54.89</v>
      </c>
      <c r="M495" s="245">
        <v>54.89</v>
      </c>
      <c r="N495" s="245">
        <v>54.89</v>
      </c>
      <c r="O495" s="245">
        <v>54.89</v>
      </c>
      <c r="P495" s="245">
        <v>54.89</v>
      </c>
      <c r="Q495" s="245">
        <v>54.89</v>
      </c>
      <c r="R495" s="245">
        <v>54.89</v>
      </c>
      <c r="S495" s="245">
        <v>54.89</v>
      </c>
      <c r="T495" s="245">
        <v>54.89</v>
      </c>
      <c r="U495" s="245">
        <v>54.89</v>
      </c>
      <c r="V495" s="245">
        <v>54.89</v>
      </c>
      <c r="W495" s="245">
        <v>54.89</v>
      </c>
      <c r="X495" s="245">
        <v>54.89</v>
      </c>
      <c r="Y495" s="245">
        <v>54.89</v>
      </c>
      <c r="Z495" s="247">
        <f ca="1">[1]ExtEntry!$J93</f>
        <v>54.89</v>
      </c>
      <c r="AB495" s="264">
        <v>0</v>
      </c>
      <c r="AC495" s="264">
        <v>0</v>
      </c>
      <c r="AD495" s="264">
        <v>0</v>
      </c>
      <c r="AE495" s="264">
        <v>0</v>
      </c>
      <c r="AF495" s="264">
        <v>0</v>
      </c>
      <c r="AG495" s="264">
        <v>0</v>
      </c>
      <c r="AH495" s="264">
        <v>0</v>
      </c>
      <c r="AI495" s="264">
        <v>0</v>
      </c>
      <c r="AJ495" s="264">
        <v>0</v>
      </c>
      <c r="AK495" s="264">
        <v>0</v>
      </c>
      <c r="AL495" s="264">
        <v>0</v>
      </c>
      <c r="AM495" s="264">
        <v>0</v>
      </c>
      <c r="AN495" s="264">
        <v>0</v>
      </c>
      <c r="AO495" s="264">
        <v>0</v>
      </c>
      <c r="AP495" s="264">
        <v>0</v>
      </c>
      <c r="AQ495" s="264">
        <v>0</v>
      </c>
      <c r="AR495" s="264">
        <v>0</v>
      </c>
      <c r="AS495" s="264">
        <v>0</v>
      </c>
      <c r="AT495" s="264">
        <v>0</v>
      </c>
      <c r="AU495" s="264">
        <v>0</v>
      </c>
      <c r="AV495" s="263">
        <f t="shared" ca="1" si="38"/>
        <v>0</v>
      </c>
      <c r="AX495" s="88" t="str">
        <f t="shared" ca="1" si="39"/>
        <v>X</v>
      </c>
    </row>
    <row r="496" spans="1:50">
      <c r="A496" s="88" t="str">
        <f t="shared" ca="1" si="37"/>
        <v>JBEOAN</v>
      </c>
      <c r="F496" s="346">
        <v>10.384</v>
      </c>
      <c r="G496" s="346">
        <v>10.326000000000001</v>
      </c>
      <c r="H496" s="245">
        <v>10.278</v>
      </c>
      <c r="I496" s="245">
        <v>10.36</v>
      </c>
      <c r="J496" s="245">
        <v>10.47</v>
      </c>
      <c r="K496" s="245">
        <v>10.494</v>
      </c>
      <c r="L496" s="245">
        <v>10.375999999999999</v>
      </c>
      <c r="M496" s="245">
        <v>10.55</v>
      </c>
      <c r="N496" s="245">
        <v>10.54</v>
      </c>
      <c r="O496" s="245">
        <v>10.36</v>
      </c>
      <c r="P496" s="245">
        <v>10.242000000000001</v>
      </c>
      <c r="Q496" s="245">
        <v>10.353999999999999</v>
      </c>
      <c r="R496" s="245">
        <v>10.382</v>
      </c>
      <c r="S496" s="245">
        <v>10.178000000000001</v>
      </c>
      <c r="T496" s="245">
        <v>10.25</v>
      </c>
      <c r="U496" s="245">
        <v>10.465999999999999</v>
      </c>
      <c r="V496" s="245">
        <v>10.492000000000001</v>
      </c>
      <c r="W496" s="245">
        <v>10.492000000000001</v>
      </c>
      <c r="X496" s="245">
        <v>10.384</v>
      </c>
      <c r="Y496" s="245">
        <v>10.587999999999999</v>
      </c>
      <c r="Z496" s="247">
        <f ca="1">[1]ExtEntry!$J94</f>
        <v>16.085000000000001</v>
      </c>
      <c r="AB496" s="264">
        <v>-497.40000000002328</v>
      </c>
      <c r="AC496" s="264">
        <v>-1542</v>
      </c>
      <c r="AD496" s="264">
        <v>6784.8000000000466</v>
      </c>
      <c r="AE496" s="264">
        <v>11487.900000000023</v>
      </c>
      <c r="AF496" s="264">
        <v>-4934.3999999999069</v>
      </c>
      <c r="AG496" s="264">
        <v>-10948.199999999953</v>
      </c>
      <c r="AH496" s="264">
        <v>2158.8000000000466</v>
      </c>
      <c r="AI496" s="264">
        <v>-925.20000000006985</v>
      </c>
      <c r="AJ496" s="264">
        <v>-5705.4000000000233</v>
      </c>
      <c r="AK496" s="264">
        <v>616.80000000004657</v>
      </c>
      <c r="AL496" s="264">
        <v>7864.1999999999534</v>
      </c>
      <c r="AM496" s="264">
        <v>0</v>
      </c>
      <c r="AN496" s="264">
        <v>-2467.1999999999534</v>
      </c>
      <c r="AO496" s="264">
        <v>-1079.3999999999069</v>
      </c>
      <c r="AP496" s="264">
        <v>462.59999999997672</v>
      </c>
      <c r="AQ496" s="264">
        <v>8326.8000000000466</v>
      </c>
      <c r="AR496" s="264">
        <v>-10639.800000000163</v>
      </c>
      <c r="AS496" s="264">
        <v>-8635.2000000001863</v>
      </c>
      <c r="AT496" s="264">
        <v>1079.3999999999069</v>
      </c>
      <c r="AU496" s="264">
        <v>7247.3999999999069</v>
      </c>
      <c r="AV496" s="263">
        <f t="shared" ca="1" si="38"/>
        <v>2070</v>
      </c>
      <c r="AX496" s="88" t="str">
        <f t="shared" ca="1" si="39"/>
        <v>JBEOAN</v>
      </c>
    </row>
    <row r="497" spans="1:51">
      <c r="A497" s="88" t="str">
        <f t="shared" si="37"/>
        <v>LOCK</v>
      </c>
      <c r="F497" s="346">
        <v>828.3</v>
      </c>
      <c r="G497" s="245">
        <v>830.5</v>
      </c>
      <c r="H497" s="245">
        <v>844.6</v>
      </c>
      <c r="I497" s="245">
        <v>888.4</v>
      </c>
      <c r="J497" s="1207">
        <v>883.8</v>
      </c>
      <c r="K497" s="247">
        <v>896</v>
      </c>
      <c r="L497" s="1208">
        <v>863.9</v>
      </c>
      <c r="M497" s="243">
        <v>864.6</v>
      </c>
      <c r="N497" s="245">
        <v>847.6</v>
      </c>
      <c r="O497" s="1209">
        <v>844.4</v>
      </c>
      <c r="P497" s="1209">
        <v>847.9</v>
      </c>
      <c r="Q497" s="245">
        <v>893.5</v>
      </c>
      <c r="R497" s="249">
        <v>900.5</v>
      </c>
      <c r="S497" s="245">
        <v>885.9</v>
      </c>
      <c r="T497" s="245">
        <v>901.5</v>
      </c>
      <c r="U497" s="245">
        <v>894.4</v>
      </c>
      <c r="V497" s="245">
        <v>892.4</v>
      </c>
      <c r="W497" s="1210">
        <v>892.4</v>
      </c>
      <c r="X497" s="347">
        <v>891.2</v>
      </c>
      <c r="Y497" s="245">
        <v>902.6</v>
      </c>
      <c r="Z497" s="247">
        <f ca="1">[1]ExtEntry!$J95</f>
        <v>10.61</v>
      </c>
      <c r="AB497" s="264">
        <v>2145.8000000000466</v>
      </c>
      <c r="AC497" s="264">
        <v>620</v>
      </c>
      <c r="AD497" s="264">
        <v>4680</v>
      </c>
      <c r="AE497" s="264">
        <v>3540</v>
      </c>
      <c r="AF497" s="264">
        <v>2180</v>
      </c>
      <c r="AG497" s="264">
        <v>-5320</v>
      </c>
      <c r="AH497" s="264">
        <v>-260</v>
      </c>
      <c r="AI497" s="264">
        <v>-4880</v>
      </c>
      <c r="AJ497" s="264">
        <v>-4100</v>
      </c>
      <c r="AK497" s="264">
        <v>1980</v>
      </c>
      <c r="AL497" s="264">
        <v>5400</v>
      </c>
      <c r="AM497" s="264">
        <v>-880</v>
      </c>
      <c r="AN497" s="264">
        <v>-1060</v>
      </c>
      <c r="AO497" s="264">
        <v>3780</v>
      </c>
      <c r="AP497" s="264">
        <v>-1160</v>
      </c>
      <c r="AQ497" s="264">
        <v>-2420</v>
      </c>
      <c r="AR497" s="264">
        <v>-800</v>
      </c>
      <c r="AS497" s="264">
        <v>-60</v>
      </c>
      <c r="AT497" s="264">
        <v>-80</v>
      </c>
      <c r="AU497" s="264">
        <v>-4120</v>
      </c>
      <c r="AV497" s="263">
        <f t="shared" ca="1" si="38"/>
        <v>3630.5999999998603</v>
      </c>
      <c r="AX497" s="88" t="str">
        <f t="shared" si="39"/>
        <v>LOCK</v>
      </c>
    </row>
    <row r="498" spans="1:51">
      <c r="A498" s="88" t="str">
        <f>A98</f>
        <v>Total</v>
      </c>
      <c r="F498" s="253">
        <v>16.16</v>
      </c>
      <c r="G498" s="253">
        <v>16.07</v>
      </c>
      <c r="H498" s="253">
        <v>16.164999999999999</v>
      </c>
      <c r="I498" s="253">
        <v>16.149999999999999</v>
      </c>
      <c r="J498" s="253">
        <v>16.12</v>
      </c>
      <c r="K498" s="253">
        <v>16.135000000000002</v>
      </c>
      <c r="L498" s="253">
        <v>16.344999999999999</v>
      </c>
      <c r="M498" s="253">
        <v>16.245000000000001</v>
      </c>
      <c r="N498" s="253">
        <v>16.204999999999998</v>
      </c>
      <c r="O498" s="253">
        <v>16.260000000000002</v>
      </c>
      <c r="P498" s="253">
        <v>16.425000000000001</v>
      </c>
      <c r="Q498" s="253">
        <v>16.37</v>
      </c>
      <c r="R498" s="253">
        <v>16.305</v>
      </c>
      <c r="S498" s="253">
        <v>16.38</v>
      </c>
      <c r="T498" s="253">
        <v>16.454999999999998</v>
      </c>
      <c r="U498" s="253">
        <v>16.48</v>
      </c>
      <c r="V498" s="253">
        <v>16.395</v>
      </c>
      <c r="W498" s="253">
        <v>16.395</v>
      </c>
      <c r="X498" s="253">
        <v>16.13</v>
      </c>
      <c r="Y498" s="253">
        <v>16.059999999999999</v>
      </c>
      <c r="Z498" s="247">
        <f>[1]ExtEntry!$J96</f>
        <v>0</v>
      </c>
      <c r="AB498" s="267">
        <v>-2850</v>
      </c>
      <c r="AC498" s="267">
        <v>3000</v>
      </c>
      <c r="AD498" s="267">
        <v>4680</v>
      </c>
      <c r="AE498" s="267">
        <v>-3254.9999999999418</v>
      </c>
      <c r="AF498" s="267">
        <v>3570</v>
      </c>
      <c r="AG498" s="267">
        <v>2430</v>
      </c>
      <c r="AH498" s="267">
        <v>-1380</v>
      </c>
      <c r="AI498" s="267">
        <v>-4920</v>
      </c>
      <c r="AJ498" s="267">
        <v>3704.9999999999418</v>
      </c>
      <c r="AK498" s="267">
        <v>-2220</v>
      </c>
      <c r="AL498" s="267">
        <v>3150</v>
      </c>
      <c r="AM498" s="267">
        <v>-3780</v>
      </c>
      <c r="AN498" s="267">
        <v>900</v>
      </c>
      <c r="AO498" s="267">
        <v>1440</v>
      </c>
      <c r="AP498" s="267">
        <v>540.00000000005821</v>
      </c>
      <c r="AQ498" s="267">
        <v>-3510</v>
      </c>
      <c r="AR498" s="267">
        <v>-540</v>
      </c>
      <c r="AS498" s="267">
        <v>-3780</v>
      </c>
      <c r="AT498" s="267">
        <v>-4590</v>
      </c>
      <c r="AU498" s="267">
        <v>-540.00000000005821</v>
      </c>
      <c r="AV498" s="263" t="e">
        <f t="shared" ca="1" si="38"/>
        <v>#VALUE!</v>
      </c>
      <c r="AX498" s="88" t="str">
        <f t="shared" ref="AX498" si="40">A498</f>
        <v>Total</v>
      </c>
    </row>
    <row r="499" spans="1:51">
      <c r="AX499" s="88"/>
    </row>
    <row r="500" spans="1:51">
      <c r="AX500" s="88"/>
      <c r="AY500" s="81"/>
    </row>
    <row r="501" spans="1:51">
      <c r="AX501" s="88"/>
    </row>
    <row r="502" spans="1:51">
      <c r="A502" s="88"/>
      <c r="E502" s="1264"/>
      <c r="F502" s="117">
        <f t="shared" ref="F502:Z502" ca="1" si="41">F402</f>
        <v>45929</v>
      </c>
      <c r="G502" s="117">
        <f t="shared" ca="1" si="41"/>
        <v>45930</v>
      </c>
      <c r="H502" s="117">
        <f t="shared" ca="1" si="41"/>
        <v>45931</v>
      </c>
      <c r="I502" s="117">
        <f t="shared" ca="1" si="41"/>
        <v>45932</v>
      </c>
      <c r="J502" s="117">
        <f t="shared" ca="1" si="41"/>
        <v>45933</v>
      </c>
      <c r="K502" s="117">
        <f t="shared" ca="1" si="41"/>
        <v>45936</v>
      </c>
      <c r="L502" s="117">
        <f t="shared" ca="1" si="41"/>
        <v>45937</v>
      </c>
      <c r="M502" s="117">
        <f t="shared" ca="1" si="41"/>
        <v>45938</v>
      </c>
      <c r="N502" s="117">
        <f t="shared" ca="1" si="41"/>
        <v>45939</v>
      </c>
      <c r="O502" s="117">
        <f t="shared" ca="1" si="41"/>
        <v>45940</v>
      </c>
      <c r="P502" s="117">
        <f t="shared" ca="1" si="41"/>
        <v>45943</v>
      </c>
      <c r="Q502" s="117">
        <f t="shared" ca="1" si="41"/>
        <v>45944</v>
      </c>
      <c r="R502" s="117">
        <f t="shared" ca="1" si="41"/>
        <v>45945</v>
      </c>
      <c r="S502" s="117">
        <f t="shared" ca="1" si="41"/>
        <v>45946</v>
      </c>
      <c r="T502" s="117">
        <f t="shared" ca="1" si="41"/>
        <v>45947</v>
      </c>
      <c r="U502" s="117">
        <f t="shared" ca="1" si="41"/>
        <v>45950</v>
      </c>
      <c r="V502" s="117">
        <f t="shared" ca="1" si="41"/>
        <v>45951</v>
      </c>
      <c r="W502" s="117">
        <f t="shared" ca="1" si="41"/>
        <v>45952</v>
      </c>
      <c r="X502" s="117">
        <f t="shared" ca="1" si="41"/>
        <v>45953</v>
      </c>
      <c r="Y502" s="117">
        <f t="shared" ca="1" si="41"/>
        <v>45954</v>
      </c>
      <c r="Z502" s="117">
        <f t="shared" ca="1" si="41"/>
        <v>45956</v>
      </c>
      <c r="AB502" s="117">
        <f t="shared" ref="AB502:AV502" ca="1" si="42">F402</f>
        <v>45929</v>
      </c>
      <c r="AC502" s="117">
        <f t="shared" ca="1" si="42"/>
        <v>45930</v>
      </c>
      <c r="AD502" s="117">
        <f t="shared" ca="1" si="42"/>
        <v>45931</v>
      </c>
      <c r="AE502" s="117">
        <f t="shared" ca="1" si="42"/>
        <v>45932</v>
      </c>
      <c r="AF502" s="117">
        <f t="shared" ca="1" si="42"/>
        <v>45933</v>
      </c>
      <c r="AG502" s="117">
        <f t="shared" ca="1" si="42"/>
        <v>45936</v>
      </c>
      <c r="AH502" s="117">
        <f t="shared" ca="1" si="42"/>
        <v>45937</v>
      </c>
      <c r="AI502" s="117">
        <f t="shared" ca="1" si="42"/>
        <v>45938</v>
      </c>
      <c r="AJ502" s="117">
        <f t="shared" ca="1" si="42"/>
        <v>45939</v>
      </c>
      <c r="AK502" s="117">
        <f t="shared" ca="1" si="42"/>
        <v>45940</v>
      </c>
      <c r="AL502" s="117">
        <f t="shared" ca="1" si="42"/>
        <v>45943</v>
      </c>
      <c r="AM502" s="117">
        <f t="shared" ca="1" si="42"/>
        <v>45944</v>
      </c>
      <c r="AN502" s="117">
        <f t="shared" ca="1" si="42"/>
        <v>45945</v>
      </c>
      <c r="AO502" s="117">
        <f t="shared" ca="1" si="42"/>
        <v>45946</v>
      </c>
      <c r="AP502" s="117">
        <f t="shared" ca="1" si="42"/>
        <v>45947</v>
      </c>
      <c r="AQ502" s="117">
        <f t="shared" ca="1" si="42"/>
        <v>45950</v>
      </c>
      <c r="AR502" s="117">
        <f t="shared" ca="1" si="42"/>
        <v>45951</v>
      </c>
      <c r="AS502" s="117">
        <f t="shared" ca="1" si="42"/>
        <v>45952</v>
      </c>
      <c r="AT502" s="117">
        <f t="shared" ca="1" si="42"/>
        <v>45953</v>
      </c>
      <c r="AU502" s="117">
        <f t="shared" ca="1" si="42"/>
        <v>45954</v>
      </c>
      <c r="AV502" s="117">
        <f t="shared" ca="1" si="42"/>
        <v>45956</v>
      </c>
    </row>
    <row r="503" spans="1:51">
      <c r="A503" s="88"/>
    </row>
    <row r="504" spans="1:51">
      <c r="A504" s="88"/>
      <c r="F504" s="268" t="s">
        <v>309</v>
      </c>
      <c r="G504" s="268" t="s">
        <v>310</v>
      </c>
      <c r="H504" s="268" t="s">
        <v>311</v>
      </c>
      <c r="I504" s="268" t="s">
        <v>312</v>
      </c>
      <c r="J504" s="268" t="s">
        <v>313</v>
      </c>
      <c r="K504" s="268" t="s">
        <v>314</v>
      </c>
      <c r="L504" s="268" t="s">
        <v>315</v>
      </c>
      <c r="M504" s="268" t="s">
        <v>316</v>
      </c>
      <c r="N504" s="268" t="s">
        <v>317</v>
      </c>
      <c r="O504" s="268" t="s">
        <v>318</v>
      </c>
      <c r="P504" s="268" t="s">
        <v>319</v>
      </c>
      <c r="Q504" s="268" t="s">
        <v>320</v>
      </c>
      <c r="R504" s="268" t="s">
        <v>321</v>
      </c>
      <c r="S504" s="268" t="s">
        <v>322</v>
      </c>
      <c r="T504" s="268" t="s">
        <v>323</v>
      </c>
      <c r="U504" s="268" t="s">
        <v>324</v>
      </c>
      <c r="V504" s="268" t="s">
        <v>325</v>
      </c>
      <c r="W504" s="268" t="s">
        <v>326</v>
      </c>
      <c r="X504" s="268" t="s">
        <v>327</v>
      </c>
      <c r="Y504" s="268" t="s">
        <v>328</v>
      </c>
      <c r="Z504" s="268" t="s">
        <v>329</v>
      </c>
      <c r="AB504" s="281" t="s">
        <v>1093</v>
      </c>
      <c r="AC504" s="281" t="s">
        <v>1094</v>
      </c>
      <c r="AD504" s="281" t="s">
        <v>1095</v>
      </c>
      <c r="AE504" s="281" t="s">
        <v>1096</v>
      </c>
      <c r="AF504" s="281" t="s">
        <v>1097</v>
      </c>
      <c r="AG504" s="281" t="s">
        <v>1098</v>
      </c>
      <c r="AH504" s="281" t="s">
        <v>1099</v>
      </c>
      <c r="AI504" s="281" t="s">
        <v>1100</v>
      </c>
      <c r="AJ504" s="281" t="s">
        <v>1101</v>
      </c>
      <c r="AK504" s="281" t="s">
        <v>1102</v>
      </c>
      <c r="AL504" s="281" t="s">
        <v>1103</v>
      </c>
      <c r="AM504" s="281" t="s">
        <v>1104</v>
      </c>
      <c r="AN504" s="281" t="s">
        <v>1105</v>
      </c>
      <c r="AO504" s="281" t="s">
        <v>1106</v>
      </c>
      <c r="AP504" s="281" t="s">
        <v>1107</v>
      </c>
      <c r="AQ504" s="281" t="s">
        <v>1108</v>
      </c>
      <c r="AR504" s="281" t="s">
        <v>1109</v>
      </c>
      <c r="AS504" s="281" t="s">
        <v>1110</v>
      </c>
      <c r="AT504" s="281" t="s">
        <v>1111</v>
      </c>
      <c r="AU504" s="281" t="s">
        <v>1112</v>
      </c>
      <c r="AV504" s="281" t="s">
        <v>1113</v>
      </c>
    </row>
    <row r="505" spans="1:51">
      <c r="A505" s="88" t="str">
        <f ca="1">A5</f>
        <v>AAPL</v>
      </c>
      <c r="F505" s="1209">
        <v>34.938600000000001</v>
      </c>
      <c r="G505" s="1209">
        <v>35.119900000000001</v>
      </c>
      <c r="H505" s="1209">
        <v>35.119799999999998</v>
      </c>
      <c r="I505" s="1209">
        <v>35.232900000000001</v>
      </c>
      <c r="J505" s="1209">
        <v>35.464599999999997</v>
      </c>
      <c r="K505" s="1209">
        <v>35.375100000000003</v>
      </c>
      <c r="L505" s="1209">
        <v>35.374899999999997</v>
      </c>
      <c r="M505" s="1209">
        <v>35.5929</v>
      </c>
      <c r="N505" s="1209">
        <v>35.038400000000003</v>
      </c>
      <c r="O505" s="1209">
        <v>34.1586</v>
      </c>
      <c r="P505" s="1209">
        <v>34.1738</v>
      </c>
      <c r="Q505" s="1209">
        <v>34.398600000000002</v>
      </c>
      <c r="R505" s="1209">
        <v>34.129600000000003</v>
      </c>
      <c r="S505" s="1209">
        <v>34.1295</v>
      </c>
      <c r="T505" s="1209">
        <v>34.796999999999997</v>
      </c>
      <c r="U505" s="1209">
        <v>36.169400000000003</v>
      </c>
      <c r="V505" s="1209">
        <v>35.646799999999999</v>
      </c>
      <c r="W505" s="1209">
        <v>35.646799999999999</v>
      </c>
      <c r="X505" s="1209">
        <v>35.802700000000002</v>
      </c>
      <c r="Y505" s="1209">
        <v>36.249499999999998</v>
      </c>
      <c r="Z505" s="1209">
        <f ca="1">[1]ExtEntry!$K3</f>
        <v>35.802500000000002</v>
      </c>
      <c r="AB505" s="264">
        <v>2659808.5499999998</v>
      </c>
      <c r="AC505" s="264">
        <v>2673615</v>
      </c>
      <c r="AD505" s="264">
        <v>2682225</v>
      </c>
      <c r="AE505" s="264">
        <v>2699865</v>
      </c>
      <c r="AF505" s="264">
        <v>2709210</v>
      </c>
      <c r="AG505" s="264">
        <v>2693040</v>
      </c>
      <c r="AH505" s="264">
        <v>2709630</v>
      </c>
      <c r="AI505" s="264">
        <v>2616612</v>
      </c>
      <c r="AJ505" s="264">
        <v>2616612</v>
      </c>
      <c r="AK505" s="264">
        <v>2600430</v>
      </c>
      <c r="AL505" s="264">
        <v>2601585</v>
      </c>
      <c r="AM505" s="264">
        <v>2618700</v>
      </c>
      <c r="AN505" s="264">
        <v>2598225</v>
      </c>
      <c r="AO505" s="264">
        <v>2649045</v>
      </c>
      <c r="AP505" s="264">
        <v>2753520</v>
      </c>
      <c r="AQ505" s="264">
        <v>2627700</v>
      </c>
      <c r="AR505" s="264">
        <v>2584500</v>
      </c>
      <c r="AS505" s="264">
        <v>2584500</v>
      </c>
      <c r="AT505" s="264">
        <v>2595800</v>
      </c>
      <c r="AU505" s="264">
        <v>2628200</v>
      </c>
      <c r="AV505" s="264">
        <f ca="1">Calc!F3</f>
        <v>2628200</v>
      </c>
      <c r="AX505" s="88" t="str">
        <f t="shared" ref="AX505:AX536" ca="1" si="43">A5</f>
        <v>AAPL</v>
      </c>
    </row>
    <row r="506" spans="1:51">
      <c r="A506" s="88" t="str">
        <f t="shared" ref="A506:A569" ca="1" si="44">A6</f>
        <v>ADEA</v>
      </c>
      <c r="F506" s="259">
        <v>22.454499999999999</v>
      </c>
      <c r="G506" s="259">
        <v>22.562999999999999</v>
      </c>
      <c r="H506" s="259">
        <v>22.657399999999999</v>
      </c>
      <c r="I506" s="259">
        <v>23.048500000000001</v>
      </c>
      <c r="J506" s="259">
        <v>23.358699999999999</v>
      </c>
      <c r="K506" s="259">
        <v>23.047899999999998</v>
      </c>
      <c r="L506" s="259">
        <v>23.048500000000001</v>
      </c>
      <c r="M506" s="259">
        <v>22.306699999999999</v>
      </c>
      <c r="N506" s="259">
        <v>22.1449</v>
      </c>
      <c r="O506" s="259">
        <v>21.2407</v>
      </c>
      <c r="P506" s="259">
        <v>22.360099999999999</v>
      </c>
      <c r="Q506" s="259">
        <v>23.1693</v>
      </c>
      <c r="R506" s="259">
        <v>23.2913</v>
      </c>
      <c r="S506" s="259">
        <v>22.4011</v>
      </c>
      <c r="T506" s="259">
        <v>22.3337</v>
      </c>
      <c r="U506" s="259">
        <v>22.643899999999999</v>
      </c>
      <c r="V506" s="259">
        <v>22.683700000000002</v>
      </c>
      <c r="W506" s="259">
        <v>22.683700000000002</v>
      </c>
      <c r="X506" s="259">
        <v>22.616299999999999</v>
      </c>
      <c r="Y506" s="259">
        <v>23.061399999999999</v>
      </c>
      <c r="Z506" s="1209">
        <f ca="1">[1]ExtEntry!$K4</f>
        <v>22.616900000000001</v>
      </c>
      <c r="AB506" s="267">
        <v>83250</v>
      </c>
      <c r="AC506" s="267">
        <v>84000</v>
      </c>
      <c r="AD506" s="267">
        <v>85450</v>
      </c>
      <c r="AE506" s="267">
        <v>86600</v>
      </c>
      <c r="AF506" s="267">
        <v>86450</v>
      </c>
      <c r="AG506" s="267">
        <v>85450</v>
      </c>
      <c r="AH506" s="267">
        <v>82700</v>
      </c>
      <c r="AI506" s="267">
        <v>82100.000000000015</v>
      </c>
      <c r="AJ506" s="267">
        <v>82100.000000000015</v>
      </c>
      <c r="AK506" s="267">
        <v>78750</v>
      </c>
      <c r="AL506" s="267">
        <v>82899.999999999985</v>
      </c>
      <c r="AM506" s="267">
        <v>85900</v>
      </c>
      <c r="AN506" s="267">
        <v>83050</v>
      </c>
      <c r="AO506" s="267">
        <v>82800</v>
      </c>
      <c r="AP506" s="267">
        <v>83950</v>
      </c>
      <c r="AQ506" s="267">
        <v>85050.000000000015</v>
      </c>
      <c r="AR506" s="267">
        <v>84100</v>
      </c>
      <c r="AS506" s="267">
        <v>84100</v>
      </c>
      <c r="AT506" s="267">
        <v>83850</v>
      </c>
      <c r="AU506" s="267">
        <v>85500</v>
      </c>
      <c r="AV506" s="264">
        <f ca="1">Calc!F4</f>
        <v>85500</v>
      </c>
      <c r="AX506" s="88" t="str">
        <f t="shared" ca="1" si="43"/>
        <v>ADEA</v>
      </c>
    </row>
    <row r="507" spans="1:51">
      <c r="A507" s="88" t="str">
        <f t="shared" ca="1" si="44"/>
        <v>AET</v>
      </c>
      <c r="F507" s="1209">
        <v>4.2431000000000001</v>
      </c>
      <c r="G507" s="1209">
        <v>4.2708000000000004</v>
      </c>
      <c r="H507" s="1209">
        <v>4.0972</v>
      </c>
      <c r="I507" s="1209">
        <v>4.1493000000000002</v>
      </c>
      <c r="J507" s="1209">
        <v>4.0625</v>
      </c>
      <c r="K507" s="1209">
        <v>4.0190999999999999</v>
      </c>
      <c r="L507" s="1209">
        <v>4.0278</v>
      </c>
      <c r="M507" s="1209">
        <v>3.9136000000000002</v>
      </c>
      <c r="N507" s="1209">
        <v>3.9215</v>
      </c>
      <c r="O507" s="1209">
        <v>3.7326000000000001</v>
      </c>
      <c r="P507" s="1209">
        <v>3.7326000000000001</v>
      </c>
      <c r="Q507" s="1209">
        <v>3.6545000000000001</v>
      </c>
      <c r="R507" s="1209">
        <v>3.5590000000000002</v>
      </c>
      <c r="S507" s="1209">
        <v>3.5590000000000002</v>
      </c>
      <c r="T507" s="1209">
        <v>3.6718999999999999</v>
      </c>
      <c r="U507" s="1209">
        <v>3.6718999999999999</v>
      </c>
      <c r="V507" s="1209">
        <v>3.7326000000000001</v>
      </c>
      <c r="W507" s="1209">
        <v>3.7326000000000001</v>
      </c>
      <c r="X507" s="1209">
        <v>3.7673999999999999</v>
      </c>
      <c r="Y507" s="1209">
        <v>3.9756999999999998</v>
      </c>
      <c r="Z507" s="1209">
        <f ca="1">[1]ExtEntry!$K5</f>
        <v>3.8542000000000001</v>
      </c>
      <c r="AB507" s="264">
        <v>382980</v>
      </c>
      <c r="AC507" s="264">
        <v>383760</v>
      </c>
      <c r="AD507" s="264">
        <v>368160</v>
      </c>
      <c r="AE507" s="264">
        <v>372840</v>
      </c>
      <c r="AF507" s="264">
        <v>365040</v>
      </c>
      <c r="AG507" s="264">
        <v>361140</v>
      </c>
      <c r="AH507" s="264">
        <v>361920</v>
      </c>
      <c r="AI507" s="264">
        <v>364800</v>
      </c>
      <c r="AJ507" s="264">
        <v>361408</v>
      </c>
      <c r="AK507" s="264">
        <v>355060</v>
      </c>
      <c r="AL507" s="264">
        <v>351780</v>
      </c>
      <c r="AM507" s="264">
        <v>345220</v>
      </c>
      <c r="AN507" s="264">
        <v>336200</v>
      </c>
      <c r="AO507" s="264">
        <v>344400</v>
      </c>
      <c r="AP507" s="264">
        <v>346860</v>
      </c>
      <c r="AQ507" s="264">
        <v>352600</v>
      </c>
      <c r="AR507" s="264">
        <v>355880</v>
      </c>
      <c r="AS507" s="264">
        <v>355880</v>
      </c>
      <c r="AT507" s="264">
        <v>364080</v>
      </c>
      <c r="AU507" s="264">
        <v>375560</v>
      </c>
      <c r="AV507" s="264">
        <f ca="1">Calc!F5</f>
        <v>375560</v>
      </c>
      <c r="AX507" s="88" t="str">
        <f t="shared" ca="1" si="43"/>
        <v>AET</v>
      </c>
    </row>
    <row r="508" spans="1:51">
      <c r="A508" s="88" t="str">
        <f t="shared" ca="1" si="44"/>
        <v>AMZN</v>
      </c>
      <c r="F508" s="259">
        <v>33.7286</v>
      </c>
      <c r="G508" s="259">
        <v>33.9026</v>
      </c>
      <c r="H508" s="259">
        <v>33.505899999999997</v>
      </c>
      <c r="I508" s="259">
        <v>33.6676</v>
      </c>
      <c r="J508" s="259">
        <v>33.9392</v>
      </c>
      <c r="K508" s="259">
        <v>33.843000000000004</v>
      </c>
      <c r="L508" s="259">
        <v>33.8431</v>
      </c>
      <c r="M508" s="259">
        <v>34.368000000000002</v>
      </c>
      <c r="N508" s="259">
        <v>34.752600000000001</v>
      </c>
      <c r="O508" s="259">
        <v>33.582099999999997</v>
      </c>
      <c r="P508" s="259">
        <v>33.020499999999998</v>
      </c>
      <c r="Q508" s="259">
        <v>32.832799999999999</v>
      </c>
      <c r="R508" s="259">
        <v>32.727499999999999</v>
      </c>
      <c r="S508" s="259">
        <v>32.727600000000002</v>
      </c>
      <c r="T508" s="259">
        <v>32.509399999999999</v>
      </c>
      <c r="U508" s="259">
        <v>33.034300000000002</v>
      </c>
      <c r="V508" s="259">
        <v>33.258600000000001</v>
      </c>
      <c r="W508" s="259">
        <v>33.258600000000001</v>
      </c>
      <c r="X508" s="259">
        <v>33.737699999999997</v>
      </c>
      <c r="Y508" s="259">
        <v>34.213799999999999</v>
      </c>
      <c r="Z508" s="1209">
        <f ca="1">[1]ExtEntry!$K6</f>
        <v>33.7378</v>
      </c>
      <c r="AB508" s="267">
        <v>2652360</v>
      </c>
      <c r="AC508" s="267">
        <v>2634840</v>
      </c>
      <c r="AD508" s="267">
        <v>2647560</v>
      </c>
      <c r="AE508" s="267">
        <v>2668920</v>
      </c>
      <c r="AF508" s="267">
        <v>2634120</v>
      </c>
      <c r="AG508" s="267">
        <v>2661360</v>
      </c>
      <c r="AH508" s="267">
        <v>2702640</v>
      </c>
      <c r="AI508" s="267">
        <v>2732880</v>
      </c>
      <c r="AJ508" s="267">
        <v>2732880</v>
      </c>
      <c r="AK508" s="267">
        <v>2640840</v>
      </c>
      <c r="AL508" s="267">
        <v>2596680</v>
      </c>
      <c r="AM508" s="267">
        <v>2581920</v>
      </c>
      <c r="AN508" s="267">
        <v>2573640</v>
      </c>
      <c r="AO508" s="267">
        <v>2556480</v>
      </c>
      <c r="AP508" s="267">
        <v>2597760</v>
      </c>
      <c r="AQ508" s="267">
        <v>2664360</v>
      </c>
      <c r="AR508" s="267">
        <v>2615400</v>
      </c>
      <c r="AS508" s="267">
        <v>2615400</v>
      </c>
      <c r="AT508" s="267">
        <v>2653080</v>
      </c>
      <c r="AU508" s="267">
        <v>2690520</v>
      </c>
      <c r="AV508" s="264">
        <f ca="1">Calc!F6</f>
        <v>2690520</v>
      </c>
      <c r="AX508" s="88" t="str">
        <f t="shared" ca="1" si="43"/>
        <v>AMZN</v>
      </c>
    </row>
    <row r="509" spans="1:51">
      <c r="A509" s="88" t="str">
        <f t="shared" ca="1" si="44"/>
        <v>ALDNE</v>
      </c>
      <c r="F509" s="1209">
        <v>0</v>
      </c>
      <c r="G509" s="1209">
        <v>0</v>
      </c>
      <c r="H509" s="1209">
        <v>0</v>
      </c>
      <c r="I509" s="1209">
        <v>0</v>
      </c>
      <c r="J509" s="1209">
        <v>0</v>
      </c>
      <c r="K509" s="1209">
        <v>0</v>
      </c>
      <c r="L509" s="1209">
        <v>0</v>
      </c>
      <c r="M509" s="1209">
        <v>0</v>
      </c>
      <c r="N509" s="1209">
        <v>0</v>
      </c>
      <c r="O509" s="1209">
        <v>0</v>
      </c>
      <c r="P509" s="1209">
        <v>0</v>
      </c>
      <c r="Q509" s="1209">
        <v>0</v>
      </c>
      <c r="R509" s="1209">
        <v>0</v>
      </c>
      <c r="S509" s="1209">
        <v>0</v>
      </c>
      <c r="T509" s="1209">
        <v>0</v>
      </c>
      <c r="U509" s="1209">
        <v>0</v>
      </c>
      <c r="V509" s="1209">
        <v>0</v>
      </c>
      <c r="W509" s="1209">
        <v>0</v>
      </c>
      <c r="X509" s="1209">
        <v>0</v>
      </c>
      <c r="Y509" s="1209">
        <v>0</v>
      </c>
      <c r="Z509" s="1209">
        <f ca="1">[1]ExtEntry!$K7</f>
        <v>0</v>
      </c>
      <c r="AB509" s="264">
        <v>2190980</v>
      </c>
      <c r="AC509" s="264">
        <v>2196040</v>
      </c>
      <c r="AD509" s="264">
        <v>2226400</v>
      </c>
      <c r="AE509" s="264">
        <v>2201100</v>
      </c>
      <c r="AF509" s="264">
        <v>2196040</v>
      </c>
      <c r="AG509" s="264">
        <v>2125200</v>
      </c>
      <c r="AH509" s="264">
        <v>2079659.9999999998</v>
      </c>
      <c r="AI509" s="264">
        <v>2079659.9999999998</v>
      </c>
      <c r="AJ509" s="264">
        <v>2079659.9999999998</v>
      </c>
      <c r="AK509" s="264">
        <v>2120140</v>
      </c>
      <c r="AL509" s="264">
        <v>2125200</v>
      </c>
      <c r="AM509" s="264">
        <v>2120140</v>
      </c>
      <c r="AN509" s="264">
        <v>2099900</v>
      </c>
      <c r="AO509" s="264">
        <v>2099900</v>
      </c>
      <c r="AP509" s="264">
        <v>2074599.9999999998</v>
      </c>
      <c r="AQ509" s="264">
        <v>2099900</v>
      </c>
      <c r="AR509" s="264">
        <v>2125200</v>
      </c>
      <c r="AS509" s="264">
        <v>2125200</v>
      </c>
      <c r="AT509" s="264">
        <v>2120140</v>
      </c>
      <c r="AU509" s="264">
        <v>2089780</v>
      </c>
      <c r="AV509" s="264">
        <f ca="1">Calc!F7</f>
        <v>2089780</v>
      </c>
      <c r="AX509" s="88" t="str">
        <f t="shared" ca="1" si="43"/>
        <v>ALDNE</v>
      </c>
    </row>
    <row r="510" spans="1:51">
      <c r="A510" s="88" t="str">
        <f t="shared" ca="1" si="44"/>
        <v>ASML</v>
      </c>
      <c r="F510" s="259">
        <v>31.696200000000001</v>
      </c>
      <c r="G510" s="259">
        <v>31.796099999999999</v>
      </c>
      <c r="H510" s="259">
        <v>32.306699999999999</v>
      </c>
      <c r="I510" s="259">
        <v>33.6967</v>
      </c>
      <c r="J510" s="259">
        <v>33.792700000000004</v>
      </c>
      <c r="K510" s="259">
        <v>33.589199999999998</v>
      </c>
      <c r="L510" s="259">
        <v>32.706099999999999</v>
      </c>
      <c r="M510" s="259">
        <v>32.629300000000001</v>
      </c>
      <c r="N510" s="259">
        <v>32.341299999999997</v>
      </c>
      <c r="O510" s="259">
        <v>32.406599999999997</v>
      </c>
      <c r="P510" s="259">
        <v>32.506399999999999</v>
      </c>
      <c r="Q510" s="259">
        <v>33.520099999999999</v>
      </c>
      <c r="R510" s="259">
        <v>33.689</v>
      </c>
      <c r="S510" s="259">
        <v>33.689</v>
      </c>
      <c r="T510" s="259">
        <v>34.5184</v>
      </c>
      <c r="U510" s="259">
        <v>34.165100000000002</v>
      </c>
      <c r="V510" s="259">
        <v>34.165100000000002</v>
      </c>
      <c r="W510" s="259">
        <v>34.165100000000002</v>
      </c>
      <c r="X510" s="259">
        <v>33.408700000000003</v>
      </c>
      <c r="Y510" s="259">
        <v>34.341799999999999</v>
      </c>
      <c r="Z510" s="1209">
        <f ca="1">[1]ExtEntry!$K8</f>
        <v>34.084499999999998</v>
      </c>
      <c r="AB510" s="267">
        <v>3136900</v>
      </c>
      <c r="AC510" s="267">
        <v>3395210</v>
      </c>
      <c r="AD510" s="267">
        <v>3449740</v>
      </c>
      <c r="AE510" s="267">
        <v>3422640</v>
      </c>
      <c r="AF510" s="267">
        <v>3432390</v>
      </c>
      <c r="AG510" s="267">
        <v>3324240</v>
      </c>
      <c r="AH510" s="267">
        <v>3236840</v>
      </c>
      <c r="AI510" s="267">
        <v>3229240</v>
      </c>
      <c r="AJ510" s="267">
        <v>3200740</v>
      </c>
      <c r="AK510" s="267">
        <v>3376000</v>
      </c>
      <c r="AL510" s="267">
        <v>3386400</v>
      </c>
      <c r="AM510" s="267">
        <v>3492000</v>
      </c>
      <c r="AN510" s="267">
        <v>3421860</v>
      </c>
      <c r="AO510" s="267">
        <v>3327660</v>
      </c>
      <c r="AP510" s="267">
        <v>3416200</v>
      </c>
      <c r="AQ510" s="267">
        <v>3381240</v>
      </c>
      <c r="AR510" s="267">
        <v>3306380</v>
      </c>
      <c r="AS510" s="267">
        <v>3306380</v>
      </c>
      <c r="AT510" s="267">
        <v>3373260</v>
      </c>
      <c r="AU510" s="267">
        <v>3309280</v>
      </c>
      <c r="AV510" s="264">
        <f ca="1">Calc!F8</f>
        <v>3309280</v>
      </c>
      <c r="AX510" s="88" t="str">
        <f t="shared" ca="1" si="43"/>
        <v>ASML</v>
      </c>
    </row>
    <row r="511" spans="1:51">
      <c r="A511" s="88" t="str">
        <f t="shared" ca="1" si="44"/>
        <v>AZN</v>
      </c>
      <c r="F511" s="259">
        <v>99</v>
      </c>
      <c r="G511" s="259">
        <v>84.055800000000005</v>
      </c>
      <c r="H511" s="259">
        <v>84.571100000000001</v>
      </c>
      <c r="I511" s="259">
        <v>85.463099999999997</v>
      </c>
      <c r="J511" s="259">
        <v>86.7393</v>
      </c>
      <c r="K511" s="259">
        <v>86.236900000000006</v>
      </c>
      <c r="L511" s="259">
        <v>86.237300000000005</v>
      </c>
      <c r="M511" s="259">
        <v>88.567499999999995</v>
      </c>
      <c r="N511" s="259">
        <v>88.444400000000002</v>
      </c>
      <c r="O511" s="259">
        <v>91.438100000000006</v>
      </c>
      <c r="P511" s="259">
        <v>88.215800000000002</v>
      </c>
      <c r="Q511" s="259">
        <v>89.923100000000005</v>
      </c>
      <c r="R511" s="259">
        <v>90.784400000000005</v>
      </c>
      <c r="S511" s="259">
        <v>90.784899999999993</v>
      </c>
      <c r="T511" s="259">
        <v>89.549300000000002</v>
      </c>
      <c r="U511" s="259">
        <v>87.838999999999999</v>
      </c>
      <c r="V511" s="259">
        <v>87.233999999999995</v>
      </c>
      <c r="W511" s="259">
        <v>87.233999999999995</v>
      </c>
      <c r="X511" s="259">
        <v>88.256900000000002</v>
      </c>
      <c r="Y511" s="259">
        <v>90.779300000000006</v>
      </c>
      <c r="Z511" s="1209">
        <f ca="1">[1]ExtEntry!$K9</f>
        <v>31.358000000000001</v>
      </c>
      <c r="AB511" s="267">
        <v>115927.00000000001</v>
      </c>
      <c r="AC511" s="267">
        <v>115468.50000000001</v>
      </c>
      <c r="AD511" s="267">
        <v>116686.5</v>
      </c>
      <c r="AE511" s="267">
        <v>118363</v>
      </c>
      <c r="AF511" s="267">
        <v>118429.5</v>
      </c>
      <c r="AG511" s="267">
        <v>117743.50000000001</v>
      </c>
      <c r="AH511" s="267">
        <v>120925</v>
      </c>
      <c r="AI511" s="267">
        <v>65553.8</v>
      </c>
      <c r="AJ511" s="267">
        <v>65553.8</v>
      </c>
      <c r="AK511" s="267">
        <v>142680</v>
      </c>
      <c r="AL511" s="267">
        <v>137652</v>
      </c>
      <c r="AM511" s="267">
        <v>140316</v>
      </c>
      <c r="AN511" s="267">
        <v>141660</v>
      </c>
      <c r="AO511" s="267">
        <v>139732</v>
      </c>
      <c r="AP511" s="267">
        <v>139696</v>
      </c>
      <c r="AQ511" s="267">
        <v>137064</v>
      </c>
      <c r="AR511" s="267">
        <v>136120</v>
      </c>
      <c r="AS511" s="267">
        <v>136120</v>
      </c>
      <c r="AT511" s="267">
        <v>137716</v>
      </c>
      <c r="AU511" s="267">
        <v>141652</v>
      </c>
      <c r="AV511" s="264">
        <f ca="1">Calc!F9</f>
        <v>41645</v>
      </c>
      <c r="AX511" s="88" t="str">
        <f t="shared" ca="1" si="43"/>
        <v>AZN</v>
      </c>
    </row>
    <row r="512" spans="1:51" hidden="1">
      <c r="A512" s="88" t="str">
        <f t="shared" ca="1" si="44"/>
        <v>BLDP</v>
      </c>
      <c r="F512" s="259">
        <v>0</v>
      </c>
      <c r="G512" s="259">
        <v>84.055800000000005</v>
      </c>
      <c r="H512" s="259">
        <v>84.571100000000001</v>
      </c>
      <c r="I512" s="259">
        <v>85.463099999999997</v>
      </c>
      <c r="J512" s="259">
        <v>86.7393</v>
      </c>
      <c r="K512" s="259">
        <v>86.236900000000006</v>
      </c>
      <c r="L512" s="259">
        <v>86.237300000000005</v>
      </c>
      <c r="M512" s="259">
        <v>88.567499999999995</v>
      </c>
      <c r="N512" s="259">
        <v>88.444400000000002</v>
      </c>
      <c r="O512" s="259">
        <v>91.438100000000006</v>
      </c>
      <c r="P512" s="259">
        <v>88.215800000000002</v>
      </c>
      <c r="Q512" s="259">
        <v>89.923100000000005</v>
      </c>
      <c r="R512" s="259">
        <v>90.784400000000005</v>
      </c>
      <c r="S512" s="259">
        <v>90.784899999999993</v>
      </c>
      <c r="T512" s="259">
        <v>89.549300000000002</v>
      </c>
      <c r="U512" s="259">
        <v>87.838999999999999</v>
      </c>
      <c r="V512" s="259">
        <v>87.233999999999995</v>
      </c>
      <c r="W512" s="259">
        <v>87.233999999999995</v>
      </c>
      <c r="X512" s="259">
        <v>88.256900000000002</v>
      </c>
      <c r="Y512" s="259">
        <v>90.779300000000006</v>
      </c>
      <c r="Z512" s="1209">
        <f ca="1">[1]ExtEntry!$K9</f>
        <v>31.358000000000001</v>
      </c>
      <c r="AB512" s="264">
        <v>73960</v>
      </c>
      <c r="AC512" s="264">
        <v>76720</v>
      </c>
      <c r="AD512" s="264">
        <v>84360</v>
      </c>
      <c r="AE512" s="264">
        <v>83650</v>
      </c>
      <c r="AF512" s="264">
        <v>85310</v>
      </c>
      <c r="AG512" s="264">
        <v>85870</v>
      </c>
      <c r="AH512" s="264">
        <v>85380</v>
      </c>
      <c r="AI512" s="264">
        <v>42520</v>
      </c>
      <c r="AJ512" s="264">
        <v>42520</v>
      </c>
      <c r="AK512" s="264">
        <v>42255</v>
      </c>
      <c r="AL512" s="264">
        <v>42560</v>
      </c>
      <c r="AM512" s="264">
        <v>42472.5</v>
      </c>
      <c r="AN512" s="264">
        <v>41915</v>
      </c>
      <c r="AO512" s="264">
        <v>42345</v>
      </c>
      <c r="AP512" s="264">
        <v>41935</v>
      </c>
      <c r="AQ512" s="264">
        <v>41610</v>
      </c>
      <c r="AR512" s="264">
        <v>41715</v>
      </c>
      <c r="AS512" s="264">
        <v>41715</v>
      </c>
      <c r="AT512" s="264">
        <v>41700</v>
      </c>
      <c r="AU512" s="264">
        <v>41645</v>
      </c>
      <c r="AV512" s="264">
        <f ca="1">Calc!F10</f>
        <v>68800</v>
      </c>
      <c r="AX512" s="88" t="str">
        <f t="shared" ca="1" si="43"/>
        <v>BLDP</v>
      </c>
    </row>
    <row r="513" spans="1:50" hidden="1">
      <c r="A513" s="88" t="str">
        <f t="shared" ca="1" si="44"/>
        <v>BMRA</v>
      </c>
      <c r="F513" s="259">
        <v>27.845300000000002</v>
      </c>
      <c r="G513" s="259">
        <v>27.909099999999999</v>
      </c>
      <c r="H513" s="259">
        <v>28.8842</v>
      </c>
      <c r="I513" s="259">
        <v>31.7606</v>
      </c>
      <c r="J513" s="259">
        <v>31.493200000000002</v>
      </c>
      <c r="K513" s="259">
        <v>32.3294</v>
      </c>
      <c r="L513" s="259">
        <v>32.329099999999997</v>
      </c>
      <c r="M513" s="259">
        <v>32.144599999999997</v>
      </c>
      <c r="N513" s="259">
        <v>32.016599999999997</v>
      </c>
      <c r="O513" s="259">
        <v>31.817299999999999</v>
      </c>
      <c r="P513" s="259">
        <v>32.046999999999997</v>
      </c>
      <c r="Q513" s="259">
        <v>31.981100000000001</v>
      </c>
      <c r="R513" s="259">
        <v>31.561299999999999</v>
      </c>
      <c r="S513" s="259">
        <v>31.561</v>
      </c>
      <c r="T513" s="259">
        <v>31.884799999999998</v>
      </c>
      <c r="U513" s="259">
        <v>31.331700000000001</v>
      </c>
      <c r="V513" s="259">
        <v>31.410699999999999</v>
      </c>
      <c r="W513" s="259">
        <v>31.410699999999999</v>
      </c>
      <c r="X513" s="259">
        <v>31.3994</v>
      </c>
      <c r="Y513" s="259">
        <v>31.358000000000001</v>
      </c>
      <c r="Z513" s="1209">
        <f ca="1">[1]ExtEntry!$K10</f>
        <v>0</v>
      </c>
      <c r="AB513" s="267">
        <v>70327.399999999994</v>
      </c>
      <c r="AC513" s="267">
        <v>70720</v>
      </c>
      <c r="AD513" s="267">
        <v>76960</v>
      </c>
      <c r="AE513" s="267">
        <v>74620</v>
      </c>
      <c r="AF513" s="267">
        <v>91780</v>
      </c>
      <c r="AG513" s="267">
        <v>94380</v>
      </c>
      <c r="AH513" s="267">
        <v>93860</v>
      </c>
      <c r="AI513" s="267">
        <v>93340</v>
      </c>
      <c r="AJ513" s="267">
        <v>93340</v>
      </c>
      <c r="AK513" s="267">
        <v>69800</v>
      </c>
      <c r="AL513" s="267">
        <v>79600</v>
      </c>
      <c r="AM513" s="267">
        <v>75500</v>
      </c>
      <c r="AN513" s="267">
        <v>73400</v>
      </c>
      <c r="AO513" s="267">
        <v>72600</v>
      </c>
      <c r="AP513" s="267">
        <v>72800</v>
      </c>
      <c r="AQ513" s="267">
        <v>66600</v>
      </c>
      <c r="AR513" s="267">
        <v>65600</v>
      </c>
      <c r="AS513" s="267">
        <v>65600</v>
      </c>
      <c r="AT513" s="267">
        <v>65600</v>
      </c>
      <c r="AU513" s="267">
        <v>68800</v>
      </c>
      <c r="AV513" s="264">
        <f ca="1">Calc!F11</f>
        <v>37000</v>
      </c>
      <c r="AX513" s="88" t="str">
        <f t="shared" ca="1" si="43"/>
        <v>BMRA</v>
      </c>
    </row>
    <row r="514" spans="1:50" hidden="1">
      <c r="A514" s="88" t="str">
        <f t="shared" ca="1" si="44"/>
        <v>C</v>
      </c>
      <c r="F514" s="259">
        <v>0</v>
      </c>
      <c r="G514" s="259">
        <v>0</v>
      </c>
      <c r="H514" s="259">
        <v>0</v>
      </c>
      <c r="I514" s="259">
        <v>0</v>
      </c>
      <c r="J514" s="259">
        <v>0</v>
      </c>
      <c r="K514" s="259">
        <v>0</v>
      </c>
      <c r="L514" s="259">
        <v>0</v>
      </c>
      <c r="M514" s="259">
        <v>0</v>
      </c>
      <c r="N514" s="259">
        <v>0</v>
      </c>
      <c r="O514" s="259">
        <v>0</v>
      </c>
      <c r="P514" s="259">
        <v>0</v>
      </c>
      <c r="Q514" s="259">
        <v>0</v>
      </c>
      <c r="R514" s="259">
        <v>0</v>
      </c>
      <c r="S514" s="259">
        <v>0</v>
      </c>
      <c r="T514" s="259">
        <v>0</v>
      </c>
      <c r="U514" s="259">
        <v>0</v>
      </c>
      <c r="V514" s="259">
        <v>0</v>
      </c>
      <c r="W514" s="259">
        <v>0</v>
      </c>
      <c r="X514" s="259">
        <v>0</v>
      </c>
      <c r="Y514" s="259">
        <v>0</v>
      </c>
      <c r="Z514" s="1209">
        <f ca="1">[1]ExtEntry!$K11</f>
        <v>0</v>
      </c>
      <c r="AB514" s="264">
        <v>35125</v>
      </c>
      <c r="AC514" s="264">
        <v>35375</v>
      </c>
      <c r="AD514" s="264">
        <v>35250</v>
      </c>
      <c r="AE514" s="264">
        <v>34500</v>
      </c>
      <c r="AF514" s="264">
        <v>35000</v>
      </c>
      <c r="AG514" s="264">
        <v>35500</v>
      </c>
      <c r="AH514" s="264">
        <v>36000</v>
      </c>
      <c r="AI514" s="264">
        <v>36875</v>
      </c>
      <c r="AJ514" s="264">
        <v>36875</v>
      </c>
      <c r="AK514" s="264">
        <v>35000</v>
      </c>
      <c r="AL514" s="264">
        <v>36000</v>
      </c>
      <c r="AM514" s="264">
        <v>35750</v>
      </c>
      <c r="AN514" s="264">
        <v>37625</v>
      </c>
      <c r="AO514" s="264">
        <v>37250</v>
      </c>
      <c r="AP514" s="264">
        <v>39000</v>
      </c>
      <c r="AQ514" s="264">
        <v>40000</v>
      </c>
      <c r="AR514" s="264">
        <v>36625</v>
      </c>
      <c r="AS514" s="264">
        <v>36625</v>
      </c>
      <c r="AT514" s="264">
        <v>36375</v>
      </c>
      <c r="AU514" s="264">
        <v>37000</v>
      </c>
      <c r="AV514" s="264">
        <f ca="1">Calc!F12</f>
        <v>493.9</v>
      </c>
      <c r="AX514" s="88" t="str">
        <f t="shared" ca="1" si="43"/>
        <v>C</v>
      </c>
    </row>
    <row r="515" spans="1:50" hidden="1">
      <c r="A515" s="88" t="str">
        <f t="shared" ca="1" si="44"/>
        <v>CSCO</v>
      </c>
      <c r="F515" s="259">
        <v>0</v>
      </c>
      <c r="G515" s="259">
        <v>0</v>
      </c>
      <c r="H515" s="259">
        <v>0</v>
      </c>
      <c r="I515" s="259">
        <v>0</v>
      </c>
      <c r="J515" s="259">
        <v>0</v>
      </c>
      <c r="K515" s="259">
        <v>0</v>
      </c>
      <c r="L515" s="259">
        <v>0</v>
      </c>
      <c r="M515" s="259">
        <v>0</v>
      </c>
      <c r="N515" s="259">
        <v>0</v>
      </c>
      <c r="O515" s="259">
        <v>0</v>
      </c>
      <c r="P515" s="259">
        <v>0</v>
      </c>
      <c r="Q515" s="259">
        <v>0</v>
      </c>
      <c r="R515" s="259">
        <v>0</v>
      </c>
      <c r="S515" s="259">
        <v>0</v>
      </c>
      <c r="T515" s="259">
        <v>0</v>
      </c>
      <c r="U515" s="259">
        <v>0</v>
      </c>
      <c r="V515" s="259">
        <v>0</v>
      </c>
      <c r="W515" s="259">
        <v>0</v>
      </c>
      <c r="X515" s="259">
        <v>0</v>
      </c>
      <c r="Y515" s="259">
        <v>0</v>
      </c>
      <c r="Z515" s="1209">
        <f ca="1">[1]ExtEntry!$K12</f>
        <v>13.5923</v>
      </c>
      <c r="AB515" s="267">
        <v>515.70000000000005</v>
      </c>
      <c r="AC515" s="267">
        <v>507.45</v>
      </c>
      <c r="AD515" s="267">
        <v>493.54999999999995</v>
      </c>
      <c r="AE515" s="267">
        <v>486.59999999999997</v>
      </c>
      <c r="AF515" s="267">
        <v>488.57500000000005</v>
      </c>
      <c r="AG515" s="267">
        <v>489</v>
      </c>
      <c r="AH515" s="267">
        <v>483.6</v>
      </c>
      <c r="AI515" s="267">
        <v>479.6</v>
      </c>
      <c r="AJ515" s="267">
        <v>479.6</v>
      </c>
      <c r="AK515" s="267">
        <v>480.4</v>
      </c>
      <c r="AL515" s="267">
        <v>499.05</v>
      </c>
      <c r="AM515" s="267">
        <v>496.23500000000001</v>
      </c>
      <c r="AN515" s="267">
        <v>481.4</v>
      </c>
      <c r="AO515" s="267">
        <v>485.34999999999997</v>
      </c>
      <c r="AP515" s="267">
        <v>496.45000000000005</v>
      </c>
      <c r="AQ515" s="267">
        <v>491.25</v>
      </c>
      <c r="AR515" s="267">
        <v>481.59999999999997</v>
      </c>
      <c r="AS515" s="267">
        <v>481.59999999999997</v>
      </c>
      <c r="AT515" s="267">
        <v>483.29999999999995</v>
      </c>
      <c r="AU515" s="267">
        <v>493.97500000000002</v>
      </c>
      <c r="AV515" s="264">
        <f ca="1">Calc!F13</f>
        <v>70630</v>
      </c>
      <c r="AX515" s="88" t="str">
        <f t="shared" ca="1" si="43"/>
        <v>CSCO</v>
      </c>
    </row>
    <row r="516" spans="1:50" hidden="1">
      <c r="A516" s="88" t="str">
        <f t="shared" ca="1" si="44"/>
        <v>CVS</v>
      </c>
      <c r="F516" s="259">
        <v>15.247199999999999</v>
      </c>
      <c r="G516" s="259">
        <v>15.003299999999999</v>
      </c>
      <c r="H516" s="259">
        <v>14.5924</v>
      </c>
      <c r="I516" s="259">
        <v>14.386900000000001</v>
      </c>
      <c r="J516" s="259">
        <v>14.4453</v>
      </c>
      <c r="K516" s="259">
        <v>14.457800000000001</v>
      </c>
      <c r="L516" s="259">
        <v>14.2982</v>
      </c>
      <c r="M516" s="259">
        <v>14.1799</v>
      </c>
      <c r="N516" s="259">
        <v>14.1798</v>
      </c>
      <c r="O516" s="259">
        <v>14.2036</v>
      </c>
      <c r="P516" s="259">
        <v>14.755000000000001</v>
      </c>
      <c r="Q516" s="259">
        <v>13.951700000000001</v>
      </c>
      <c r="R516" s="259">
        <v>14.0266</v>
      </c>
      <c r="S516" s="259">
        <v>13.5318</v>
      </c>
      <c r="T516" s="259">
        <v>13.957800000000001</v>
      </c>
      <c r="U516" s="259">
        <v>13.8116</v>
      </c>
      <c r="V516" s="259">
        <v>13.5403</v>
      </c>
      <c r="W516" s="259">
        <v>13.5403</v>
      </c>
      <c r="X516" s="259">
        <v>13.588100000000001</v>
      </c>
      <c r="Y516" s="259">
        <v>13.888199999999999</v>
      </c>
      <c r="Z516" s="1209">
        <f ca="1">[1]ExtEntry!$K13</f>
        <v>29.7059</v>
      </c>
      <c r="AB516" s="264">
        <v>135050</v>
      </c>
      <c r="AC516" s="264">
        <v>136840</v>
      </c>
      <c r="AD516" s="264">
        <v>137500</v>
      </c>
      <c r="AE516" s="264">
        <v>136620</v>
      </c>
      <c r="AF516" s="264">
        <v>135840</v>
      </c>
      <c r="AG516" s="264">
        <v>137970</v>
      </c>
      <c r="AH516" s="264">
        <v>140660</v>
      </c>
      <c r="AI516" s="264">
        <v>139920</v>
      </c>
      <c r="AJ516" s="264">
        <v>139920</v>
      </c>
      <c r="AK516" s="264">
        <v>134920</v>
      </c>
      <c r="AL516" s="264">
        <v>137320</v>
      </c>
      <c r="AM516" s="264">
        <v>69425</v>
      </c>
      <c r="AN516" s="264">
        <v>69090</v>
      </c>
      <c r="AO516" s="264">
        <v>70130</v>
      </c>
      <c r="AP516" s="264">
        <v>70650</v>
      </c>
      <c r="AQ516" s="264">
        <v>70720</v>
      </c>
      <c r="AR516" s="264">
        <v>70660</v>
      </c>
      <c r="AS516" s="264">
        <v>70660</v>
      </c>
      <c r="AT516" s="264">
        <v>70270</v>
      </c>
      <c r="AU516" s="264">
        <v>70630</v>
      </c>
      <c r="AV516" s="264">
        <f ca="1">Calc!F14</f>
        <v>81.93</v>
      </c>
      <c r="AX516" s="88" t="str">
        <f t="shared" ca="1" si="43"/>
        <v>CVS</v>
      </c>
    </row>
    <row r="517" spans="1:50" hidden="1">
      <c r="A517" s="88" t="str">
        <f t="shared" ca="1" si="44"/>
        <v>DDD</v>
      </c>
      <c r="F517" s="259">
        <v>28.5458</v>
      </c>
      <c r="G517" s="259">
        <v>28.628</v>
      </c>
      <c r="H517" s="259">
        <v>28.9239</v>
      </c>
      <c r="I517" s="259">
        <v>28.877600000000001</v>
      </c>
      <c r="J517" s="259">
        <v>28.704000000000001</v>
      </c>
      <c r="K517" s="259">
        <v>29.163</v>
      </c>
      <c r="L517" s="259">
        <v>29.162700000000001</v>
      </c>
      <c r="M517" s="259">
        <v>29.731300000000001</v>
      </c>
      <c r="N517" s="259">
        <v>29.5749</v>
      </c>
      <c r="O517" s="259">
        <v>28.5183</v>
      </c>
      <c r="P517" s="259">
        <v>29.025600000000001</v>
      </c>
      <c r="Q517" s="259">
        <v>29.349</v>
      </c>
      <c r="R517" s="259">
        <v>29.3889</v>
      </c>
      <c r="S517" s="259">
        <v>29.207100000000001</v>
      </c>
      <c r="T517" s="259">
        <v>29.646799999999999</v>
      </c>
      <c r="U517" s="259">
        <v>29.866599999999998</v>
      </c>
      <c r="V517" s="259">
        <v>29.871099999999998</v>
      </c>
      <c r="W517" s="259">
        <v>29.871099999999998</v>
      </c>
      <c r="X517" s="259">
        <v>29.706199999999999</v>
      </c>
      <c r="Y517" s="259">
        <v>29.8584</v>
      </c>
      <c r="Z517" s="1209">
        <f ca="1">[1]ExtEntry!$K14</f>
        <v>22.6252</v>
      </c>
      <c r="AB517" s="267">
        <v>75.599999999999994</v>
      </c>
      <c r="AC517" s="267">
        <v>75.400000000000006</v>
      </c>
      <c r="AD517" s="267">
        <v>76.86</v>
      </c>
      <c r="AE517" s="267">
        <v>77.44</v>
      </c>
      <c r="AF517" s="267">
        <v>77.489999999999995</v>
      </c>
      <c r="AG517" s="267">
        <v>77.12</v>
      </c>
      <c r="AH517" s="267">
        <v>76.95</v>
      </c>
      <c r="AI517" s="267">
        <v>76.75</v>
      </c>
      <c r="AJ517" s="267">
        <v>76.739999999999995</v>
      </c>
      <c r="AK517" s="267">
        <v>78.45</v>
      </c>
      <c r="AL517" s="267">
        <v>79.680000000000007</v>
      </c>
      <c r="AM517" s="267">
        <v>81.11</v>
      </c>
      <c r="AN517" s="267">
        <v>81.400000000000006</v>
      </c>
      <c r="AO517" s="267">
        <v>82.52</v>
      </c>
      <c r="AP517" s="267">
        <v>82.45</v>
      </c>
      <c r="AQ517" s="267">
        <v>83.02</v>
      </c>
      <c r="AR517" s="267">
        <v>82.04</v>
      </c>
      <c r="AS517" s="267">
        <v>82.04</v>
      </c>
      <c r="AT517" s="267">
        <v>81.069999999999993</v>
      </c>
      <c r="AU517" s="267">
        <v>81.900000000000006</v>
      </c>
      <c r="AV517" s="264">
        <f ca="1">Calc!F15</f>
        <v>266050</v>
      </c>
      <c r="AX517" s="88" t="str">
        <f t="shared" ca="1" si="43"/>
        <v>DDD</v>
      </c>
    </row>
    <row r="518" spans="1:50" hidden="1">
      <c r="A518" s="88" t="str">
        <f t="shared" ca="1" si="44"/>
        <v>DIS</v>
      </c>
      <c r="F518" s="259">
        <v>21.098500000000001</v>
      </c>
      <c r="G518" s="259">
        <v>21.0426</v>
      </c>
      <c r="H518" s="259">
        <v>21.450099999999999</v>
      </c>
      <c r="I518" s="259">
        <v>21.611999999999998</v>
      </c>
      <c r="J518" s="259">
        <v>21.625900000000001</v>
      </c>
      <c r="K518" s="259">
        <v>21.5227</v>
      </c>
      <c r="L518" s="259">
        <v>21.5228</v>
      </c>
      <c r="M518" s="259">
        <v>21.469799999999999</v>
      </c>
      <c r="N518" s="259">
        <v>21.416799999999999</v>
      </c>
      <c r="O518" s="259">
        <v>21.893799999999999</v>
      </c>
      <c r="P518" s="259">
        <v>22.237100000000002</v>
      </c>
      <c r="Q518" s="259">
        <v>22.636199999999999</v>
      </c>
      <c r="R518" s="259">
        <v>22.717099999999999</v>
      </c>
      <c r="S518" s="259">
        <v>22.7089</v>
      </c>
      <c r="T518" s="259">
        <v>23.010200000000001</v>
      </c>
      <c r="U518" s="259">
        <v>23.1692</v>
      </c>
      <c r="V518" s="259">
        <v>22.895700000000001</v>
      </c>
      <c r="W518" s="259">
        <v>22.895700000000001</v>
      </c>
      <c r="X518" s="259">
        <v>22.625</v>
      </c>
      <c r="Y518" s="259">
        <v>22.8567</v>
      </c>
      <c r="Z518" s="1209">
        <f>[1]ExtEntry!$K15</f>
        <v>99</v>
      </c>
      <c r="AB518" s="264">
        <v>297000</v>
      </c>
      <c r="AC518" s="264">
        <v>290000</v>
      </c>
      <c r="AD518" s="264">
        <v>286500</v>
      </c>
      <c r="AE518" s="264">
        <v>299500</v>
      </c>
      <c r="AF518" s="264">
        <v>312000</v>
      </c>
      <c r="AG518" s="264">
        <v>297825</v>
      </c>
      <c r="AH518" s="264">
        <v>275825</v>
      </c>
      <c r="AI518" s="264">
        <v>270300</v>
      </c>
      <c r="AJ518" s="264">
        <v>270300</v>
      </c>
      <c r="AK518" s="264">
        <v>264350</v>
      </c>
      <c r="AL518" s="264">
        <v>261800</v>
      </c>
      <c r="AM518" s="264">
        <v>276250</v>
      </c>
      <c r="AN518" s="264">
        <v>277100</v>
      </c>
      <c r="AO518" s="264">
        <v>264350</v>
      </c>
      <c r="AP518" s="264">
        <v>321725</v>
      </c>
      <c r="AQ518" s="264">
        <v>286450</v>
      </c>
      <c r="AR518" s="264">
        <v>255425</v>
      </c>
      <c r="AS518" s="264">
        <v>255425</v>
      </c>
      <c r="AT518" s="264">
        <v>261375.00000000003</v>
      </c>
      <c r="AU518" s="264">
        <v>265625</v>
      </c>
      <c r="AV518" s="264">
        <f ca="1">Calc!F16</f>
        <v>111680</v>
      </c>
      <c r="AX518" s="88" t="str">
        <f t="shared" ca="1" si="43"/>
        <v>DIS</v>
      </c>
    </row>
    <row r="519" spans="1:50" hidden="1">
      <c r="A519" s="88" t="str">
        <f t="shared" ca="1" si="44"/>
        <v>DSY</v>
      </c>
      <c r="F519" s="259">
        <v>0</v>
      </c>
      <c r="G519" s="259">
        <v>99</v>
      </c>
      <c r="H519" s="259">
        <v>99</v>
      </c>
      <c r="I519" s="259">
        <v>99</v>
      </c>
      <c r="J519" s="259">
        <v>99</v>
      </c>
      <c r="K519" s="259">
        <v>99</v>
      </c>
      <c r="L519" s="259">
        <v>99</v>
      </c>
      <c r="M519" s="259">
        <v>99</v>
      </c>
      <c r="N519" s="259">
        <v>99</v>
      </c>
      <c r="O519" s="259">
        <v>0</v>
      </c>
      <c r="P519" s="259">
        <v>0</v>
      </c>
      <c r="Q519" s="259">
        <v>0</v>
      </c>
      <c r="R519" s="259">
        <v>99</v>
      </c>
      <c r="S519" s="259">
        <v>99</v>
      </c>
      <c r="T519" s="259">
        <v>99</v>
      </c>
      <c r="U519" s="259">
        <v>99</v>
      </c>
      <c r="V519" s="259">
        <v>99</v>
      </c>
      <c r="W519" s="259">
        <v>99</v>
      </c>
      <c r="X519" s="259">
        <v>99</v>
      </c>
      <c r="Y519" s="259">
        <v>99</v>
      </c>
      <c r="Z519" s="1209">
        <f ca="1">[1]ExtEntry!$K16</f>
        <v>17.720800000000001</v>
      </c>
      <c r="AB519" s="267">
        <v>114295</v>
      </c>
      <c r="AC519" s="267">
        <v>114480</v>
      </c>
      <c r="AD519" s="267">
        <v>112935</v>
      </c>
      <c r="AE519" s="267">
        <v>112160</v>
      </c>
      <c r="AF519" s="267">
        <v>112490</v>
      </c>
      <c r="AG519" s="267">
        <v>112570</v>
      </c>
      <c r="AH519" s="267">
        <v>111890</v>
      </c>
      <c r="AI519" s="267">
        <v>110990</v>
      </c>
      <c r="AJ519" s="267">
        <v>110990</v>
      </c>
      <c r="AK519" s="267">
        <v>110290</v>
      </c>
      <c r="AL519" s="267">
        <v>111165</v>
      </c>
      <c r="AM519" s="267">
        <v>112005</v>
      </c>
      <c r="AN519" s="267">
        <v>109895</v>
      </c>
      <c r="AO519" s="267">
        <v>110670</v>
      </c>
      <c r="AP519" s="267">
        <v>111980</v>
      </c>
      <c r="AQ519" s="267">
        <v>114310</v>
      </c>
      <c r="AR519" s="267">
        <v>113100</v>
      </c>
      <c r="AS519" s="267">
        <v>113100</v>
      </c>
      <c r="AT519" s="267">
        <v>113020</v>
      </c>
      <c r="AU519" s="267">
        <v>111670</v>
      </c>
      <c r="AV519" s="264">
        <f ca="1">Calc!F17</f>
        <v>102760</v>
      </c>
      <c r="AX519" s="88" t="str">
        <f t="shared" ca="1" si="43"/>
        <v>DSY</v>
      </c>
    </row>
    <row r="520" spans="1:50" hidden="1">
      <c r="A520" s="88" t="str">
        <f t="shared" ca="1" si="44"/>
        <v>DVA</v>
      </c>
      <c r="F520" s="259">
        <v>17.9191</v>
      </c>
      <c r="G520" s="259">
        <v>17.9481</v>
      </c>
      <c r="H520" s="259">
        <v>17.7059</v>
      </c>
      <c r="I520" s="259">
        <v>17.584299999999999</v>
      </c>
      <c r="J520" s="259">
        <v>17.636099999999999</v>
      </c>
      <c r="K520" s="259">
        <v>17.648599999999998</v>
      </c>
      <c r="L520" s="259">
        <v>17.542000000000002</v>
      </c>
      <c r="M520" s="259">
        <v>17.4009</v>
      </c>
      <c r="N520" s="259">
        <v>17.401</v>
      </c>
      <c r="O520" s="259">
        <v>17.2912</v>
      </c>
      <c r="P520" s="259">
        <v>17.4284</v>
      </c>
      <c r="Q520" s="259">
        <v>17.559999999999999</v>
      </c>
      <c r="R520" s="259">
        <v>17.229199999999999</v>
      </c>
      <c r="S520" s="259">
        <v>17.227</v>
      </c>
      <c r="T520" s="259">
        <v>17.556100000000001</v>
      </c>
      <c r="U520" s="259">
        <v>17.553100000000001</v>
      </c>
      <c r="V520" s="259">
        <v>17.919899999999998</v>
      </c>
      <c r="W520" s="259">
        <v>17.919899999999998</v>
      </c>
      <c r="X520" s="259">
        <v>17.7287</v>
      </c>
      <c r="Y520" s="259">
        <v>17.5075</v>
      </c>
      <c r="Z520" s="1209">
        <f ca="1">[1]ExtEntry!$K17</f>
        <v>28.703900000000001</v>
      </c>
      <c r="AB520" s="264">
        <v>169860</v>
      </c>
      <c r="AC520" s="264">
        <v>171060</v>
      </c>
      <c r="AD520" s="264">
        <v>170760</v>
      </c>
      <c r="AE520" s="264">
        <v>176220</v>
      </c>
      <c r="AF520" s="264">
        <v>175140</v>
      </c>
      <c r="AG520" s="264">
        <v>174300</v>
      </c>
      <c r="AH520" s="264">
        <v>115080</v>
      </c>
      <c r="AI520" s="264">
        <v>115720</v>
      </c>
      <c r="AJ520" s="264">
        <v>117440</v>
      </c>
      <c r="AK520" s="264">
        <v>115240</v>
      </c>
      <c r="AL520" s="264">
        <v>113400</v>
      </c>
      <c r="AM520" s="264">
        <v>115520</v>
      </c>
      <c r="AN520" s="264">
        <v>117520</v>
      </c>
      <c r="AO520" s="264">
        <v>117320</v>
      </c>
      <c r="AP520" s="264">
        <v>119120</v>
      </c>
      <c r="AQ520" s="264">
        <v>121080</v>
      </c>
      <c r="AR520" s="264">
        <v>120480</v>
      </c>
      <c r="AS520" s="264">
        <v>120480</v>
      </c>
      <c r="AT520" s="264">
        <v>104840</v>
      </c>
      <c r="AU520" s="264">
        <v>102760</v>
      </c>
      <c r="AV520" s="264">
        <f ca="1">Calc!F18</f>
        <v>180866</v>
      </c>
      <c r="AX520" s="88" t="str">
        <f t="shared" ca="1" si="43"/>
        <v>DVA</v>
      </c>
    </row>
    <row r="521" spans="1:50" hidden="1">
      <c r="A521" s="88" t="str">
        <f t="shared" ca="1" si="44"/>
        <v>DXC</v>
      </c>
      <c r="F521" s="259">
        <v>32.529000000000003</v>
      </c>
      <c r="G521" s="259">
        <v>32.758800000000001</v>
      </c>
      <c r="H521" s="259">
        <v>32.7014</v>
      </c>
      <c r="I521" s="259">
        <v>32.7014</v>
      </c>
      <c r="J521" s="259">
        <v>33.540199999999999</v>
      </c>
      <c r="K521" s="259">
        <v>33.574599999999997</v>
      </c>
      <c r="L521" s="259">
        <v>33.057600000000001</v>
      </c>
      <c r="M521" s="259">
        <v>33.241399999999999</v>
      </c>
      <c r="N521" s="259">
        <v>33.735500000000002</v>
      </c>
      <c r="O521" s="259">
        <v>33.103499999999997</v>
      </c>
      <c r="P521" s="259">
        <v>32.575000000000003</v>
      </c>
      <c r="Q521" s="259">
        <v>33.183999999999997</v>
      </c>
      <c r="R521" s="259">
        <v>33.758499999999998</v>
      </c>
      <c r="S521" s="259">
        <v>33.758499999999998</v>
      </c>
      <c r="T521" s="259">
        <v>34.2181</v>
      </c>
      <c r="U521" s="259">
        <v>34.2181</v>
      </c>
      <c r="V521" s="259">
        <v>34.781100000000002</v>
      </c>
      <c r="W521" s="259">
        <v>34.781100000000002</v>
      </c>
      <c r="X521" s="259">
        <v>34.608800000000002</v>
      </c>
      <c r="Y521" s="259">
        <v>30.116099999999999</v>
      </c>
      <c r="Z521" s="1209">
        <f ca="1">[1]ExtEntry!$K18</f>
        <v>12.5793</v>
      </c>
      <c r="AB521" s="267">
        <v>130065</v>
      </c>
      <c r="AC521" s="267">
        <v>132870</v>
      </c>
      <c r="AD521" s="267">
        <v>132870</v>
      </c>
      <c r="AE521" s="267">
        <v>132100</v>
      </c>
      <c r="AF521" s="267">
        <v>131160</v>
      </c>
      <c r="AG521" s="267">
        <v>131039.99999999999</v>
      </c>
      <c r="AH521" s="267">
        <v>127925</v>
      </c>
      <c r="AI521" s="267">
        <v>176862</v>
      </c>
      <c r="AJ521" s="267">
        <v>176932</v>
      </c>
      <c r="AK521" s="267">
        <v>173446</v>
      </c>
      <c r="AL521" s="267">
        <v>177256.8</v>
      </c>
      <c r="AM521" s="267">
        <v>177485</v>
      </c>
      <c r="AN521" s="267">
        <v>175350</v>
      </c>
      <c r="AO521" s="267">
        <v>176232</v>
      </c>
      <c r="AP521" s="267">
        <v>179270.00000000003</v>
      </c>
      <c r="AQ521" s="267">
        <v>179774</v>
      </c>
      <c r="AR521" s="267">
        <v>180712.00000000003</v>
      </c>
      <c r="AS521" s="267">
        <v>180712.00000000003</v>
      </c>
      <c r="AT521" s="267">
        <v>179228</v>
      </c>
      <c r="AU521" s="267">
        <v>180866</v>
      </c>
      <c r="AV521" s="264">
        <f ca="1">Calc!F19</f>
        <v>81240</v>
      </c>
      <c r="AX521" s="88" t="str">
        <f t="shared" ca="1" si="43"/>
        <v>DXC</v>
      </c>
    </row>
    <row r="522" spans="1:50" hidden="1">
      <c r="A522" s="88" t="str">
        <f t="shared" ca="1" si="44"/>
        <v>EOAN</v>
      </c>
      <c r="F522" s="259">
        <v>12.780200000000001</v>
      </c>
      <c r="G522" s="259">
        <v>13.0558</v>
      </c>
      <c r="H522" s="259">
        <v>13.0558</v>
      </c>
      <c r="I522" s="259">
        <v>12.9801</v>
      </c>
      <c r="J522" s="259">
        <v>12.8878</v>
      </c>
      <c r="K522" s="259">
        <v>12.875999999999999</v>
      </c>
      <c r="L522" s="259">
        <v>12.569900000000001</v>
      </c>
      <c r="M522" s="259">
        <v>12.4132</v>
      </c>
      <c r="N522" s="259">
        <v>12.418100000000001</v>
      </c>
      <c r="O522" s="259">
        <v>12.173400000000001</v>
      </c>
      <c r="P522" s="259">
        <v>12.440899999999999</v>
      </c>
      <c r="Q522" s="259">
        <v>12.456899999999999</v>
      </c>
      <c r="R522" s="259">
        <v>12.307</v>
      </c>
      <c r="S522" s="259">
        <v>12.3071</v>
      </c>
      <c r="T522" s="259">
        <v>12.5822</v>
      </c>
      <c r="U522" s="259">
        <v>12.6175</v>
      </c>
      <c r="V522" s="259">
        <v>12.683400000000001</v>
      </c>
      <c r="W522" s="259">
        <v>12.683400000000001</v>
      </c>
      <c r="X522" s="259">
        <v>12.5792</v>
      </c>
      <c r="Y522" s="259">
        <v>12.6942</v>
      </c>
      <c r="Z522" s="1209">
        <f ca="1">[1]ExtEntry!$K19</f>
        <v>6.5284000000000004</v>
      </c>
      <c r="AB522" s="264">
        <v>82650</v>
      </c>
      <c r="AC522" s="264">
        <v>81780</v>
      </c>
      <c r="AD522" s="264">
        <v>82770</v>
      </c>
      <c r="AE522" s="264">
        <v>81540</v>
      </c>
      <c r="AF522" s="264">
        <v>82800</v>
      </c>
      <c r="AG522" s="264">
        <v>79680</v>
      </c>
      <c r="AH522" s="264">
        <v>80040</v>
      </c>
      <c r="AI522" s="264">
        <v>81480</v>
      </c>
      <c r="AJ522" s="264">
        <v>81480</v>
      </c>
      <c r="AK522" s="264">
        <v>79350</v>
      </c>
      <c r="AL522" s="264">
        <v>79890</v>
      </c>
      <c r="AM522" s="264">
        <v>78780</v>
      </c>
      <c r="AN522" s="264">
        <v>76920</v>
      </c>
      <c r="AO522" s="264">
        <v>77100</v>
      </c>
      <c r="AP522" s="264">
        <v>77970</v>
      </c>
      <c r="AQ522" s="264">
        <v>79650</v>
      </c>
      <c r="AR522" s="264">
        <v>79620</v>
      </c>
      <c r="AS522" s="264">
        <v>79620</v>
      </c>
      <c r="AT522" s="264">
        <v>80220</v>
      </c>
      <c r="AU522" s="264">
        <v>81240</v>
      </c>
      <c r="AV522" s="264">
        <f ca="1">Calc!F20</f>
        <v>8846.75</v>
      </c>
      <c r="AX522" s="88" t="str">
        <f t="shared" ca="1" si="43"/>
        <v>EOAN</v>
      </c>
    </row>
    <row r="523" spans="1:50" hidden="1">
      <c r="A523" s="88" t="str">
        <f t="shared" ca="1" si="44"/>
        <v>EPIX</v>
      </c>
      <c r="F523" s="259">
        <v>6.7260999999999997</v>
      </c>
      <c r="G523" s="259">
        <v>6.6553000000000004</v>
      </c>
      <c r="H523" s="259">
        <v>6.7358000000000002</v>
      </c>
      <c r="I523" s="259">
        <v>6.6356999999999999</v>
      </c>
      <c r="J523" s="259">
        <v>6.7382999999999997</v>
      </c>
      <c r="K523" s="259">
        <v>6.4843999999999999</v>
      </c>
      <c r="L523" s="259">
        <v>6.5137</v>
      </c>
      <c r="M523" s="259">
        <v>6.6308999999999996</v>
      </c>
      <c r="N523" s="259">
        <v>6.6308999999999996</v>
      </c>
      <c r="O523" s="259">
        <v>6.4574999999999996</v>
      </c>
      <c r="P523" s="259">
        <v>6.5015000000000001</v>
      </c>
      <c r="Q523" s="259">
        <v>6.4111000000000002</v>
      </c>
      <c r="R523" s="259">
        <v>6.2598000000000003</v>
      </c>
      <c r="S523" s="259">
        <v>6.2598000000000003</v>
      </c>
      <c r="T523" s="259">
        <v>6.3452000000000002</v>
      </c>
      <c r="U523" s="259">
        <v>6.3428000000000004</v>
      </c>
      <c r="V523" s="259">
        <v>6.4794999999999998</v>
      </c>
      <c r="W523" s="259">
        <v>6.4794999999999998</v>
      </c>
      <c r="X523" s="259">
        <v>6.5282999999999998</v>
      </c>
      <c r="Y523" s="259">
        <v>6.6113</v>
      </c>
      <c r="Z523" s="1209">
        <f ca="1">[1]ExtEntry!$K20</f>
        <v>13.279500000000001</v>
      </c>
      <c r="AB523" s="267">
        <v>60018.749999999993</v>
      </c>
      <c r="AC523" s="267">
        <v>60262.5</v>
      </c>
      <c r="AD523" s="267">
        <v>60600</v>
      </c>
      <c r="AE523" s="267">
        <v>59850</v>
      </c>
      <c r="AF523" s="267">
        <v>60450.000000000007</v>
      </c>
      <c r="AG523" s="267">
        <v>8863.25</v>
      </c>
      <c r="AH523" s="267">
        <v>8899</v>
      </c>
      <c r="AI523" s="267">
        <v>8896.25</v>
      </c>
      <c r="AJ523" s="267">
        <v>8899</v>
      </c>
      <c r="AK523" s="267">
        <v>8943</v>
      </c>
      <c r="AL523" s="267">
        <v>9003.5</v>
      </c>
      <c r="AM523" s="267">
        <v>8910</v>
      </c>
      <c r="AN523" s="267">
        <v>8937.5</v>
      </c>
      <c r="AO523" s="267">
        <v>8948.5</v>
      </c>
      <c r="AP523" s="267">
        <v>9031.0000000000018</v>
      </c>
      <c r="AQ523" s="267">
        <v>9000.75</v>
      </c>
      <c r="AR523" s="267">
        <v>8855</v>
      </c>
      <c r="AS523" s="267">
        <v>8855</v>
      </c>
      <c r="AT523" s="267">
        <v>8789</v>
      </c>
      <c r="AU523" s="267">
        <v>8833</v>
      </c>
      <c r="AV523" s="264">
        <f ca="1">Calc!F21</f>
        <v>6036</v>
      </c>
      <c r="AX523" s="88" t="str">
        <f t="shared" ca="1" si="43"/>
        <v>EPIX</v>
      </c>
    </row>
    <row r="524" spans="1:50" hidden="1">
      <c r="A524" s="88" t="str">
        <f t="shared" ca="1" si="44"/>
        <v>GM</v>
      </c>
      <c r="F524" s="259">
        <v>13.2547</v>
      </c>
      <c r="G524" s="259">
        <v>13.281000000000001</v>
      </c>
      <c r="H524" s="259">
        <v>13.355399999999999</v>
      </c>
      <c r="I524" s="259">
        <v>13.190099999999999</v>
      </c>
      <c r="J524" s="259">
        <v>13.3223</v>
      </c>
      <c r="K524" s="259">
        <v>13.318199999999999</v>
      </c>
      <c r="L524" s="259">
        <v>13.3719</v>
      </c>
      <c r="M524" s="259">
        <v>13.367800000000001</v>
      </c>
      <c r="N524" s="259">
        <v>13.3719</v>
      </c>
      <c r="O524" s="259">
        <v>13.438000000000001</v>
      </c>
      <c r="P524" s="259">
        <v>13.5289</v>
      </c>
      <c r="Q524" s="259">
        <v>13.388400000000001</v>
      </c>
      <c r="R524" s="259">
        <v>13.4298</v>
      </c>
      <c r="S524" s="259">
        <v>13.42</v>
      </c>
      <c r="T524" s="259">
        <v>13.5702</v>
      </c>
      <c r="U524" s="259">
        <v>13.524800000000001</v>
      </c>
      <c r="V524" s="259">
        <v>13.6</v>
      </c>
      <c r="W524" s="259">
        <v>13.6</v>
      </c>
      <c r="X524" s="259">
        <v>13.2066</v>
      </c>
      <c r="Y524" s="259">
        <v>13.2727</v>
      </c>
      <c r="Z524" s="1209">
        <f ca="1">[1]ExtEntry!$K21</f>
        <v>0</v>
      </c>
      <c r="AB524" s="264">
        <v>5766</v>
      </c>
      <c r="AC524" s="264">
        <v>5730</v>
      </c>
      <c r="AD524" s="264">
        <v>6177</v>
      </c>
      <c r="AE524" s="264">
        <v>6522</v>
      </c>
      <c r="AF524" s="264">
        <v>6183</v>
      </c>
      <c r="AG524" s="264">
        <v>6150</v>
      </c>
      <c r="AH524" s="264">
        <v>6036</v>
      </c>
      <c r="AI524" s="264">
        <v>6036</v>
      </c>
      <c r="AJ524" s="264">
        <v>6036</v>
      </c>
      <c r="AK524" s="264">
        <v>6036</v>
      </c>
      <c r="AL524" s="264">
        <v>6036</v>
      </c>
      <c r="AM524" s="264">
        <v>6036</v>
      </c>
      <c r="AN524" s="264">
        <v>6036</v>
      </c>
      <c r="AO524" s="264">
        <v>6036</v>
      </c>
      <c r="AP524" s="264">
        <v>6036</v>
      </c>
      <c r="AQ524" s="264">
        <v>6036</v>
      </c>
      <c r="AR524" s="264">
        <v>6036</v>
      </c>
      <c r="AS524" s="264">
        <v>6036</v>
      </c>
      <c r="AT524" s="264">
        <v>6036</v>
      </c>
      <c r="AU524" s="264">
        <v>6036</v>
      </c>
      <c r="AV524" s="264">
        <f ca="1">Calc!F22</f>
        <v>696.59999999999991</v>
      </c>
      <c r="AX524" s="88" t="str">
        <f t="shared" ca="1" si="43"/>
        <v>GM</v>
      </c>
    </row>
    <row r="525" spans="1:50" hidden="1">
      <c r="A525" s="88" t="str">
        <f t="shared" ca="1" si="44"/>
        <v>HPE</v>
      </c>
      <c r="F525" s="259">
        <v>0</v>
      </c>
      <c r="G525" s="259">
        <v>0</v>
      </c>
      <c r="H525" s="259">
        <v>0</v>
      </c>
      <c r="I525" s="259">
        <v>0</v>
      </c>
      <c r="J525" s="259">
        <v>0</v>
      </c>
      <c r="K525" s="259">
        <v>0</v>
      </c>
      <c r="L525" s="259">
        <v>0</v>
      </c>
      <c r="M525" s="259">
        <v>0</v>
      </c>
      <c r="N525" s="259">
        <v>0</v>
      </c>
      <c r="O525" s="259">
        <v>0</v>
      </c>
      <c r="P525" s="259">
        <v>0</v>
      </c>
      <c r="Q525" s="259">
        <v>0</v>
      </c>
      <c r="R525" s="259">
        <v>0</v>
      </c>
      <c r="S525" s="259">
        <v>0</v>
      </c>
      <c r="T525" s="259">
        <v>0</v>
      </c>
      <c r="U525" s="259">
        <v>0</v>
      </c>
      <c r="V525" s="259">
        <v>0</v>
      </c>
      <c r="W525" s="259">
        <v>0</v>
      </c>
      <c r="X525" s="259">
        <v>0</v>
      </c>
      <c r="Y525" s="259">
        <v>0</v>
      </c>
      <c r="Z525" s="1209">
        <f ca="1">[1]ExtEntry!$K22</f>
        <v>12.857799999999999</v>
      </c>
      <c r="AB525" s="267">
        <v>608.15</v>
      </c>
      <c r="AC525" s="267">
        <v>609.6</v>
      </c>
      <c r="AD525" s="267">
        <v>613.29999999999995</v>
      </c>
      <c r="AE525" s="267">
        <v>593.6</v>
      </c>
      <c r="AF525" s="267">
        <v>601.30000000000007</v>
      </c>
      <c r="AG525" s="267">
        <v>572.70000000000005</v>
      </c>
      <c r="AH525" s="267">
        <v>564.04999999999995</v>
      </c>
      <c r="AI525" s="267">
        <v>559.4</v>
      </c>
      <c r="AJ525" s="267">
        <v>559.20000000000005</v>
      </c>
      <c r="AK525" s="267">
        <v>556.1</v>
      </c>
      <c r="AL525" s="267">
        <v>571.5</v>
      </c>
      <c r="AM525" s="267">
        <v>579.19899999999996</v>
      </c>
      <c r="AN525" s="267">
        <v>573.40000000000009</v>
      </c>
      <c r="AO525" s="267">
        <v>583.80000000000007</v>
      </c>
      <c r="AP525" s="267">
        <v>580.20000000000005</v>
      </c>
      <c r="AQ525" s="267">
        <v>666.1</v>
      </c>
      <c r="AR525" s="267">
        <v>673.19999999999993</v>
      </c>
      <c r="AS525" s="267">
        <v>673.19999999999993</v>
      </c>
      <c r="AT525" s="267">
        <v>668.34999999999991</v>
      </c>
      <c r="AU525" s="267">
        <v>696.7</v>
      </c>
      <c r="AV525" s="264">
        <f ca="1">Calc!F23</f>
        <v>258500</v>
      </c>
      <c r="AX525" s="88" t="str">
        <f t="shared" ca="1" si="43"/>
        <v>HPE</v>
      </c>
    </row>
    <row r="526" spans="1:50" hidden="1">
      <c r="A526" s="88" t="str">
        <f t="shared" ca="1" si="44"/>
        <v>HPQ</v>
      </c>
      <c r="F526" s="259">
        <v>8.766</v>
      </c>
      <c r="G526" s="259">
        <v>8.7868999999999993</v>
      </c>
      <c r="H526" s="259">
        <v>8.8401999999999994</v>
      </c>
      <c r="I526" s="259">
        <v>8.5563000000000002</v>
      </c>
      <c r="J526" s="259">
        <v>8.6672999999999991</v>
      </c>
      <c r="K526" s="259">
        <v>8.2550000000000008</v>
      </c>
      <c r="L526" s="259">
        <v>8.1303000000000001</v>
      </c>
      <c r="M526" s="259">
        <v>8.0632999999999999</v>
      </c>
      <c r="N526" s="259">
        <v>8.0603999999999996</v>
      </c>
      <c r="O526" s="259">
        <v>8.0157000000000007</v>
      </c>
      <c r="P526" s="259">
        <v>8.2377000000000002</v>
      </c>
      <c r="Q526" s="259">
        <v>8.3486999999999991</v>
      </c>
      <c r="R526" s="259">
        <v>8.2651000000000003</v>
      </c>
      <c r="S526" s="259">
        <v>8.2651000000000003</v>
      </c>
      <c r="T526" s="259">
        <v>8.3630999999999993</v>
      </c>
      <c r="U526" s="259">
        <v>8.3602000000000007</v>
      </c>
      <c r="V526" s="259">
        <v>12.813599999999999</v>
      </c>
      <c r="W526" s="259">
        <v>12.813599999999999</v>
      </c>
      <c r="X526" s="259">
        <v>12.946300000000001</v>
      </c>
      <c r="Y526" s="259">
        <v>13.4001</v>
      </c>
      <c r="Z526" s="1209">
        <f ca="1">[1]ExtEntry!$K23</f>
        <v>27.8154</v>
      </c>
      <c r="AB526" s="264">
        <v>241799</v>
      </c>
      <c r="AC526" s="264">
        <v>245400</v>
      </c>
      <c r="AD526" s="264">
        <v>249350</v>
      </c>
      <c r="AE526" s="264">
        <v>225308</v>
      </c>
      <c r="AF526" s="264">
        <v>224710</v>
      </c>
      <c r="AG526" s="264">
        <v>229172</v>
      </c>
      <c r="AH526" s="264">
        <v>208600</v>
      </c>
      <c r="AI526" s="264">
        <v>210000</v>
      </c>
      <c r="AJ526" s="264">
        <v>210000</v>
      </c>
      <c r="AK526" s="264">
        <v>227838</v>
      </c>
      <c r="AL526" s="264">
        <v>229908</v>
      </c>
      <c r="AM526" s="264">
        <v>233818</v>
      </c>
      <c r="AN526" s="264">
        <v>207184</v>
      </c>
      <c r="AO526" s="264">
        <v>211232</v>
      </c>
      <c r="AP526" s="264">
        <v>251460</v>
      </c>
      <c r="AQ526" s="264">
        <v>255970</v>
      </c>
      <c r="AR526" s="264">
        <v>254155</v>
      </c>
      <c r="AS526" s="264">
        <v>253990</v>
      </c>
      <c r="AT526" s="264">
        <v>255200</v>
      </c>
      <c r="AU526" s="264">
        <v>258500</v>
      </c>
      <c r="AV526" s="264">
        <f ca="1">Calc!F24</f>
        <v>138300</v>
      </c>
      <c r="AX526" s="88" t="str">
        <f t="shared" ca="1" si="43"/>
        <v>HPQ</v>
      </c>
    </row>
    <row r="527" spans="1:50" hidden="1">
      <c r="A527" s="88" t="str">
        <f t="shared" ca="1" si="44"/>
        <v>IAG</v>
      </c>
      <c r="F527" s="259">
        <v>29.0031</v>
      </c>
      <c r="G527" s="259">
        <v>29.434999999999999</v>
      </c>
      <c r="H527" s="259">
        <v>29.908799999999999</v>
      </c>
      <c r="I527" s="259">
        <v>29.3751</v>
      </c>
      <c r="J527" s="259">
        <v>29.2971</v>
      </c>
      <c r="K527" s="259">
        <v>29.878900000000002</v>
      </c>
      <c r="L527" s="259">
        <v>31.276199999999999</v>
      </c>
      <c r="M527" s="259">
        <v>31.4861</v>
      </c>
      <c r="N527" s="259">
        <v>31.485800000000001</v>
      </c>
      <c r="O527" s="259">
        <v>29.704899999999999</v>
      </c>
      <c r="P527" s="259">
        <v>29.974799999999998</v>
      </c>
      <c r="Q527" s="259">
        <v>30.4846</v>
      </c>
      <c r="R527" s="259">
        <v>27.0121</v>
      </c>
      <c r="S527" s="259">
        <v>26.9878</v>
      </c>
      <c r="T527" s="259">
        <v>27.419899999999998</v>
      </c>
      <c r="U527" s="259">
        <v>27.9117</v>
      </c>
      <c r="V527" s="259">
        <v>27.713799999999999</v>
      </c>
      <c r="W527" s="259">
        <v>27.695799999999998</v>
      </c>
      <c r="X527" s="259">
        <v>27.695499999999999</v>
      </c>
      <c r="Y527" s="259">
        <v>28.1876</v>
      </c>
      <c r="Z527" s="1209">
        <f ca="1">[1]ExtEntry!$K24</f>
        <v>10.138199999999999</v>
      </c>
      <c r="AB527" s="267">
        <v>26785</v>
      </c>
      <c r="AC527" s="267">
        <v>27210</v>
      </c>
      <c r="AD527" s="267">
        <v>26690</v>
      </c>
      <c r="AE527" s="267">
        <v>26465</v>
      </c>
      <c r="AF527" s="267">
        <v>26640</v>
      </c>
      <c r="AG527" s="267">
        <v>26560</v>
      </c>
      <c r="AH527" s="267">
        <v>27030</v>
      </c>
      <c r="AI527" s="267">
        <v>26970</v>
      </c>
      <c r="AJ527" s="267">
        <v>26970</v>
      </c>
      <c r="AK527" s="267">
        <v>136700</v>
      </c>
      <c r="AL527" s="267">
        <v>142675</v>
      </c>
      <c r="AM527" s="267">
        <v>114720</v>
      </c>
      <c r="AN527" s="267">
        <v>136075</v>
      </c>
      <c r="AO527" s="267">
        <v>136850</v>
      </c>
      <c r="AP527" s="267">
        <v>138275</v>
      </c>
      <c r="AQ527" s="267">
        <v>140800</v>
      </c>
      <c r="AR527" s="267">
        <v>138300</v>
      </c>
      <c r="AS527" s="267">
        <v>138300</v>
      </c>
      <c r="AT527" s="267">
        <v>139125</v>
      </c>
      <c r="AU527" s="267">
        <v>138300</v>
      </c>
      <c r="AV527" s="264">
        <f ca="1">Calc!F25</f>
        <v>820000</v>
      </c>
      <c r="AX527" s="88" t="str">
        <f t="shared" ca="1" si="43"/>
        <v>IAG</v>
      </c>
    </row>
    <row r="528" spans="1:50" hidden="1">
      <c r="A528" s="88" t="str">
        <f t="shared" ca="1" si="44"/>
        <v>KR</v>
      </c>
      <c r="F528" s="259">
        <v>9.7574000000000005</v>
      </c>
      <c r="G528" s="259">
        <v>9.9122000000000003</v>
      </c>
      <c r="H528" s="259">
        <v>9.7227999999999994</v>
      </c>
      <c r="I528" s="259">
        <v>9.6408000000000005</v>
      </c>
      <c r="J528" s="259">
        <v>9.7045999999999992</v>
      </c>
      <c r="K528" s="259">
        <v>9.6753999999999998</v>
      </c>
      <c r="L528" s="259">
        <v>9.8466000000000005</v>
      </c>
      <c r="M528" s="259">
        <v>9.8247999999999998</v>
      </c>
      <c r="N528" s="259">
        <v>9.8249999999999993</v>
      </c>
      <c r="O528" s="259">
        <v>9.9596</v>
      </c>
      <c r="P528" s="259">
        <v>10.3949</v>
      </c>
      <c r="Q528" s="259">
        <v>10.447699999999999</v>
      </c>
      <c r="R528" s="259">
        <v>9.9139999999999997</v>
      </c>
      <c r="S528" s="259">
        <v>9.9704999999999995</v>
      </c>
      <c r="T528" s="259">
        <v>10.074299999999999</v>
      </c>
      <c r="U528" s="259">
        <v>10.2583</v>
      </c>
      <c r="V528" s="259">
        <v>10.0761</v>
      </c>
      <c r="W528" s="259">
        <v>10.0761</v>
      </c>
      <c r="X528" s="259">
        <v>10.136200000000001</v>
      </c>
      <c r="Y528" s="259">
        <v>10.0761</v>
      </c>
      <c r="Z528" s="1209">
        <f ca="1">[1]ExtEntry!$K25</f>
        <v>7.3752000000000004</v>
      </c>
      <c r="AB528" s="264">
        <v>1037070</v>
      </c>
      <c r="AC528" s="264">
        <v>1042470</v>
      </c>
      <c r="AD528" s="264">
        <v>1024380</v>
      </c>
      <c r="AE528" s="264">
        <v>1043820</v>
      </c>
      <c r="AF528" s="264">
        <v>1003080</v>
      </c>
      <c r="AG528" s="264">
        <v>1013220</v>
      </c>
      <c r="AH528" s="264">
        <v>1000000</v>
      </c>
      <c r="AI528" s="264">
        <v>990720</v>
      </c>
      <c r="AJ528" s="264">
        <v>979440</v>
      </c>
      <c r="AK528" s="264">
        <v>979680</v>
      </c>
      <c r="AL528" s="264">
        <v>979200</v>
      </c>
      <c r="AM528" s="264">
        <v>978000</v>
      </c>
      <c r="AN528" s="264">
        <v>975120</v>
      </c>
      <c r="AO528" s="264">
        <v>938880</v>
      </c>
      <c r="AP528" s="264">
        <v>950400</v>
      </c>
      <c r="AQ528" s="264">
        <v>945120</v>
      </c>
      <c r="AR528" s="264">
        <v>925980</v>
      </c>
      <c r="AS528" s="264">
        <v>925980</v>
      </c>
      <c r="AT528" s="264">
        <v>887700</v>
      </c>
      <c r="AU528" s="264">
        <v>820000</v>
      </c>
      <c r="AV528" s="264">
        <f ca="1">Calc!F26</f>
        <v>335550</v>
      </c>
      <c r="AX528" s="88" t="str">
        <f t="shared" ca="1" si="43"/>
        <v>KR</v>
      </c>
    </row>
    <row r="529" spans="1:50" hidden="1">
      <c r="A529" s="88" t="str">
        <f t="shared" ca="1" si="44"/>
        <v>LNSR</v>
      </c>
      <c r="F529" s="259">
        <v>6.8943000000000003</v>
      </c>
      <c r="G529" s="259">
        <v>6.9734999999999996</v>
      </c>
      <c r="H529" s="259">
        <v>6.851</v>
      </c>
      <c r="I529" s="259">
        <v>6.9302999999999999</v>
      </c>
      <c r="J529" s="259">
        <v>6.9428999999999998</v>
      </c>
      <c r="K529" s="259">
        <v>7.0347999999999997</v>
      </c>
      <c r="L529" s="259">
        <v>7.1843000000000004</v>
      </c>
      <c r="M529" s="259">
        <v>7.4401000000000002</v>
      </c>
      <c r="N529" s="259">
        <v>7.3517999999999999</v>
      </c>
      <c r="O529" s="259">
        <v>7.3680000000000003</v>
      </c>
      <c r="P529" s="259">
        <v>7.3158000000000003</v>
      </c>
      <c r="Q529" s="259">
        <v>7.3643999999999998</v>
      </c>
      <c r="R529" s="259">
        <v>7.3266</v>
      </c>
      <c r="S529" s="259">
        <v>7.3193999999999999</v>
      </c>
      <c r="T529" s="259">
        <v>7.1398000000000001</v>
      </c>
      <c r="U529" s="259">
        <v>7.0852000000000004</v>
      </c>
      <c r="V529" s="259">
        <v>7.0941999999999998</v>
      </c>
      <c r="W529" s="259">
        <v>7.0941999999999998</v>
      </c>
      <c r="X529" s="259">
        <v>7.2526999999999999</v>
      </c>
      <c r="Y529" s="259">
        <v>7.3752000000000004</v>
      </c>
      <c r="Z529" s="1209">
        <f ca="1">[1]ExtEntry!$K26</f>
        <v>17.394500000000001</v>
      </c>
      <c r="AB529" s="267">
        <v>175546.7</v>
      </c>
      <c r="AC529" s="267">
        <v>179310.59999999998</v>
      </c>
      <c r="AD529" s="267">
        <v>176863.4</v>
      </c>
      <c r="AE529" s="267">
        <v>176544.2</v>
      </c>
      <c r="AF529" s="267">
        <v>176358</v>
      </c>
      <c r="AG529" s="267">
        <v>177900.79999999999</v>
      </c>
      <c r="AH529" s="267">
        <v>181199.2</v>
      </c>
      <c r="AI529" s="267">
        <v>179709.6</v>
      </c>
      <c r="AJ529" s="267">
        <v>179709.6</v>
      </c>
      <c r="AK529" s="267">
        <v>178552.5</v>
      </c>
      <c r="AL529" s="267">
        <v>183885.8</v>
      </c>
      <c r="AM529" s="267">
        <v>183819.30000000002</v>
      </c>
      <c r="AN529" s="267">
        <v>183247.4</v>
      </c>
      <c r="AO529" s="267">
        <v>183513.4</v>
      </c>
      <c r="AP529" s="267">
        <v>276640</v>
      </c>
      <c r="AQ529" s="267">
        <v>270440</v>
      </c>
      <c r="AR529" s="267">
        <v>274440</v>
      </c>
      <c r="AS529" s="267">
        <v>274440</v>
      </c>
      <c r="AT529" s="267">
        <v>274640</v>
      </c>
      <c r="AU529" s="267">
        <v>335500</v>
      </c>
      <c r="AV529" s="264">
        <f ca="1">Calc!F27</f>
        <v>0</v>
      </c>
      <c r="AX529" s="88" t="str">
        <f t="shared" ca="1" si="43"/>
        <v>LNSR</v>
      </c>
    </row>
    <row r="530" spans="1:50" hidden="1">
      <c r="A530" s="88" t="str">
        <f t="shared" ca="1" si="44"/>
        <v>LUMN</v>
      </c>
      <c r="F530" s="259">
        <v>16.7194</v>
      </c>
      <c r="G530" s="259">
        <v>17.0779</v>
      </c>
      <c r="H530" s="259">
        <v>16.844899999999999</v>
      </c>
      <c r="I530" s="259">
        <v>16.814499999999999</v>
      </c>
      <c r="J530" s="259">
        <v>16.796700000000001</v>
      </c>
      <c r="K530" s="259">
        <v>16.416599999999999</v>
      </c>
      <c r="L530" s="259">
        <v>17.2578</v>
      </c>
      <c r="M530" s="259">
        <v>17.1159</v>
      </c>
      <c r="N530" s="259">
        <v>17.1158</v>
      </c>
      <c r="O530" s="259">
        <v>17.005700000000001</v>
      </c>
      <c r="P530" s="259">
        <v>17.5137</v>
      </c>
      <c r="Q530" s="259">
        <v>17.507300000000001</v>
      </c>
      <c r="R530" s="259">
        <v>17.4529</v>
      </c>
      <c r="S530" s="259">
        <v>17.450299999999999</v>
      </c>
      <c r="T530" s="259">
        <v>17.5213</v>
      </c>
      <c r="U530" s="259">
        <v>17.128599999999999</v>
      </c>
      <c r="V530" s="259">
        <v>17.381900000000002</v>
      </c>
      <c r="W530" s="259">
        <v>17.381900000000002</v>
      </c>
      <c r="X530" s="259">
        <v>17.394600000000001</v>
      </c>
      <c r="Y530" s="259">
        <v>17.394500000000001</v>
      </c>
      <c r="Z530" s="1209">
        <f ca="1">[1]ExtEntry!$K27</f>
        <v>0</v>
      </c>
      <c r="AB530" s="264">
        <v>0</v>
      </c>
      <c r="AC530" s="264">
        <v>0</v>
      </c>
      <c r="AD530" s="264">
        <v>0</v>
      </c>
      <c r="AE530" s="264">
        <v>0</v>
      </c>
      <c r="AF530" s="264">
        <v>0</v>
      </c>
      <c r="AG530" s="264">
        <v>0</v>
      </c>
      <c r="AH530" s="264">
        <v>0</v>
      </c>
      <c r="AI530" s="264">
        <v>0</v>
      </c>
      <c r="AJ530" s="264">
        <v>0</v>
      </c>
      <c r="AK530" s="264">
        <v>0</v>
      </c>
      <c r="AL530" s="264">
        <v>0</v>
      </c>
      <c r="AM530" s="264">
        <v>0</v>
      </c>
      <c r="AN530" s="264">
        <v>0</v>
      </c>
      <c r="AO530" s="264">
        <v>0</v>
      </c>
      <c r="AP530" s="264">
        <v>0</v>
      </c>
      <c r="AQ530" s="264">
        <v>0</v>
      </c>
      <c r="AR530" s="264">
        <v>0</v>
      </c>
      <c r="AS530" s="264">
        <v>0</v>
      </c>
      <c r="AT530" s="264">
        <v>0</v>
      </c>
      <c r="AU530" s="264">
        <v>0</v>
      </c>
      <c r="AV530" s="264">
        <f ca="1">Calc!F28</f>
        <v>80.900000000000006</v>
      </c>
      <c r="AX530" s="88" t="str">
        <f t="shared" ca="1" si="43"/>
        <v>LUMN</v>
      </c>
    </row>
    <row r="531" spans="1:50" hidden="1">
      <c r="A531" s="88" t="str">
        <f t="shared" ca="1" si="44"/>
        <v>MRNA</v>
      </c>
      <c r="F531" s="259">
        <v>0</v>
      </c>
      <c r="G531" s="259">
        <v>0</v>
      </c>
      <c r="H531" s="259">
        <v>0</v>
      </c>
      <c r="I531" s="259">
        <v>0</v>
      </c>
      <c r="J531" s="259">
        <v>0</v>
      </c>
      <c r="K531" s="259">
        <v>0</v>
      </c>
      <c r="L531" s="259">
        <v>0</v>
      </c>
      <c r="M531" s="259">
        <v>0</v>
      </c>
      <c r="N531" s="259">
        <v>0</v>
      </c>
      <c r="O531" s="259">
        <v>0</v>
      </c>
      <c r="P531" s="259">
        <v>0</v>
      </c>
      <c r="Q531" s="259">
        <v>0</v>
      </c>
      <c r="R531" s="259">
        <v>0</v>
      </c>
      <c r="S531" s="259">
        <v>0</v>
      </c>
      <c r="T531" s="259">
        <v>0</v>
      </c>
      <c r="U531" s="259">
        <v>0</v>
      </c>
      <c r="V531" s="259">
        <v>0</v>
      </c>
      <c r="W531" s="259">
        <v>0</v>
      </c>
      <c r="X531" s="259">
        <v>0</v>
      </c>
      <c r="Y531" s="259">
        <v>0</v>
      </c>
      <c r="Z531" s="1209">
        <f>[1]ExtEntry!$K28</f>
        <v>99</v>
      </c>
      <c r="AB531" s="267">
        <v>5848.0999999999995</v>
      </c>
      <c r="AC531" s="267">
        <v>6125</v>
      </c>
      <c r="AD531" s="267">
        <v>6075</v>
      </c>
      <c r="AE531" s="267">
        <v>6385</v>
      </c>
      <c r="AF531" s="267">
        <v>6555</v>
      </c>
      <c r="AG531" s="267">
        <v>6905</v>
      </c>
      <c r="AH531" s="267">
        <v>7055</v>
      </c>
      <c r="AI531" s="267">
        <v>68.550000000000011</v>
      </c>
      <c r="AJ531" s="267">
        <v>68.5</v>
      </c>
      <c r="AK531" s="267">
        <v>67.5</v>
      </c>
      <c r="AL531" s="267">
        <v>68.7</v>
      </c>
      <c r="AM531" s="267">
        <v>71.75</v>
      </c>
      <c r="AN531" s="267">
        <v>70.25</v>
      </c>
      <c r="AO531" s="267">
        <v>69</v>
      </c>
      <c r="AP531" s="267">
        <v>71.55</v>
      </c>
      <c r="AQ531" s="267">
        <v>71.75</v>
      </c>
      <c r="AR531" s="267">
        <v>70.5</v>
      </c>
      <c r="AS531" s="267">
        <v>70.5</v>
      </c>
      <c r="AT531" s="267">
        <v>77.849999999999994</v>
      </c>
      <c r="AU531" s="267">
        <v>80.850000000000009</v>
      </c>
      <c r="AV531" s="264">
        <f ca="1">Calc!F29</f>
        <v>320880</v>
      </c>
      <c r="AX531" s="88" t="str">
        <f t="shared" ca="1" si="43"/>
        <v>MRNA</v>
      </c>
    </row>
    <row r="532" spans="1:50" hidden="1">
      <c r="A532" s="88" t="str">
        <f t="shared" ca="1" si="44"/>
        <v>MSFT</v>
      </c>
      <c r="F532" s="259">
        <v>99</v>
      </c>
      <c r="G532" s="259">
        <v>99</v>
      </c>
      <c r="H532" s="259">
        <v>99</v>
      </c>
      <c r="I532" s="259">
        <v>99</v>
      </c>
      <c r="J532" s="259">
        <v>99</v>
      </c>
      <c r="K532" s="259">
        <v>99</v>
      </c>
      <c r="L532" s="259">
        <v>99</v>
      </c>
      <c r="M532" s="259">
        <v>99</v>
      </c>
      <c r="N532" s="259">
        <v>99</v>
      </c>
      <c r="O532" s="259">
        <v>0</v>
      </c>
      <c r="P532" s="259">
        <v>0</v>
      </c>
      <c r="Q532" s="259">
        <v>99</v>
      </c>
      <c r="R532" s="259">
        <v>99</v>
      </c>
      <c r="S532" s="259">
        <v>99</v>
      </c>
      <c r="T532" s="259">
        <v>99</v>
      </c>
      <c r="U532" s="259">
        <v>99</v>
      </c>
      <c r="V532" s="259">
        <v>99</v>
      </c>
      <c r="W532" s="259">
        <v>99</v>
      </c>
      <c r="X532" s="259">
        <v>0</v>
      </c>
      <c r="Y532" s="259">
        <v>99</v>
      </c>
      <c r="Z532" s="1209">
        <f ca="1">[1]ExtEntry!$K29</f>
        <v>0</v>
      </c>
      <c r="AB532" s="264">
        <v>301303.2</v>
      </c>
      <c r="AC532" s="264">
        <v>309960</v>
      </c>
      <c r="AD532" s="264">
        <v>331200</v>
      </c>
      <c r="AE532" s="264">
        <v>340440</v>
      </c>
      <c r="AF532" s="264">
        <v>341880</v>
      </c>
      <c r="AG532" s="264">
        <v>328080</v>
      </c>
      <c r="AH532" s="264">
        <v>335040</v>
      </c>
      <c r="AI532" s="264">
        <v>330360</v>
      </c>
      <c r="AJ532" s="264">
        <v>330360</v>
      </c>
      <c r="AK532" s="264">
        <v>320880</v>
      </c>
      <c r="AL532" s="264">
        <v>315000</v>
      </c>
      <c r="AM532" s="264">
        <v>333060</v>
      </c>
      <c r="AN532" s="264">
        <v>325680</v>
      </c>
      <c r="AO532" s="264">
        <v>312120</v>
      </c>
      <c r="AP532" s="264">
        <v>326880</v>
      </c>
      <c r="AQ532" s="264">
        <v>329880</v>
      </c>
      <c r="AR532" s="264">
        <v>322200</v>
      </c>
      <c r="AS532" s="264">
        <v>322200</v>
      </c>
      <c r="AT532" s="264">
        <v>315000</v>
      </c>
      <c r="AU532" s="264">
        <v>320880</v>
      </c>
      <c r="AV532" s="264">
        <f ca="1">Calc!F30</f>
        <v>5131378</v>
      </c>
      <c r="AX532" s="88" t="str">
        <f t="shared" ca="1" si="43"/>
        <v>MSFT</v>
      </c>
    </row>
    <row r="533" spans="1:50" hidden="1">
      <c r="A533" s="88" t="str">
        <f t="shared" ca="1" si="44"/>
        <v>NEE</v>
      </c>
      <c r="F533" s="259">
        <v>0</v>
      </c>
      <c r="G533" s="259">
        <v>0</v>
      </c>
      <c r="H533" s="259">
        <v>0</v>
      </c>
      <c r="I533" s="259">
        <v>0</v>
      </c>
      <c r="J533" s="259">
        <v>0</v>
      </c>
      <c r="K533" s="259">
        <v>0</v>
      </c>
      <c r="L533" s="259">
        <v>0</v>
      </c>
      <c r="M533" s="259">
        <v>0</v>
      </c>
      <c r="N533" s="259">
        <v>0</v>
      </c>
      <c r="O533" s="259">
        <v>0</v>
      </c>
      <c r="P533" s="259">
        <v>0</v>
      </c>
      <c r="Q533" s="259">
        <v>0</v>
      </c>
      <c r="R533" s="259">
        <v>0</v>
      </c>
      <c r="S533" s="259">
        <v>0</v>
      </c>
      <c r="T533" s="259">
        <v>0</v>
      </c>
      <c r="U533" s="259">
        <v>0</v>
      </c>
      <c r="V533" s="259">
        <v>0</v>
      </c>
      <c r="W533" s="259">
        <v>0</v>
      </c>
      <c r="X533" s="259">
        <v>0</v>
      </c>
      <c r="Y533" s="259">
        <v>0</v>
      </c>
      <c r="Z533" s="1209">
        <f ca="1">[1]ExtEntry!$K30</f>
        <v>38.161200000000001</v>
      </c>
      <c r="AB533" s="267">
        <v>5045530.9799999995</v>
      </c>
      <c r="AC533" s="267">
        <v>5075910</v>
      </c>
      <c r="AD533" s="267">
        <v>5093158</v>
      </c>
      <c r="AE533" s="267">
        <v>5054252</v>
      </c>
      <c r="AF533" s="267">
        <v>5070030</v>
      </c>
      <c r="AG533" s="267">
        <v>5056407</v>
      </c>
      <c r="AH533" s="267">
        <v>5064802.5</v>
      </c>
      <c r="AI533" s="267">
        <v>5041160</v>
      </c>
      <c r="AJ533" s="267">
        <v>5041160</v>
      </c>
      <c r="AK533" s="267">
        <v>5037690</v>
      </c>
      <c r="AL533" s="267">
        <v>5032986.0000000009</v>
      </c>
      <c r="AM533" s="267">
        <v>5022402.9799999995</v>
      </c>
      <c r="AN533" s="267">
        <v>5013778</v>
      </c>
      <c r="AO533" s="267">
        <v>5033084</v>
      </c>
      <c r="AP533" s="267">
        <v>5064542</v>
      </c>
      <c r="AQ533" s="267">
        <v>5073068</v>
      </c>
      <c r="AR533" s="267">
        <v>5101292</v>
      </c>
      <c r="AS533" s="267">
        <v>5101292</v>
      </c>
      <c r="AT533" s="267">
        <v>5101487.9999999991</v>
      </c>
      <c r="AU533" s="267">
        <v>5131378</v>
      </c>
      <c r="AV533" s="264">
        <f ca="1">Calc!F31</f>
        <v>33764</v>
      </c>
      <c r="AX533" s="88" t="str">
        <f t="shared" ca="1" si="43"/>
        <v>NEE</v>
      </c>
    </row>
    <row r="534" spans="1:50" hidden="1">
      <c r="A534" s="88" t="str">
        <f t="shared" ca="1" si="44"/>
        <v>NEM</v>
      </c>
      <c r="F534" s="259">
        <v>37.742600000000003</v>
      </c>
      <c r="G534" s="259">
        <v>37.724299999999999</v>
      </c>
      <c r="H534" s="259">
        <v>37.969900000000003</v>
      </c>
      <c r="I534" s="259">
        <v>38.0989</v>
      </c>
      <c r="J534" s="259">
        <v>37.807899999999997</v>
      </c>
      <c r="K534" s="259">
        <v>38.411900000000003</v>
      </c>
      <c r="L534" s="259">
        <v>38.411900000000003</v>
      </c>
      <c r="M534" s="259">
        <v>38.475700000000003</v>
      </c>
      <c r="N534" s="259">
        <v>38.296100000000003</v>
      </c>
      <c r="O534" s="259">
        <v>37.683900000000001</v>
      </c>
      <c r="P534" s="259">
        <v>37.648699999999998</v>
      </c>
      <c r="Q534" s="259">
        <v>37.569600000000001</v>
      </c>
      <c r="R534" s="259">
        <v>37.505000000000003</v>
      </c>
      <c r="S534" s="259">
        <v>37.505099999999999</v>
      </c>
      <c r="T534" s="259">
        <v>37.649500000000003</v>
      </c>
      <c r="U534" s="259">
        <v>37.884900000000002</v>
      </c>
      <c r="V534" s="259">
        <v>38.159700000000001</v>
      </c>
      <c r="W534" s="259">
        <v>38.159700000000001</v>
      </c>
      <c r="X534" s="259">
        <v>38.161099999999998</v>
      </c>
      <c r="Y534" s="259">
        <v>38.384700000000002</v>
      </c>
      <c r="Z534" s="1209">
        <f ca="1">[1]ExtEntry!$K31</f>
        <v>31.135000000000002</v>
      </c>
      <c r="AB534" s="264">
        <v>90696</v>
      </c>
      <c r="AC534" s="264">
        <v>90564</v>
      </c>
      <c r="AD534" s="264">
        <v>94404</v>
      </c>
      <c r="AE534" s="264">
        <v>93810</v>
      </c>
      <c r="AF534" s="264">
        <v>96090</v>
      </c>
      <c r="AG534" s="264">
        <v>58303.000000000007</v>
      </c>
      <c r="AH534" s="264">
        <v>58842</v>
      </c>
      <c r="AI534" s="264">
        <v>58590</v>
      </c>
      <c r="AJ534" s="264">
        <v>58596.999999999993</v>
      </c>
      <c r="AK534" s="264">
        <v>59003.000000000007</v>
      </c>
      <c r="AL534" s="264">
        <v>33854</v>
      </c>
      <c r="AM534" s="264">
        <v>34316</v>
      </c>
      <c r="AN534" s="264">
        <v>34020</v>
      </c>
      <c r="AO534" s="264">
        <v>33812</v>
      </c>
      <c r="AP534" s="264">
        <v>33910</v>
      </c>
      <c r="AQ534" s="264">
        <v>33596</v>
      </c>
      <c r="AR534" s="264">
        <v>33140</v>
      </c>
      <c r="AS534" s="264">
        <v>33140</v>
      </c>
      <c r="AT534" s="264">
        <v>33308</v>
      </c>
      <c r="AU534" s="264">
        <v>33764</v>
      </c>
      <c r="AV534" s="264">
        <f ca="1">Calc!F32</f>
        <v>1417290</v>
      </c>
      <c r="AX534" s="88" t="str">
        <f t="shared" ca="1" si="43"/>
        <v>NEM</v>
      </c>
    </row>
    <row r="535" spans="1:50" hidden="1">
      <c r="A535" s="88" t="str">
        <f t="shared" ca="1" si="44"/>
        <v>NFLX</v>
      </c>
      <c r="F535" s="259">
        <v>28.2669</v>
      </c>
      <c r="G535" s="259">
        <v>28.502099999999999</v>
      </c>
      <c r="H535" s="259">
        <v>29.422499999999999</v>
      </c>
      <c r="I535" s="259">
        <v>29.4221</v>
      </c>
      <c r="J535" s="259">
        <v>29.948</v>
      </c>
      <c r="K535" s="259">
        <v>31.150400000000001</v>
      </c>
      <c r="L535" s="259">
        <v>31.438400000000001</v>
      </c>
      <c r="M535" s="259">
        <v>31.303799999999999</v>
      </c>
      <c r="N535" s="259">
        <v>31.306999999999999</v>
      </c>
      <c r="O535" s="259">
        <v>31.5244</v>
      </c>
      <c r="P535" s="259">
        <v>31.653500000000001</v>
      </c>
      <c r="Q535" s="259">
        <v>32.0854</v>
      </c>
      <c r="R535" s="259">
        <v>31.808700000000002</v>
      </c>
      <c r="S535" s="259">
        <v>31.6142</v>
      </c>
      <c r="T535" s="259">
        <v>31.613700000000001</v>
      </c>
      <c r="U535" s="259">
        <v>31.412199999999999</v>
      </c>
      <c r="V535" s="259">
        <v>30.985900000000001</v>
      </c>
      <c r="W535" s="259">
        <v>30.985900000000001</v>
      </c>
      <c r="X535" s="259">
        <v>31.142900000000001</v>
      </c>
      <c r="Y535" s="259">
        <v>31.569299999999998</v>
      </c>
      <c r="Z535" s="1209">
        <f ca="1">[1]ExtEntry!$K32</f>
        <v>13.8165</v>
      </c>
      <c r="AB535" s="267">
        <v>1189903.3999999999</v>
      </c>
      <c r="AC535" s="267">
        <v>1180060</v>
      </c>
      <c r="AD535" s="267">
        <v>1203160</v>
      </c>
      <c r="AE535" s="267">
        <v>1209950</v>
      </c>
      <c r="AF535" s="267">
        <v>1215970</v>
      </c>
      <c r="AG535" s="267">
        <v>1217440</v>
      </c>
      <c r="AH535" s="267">
        <v>1237740</v>
      </c>
      <c r="AI535" s="267">
        <v>1193220</v>
      </c>
      <c r="AJ535" s="267">
        <v>1192940</v>
      </c>
      <c r="AK535" s="267">
        <v>1251600</v>
      </c>
      <c r="AL535" s="267">
        <v>1267560</v>
      </c>
      <c r="AM535" s="267">
        <v>1310960</v>
      </c>
      <c r="AN535" s="267">
        <v>1375500</v>
      </c>
      <c r="AO535" s="267">
        <v>1270780</v>
      </c>
      <c r="AP535" s="267">
        <v>1233635</v>
      </c>
      <c r="AQ535" s="267">
        <v>1467185</v>
      </c>
      <c r="AR535" s="267">
        <v>1479000</v>
      </c>
      <c r="AS535" s="267">
        <v>1479000</v>
      </c>
      <c r="AT535" s="267">
        <v>1332900</v>
      </c>
      <c r="AU535" s="267">
        <v>1416610</v>
      </c>
      <c r="AV535" s="264">
        <f ca="1">Calc!F33</f>
        <v>3284070</v>
      </c>
      <c r="AX535" s="88" t="str">
        <f t="shared" ca="1" si="43"/>
        <v>NFLX</v>
      </c>
    </row>
    <row r="536" spans="1:50" hidden="1">
      <c r="A536" s="88" t="str">
        <f t="shared" ca="1" si="44"/>
        <v>NOTE</v>
      </c>
      <c r="F536" s="259">
        <v>15.383900000000001</v>
      </c>
      <c r="G536" s="259">
        <v>15.2567</v>
      </c>
      <c r="H536" s="259">
        <v>15.555300000000001</v>
      </c>
      <c r="I536" s="259">
        <v>15.6431</v>
      </c>
      <c r="J536" s="259">
        <v>15.7209</v>
      </c>
      <c r="K536" s="259">
        <v>15.7399</v>
      </c>
      <c r="L536" s="259">
        <v>16.002400000000002</v>
      </c>
      <c r="M536" s="259">
        <v>15.4268</v>
      </c>
      <c r="N536" s="259">
        <v>15.4231</v>
      </c>
      <c r="O536" s="259">
        <v>16.1816</v>
      </c>
      <c r="P536" s="259">
        <v>16.387899999999998</v>
      </c>
      <c r="Q536" s="259">
        <v>16.949000000000002</v>
      </c>
      <c r="R536" s="259">
        <v>17.7834</v>
      </c>
      <c r="S536" s="259">
        <v>17.786999999999999</v>
      </c>
      <c r="T536" s="259">
        <v>17.176200000000001</v>
      </c>
      <c r="U536" s="259">
        <v>17.1752</v>
      </c>
      <c r="V536" s="259">
        <v>15.624000000000001</v>
      </c>
      <c r="W536" s="259">
        <v>15.624000000000001</v>
      </c>
      <c r="X536" s="259">
        <v>15.748900000000001</v>
      </c>
      <c r="Y536" s="259">
        <v>15.0829</v>
      </c>
      <c r="Z536" s="1209">
        <f ca="1">[1]ExtEntry!$K33</f>
        <v>46.520099999999999</v>
      </c>
      <c r="AB536" s="264">
        <v>722724</v>
      </c>
      <c r="AC536" s="264">
        <v>719352</v>
      </c>
      <c r="AD536" s="264">
        <v>702540</v>
      </c>
      <c r="AE536" s="264">
        <v>697518</v>
      </c>
      <c r="AF536" s="264">
        <v>691992</v>
      </c>
      <c r="AG536" s="264">
        <v>952848</v>
      </c>
      <c r="AH536" s="264">
        <v>971400</v>
      </c>
      <c r="AI536" s="264">
        <v>861749</v>
      </c>
      <c r="AJ536" s="264">
        <v>861749</v>
      </c>
      <c r="AK536" s="264">
        <v>853321</v>
      </c>
      <c r="AL536" s="264">
        <v>850744.99999999988</v>
      </c>
      <c r="AM536" s="264">
        <v>844606</v>
      </c>
      <c r="AN536" s="264">
        <v>946871.99999999988</v>
      </c>
      <c r="AO536" s="264">
        <v>959487.99999999988</v>
      </c>
      <c r="AP536" s="264">
        <v>866992</v>
      </c>
      <c r="AQ536" s="264">
        <v>868944.99999999988</v>
      </c>
      <c r="AR536" s="264">
        <v>2232740</v>
      </c>
      <c r="AS536" s="264">
        <v>2232740</v>
      </c>
      <c r="AT536" s="264">
        <v>2783975</v>
      </c>
      <c r="AU536" s="264">
        <v>3284070</v>
      </c>
      <c r="AV536" s="264">
        <f ca="1">Calc!F34</f>
        <v>116534.79000000001</v>
      </c>
      <c r="AX536" s="88" t="str">
        <f t="shared" ca="1" si="43"/>
        <v>NOTE</v>
      </c>
    </row>
    <row r="537" spans="1:50" hidden="1">
      <c r="A537" s="88" t="str">
        <f t="shared" ca="1" si="44"/>
        <v>PAAS</v>
      </c>
      <c r="F537" s="259">
        <v>51.328400000000002</v>
      </c>
      <c r="G537" s="259">
        <v>51.408200000000001</v>
      </c>
      <c r="H537" s="259">
        <v>51.088999999999999</v>
      </c>
      <c r="I537" s="259">
        <v>49.895000000000003</v>
      </c>
      <c r="J537" s="259">
        <v>49.5383</v>
      </c>
      <c r="K537" s="259">
        <v>50.753999999999998</v>
      </c>
      <c r="L537" s="259">
        <v>50.754100000000001</v>
      </c>
      <c r="M537" s="259">
        <v>51.7423</v>
      </c>
      <c r="N537" s="259">
        <v>52.459000000000003</v>
      </c>
      <c r="O537" s="259">
        <v>51.945900000000002</v>
      </c>
      <c r="P537" s="259">
        <v>51.789099999999998</v>
      </c>
      <c r="Q537" s="259">
        <v>51.415399999999998</v>
      </c>
      <c r="R537" s="259">
        <v>50.435699999999997</v>
      </c>
      <c r="S537" s="259">
        <v>50.4358</v>
      </c>
      <c r="T537" s="259">
        <v>51.107799999999997</v>
      </c>
      <c r="U537" s="259">
        <v>52.896999999999998</v>
      </c>
      <c r="V537" s="259">
        <v>47.571300000000001</v>
      </c>
      <c r="W537" s="259">
        <v>47.571300000000001</v>
      </c>
      <c r="X537" s="259">
        <v>47.571300000000001</v>
      </c>
      <c r="Y537" s="259">
        <v>46.520099999999999</v>
      </c>
      <c r="Z537" s="1209">
        <f>[1]ExtEntry!$K34</f>
        <v>99</v>
      </c>
      <c r="AB537" s="267">
        <v>122668.2</v>
      </c>
      <c r="AC537" s="267">
        <v>123468.20999999999</v>
      </c>
      <c r="AD537" s="267">
        <v>124801.56</v>
      </c>
      <c r="AE537" s="267">
        <v>132534.99</v>
      </c>
      <c r="AF537" s="267">
        <v>137601.72</v>
      </c>
      <c r="AG537" s="267">
        <v>134668.35</v>
      </c>
      <c r="AH537" s="267">
        <v>140535.09</v>
      </c>
      <c r="AI537" s="267">
        <v>131468.31</v>
      </c>
      <c r="AJ537" s="267">
        <v>131468.31</v>
      </c>
      <c r="AK537" s="267">
        <v>123201.54000000001</v>
      </c>
      <c r="AL537" s="267">
        <v>125334.90000000001</v>
      </c>
      <c r="AM537" s="267">
        <v>124641.558</v>
      </c>
      <c r="AN537" s="267">
        <v>117068.12999999999</v>
      </c>
      <c r="AO537" s="267">
        <v>113334.75</v>
      </c>
      <c r="AP537" s="267">
        <v>118668.15000000001</v>
      </c>
      <c r="AQ537" s="267">
        <v>119734.83</v>
      </c>
      <c r="AR537" s="267">
        <v>113068.08</v>
      </c>
      <c r="AS537" s="267">
        <v>113068.08</v>
      </c>
      <c r="AT537" s="267">
        <v>118668.15000000001</v>
      </c>
      <c r="AU537" s="267">
        <v>116534.79000000001</v>
      </c>
      <c r="AV537" s="264">
        <f ca="1">Calc!F35</f>
        <v>145360</v>
      </c>
      <c r="AX537" s="88" t="str">
        <f t="shared" ref="AX537:AX568" ca="1" si="45">A37</f>
        <v>PAAS</v>
      </c>
    </row>
    <row r="538" spans="1:50" hidden="1">
      <c r="A538" s="88" t="str">
        <f t="shared" ca="1" si="44"/>
        <v>PROF</v>
      </c>
      <c r="F538" s="259">
        <v>0</v>
      </c>
      <c r="G538" s="259">
        <v>99</v>
      </c>
      <c r="H538" s="259">
        <v>99</v>
      </c>
      <c r="I538" s="259">
        <v>99</v>
      </c>
      <c r="J538" s="259">
        <v>99</v>
      </c>
      <c r="K538" s="259">
        <v>99</v>
      </c>
      <c r="L538" s="259">
        <v>99</v>
      </c>
      <c r="M538" s="259">
        <v>99</v>
      </c>
      <c r="N538" s="259">
        <v>99</v>
      </c>
      <c r="O538" s="259">
        <v>0</v>
      </c>
      <c r="P538" s="259">
        <v>0</v>
      </c>
      <c r="Q538" s="259">
        <v>0</v>
      </c>
      <c r="R538" s="259">
        <v>99</v>
      </c>
      <c r="S538" s="259">
        <v>99</v>
      </c>
      <c r="T538" s="259">
        <v>99</v>
      </c>
      <c r="U538" s="259">
        <v>99</v>
      </c>
      <c r="V538" s="259">
        <v>99</v>
      </c>
      <c r="W538" s="259">
        <v>99</v>
      </c>
      <c r="X538" s="259">
        <v>99</v>
      </c>
      <c r="Y538" s="259">
        <v>99</v>
      </c>
      <c r="Z538" s="1209">
        <f ca="1">[1]ExtEntry!$K35</f>
        <v>25.146799999999999</v>
      </c>
      <c r="AB538" s="264">
        <v>98212.499999999985</v>
      </c>
      <c r="AC538" s="264">
        <v>96837.5</v>
      </c>
      <c r="AD538" s="264">
        <v>98250</v>
      </c>
      <c r="AE538" s="264">
        <v>97975</v>
      </c>
      <c r="AF538" s="264">
        <v>97600</v>
      </c>
      <c r="AG538" s="264">
        <v>98350.000000000015</v>
      </c>
      <c r="AH538" s="264">
        <v>99450</v>
      </c>
      <c r="AI538" s="264">
        <v>96400</v>
      </c>
      <c r="AJ538" s="264">
        <v>96375</v>
      </c>
      <c r="AK538" s="264">
        <v>102150</v>
      </c>
      <c r="AL538" s="264">
        <v>98900</v>
      </c>
      <c r="AM538" s="264">
        <v>102650</v>
      </c>
      <c r="AN538" s="264">
        <v>105075</v>
      </c>
      <c r="AO538" s="264">
        <v>96100</v>
      </c>
      <c r="AP538" s="264">
        <v>98375</v>
      </c>
      <c r="AQ538" s="264">
        <v>141740</v>
      </c>
      <c r="AR538" s="264">
        <v>143500</v>
      </c>
      <c r="AS538" s="264">
        <v>143500</v>
      </c>
      <c r="AT538" s="264">
        <v>144840</v>
      </c>
      <c r="AU538" s="264">
        <v>145320</v>
      </c>
      <c r="AV538" s="264">
        <f ca="1">Calc!F36</f>
        <v>22000</v>
      </c>
      <c r="AX538" s="88" t="str">
        <f t="shared" ca="1" si="45"/>
        <v>PROF</v>
      </c>
    </row>
    <row r="539" spans="1:50" hidden="1">
      <c r="A539" s="88" t="str">
        <f t="shared" ca="1" si="44"/>
        <v>POET</v>
      </c>
      <c r="F539" s="259">
        <v>27.275600000000001</v>
      </c>
      <c r="G539" s="259">
        <v>26.893699999999999</v>
      </c>
      <c r="H539" s="259">
        <v>27.286000000000001</v>
      </c>
      <c r="I539" s="259">
        <v>27.209599999999998</v>
      </c>
      <c r="J539" s="259">
        <v>27.105499999999999</v>
      </c>
      <c r="K539" s="259">
        <v>27.313800000000001</v>
      </c>
      <c r="L539" s="259">
        <v>27.619199999999999</v>
      </c>
      <c r="M539" s="259">
        <v>26.772200000000002</v>
      </c>
      <c r="N539" s="259">
        <v>26.764500000000002</v>
      </c>
      <c r="O539" s="259">
        <v>28.3691</v>
      </c>
      <c r="P539" s="259">
        <v>27.4665</v>
      </c>
      <c r="Q539" s="259">
        <v>28.507899999999999</v>
      </c>
      <c r="R539" s="259">
        <v>29.1814</v>
      </c>
      <c r="S539" s="259">
        <v>26.6889</v>
      </c>
      <c r="T539" s="259">
        <v>27.320699999999999</v>
      </c>
      <c r="U539" s="259">
        <v>27.340800000000002</v>
      </c>
      <c r="V539" s="259">
        <v>24.908000000000001</v>
      </c>
      <c r="W539" s="259">
        <v>24.908000000000001</v>
      </c>
      <c r="X539" s="259">
        <v>25.140599999999999</v>
      </c>
      <c r="Y539" s="259">
        <v>25.2239</v>
      </c>
      <c r="Z539" s="1209">
        <f ca="1">[1]ExtEntry!$K36</f>
        <v>0</v>
      </c>
      <c r="AB539" s="267">
        <v>30599.999999999996</v>
      </c>
      <c r="AC539" s="267">
        <v>29339.999999999996</v>
      </c>
      <c r="AD539" s="267">
        <v>29640.000000000004</v>
      </c>
      <c r="AE539" s="267">
        <v>31859.999999999996</v>
      </c>
      <c r="AF539" s="267">
        <v>34050</v>
      </c>
      <c r="AG539" s="267">
        <v>38760</v>
      </c>
      <c r="AH539" s="267">
        <v>40440</v>
      </c>
      <c r="AI539" s="267">
        <v>39780</v>
      </c>
      <c r="AJ539" s="267">
        <v>39780</v>
      </c>
      <c r="AK539" s="267">
        <v>35880</v>
      </c>
      <c r="AL539" s="267">
        <v>34980</v>
      </c>
      <c r="AM539" s="267">
        <v>22400</v>
      </c>
      <c r="AN539" s="267">
        <v>22240</v>
      </c>
      <c r="AO539" s="267">
        <v>22120</v>
      </c>
      <c r="AP539" s="267">
        <v>23120</v>
      </c>
      <c r="AQ539" s="267">
        <v>23440</v>
      </c>
      <c r="AR539" s="267">
        <v>21680</v>
      </c>
      <c r="AS539" s="267">
        <v>21680</v>
      </c>
      <c r="AT539" s="267">
        <v>21224</v>
      </c>
      <c r="AU539" s="267">
        <v>22000</v>
      </c>
      <c r="AV539" s="264">
        <f ca="1">Calc!F37</f>
        <v>370350</v>
      </c>
      <c r="AX539" s="88" t="str">
        <f t="shared" ca="1" si="45"/>
        <v>POET</v>
      </c>
    </row>
    <row r="540" spans="1:50" hidden="1">
      <c r="A540" s="88" t="str">
        <f t="shared" ca="1" si="44"/>
        <v>PW</v>
      </c>
      <c r="F540" s="259">
        <v>0</v>
      </c>
      <c r="G540" s="259">
        <v>0</v>
      </c>
      <c r="H540" s="259">
        <v>0</v>
      </c>
      <c r="I540" s="259">
        <v>0</v>
      </c>
      <c r="J540" s="259">
        <v>0</v>
      </c>
      <c r="K540" s="259">
        <v>0</v>
      </c>
      <c r="L540" s="259">
        <v>0</v>
      </c>
      <c r="M540" s="259">
        <v>0</v>
      </c>
      <c r="N540" s="259">
        <v>0</v>
      </c>
      <c r="O540" s="259">
        <v>0</v>
      </c>
      <c r="P540" s="259">
        <v>0</v>
      </c>
      <c r="Q540" s="259">
        <v>0</v>
      </c>
      <c r="R540" s="259">
        <v>0</v>
      </c>
      <c r="S540" s="259">
        <v>0</v>
      </c>
      <c r="T540" s="259">
        <v>0</v>
      </c>
      <c r="U540" s="259">
        <v>0</v>
      </c>
      <c r="V540" s="259">
        <v>0</v>
      </c>
      <c r="W540" s="259">
        <v>0</v>
      </c>
      <c r="X540" s="259">
        <v>0</v>
      </c>
      <c r="Y540" s="259">
        <v>0</v>
      </c>
      <c r="Z540" s="1209">
        <f ca="1">[1]ExtEntry!$K37</f>
        <v>0</v>
      </c>
      <c r="AB540" s="264">
        <v>272115</v>
      </c>
      <c r="AC540" s="264">
        <v>277000</v>
      </c>
      <c r="AD540" s="264">
        <v>297000</v>
      </c>
      <c r="AE540" s="264">
        <v>325000</v>
      </c>
      <c r="AF540" s="264">
        <v>311000</v>
      </c>
      <c r="AG540" s="264">
        <v>374300</v>
      </c>
      <c r="AH540" s="264">
        <v>414900</v>
      </c>
      <c r="AI540" s="264">
        <v>396900</v>
      </c>
      <c r="AJ540" s="264">
        <v>396900</v>
      </c>
      <c r="AK540" s="264">
        <v>379350</v>
      </c>
      <c r="AL540" s="264">
        <v>407250.00000000006</v>
      </c>
      <c r="AM540" s="264">
        <v>377325</v>
      </c>
      <c r="AN540" s="264">
        <v>340200</v>
      </c>
      <c r="AO540" s="264">
        <v>315900</v>
      </c>
      <c r="AP540" s="264">
        <v>341550</v>
      </c>
      <c r="AQ540" s="264">
        <v>335250</v>
      </c>
      <c r="AR540" s="264">
        <v>331650</v>
      </c>
      <c r="AS540" s="264">
        <v>331650</v>
      </c>
      <c r="AT540" s="264">
        <v>328950</v>
      </c>
      <c r="AU540" s="264">
        <v>370350</v>
      </c>
      <c r="AV540" s="264">
        <f ca="1">Calc!F38</f>
        <v>7534.9999999999991</v>
      </c>
      <c r="AX540" s="88" t="str">
        <f t="shared" ca="1" si="45"/>
        <v>PW</v>
      </c>
    </row>
    <row r="541" spans="1:50" hidden="1">
      <c r="A541" s="88" t="str">
        <f t="shared" ca="1" si="44"/>
        <v>RIGL</v>
      </c>
      <c r="F541" s="259">
        <v>0</v>
      </c>
      <c r="G541" s="259">
        <v>0</v>
      </c>
      <c r="H541" s="259">
        <v>0</v>
      </c>
      <c r="I541" s="259">
        <v>0</v>
      </c>
      <c r="J541" s="259">
        <v>0</v>
      </c>
      <c r="K541" s="259">
        <v>0</v>
      </c>
      <c r="L541" s="259">
        <v>0</v>
      </c>
      <c r="M541" s="259">
        <v>0</v>
      </c>
      <c r="N541" s="259">
        <v>0</v>
      </c>
      <c r="O541" s="259">
        <v>0</v>
      </c>
      <c r="P541" s="259">
        <v>0</v>
      </c>
      <c r="Q541" s="259">
        <v>0</v>
      </c>
      <c r="R541" s="259">
        <v>0</v>
      </c>
      <c r="S541" s="259">
        <v>0</v>
      </c>
      <c r="T541" s="259">
        <v>0</v>
      </c>
      <c r="U541" s="259">
        <v>0</v>
      </c>
      <c r="V541" s="259">
        <v>0</v>
      </c>
      <c r="W541" s="259">
        <v>0</v>
      </c>
      <c r="X541" s="259">
        <v>0</v>
      </c>
      <c r="Y541" s="259">
        <v>0</v>
      </c>
      <c r="Z541" s="1209">
        <f>[1]ExtEntry!$K38</f>
        <v>99</v>
      </c>
      <c r="AB541" s="267">
        <v>10698</v>
      </c>
      <c r="AC541" s="267">
        <v>10100</v>
      </c>
      <c r="AD541" s="267">
        <v>10100</v>
      </c>
      <c r="AE541" s="267">
        <v>10386</v>
      </c>
      <c r="AF541" s="267">
        <v>10100</v>
      </c>
      <c r="AG541" s="267">
        <v>10400</v>
      </c>
      <c r="AH541" s="267">
        <v>9974</v>
      </c>
      <c r="AI541" s="267">
        <v>9501</v>
      </c>
      <c r="AJ541" s="267">
        <v>9501</v>
      </c>
      <c r="AK541" s="267">
        <v>9060</v>
      </c>
      <c r="AL541" s="267">
        <v>8716</v>
      </c>
      <c r="AM541" s="267">
        <v>9000</v>
      </c>
      <c r="AN541" s="267">
        <v>8999</v>
      </c>
      <c r="AO541" s="267">
        <v>8204</v>
      </c>
      <c r="AP541" s="267">
        <v>7811</v>
      </c>
      <c r="AQ541" s="267">
        <v>7641</v>
      </c>
      <c r="AR541" s="267">
        <v>7095</v>
      </c>
      <c r="AS541" s="267">
        <v>7095</v>
      </c>
      <c r="AT541" s="267">
        <v>6850.0000000000009</v>
      </c>
      <c r="AU541" s="267">
        <v>7534.9999999999991</v>
      </c>
      <c r="AV541" s="264">
        <f ca="1">Calc!F39</f>
        <v>59940</v>
      </c>
      <c r="AX541" s="88" t="str">
        <f t="shared" ca="1" si="45"/>
        <v>RIGL</v>
      </c>
    </row>
    <row r="542" spans="1:50" hidden="1">
      <c r="A542" s="88" t="str">
        <f t="shared" ca="1" si="44"/>
        <v>RWE</v>
      </c>
      <c r="F542" s="259">
        <v>99</v>
      </c>
      <c r="G542" s="259">
        <v>99</v>
      </c>
      <c r="H542" s="259">
        <v>99</v>
      </c>
      <c r="I542" s="259">
        <v>99</v>
      </c>
      <c r="J542" s="259">
        <v>99</v>
      </c>
      <c r="K542" s="259">
        <v>99</v>
      </c>
      <c r="L542" s="259">
        <v>99</v>
      </c>
      <c r="M542" s="259">
        <v>99</v>
      </c>
      <c r="N542" s="259">
        <v>99</v>
      </c>
      <c r="O542" s="259">
        <v>0</v>
      </c>
      <c r="P542" s="259">
        <v>0</v>
      </c>
      <c r="Q542" s="259">
        <v>99</v>
      </c>
      <c r="R542" s="259">
        <v>99</v>
      </c>
      <c r="S542" s="259">
        <v>99</v>
      </c>
      <c r="T542" s="259">
        <v>99</v>
      </c>
      <c r="U542" s="259">
        <v>99</v>
      </c>
      <c r="V542" s="259">
        <v>99</v>
      </c>
      <c r="W542" s="259">
        <v>99</v>
      </c>
      <c r="X542" s="259">
        <v>99</v>
      </c>
      <c r="Y542" s="259">
        <v>99</v>
      </c>
      <c r="Z542" s="1209">
        <f ca="1">[1]ExtEntry!$K39</f>
        <v>5.4275000000000002</v>
      </c>
      <c r="AB542" s="264">
        <v>114960</v>
      </c>
      <c r="AC542" s="264">
        <v>113320</v>
      </c>
      <c r="AD542" s="264">
        <v>112640</v>
      </c>
      <c r="AE542" s="264">
        <v>112480</v>
      </c>
      <c r="AF542" s="264">
        <v>114160</v>
      </c>
      <c r="AG542" s="264">
        <v>118000</v>
      </c>
      <c r="AH542" s="264">
        <v>115040</v>
      </c>
      <c r="AI542" s="264">
        <v>113600</v>
      </c>
      <c r="AJ542" s="264">
        <v>113600</v>
      </c>
      <c r="AK542" s="264">
        <v>107320</v>
      </c>
      <c r="AL542" s="264">
        <v>109520</v>
      </c>
      <c r="AM542" s="264">
        <v>112320</v>
      </c>
      <c r="AN542" s="264">
        <v>112440</v>
      </c>
      <c r="AO542" s="264">
        <v>111760</v>
      </c>
      <c r="AP542" s="264">
        <v>117840</v>
      </c>
      <c r="AQ542" s="264">
        <v>60540</v>
      </c>
      <c r="AR542" s="264">
        <v>61380</v>
      </c>
      <c r="AS542" s="264">
        <v>61380</v>
      </c>
      <c r="AT542" s="264">
        <v>58780</v>
      </c>
      <c r="AU542" s="264">
        <v>59940</v>
      </c>
      <c r="AV542" s="264">
        <f ca="1">Calc!F40</f>
        <v>2028.5</v>
      </c>
      <c r="AX542" s="88" t="str">
        <f t="shared" ca="1" si="45"/>
        <v>RWE</v>
      </c>
    </row>
    <row r="543" spans="1:50" hidden="1">
      <c r="A543" s="88" t="str">
        <f t="shared" ca="1" si="44"/>
        <v>SAP</v>
      </c>
      <c r="F543" s="259">
        <v>5.3075000000000001</v>
      </c>
      <c r="G543" s="259">
        <v>5.3093000000000004</v>
      </c>
      <c r="H543" s="259">
        <v>5.2317999999999998</v>
      </c>
      <c r="I543" s="259">
        <v>5.2004000000000001</v>
      </c>
      <c r="J543" s="259">
        <v>5.1929999999999996</v>
      </c>
      <c r="K543" s="259">
        <v>5.4478</v>
      </c>
      <c r="L543" s="259">
        <v>5.4478999999999997</v>
      </c>
      <c r="M543" s="259">
        <v>5.3112000000000004</v>
      </c>
      <c r="N543" s="259">
        <v>5.2446999999999999</v>
      </c>
      <c r="O543" s="259">
        <v>4.9547999999999996</v>
      </c>
      <c r="P543" s="259">
        <v>5.0563000000000002</v>
      </c>
      <c r="Q543" s="259">
        <v>5.1856</v>
      </c>
      <c r="R543" s="259">
        <v>5.1910999999999996</v>
      </c>
      <c r="S543" s="259">
        <v>5.1912000000000003</v>
      </c>
      <c r="T543" s="259">
        <v>5.1597999999999997</v>
      </c>
      <c r="U543" s="259">
        <v>5.4405000000000001</v>
      </c>
      <c r="V543" s="259">
        <v>5.6676000000000002</v>
      </c>
      <c r="W543" s="259">
        <v>5.6676000000000002</v>
      </c>
      <c r="X543" s="259">
        <v>5.4275000000000002</v>
      </c>
      <c r="Y543" s="259">
        <v>5.5346000000000002</v>
      </c>
      <c r="Z543" s="1209">
        <f ca="1">[1]ExtEntry!$K40</f>
        <v>11.573499999999999</v>
      </c>
      <c r="AB543" s="267">
        <v>1889</v>
      </c>
      <c r="AC543" s="267">
        <v>1896</v>
      </c>
      <c r="AD543" s="267">
        <v>1952</v>
      </c>
      <c r="AE543" s="267">
        <v>1946.5</v>
      </c>
      <c r="AF543" s="267">
        <v>1961</v>
      </c>
      <c r="AG543" s="267">
        <v>1986</v>
      </c>
      <c r="AH543" s="267">
        <v>2024.5</v>
      </c>
      <c r="AI543" s="267">
        <v>2011</v>
      </c>
      <c r="AJ543" s="267">
        <v>2027</v>
      </c>
      <c r="AK543" s="267">
        <v>2048</v>
      </c>
      <c r="AL543" s="267">
        <v>2029</v>
      </c>
      <c r="AM543" s="267">
        <v>2034.5</v>
      </c>
      <c r="AN543" s="267">
        <v>2069</v>
      </c>
      <c r="AO543" s="267">
        <v>2053</v>
      </c>
      <c r="AP543" s="267">
        <v>2046</v>
      </c>
      <c r="AQ543" s="267">
        <v>2023.5</v>
      </c>
      <c r="AR543" s="267">
        <v>2011</v>
      </c>
      <c r="AS543" s="267">
        <v>2011</v>
      </c>
      <c r="AT543" s="267">
        <v>2000</v>
      </c>
      <c r="AU543" s="267">
        <v>2023.9999999999998</v>
      </c>
      <c r="AV543" s="264">
        <f ca="1">Calc!F41</f>
        <v>886730</v>
      </c>
      <c r="AX543" s="88" t="str">
        <f t="shared" ca="1" si="45"/>
        <v>SAP</v>
      </c>
    </row>
    <row r="544" spans="1:50" hidden="1">
      <c r="A544" s="88" t="str">
        <f t="shared" ca="1" si="44"/>
        <v>SHECY</v>
      </c>
      <c r="F544" s="259">
        <v>10.812200000000001</v>
      </c>
      <c r="G544" s="259">
        <v>10.8653</v>
      </c>
      <c r="H544" s="259">
        <v>11.186199999999999</v>
      </c>
      <c r="I544" s="259">
        <v>11.1547</v>
      </c>
      <c r="J544" s="259">
        <v>11.2378</v>
      </c>
      <c r="K544" s="259">
        <v>11.3811</v>
      </c>
      <c r="L544" s="259">
        <v>11.601699999999999</v>
      </c>
      <c r="M544" s="259">
        <v>11.5244</v>
      </c>
      <c r="N544" s="259">
        <v>11.616</v>
      </c>
      <c r="O544" s="259">
        <v>11.7364</v>
      </c>
      <c r="P544" s="259">
        <v>11.6275</v>
      </c>
      <c r="Q544" s="259">
        <v>11.659000000000001</v>
      </c>
      <c r="R544" s="259">
        <v>11.8567</v>
      </c>
      <c r="S544" s="259">
        <v>11.67</v>
      </c>
      <c r="T544" s="259">
        <v>11.7249</v>
      </c>
      <c r="U544" s="259">
        <v>11.596</v>
      </c>
      <c r="V544" s="259">
        <v>11.5244</v>
      </c>
      <c r="W544" s="259">
        <v>11.5244</v>
      </c>
      <c r="X544" s="259">
        <v>11.4613</v>
      </c>
      <c r="Y544" s="259">
        <v>11.5989</v>
      </c>
      <c r="Z544" s="1209">
        <f ca="1">[1]ExtEntry!$K41</f>
        <v>39.863</v>
      </c>
      <c r="AB544" s="264">
        <v>789425</v>
      </c>
      <c r="AC544" s="264">
        <v>797650</v>
      </c>
      <c r="AD544" s="264">
        <v>797300</v>
      </c>
      <c r="AE544" s="264">
        <v>928400</v>
      </c>
      <c r="AF544" s="264">
        <v>920600</v>
      </c>
      <c r="AG544" s="264">
        <v>940000</v>
      </c>
      <c r="AH544" s="264">
        <v>948800</v>
      </c>
      <c r="AI544" s="264">
        <v>951200</v>
      </c>
      <c r="AJ544" s="264">
        <v>904400</v>
      </c>
      <c r="AK544" s="264">
        <v>879320</v>
      </c>
      <c r="AL544" s="264">
        <v>884260</v>
      </c>
      <c r="AM544" s="264">
        <v>889960</v>
      </c>
      <c r="AN544" s="264">
        <v>886160</v>
      </c>
      <c r="AO544" s="264">
        <v>877610</v>
      </c>
      <c r="AP544" s="264">
        <v>906680</v>
      </c>
      <c r="AQ544" s="264">
        <v>913520</v>
      </c>
      <c r="AR544" s="264">
        <v>900030</v>
      </c>
      <c r="AS544" s="264">
        <v>900030</v>
      </c>
      <c r="AT544" s="264">
        <v>919600</v>
      </c>
      <c r="AU544" s="264">
        <v>886730</v>
      </c>
      <c r="AV544" s="264">
        <f ca="1">Calc!F42</f>
        <v>350506.56</v>
      </c>
      <c r="AX544" s="88" t="str">
        <f t="shared" ca="1" si="45"/>
        <v>SHECY</v>
      </c>
    </row>
    <row r="545" spans="1:50" hidden="1">
      <c r="A545" s="88" t="str">
        <f t="shared" ca="1" si="44"/>
        <v>SSYS</v>
      </c>
      <c r="F545" s="259">
        <v>40.271000000000001</v>
      </c>
      <c r="G545" s="259">
        <v>40.690600000000003</v>
      </c>
      <c r="H545" s="259">
        <v>40.672800000000002</v>
      </c>
      <c r="I545" s="259">
        <v>41.4405</v>
      </c>
      <c r="J545" s="259">
        <v>41.092300000000002</v>
      </c>
      <c r="K545" s="259">
        <v>41.958300000000001</v>
      </c>
      <c r="L545" s="259">
        <v>42.351100000000002</v>
      </c>
      <c r="M545" s="259">
        <v>42.458199999999998</v>
      </c>
      <c r="N545" s="259">
        <v>42.493899999999996</v>
      </c>
      <c r="O545" s="259">
        <v>41.3155</v>
      </c>
      <c r="P545" s="259">
        <v>41.547600000000003</v>
      </c>
      <c r="Q545" s="259">
        <v>41.8155</v>
      </c>
      <c r="R545" s="259">
        <v>41.636899999999997</v>
      </c>
      <c r="S545" s="259">
        <v>41.636899999999997</v>
      </c>
      <c r="T545" s="259">
        <v>42.601100000000002</v>
      </c>
      <c r="U545" s="259">
        <v>42.601100000000002</v>
      </c>
      <c r="V545" s="259">
        <v>42.288600000000002</v>
      </c>
      <c r="W545" s="259">
        <v>42.288600000000002</v>
      </c>
      <c r="X545" s="259">
        <v>42.288600000000002</v>
      </c>
      <c r="Y545" s="259">
        <v>38.438099999999999</v>
      </c>
      <c r="Z545" s="1209">
        <f ca="1">[1]ExtEntry!$K42</f>
        <v>0</v>
      </c>
      <c r="AB545" s="267">
        <v>372254.99999999994</v>
      </c>
      <c r="AC545" s="267">
        <v>374900</v>
      </c>
      <c r="AD545" s="267">
        <v>378580</v>
      </c>
      <c r="AE545" s="267">
        <v>379978.4</v>
      </c>
      <c r="AF545" s="267">
        <v>394220</v>
      </c>
      <c r="AG545" s="267">
        <v>392839.99999999994</v>
      </c>
      <c r="AH545" s="267">
        <v>385940</v>
      </c>
      <c r="AI545" s="267">
        <v>384790</v>
      </c>
      <c r="AJ545" s="267">
        <v>384790</v>
      </c>
      <c r="AK545" s="267">
        <v>374440</v>
      </c>
      <c r="AL545" s="267">
        <v>381110</v>
      </c>
      <c r="AM545" s="267">
        <v>378033.23339999997</v>
      </c>
      <c r="AN545" s="267">
        <v>367953.6</v>
      </c>
      <c r="AO545" s="267">
        <v>369072</v>
      </c>
      <c r="AP545" s="267">
        <v>365493.12</v>
      </c>
      <c r="AQ545" s="267">
        <v>363927.36</v>
      </c>
      <c r="AR545" s="267">
        <v>358782.71999999997</v>
      </c>
      <c r="AS545" s="267">
        <v>358782.71999999997</v>
      </c>
      <c r="AT545" s="267">
        <v>361243.19999999995</v>
      </c>
      <c r="AU545" s="267">
        <v>350506.56</v>
      </c>
      <c r="AV545" s="264">
        <f ca="1">Calc!F43</f>
        <v>191840</v>
      </c>
      <c r="AX545" s="88" t="str">
        <f t="shared" ca="1" si="45"/>
        <v>SSYS</v>
      </c>
    </row>
    <row r="546" spans="1:50" hidden="1">
      <c r="A546" s="88" t="str">
        <f t="shared" ca="1" si="44"/>
        <v>TSLA</v>
      </c>
      <c r="F546" s="259">
        <v>0</v>
      </c>
      <c r="G546" s="259">
        <v>0</v>
      </c>
      <c r="H546" s="259">
        <v>0</v>
      </c>
      <c r="I546" s="259">
        <v>0</v>
      </c>
      <c r="J546" s="259">
        <v>0</v>
      </c>
      <c r="K546" s="259">
        <v>0</v>
      </c>
      <c r="L546" s="259">
        <v>0</v>
      </c>
      <c r="M546" s="259">
        <v>0</v>
      </c>
      <c r="N546" s="259">
        <v>0</v>
      </c>
      <c r="O546" s="259">
        <v>0</v>
      </c>
      <c r="P546" s="259">
        <v>0</v>
      </c>
      <c r="Q546" s="259">
        <v>0</v>
      </c>
      <c r="R546" s="259">
        <v>0</v>
      </c>
      <c r="S546" s="259">
        <v>0</v>
      </c>
      <c r="T546" s="259">
        <v>0</v>
      </c>
      <c r="U546" s="259">
        <v>0</v>
      </c>
      <c r="V546" s="259">
        <v>0</v>
      </c>
      <c r="W546" s="259">
        <v>0</v>
      </c>
      <c r="X546" s="259">
        <v>0</v>
      </c>
      <c r="Y546" s="259">
        <v>0</v>
      </c>
      <c r="Z546" s="1209">
        <f ca="1">[1]ExtEntry!$K43</f>
        <v>0</v>
      </c>
      <c r="AB546" s="264">
        <v>181280</v>
      </c>
      <c r="AC546" s="264">
        <v>179200</v>
      </c>
      <c r="AD546" s="264">
        <v>177280</v>
      </c>
      <c r="AE546" s="264">
        <v>185280</v>
      </c>
      <c r="AF546" s="264">
        <v>186240</v>
      </c>
      <c r="AG546" s="264">
        <v>184800</v>
      </c>
      <c r="AH546" s="264">
        <v>183840</v>
      </c>
      <c r="AI546" s="264">
        <v>182560</v>
      </c>
      <c r="AJ546" s="264">
        <v>182560</v>
      </c>
      <c r="AK546" s="264">
        <v>173920</v>
      </c>
      <c r="AL546" s="264">
        <v>173760</v>
      </c>
      <c r="AM546" s="264">
        <v>183504</v>
      </c>
      <c r="AN546" s="264">
        <v>183680</v>
      </c>
      <c r="AO546" s="264">
        <v>174720</v>
      </c>
      <c r="AP546" s="264">
        <v>199040</v>
      </c>
      <c r="AQ546" s="264">
        <v>197600</v>
      </c>
      <c r="AR546" s="264">
        <v>180800</v>
      </c>
      <c r="AS546" s="264">
        <v>180800</v>
      </c>
      <c r="AT546" s="264">
        <v>188480</v>
      </c>
      <c r="AU546" s="264">
        <v>191840</v>
      </c>
      <c r="AV546" s="264">
        <f ca="1">Calc!F44</f>
        <v>433.72</v>
      </c>
      <c r="AX546" s="88" t="str">
        <f t="shared" ca="1" si="45"/>
        <v>TSLA</v>
      </c>
    </row>
    <row r="547" spans="1:50" hidden="1">
      <c r="A547" s="88" t="str">
        <f t="shared" ca="1" si="44"/>
        <v>TSM</v>
      </c>
      <c r="F547" s="259">
        <v>0</v>
      </c>
      <c r="G547" s="259">
        <v>0</v>
      </c>
      <c r="H547" s="259">
        <v>0</v>
      </c>
      <c r="I547" s="259">
        <v>0</v>
      </c>
      <c r="J547" s="259">
        <v>0</v>
      </c>
      <c r="K547" s="259">
        <v>0</v>
      </c>
      <c r="L547" s="259">
        <v>0</v>
      </c>
      <c r="M547" s="259">
        <v>0</v>
      </c>
      <c r="N547" s="259">
        <v>0</v>
      </c>
      <c r="O547" s="259">
        <v>0</v>
      </c>
      <c r="P547" s="259">
        <v>0</v>
      </c>
      <c r="Q547" s="259">
        <v>0</v>
      </c>
      <c r="R547" s="259">
        <v>0</v>
      </c>
      <c r="S547" s="259">
        <v>0</v>
      </c>
      <c r="T547" s="259">
        <v>0</v>
      </c>
      <c r="U547" s="259">
        <v>0</v>
      </c>
      <c r="V547" s="259">
        <v>0</v>
      </c>
      <c r="W547" s="259">
        <v>0</v>
      </c>
      <c r="X547" s="259">
        <v>0</v>
      </c>
      <c r="Y547" s="259">
        <v>0</v>
      </c>
      <c r="Z547" s="1209">
        <f ca="1">[1]ExtEntry!$K44</f>
        <v>311.2901</v>
      </c>
      <c r="AB547" s="267">
        <v>4409.8</v>
      </c>
      <c r="AC547" s="267">
        <v>4447.2000000000007</v>
      </c>
      <c r="AD547" s="267">
        <v>4594.5999999999995</v>
      </c>
      <c r="AE547" s="267">
        <v>4360</v>
      </c>
      <c r="AF547" s="267">
        <v>4298.3</v>
      </c>
      <c r="AG547" s="267">
        <v>4330.8999999999996</v>
      </c>
      <c r="AH547" s="267">
        <v>4386.8999999999996</v>
      </c>
      <c r="AI547" s="267">
        <v>4355.4000000000005</v>
      </c>
      <c r="AJ547" s="267">
        <v>4355.4000000000005</v>
      </c>
      <c r="AK547" s="267">
        <v>4359</v>
      </c>
      <c r="AL547" s="267">
        <v>429.24</v>
      </c>
      <c r="AM547" s="267">
        <v>433.44009999999997</v>
      </c>
      <c r="AN547" s="267">
        <v>428.75</v>
      </c>
      <c r="AO547" s="267">
        <v>439.31</v>
      </c>
      <c r="AP547" s="267">
        <v>447.43</v>
      </c>
      <c r="AQ547" s="267">
        <v>442.6</v>
      </c>
      <c r="AR547" s="267">
        <v>438.97</v>
      </c>
      <c r="AS547" s="267">
        <v>438.97</v>
      </c>
      <c r="AT547" s="267">
        <v>448.98</v>
      </c>
      <c r="AU547" s="267">
        <v>433.72</v>
      </c>
      <c r="AV547" s="264">
        <f ca="1">Calc!F45</f>
        <v>1415808</v>
      </c>
      <c r="AX547" s="88" t="str">
        <f t="shared" ca="1" si="45"/>
        <v>TSM</v>
      </c>
    </row>
    <row r="548" spans="1:50" hidden="1">
      <c r="A548" s="88" t="str">
        <f t="shared" ca="1" si="44"/>
        <v>UN0</v>
      </c>
      <c r="F548" s="259">
        <v>245.7398</v>
      </c>
      <c r="G548" s="259">
        <v>246.988</v>
      </c>
      <c r="H548" s="259">
        <v>247.82939999999999</v>
      </c>
      <c r="I548" s="259">
        <v>256.04360000000003</v>
      </c>
      <c r="J548" s="259">
        <v>242.97</v>
      </c>
      <c r="K548" s="259">
        <v>252.5829</v>
      </c>
      <c r="L548" s="259">
        <v>241.3484</v>
      </c>
      <c r="M548" s="259">
        <v>244.4691</v>
      </c>
      <c r="N548" s="259">
        <v>242.71369999999999</v>
      </c>
      <c r="O548" s="259">
        <v>242.90889999999999</v>
      </c>
      <c r="P548" s="259">
        <v>239.19749999999999</v>
      </c>
      <c r="Q548" s="259">
        <v>241.53809999999999</v>
      </c>
      <c r="R548" s="259">
        <v>242.49629999999999</v>
      </c>
      <c r="S548" s="259">
        <v>238.9298</v>
      </c>
      <c r="T548" s="259">
        <v>244.81460000000001</v>
      </c>
      <c r="U548" s="259">
        <v>249.33959999999999</v>
      </c>
      <c r="V548" s="259">
        <v>244.61969999999999</v>
      </c>
      <c r="W548" s="259">
        <v>244.61969999999999</v>
      </c>
      <c r="X548" s="259">
        <v>300.02</v>
      </c>
      <c r="Y548" s="259">
        <v>289.8229</v>
      </c>
      <c r="Z548" s="1209">
        <f ca="1">[1]ExtEntry!$K45</f>
        <v>28.929600000000001</v>
      </c>
      <c r="AB548" s="264">
        <v>1236082.5</v>
      </c>
      <c r="AC548" s="264">
        <v>1256602.5</v>
      </c>
      <c r="AD548" s="264">
        <v>1298700</v>
      </c>
      <c r="AE548" s="264">
        <v>1296585</v>
      </c>
      <c r="AF548" s="264">
        <v>1315350</v>
      </c>
      <c r="AG548" s="264">
        <v>1323450</v>
      </c>
      <c r="AH548" s="264">
        <v>1370295</v>
      </c>
      <c r="AI548" s="264">
        <v>1349280</v>
      </c>
      <c r="AJ548" s="264">
        <v>1349460</v>
      </c>
      <c r="AK548" s="264">
        <v>1364535</v>
      </c>
      <c r="AL548" s="264">
        <v>1331887.5</v>
      </c>
      <c r="AM548" s="264">
        <v>1372792.5</v>
      </c>
      <c r="AN548" s="264">
        <v>1349865.0000000002</v>
      </c>
      <c r="AO548" s="264">
        <v>1180320</v>
      </c>
      <c r="AP548" s="264">
        <v>1191176</v>
      </c>
      <c r="AQ548" s="264">
        <v>1178080</v>
      </c>
      <c r="AR548" s="264">
        <v>1386720</v>
      </c>
      <c r="AS548" s="264">
        <v>1386720</v>
      </c>
      <c r="AT548" s="264">
        <v>1395552</v>
      </c>
      <c r="AU548" s="264">
        <v>1416000</v>
      </c>
      <c r="AV548" s="264">
        <f ca="1">Calc!F46</f>
        <v>90450</v>
      </c>
      <c r="AX548" s="88" t="str">
        <f t="shared" ca="1" si="45"/>
        <v>UN0</v>
      </c>
    </row>
    <row r="549" spans="1:50" hidden="1">
      <c r="A549" s="88" t="str">
        <f t="shared" ca="1" si="44"/>
        <v>UNIT</v>
      </c>
      <c r="F549" s="259">
        <v>28.474799999999998</v>
      </c>
      <c r="G549" s="259">
        <v>28.947500000000002</v>
      </c>
      <c r="H549" s="259">
        <v>29.917300000000001</v>
      </c>
      <c r="I549" s="259">
        <v>29.868600000000001</v>
      </c>
      <c r="J549" s="259">
        <v>30.300799999999999</v>
      </c>
      <c r="K549" s="259">
        <v>30.487400000000001</v>
      </c>
      <c r="L549" s="259">
        <v>31.566600000000001</v>
      </c>
      <c r="M549" s="259">
        <v>31.0825</v>
      </c>
      <c r="N549" s="259">
        <v>31.0867</v>
      </c>
      <c r="O549" s="259">
        <v>31.433900000000001</v>
      </c>
      <c r="P549" s="259">
        <v>30.681799999999999</v>
      </c>
      <c r="Q549" s="259">
        <v>31.624099999999999</v>
      </c>
      <c r="R549" s="259">
        <v>31.0959</v>
      </c>
      <c r="S549" s="259">
        <v>29.362400000000001</v>
      </c>
      <c r="T549" s="259">
        <v>29.632400000000001</v>
      </c>
      <c r="U549" s="259">
        <v>29.3066</v>
      </c>
      <c r="V549" s="259">
        <v>28.747399999999999</v>
      </c>
      <c r="W549" s="259">
        <v>28.747399999999999</v>
      </c>
      <c r="X549" s="259">
        <v>28.930499999999999</v>
      </c>
      <c r="Y549" s="259">
        <v>29.354399999999998</v>
      </c>
      <c r="Z549" s="1209">
        <f>[1]ExtEntry!$K46</f>
        <v>99</v>
      </c>
      <c r="AB549" s="267">
        <v>104700</v>
      </c>
      <c r="AC549" s="267">
        <v>102300</v>
      </c>
      <c r="AD549" s="267">
        <v>102000</v>
      </c>
      <c r="AE549" s="267">
        <v>101399.99999999999</v>
      </c>
      <c r="AF549" s="267">
        <v>102000</v>
      </c>
      <c r="AG549" s="267">
        <v>96149.999999999985</v>
      </c>
      <c r="AH549" s="267">
        <v>97800</v>
      </c>
      <c r="AI549" s="267">
        <v>99000</v>
      </c>
      <c r="AJ549" s="267">
        <v>96750</v>
      </c>
      <c r="AK549" s="267">
        <v>95700</v>
      </c>
      <c r="AL549" s="267">
        <v>94650</v>
      </c>
      <c r="AM549" s="267">
        <v>94800</v>
      </c>
      <c r="AN549" s="267">
        <v>95250</v>
      </c>
      <c r="AO549" s="267">
        <v>94650</v>
      </c>
      <c r="AP549" s="267">
        <v>99000</v>
      </c>
      <c r="AQ549" s="267">
        <v>95100</v>
      </c>
      <c r="AR549" s="267">
        <v>95400</v>
      </c>
      <c r="AS549" s="267">
        <v>95400</v>
      </c>
      <c r="AT549" s="267">
        <v>92850</v>
      </c>
      <c r="AU549" s="267">
        <v>90450</v>
      </c>
      <c r="AV549" s="264">
        <f ca="1">Calc!F47</f>
        <v>43410</v>
      </c>
      <c r="AX549" s="88" t="str">
        <f t="shared" ca="1" si="45"/>
        <v>UNIT</v>
      </c>
    </row>
    <row r="550" spans="1:50" hidden="1">
      <c r="A550" s="88" t="str">
        <f t="shared" ca="1" si="44"/>
        <v>AVGO</v>
      </c>
      <c r="F550" s="259">
        <v>25.535900000000002</v>
      </c>
      <c r="G550" s="259">
        <v>25.392299999999999</v>
      </c>
      <c r="H550" s="259">
        <v>25.7287</v>
      </c>
      <c r="I550" s="259">
        <v>25.4344</v>
      </c>
      <c r="J550" s="259">
        <v>24.3413</v>
      </c>
      <c r="K550" s="259">
        <v>25.262699999999999</v>
      </c>
      <c r="L550" s="259">
        <v>25.266200000000001</v>
      </c>
      <c r="M550" s="259">
        <v>25.770700000000001</v>
      </c>
      <c r="N550" s="259">
        <v>25.392299999999999</v>
      </c>
      <c r="O550" s="259">
        <v>22.908799999999999</v>
      </c>
      <c r="P550" s="259">
        <v>22.5305</v>
      </c>
      <c r="Q550" s="259">
        <v>23.6234</v>
      </c>
      <c r="R550" s="259">
        <v>24.0471</v>
      </c>
      <c r="S550" s="259">
        <v>23.584599999999998</v>
      </c>
      <c r="T550" s="259">
        <v>23.752800000000001</v>
      </c>
      <c r="U550" s="259">
        <v>23.539300000000001</v>
      </c>
      <c r="V550" s="259">
        <v>23.3291</v>
      </c>
      <c r="W550" s="259">
        <v>23.3291</v>
      </c>
      <c r="X550" s="259">
        <v>24.38</v>
      </c>
      <c r="Y550" s="259">
        <v>25.220700000000001</v>
      </c>
      <c r="Z550" s="1209">
        <f ca="1">[1]ExtEntry!$K48</f>
        <v>90.779300000000006</v>
      </c>
      <c r="AB550" s="264">
        <v>109878.52500000001</v>
      </c>
      <c r="AC550" s="264">
        <v>110692.44</v>
      </c>
      <c r="AD550" s="264">
        <v>109426.34999999999</v>
      </c>
      <c r="AE550" s="264">
        <v>104723.73</v>
      </c>
      <c r="AF550" s="264">
        <v>105628.08</v>
      </c>
      <c r="AG550" s="264">
        <v>108702.87</v>
      </c>
      <c r="AH550" s="264">
        <v>110873.31</v>
      </c>
      <c r="AI550" s="264">
        <v>109245.48</v>
      </c>
      <c r="AJ550" s="264">
        <v>109245.48</v>
      </c>
      <c r="AK550" s="264">
        <v>98574.150000000009</v>
      </c>
      <c r="AL550" s="264">
        <v>96946.32</v>
      </c>
      <c r="AM550" s="264">
        <v>101648.94</v>
      </c>
      <c r="AN550" s="264">
        <v>101468.07</v>
      </c>
      <c r="AO550" s="264">
        <v>102191.55</v>
      </c>
      <c r="AP550" s="264">
        <v>40516</v>
      </c>
      <c r="AQ550" s="264">
        <v>40516</v>
      </c>
      <c r="AR550" s="264">
        <v>40154.25</v>
      </c>
      <c r="AS550" s="264">
        <v>40154.25</v>
      </c>
      <c r="AT550" s="264">
        <v>41963</v>
      </c>
      <c r="AU550" s="264">
        <v>43410</v>
      </c>
      <c r="AV550" s="264">
        <f ca="1">Calc!F48</f>
        <v>141652</v>
      </c>
      <c r="AX550" s="88" t="str">
        <f t="shared" ca="1" si="45"/>
        <v>AVGO</v>
      </c>
    </row>
    <row r="551" spans="1:50" hidden="1">
      <c r="A551" s="88" t="str">
        <f t="shared" ca="1" si="44"/>
        <v>VLVLY</v>
      </c>
      <c r="F551" s="259">
        <v>84.906400000000005</v>
      </c>
      <c r="G551" s="259">
        <v>0</v>
      </c>
      <c r="H551" s="259">
        <v>0</v>
      </c>
      <c r="I551" s="259">
        <v>0</v>
      </c>
      <c r="J551" s="259">
        <v>0</v>
      </c>
      <c r="K551" s="259">
        <v>0</v>
      </c>
      <c r="L551" s="259">
        <v>0</v>
      </c>
      <c r="M551" s="259">
        <v>0</v>
      </c>
      <c r="N551" s="259">
        <v>0</v>
      </c>
      <c r="O551" s="259">
        <v>0</v>
      </c>
      <c r="P551" s="259">
        <v>0</v>
      </c>
      <c r="Q551" s="259">
        <v>0</v>
      </c>
      <c r="R551" s="259">
        <v>0</v>
      </c>
      <c r="S551" s="259">
        <v>0</v>
      </c>
      <c r="T551" s="259">
        <v>0</v>
      </c>
      <c r="U551" s="259">
        <v>0</v>
      </c>
      <c r="V551" s="259">
        <v>0</v>
      </c>
      <c r="W551" s="259">
        <v>0</v>
      </c>
      <c r="X551" s="259">
        <v>0</v>
      </c>
      <c r="Y551" s="259">
        <v>0</v>
      </c>
      <c r="Z551" s="1209">
        <f ca="1">[1]ExtEntry!$K49</f>
        <v>0</v>
      </c>
      <c r="AB551" s="264">
        <v>42855</v>
      </c>
      <c r="AC551" s="264">
        <v>43035</v>
      </c>
      <c r="AD551" s="264">
        <v>43155</v>
      </c>
      <c r="AE551" s="264">
        <v>43665</v>
      </c>
      <c r="AF551" s="264">
        <v>44130</v>
      </c>
      <c r="AG551" s="264">
        <v>42870</v>
      </c>
      <c r="AH551" s="264">
        <v>42750</v>
      </c>
      <c r="AI551" s="264">
        <v>41910</v>
      </c>
      <c r="AJ551" s="264">
        <v>41910</v>
      </c>
      <c r="AK551" s="264">
        <v>41940</v>
      </c>
      <c r="AL551" s="264">
        <v>41550.15</v>
      </c>
      <c r="AM551" s="264">
        <v>41757</v>
      </c>
      <c r="AN551" s="264">
        <v>42240</v>
      </c>
      <c r="AO551" s="264">
        <v>39540</v>
      </c>
      <c r="AP551" s="264">
        <v>40635</v>
      </c>
      <c r="AQ551" s="264">
        <v>40995</v>
      </c>
      <c r="AR551" s="264">
        <v>40770</v>
      </c>
      <c r="AS551" s="264">
        <v>40770</v>
      </c>
      <c r="AT551" s="264">
        <v>41115</v>
      </c>
      <c r="AU551" s="264">
        <v>41415</v>
      </c>
      <c r="AV551" s="264">
        <f ca="1">Calc!F49</f>
        <v>41415</v>
      </c>
      <c r="AX551" s="88" t="str">
        <f t="shared" ca="1" si="45"/>
        <v>VLVLY</v>
      </c>
    </row>
    <row r="552" spans="1:50" hidden="1">
      <c r="A552" s="88" t="str">
        <f t="shared" ca="1" si="44"/>
        <v>VONN</v>
      </c>
      <c r="F552" s="259">
        <v>13.566599999999999</v>
      </c>
      <c r="G552" s="259">
        <v>13.5214</v>
      </c>
      <c r="H552" s="259">
        <v>13.498900000000001</v>
      </c>
      <c r="I552" s="259">
        <v>13.544</v>
      </c>
      <c r="J552" s="259">
        <v>13.6343</v>
      </c>
      <c r="K552" s="259">
        <v>13.724600000000001</v>
      </c>
      <c r="L552" s="259">
        <v>13.792299999999999</v>
      </c>
      <c r="M552" s="259">
        <v>13.86</v>
      </c>
      <c r="N552" s="259">
        <v>13.7698</v>
      </c>
      <c r="O552" s="259">
        <v>13.6569</v>
      </c>
      <c r="P552" s="259">
        <v>13.702</v>
      </c>
      <c r="Q552" s="259">
        <v>13.5892</v>
      </c>
      <c r="R552" s="259">
        <v>13.498900000000001</v>
      </c>
      <c r="S552" s="259">
        <v>13.498900000000001</v>
      </c>
      <c r="T552" s="259">
        <v>13.3409</v>
      </c>
      <c r="U552" s="259">
        <v>13.2506</v>
      </c>
      <c r="V552" s="259">
        <v>13.2506</v>
      </c>
      <c r="W552" s="259">
        <v>13.2506</v>
      </c>
      <c r="X552" s="259">
        <v>13.611700000000001</v>
      </c>
      <c r="Y552" s="259">
        <v>13.8375</v>
      </c>
      <c r="Z552" s="1209">
        <f ca="1">[1]ExtEntry!$K50</f>
        <v>13.792299999999999</v>
      </c>
      <c r="AB552" s="267">
        <v>961600</v>
      </c>
      <c r="AC552" s="267">
        <v>958400</v>
      </c>
      <c r="AD552" s="267">
        <v>956800</v>
      </c>
      <c r="AE552" s="267">
        <v>960000</v>
      </c>
      <c r="AF552" s="267">
        <v>906000</v>
      </c>
      <c r="AG552" s="267">
        <v>912000</v>
      </c>
      <c r="AH552" s="267">
        <v>916500</v>
      </c>
      <c r="AI552" s="267">
        <v>859600</v>
      </c>
      <c r="AJ552" s="267">
        <v>854000</v>
      </c>
      <c r="AK552" s="267">
        <v>847000</v>
      </c>
      <c r="AL552" s="267">
        <v>849800</v>
      </c>
      <c r="AM552" s="267">
        <v>842800</v>
      </c>
      <c r="AN552" s="267">
        <v>897000</v>
      </c>
      <c r="AO552" s="267">
        <v>944000</v>
      </c>
      <c r="AP552" s="267">
        <v>945600</v>
      </c>
      <c r="AQ552" s="267">
        <v>939200</v>
      </c>
      <c r="AR552" s="267">
        <v>964800</v>
      </c>
      <c r="AS552" s="267">
        <v>964800</v>
      </c>
      <c r="AT552" s="267">
        <v>977600</v>
      </c>
      <c r="AU552" s="267">
        <v>980800</v>
      </c>
      <c r="AV552" s="264">
        <f ca="1">Calc!F50</f>
        <v>980800</v>
      </c>
      <c r="AX552" s="88" t="str">
        <f t="shared" ca="1" si="45"/>
        <v>VONN</v>
      </c>
    </row>
    <row r="553" spans="1:50" hidden="1">
      <c r="A553" s="88" t="str">
        <f t="shared" ca="1" si="44"/>
        <v>VTRS</v>
      </c>
      <c r="F553" s="259">
        <v>0</v>
      </c>
      <c r="G553" s="259">
        <v>0</v>
      </c>
      <c r="H553" s="259">
        <v>0</v>
      </c>
      <c r="I553" s="259">
        <v>0</v>
      </c>
      <c r="J553" s="259">
        <v>0</v>
      </c>
      <c r="K553" s="259">
        <v>0</v>
      </c>
      <c r="L553" s="259">
        <v>0</v>
      </c>
      <c r="M553" s="259">
        <v>0</v>
      </c>
      <c r="N553" s="259">
        <v>0</v>
      </c>
      <c r="O553" s="259">
        <v>0</v>
      </c>
      <c r="P553" s="259">
        <v>0</v>
      </c>
      <c r="Q553" s="259">
        <v>0</v>
      </c>
      <c r="R553" s="259">
        <v>0</v>
      </c>
      <c r="S553" s="259">
        <v>0</v>
      </c>
      <c r="T553" s="259">
        <v>0</v>
      </c>
      <c r="U553" s="259">
        <v>0</v>
      </c>
      <c r="V553" s="259">
        <v>0</v>
      </c>
      <c r="W553" s="259">
        <v>0</v>
      </c>
      <c r="X553" s="259">
        <v>0</v>
      </c>
      <c r="Y553" s="259">
        <v>0</v>
      </c>
      <c r="Z553" s="1209">
        <f ca="1">[1]ExtEntry!$K51</f>
        <v>0</v>
      </c>
      <c r="AB553" s="264">
        <v>95342</v>
      </c>
      <c r="AC553" s="264">
        <v>99000</v>
      </c>
      <c r="AD553" s="264">
        <v>100900</v>
      </c>
      <c r="AE553" s="264">
        <v>101100</v>
      </c>
      <c r="AF553" s="264">
        <v>101900</v>
      </c>
      <c r="AG553" s="264">
        <v>101400</v>
      </c>
      <c r="AH553" s="264">
        <v>99700</v>
      </c>
      <c r="AI553" s="264">
        <v>99900</v>
      </c>
      <c r="AJ553" s="264">
        <v>99900</v>
      </c>
      <c r="AK553" s="264">
        <v>98600</v>
      </c>
      <c r="AL553" s="264">
        <v>99300</v>
      </c>
      <c r="AM553" s="264">
        <v>99750</v>
      </c>
      <c r="AN553" s="264">
        <v>50500</v>
      </c>
      <c r="AO553" s="264">
        <v>50850</v>
      </c>
      <c r="AP553" s="264">
        <v>51550</v>
      </c>
      <c r="AQ553" s="264">
        <v>51950</v>
      </c>
      <c r="AR553" s="264">
        <v>52050</v>
      </c>
      <c r="AS553" s="264">
        <v>52050</v>
      </c>
      <c r="AT553" s="264">
        <v>51550</v>
      </c>
      <c r="AU553" s="264">
        <v>51750</v>
      </c>
      <c r="AV553" s="264">
        <f ca="1">Calc!F51</f>
        <v>51750</v>
      </c>
      <c r="AX553" s="88" t="str">
        <f t="shared" ca="1" si="45"/>
        <v>VTRS</v>
      </c>
    </row>
    <row r="554" spans="1:50" hidden="1">
      <c r="A554" s="88" t="str">
        <f t="shared" ca="1" si="44"/>
        <v>WBA</v>
      </c>
      <c r="F554" s="259">
        <v>0</v>
      </c>
      <c r="G554" s="259">
        <v>0</v>
      </c>
      <c r="H554" s="259">
        <v>0</v>
      </c>
      <c r="I554" s="259">
        <v>0</v>
      </c>
      <c r="J554" s="259">
        <v>0</v>
      </c>
      <c r="K554" s="259">
        <v>0</v>
      </c>
      <c r="L554" s="259">
        <v>0</v>
      </c>
      <c r="M554" s="259">
        <v>0</v>
      </c>
      <c r="N554" s="259">
        <v>0</v>
      </c>
      <c r="O554" s="259">
        <v>0</v>
      </c>
      <c r="P554" s="259">
        <v>0</v>
      </c>
      <c r="Q554" s="259">
        <v>0</v>
      </c>
      <c r="R554" s="259">
        <v>0</v>
      </c>
      <c r="S554" s="259">
        <v>0</v>
      </c>
      <c r="T554" s="259">
        <v>0</v>
      </c>
      <c r="U554" s="259">
        <v>0</v>
      </c>
      <c r="V554" s="259">
        <v>0</v>
      </c>
      <c r="W554" s="259">
        <v>0</v>
      </c>
      <c r="X554" s="259">
        <v>0</v>
      </c>
      <c r="Y554" s="259">
        <v>0</v>
      </c>
      <c r="Z554" s="1209">
        <f ca="1">[1]ExtEntry!$K52</f>
        <v>0</v>
      </c>
      <c r="AB554" s="267">
        <v>35940</v>
      </c>
      <c r="AC554" s="267">
        <v>35940</v>
      </c>
      <c r="AD554" s="267">
        <v>35940</v>
      </c>
      <c r="AE554" s="267">
        <v>35940</v>
      </c>
      <c r="AF554" s="267">
        <v>35940</v>
      </c>
      <c r="AG554" s="267">
        <v>35940</v>
      </c>
      <c r="AH554" s="267">
        <v>35940</v>
      </c>
      <c r="AI554" s="267">
        <v>35940</v>
      </c>
      <c r="AJ554" s="267">
        <v>35940</v>
      </c>
      <c r="AK554" s="267">
        <v>35940</v>
      </c>
      <c r="AL554" s="267">
        <v>35940</v>
      </c>
      <c r="AM554" s="267">
        <v>35940</v>
      </c>
      <c r="AN554" s="267">
        <v>35940</v>
      </c>
      <c r="AO554" s="267">
        <v>35940</v>
      </c>
      <c r="AP554" s="267">
        <v>35940</v>
      </c>
      <c r="AQ554" s="267">
        <v>35940</v>
      </c>
      <c r="AR554" s="267">
        <v>35940</v>
      </c>
      <c r="AS554" s="267">
        <v>35940</v>
      </c>
      <c r="AT554" s="267">
        <v>35940</v>
      </c>
      <c r="AU554" s="267">
        <v>35940</v>
      </c>
      <c r="AV554" s="264">
        <f ca="1">Calc!F52</f>
        <v>35940</v>
      </c>
      <c r="AX554" s="88" t="str">
        <f t="shared" ca="1" si="45"/>
        <v>WBA</v>
      </c>
    </row>
    <row r="555" spans="1:50" hidden="1">
      <c r="A555" s="88" t="str">
        <f t="shared" ca="1" si="44"/>
        <v>XOM</v>
      </c>
      <c r="F555" s="259">
        <v>16.198699999999999</v>
      </c>
      <c r="G555" s="259">
        <v>16.2072</v>
      </c>
      <c r="H555" s="259">
        <v>15.9986</v>
      </c>
      <c r="I555" s="259">
        <v>15.7943</v>
      </c>
      <c r="J555" s="259">
        <v>16.0702</v>
      </c>
      <c r="K555" s="259">
        <v>16.211400000000001</v>
      </c>
      <c r="L555" s="259">
        <v>16.1845</v>
      </c>
      <c r="M555" s="259">
        <v>16.0213</v>
      </c>
      <c r="N555" s="259">
        <v>16.0213</v>
      </c>
      <c r="O555" s="259">
        <v>15.924799999999999</v>
      </c>
      <c r="P555" s="259">
        <v>15.9361</v>
      </c>
      <c r="Q555" s="259">
        <v>15.860200000000001</v>
      </c>
      <c r="R555" s="259">
        <v>15.8368</v>
      </c>
      <c r="S555" s="259">
        <v>15.699199999999999</v>
      </c>
      <c r="T555" s="259">
        <v>15.9922</v>
      </c>
      <c r="U555" s="259">
        <v>15.9915</v>
      </c>
      <c r="V555" s="259">
        <v>16.279499999999999</v>
      </c>
      <c r="W555" s="259">
        <v>16.279499999999999</v>
      </c>
      <c r="X555" s="259">
        <v>16.4526</v>
      </c>
      <c r="Y555" s="259">
        <v>16.374600000000001</v>
      </c>
      <c r="Z555" s="1209">
        <f ca="1">[1]ExtEntry!$K53</f>
        <v>16.456900000000001</v>
      </c>
      <c r="AB555" s="264">
        <v>57080</v>
      </c>
      <c r="AC555" s="264">
        <v>56365</v>
      </c>
      <c r="AD555" s="264">
        <v>55987.5</v>
      </c>
      <c r="AE555" s="264">
        <v>55655</v>
      </c>
      <c r="AF555" s="264">
        <v>56627.5</v>
      </c>
      <c r="AG555" s="264">
        <v>57125</v>
      </c>
      <c r="AH555" s="264">
        <v>57030</v>
      </c>
      <c r="AI555" s="264">
        <v>56455</v>
      </c>
      <c r="AJ555" s="264">
        <v>56455</v>
      </c>
      <c r="AK555" s="264">
        <v>56115</v>
      </c>
      <c r="AL555" s="264">
        <v>56155</v>
      </c>
      <c r="AM555" s="264">
        <v>55887.5</v>
      </c>
      <c r="AN555" s="264">
        <v>55320</v>
      </c>
      <c r="AO555" s="264">
        <v>56120</v>
      </c>
      <c r="AP555" s="264">
        <v>56352.5</v>
      </c>
      <c r="AQ555" s="264">
        <v>56350</v>
      </c>
      <c r="AR555" s="264">
        <v>57365</v>
      </c>
      <c r="AS555" s="264">
        <v>57365</v>
      </c>
      <c r="AT555" s="264">
        <v>57975</v>
      </c>
      <c r="AU555" s="264">
        <v>57700</v>
      </c>
      <c r="AV555" s="264">
        <f ca="1">Calc!F53</f>
        <v>57695</v>
      </c>
      <c r="AX555" s="88" t="str">
        <f t="shared" ca="1" si="45"/>
        <v>XOM</v>
      </c>
    </row>
    <row r="556" spans="1:50" hidden="1">
      <c r="A556" s="88" t="str">
        <f t="shared" ca="1" si="44"/>
        <v>XPER</v>
      </c>
      <c r="F556" s="259">
        <v>99</v>
      </c>
      <c r="G556" s="259">
        <v>99</v>
      </c>
      <c r="H556" s="259">
        <v>99</v>
      </c>
      <c r="I556" s="259">
        <v>99</v>
      </c>
      <c r="J556" s="259">
        <v>99</v>
      </c>
      <c r="K556" s="259">
        <v>99</v>
      </c>
      <c r="L556" s="259">
        <v>99</v>
      </c>
      <c r="M556" s="259">
        <v>99</v>
      </c>
      <c r="N556" s="259">
        <v>99</v>
      </c>
      <c r="O556" s="259">
        <v>0</v>
      </c>
      <c r="P556" s="259">
        <v>0</v>
      </c>
      <c r="Q556" s="259">
        <v>99</v>
      </c>
      <c r="R556" s="259">
        <v>99</v>
      </c>
      <c r="S556" s="259">
        <v>99</v>
      </c>
      <c r="T556" s="259">
        <v>99</v>
      </c>
      <c r="U556" s="259">
        <v>99</v>
      </c>
      <c r="V556" s="259">
        <v>99</v>
      </c>
      <c r="W556" s="259">
        <v>99</v>
      </c>
      <c r="X556" s="259">
        <v>99</v>
      </c>
      <c r="Y556" s="259">
        <v>99</v>
      </c>
      <c r="Z556" s="1209">
        <f>[1]ExtEntry!$K54</f>
        <v>99</v>
      </c>
      <c r="AB556" s="267">
        <v>32925</v>
      </c>
      <c r="AC556" s="267">
        <v>32400.000000000004</v>
      </c>
      <c r="AD556" s="267">
        <v>32850</v>
      </c>
      <c r="AE556" s="267">
        <v>33700</v>
      </c>
      <c r="AF556" s="267">
        <v>34300</v>
      </c>
      <c r="AG556" s="267">
        <v>32900</v>
      </c>
      <c r="AH556" s="267">
        <v>33200</v>
      </c>
      <c r="AI556" s="267">
        <v>67000</v>
      </c>
      <c r="AJ556" s="267">
        <v>67000</v>
      </c>
      <c r="AK556" s="267">
        <v>65300</v>
      </c>
      <c r="AL556" s="267">
        <v>67100</v>
      </c>
      <c r="AM556" s="267">
        <v>67701</v>
      </c>
      <c r="AN556" s="267">
        <v>67200</v>
      </c>
      <c r="AO556" s="267">
        <v>66100</v>
      </c>
      <c r="AP556" s="267">
        <v>67300</v>
      </c>
      <c r="AQ556" s="267">
        <v>67800</v>
      </c>
      <c r="AR556" s="267">
        <v>65600</v>
      </c>
      <c r="AS556" s="267">
        <v>65500</v>
      </c>
      <c r="AT556" s="267">
        <v>66100</v>
      </c>
      <c r="AU556" s="267">
        <v>66900</v>
      </c>
      <c r="AV556" s="264">
        <f ca="1">Calc!F54</f>
        <v>66700</v>
      </c>
      <c r="AX556" s="88" t="str">
        <f t="shared" ca="1" si="45"/>
        <v>XPER</v>
      </c>
    </row>
    <row r="557" spans="1:50" hidden="1">
      <c r="A557" s="88" t="str">
        <f t="shared" ca="1" si="44"/>
        <v>MVEALDNE</v>
      </c>
      <c r="F557" s="259">
        <v>0</v>
      </c>
      <c r="G557" s="259">
        <v>0</v>
      </c>
      <c r="H557" s="259">
        <v>0</v>
      </c>
      <c r="I557" s="259">
        <v>0</v>
      </c>
      <c r="J557" s="259">
        <v>0</v>
      </c>
      <c r="K557" s="259">
        <v>0</v>
      </c>
      <c r="L557" s="259">
        <v>0</v>
      </c>
      <c r="M557" s="259">
        <v>0</v>
      </c>
      <c r="N557" s="259">
        <v>0</v>
      </c>
      <c r="O557" s="259">
        <v>0</v>
      </c>
      <c r="P557" s="259">
        <v>0</v>
      </c>
      <c r="Q557" s="259">
        <v>0</v>
      </c>
      <c r="R557" s="259">
        <v>0</v>
      </c>
      <c r="S557" s="259">
        <v>0</v>
      </c>
      <c r="T557" s="259">
        <v>0</v>
      </c>
      <c r="U557" s="259">
        <v>0</v>
      </c>
      <c r="V557" s="259">
        <v>0</v>
      </c>
      <c r="W557" s="259">
        <v>0</v>
      </c>
      <c r="X557" s="259">
        <v>0</v>
      </c>
      <c r="Y557" s="259">
        <v>0</v>
      </c>
      <c r="Z557" s="1209">
        <f ca="1">[1]ExtEntry!$K55</f>
        <v>0</v>
      </c>
      <c r="AB557" s="264">
        <v>437330</v>
      </c>
      <c r="AC557" s="264">
        <v>438340</v>
      </c>
      <c r="AD557" s="264">
        <v>444400</v>
      </c>
      <c r="AE557" s="264">
        <v>439350</v>
      </c>
      <c r="AF557" s="264">
        <v>438340</v>
      </c>
      <c r="AG557" s="264">
        <v>424200</v>
      </c>
      <c r="AH557" s="264">
        <v>415110</v>
      </c>
      <c r="AI557" s="264">
        <v>415110</v>
      </c>
      <c r="AJ557" s="264">
        <v>415110</v>
      </c>
      <c r="AK557" s="264">
        <v>423190</v>
      </c>
      <c r="AL557" s="264">
        <v>424200</v>
      </c>
      <c r="AM557" s="264">
        <v>423190</v>
      </c>
      <c r="AN557" s="264">
        <v>419150</v>
      </c>
      <c r="AO557" s="264">
        <v>419150</v>
      </c>
      <c r="AP557" s="264">
        <v>414100</v>
      </c>
      <c r="AQ557" s="264">
        <v>419150</v>
      </c>
      <c r="AR557" s="264">
        <v>424200</v>
      </c>
      <c r="AS557" s="264">
        <v>424200</v>
      </c>
      <c r="AT557" s="264">
        <v>423190</v>
      </c>
      <c r="AU557" s="264">
        <v>417130</v>
      </c>
      <c r="AV557" s="264">
        <f ca="1">Calc!F55</f>
        <v>417130</v>
      </c>
      <c r="AX557" s="88" t="str">
        <f t="shared" ca="1" si="45"/>
        <v>MVEALDNE</v>
      </c>
    </row>
    <row r="558" spans="1:50" hidden="1">
      <c r="A558" s="88" t="str">
        <f t="shared" ca="1" si="44"/>
        <v>MVEDDD</v>
      </c>
      <c r="F558" s="259">
        <v>0</v>
      </c>
      <c r="G558" s="259">
        <v>99</v>
      </c>
      <c r="H558" s="259">
        <v>99</v>
      </c>
      <c r="I558" s="259">
        <v>99</v>
      </c>
      <c r="J558" s="259">
        <v>99</v>
      </c>
      <c r="K558" s="259">
        <v>99</v>
      </c>
      <c r="L558" s="259">
        <v>99</v>
      </c>
      <c r="M558" s="259">
        <v>99</v>
      </c>
      <c r="N558" s="259">
        <v>99</v>
      </c>
      <c r="O558" s="259">
        <v>0</v>
      </c>
      <c r="P558" s="259">
        <v>0</v>
      </c>
      <c r="Q558" s="259">
        <v>0</v>
      </c>
      <c r="R558" s="259">
        <v>99</v>
      </c>
      <c r="S558" s="259">
        <v>99</v>
      </c>
      <c r="T558" s="259">
        <v>99</v>
      </c>
      <c r="U558" s="259">
        <v>99</v>
      </c>
      <c r="V558" s="259">
        <v>99</v>
      </c>
      <c r="W558" s="259">
        <v>99</v>
      </c>
      <c r="X558" s="259">
        <v>99</v>
      </c>
      <c r="Y558" s="259">
        <v>99</v>
      </c>
      <c r="Z558" s="1209">
        <f>[1]ExtEntry!$K56</f>
        <v>99</v>
      </c>
      <c r="AB558" s="267">
        <v>29700.000000000004</v>
      </c>
      <c r="AC558" s="267">
        <v>29000</v>
      </c>
      <c r="AD558" s="267">
        <v>28650.000000000004</v>
      </c>
      <c r="AE558" s="267">
        <v>29950</v>
      </c>
      <c r="AF558" s="267">
        <v>31200</v>
      </c>
      <c r="AG558" s="267">
        <v>31349.999999999996</v>
      </c>
      <c r="AH558" s="267">
        <v>32450</v>
      </c>
      <c r="AI558" s="267">
        <v>31800</v>
      </c>
      <c r="AJ558" s="267">
        <v>31800</v>
      </c>
      <c r="AK558" s="267">
        <v>31100</v>
      </c>
      <c r="AL558" s="267">
        <v>30800</v>
      </c>
      <c r="AM558" s="267">
        <v>32500</v>
      </c>
      <c r="AN558" s="267">
        <v>32599.999999999996</v>
      </c>
      <c r="AO558" s="267">
        <v>31100</v>
      </c>
      <c r="AP558" s="267">
        <v>37850</v>
      </c>
      <c r="AQ558" s="267">
        <v>33700</v>
      </c>
      <c r="AR558" s="267">
        <v>30050</v>
      </c>
      <c r="AS558" s="267">
        <v>30050</v>
      </c>
      <c r="AT558" s="267">
        <v>30750</v>
      </c>
      <c r="AU558" s="267">
        <v>31250</v>
      </c>
      <c r="AV558" s="264">
        <f ca="1">Calc!F56</f>
        <v>31300</v>
      </c>
      <c r="AX558" s="88" t="str">
        <f t="shared" ca="1" si="45"/>
        <v>MVEDDD</v>
      </c>
    </row>
    <row r="559" spans="1:50" hidden="1">
      <c r="A559" s="88" t="str">
        <f t="shared" ca="1" si="44"/>
        <v>MVEDSY</v>
      </c>
      <c r="F559" s="259">
        <v>32.529000000000003</v>
      </c>
      <c r="G559" s="259">
        <v>95.365399999999994</v>
      </c>
      <c r="H559" s="259">
        <v>92.691599999999994</v>
      </c>
      <c r="I559" s="259">
        <v>91.800399999999996</v>
      </c>
      <c r="J559" s="259">
        <v>93.582899999999995</v>
      </c>
      <c r="K559" s="259">
        <v>78.107100000000003</v>
      </c>
      <c r="L559" s="259">
        <v>33.057600000000001</v>
      </c>
      <c r="M559" s="259">
        <v>33.241399999999999</v>
      </c>
      <c r="N559" s="259">
        <v>33.735500000000002</v>
      </c>
      <c r="O559" s="259">
        <v>33.103499999999997</v>
      </c>
      <c r="P559" s="259">
        <v>32.575000000000003</v>
      </c>
      <c r="Q559" s="259">
        <v>33.183999999999997</v>
      </c>
      <c r="R559" s="259">
        <v>33.758499999999998</v>
      </c>
      <c r="S559" s="259">
        <v>33.758499999999998</v>
      </c>
      <c r="T559" s="259">
        <v>34.2181</v>
      </c>
      <c r="U559" s="259">
        <v>34.2181</v>
      </c>
      <c r="V559" s="259">
        <v>34.781100000000002</v>
      </c>
      <c r="W559" s="259">
        <v>34.781100000000002</v>
      </c>
      <c r="X559" s="259">
        <v>34.608800000000002</v>
      </c>
      <c r="Y559" s="259">
        <v>30.116099999999999</v>
      </c>
      <c r="Z559" s="1209">
        <f ca="1">[1]ExtEntry!$K57</f>
        <v>28.703900000000001</v>
      </c>
      <c r="AB559" s="264">
        <v>339720</v>
      </c>
      <c r="AC559" s="264">
        <v>12480</v>
      </c>
      <c r="AD559" s="264">
        <v>12360</v>
      </c>
      <c r="AE559" s="264">
        <v>12600</v>
      </c>
      <c r="AF559" s="264">
        <v>12720</v>
      </c>
      <c r="AG559" s="264">
        <v>10497.6</v>
      </c>
      <c r="AH559" s="264">
        <v>345240</v>
      </c>
      <c r="AI559" s="264">
        <v>347160</v>
      </c>
      <c r="AJ559" s="264">
        <v>352320</v>
      </c>
      <c r="AK559" s="264">
        <v>345720</v>
      </c>
      <c r="AL559" s="264">
        <v>340200</v>
      </c>
      <c r="AM559" s="264">
        <v>346560</v>
      </c>
      <c r="AN559" s="264">
        <v>352560</v>
      </c>
      <c r="AO559" s="264">
        <v>351960</v>
      </c>
      <c r="AP559" s="264">
        <v>357360</v>
      </c>
      <c r="AQ559" s="264">
        <v>363240</v>
      </c>
      <c r="AR559" s="264">
        <v>361440</v>
      </c>
      <c r="AS559" s="264">
        <v>361440</v>
      </c>
      <c r="AT559" s="264">
        <v>314520</v>
      </c>
      <c r="AU559" s="264">
        <v>308280</v>
      </c>
      <c r="AV559" s="264">
        <f ca="1">Calc!F57</f>
        <v>308280</v>
      </c>
      <c r="AX559" s="88" t="str">
        <f t="shared" ca="1" si="45"/>
        <v>MVEDSY</v>
      </c>
    </row>
    <row r="560" spans="1:50" hidden="1">
      <c r="A560" s="88" t="str">
        <f t="shared" ca="1" si="44"/>
        <v>MVEEOAN</v>
      </c>
      <c r="F560" s="259">
        <v>13.2547</v>
      </c>
      <c r="G560" s="259">
        <v>13.281000000000001</v>
      </c>
      <c r="H560" s="259">
        <v>13.355399999999999</v>
      </c>
      <c r="I560" s="259">
        <v>13.190099999999999</v>
      </c>
      <c r="J560" s="259">
        <v>13.3223</v>
      </c>
      <c r="K560" s="259">
        <v>13.318199999999999</v>
      </c>
      <c r="L560" s="259">
        <v>13.3719</v>
      </c>
      <c r="M560" s="259">
        <v>13.367800000000001</v>
      </c>
      <c r="N560" s="259">
        <v>13.3719</v>
      </c>
      <c r="O560" s="259">
        <v>13.438000000000001</v>
      </c>
      <c r="P560" s="259">
        <v>13.5289</v>
      </c>
      <c r="Q560" s="259">
        <v>13.388400000000001</v>
      </c>
      <c r="R560" s="259">
        <v>13.4298</v>
      </c>
      <c r="S560" s="259">
        <v>13.42</v>
      </c>
      <c r="T560" s="259">
        <v>13.5702</v>
      </c>
      <c r="U560" s="259">
        <v>13.524800000000001</v>
      </c>
      <c r="V560" s="259">
        <v>13.6</v>
      </c>
      <c r="W560" s="259">
        <v>13.6</v>
      </c>
      <c r="X560" s="259">
        <v>13.2066</v>
      </c>
      <c r="Y560" s="259">
        <v>13.2727</v>
      </c>
      <c r="Z560" s="1209">
        <f ca="1">[1]ExtEntry!$K58</f>
        <v>13.279500000000001</v>
      </c>
      <c r="AB560" s="267">
        <v>160.04999999999998</v>
      </c>
      <c r="AC560" s="267">
        <v>160.69999999999999</v>
      </c>
      <c r="AD560" s="267">
        <v>161.6</v>
      </c>
      <c r="AE560" s="267">
        <v>159.60000000000002</v>
      </c>
      <c r="AF560" s="267">
        <v>161.20000000000002</v>
      </c>
      <c r="AG560" s="267">
        <v>161.14999999999998</v>
      </c>
      <c r="AH560" s="267">
        <v>161.80000000000001</v>
      </c>
      <c r="AI560" s="267">
        <v>161.75</v>
      </c>
      <c r="AJ560" s="267">
        <v>161.80000000000001</v>
      </c>
      <c r="AK560" s="267">
        <v>162.60000000000002</v>
      </c>
      <c r="AL560" s="267">
        <v>163.70000000000002</v>
      </c>
      <c r="AM560" s="267">
        <v>162</v>
      </c>
      <c r="AN560" s="267">
        <v>162.5</v>
      </c>
      <c r="AO560" s="267">
        <v>162.69999999999999</v>
      </c>
      <c r="AP560" s="267">
        <v>164.20000000000002</v>
      </c>
      <c r="AQ560" s="267">
        <v>163.64999999999998</v>
      </c>
      <c r="AR560" s="267">
        <v>161</v>
      </c>
      <c r="AS560" s="267">
        <v>161</v>
      </c>
      <c r="AT560" s="267">
        <v>159.80000000000001</v>
      </c>
      <c r="AU560" s="267">
        <v>160.6</v>
      </c>
      <c r="AV560" s="264">
        <f ca="1">Calc!F58</f>
        <v>160.85000000000002</v>
      </c>
      <c r="AX560" s="88" t="str">
        <f t="shared" ca="1" si="45"/>
        <v>MVEEOAN</v>
      </c>
    </row>
    <row r="561" spans="1:50" hidden="1">
      <c r="A561" s="88" t="str">
        <f t="shared" ca="1" si="44"/>
        <v>MVEENI</v>
      </c>
      <c r="F561" s="259">
        <v>18.8431</v>
      </c>
      <c r="G561" s="259">
        <v>18.5732</v>
      </c>
      <c r="H561" s="259">
        <v>18.5732</v>
      </c>
      <c r="I561" s="259">
        <v>18.585699999999999</v>
      </c>
      <c r="J561" s="259">
        <v>18.623200000000001</v>
      </c>
      <c r="K561" s="259">
        <v>18.957999999999998</v>
      </c>
      <c r="L561" s="259">
        <v>19.097999999999999</v>
      </c>
      <c r="M561" s="259">
        <v>19.212900000000001</v>
      </c>
      <c r="N561" s="259">
        <v>18.992999999999999</v>
      </c>
      <c r="O561" s="259">
        <v>18.7056</v>
      </c>
      <c r="P561" s="259">
        <v>18.3658</v>
      </c>
      <c r="Q561" s="259">
        <v>18.3933</v>
      </c>
      <c r="R561" s="259">
        <v>18.4483</v>
      </c>
      <c r="S561" s="259">
        <v>18.4483</v>
      </c>
      <c r="T561" s="259">
        <v>18.585699999999999</v>
      </c>
      <c r="U561" s="259">
        <v>18.585699999999999</v>
      </c>
      <c r="V561" s="259">
        <v>18.6157</v>
      </c>
      <c r="W561" s="259">
        <v>18.6157</v>
      </c>
      <c r="X561" s="259">
        <v>18.898099999999999</v>
      </c>
      <c r="Y561" s="259">
        <v>19.472799999999999</v>
      </c>
      <c r="Z561" s="1209">
        <f ca="1">[1]ExtEntry!$K59</f>
        <v>19.472799999999999</v>
      </c>
      <c r="AB561" s="264">
        <v>603280</v>
      </c>
      <c r="AC561" s="264">
        <v>594640</v>
      </c>
      <c r="AD561" s="264">
        <v>599440</v>
      </c>
      <c r="AE561" s="264">
        <v>595040</v>
      </c>
      <c r="AF561" s="264">
        <v>596240</v>
      </c>
      <c r="AG561" s="264">
        <v>546264</v>
      </c>
      <c r="AH561" s="264">
        <v>550296</v>
      </c>
      <c r="AI561" s="264">
        <v>553608</v>
      </c>
      <c r="AJ561" s="264">
        <v>547272</v>
      </c>
      <c r="AK561" s="264">
        <v>538992</v>
      </c>
      <c r="AL561" s="264">
        <v>529200</v>
      </c>
      <c r="AM561" s="264">
        <v>529992</v>
      </c>
      <c r="AN561" s="264">
        <v>531576</v>
      </c>
      <c r="AO561" s="264">
        <v>534384</v>
      </c>
      <c r="AP561" s="264">
        <v>535536</v>
      </c>
      <c r="AQ561" s="264">
        <v>536400</v>
      </c>
      <c r="AR561" s="264">
        <v>544536</v>
      </c>
      <c r="AS561" s="264">
        <v>544536</v>
      </c>
      <c r="AT561" s="264">
        <v>561096</v>
      </c>
      <c r="AU561" s="264">
        <v>570096</v>
      </c>
      <c r="AV561" s="264">
        <f ca="1">Calc!F59</f>
        <v>570096</v>
      </c>
      <c r="AX561" s="88" t="str">
        <f t="shared" ca="1" si="45"/>
        <v>MVEENI</v>
      </c>
    </row>
    <row r="562" spans="1:50" hidden="1">
      <c r="A562" s="88" t="str">
        <f t="shared" ca="1" si="44"/>
        <v>MVEEPIX</v>
      </c>
      <c r="F562" s="259">
        <v>0</v>
      </c>
      <c r="G562" s="259">
        <v>0</v>
      </c>
      <c r="H562" s="259">
        <v>0</v>
      </c>
      <c r="I562" s="259">
        <v>0</v>
      </c>
      <c r="J562" s="259">
        <v>0</v>
      </c>
      <c r="K562" s="259">
        <v>0</v>
      </c>
      <c r="L562" s="259">
        <v>0</v>
      </c>
      <c r="M562" s="259">
        <v>0</v>
      </c>
      <c r="N562" s="259">
        <v>0</v>
      </c>
      <c r="O562" s="259">
        <v>0</v>
      </c>
      <c r="P562" s="259">
        <v>0</v>
      </c>
      <c r="Q562" s="259">
        <v>0</v>
      </c>
      <c r="R562" s="259">
        <v>0</v>
      </c>
      <c r="S562" s="259">
        <v>0</v>
      </c>
      <c r="T562" s="259">
        <v>0</v>
      </c>
      <c r="U562" s="259">
        <v>0</v>
      </c>
      <c r="V562" s="259">
        <v>0</v>
      </c>
      <c r="W562" s="259">
        <v>0</v>
      </c>
      <c r="X562" s="259">
        <v>0</v>
      </c>
      <c r="Y562" s="259">
        <v>0</v>
      </c>
      <c r="Z562" s="1209">
        <f ca="1">[1]ExtEntry!$K60</f>
        <v>0</v>
      </c>
      <c r="AB562" s="267">
        <v>2306.4</v>
      </c>
      <c r="AC562" s="267">
        <v>2292</v>
      </c>
      <c r="AD562" s="267">
        <v>2470.8000000000002</v>
      </c>
      <c r="AE562" s="267">
        <v>2608.8000000000002</v>
      </c>
      <c r="AF562" s="267">
        <v>2473.2000000000003</v>
      </c>
      <c r="AG562" s="267">
        <v>2460</v>
      </c>
      <c r="AH562" s="267">
        <v>2414.4</v>
      </c>
      <c r="AI562" s="267">
        <v>2414.4</v>
      </c>
      <c r="AJ562" s="267">
        <v>2414.4</v>
      </c>
      <c r="AK562" s="267">
        <v>2414.4</v>
      </c>
      <c r="AL562" s="267">
        <v>2414.4</v>
      </c>
      <c r="AM562" s="267">
        <v>2414.4</v>
      </c>
      <c r="AN562" s="267">
        <v>2414.4</v>
      </c>
      <c r="AO562" s="267">
        <v>2414.4</v>
      </c>
      <c r="AP562" s="267">
        <v>2414.4</v>
      </c>
      <c r="AQ562" s="267">
        <v>2414.4</v>
      </c>
      <c r="AR562" s="267">
        <v>2414.4</v>
      </c>
      <c r="AS562" s="267">
        <v>2414.4</v>
      </c>
      <c r="AT562" s="267">
        <v>2414.4</v>
      </c>
      <c r="AU562" s="267">
        <v>2414.4</v>
      </c>
      <c r="AV562" s="264">
        <f ca="1">Calc!F60</f>
        <v>2414.4</v>
      </c>
      <c r="AX562" s="88" t="str">
        <f t="shared" ca="1" si="45"/>
        <v>MVEEPIX</v>
      </c>
    </row>
    <row r="563" spans="1:50" hidden="1">
      <c r="A563" s="88" t="str">
        <f t="shared" ca="1" si="44"/>
        <v>MVEGLE</v>
      </c>
      <c r="F563" s="259">
        <v>9.6068999999999996</v>
      </c>
      <c r="G563" s="259">
        <v>9.4393999999999991</v>
      </c>
      <c r="H563" s="259">
        <v>9.5165000000000006</v>
      </c>
      <c r="I563" s="259">
        <v>9.5165000000000006</v>
      </c>
      <c r="J563" s="259">
        <v>9.4997000000000007</v>
      </c>
      <c r="K563" s="259">
        <v>9.0977999999999994</v>
      </c>
      <c r="L563" s="259">
        <v>9.1144999999999996</v>
      </c>
      <c r="M563" s="259">
        <v>9.1144999999999996</v>
      </c>
      <c r="N563" s="259">
        <v>9.0844000000000005</v>
      </c>
      <c r="O563" s="259">
        <v>8.9972999999999992</v>
      </c>
      <c r="P563" s="259">
        <v>9.2149999999999999</v>
      </c>
      <c r="Q563" s="259">
        <v>9.3054000000000006</v>
      </c>
      <c r="R563" s="259">
        <v>9.4662000000000006</v>
      </c>
      <c r="S563" s="259">
        <v>9.4662000000000006</v>
      </c>
      <c r="T563" s="259">
        <v>8.9839000000000002</v>
      </c>
      <c r="U563" s="259">
        <v>8.8766999999999996</v>
      </c>
      <c r="V563" s="259">
        <v>8.8968000000000007</v>
      </c>
      <c r="W563" s="259">
        <v>8.8968000000000007</v>
      </c>
      <c r="X563" s="259">
        <v>8.8566000000000003</v>
      </c>
      <c r="Y563" s="259">
        <v>8.9738000000000007</v>
      </c>
      <c r="Z563" s="1209">
        <f ca="1">[1]ExtEntry!$K61</f>
        <v>8.9738000000000007</v>
      </c>
      <c r="AB563" s="264">
        <v>113240</v>
      </c>
      <c r="AC563" s="264">
        <v>112720</v>
      </c>
      <c r="AD563" s="264">
        <v>113640</v>
      </c>
      <c r="AE563" s="264">
        <v>113440</v>
      </c>
      <c r="AF563" s="264">
        <v>113440</v>
      </c>
      <c r="AG563" s="264">
        <v>106600</v>
      </c>
      <c r="AH563" s="264">
        <v>217680</v>
      </c>
      <c r="AI563" s="264">
        <v>326160</v>
      </c>
      <c r="AJ563" s="264">
        <v>325440</v>
      </c>
      <c r="AK563" s="264">
        <v>322320</v>
      </c>
      <c r="AL563" s="264">
        <v>330120</v>
      </c>
      <c r="AM563" s="264">
        <v>333360</v>
      </c>
      <c r="AN563" s="264">
        <v>339120</v>
      </c>
      <c r="AO563" s="264">
        <v>375480</v>
      </c>
      <c r="AP563" s="264">
        <v>371000</v>
      </c>
      <c r="AQ563" s="264">
        <v>371840</v>
      </c>
      <c r="AR563" s="264">
        <v>370160</v>
      </c>
      <c r="AS563" s="264">
        <v>370160</v>
      </c>
      <c r="AT563" s="264">
        <v>375060</v>
      </c>
      <c r="AU563" s="264">
        <v>375760</v>
      </c>
      <c r="AV563" s="264">
        <f ca="1">Calc!F61</f>
        <v>375760</v>
      </c>
      <c r="AX563" s="88" t="str">
        <f t="shared" ca="1" si="45"/>
        <v>MVEGLE</v>
      </c>
    </row>
    <row r="564" spans="1:50" hidden="1">
      <c r="A564" s="88" t="str">
        <f t="shared" ca="1" si="44"/>
        <v>MVEORA</v>
      </c>
      <c r="F564" s="259">
        <v>43.272300000000001</v>
      </c>
      <c r="G564" s="259">
        <v>0</v>
      </c>
      <c r="H564" s="259">
        <v>43.619700000000002</v>
      </c>
      <c r="I564" s="259">
        <v>42.751100000000001</v>
      </c>
      <c r="J564" s="259">
        <v>42.072000000000003</v>
      </c>
      <c r="K564" s="259">
        <v>41.740400000000001</v>
      </c>
      <c r="L564" s="259">
        <v>42.293100000000003</v>
      </c>
      <c r="M564" s="259">
        <v>42.830100000000002</v>
      </c>
      <c r="N564" s="259">
        <v>42.8932</v>
      </c>
      <c r="O564" s="259">
        <v>42.924799999999998</v>
      </c>
      <c r="P564" s="259">
        <v>42.419499999999999</v>
      </c>
      <c r="Q564" s="259">
        <v>44.267200000000003</v>
      </c>
      <c r="R564" s="259">
        <v>44.488300000000002</v>
      </c>
      <c r="S564" s="259">
        <v>44.488300000000002</v>
      </c>
      <c r="T564" s="259">
        <v>45.277999999999999</v>
      </c>
      <c r="U564" s="259">
        <v>44.614699999999999</v>
      </c>
      <c r="V564" s="259">
        <v>44.614699999999999</v>
      </c>
      <c r="W564" s="259">
        <v>44.614699999999999</v>
      </c>
      <c r="X564" s="259">
        <v>44.440899999999999</v>
      </c>
      <c r="Y564" s="259">
        <v>44.693600000000004</v>
      </c>
      <c r="Z564" s="1209">
        <f ca="1">[1]ExtEntry!$K62</f>
        <v>44.693600000000004</v>
      </c>
      <c r="AB564" s="267">
        <v>271260</v>
      </c>
      <c r="AC564" s="267">
        <v>910206</v>
      </c>
      <c r="AD564" s="267">
        <v>271359</v>
      </c>
      <c r="AE564" s="267">
        <v>267993</v>
      </c>
      <c r="AF564" s="267">
        <v>263736</v>
      </c>
      <c r="AG564" s="267">
        <v>261657</v>
      </c>
      <c r="AH564" s="267">
        <v>265122</v>
      </c>
      <c r="AI564" s="267">
        <v>268488</v>
      </c>
      <c r="AJ564" s="267">
        <v>268884</v>
      </c>
      <c r="AK564" s="267">
        <v>265914</v>
      </c>
      <c r="AL564" s="267">
        <v>268686</v>
      </c>
      <c r="AM564" s="267">
        <v>277497</v>
      </c>
      <c r="AN564" s="267">
        <v>278883</v>
      </c>
      <c r="AO564" s="267">
        <v>283833</v>
      </c>
      <c r="AP564" s="267">
        <v>280368</v>
      </c>
      <c r="AQ564" s="267">
        <v>279675</v>
      </c>
      <c r="AR564" s="267">
        <v>278586</v>
      </c>
      <c r="AS564" s="267">
        <v>278586</v>
      </c>
      <c r="AT564" s="267">
        <v>280170</v>
      </c>
      <c r="AU564" s="267">
        <v>275616</v>
      </c>
      <c r="AV564" s="264">
        <f ca="1">Calc!F62</f>
        <v>275616</v>
      </c>
      <c r="AX564" s="88" t="str">
        <f t="shared" ca="1" si="45"/>
        <v>MVEORA</v>
      </c>
    </row>
    <row r="565" spans="1:50" hidden="1">
      <c r="A565" s="88" t="str">
        <f t="shared" ca="1" si="44"/>
        <v>MVERWE</v>
      </c>
      <c r="F565" s="259">
        <v>10.812200000000001</v>
      </c>
      <c r="G565" s="259">
        <v>10.8653</v>
      </c>
      <c r="H565" s="259">
        <v>11.186199999999999</v>
      </c>
      <c r="I565" s="259">
        <v>11.1547</v>
      </c>
      <c r="J565" s="259">
        <v>11.2378</v>
      </c>
      <c r="K565" s="259">
        <v>11.3811</v>
      </c>
      <c r="L565" s="259">
        <v>11.601699999999999</v>
      </c>
      <c r="M565" s="259">
        <v>11.5244</v>
      </c>
      <c r="N565" s="259">
        <v>11.616</v>
      </c>
      <c r="O565" s="259">
        <v>11.7364</v>
      </c>
      <c r="P565" s="259">
        <v>11.6275</v>
      </c>
      <c r="Q565" s="259">
        <v>11.659000000000001</v>
      </c>
      <c r="R565" s="259">
        <v>11.8567</v>
      </c>
      <c r="S565" s="259">
        <v>11.67</v>
      </c>
      <c r="T565" s="259">
        <v>11.7249</v>
      </c>
      <c r="U565" s="259">
        <v>11.596</v>
      </c>
      <c r="V565" s="259">
        <v>11.5244</v>
      </c>
      <c r="W565" s="259">
        <v>11.5244</v>
      </c>
      <c r="X565" s="259">
        <v>11.4613</v>
      </c>
      <c r="Y565" s="259">
        <v>11.5989</v>
      </c>
      <c r="Z565" s="1209">
        <f ca="1">[1]ExtEntry!$K63</f>
        <v>11.573499999999999</v>
      </c>
      <c r="AB565" s="264">
        <v>37.78</v>
      </c>
      <c r="AC565" s="264">
        <v>37.92</v>
      </c>
      <c r="AD565" s="264">
        <v>39.04</v>
      </c>
      <c r="AE565" s="264">
        <v>38.93</v>
      </c>
      <c r="AF565" s="264">
        <v>39.22</v>
      </c>
      <c r="AG565" s="264">
        <v>39.72</v>
      </c>
      <c r="AH565" s="264">
        <v>40.49</v>
      </c>
      <c r="AI565" s="264">
        <v>40.22</v>
      </c>
      <c r="AJ565" s="264">
        <v>40.54</v>
      </c>
      <c r="AK565" s="264">
        <v>40.96</v>
      </c>
      <c r="AL565" s="264">
        <v>40.58</v>
      </c>
      <c r="AM565" s="264">
        <v>40.69</v>
      </c>
      <c r="AN565" s="264">
        <v>41.38</v>
      </c>
      <c r="AO565" s="264">
        <v>41.06</v>
      </c>
      <c r="AP565" s="264">
        <v>40.92</v>
      </c>
      <c r="AQ565" s="264">
        <v>40.47</v>
      </c>
      <c r="AR565" s="264">
        <v>40.22</v>
      </c>
      <c r="AS565" s="264">
        <v>40.22</v>
      </c>
      <c r="AT565" s="264">
        <v>40</v>
      </c>
      <c r="AU565" s="264">
        <v>40.479999999999997</v>
      </c>
      <c r="AV565" s="264">
        <f ca="1">Calc!F63</f>
        <v>40.57</v>
      </c>
      <c r="AX565" s="88" t="str">
        <f t="shared" ca="1" si="45"/>
        <v>MVERWE</v>
      </c>
    </row>
    <row r="566" spans="1:50" hidden="1">
      <c r="A566" s="88" t="str">
        <f t="shared" ca="1" si="44"/>
        <v>MVESAP</v>
      </c>
      <c r="F566" s="259">
        <v>40.271000000000001</v>
      </c>
      <c r="G566" s="259">
        <v>40.690600000000003</v>
      </c>
      <c r="H566" s="259">
        <v>40.672800000000002</v>
      </c>
      <c r="I566" s="259">
        <v>41.4405</v>
      </c>
      <c r="J566" s="259">
        <v>41.092300000000002</v>
      </c>
      <c r="K566" s="259">
        <v>41.958300000000001</v>
      </c>
      <c r="L566" s="259">
        <v>42.351100000000002</v>
      </c>
      <c r="M566" s="259">
        <v>42.458199999999998</v>
      </c>
      <c r="N566" s="259">
        <v>42.493899999999996</v>
      </c>
      <c r="O566" s="259">
        <v>41.3155</v>
      </c>
      <c r="P566" s="259">
        <v>41.547600000000003</v>
      </c>
      <c r="Q566" s="259">
        <v>41.8155</v>
      </c>
      <c r="R566" s="259">
        <v>41.636899999999997</v>
      </c>
      <c r="S566" s="259">
        <v>41.636899999999997</v>
      </c>
      <c r="T566" s="259">
        <v>42.601100000000002</v>
      </c>
      <c r="U566" s="259">
        <v>42.601100000000002</v>
      </c>
      <c r="V566" s="259">
        <v>42.288600000000002</v>
      </c>
      <c r="W566" s="259">
        <v>42.288600000000002</v>
      </c>
      <c r="X566" s="259">
        <v>42.288600000000002</v>
      </c>
      <c r="Y566" s="259">
        <v>38.438099999999999</v>
      </c>
      <c r="Z566" s="1209">
        <f ca="1">[1]ExtEntry!$K64</f>
        <v>39.863</v>
      </c>
      <c r="AB566" s="267">
        <v>90445.55</v>
      </c>
      <c r="AC566" s="267">
        <v>91387.900000000009</v>
      </c>
      <c r="AD566" s="267">
        <v>91347.8</v>
      </c>
      <c r="AE566" s="267">
        <v>93072.099999999991</v>
      </c>
      <c r="AF566" s="267">
        <v>92290.150000000009</v>
      </c>
      <c r="AG566" s="267">
        <v>94235</v>
      </c>
      <c r="AH566" s="267">
        <v>95117.2</v>
      </c>
      <c r="AI566" s="267">
        <v>95357.8</v>
      </c>
      <c r="AJ566" s="267">
        <v>95438</v>
      </c>
      <c r="AK566" s="267">
        <v>92791.400000000009</v>
      </c>
      <c r="AL566" s="267">
        <v>93312.7</v>
      </c>
      <c r="AM566" s="267">
        <v>93914.2</v>
      </c>
      <c r="AN566" s="267">
        <v>93513.2</v>
      </c>
      <c r="AO566" s="267">
        <v>92610.95</v>
      </c>
      <c r="AP566" s="267">
        <v>95678.599999999991</v>
      </c>
      <c r="AQ566" s="267">
        <v>96400.400000000009</v>
      </c>
      <c r="AR566" s="267">
        <v>94976.849999999991</v>
      </c>
      <c r="AS566" s="267">
        <v>94976.849999999991</v>
      </c>
      <c r="AT566" s="267">
        <v>97042</v>
      </c>
      <c r="AU566" s="267">
        <v>93573.349999999991</v>
      </c>
      <c r="AV566" s="264">
        <f ca="1">Calc!F64</f>
        <v>93573.349999999991</v>
      </c>
      <c r="AX566" s="88" t="str">
        <f t="shared" ca="1" si="45"/>
        <v>MVESAP</v>
      </c>
    </row>
    <row r="567" spans="1:50" hidden="1">
      <c r="A567" s="88" t="str">
        <f t="shared" ca="1" si="44"/>
        <v>MVEUN0</v>
      </c>
      <c r="F567" s="259">
        <v>99</v>
      </c>
      <c r="G567" s="259">
        <v>99</v>
      </c>
      <c r="H567" s="259">
        <v>99</v>
      </c>
      <c r="I567" s="259">
        <v>99</v>
      </c>
      <c r="J567" s="259">
        <v>99</v>
      </c>
      <c r="K567" s="259">
        <v>99</v>
      </c>
      <c r="L567" s="259">
        <v>99</v>
      </c>
      <c r="M567" s="259">
        <v>99</v>
      </c>
      <c r="N567" s="259">
        <v>99</v>
      </c>
      <c r="O567" s="259">
        <v>99</v>
      </c>
      <c r="P567" s="259">
        <v>99</v>
      </c>
      <c r="Q567" s="259">
        <v>99</v>
      </c>
      <c r="R567" s="259">
        <v>99</v>
      </c>
      <c r="S567" s="259">
        <v>99</v>
      </c>
      <c r="T567" s="259">
        <v>99</v>
      </c>
      <c r="U567" s="259">
        <v>99</v>
      </c>
      <c r="V567" s="259">
        <v>99</v>
      </c>
      <c r="W567" s="259">
        <v>99</v>
      </c>
      <c r="X567" s="259">
        <v>99</v>
      </c>
      <c r="Y567" s="259">
        <v>99</v>
      </c>
      <c r="Z567" s="1209">
        <f>[1]ExtEntry!$K65</f>
        <v>99</v>
      </c>
      <c r="AB567" s="264">
        <v>19544</v>
      </c>
      <c r="AC567" s="264">
        <v>19096</v>
      </c>
      <c r="AD567" s="264">
        <v>19040</v>
      </c>
      <c r="AE567" s="264">
        <v>18928</v>
      </c>
      <c r="AF567" s="264">
        <v>19040</v>
      </c>
      <c r="AG567" s="264">
        <v>17948</v>
      </c>
      <c r="AH567" s="264">
        <v>18256</v>
      </c>
      <c r="AI567" s="264">
        <v>18480</v>
      </c>
      <c r="AJ567" s="264">
        <v>18060</v>
      </c>
      <c r="AK567" s="264">
        <v>17864</v>
      </c>
      <c r="AL567" s="264">
        <v>17668</v>
      </c>
      <c r="AM567" s="264">
        <v>17696</v>
      </c>
      <c r="AN567" s="264">
        <v>17780</v>
      </c>
      <c r="AO567" s="264">
        <v>17668</v>
      </c>
      <c r="AP567" s="264">
        <v>18480</v>
      </c>
      <c r="AQ567" s="264">
        <v>17752</v>
      </c>
      <c r="AR567" s="264">
        <v>17808</v>
      </c>
      <c r="AS567" s="264">
        <v>17808</v>
      </c>
      <c r="AT567" s="264">
        <v>17332</v>
      </c>
      <c r="AU567" s="264">
        <v>16884</v>
      </c>
      <c r="AV567" s="264">
        <f ca="1">Calc!F65</f>
        <v>16884</v>
      </c>
      <c r="AX567" s="88" t="str">
        <f t="shared" ca="1" si="45"/>
        <v>MVEUN0</v>
      </c>
    </row>
    <row r="568" spans="1:50" hidden="1">
      <c r="A568" s="88" t="str">
        <f t="shared" ca="1" si="44"/>
        <v>SAFAAPL</v>
      </c>
      <c r="F568" s="259">
        <v>34.938600000000001</v>
      </c>
      <c r="G568" s="259">
        <v>35.119900000000001</v>
      </c>
      <c r="H568" s="259">
        <v>35.119799999999998</v>
      </c>
      <c r="I568" s="259">
        <v>35.232900000000001</v>
      </c>
      <c r="J568" s="259">
        <v>35.464599999999997</v>
      </c>
      <c r="K568" s="259">
        <v>35.375100000000003</v>
      </c>
      <c r="L568" s="259">
        <v>35.374899999999997</v>
      </c>
      <c r="M568" s="259">
        <v>35.5929</v>
      </c>
      <c r="N568" s="259">
        <v>35.038400000000003</v>
      </c>
      <c r="O568" s="259">
        <v>34.1586</v>
      </c>
      <c r="P568" s="259">
        <v>34.1738</v>
      </c>
      <c r="Q568" s="259">
        <v>34.398600000000002</v>
      </c>
      <c r="R568" s="259">
        <v>34.129600000000003</v>
      </c>
      <c r="S568" s="259">
        <v>34.1295</v>
      </c>
      <c r="T568" s="259">
        <v>34.796999999999997</v>
      </c>
      <c r="U568" s="259">
        <v>36.169400000000003</v>
      </c>
      <c r="V568" s="259">
        <v>35.646799999999999</v>
      </c>
      <c r="W568" s="259">
        <v>35.646799999999999</v>
      </c>
      <c r="X568" s="259">
        <v>35.802700000000002</v>
      </c>
      <c r="Y568" s="259">
        <v>36.249499999999998</v>
      </c>
      <c r="Z568" s="1209">
        <f ca="1">[1]ExtEntry!$K66</f>
        <v>35.802500000000002</v>
      </c>
      <c r="AB568" s="267">
        <v>126657.55</v>
      </c>
      <c r="AC568" s="267">
        <v>127315</v>
      </c>
      <c r="AD568" s="267">
        <v>127725</v>
      </c>
      <c r="AE568" s="267">
        <v>128565</v>
      </c>
      <c r="AF568" s="267">
        <v>129009.99999999999</v>
      </c>
      <c r="AG568" s="267">
        <v>89768</v>
      </c>
      <c r="AH568" s="267">
        <v>90321</v>
      </c>
      <c r="AI568" s="267">
        <v>88914</v>
      </c>
      <c r="AJ568" s="267">
        <v>88914</v>
      </c>
      <c r="AK568" s="267">
        <v>86681</v>
      </c>
      <c r="AL568" s="267">
        <v>86719.5</v>
      </c>
      <c r="AM568" s="267">
        <v>87290</v>
      </c>
      <c r="AN568" s="267">
        <v>86607.5</v>
      </c>
      <c r="AO568" s="267">
        <v>88301.5</v>
      </c>
      <c r="AP568" s="267">
        <v>91784</v>
      </c>
      <c r="AQ568" s="267">
        <v>91969.5</v>
      </c>
      <c r="AR568" s="267">
        <v>90457.5</v>
      </c>
      <c r="AS568" s="267">
        <v>90457.5</v>
      </c>
      <c r="AT568" s="267">
        <v>90853</v>
      </c>
      <c r="AU568" s="267">
        <v>91987</v>
      </c>
      <c r="AV568" s="264">
        <f ca="1">Calc!F66</f>
        <v>91987</v>
      </c>
      <c r="AX568" s="88" t="str">
        <f t="shared" ca="1" si="45"/>
        <v>SAFAAPL</v>
      </c>
    </row>
    <row r="569" spans="1:50" hidden="1">
      <c r="A569" s="88" t="str">
        <f t="shared" ca="1" si="44"/>
        <v>SAFAMZN</v>
      </c>
      <c r="F569" s="259">
        <v>33.7286</v>
      </c>
      <c r="G569" s="259">
        <v>33.9026</v>
      </c>
      <c r="H569" s="259">
        <v>33.505899999999997</v>
      </c>
      <c r="I569" s="259">
        <v>33.6676</v>
      </c>
      <c r="J569" s="259">
        <v>33.9392</v>
      </c>
      <c r="K569" s="259">
        <v>33.843000000000004</v>
      </c>
      <c r="L569" s="259">
        <v>33.8431</v>
      </c>
      <c r="M569" s="259">
        <v>34.368000000000002</v>
      </c>
      <c r="N569" s="259">
        <v>34.752600000000001</v>
      </c>
      <c r="O569" s="259">
        <v>33.582099999999997</v>
      </c>
      <c r="P569" s="259">
        <v>33.020499999999998</v>
      </c>
      <c r="Q569" s="259">
        <v>32.832799999999999</v>
      </c>
      <c r="R569" s="259">
        <v>32.727499999999999</v>
      </c>
      <c r="S569" s="259">
        <v>32.727600000000002</v>
      </c>
      <c r="T569" s="259">
        <v>32.509399999999999</v>
      </c>
      <c r="U569" s="259">
        <v>33.034300000000002</v>
      </c>
      <c r="V569" s="259">
        <v>33.258600000000001</v>
      </c>
      <c r="W569" s="259">
        <v>33.258600000000001</v>
      </c>
      <c r="X569" s="259">
        <v>33.737699999999997</v>
      </c>
      <c r="Y569" s="259">
        <v>34.213799999999999</v>
      </c>
      <c r="Z569" s="1209">
        <f ca="1">[1]ExtEntry!$K67</f>
        <v>33.7378</v>
      </c>
      <c r="AB569" s="264">
        <v>442060</v>
      </c>
      <c r="AC569" s="264">
        <v>439140</v>
      </c>
      <c r="AD569" s="264">
        <v>441260</v>
      </c>
      <c r="AE569" s="264">
        <v>444820</v>
      </c>
      <c r="AF569" s="264">
        <v>439020</v>
      </c>
      <c r="AG569" s="264">
        <v>443560</v>
      </c>
      <c r="AH569" s="264">
        <v>450440</v>
      </c>
      <c r="AI569" s="264">
        <v>455480</v>
      </c>
      <c r="AJ569" s="264">
        <v>455480</v>
      </c>
      <c r="AK569" s="264">
        <v>440140</v>
      </c>
      <c r="AL569" s="264">
        <v>432780</v>
      </c>
      <c r="AM569" s="264">
        <v>430320</v>
      </c>
      <c r="AN569" s="264">
        <v>428940</v>
      </c>
      <c r="AO569" s="264">
        <v>426080</v>
      </c>
      <c r="AP569" s="264">
        <v>432960</v>
      </c>
      <c r="AQ569" s="264">
        <v>333045</v>
      </c>
      <c r="AR569" s="264">
        <v>326925</v>
      </c>
      <c r="AS569" s="264">
        <v>326925</v>
      </c>
      <c r="AT569" s="264">
        <v>331635</v>
      </c>
      <c r="AU569" s="264">
        <v>336315</v>
      </c>
      <c r="AV569" s="264">
        <f ca="1">Calc!F67</f>
        <v>336315</v>
      </c>
      <c r="AX569" s="88" t="str">
        <f t="shared" ref="AX569:AX598" ca="1" si="46">A69</f>
        <v>SAFAMZN</v>
      </c>
    </row>
    <row r="570" spans="1:50" hidden="1">
      <c r="A570" s="88" t="str">
        <f t="shared" ref="A570:A597" ca="1" si="47">A70</f>
        <v>SAFASML</v>
      </c>
      <c r="F570" s="259">
        <v>31.696200000000001</v>
      </c>
      <c r="G570" s="259">
        <v>32.842300000000002</v>
      </c>
      <c r="H570" s="259">
        <v>33.029200000000003</v>
      </c>
      <c r="I570" s="259">
        <v>34.229500000000002</v>
      </c>
      <c r="J570" s="259">
        <v>35.147300000000001</v>
      </c>
      <c r="K570" s="259">
        <v>33.589199999999998</v>
      </c>
      <c r="L570" s="259">
        <v>32.706099999999999</v>
      </c>
      <c r="M570" s="259">
        <v>32.629300000000001</v>
      </c>
      <c r="N570" s="259">
        <v>32.341299999999997</v>
      </c>
      <c r="O570" s="259">
        <v>32.406599999999997</v>
      </c>
      <c r="P570" s="259">
        <v>32.506399999999999</v>
      </c>
      <c r="Q570" s="259">
        <v>33.520099999999999</v>
      </c>
      <c r="R570" s="259">
        <v>33.689</v>
      </c>
      <c r="S570" s="259">
        <v>33.689</v>
      </c>
      <c r="T570" s="259">
        <v>34.5184</v>
      </c>
      <c r="U570" s="259">
        <v>34.165100000000002</v>
      </c>
      <c r="V570" s="259">
        <v>34.165100000000002</v>
      </c>
      <c r="W570" s="259">
        <v>34.165100000000002</v>
      </c>
      <c r="X570" s="259">
        <v>33.408700000000003</v>
      </c>
      <c r="Y570" s="259">
        <v>34.341799999999999</v>
      </c>
      <c r="Z570" s="1209">
        <f ca="1">[1]ExtEntry!$K68</f>
        <v>34.084499999999998</v>
      </c>
      <c r="AB570" s="267">
        <v>206375</v>
      </c>
      <c r="AC570" s="267">
        <v>242022.5</v>
      </c>
      <c r="AD570" s="267">
        <v>250817.5</v>
      </c>
      <c r="AE570" s="267">
        <v>257542.50000000003</v>
      </c>
      <c r="AF570" s="267">
        <v>258055</v>
      </c>
      <c r="AG570" s="267">
        <v>218700</v>
      </c>
      <c r="AH570" s="267">
        <v>212950</v>
      </c>
      <c r="AI570" s="267">
        <v>212450</v>
      </c>
      <c r="AJ570" s="267">
        <v>210575</v>
      </c>
      <c r="AK570" s="267">
        <v>211000</v>
      </c>
      <c r="AL570" s="267">
        <v>211650</v>
      </c>
      <c r="AM570" s="267">
        <v>218250</v>
      </c>
      <c r="AN570" s="267">
        <v>219350</v>
      </c>
      <c r="AO570" s="267">
        <v>218925</v>
      </c>
      <c r="AP570" s="267">
        <v>224750</v>
      </c>
      <c r="AQ570" s="267">
        <v>222450</v>
      </c>
      <c r="AR570" s="267">
        <v>217525</v>
      </c>
      <c r="AS570" s="267">
        <v>217525</v>
      </c>
      <c r="AT570" s="267">
        <v>221925</v>
      </c>
      <c r="AU570" s="267">
        <v>223600</v>
      </c>
      <c r="AV570" s="264">
        <f ca="1">Calc!F68</f>
        <v>223600</v>
      </c>
      <c r="AX570" s="88" t="str">
        <f t="shared" ca="1" si="46"/>
        <v>SAFASML</v>
      </c>
    </row>
    <row r="571" spans="1:50" hidden="1">
      <c r="A571" s="88" t="str">
        <f t="shared" ca="1" si="47"/>
        <v>SAFDDD</v>
      </c>
      <c r="F571" s="259">
        <v>0</v>
      </c>
      <c r="G571" s="259">
        <v>99</v>
      </c>
      <c r="H571" s="259">
        <v>99</v>
      </c>
      <c r="I571" s="259">
        <v>99</v>
      </c>
      <c r="J571" s="259">
        <v>99</v>
      </c>
      <c r="K571" s="259">
        <v>99</v>
      </c>
      <c r="L571" s="259">
        <v>99</v>
      </c>
      <c r="M571" s="259">
        <v>99</v>
      </c>
      <c r="N571" s="259">
        <v>99</v>
      </c>
      <c r="O571" s="259">
        <v>0</v>
      </c>
      <c r="P571" s="259">
        <v>0</v>
      </c>
      <c r="Q571" s="259">
        <v>0</v>
      </c>
      <c r="R571" s="259">
        <v>99</v>
      </c>
      <c r="S571" s="259">
        <v>99</v>
      </c>
      <c r="T571" s="259">
        <v>99</v>
      </c>
      <c r="U571" s="259">
        <v>99</v>
      </c>
      <c r="V571" s="259">
        <v>99</v>
      </c>
      <c r="W571" s="259">
        <v>99</v>
      </c>
      <c r="X571" s="259">
        <v>99</v>
      </c>
      <c r="Y571" s="259">
        <v>99</v>
      </c>
      <c r="Z571" s="1209">
        <f>[1]ExtEntry!$K69</f>
        <v>99</v>
      </c>
      <c r="AB571" s="264">
        <v>359370</v>
      </c>
      <c r="AC571" s="264">
        <v>350900</v>
      </c>
      <c r="AD571" s="264">
        <v>346665</v>
      </c>
      <c r="AE571" s="264">
        <v>362395</v>
      </c>
      <c r="AF571" s="264">
        <v>377520</v>
      </c>
      <c r="AG571" s="264">
        <v>344850</v>
      </c>
      <c r="AH571" s="264">
        <v>356950</v>
      </c>
      <c r="AI571" s="264">
        <v>349800</v>
      </c>
      <c r="AJ571" s="264">
        <v>349800</v>
      </c>
      <c r="AK571" s="264">
        <v>342100</v>
      </c>
      <c r="AL571" s="264">
        <v>338800</v>
      </c>
      <c r="AM571" s="264">
        <v>357500</v>
      </c>
      <c r="AN571" s="264">
        <v>358600</v>
      </c>
      <c r="AO571" s="264">
        <v>342100</v>
      </c>
      <c r="AP571" s="264">
        <v>416350</v>
      </c>
      <c r="AQ571" s="264">
        <v>370700</v>
      </c>
      <c r="AR571" s="264">
        <v>330550</v>
      </c>
      <c r="AS571" s="264">
        <v>330550</v>
      </c>
      <c r="AT571" s="264">
        <v>338250</v>
      </c>
      <c r="AU571" s="264">
        <v>343750</v>
      </c>
      <c r="AV571" s="264">
        <f ca="1">Calc!F69</f>
        <v>344300</v>
      </c>
      <c r="AX571" s="88" t="str">
        <f t="shared" ca="1" si="46"/>
        <v>SAFDDD</v>
      </c>
    </row>
    <row r="572" spans="1:50" hidden="1">
      <c r="A572" s="88" t="str">
        <f t="shared" ca="1" si="47"/>
        <v>SAFDIS</v>
      </c>
      <c r="F572" s="259">
        <v>17.9191</v>
      </c>
      <c r="G572" s="259">
        <v>17.9481</v>
      </c>
      <c r="H572" s="259">
        <v>17.7059</v>
      </c>
      <c r="I572" s="259">
        <v>17.584299999999999</v>
      </c>
      <c r="J572" s="259">
        <v>17.636099999999999</v>
      </c>
      <c r="K572" s="259">
        <v>17.648599999999998</v>
      </c>
      <c r="L572" s="259">
        <v>17.542000000000002</v>
      </c>
      <c r="M572" s="259">
        <v>17.4009</v>
      </c>
      <c r="N572" s="259">
        <v>17.401</v>
      </c>
      <c r="O572" s="259">
        <v>17.2912</v>
      </c>
      <c r="P572" s="259">
        <v>17.4284</v>
      </c>
      <c r="Q572" s="259">
        <v>17.559999999999999</v>
      </c>
      <c r="R572" s="259">
        <v>17.229199999999999</v>
      </c>
      <c r="S572" s="259">
        <v>17.227</v>
      </c>
      <c r="T572" s="259">
        <v>17.556100000000001</v>
      </c>
      <c r="U572" s="259">
        <v>17.553100000000001</v>
      </c>
      <c r="V572" s="259">
        <v>17.919899999999998</v>
      </c>
      <c r="W572" s="259">
        <v>17.919899999999998</v>
      </c>
      <c r="X572" s="259">
        <v>17.7287</v>
      </c>
      <c r="Y572" s="259">
        <v>17.5075</v>
      </c>
      <c r="Z572" s="1209">
        <f ca="1">[1]ExtEntry!$K70</f>
        <v>17.720800000000001</v>
      </c>
      <c r="AB572" s="267">
        <v>76577.649999999994</v>
      </c>
      <c r="AC572" s="267">
        <v>76701.600000000006</v>
      </c>
      <c r="AD572" s="267">
        <v>75666.45</v>
      </c>
      <c r="AE572" s="267">
        <v>75147.199999999997</v>
      </c>
      <c r="AF572" s="267">
        <v>75368.3</v>
      </c>
      <c r="AG572" s="267">
        <v>135084</v>
      </c>
      <c r="AH572" s="267">
        <v>134268</v>
      </c>
      <c r="AI572" s="267">
        <v>133188</v>
      </c>
      <c r="AJ572" s="267">
        <v>133188</v>
      </c>
      <c r="AK572" s="267">
        <v>132348</v>
      </c>
      <c r="AL572" s="267">
        <v>133398</v>
      </c>
      <c r="AM572" s="267">
        <v>134406</v>
      </c>
      <c r="AN572" s="267">
        <v>131874</v>
      </c>
      <c r="AO572" s="267">
        <v>132804</v>
      </c>
      <c r="AP572" s="267">
        <v>134376</v>
      </c>
      <c r="AQ572" s="267">
        <v>137172</v>
      </c>
      <c r="AR572" s="267">
        <v>135720</v>
      </c>
      <c r="AS572" s="267">
        <v>135720</v>
      </c>
      <c r="AT572" s="267">
        <v>135624</v>
      </c>
      <c r="AU572" s="267">
        <v>134004</v>
      </c>
      <c r="AV572" s="264">
        <f ca="1">Calc!F70</f>
        <v>134016</v>
      </c>
      <c r="AX572" s="88" t="str">
        <f t="shared" ca="1" si="46"/>
        <v>SAFDIS</v>
      </c>
    </row>
    <row r="573" spans="1:50" hidden="1">
      <c r="A573" s="88" t="str">
        <f t="shared" ca="1" si="47"/>
        <v>SAFGM</v>
      </c>
      <c r="F573" s="259">
        <v>8.766</v>
      </c>
      <c r="G573" s="259">
        <v>8.7868999999999993</v>
      </c>
      <c r="H573" s="259">
        <v>8.8401999999999994</v>
      </c>
      <c r="I573" s="259">
        <v>8.5563000000000002</v>
      </c>
      <c r="J573" s="259">
        <v>8.6672999999999991</v>
      </c>
      <c r="K573" s="259">
        <v>8.2550000000000008</v>
      </c>
      <c r="L573" s="259">
        <v>8.1303000000000001</v>
      </c>
      <c r="M573" s="259">
        <v>8.0632999999999999</v>
      </c>
      <c r="N573" s="259">
        <v>8.0603999999999996</v>
      </c>
      <c r="O573" s="259">
        <v>8.0157000000000007</v>
      </c>
      <c r="P573" s="259">
        <v>8.2377000000000002</v>
      </c>
      <c r="Q573" s="259">
        <v>8.3486999999999991</v>
      </c>
      <c r="R573" s="259">
        <v>8.2651000000000003</v>
      </c>
      <c r="S573" s="259">
        <v>8.2651000000000003</v>
      </c>
      <c r="T573" s="259">
        <v>8.3630999999999993</v>
      </c>
      <c r="U573" s="259">
        <v>8.3602000000000007</v>
      </c>
      <c r="V573" s="259">
        <v>12.813599999999999</v>
      </c>
      <c r="W573" s="259">
        <v>12.813599999999999</v>
      </c>
      <c r="X573" s="259">
        <v>12.946300000000001</v>
      </c>
      <c r="Y573" s="259">
        <v>13.4001</v>
      </c>
      <c r="Z573" s="1209">
        <f ca="1">[1]ExtEntry!$K71</f>
        <v>12.857799999999999</v>
      </c>
      <c r="AB573" s="264">
        <v>0</v>
      </c>
      <c r="AC573" s="264">
        <v>0</v>
      </c>
      <c r="AD573" s="264">
        <v>0</v>
      </c>
      <c r="AE573" s="264">
        <v>0</v>
      </c>
      <c r="AF573" s="264">
        <v>0</v>
      </c>
      <c r="AG573" s="264">
        <v>0</v>
      </c>
      <c r="AH573" s="264">
        <v>0</v>
      </c>
      <c r="AI573" s="264">
        <v>0</v>
      </c>
      <c r="AJ573" s="264">
        <v>0</v>
      </c>
      <c r="AK573" s="264">
        <v>0</v>
      </c>
      <c r="AL573" s="264">
        <v>0</v>
      </c>
      <c r="AM573" s="264">
        <v>0</v>
      </c>
      <c r="AN573" s="264">
        <v>0</v>
      </c>
      <c r="AO573" s="264">
        <v>0</v>
      </c>
      <c r="AP573" s="264">
        <v>0</v>
      </c>
      <c r="AQ573" s="264">
        <v>0</v>
      </c>
      <c r="AR573" s="264">
        <v>0</v>
      </c>
      <c r="AS573" s="264">
        <v>0</v>
      </c>
      <c r="AT573" s="264">
        <v>0</v>
      </c>
      <c r="AU573" s="264">
        <v>0</v>
      </c>
      <c r="AV573" s="264">
        <f ca="1">Calc!F71</f>
        <v>0</v>
      </c>
      <c r="AX573" s="88" t="str">
        <f t="shared" ca="1" si="46"/>
        <v>SAFGM</v>
      </c>
    </row>
    <row r="574" spans="1:50" hidden="1">
      <c r="A574" s="88" t="str">
        <f t="shared" ca="1" si="47"/>
        <v>SAFIAG</v>
      </c>
      <c r="F574" s="259">
        <v>6.8943000000000003</v>
      </c>
      <c r="G574" s="259">
        <v>6.9734999999999996</v>
      </c>
      <c r="H574" s="259">
        <v>6.851</v>
      </c>
      <c r="I574" s="259">
        <v>6.9302999999999999</v>
      </c>
      <c r="J574" s="259">
        <v>6.9428999999999998</v>
      </c>
      <c r="K574" s="259">
        <v>7.0347999999999997</v>
      </c>
      <c r="L574" s="259">
        <v>7.1843000000000004</v>
      </c>
      <c r="M574" s="259">
        <v>7.4401000000000002</v>
      </c>
      <c r="N574" s="259">
        <v>7.3517999999999999</v>
      </c>
      <c r="O574" s="259">
        <v>7.3680000000000003</v>
      </c>
      <c r="P574" s="259">
        <v>7.3158000000000003</v>
      </c>
      <c r="Q574" s="259">
        <v>7.3643999999999998</v>
      </c>
      <c r="R574" s="259">
        <v>7.3266</v>
      </c>
      <c r="S574" s="259">
        <v>7.3193999999999999</v>
      </c>
      <c r="T574" s="259">
        <v>7.1398000000000001</v>
      </c>
      <c r="U574" s="259">
        <v>7.0852000000000004</v>
      </c>
      <c r="V574" s="259">
        <v>7.0941999999999998</v>
      </c>
      <c r="W574" s="259">
        <v>7.0941999999999998</v>
      </c>
      <c r="X574" s="259">
        <v>7.2526999999999999</v>
      </c>
      <c r="Y574" s="259">
        <v>7.3752000000000004</v>
      </c>
      <c r="Z574" s="1209">
        <f ca="1">[1]ExtEntry!$K72</f>
        <v>7.3752000000000004</v>
      </c>
      <c r="AB574" s="267">
        <v>0</v>
      </c>
      <c r="AC574" s="267">
        <v>0</v>
      </c>
      <c r="AD574" s="267">
        <v>0</v>
      </c>
      <c r="AE574" s="267">
        <v>0</v>
      </c>
      <c r="AF574" s="267">
        <v>0</v>
      </c>
      <c r="AG574" s="267">
        <v>0</v>
      </c>
      <c r="AH574" s="267">
        <v>0</v>
      </c>
      <c r="AI574" s="267">
        <v>0</v>
      </c>
      <c r="AJ574" s="267">
        <v>0</v>
      </c>
      <c r="AK574" s="267">
        <v>0</v>
      </c>
      <c r="AL574" s="267">
        <v>0</v>
      </c>
      <c r="AM574" s="267">
        <v>0</v>
      </c>
      <c r="AN574" s="267">
        <v>0</v>
      </c>
      <c r="AO574" s="267">
        <v>0</v>
      </c>
      <c r="AP574" s="267">
        <v>0</v>
      </c>
      <c r="AQ574" s="267">
        <v>0</v>
      </c>
      <c r="AR574" s="267">
        <v>0</v>
      </c>
      <c r="AS574" s="267">
        <v>0</v>
      </c>
      <c r="AT574" s="267">
        <v>0</v>
      </c>
      <c r="AU574" s="267">
        <v>0</v>
      </c>
      <c r="AV574" s="264">
        <f ca="1">Calc!F72</f>
        <v>0</v>
      </c>
      <c r="AX574" s="88" t="str">
        <f t="shared" ca="1" si="46"/>
        <v>SAFIAG</v>
      </c>
    </row>
    <row r="575" spans="1:50" hidden="1">
      <c r="A575" s="88" t="str">
        <f t="shared" ca="1" si="47"/>
        <v>SAFMRNA</v>
      </c>
      <c r="F575" s="259">
        <v>0</v>
      </c>
      <c r="G575" s="259">
        <v>0</v>
      </c>
      <c r="H575" s="259">
        <v>0</v>
      </c>
      <c r="I575" s="259">
        <v>0</v>
      </c>
      <c r="J575" s="259">
        <v>0</v>
      </c>
      <c r="K575" s="259">
        <v>0</v>
      </c>
      <c r="L575" s="259">
        <v>0</v>
      </c>
      <c r="M575" s="259">
        <v>0</v>
      </c>
      <c r="N575" s="259">
        <v>0</v>
      </c>
      <c r="O575" s="259">
        <v>0</v>
      </c>
      <c r="P575" s="259">
        <v>0</v>
      </c>
      <c r="Q575" s="259">
        <v>0</v>
      </c>
      <c r="R575" s="259">
        <v>0</v>
      </c>
      <c r="S575" s="259">
        <v>0</v>
      </c>
      <c r="T575" s="259">
        <v>0</v>
      </c>
      <c r="U575" s="259">
        <v>0</v>
      </c>
      <c r="V575" s="259">
        <v>0</v>
      </c>
      <c r="W575" s="259">
        <v>0</v>
      </c>
      <c r="X575" s="259">
        <v>0</v>
      </c>
      <c r="Y575" s="259">
        <v>0</v>
      </c>
      <c r="Z575" s="1209">
        <f ca="1">[1]ExtEntry!$K73</f>
        <v>0</v>
      </c>
      <c r="AB575" s="264">
        <v>125543</v>
      </c>
      <c r="AC575" s="264">
        <v>129149.99999999999</v>
      </c>
      <c r="AD575" s="264">
        <v>138000</v>
      </c>
      <c r="AE575" s="264">
        <v>141850</v>
      </c>
      <c r="AF575" s="264">
        <v>142450</v>
      </c>
      <c r="AG575" s="264">
        <v>136700</v>
      </c>
      <c r="AH575" s="264">
        <v>139600</v>
      </c>
      <c r="AI575" s="264">
        <v>137650</v>
      </c>
      <c r="AJ575" s="264">
        <v>137650</v>
      </c>
      <c r="AK575" s="264">
        <v>133700</v>
      </c>
      <c r="AL575" s="264">
        <v>131250</v>
      </c>
      <c r="AM575" s="264">
        <v>138775</v>
      </c>
      <c r="AN575" s="264">
        <v>135700</v>
      </c>
      <c r="AO575" s="264">
        <v>130050.00000000001</v>
      </c>
      <c r="AP575" s="264">
        <v>136200</v>
      </c>
      <c r="AQ575" s="264">
        <v>137450</v>
      </c>
      <c r="AR575" s="264">
        <v>134250</v>
      </c>
      <c r="AS575" s="264">
        <v>134250</v>
      </c>
      <c r="AT575" s="264">
        <v>131250</v>
      </c>
      <c r="AU575" s="264">
        <v>133700</v>
      </c>
      <c r="AV575" s="264">
        <f ca="1">Calc!F73</f>
        <v>133700</v>
      </c>
      <c r="AX575" s="88" t="str">
        <f t="shared" ca="1" si="46"/>
        <v>SAFMRNA</v>
      </c>
    </row>
    <row r="576" spans="1:50" hidden="1">
      <c r="A576" s="88" t="str">
        <f t="shared" ca="1" si="47"/>
        <v>BLNK</v>
      </c>
      <c r="F576" s="259">
        <v>0</v>
      </c>
      <c r="G576" s="259">
        <v>0</v>
      </c>
      <c r="H576" s="259">
        <v>0</v>
      </c>
      <c r="I576" s="259">
        <v>0</v>
      </c>
      <c r="J576" s="259">
        <v>0</v>
      </c>
      <c r="K576" s="259">
        <v>0</v>
      </c>
      <c r="L576" s="259">
        <v>0</v>
      </c>
      <c r="M576" s="259">
        <v>0</v>
      </c>
      <c r="N576" s="259">
        <v>0</v>
      </c>
      <c r="O576" s="259">
        <v>0</v>
      </c>
      <c r="P576" s="259">
        <v>0</v>
      </c>
      <c r="Q576" s="259">
        <v>0</v>
      </c>
      <c r="R576" s="259">
        <v>0</v>
      </c>
      <c r="S576" s="259">
        <v>0</v>
      </c>
      <c r="T576" s="259">
        <v>0</v>
      </c>
      <c r="U576" s="259">
        <v>0</v>
      </c>
      <c r="V576" s="259">
        <v>0</v>
      </c>
      <c r="W576" s="259">
        <v>0</v>
      </c>
      <c r="X576" s="259">
        <v>0</v>
      </c>
      <c r="Y576" s="259">
        <v>0</v>
      </c>
      <c r="Z576" s="1209">
        <f ca="1">[1]ExtEntry!$K74</f>
        <v>0</v>
      </c>
      <c r="AB576" s="267">
        <v>228360</v>
      </c>
      <c r="AC576" s="267">
        <v>216480</v>
      </c>
      <c r="AD576" s="267">
        <v>238920</v>
      </c>
      <c r="AE576" s="267">
        <v>232320</v>
      </c>
      <c r="AF576" s="267">
        <v>264000</v>
      </c>
      <c r="AG576" s="267">
        <v>312840</v>
      </c>
      <c r="AH576" s="267">
        <v>303600</v>
      </c>
      <c r="AI576" s="267">
        <v>294360</v>
      </c>
      <c r="AJ576" s="267">
        <v>294360</v>
      </c>
      <c r="AK576" s="267">
        <v>294360</v>
      </c>
      <c r="AL576" s="267">
        <v>299640</v>
      </c>
      <c r="AM576" s="267">
        <v>285780</v>
      </c>
      <c r="AN576" s="267">
        <v>229200</v>
      </c>
      <c r="AO576" s="267">
        <v>218400</v>
      </c>
      <c r="AP576" s="267">
        <v>226800</v>
      </c>
      <c r="AQ576" s="267">
        <v>212400</v>
      </c>
      <c r="AR576" s="267">
        <v>214800</v>
      </c>
      <c r="AS576" s="267">
        <v>214800</v>
      </c>
      <c r="AT576" s="267">
        <v>214800</v>
      </c>
      <c r="AU576" s="267">
        <v>231600</v>
      </c>
      <c r="AV576" s="264">
        <f ca="1">Calc!F74</f>
        <v>231600</v>
      </c>
      <c r="AX576" s="88" t="str">
        <f t="shared" ca="1" si="46"/>
        <v>BLNK</v>
      </c>
    </row>
    <row r="577" spans="1:70" hidden="1">
      <c r="A577" s="88" t="str">
        <f t="shared" ca="1" si="47"/>
        <v>ENI</v>
      </c>
      <c r="F577" s="259">
        <v>18.8431</v>
      </c>
      <c r="G577" s="259">
        <v>18.5732</v>
      </c>
      <c r="H577" s="259">
        <v>18.5732</v>
      </c>
      <c r="I577" s="259">
        <v>18.585699999999999</v>
      </c>
      <c r="J577" s="259">
        <v>18.623200000000001</v>
      </c>
      <c r="K577" s="259">
        <v>18.957999999999998</v>
      </c>
      <c r="L577" s="259">
        <v>19.097999999999999</v>
      </c>
      <c r="M577" s="259">
        <v>19.212900000000001</v>
      </c>
      <c r="N577" s="259">
        <v>18.992999999999999</v>
      </c>
      <c r="O577" s="259">
        <v>18.7056</v>
      </c>
      <c r="P577" s="259">
        <v>18.3658</v>
      </c>
      <c r="Q577" s="259">
        <v>18.3933</v>
      </c>
      <c r="R577" s="259">
        <v>18.4483</v>
      </c>
      <c r="S577" s="259">
        <v>18.4483</v>
      </c>
      <c r="T577" s="259">
        <v>18.585699999999999</v>
      </c>
      <c r="U577" s="259">
        <v>18.585699999999999</v>
      </c>
      <c r="V577" s="259">
        <v>18.6157</v>
      </c>
      <c r="W577" s="259">
        <v>18.6157</v>
      </c>
      <c r="X577" s="259">
        <v>18.898099999999999</v>
      </c>
      <c r="Y577" s="259">
        <v>19.472799999999999</v>
      </c>
      <c r="Z577" s="1209">
        <f ca="1">[1]ExtEntry!$K75</f>
        <v>19.472799999999999</v>
      </c>
      <c r="AB577" s="264">
        <v>331804</v>
      </c>
      <c r="AC577" s="264">
        <v>327052</v>
      </c>
      <c r="AD577" s="264">
        <v>329692</v>
      </c>
      <c r="AE577" s="264">
        <v>327272</v>
      </c>
      <c r="AF577" s="264">
        <v>327932</v>
      </c>
      <c r="AG577" s="264">
        <v>333828</v>
      </c>
      <c r="AH577" s="264">
        <v>336292</v>
      </c>
      <c r="AI577" s="264">
        <v>338316</v>
      </c>
      <c r="AJ577" s="264">
        <v>334444</v>
      </c>
      <c r="AK577" s="264">
        <v>329384</v>
      </c>
      <c r="AL577" s="264">
        <v>323400</v>
      </c>
      <c r="AM577" s="264">
        <v>323884</v>
      </c>
      <c r="AN577" s="264">
        <v>324852</v>
      </c>
      <c r="AO577" s="264">
        <v>326568</v>
      </c>
      <c r="AP577" s="264">
        <v>327272</v>
      </c>
      <c r="AQ577" s="264">
        <v>327800</v>
      </c>
      <c r="AR577" s="264">
        <v>332772</v>
      </c>
      <c r="AS577" s="264">
        <v>332772</v>
      </c>
      <c r="AT577" s="264">
        <v>342892</v>
      </c>
      <c r="AU577" s="264">
        <v>348392</v>
      </c>
      <c r="AV577" s="264">
        <f ca="1">Calc!F75</f>
        <v>348392</v>
      </c>
      <c r="AX577" s="88" t="str">
        <f t="shared" ca="1" si="46"/>
        <v>ENI</v>
      </c>
    </row>
    <row r="578" spans="1:70" hidden="1">
      <c r="A578" s="88" t="str">
        <f t="shared" ca="1" si="47"/>
        <v>EZJ</v>
      </c>
      <c r="F578" s="259">
        <v>8.3307000000000002</v>
      </c>
      <c r="G578" s="259">
        <v>8.3757999999999999</v>
      </c>
      <c r="H578" s="259">
        <v>8.3596000000000004</v>
      </c>
      <c r="I578" s="259">
        <v>8.3831000000000007</v>
      </c>
      <c r="J578" s="259">
        <v>8.4788999999999994</v>
      </c>
      <c r="K578" s="259">
        <v>8.4987999999999992</v>
      </c>
      <c r="L578" s="259">
        <v>8.5205000000000002</v>
      </c>
      <c r="M578" s="259">
        <v>8.5205000000000002</v>
      </c>
      <c r="N578" s="259">
        <v>8.5137999999999998</v>
      </c>
      <c r="O578" s="259">
        <v>8.4354999999999993</v>
      </c>
      <c r="P578" s="259">
        <v>9.0033999999999992</v>
      </c>
      <c r="Q578" s="259">
        <v>8.7195</v>
      </c>
      <c r="R578" s="259">
        <v>8.8678000000000008</v>
      </c>
      <c r="S578" s="259">
        <v>8.8568999999999996</v>
      </c>
      <c r="T578" s="259">
        <v>8.8225999999999996</v>
      </c>
      <c r="U578" s="259">
        <v>8.7032000000000007</v>
      </c>
      <c r="V578" s="259">
        <v>8.6868999999999996</v>
      </c>
      <c r="W578" s="259">
        <v>8.6868999999999996</v>
      </c>
      <c r="X578" s="259">
        <v>8.9220000000000006</v>
      </c>
      <c r="Y578" s="259">
        <v>8.7954000000000008</v>
      </c>
      <c r="Z578" s="1209">
        <f ca="1">[1]ExtEntry!$K76</f>
        <v>8.7954000000000008</v>
      </c>
      <c r="AB578" s="267">
        <v>184240</v>
      </c>
      <c r="AC578" s="267">
        <v>185600</v>
      </c>
      <c r="AD578" s="267">
        <v>184920</v>
      </c>
      <c r="AE578" s="267">
        <v>185240</v>
      </c>
      <c r="AF578" s="267">
        <v>188520</v>
      </c>
      <c r="AG578" s="267">
        <v>186160</v>
      </c>
      <c r="AH578" s="267">
        <v>188600</v>
      </c>
      <c r="AI578" s="267">
        <v>188600</v>
      </c>
      <c r="AJ578" s="267">
        <v>188290.72</v>
      </c>
      <c r="AK578" s="267">
        <v>185600</v>
      </c>
      <c r="AL578" s="267">
        <v>200480</v>
      </c>
      <c r="AM578" s="267">
        <v>192280</v>
      </c>
      <c r="AN578" s="267">
        <v>195880</v>
      </c>
      <c r="AO578" s="267">
        <v>195160</v>
      </c>
      <c r="AP578" s="267">
        <v>194400</v>
      </c>
      <c r="AQ578" s="267">
        <v>192120</v>
      </c>
      <c r="AR578" s="267">
        <v>147990</v>
      </c>
      <c r="AS578" s="267">
        <v>147990</v>
      </c>
      <c r="AT578" s="267">
        <v>143850</v>
      </c>
      <c r="AU578" s="267">
        <v>145830</v>
      </c>
      <c r="AV578" s="264">
        <f ca="1">Calc!F76</f>
        <v>145830</v>
      </c>
      <c r="AX578" s="88" t="str">
        <f t="shared" ca="1" si="46"/>
        <v>EZJ</v>
      </c>
    </row>
    <row r="579" spans="1:70" hidden="1">
      <c r="A579" s="88" t="str">
        <f t="shared" ca="1" si="47"/>
        <v>F</v>
      </c>
      <c r="F579" s="259">
        <v>15.284800000000001</v>
      </c>
      <c r="G579" s="259">
        <v>15.287699999999999</v>
      </c>
      <c r="H579" s="259">
        <v>15.6905</v>
      </c>
      <c r="I579" s="259">
        <v>15.645799999999999</v>
      </c>
      <c r="J579" s="259">
        <v>16.189299999999999</v>
      </c>
      <c r="K579" s="259">
        <v>15.2494</v>
      </c>
      <c r="L579" s="259">
        <v>15.0192</v>
      </c>
      <c r="M579" s="259">
        <v>14.7315</v>
      </c>
      <c r="N579" s="259">
        <v>14.705299999999999</v>
      </c>
      <c r="O579" s="259">
        <v>14.763400000000001</v>
      </c>
      <c r="P579" s="259">
        <v>14.9169</v>
      </c>
      <c r="Q579" s="259">
        <v>15.006399999999999</v>
      </c>
      <c r="R579" s="259">
        <v>15.0192</v>
      </c>
      <c r="S579" s="259">
        <v>15.0122</v>
      </c>
      <c r="T579" s="259">
        <v>15.2424</v>
      </c>
      <c r="U579" s="259">
        <v>16.074200000000001</v>
      </c>
      <c r="V579" s="259">
        <v>15.927099999999999</v>
      </c>
      <c r="W579" s="259">
        <v>15.927099999999999</v>
      </c>
      <c r="X579" s="259">
        <v>15.7417</v>
      </c>
      <c r="Y579" s="259">
        <v>17.685400000000001</v>
      </c>
      <c r="Z579" s="1209">
        <f ca="1">[1]ExtEntry!$K77</f>
        <v>10.596500000000001</v>
      </c>
      <c r="AB579" s="264">
        <v>35858.1</v>
      </c>
      <c r="AC579" s="264">
        <v>35865</v>
      </c>
      <c r="AD579" s="264">
        <v>36810</v>
      </c>
      <c r="AE579" s="264">
        <v>36705</v>
      </c>
      <c r="AF579" s="264">
        <v>37980</v>
      </c>
      <c r="AG579" s="264">
        <v>35775</v>
      </c>
      <c r="AH579" s="264">
        <v>35235</v>
      </c>
      <c r="AI579" s="264">
        <v>34560</v>
      </c>
      <c r="AJ579" s="264">
        <v>34500</v>
      </c>
      <c r="AK579" s="264">
        <v>34635</v>
      </c>
      <c r="AL579" s="264">
        <v>34995</v>
      </c>
      <c r="AM579" s="264">
        <v>35205</v>
      </c>
      <c r="AN579" s="264">
        <v>35235</v>
      </c>
      <c r="AO579" s="264">
        <v>35760</v>
      </c>
      <c r="AP579" s="264">
        <v>0</v>
      </c>
      <c r="AQ579" s="264">
        <v>0</v>
      </c>
      <c r="AR579" s="264">
        <v>0</v>
      </c>
      <c r="AS579" s="264">
        <v>0</v>
      </c>
      <c r="AT579" s="264">
        <v>0</v>
      </c>
      <c r="AU579" s="264">
        <v>0</v>
      </c>
      <c r="AV579" s="264">
        <f ca="1">Calc!F77</f>
        <v>0</v>
      </c>
      <c r="AX579" s="88" t="str">
        <f t="shared" ca="1" si="46"/>
        <v>F</v>
      </c>
    </row>
    <row r="580" spans="1:70" hidden="1">
      <c r="A580" s="88" t="str">
        <f t="shared" ca="1" si="47"/>
        <v>GLE</v>
      </c>
      <c r="F580" s="259">
        <v>9.6068999999999996</v>
      </c>
      <c r="G580" s="259">
        <v>9.4393999999999991</v>
      </c>
      <c r="H580" s="259">
        <v>9.5165000000000006</v>
      </c>
      <c r="I580" s="259">
        <v>9.5165000000000006</v>
      </c>
      <c r="J580" s="259">
        <v>9.4997000000000007</v>
      </c>
      <c r="K580" s="259">
        <v>9.0977999999999994</v>
      </c>
      <c r="L580" s="259">
        <v>9.1144999999999996</v>
      </c>
      <c r="M580" s="259">
        <v>9.1144999999999996</v>
      </c>
      <c r="N580" s="259">
        <v>9.0844000000000005</v>
      </c>
      <c r="O580" s="259">
        <v>8.9972999999999992</v>
      </c>
      <c r="P580" s="259">
        <v>9.2149999999999999</v>
      </c>
      <c r="Q580" s="259">
        <v>9.3054000000000006</v>
      </c>
      <c r="R580" s="259">
        <v>9.4662000000000006</v>
      </c>
      <c r="S580" s="259">
        <v>9.4662000000000006</v>
      </c>
      <c r="T580" s="259">
        <v>8.9839000000000002</v>
      </c>
      <c r="U580" s="259">
        <v>8.8766999999999996</v>
      </c>
      <c r="V580" s="259">
        <v>8.8968000000000007</v>
      </c>
      <c r="W580" s="259">
        <v>8.8968000000000007</v>
      </c>
      <c r="X580" s="259">
        <v>8.8566000000000003</v>
      </c>
      <c r="Y580" s="259">
        <v>8.9738000000000007</v>
      </c>
      <c r="Z580" s="1209">
        <f ca="1">[1]ExtEntry!$K78</f>
        <v>8.9738000000000007</v>
      </c>
      <c r="AB580" s="267">
        <v>0</v>
      </c>
      <c r="AC580" s="267">
        <v>0</v>
      </c>
      <c r="AD580" s="267">
        <v>0</v>
      </c>
      <c r="AE580" s="267">
        <v>0</v>
      </c>
      <c r="AF580" s="267">
        <v>0</v>
      </c>
      <c r="AG580" s="267">
        <v>0</v>
      </c>
      <c r="AH580" s="267">
        <v>0</v>
      </c>
      <c r="AI580" s="267">
        <v>0</v>
      </c>
      <c r="AJ580" s="267">
        <v>0</v>
      </c>
      <c r="AK580" s="267">
        <v>0</v>
      </c>
      <c r="AL580" s="267">
        <v>0</v>
      </c>
      <c r="AM580" s="267">
        <v>0</v>
      </c>
      <c r="AN580" s="267">
        <v>0</v>
      </c>
      <c r="AO580" s="267">
        <v>0</v>
      </c>
      <c r="AP580" s="267">
        <v>0</v>
      </c>
      <c r="AQ580" s="267">
        <v>0</v>
      </c>
      <c r="AR580" s="267">
        <v>0</v>
      </c>
      <c r="AS580" s="267">
        <v>0</v>
      </c>
      <c r="AT580" s="267">
        <v>0</v>
      </c>
      <c r="AU580" s="267">
        <v>0</v>
      </c>
      <c r="AV580" s="264">
        <f ca="1">Calc!F78</f>
        <v>0</v>
      </c>
      <c r="AX580" s="88" t="str">
        <f t="shared" ca="1" si="46"/>
        <v>GLE</v>
      </c>
    </row>
    <row r="581" spans="1:70" hidden="1">
      <c r="A581" s="88" t="str">
        <f t="shared" ca="1" si="47"/>
        <v>GNRC</v>
      </c>
      <c r="F581" s="259">
        <v>27.546399999999998</v>
      </c>
      <c r="G581" s="259">
        <v>27.7972</v>
      </c>
      <c r="H581" s="259">
        <v>27.863600000000002</v>
      </c>
      <c r="I581" s="259">
        <v>28.230499999999999</v>
      </c>
      <c r="J581" s="259">
        <v>27.509899999999998</v>
      </c>
      <c r="K581" s="259">
        <v>27.734100000000002</v>
      </c>
      <c r="L581" s="259">
        <v>28.450600000000001</v>
      </c>
      <c r="M581" s="259">
        <v>28.547699999999999</v>
      </c>
      <c r="N581" s="259">
        <v>28.547699999999999</v>
      </c>
      <c r="O581" s="259">
        <v>28.913</v>
      </c>
      <c r="P581" s="259">
        <v>30.5412</v>
      </c>
      <c r="Q581" s="259">
        <v>32.097099999999998</v>
      </c>
      <c r="R581" s="259">
        <v>31.9908</v>
      </c>
      <c r="S581" s="259">
        <v>31.988299999999999</v>
      </c>
      <c r="T581" s="259">
        <v>31.6313</v>
      </c>
      <c r="U581" s="259">
        <v>31.968399999999999</v>
      </c>
      <c r="V581" s="259">
        <v>30.4025</v>
      </c>
      <c r="W581" s="259">
        <v>30.4025</v>
      </c>
      <c r="X581" s="259">
        <v>31.390499999999999</v>
      </c>
      <c r="Y581" s="259">
        <v>31.883700000000001</v>
      </c>
      <c r="Z581" s="1209">
        <f ca="1">[1]ExtEntry!$K79</f>
        <v>31.390499999999999</v>
      </c>
      <c r="AB581" s="264">
        <v>132712</v>
      </c>
      <c r="AC581" s="264">
        <v>133920</v>
      </c>
      <c r="AD581" s="264">
        <v>134240</v>
      </c>
      <c r="AE581" s="264">
        <v>136008</v>
      </c>
      <c r="AF581" s="264">
        <v>132536</v>
      </c>
      <c r="AG581" s="264">
        <v>133616</v>
      </c>
      <c r="AH581" s="264">
        <v>137068</v>
      </c>
      <c r="AI581" s="264">
        <v>137536</v>
      </c>
      <c r="AJ581" s="264">
        <v>137536</v>
      </c>
      <c r="AK581" s="264">
        <v>139296</v>
      </c>
      <c r="AL581" s="264">
        <v>147140</v>
      </c>
      <c r="AM581" s="264">
        <v>154636</v>
      </c>
      <c r="AN581" s="264">
        <v>115593</v>
      </c>
      <c r="AO581" s="264">
        <v>114294</v>
      </c>
      <c r="AP581" s="264">
        <v>117462</v>
      </c>
      <c r="AQ581" s="264">
        <v>115512</v>
      </c>
      <c r="AR581" s="264">
        <v>164781</v>
      </c>
      <c r="AS581" s="264">
        <v>164781</v>
      </c>
      <c r="AT581" s="264">
        <v>170136</v>
      </c>
      <c r="AU581" s="264">
        <v>172809</v>
      </c>
      <c r="AV581" s="264">
        <f ca="1">Calc!F79</f>
        <v>172755</v>
      </c>
      <c r="AX581" s="88" t="str">
        <f t="shared" ca="1" si="46"/>
        <v>GNRC</v>
      </c>
    </row>
    <row r="582" spans="1:70" hidden="1">
      <c r="A582" s="88" t="str">
        <f t="shared" ca="1" si="47"/>
        <v>GS</v>
      </c>
      <c r="F582" s="259">
        <v>17.688199999999998</v>
      </c>
      <c r="G582" s="259">
        <v>17.5472</v>
      </c>
      <c r="H582" s="259">
        <v>17.323699999999999</v>
      </c>
      <c r="I582" s="259">
        <v>17.186900000000001</v>
      </c>
      <c r="J582" s="259">
        <v>17.410299999999999</v>
      </c>
      <c r="K582" s="259">
        <v>17.559100000000001</v>
      </c>
      <c r="L582" s="259">
        <v>17.1236</v>
      </c>
      <c r="M582" s="259">
        <v>17.194600000000001</v>
      </c>
      <c r="N582" s="259">
        <v>17.188400000000001</v>
      </c>
      <c r="O582" s="259">
        <v>17.363600000000002</v>
      </c>
      <c r="P582" s="259">
        <v>16.994</v>
      </c>
      <c r="Q582" s="259">
        <v>15.523099999999999</v>
      </c>
      <c r="R582" s="259">
        <v>15.404500000000001</v>
      </c>
      <c r="S582" s="259">
        <v>15.399800000000001</v>
      </c>
      <c r="T582" s="259">
        <v>15.5014</v>
      </c>
      <c r="U582" s="259">
        <v>15.5061</v>
      </c>
      <c r="V582" s="259">
        <v>15.125400000000001</v>
      </c>
      <c r="W582" s="259">
        <v>15.125400000000001</v>
      </c>
      <c r="X582" s="259">
        <v>15.1258</v>
      </c>
      <c r="Y582" s="259">
        <v>15.923500000000001</v>
      </c>
      <c r="Z582" s="1209">
        <f ca="1">[1]ExtEntry!$K80</f>
        <v>15.251300000000001</v>
      </c>
      <c r="AB582" s="267">
        <v>0</v>
      </c>
      <c r="AC582" s="267">
        <v>0</v>
      </c>
      <c r="AD582" s="267">
        <v>0</v>
      </c>
      <c r="AE582" s="267">
        <v>0</v>
      </c>
      <c r="AF582" s="267">
        <v>0</v>
      </c>
      <c r="AG582" s="267">
        <v>0</v>
      </c>
      <c r="AH582" s="267">
        <v>0</v>
      </c>
      <c r="AI582" s="267">
        <v>0</v>
      </c>
      <c r="AJ582" s="267">
        <v>0</v>
      </c>
      <c r="AK582" s="267">
        <v>0</v>
      </c>
      <c r="AL582" s="267">
        <v>0</v>
      </c>
      <c r="AM582" s="267">
        <v>0</v>
      </c>
      <c r="AN582" s="267">
        <v>0</v>
      </c>
      <c r="AO582" s="267">
        <v>0</v>
      </c>
      <c r="AP582" s="267">
        <v>0</v>
      </c>
      <c r="AQ582" s="267">
        <v>0</v>
      </c>
      <c r="AR582" s="267">
        <v>0</v>
      </c>
      <c r="AS582" s="267">
        <v>0</v>
      </c>
      <c r="AT582" s="267">
        <v>0</v>
      </c>
      <c r="AU582" s="267">
        <v>0</v>
      </c>
      <c r="AV582" s="264">
        <f ca="1">Calc!F80</f>
        <v>0</v>
      </c>
      <c r="AX582" s="88" t="str">
        <f t="shared" ca="1" si="46"/>
        <v>GS</v>
      </c>
    </row>
    <row r="583" spans="1:70" hidden="1">
      <c r="A583" s="88" t="str">
        <f t="shared" ca="1" si="47"/>
        <v>LAZR</v>
      </c>
      <c r="F583" s="259">
        <v>0</v>
      </c>
      <c r="G583" s="259">
        <v>0</v>
      </c>
      <c r="H583" s="259">
        <v>0</v>
      </c>
      <c r="I583" s="259">
        <v>0</v>
      </c>
      <c r="J583" s="259">
        <v>0</v>
      </c>
      <c r="K583" s="259">
        <v>0</v>
      </c>
      <c r="L583" s="259">
        <v>0</v>
      </c>
      <c r="M583" s="259">
        <v>0</v>
      </c>
      <c r="N583" s="259">
        <v>0</v>
      </c>
      <c r="O583" s="259">
        <v>0</v>
      </c>
      <c r="P583" s="259">
        <v>0</v>
      </c>
      <c r="Q583" s="259">
        <v>0</v>
      </c>
      <c r="R583" s="259">
        <v>0</v>
      </c>
      <c r="S583" s="259">
        <v>0</v>
      </c>
      <c r="T583" s="259">
        <v>0</v>
      </c>
      <c r="U583" s="259">
        <v>0</v>
      </c>
      <c r="V583" s="259">
        <v>0</v>
      </c>
      <c r="W583" s="259">
        <v>0</v>
      </c>
      <c r="X583" s="259">
        <v>0</v>
      </c>
      <c r="Y583" s="259">
        <v>0</v>
      </c>
      <c r="Z583" s="1209">
        <f ca="1">[1]ExtEntry!$K81</f>
        <v>0</v>
      </c>
      <c r="AB583" s="264">
        <v>31191.179999999997</v>
      </c>
      <c r="AC583" s="264">
        <v>29639.379999999997</v>
      </c>
      <c r="AD583" s="264">
        <v>30492.870000000003</v>
      </c>
      <c r="AE583" s="264">
        <v>33674.06</v>
      </c>
      <c r="AF583" s="264">
        <v>38019.100000000006</v>
      </c>
      <c r="AG583" s="264">
        <v>31811.899999999998</v>
      </c>
      <c r="AH583" s="264">
        <v>34294.78</v>
      </c>
      <c r="AI583" s="264">
        <v>32587.800000000003</v>
      </c>
      <c r="AJ583" s="264">
        <v>32587.800000000003</v>
      </c>
      <c r="AK583" s="264">
        <v>32587.800000000003</v>
      </c>
      <c r="AL583" s="264">
        <v>32432.62</v>
      </c>
      <c r="AM583" s="264">
        <v>31113.59</v>
      </c>
      <c r="AN583" s="264">
        <v>29329.019999999997</v>
      </c>
      <c r="AO583" s="264">
        <v>30104.92</v>
      </c>
      <c r="AP583" s="264">
        <v>31036</v>
      </c>
      <c r="AQ583" s="264">
        <v>28165.17</v>
      </c>
      <c r="AR583" s="264">
        <v>26690.959999999999</v>
      </c>
      <c r="AS583" s="264">
        <v>26690.959999999999</v>
      </c>
      <c r="AT583" s="264">
        <v>26225.42</v>
      </c>
      <c r="AU583" s="264">
        <v>34449.960000000006</v>
      </c>
      <c r="AV583" s="264">
        <f ca="1">Calc!F81</f>
        <v>34449.960000000006</v>
      </c>
      <c r="AX583" s="88" t="str">
        <f t="shared" ca="1" si="46"/>
        <v>LAZR</v>
      </c>
    </row>
    <row r="584" spans="1:70" hidden="1">
      <c r="A584" s="88" t="str">
        <f t="shared" ca="1" si="47"/>
        <v>LUV</v>
      </c>
      <c r="F584" s="259">
        <v>39.207700000000003</v>
      </c>
      <c r="G584" s="259">
        <v>38.313299999999998</v>
      </c>
      <c r="H584" s="259">
        <v>38.7575</v>
      </c>
      <c r="I584" s="259">
        <v>38.787500000000001</v>
      </c>
      <c r="J584" s="259">
        <v>39.0456</v>
      </c>
      <c r="K584" s="259">
        <v>38.883600000000001</v>
      </c>
      <c r="L584" s="259">
        <v>38.973599999999998</v>
      </c>
      <c r="M584" s="259">
        <v>38.055199999999999</v>
      </c>
      <c r="N584" s="259">
        <v>38.030799999999999</v>
      </c>
      <c r="O584" s="259">
        <v>38.283299999999997</v>
      </c>
      <c r="P584" s="259">
        <v>40.101999999999997</v>
      </c>
      <c r="Q584" s="259">
        <v>40.540199999999999</v>
      </c>
      <c r="R584" s="259">
        <v>39.963999999999999</v>
      </c>
      <c r="S584" s="259">
        <v>40.240099999999998</v>
      </c>
      <c r="T584" s="259">
        <v>41.302500000000002</v>
      </c>
      <c r="U584" s="259">
        <v>41.332000000000001</v>
      </c>
      <c r="V584" s="259">
        <v>40.480200000000004</v>
      </c>
      <c r="W584" s="259">
        <v>40.480200000000004</v>
      </c>
      <c r="X584" s="259">
        <v>37.995199999999997</v>
      </c>
      <c r="Y584" s="259">
        <v>48.109400000000001</v>
      </c>
      <c r="Z584" s="1209">
        <f ca="1">[1]ExtEntry!$K82</f>
        <v>47.302300000000002</v>
      </c>
      <c r="AB584" s="267">
        <v>39191.999999999993</v>
      </c>
      <c r="AC584" s="267">
        <v>38298</v>
      </c>
      <c r="AD584" s="267">
        <v>38741.999999999993</v>
      </c>
      <c r="AE584" s="267">
        <v>38772</v>
      </c>
      <c r="AF584" s="267">
        <v>39030</v>
      </c>
      <c r="AG584" s="267">
        <v>38868</v>
      </c>
      <c r="AH584" s="267">
        <v>38958.000000000007</v>
      </c>
      <c r="AI584" s="267">
        <v>38040</v>
      </c>
      <c r="AJ584" s="267">
        <v>38016</v>
      </c>
      <c r="AK584" s="267">
        <v>38268</v>
      </c>
      <c r="AL584" s="267">
        <v>40086</v>
      </c>
      <c r="AM584" s="267">
        <v>40524.000000000007</v>
      </c>
      <c r="AN584" s="267">
        <v>39948</v>
      </c>
      <c r="AO584" s="267">
        <v>40224.000000000007</v>
      </c>
      <c r="AP584" s="267">
        <v>41286</v>
      </c>
      <c r="AQ584" s="267">
        <v>41622</v>
      </c>
      <c r="AR584" s="267">
        <v>40464</v>
      </c>
      <c r="AS584" s="267">
        <v>40464</v>
      </c>
      <c r="AT584" s="267">
        <v>37980</v>
      </c>
      <c r="AU584" s="267">
        <v>38628</v>
      </c>
      <c r="AV584" s="264">
        <f ca="1">Calc!F82</f>
        <v>38640</v>
      </c>
      <c r="AX584" s="88" t="str">
        <f t="shared" ca="1" si="46"/>
        <v>LUV</v>
      </c>
    </row>
    <row r="585" spans="1:70" hidden="1">
      <c r="A585" s="88" t="str">
        <f t="shared" ca="1" si="47"/>
        <v>MA</v>
      </c>
      <c r="F585" s="259">
        <v>38.2363</v>
      </c>
      <c r="G585" s="259">
        <v>38.36</v>
      </c>
      <c r="H585" s="259">
        <v>38.7181</v>
      </c>
      <c r="I585" s="259">
        <v>38.943399999999997</v>
      </c>
      <c r="J585" s="259">
        <v>39.1464</v>
      </c>
      <c r="K585" s="259">
        <v>39.103900000000003</v>
      </c>
      <c r="L585" s="259">
        <v>38.872599999999998</v>
      </c>
      <c r="M585" s="259">
        <v>38.078099999999999</v>
      </c>
      <c r="N585" s="259">
        <v>38.072699999999998</v>
      </c>
      <c r="O585" s="259">
        <v>37.715299999999999</v>
      </c>
      <c r="P585" s="259">
        <v>38.285200000000003</v>
      </c>
      <c r="Q585" s="259">
        <v>38.014400000000002</v>
      </c>
      <c r="R585" s="259">
        <v>37.096899999999998</v>
      </c>
      <c r="S585" s="259">
        <v>37.083300000000001</v>
      </c>
      <c r="T585" s="259">
        <v>38.215699999999998</v>
      </c>
      <c r="U585" s="259">
        <v>38.194699999999997</v>
      </c>
      <c r="V585" s="259">
        <v>38.577100000000002</v>
      </c>
      <c r="W585" s="259">
        <v>38.577100000000002</v>
      </c>
      <c r="X585" s="259">
        <v>38.5319</v>
      </c>
      <c r="Y585" s="259">
        <v>38.725499999999997</v>
      </c>
      <c r="Z585" s="1209">
        <f ca="1">[1]ExtEntry!$K83</f>
        <v>38.694499999999998</v>
      </c>
      <c r="AB585" s="264">
        <v>113395</v>
      </c>
      <c r="AC585" s="264">
        <v>113761.99999999999</v>
      </c>
      <c r="AD585" s="264">
        <v>114824</v>
      </c>
      <c r="AE585" s="264">
        <v>115492</v>
      </c>
      <c r="AF585" s="264">
        <v>116094</v>
      </c>
      <c r="AG585" s="264">
        <v>115968</v>
      </c>
      <c r="AH585" s="264">
        <v>115282</v>
      </c>
      <c r="AI585" s="264">
        <v>112926</v>
      </c>
      <c r="AJ585" s="264">
        <v>112909.99999999999</v>
      </c>
      <c r="AK585" s="264">
        <v>111850</v>
      </c>
      <c r="AL585" s="264">
        <v>113540.00000000001</v>
      </c>
      <c r="AM585" s="264">
        <v>112736.99999999999</v>
      </c>
      <c r="AN585" s="264">
        <v>110016.00000000001</v>
      </c>
      <c r="AO585" s="264">
        <v>112194</v>
      </c>
      <c r="AP585" s="264">
        <v>113333.99999999999</v>
      </c>
      <c r="AQ585" s="264">
        <v>114394</v>
      </c>
      <c r="AR585" s="264">
        <v>114254</v>
      </c>
      <c r="AS585" s="264">
        <v>114254</v>
      </c>
      <c r="AT585" s="264">
        <v>114770</v>
      </c>
      <c r="AU585" s="264">
        <v>114846</v>
      </c>
      <c r="AV585" s="264">
        <f ca="1">Calc!F83</f>
        <v>114733.99999999999</v>
      </c>
      <c r="AX585" s="88" t="str">
        <f t="shared" ca="1" si="46"/>
        <v>MA</v>
      </c>
    </row>
    <row r="586" spans="1:70" hidden="1">
      <c r="A586" s="88" t="str">
        <f t="shared" ca="1" si="47"/>
        <v>NVAX</v>
      </c>
      <c r="F586" s="259">
        <v>3.7404000000000002</v>
      </c>
      <c r="G586" s="259">
        <v>3.7469000000000001</v>
      </c>
      <c r="H586" s="259">
        <v>3.7906</v>
      </c>
      <c r="I586" s="259">
        <v>4.1535000000000002</v>
      </c>
      <c r="J586" s="259">
        <v>4.1753999999999998</v>
      </c>
      <c r="K586" s="259">
        <v>4.0311000000000003</v>
      </c>
      <c r="L586" s="259">
        <v>3.8917000000000002</v>
      </c>
      <c r="M586" s="259">
        <v>3.8912</v>
      </c>
      <c r="N586" s="259">
        <v>3.7557</v>
      </c>
      <c r="O586" s="259">
        <v>3.7688000000000001</v>
      </c>
      <c r="P586" s="259">
        <v>3.8868</v>
      </c>
      <c r="Q586" s="259">
        <v>3.9415</v>
      </c>
      <c r="R586" s="259">
        <v>3.7075999999999998</v>
      </c>
      <c r="S586" s="259">
        <v>3.7075999999999998</v>
      </c>
      <c r="T586" s="259">
        <v>3.5413999999999999</v>
      </c>
      <c r="U586" s="259">
        <v>3.8431000000000002</v>
      </c>
      <c r="V586" s="259">
        <v>3.6987999999999999</v>
      </c>
      <c r="W586" s="259">
        <v>3.6987999999999999</v>
      </c>
      <c r="X586" s="259">
        <v>3.6551</v>
      </c>
      <c r="Y586" s="259">
        <v>3.7250999999999999</v>
      </c>
      <c r="Z586" s="1209">
        <f ca="1">[1]ExtEntry!$K84</f>
        <v>3.6551</v>
      </c>
      <c r="AB586" s="267">
        <v>94105</v>
      </c>
      <c r="AC586" s="267">
        <v>95370</v>
      </c>
      <c r="AD586" s="267">
        <v>104500</v>
      </c>
      <c r="AE586" s="267">
        <v>105050.00000000001</v>
      </c>
      <c r="AF586" s="267">
        <v>104060.00000000001</v>
      </c>
      <c r="AG586" s="267">
        <v>101420</v>
      </c>
      <c r="AH586" s="267">
        <v>97911</v>
      </c>
      <c r="AI586" s="267">
        <v>94490</v>
      </c>
      <c r="AJ586" s="267">
        <v>94490</v>
      </c>
      <c r="AK586" s="267">
        <v>94819.999999999985</v>
      </c>
      <c r="AL586" s="267">
        <v>57785.000000000007</v>
      </c>
      <c r="AM586" s="267">
        <v>58597.500000000007</v>
      </c>
      <c r="AN586" s="267">
        <v>55120</v>
      </c>
      <c r="AO586" s="267">
        <v>52650</v>
      </c>
      <c r="AP586" s="267">
        <v>57134.999999999993</v>
      </c>
      <c r="AQ586" s="267">
        <v>55835</v>
      </c>
      <c r="AR586" s="267">
        <v>54990.000000000007</v>
      </c>
      <c r="AS586" s="267">
        <v>54990.000000000007</v>
      </c>
      <c r="AT586" s="267">
        <v>54339.999999999993</v>
      </c>
      <c r="AU586" s="267">
        <v>55380</v>
      </c>
      <c r="AV586" s="264">
        <f ca="1">Calc!F84</f>
        <v>55380</v>
      </c>
      <c r="AX586" s="88" t="str">
        <f t="shared" ca="1" si="46"/>
        <v>NVAX</v>
      </c>
    </row>
    <row r="587" spans="1:70" hidden="1">
      <c r="A587" s="88" t="str">
        <f t="shared" ca="1" si="47"/>
        <v>NVS</v>
      </c>
      <c r="F587" s="259">
        <v>18.065000000000001</v>
      </c>
      <c r="G587" s="259">
        <v>18.691099999999999</v>
      </c>
      <c r="H587" s="259">
        <v>19.1998</v>
      </c>
      <c r="I587" s="259">
        <v>19.091899999999999</v>
      </c>
      <c r="J587" s="259">
        <v>19.2974</v>
      </c>
      <c r="K587" s="259">
        <v>19.176400000000001</v>
      </c>
      <c r="L587" s="259">
        <v>19.285799999999998</v>
      </c>
      <c r="M587" s="259">
        <v>19.1036</v>
      </c>
      <c r="N587" s="259">
        <v>19.1035</v>
      </c>
      <c r="O587" s="259">
        <v>18.825199999999999</v>
      </c>
      <c r="P587" s="259">
        <v>18.992799999999999</v>
      </c>
      <c r="Q587" s="259">
        <v>18.942499999999999</v>
      </c>
      <c r="R587" s="259">
        <v>18.944700000000001</v>
      </c>
      <c r="S587" s="259">
        <v>19.061299999999999</v>
      </c>
      <c r="T587" s="259">
        <v>19.21</v>
      </c>
      <c r="U587" s="259">
        <v>19.144400000000001</v>
      </c>
      <c r="V587" s="259">
        <v>19.157499999999999</v>
      </c>
      <c r="W587" s="259">
        <v>19.157499999999999</v>
      </c>
      <c r="X587" s="259">
        <v>19.188099999999999</v>
      </c>
      <c r="Y587" s="259">
        <v>19.0044</v>
      </c>
      <c r="Z587" s="1209">
        <f ca="1">[1]ExtEntry!$K85</f>
        <v>19.188099999999999</v>
      </c>
      <c r="AB587" s="264">
        <v>0</v>
      </c>
      <c r="AC587" s="264">
        <v>0</v>
      </c>
      <c r="AD587" s="264">
        <v>0</v>
      </c>
      <c r="AE587" s="264">
        <v>0</v>
      </c>
      <c r="AF587" s="264">
        <v>0</v>
      </c>
      <c r="AG587" s="264">
        <v>0</v>
      </c>
      <c r="AH587" s="264">
        <v>0</v>
      </c>
      <c r="AI587" s="264">
        <v>0</v>
      </c>
      <c r="AJ587" s="264">
        <v>0</v>
      </c>
      <c r="AK587" s="264">
        <v>0</v>
      </c>
      <c r="AL587" s="264">
        <v>0</v>
      </c>
      <c r="AM587" s="264">
        <v>0</v>
      </c>
      <c r="AN587" s="264">
        <v>0</v>
      </c>
      <c r="AO587" s="264">
        <v>0</v>
      </c>
      <c r="AP587" s="264">
        <v>0</v>
      </c>
      <c r="AQ587" s="264">
        <v>0</v>
      </c>
      <c r="AR587" s="264">
        <v>0</v>
      </c>
      <c r="AS587" s="264">
        <v>0</v>
      </c>
      <c r="AT587" s="264">
        <v>0</v>
      </c>
      <c r="AU587" s="264">
        <v>0</v>
      </c>
      <c r="AV587" s="264">
        <f ca="1">Calc!F85</f>
        <v>0</v>
      </c>
      <c r="AX587" s="88" t="str">
        <f t="shared" ca="1" si="46"/>
        <v>NVS</v>
      </c>
    </row>
    <row r="588" spans="1:70" hidden="1">
      <c r="A588" s="88" t="str">
        <f t="shared" ca="1" si="47"/>
        <v>ORA</v>
      </c>
      <c r="F588" s="259">
        <v>43.272300000000001</v>
      </c>
      <c r="G588" s="259">
        <v>43.619700000000002</v>
      </c>
      <c r="H588" s="259">
        <v>43.619700000000002</v>
      </c>
      <c r="I588" s="259">
        <v>42.751100000000001</v>
      </c>
      <c r="J588" s="259">
        <v>42.072000000000003</v>
      </c>
      <c r="K588" s="259">
        <v>41.740400000000001</v>
      </c>
      <c r="L588" s="259">
        <v>42.293100000000003</v>
      </c>
      <c r="M588" s="259">
        <v>42.830100000000002</v>
      </c>
      <c r="N588" s="259">
        <v>42.8932</v>
      </c>
      <c r="O588" s="259">
        <v>42.924799999999998</v>
      </c>
      <c r="P588" s="259">
        <v>42.419499999999999</v>
      </c>
      <c r="Q588" s="259">
        <v>44.267200000000003</v>
      </c>
      <c r="R588" s="259">
        <v>44.488300000000002</v>
      </c>
      <c r="S588" s="259">
        <v>44.488300000000002</v>
      </c>
      <c r="T588" s="259">
        <v>45.277999999999999</v>
      </c>
      <c r="U588" s="259">
        <v>44.614699999999999</v>
      </c>
      <c r="V588" s="259">
        <v>44.614699999999999</v>
      </c>
      <c r="W588" s="259">
        <v>44.614699999999999</v>
      </c>
      <c r="X588" s="259">
        <v>44.440899999999999</v>
      </c>
      <c r="Y588" s="259">
        <v>44.693600000000004</v>
      </c>
      <c r="Z588" s="1209">
        <f ca="1">[1]ExtEntry!$K86</f>
        <v>44.693600000000004</v>
      </c>
      <c r="AB588" s="267">
        <v>16440</v>
      </c>
      <c r="AC588" s="267">
        <v>16572</v>
      </c>
      <c r="AD588" s="267">
        <v>16446</v>
      </c>
      <c r="AE588" s="267">
        <v>16242</v>
      </c>
      <c r="AF588" s="267">
        <v>15984</v>
      </c>
      <c r="AG588" s="267">
        <v>15858</v>
      </c>
      <c r="AH588" s="267">
        <v>16068</v>
      </c>
      <c r="AI588" s="267">
        <v>16272</v>
      </c>
      <c r="AJ588" s="267">
        <v>16296</v>
      </c>
      <c r="AK588" s="267">
        <v>16116</v>
      </c>
      <c r="AL588" s="267">
        <v>16284</v>
      </c>
      <c r="AM588" s="267">
        <v>16818</v>
      </c>
      <c r="AN588" s="267">
        <v>16902</v>
      </c>
      <c r="AO588" s="267">
        <v>17202</v>
      </c>
      <c r="AP588" s="267">
        <v>16992</v>
      </c>
      <c r="AQ588" s="267">
        <v>16950</v>
      </c>
      <c r="AR588" s="267">
        <v>16884</v>
      </c>
      <c r="AS588" s="267">
        <v>16884</v>
      </c>
      <c r="AT588" s="267">
        <v>16980</v>
      </c>
      <c r="AU588" s="267">
        <v>16704</v>
      </c>
      <c r="AV588" s="264">
        <f ca="1">Calc!F86</f>
        <v>16704</v>
      </c>
      <c r="AX588" s="88" t="str">
        <f t="shared" ca="1" si="46"/>
        <v>ORA</v>
      </c>
    </row>
    <row r="589" spans="1:70" hidden="1">
      <c r="A589" s="88" t="str">
        <f t="shared" ca="1" si="47"/>
        <v>OXY</v>
      </c>
      <c r="F589" s="259">
        <v>28.400200000000002</v>
      </c>
      <c r="G589" s="259">
        <v>27.837700000000002</v>
      </c>
      <c r="H589" s="259">
        <v>28.1145</v>
      </c>
      <c r="I589" s="259">
        <v>26.047000000000001</v>
      </c>
      <c r="J589" s="259">
        <v>26.415099999999999</v>
      </c>
      <c r="K589" s="259">
        <v>26.697900000000001</v>
      </c>
      <c r="L589" s="259">
        <v>26.535900000000002</v>
      </c>
      <c r="M589" s="259">
        <v>26.223700000000001</v>
      </c>
      <c r="N589" s="259">
        <v>26.224299999999999</v>
      </c>
      <c r="O589" s="259">
        <v>24.992599999999999</v>
      </c>
      <c r="P589" s="259">
        <v>24.904299999999999</v>
      </c>
      <c r="Q589" s="259">
        <v>24.6539</v>
      </c>
      <c r="R589" s="259">
        <v>24.1739</v>
      </c>
      <c r="S589" s="259">
        <v>24.174499999999998</v>
      </c>
      <c r="T589" s="259">
        <v>24.167999999999999</v>
      </c>
      <c r="U589" s="259">
        <v>24.097300000000001</v>
      </c>
      <c r="V589" s="259">
        <v>24.583300000000001</v>
      </c>
      <c r="W589" s="259">
        <v>24.583300000000001</v>
      </c>
      <c r="X589" s="259">
        <v>24.5809</v>
      </c>
      <c r="Y589" s="259">
        <v>25.081</v>
      </c>
      <c r="Z589" s="1209">
        <f ca="1">[1]ExtEntry!$K87</f>
        <v>25.258299999999998</v>
      </c>
      <c r="AB589" s="264">
        <v>192860</v>
      </c>
      <c r="AC589" s="264">
        <v>189040</v>
      </c>
      <c r="AD589" s="264">
        <v>190920</v>
      </c>
      <c r="AE589" s="264">
        <v>176880</v>
      </c>
      <c r="AF589" s="264">
        <v>179380</v>
      </c>
      <c r="AG589" s="264">
        <v>181300</v>
      </c>
      <c r="AH589" s="264">
        <v>180200</v>
      </c>
      <c r="AI589" s="264">
        <v>178080</v>
      </c>
      <c r="AJ589" s="264">
        <v>178080</v>
      </c>
      <c r="AK589" s="264">
        <v>169720</v>
      </c>
      <c r="AL589" s="264">
        <v>169120</v>
      </c>
      <c r="AM589" s="264">
        <v>167420</v>
      </c>
      <c r="AN589" s="264">
        <v>164160</v>
      </c>
      <c r="AO589" s="264">
        <v>163600</v>
      </c>
      <c r="AP589" s="264">
        <v>164120</v>
      </c>
      <c r="AQ589" s="264">
        <v>163640</v>
      </c>
      <c r="AR589" s="264">
        <v>166940</v>
      </c>
      <c r="AS589" s="264">
        <v>166940</v>
      </c>
      <c r="AT589" s="264">
        <v>171520</v>
      </c>
      <c r="AU589" s="264">
        <v>170320</v>
      </c>
      <c r="AV589" s="264">
        <f ca="1">Calc!F87</f>
        <v>170280</v>
      </c>
      <c r="AX589" s="88" t="str">
        <f t="shared" ca="1" si="46"/>
        <v>OXY</v>
      </c>
      <c r="BQ589" t="s">
        <v>190</v>
      </c>
      <c r="BR589" t="s">
        <v>178</v>
      </c>
    </row>
    <row r="590" spans="1:70" hidden="1">
      <c r="A590" s="88" t="str">
        <f t="shared" ca="1" si="47"/>
        <v>PFE</v>
      </c>
      <c r="F590" s="259">
        <v>17.244299999999999</v>
      </c>
      <c r="G590" s="259">
        <v>18.473500000000001</v>
      </c>
      <c r="H590" s="259">
        <v>19.742599999999999</v>
      </c>
      <c r="I590" s="259">
        <v>19.648299999999999</v>
      </c>
      <c r="J590" s="259">
        <v>19.844100000000001</v>
      </c>
      <c r="K590" s="259">
        <v>19.046399999999998</v>
      </c>
      <c r="L590" s="259">
        <v>19.0505</v>
      </c>
      <c r="M590" s="259">
        <v>18.622599999999998</v>
      </c>
      <c r="N590" s="259">
        <v>18.3035</v>
      </c>
      <c r="O590" s="259">
        <v>17.915199999999999</v>
      </c>
      <c r="P590" s="259">
        <v>17.784600000000001</v>
      </c>
      <c r="Q590" s="259">
        <v>17.657699999999998</v>
      </c>
      <c r="R590" s="259">
        <v>17.570699999999999</v>
      </c>
      <c r="S590" s="259">
        <v>17.571100000000001</v>
      </c>
      <c r="T590" s="259">
        <v>17.900700000000001</v>
      </c>
      <c r="U590" s="259">
        <v>18.002199999999998</v>
      </c>
      <c r="V590" s="259">
        <v>17.936900000000001</v>
      </c>
      <c r="W590" s="259">
        <v>17.936900000000001</v>
      </c>
      <c r="X590" s="259">
        <v>17.900700000000001</v>
      </c>
      <c r="Y590" s="259">
        <v>17.9695</v>
      </c>
      <c r="Z590" s="1209">
        <f ca="1">[1]ExtEntry!$K88</f>
        <v>17.8902</v>
      </c>
      <c r="AB590" s="267">
        <v>38047.840000000004</v>
      </c>
      <c r="AC590" s="267">
        <v>40760</v>
      </c>
      <c r="AD590" s="267">
        <v>43560</v>
      </c>
      <c r="AE590" s="267">
        <v>43352</v>
      </c>
      <c r="AF590" s="267">
        <v>43784</v>
      </c>
      <c r="AG590" s="267">
        <v>42024</v>
      </c>
      <c r="AH590" s="267">
        <v>41088</v>
      </c>
      <c r="AI590" s="267">
        <v>40376</v>
      </c>
      <c r="AJ590" s="267">
        <v>40384</v>
      </c>
      <c r="AK590" s="267">
        <v>39528</v>
      </c>
      <c r="AL590" s="267">
        <v>39240</v>
      </c>
      <c r="AM590" s="267">
        <v>38960</v>
      </c>
      <c r="AN590" s="267">
        <v>38768</v>
      </c>
      <c r="AO590" s="267">
        <v>39216</v>
      </c>
      <c r="AP590" s="267">
        <v>39496</v>
      </c>
      <c r="AQ590" s="267">
        <v>39720</v>
      </c>
      <c r="AR590" s="267">
        <v>39576</v>
      </c>
      <c r="AS590" s="267">
        <v>39576</v>
      </c>
      <c r="AT590" s="267">
        <v>39496</v>
      </c>
      <c r="AU590" s="267">
        <v>39648</v>
      </c>
      <c r="AV590" s="264">
        <f ca="1">Calc!F88</f>
        <v>39616</v>
      </c>
      <c r="AX590" s="88" t="str">
        <f t="shared" ca="1" si="46"/>
        <v>PFE</v>
      </c>
      <c r="BQ590" t="s">
        <v>191</v>
      </c>
      <c r="BR590" t="s">
        <v>2202</v>
      </c>
    </row>
    <row r="591" spans="1:70" hidden="1">
      <c r="A591" s="88" t="str">
        <f t="shared" ca="1" si="47"/>
        <v>RIG</v>
      </c>
      <c r="F591" s="259">
        <v>99</v>
      </c>
      <c r="G591" s="259">
        <v>99</v>
      </c>
      <c r="H591" s="259">
        <v>99</v>
      </c>
      <c r="I591" s="259">
        <v>99</v>
      </c>
      <c r="J591" s="259">
        <v>99</v>
      </c>
      <c r="K591" s="259">
        <v>99</v>
      </c>
      <c r="L591" s="259">
        <v>99</v>
      </c>
      <c r="M591" s="259">
        <v>99</v>
      </c>
      <c r="N591" s="259">
        <v>99</v>
      </c>
      <c r="O591" s="259">
        <v>0</v>
      </c>
      <c r="P591" s="259">
        <v>0</v>
      </c>
      <c r="Q591" s="259">
        <v>99</v>
      </c>
      <c r="R591" s="259">
        <v>99</v>
      </c>
      <c r="S591" s="259">
        <v>99</v>
      </c>
      <c r="T591" s="259">
        <v>99</v>
      </c>
      <c r="U591" s="259">
        <v>99</v>
      </c>
      <c r="V591" s="259">
        <v>99</v>
      </c>
      <c r="W591" s="259">
        <v>99</v>
      </c>
      <c r="X591" s="259">
        <v>0</v>
      </c>
      <c r="Y591" s="259">
        <v>99</v>
      </c>
      <c r="Z591" s="1209">
        <f>[1]ExtEntry!$K89</f>
        <v>99</v>
      </c>
      <c r="AB591" s="264">
        <v>148800</v>
      </c>
      <c r="AC591" s="264">
        <v>149520</v>
      </c>
      <c r="AD591" s="264">
        <v>154800</v>
      </c>
      <c r="AE591" s="264">
        <v>158160</v>
      </c>
      <c r="AF591" s="264">
        <v>161520</v>
      </c>
      <c r="AG591" s="264">
        <v>166320</v>
      </c>
      <c r="AH591" s="264">
        <v>163440</v>
      </c>
      <c r="AI591" s="264">
        <v>159600</v>
      </c>
      <c r="AJ591" s="264">
        <v>159840</v>
      </c>
      <c r="AK591" s="264">
        <v>153360</v>
      </c>
      <c r="AL591" s="264">
        <v>149520</v>
      </c>
      <c r="AM591" s="264">
        <v>157920</v>
      </c>
      <c r="AN591" s="264">
        <v>154800</v>
      </c>
      <c r="AO591" s="264">
        <v>156480</v>
      </c>
      <c r="AP591" s="264">
        <v>157680</v>
      </c>
      <c r="AQ591" s="264">
        <v>158640</v>
      </c>
      <c r="AR591" s="264">
        <v>164400</v>
      </c>
      <c r="AS591" s="264">
        <v>164400</v>
      </c>
      <c r="AT591" s="264">
        <v>186480</v>
      </c>
      <c r="AU591" s="264">
        <v>186960</v>
      </c>
      <c r="AV591" s="264">
        <f ca="1">Calc!F89</f>
        <v>187200</v>
      </c>
      <c r="AX591" s="88" t="str">
        <f t="shared" ca="1" si="46"/>
        <v>RIG</v>
      </c>
      <c r="BQ591" t="s">
        <v>139</v>
      </c>
      <c r="BR591" t="s">
        <v>2203</v>
      </c>
    </row>
    <row r="592" spans="1:70">
      <c r="A592" s="88" t="str">
        <f t="shared" ca="1" si="47"/>
        <v>RRC</v>
      </c>
      <c r="F592" s="259">
        <v>33.665100000000002</v>
      </c>
      <c r="G592" s="259">
        <v>33.754800000000003</v>
      </c>
      <c r="H592" s="259">
        <v>35.629100000000001</v>
      </c>
      <c r="I592" s="259">
        <v>34.588799999999999</v>
      </c>
      <c r="J592" s="259">
        <v>34.274999999999999</v>
      </c>
      <c r="K592" s="259">
        <v>35.2973</v>
      </c>
      <c r="L592" s="259">
        <v>35.467700000000001</v>
      </c>
      <c r="M592" s="259">
        <v>34.588799999999999</v>
      </c>
      <c r="N592" s="259">
        <v>34.587600000000002</v>
      </c>
      <c r="O592" s="259">
        <v>33.154000000000003</v>
      </c>
      <c r="P592" s="259">
        <v>32.400700000000001</v>
      </c>
      <c r="Q592" s="259">
        <v>33.396099999999997</v>
      </c>
      <c r="R592" s="259">
        <v>32.006100000000004</v>
      </c>
      <c r="S592" s="259">
        <v>32.0139</v>
      </c>
      <c r="T592" s="259">
        <v>33.297499999999999</v>
      </c>
      <c r="U592" s="259">
        <v>33.287300000000002</v>
      </c>
      <c r="V592" s="259">
        <v>32.508299999999998</v>
      </c>
      <c r="W592" s="259">
        <v>32.508299999999998</v>
      </c>
      <c r="X592" s="259">
        <v>32.507100000000001</v>
      </c>
      <c r="Y592" s="259">
        <v>33.723399999999998</v>
      </c>
      <c r="Z592" s="1209">
        <f ca="1">[1]ExtEntry!$K90</f>
        <v>33.628100000000003</v>
      </c>
      <c r="AB592" s="267">
        <v>0</v>
      </c>
      <c r="AC592" s="267">
        <v>0</v>
      </c>
      <c r="AD592" s="267">
        <v>0</v>
      </c>
      <c r="AE592" s="267">
        <v>0</v>
      </c>
      <c r="AF592" s="267">
        <v>0</v>
      </c>
      <c r="AG592" s="267">
        <v>0</v>
      </c>
      <c r="AH592" s="267">
        <v>0</v>
      </c>
      <c r="AI592" s="267">
        <v>0</v>
      </c>
      <c r="AJ592" s="267">
        <v>0</v>
      </c>
      <c r="AK592" s="267">
        <v>0</v>
      </c>
      <c r="AL592" s="267">
        <v>0</v>
      </c>
      <c r="AM592" s="267">
        <v>0</v>
      </c>
      <c r="AN592" s="267">
        <v>0</v>
      </c>
      <c r="AO592" s="267">
        <v>0</v>
      </c>
      <c r="AP592" s="267">
        <v>0</v>
      </c>
      <c r="AQ592" s="267">
        <v>0</v>
      </c>
      <c r="AR592" s="267">
        <v>0</v>
      </c>
      <c r="AS592" s="267">
        <v>0</v>
      </c>
      <c r="AT592" s="267">
        <v>0</v>
      </c>
      <c r="AU592" s="267">
        <v>0</v>
      </c>
      <c r="AV592" s="264">
        <f ca="1">Calc!F90</f>
        <v>0</v>
      </c>
      <c r="AX592" s="88" t="str">
        <f t="shared" ca="1" si="46"/>
        <v>RRC</v>
      </c>
      <c r="BQ592" t="s">
        <v>192</v>
      </c>
      <c r="BR592" t="s">
        <v>1894</v>
      </c>
    </row>
    <row r="593" spans="1:70">
      <c r="A593" s="88" t="str">
        <f t="shared" ca="1" si="47"/>
        <v>XYZ</v>
      </c>
      <c r="F593" s="1209">
        <v>44.543500000000002</v>
      </c>
      <c r="G593" s="1209">
        <v>42.677500000000002</v>
      </c>
      <c r="H593" s="1209">
        <v>43.350700000000003</v>
      </c>
      <c r="I593" s="1209">
        <v>45.352499999999999</v>
      </c>
      <c r="J593" s="1209">
        <v>45.45</v>
      </c>
      <c r="K593" s="1209">
        <v>46.6753</v>
      </c>
      <c r="L593" s="1209">
        <v>47.915399999999998</v>
      </c>
      <c r="M593" s="1209">
        <v>47.756</v>
      </c>
      <c r="N593" s="1209">
        <v>47.7453</v>
      </c>
      <c r="O593" s="1209">
        <v>44.301400000000001</v>
      </c>
      <c r="P593" s="1209">
        <v>44.986400000000003</v>
      </c>
      <c r="Q593" s="1209">
        <v>44.862400000000001</v>
      </c>
      <c r="R593" s="1209">
        <v>44.957999999999998</v>
      </c>
      <c r="S593" s="1209">
        <v>44.018999999999998</v>
      </c>
      <c r="T593" s="1209">
        <v>45.175400000000003</v>
      </c>
      <c r="U593" s="1209">
        <v>45.889899999999997</v>
      </c>
      <c r="V593" s="1209">
        <v>44.838799999999999</v>
      </c>
      <c r="W593" s="1209">
        <v>44.838799999999999</v>
      </c>
      <c r="X593" s="1209">
        <v>46.386000000000003</v>
      </c>
      <c r="Y593" s="1209">
        <v>46.970599999999997</v>
      </c>
      <c r="Z593" s="1209">
        <f ca="1">[1]ExtEntry!$K91</f>
        <v>46.393000000000001</v>
      </c>
      <c r="AB593" s="264">
        <v>45258.000000000007</v>
      </c>
      <c r="AC593" s="264">
        <v>43362</v>
      </c>
      <c r="AD593" s="264">
        <v>44046</v>
      </c>
      <c r="AE593" s="264">
        <v>46080</v>
      </c>
      <c r="AF593" s="264">
        <v>46179</v>
      </c>
      <c r="AG593" s="264">
        <v>47424.000000000007</v>
      </c>
      <c r="AH593" s="264">
        <v>48684</v>
      </c>
      <c r="AI593" s="264">
        <v>48522</v>
      </c>
      <c r="AJ593" s="264">
        <v>48510</v>
      </c>
      <c r="AK593" s="264">
        <v>45012</v>
      </c>
      <c r="AL593" s="264">
        <v>45708.000000000007</v>
      </c>
      <c r="AM593" s="264">
        <v>45582</v>
      </c>
      <c r="AN593" s="264">
        <v>44730</v>
      </c>
      <c r="AO593" s="264">
        <v>45120</v>
      </c>
      <c r="AP593" s="264">
        <v>45900</v>
      </c>
      <c r="AQ593" s="264">
        <v>46625.999999999993</v>
      </c>
      <c r="AR593" s="264">
        <v>45558.000000000007</v>
      </c>
      <c r="AS593" s="264">
        <v>45558.000000000007</v>
      </c>
      <c r="AT593" s="264">
        <v>47130</v>
      </c>
      <c r="AU593" s="264">
        <v>47724.000000000007</v>
      </c>
      <c r="AV593" s="264">
        <f ca="1">Calc!F91</f>
        <v>47724.000000000007</v>
      </c>
      <c r="AX593" s="88" t="str">
        <f t="shared" ca="1" si="46"/>
        <v>XYZ</v>
      </c>
      <c r="BQ593" t="s">
        <v>193</v>
      </c>
      <c r="BR593" t="s">
        <v>2204</v>
      </c>
    </row>
    <row r="594" spans="1:70">
      <c r="A594" s="88" t="str">
        <f t="shared" ca="1" si="47"/>
        <v>THC</v>
      </c>
      <c r="F594" s="259">
        <v>13.268000000000001</v>
      </c>
      <c r="G594" s="259">
        <v>13.414099999999999</v>
      </c>
      <c r="H594" s="259">
        <v>13.3123</v>
      </c>
      <c r="I594" s="259">
        <v>13.447100000000001</v>
      </c>
      <c r="J594" s="259">
        <v>13.422000000000001</v>
      </c>
      <c r="K594" s="259">
        <v>13.5503</v>
      </c>
      <c r="L594" s="259">
        <v>13.543100000000001</v>
      </c>
      <c r="M594" s="259">
        <v>13.2554</v>
      </c>
      <c r="N594" s="259">
        <v>12.8832</v>
      </c>
      <c r="O594" s="259">
        <v>12.5602</v>
      </c>
      <c r="P594" s="259">
        <v>12.988899999999999</v>
      </c>
      <c r="Q594" s="259">
        <v>13.0914</v>
      </c>
      <c r="R594" s="259">
        <v>13.1661</v>
      </c>
      <c r="S594" s="259">
        <v>13.1662</v>
      </c>
      <c r="T594" s="259">
        <v>13.359500000000001</v>
      </c>
      <c r="U594" s="259">
        <v>13.3797</v>
      </c>
      <c r="V594" s="259">
        <v>13.562200000000001</v>
      </c>
      <c r="W594" s="259">
        <v>13.562200000000001</v>
      </c>
      <c r="X594" s="259">
        <v>13.6805</v>
      </c>
      <c r="Y594" s="259">
        <v>13.91</v>
      </c>
      <c r="Z594" s="1209">
        <f ca="1">[1]ExtEntry!$K92</f>
        <v>13.6806</v>
      </c>
      <c r="AB594" s="267">
        <v>441474</v>
      </c>
      <c r="AC594" s="267">
        <v>446336</v>
      </c>
      <c r="AD594" s="267">
        <v>442948</v>
      </c>
      <c r="AE594" s="267">
        <v>447436</v>
      </c>
      <c r="AF594" s="267">
        <v>446600</v>
      </c>
      <c r="AG594" s="267">
        <v>245928</v>
      </c>
      <c r="AH594" s="267">
        <v>300720</v>
      </c>
      <c r="AI594" s="267">
        <v>292275</v>
      </c>
      <c r="AJ594" s="267">
        <v>292275</v>
      </c>
      <c r="AK594" s="267">
        <v>284947.5</v>
      </c>
      <c r="AL594" s="267">
        <v>294675</v>
      </c>
      <c r="AM594" s="267">
        <v>297000</v>
      </c>
      <c r="AN594" s="267">
        <v>298695</v>
      </c>
      <c r="AO594" s="267">
        <v>300000</v>
      </c>
      <c r="AP594" s="267">
        <v>303082.5</v>
      </c>
      <c r="AQ594" s="267">
        <v>303540</v>
      </c>
      <c r="AR594" s="267">
        <v>307680</v>
      </c>
      <c r="AS594" s="267">
        <v>307680</v>
      </c>
      <c r="AT594" s="267">
        <v>310365</v>
      </c>
      <c r="AU594" s="267">
        <v>315570</v>
      </c>
      <c r="AV594" s="264">
        <f ca="1">Calc!F92</f>
        <v>315570</v>
      </c>
      <c r="AX594" s="88" t="str">
        <f t="shared" ca="1" si="46"/>
        <v>THC</v>
      </c>
      <c r="BQ594" t="s">
        <v>2205</v>
      </c>
      <c r="BR594" t="s">
        <v>1836</v>
      </c>
    </row>
    <row r="595" spans="1:70">
      <c r="A595" s="88" t="str">
        <f t="shared" ca="1" si="47"/>
        <v>X</v>
      </c>
      <c r="F595" s="1209">
        <v>186.1634</v>
      </c>
      <c r="G595" s="1209">
        <v>186.1634</v>
      </c>
      <c r="H595" s="1209">
        <v>186.1634</v>
      </c>
      <c r="I595" s="1209">
        <v>186.1634</v>
      </c>
      <c r="J595" s="1209">
        <v>186.1634</v>
      </c>
      <c r="K595" s="1209">
        <v>186.1634</v>
      </c>
      <c r="L595" s="1209">
        <v>186.1634</v>
      </c>
      <c r="M595" s="1209">
        <v>186.1634</v>
      </c>
      <c r="N595" s="1209">
        <v>186.1634</v>
      </c>
      <c r="O595" s="1209">
        <v>186.1634</v>
      </c>
      <c r="P595" s="1209">
        <v>186.1634</v>
      </c>
      <c r="Q595" s="1209">
        <v>186.1634</v>
      </c>
      <c r="R595" s="1209">
        <v>186.1634</v>
      </c>
      <c r="S595" s="1209">
        <v>186.1634</v>
      </c>
      <c r="T595" s="1209">
        <v>186.1634</v>
      </c>
      <c r="U595" s="1209">
        <v>186.1634</v>
      </c>
      <c r="V595" s="1209">
        <v>186.1634</v>
      </c>
      <c r="W595" s="1209">
        <v>186.1634</v>
      </c>
      <c r="X595" s="1209">
        <v>186.1634</v>
      </c>
      <c r="Y595" s="1209">
        <v>186.1634</v>
      </c>
      <c r="Z595" s="1209">
        <f ca="1">[1]ExtEntry!$K93</f>
        <v>186.1634</v>
      </c>
      <c r="AB595" s="264">
        <v>548.40000000000009</v>
      </c>
      <c r="AC595" s="264">
        <v>548.40000000000009</v>
      </c>
      <c r="AD595" s="264">
        <v>548.40000000000009</v>
      </c>
      <c r="AE595" s="264">
        <v>548.40000000000009</v>
      </c>
      <c r="AF595" s="264">
        <v>548.40000000000009</v>
      </c>
      <c r="AG595" s="264">
        <v>548.40000000000009</v>
      </c>
      <c r="AH595" s="264">
        <v>548.40000000000009</v>
      </c>
      <c r="AI595" s="264">
        <v>548.40000000000009</v>
      </c>
      <c r="AJ595" s="264">
        <v>548.40000000000009</v>
      </c>
      <c r="AK595" s="264">
        <v>548.40000000000009</v>
      </c>
      <c r="AL595" s="264">
        <v>548.40000000000009</v>
      </c>
      <c r="AM595" s="264">
        <v>548.40000000000009</v>
      </c>
      <c r="AN595" s="264">
        <v>548.40000000000009</v>
      </c>
      <c r="AO595" s="264">
        <v>548.40000000000009</v>
      </c>
      <c r="AP595" s="264">
        <v>548.40000000000009</v>
      </c>
      <c r="AQ595" s="264">
        <v>548.40000000000009</v>
      </c>
      <c r="AR595" s="264">
        <v>548.40000000000009</v>
      </c>
      <c r="AS595" s="264">
        <v>548.40000000000009</v>
      </c>
      <c r="AT595" s="264">
        <v>548.40000000000009</v>
      </c>
      <c r="AU595" s="264">
        <v>548.40000000000009</v>
      </c>
      <c r="AV595" s="264">
        <f ca="1">Calc!F93</f>
        <v>548.40000000000009</v>
      </c>
      <c r="AX595" s="88" t="str">
        <f t="shared" ca="1" si="46"/>
        <v>X</v>
      </c>
      <c r="BQ595" t="s">
        <v>195</v>
      </c>
      <c r="BR595" t="s">
        <v>702</v>
      </c>
    </row>
    <row r="596" spans="1:70">
      <c r="A596" s="88" t="str">
        <f t="shared" ca="1" si="47"/>
        <v>JBEOAN</v>
      </c>
      <c r="F596" s="1209">
        <v>99</v>
      </c>
      <c r="G596" s="1209">
        <v>99</v>
      </c>
      <c r="H596" s="1209">
        <v>99</v>
      </c>
      <c r="I596" s="1209">
        <v>99</v>
      </c>
      <c r="J596" s="1209">
        <v>99</v>
      </c>
      <c r="K596" s="1209">
        <v>99</v>
      </c>
      <c r="L596" s="1209">
        <v>99</v>
      </c>
      <c r="M596" s="1209">
        <v>99</v>
      </c>
      <c r="N596" s="1209">
        <v>99</v>
      </c>
      <c r="O596" s="1209">
        <v>99</v>
      </c>
      <c r="P596" s="1209">
        <v>99</v>
      </c>
      <c r="Q596" s="1209">
        <v>99</v>
      </c>
      <c r="R596" s="1209">
        <v>99</v>
      </c>
      <c r="S596" s="1209">
        <v>99</v>
      </c>
      <c r="T596" s="1209">
        <v>99</v>
      </c>
      <c r="U596" s="1209">
        <v>99</v>
      </c>
      <c r="V596" s="1209">
        <v>99</v>
      </c>
      <c r="W596" s="1209">
        <v>99</v>
      </c>
      <c r="X596" s="1209">
        <v>99</v>
      </c>
      <c r="Y596" s="1209">
        <v>99</v>
      </c>
      <c r="Z596" s="1209">
        <f ca="1">[1]ExtEntry!$K94</f>
        <v>13.279500000000001</v>
      </c>
      <c r="AB596" s="264">
        <v>796905.6</v>
      </c>
      <c r="AC596" s="264">
        <v>793975.8</v>
      </c>
      <c r="AD596" s="264">
        <v>792433.8</v>
      </c>
      <c r="AE596" s="264">
        <v>798756</v>
      </c>
      <c r="AF596" s="264">
        <v>806157.6</v>
      </c>
      <c r="AG596" s="264">
        <v>798601.8</v>
      </c>
      <c r="AH596" s="264">
        <v>799989.6</v>
      </c>
      <c r="AI596" s="264">
        <v>813405</v>
      </c>
      <c r="AJ596" s="264">
        <v>812633.99999999988</v>
      </c>
      <c r="AK596" s="264">
        <v>794130</v>
      </c>
      <c r="AL596" s="264">
        <v>787036.8</v>
      </c>
      <c r="AM596" s="264">
        <v>798293.39999999991</v>
      </c>
      <c r="AN596" s="264">
        <v>798447.6</v>
      </c>
      <c r="AO596" s="264">
        <v>783027.60000000009</v>
      </c>
      <c r="AP596" s="264">
        <v>790275</v>
      </c>
      <c r="AQ596" s="264">
        <v>806928.6</v>
      </c>
      <c r="AR596" s="264">
        <v>798293.39999999991</v>
      </c>
      <c r="AS596" s="264">
        <v>798293.39999999991</v>
      </c>
      <c r="AT596" s="264">
        <v>800606.4</v>
      </c>
      <c r="AU596" s="264">
        <v>816334.79999999993</v>
      </c>
      <c r="AV596" s="264">
        <f ca="1">Calc!F94</f>
        <v>289530</v>
      </c>
      <c r="AX596" s="88" t="str">
        <f t="shared" ca="1" si="46"/>
        <v>JBEOAN</v>
      </c>
      <c r="BQ596" t="s">
        <v>2207</v>
      </c>
      <c r="BR596" t="s">
        <v>2206</v>
      </c>
    </row>
    <row r="597" spans="1:70">
      <c r="A597" s="88" t="str">
        <f t="shared" si="47"/>
        <v>LOCK</v>
      </c>
      <c r="F597" s="1209">
        <v>31.696200000000001</v>
      </c>
      <c r="G597" s="1209">
        <v>31.796099999999999</v>
      </c>
      <c r="H597" s="1209">
        <v>32.306699999999999</v>
      </c>
      <c r="I597" s="1209">
        <v>33.6967</v>
      </c>
      <c r="J597" s="1209">
        <v>33.792700000000004</v>
      </c>
      <c r="K597" s="1209">
        <v>33.589199999999998</v>
      </c>
      <c r="L597" s="1082">
        <v>32.706099999999999</v>
      </c>
      <c r="M597" s="1202">
        <v>32.629300000000001</v>
      </c>
      <c r="N597" s="1209">
        <v>32.341299999999997</v>
      </c>
      <c r="O597" s="1209">
        <v>32.406599999999997</v>
      </c>
      <c r="P597" s="1209">
        <v>32.506399999999999</v>
      </c>
      <c r="Q597" s="1209">
        <v>33.520099999999999</v>
      </c>
      <c r="R597" s="350">
        <v>33.689</v>
      </c>
      <c r="S597" s="1209">
        <v>33.689</v>
      </c>
      <c r="T597" s="1209">
        <v>34.5184</v>
      </c>
      <c r="U597" s="1209">
        <v>34.165100000000002</v>
      </c>
      <c r="V597" s="1209">
        <v>34.165100000000002</v>
      </c>
      <c r="W597" s="1082">
        <v>34.165100000000002</v>
      </c>
      <c r="X597" s="1216">
        <v>33.408700000000003</v>
      </c>
      <c r="Y597" s="1209">
        <v>34.341799999999999</v>
      </c>
      <c r="Z597" s="1209">
        <f>[1]ExtEntry!$K95</f>
        <v>99</v>
      </c>
      <c r="AB597" s="264">
        <v>412750</v>
      </c>
      <c r="AC597" s="264">
        <v>165620</v>
      </c>
      <c r="AD597" s="264">
        <v>168280</v>
      </c>
      <c r="AE597" s="264">
        <v>175520</v>
      </c>
      <c r="AF597" s="264">
        <v>176020</v>
      </c>
      <c r="AG597" s="264">
        <v>174960</v>
      </c>
      <c r="AH597" s="264">
        <v>170360</v>
      </c>
      <c r="AI597" s="264">
        <v>169960</v>
      </c>
      <c r="AJ597" s="264">
        <v>168460</v>
      </c>
      <c r="AK597" s="264">
        <v>168800</v>
      </c>
      <c r="AL597" s="264">
        <v>169320</v>
      </c>
      <c r="AM597" s="264">
        <v>174600</v>
      </c>
      <c r="AN597" s="264">
        <v>175480</v>
      </c>
      <c r="AO597" s="264">
        <v>175140</v>
      </c>
      <c r="AP597" s="264">
        <v>179800</v>
      </c>
      <c r="AQ597" s="264">
        <v>177960</v>
      </c>
      <c r="AR597" s="264">
        <v>174020</v>
      </c>
      <c r="AS597" s="264">
        <v>174020</v>
      </c>
      <c r="AT597" s="264">
        <v>177540</v>
      </c>
      <c r="AU597" s="264">
        <v>178880</v>
      </c>
      <c r="AV597" s="264">
        <f ca="1">Calc!F95</f>
        <v>815101.2</v>
      </c>
      <c r="AX597" s="88" t="str">
        <f t="shared" si="46"/>
        <v>LOCK</v>
      </c>
      <c r="BQ597" t="s">
        <v>2208</v>
      </c>
      <c r="BR597" t="s">
        <v>2209</v>
      </c>
    </row>
    <row r="598" spans="1:70">
      <c r="A598" s="88" t="str">
        <f>A98</f>
        <v>Total</v>
      </c>
      <c r="F598" s="259">
        <v>13.2547</v>
      </c>
      <c r="G598" s="259">
        <v>13.281000000000001</v>
      </c>
      <c r="H598" s="259">
        <v>13.355399999999999</v>
      </c>
      <c r="I598" s="259">
        <v>13.190099999999999</v>
      </c>
      <c r="J598" s="259">
        <v>13.3223</v>
      </c>
      <c r="K598" s="259">
        <v>13.318199999999999</v>
      </c>
      <c r="L598" s="259">
        <v>13.3719</v>
      </c>
      <c r="M598" s="259">
        <v>13.367800000000001</v>
      </c>
      <c r="N598" s="259">
        <v>13.3719</v>
      </c>
      <c r="O598" s="259">
        <v>13.438000000000001</v>
      </c>
      <c r="P598" s="259">
        <v>13.5289</v>
      </c>
      <c r="Q598" s="259">
        <v>13.388400000000001</v>
      </c>
      <c r="R598" s="259">
        <v>13.4298</v>
      </c>
      <c r="S598" s="259">
        <v>13.42</v>
      </c>
      <c r="T598" s="259">
        <v>13.5702</v>
      </c>
      <c r="U598" s="259">
        <v>13.524800000000001</v>
      </c>
      <c r="V598" s="259">
        <v>13.6</v>
      </c>
      <c r="W598" s="259">
        <v>13.6</v>
      </c>
      <c r="X598" s="259">
        <v>13.2066</v>
      </c>
      <c r="Y598" s="259">
        <v>13.2727</v>
      </c>
      <c r="Z598" s="1209">
        <f>[1]ExtEntry!$K96</f>
        <v>0</v>
      </c>
      <c r="AB598" s="267">
        <v>336105</v>
      </c>
      <c r="AC598" s="267">
        <v>337470</v>
      </c>
      <c r="AD598" s="267">
        <v>339360</v>
      </c>
      <c r="AE598" s="267">
        <v>335160</v>
      </c>
      <c r="AF598" s="267">
        <v>338520</v>
      </c>
      <c r="AG598" s="267">
        <v>290070</v>
      </c>
      <c r="AH598" s="267">
        <v>291240</v>
      </c>
      <c r="AI598" s="267">
        <v>291150</v>
      </c>
      <c r="AJ598" s="267">
        <v>291240</v>
      </c>
      <c r="AK598" s="267">
        <v>292680</v>
      </c>
      <c r="AL598" s="267">
        <v>294660</v>
      </c>
      <c r="AM598" s="267">
        <v>291600</v>
      </c>
      <c r="AN598" s="267">
        <v>292500</v>
      </c>
      <c r="AO598" s="267">
        <v>292860</v>
      </c>
      <c r="AP598" s="267">
        <v>295560.00000000006</v>
      </c>
      <c r="AQ598" s="267">
        <v>294570</v>
      </c>
      <c r="AR598" s="267">
        <v>289800</v>
      </c>
      <c r="AS598" s="267">
        <v>289800</v>
      </c>
      <c r="AT598" s="267">
        <v>287640</v>
      </c>
      <c r="AU598" s="267">
        <v>289080</v>
      </c>
      <c r="AV598" s="264" t="e">
        <f ca="1">Calc!F96</f>
        <v>#VALUE!</v>
      </c>
      <c r="AX598" s="88" t="str">
        <f t="shared" si="46"/>
        <v>Total</v>
      </c>
      <c r="BQ598" t="s">
        <v>2210</v>
      </c>
      <c r="BR598" t="s">
        <v>662</v>
      </c>
    </row>
    <row r="599" spans="1:70">
      <c r="AX599" s="88"/>
      <c r="BQ599" t="s">
        <v>199</v>
      </c>
      <c r="BR599" t="s">
        <v>2211</v>
      </c>
    </row>
    <row r="600" spans="1:70">
      <c r="AX600" s="88"/>
      <c r="BQ600" t="s">
        <v>2212</v>
      </c>
      <c r="BR600" t="s">
        <v>177</v>
      </c>
    </row>
    <row r="601" spans="1:70">
      <c r="AX601" s="88"/>
      <c r="BQ601" t="s">
        <v>179</v>
      </c>
      <c r="BR601" t="s">
        <v>2213</v>
      </c>
    </row>
    <row r="602" spans="1:70" ht="26">
      <c r="A602" s="88"/>
      <c r="E602" s="1264"/>
      <c r="F602" s="112"/>
      <c r="G602" s="112"/>
      <c r="H602" s="112"/>
      <c r="I602" s="112"/>
      <c r="J602" s="112"/>
      <c r="K602" s="112"/>
      <c r="L602" s="112"/>
      <c r="M602" s="112"/>
      <c r="N602" s="112"/>
      <c r="O602" s="112"/>
      <c r="P602" s="112"/>
      <c r="Q602" s="112"/>
      <c r="R602" s="112"/>
      <c r="S602" s="112"/>
      <c r="T602" s="112"/>
      <c r="U602" s="112"/>
      <c r="V602" s="112"/>
      <c r="W602" s="112"/>
      <c r="X602" s="112"/>
      <c r="Y602" s="112"/>
      <c r="Z602" s="112"/>
      <c r="AX602" s="88"/>
      <c r="BQ602" t="s">
        <v>1016</v>
      </c>
      <c r="BR602" t="s">
        <v>2214</v>
      </c>
    </row>
    <row r="603" spans="1:70">
      <c r="A603" s="88"/>
      <c r="F603" s="117">
        <f t="shared" ref="F603:Z603" ca="1" si="48">F502</f>
        <v>45929</v>
      </c>
      <c r="G603" s="117">
        <f t="shared" ca="1" si="48"/>
        <v>45930</v>
      </c>
      <c r="H603" s="117">
        <f t="shared" ca="1" si="48"/>
        <v>45931</v>
      </c>
      <c r="I603" s="117">
        <f t="shared" ca="1" si="48"/>
        <v>45932</v>
      </c>
      <c r="J603" s="117">
        <f t="shared" ca="1" si="48"/>
        <v>45933</v>
      </c>
      <c r="K603" s="117">
        <f t="shared" ca="1" si="48"/>
        <v>45936</v>
      </c>
      <c r="L603" s="117">
        <f t="shared" ca="1" si="48"/>
        <v>45937</v>
      </c>
      <c r="M603" s="117">
        <f t="shared" ca="1" si="48"/>
        <v>45938</v>
      </c>
      <c r="N603" s="117">
        <f t="shared" ca="1" si="48"/>
        <v>45939</v>
      </c>
      <c r="O603" s="117">
        <f t="shared" ca="1" si="48"/>
        <v>45940</v>
      </c>
      <c r="P603" s="117">
        <f t="shared" ca="1" si="48"/>
        <v>45943</v>
      </c>
      <c r="Q603" s="117">
        <f t="shared" ca="1" si="48"/>
        <v>45944</v>
      </c>
      <c r="R603" s="117">
        <f t="shared" ca="1" si="48"/>
        <v>45945</v>
      </c>
      <c r="S603" s="117">
        <f t="shared" ca="1" si="48"/>
        <v>45946</v>
      </c>
      <c r="T603" s="117">
        <f t="shared" ca="1" si="48"/>
        <v>45947</v>
      </c>
      <c r="U603" s="117">
        <f t="shared" ca="1" si="48"/>
        <v>45950</v>
      </c>
      <c r="V603" s="117">
        <f t="shared" ca="1" si="48"/>
        <v>45951</v>
      </c>
      <c r="W603" s="117">
        <f t="shared" ca="1" si="48"/>
        <v>45952</v>
      </c>
      <c r="X603" s="117">
        <f t="shared" ca="1" si="48"/>
        <v>45953</v>
      </c>
      <c r="Y603" s="117">
        <f t="shared" ca="1" si="48"/>
        <v>45954</v>
      </c>
      <c r="Z603" s="117">
        <f t="shared" ca="1" si="48"/>
        <v>45956</v>
      </c>
      <c r="AB603" s="117">
        <f t="shared" ref="AB603:AV603" ca="1" si="49">F502</f>
        <v>45929</v>
      </c>
      <c r="AC603" s="117">
        <f t="shared" ca="1" si="49"/>
        <v>45930</v>
      </c>
      <c r="AD603" s="117">
        <f t="shared" ca="1" si="49"/>
        <v>45931</v>
      </c>
      <c r="AE603" s="117">
        <f t="shared" ca="1" si="49"/>
        <v>45932</v>
      </c>
      <c r="AF603" s="117">
        <f t="shared" ca="1" si="49"/>
        <v>45933</v>
      </c>
      <c r="AG603" s="117">
        <f t="shared" ca="1" si="49"/>
        <v>45936</v>
      </c>
      <c r="AH603" s="117">
        <f t="shared" ca="1" si="49"/>
        <v>45937</v>
      </c>
      <c r="AI603" s="117">
        <f t="shared" ca="1" si="49"/>
        <v>45938</v>
      </c>
      <c r="AJ603" s="117">
        <f t="shared" ca="1" si="49"/>
        <v>45939</v>
      </c>
      <c r="AK603" s="117">
        <f t="shared" ca="1" si="49"/>
        <v>45940</v>
      </c>
      <c r="AL603" s="117">
        <f t="shared" ca="1" si="49"/>
        <v>45943</v>
      </c>
      <c r="AM603" s="117">
        <f t="shared" ca="1" si="49"/>
        <v>45944</v>
      </c>
      <c r="AN603" s="117">
        <f t="shared" ca="1" si="49"/>
        <v>45945</v>
      </c>
      <c r="AO603" s="117">
        <f t="shared" ca="1" si="49"/>
        <v>45946</v>
      </c>
      <c r="AP603" s="117">
        <f t="shared" ca="1" si="49"/>
        <v>45947</v>
      </c>
      <c r="AQ603" s="117">
        <f t="shared" ca="1" si="49"/>
        <v>45950</v>
      </c>
      <c r="AR603" s="117">
        <f t="shared" ca="1" si="49"/>
        <v>45951</v>
      </c>
      <c r="AS603" s="117">
        <f t="shared" ca="1" si="49"/>
        <v>45952</v>
      </c>
      <c r="AT603" s="117">
        <f t="shared" ca="1" si="49"/>
        <v>45953</v>
      </c>
      <c r="AU603" s="117">
        <f t="shared" ca="1" si="49"/>
        <v>45954</v>
      </c>
      <c r="AV603" s="117">
        <f t="shared" ca="1" si="49"/>
        <v>45956</v>
      </c>
      <c r="AX603" s="88"/>
      <c r="BR603" t="s">
        <v>2215</v>
      </c>
    </row>
    <row r="604" spans="1:70">
      <c r="A604" s="88"/>
      <c r="F604" s="282" t="s">
        <v>330</v>
      </c>
      <c r="G604" s="282" t="s">
        <v>331</v>
      </c>
      <c r="H604" s="282" t="s">
        <v>332</v>
      </c>
      <c r="I604" s="282" t="s">
        <v>333</v>
      </c>
      <c r="J604" s="282" t="s">
        <v>334</v>
      </c>
      <c r="K604" s="282" t="s">
        <v>335</v>
      </c>
      <c r="L604" s="282" t="s">
        <v>336</v>
      </c>
      <c r="M604" s="282" t="s">
        <v>337</v>
      </c>
      <c r="N604" s="282" t="s">
        <v>338</v>
      </c>
      <c r="O604" s="282" t="s">
        <v>339</v>
      </c>
      <c r="P604" s="282" t="s">
        <v>340</v>
      </c>
      <c r="Q604" s="282" t="s">
        <v>341</v>
      </c>
      <c r="R604" s="282" t="s">
        <v>342</v>
      </c>
      <c r="S604" s="282" t="s">
        <v>343</v>
      </c>
      <c r="T604" s="282" t="s">
        <v>344</v>
      </c>
      <c r="U604" s="282" t="s">
        <v>345</v>
      </c>
      <c r="V604" s="282" t="s">
        <v>346</v>
      </c>
      <c r="W604" s="282" t="s">
        <v>347</v>
      </c>
      <c r="X604" s="282" t="s">
        <v>348</v>
      </c>
      <c r="Y604" s="282" t="s">
        <v>349</v>
      </c>
      <c r="Z604" s="282" t="s">
        <v>350</v>
      </c>
      <c r="AB604" s="281" t="s">
        <v>1284</v>
      </c>
      <c r="AC604" s="281" t="s">
        <v>1285</v>
      </c>
      <c r="AD604" s="281" t="s">
        <v>1286</v>
      </c>
      <c r="AE604" s="281" t="s">
        <v>1287</v>
      </c>
      <c r="AF604" s="281" t="s">
        <v>1288</v>
      </c>
      <c r="AG604" s="281" t="s">
        <v>1289</v>
      </c>
      <c r="AH604" s="281" t="s">
        <v>1290</v>
      </c>
      <c r="AI604" s="281" t="s">
        <v>1291</v>
      </c>
      <c r="AJ604" s="281" t="s">
        <v>1292</v>
      </c>
      <c r="AK604" s="281" t="s">
        <v>1293</v>
      </c>
      <c r="AL604" s="281" t="s">
        <v>1294</v>
      </c>
      <c r="AM604" s="281" t="s">
        <v>1295</v>
      </c>
      <c r="AN604" s="281" t="s">
        <v>1296</v>
      </c>
      <c r="AO604" s="281" t="s">
        <v>1297</v>
      </c>
      <c r="AP604" s="281" t="s">
        <v>1298</v>
      </c>
      <c r="AQ604" s="281" t="s">
        <v>1299</v>
      </c>
      <c r="AR604" s="281" t="s">
        <v>1300</v>
      </c>
      <c r="AS604" s="281" t="s">
        <v>1301</v>
      </c>
      <c r="AT604" s="281" t="s">
        <v>1302</v>
      </c>
      <c r="AU604" s="281" t="s">
        <v>1303</v>
      </c>
      <c r="AV604" s="281" t="s">
        <v>1304</v>
      </c>
      <c r="AX604" s="88"/>
      <c r="BR604" t="s">
        <v>2147</v>
      </c>
    </row>
    <row r="605" spans="1:70">
      <c r="A605" s="88" t="str">
        <f ca="1">A5</f>
        <v>AAPL</v>
      </c>
      <c r="F605" s="247">
        <v>-2.1448999999999998</v>
      </c>
      <c r="G605" s="247">
        <v>0.2</v>
      </c>
      <c r="H605" s="247">
        <v>0.82</v>
      </c>
      <c r="I605" s="247">
        <v>1.68</v>
      </c>
      <c r="J605" s="247">
        <v>0.89</v>
      </c>
      <c r="K605" s="247">
        <v>-0.21</v>
      </c>
      <c r="L605" s="247">
        <v>1.58</v>
      </c>
      <c r="M605" s="247">
        <v>-4.0199999999999996</v>
      </c>
      <c r="N605" s="247">
        <v>-4.0199999999999996</v>
      </c>
      <c r="O605" s="247">
        <v>2.39</v>
      </c>
      <c r="P605" s="247">
        <v>0.11</v>
      </c>
      <c r="Q605" s="247">
        <v>1.63</v>
      </c>
      <c r="R605" s="247">
        <v>-1.89</v>
      </c>
      <c r="S605" s="247">
        <v>4.84</v>
      </c>
      <c r="T605" s="247">
        <v>9.9499999999999993</v>
      </c>
      <c r="U605" s="247">
        <v>0.53</v>
      </c>
      <c r="V605" s="247">
        <v>-4.32</v>
      </c>
      <c r="W605" s="247">
        <v>-4.32</v>
      </c>
      <c r="X605" s="247">
        <v>1.1299999999999999</v>
      </c>
      <c r="Y605" s="247">
        <v>3.24</v>
      </c>
      <c r="Z605" s="247">
        <f ca="1">[1]ExtEntry!$L3</f>
        <v>3.24</v>
      </c>
      <c r="AB605" s="309">
        <v>0.92977295865899823</v>
      </c>
      <c r="AC605" s="309">
        <v>0.92497164513215258</v>
      </c>
      <c r="AD605" s="309">
        <v>0.92200246623605409</v>
      </c>
      <c r="AE605" s="309">
        <v>0.91597841558744608</v>
      </c>
      <c r="AF605" s="309">
        <v>0.91281889000852656</v>
      </c>
      <c r="AG605" s="309">
        <v>0.91829978945726753</v>
      </c>
      <c r="AH605" s="309">
        <v>0.91267740060451064</v>
      </c>
      <c r="AI605" s="309">
        <v>0.92711986301369864</v>
      </c>
      <c r="AJ605" s="309">
        <v>0.92711986301369864</v>
      </c>
      <c r="AK605" s="309">
        <v>0.95100351288056206</v>
      </c>
      <c r="AL605" s="309">
        <v>0.95058130524276541</v>
      </c>
      <c r="AM605" s="309">
        <v>0.94436860465116279</v>
      </c>
      <c r="AN605" s="309">
        <v>0.95181058799757534</v>
      </c>
      <c r="AO605" s="309">
        <v>0.93355079472036151</v>
      </c>
      <c r="AP605" s="309">
        <v>0.89812969035997559</v>
      </c>
      <c r="AQ605" s="309">
        <v>0.89631818700764931</v>
      </c>
      <c r="AR605" s="309">
        <v>0.91130017411491593</v>
      </c>
      <c r="AS605" s="309">
        <v>0.96022936738247244</v>
      </c>
      <c r="AT605" s="309">
        <v>0.95604931042453201</v>
      </c>
      <c r="AU605" s="309" t="e">
        <v>#N/A</v>
      </c>
      <c r="AV605" s="309">
        <f ca="1">Calc!AS3</f>
        <v>0.94426329807472797</v>
      </c>
      <c r="AX605" s="88" t="str">
        <f ca="1">A5</f>
        <v>AAPL</v>
      </c>
    </row>
    <row r="606" spans="1:70">
      <c r="A606" s="88" t="str">
        <f t="shared" ref="A606:A669" ca="1" si="50">A6</f>
        <v>ADEA</v>
      </c>
      <c r="F606" s="255">
        <v>-0.18</v>
      </c>
      <c r="G606" s="255">
        <v>7.0000000000000007E-2</v>
      </c>
      <c r="H606" s="255">
        <v>0.28999999999999998</v>
      </c>
      <c r="I606" s="255">
        <v>0.23</v>
      </c>
      <c r="J606" s="255">
        <v>-0.03</v>
      </c>
      <c r="K606" s="255">
        <v>-0.92</v>
      </c>
      <c r="L606" s="255">
        <v>-0.55000000000000004</v>
      </c>
      <c r="M606" s="255">
        <v>-0.12</v>
      </c>
      <c r="N606" s="255">
        <v>-0.12</v>
      </c>
      <c r="O606" s="255">
        <v>0.04</v>
      </c>
      <c r="P606" s="255">
        <v>0.83</v>
      </c>
      <c r="Q606" s="255">
        <v>0.6</v>
      </c>
      <c r="R606" s="255">
        <v>-0.66</v>
      </c>
      <c r="S606" s="255">
        <v>-0.05</v>
      </c>
      <c r="T606" s="255">
        <v>0.23</v>
      </c>
      <c r="U606" s="255">
        <v>0.22</v>
      </c>
      <c r="V606" s="255">
        <v>-0.19</v>
      </c>
      <c r="W606" s="255">
        <v>-0.19</v>
      </c>
      <c r="X606" s="255">
        <v>-0.05</v>
      </c>
      <c r="Y606" s="255">
        <v>0.33</v>
      </c>
      <c r="Z606" s="247">
        <f ca="1">[1]ExtEntry!$L4</f>
        <v>0.33</v>
      </c>
      <c r="AB606" s="309">
        <v>1.2412414414414414</v>
      </c>
      <c r="AC606" s="309">
        <v>1.2301589285714285</v>
      </c>
      <c r="AD606" s="309">
        <v>1.2092843768285546</v>
      </c>
      <c r="AE606" s="309">
        <v>1.1932257505773671</v>
      </c>
      <c r="AF606" s="309">
        <v>1.1952961249277039</v>
      </c>
      <c r="AG606" s="309">
        <v>1.2092843768285546</v>
      </c>
      <c r="AH606" s="309">
        <v>1.2494963724304717</v>
      </c>
      <c r="AI606" s="309">
        <v>1.2586278928136418</v>
      </c>
      <c r="AJ606" s="309">
        <v>1.2586278928136418</v>
      </c>
      <c r="AK606" s="309">
        <v>1.3121695238095239</v>
      </c>
      <c r="AL606" s="309">
        <v>1.2464819059107359</v>
      </c>
      <c r="AM606" s="309">
        <v>1.2029493597206053</v>
      </c>
      <c r="AN606" s="309">
        <v>1.244230583985551</v>
      </c>
      <c r="AO606" s="309">
        <v>1.2479873188405799</v>
      </c>
      <c r="AP606" s="309">
        <v>1.2308916021441334</v>
      </c>
      <c r="AQ606" s="309">
        <v>1.2149717813051146</v>
      </c>
      <c r="AR606" s="309">
        <v>1.2286961950059452</v>
      </c>
      <c r="AS606" s="309">
        <v>1.2286961950059452</v>
      </c>
      <c r="AT606" s="309">
        <v>1.2323595706618962</v>
      </c>
      <c r="AU606" s="309" t="e">
        <v>#N/A</v>
      </c>
      <c r="AV606" s="309">
        <f ca="1">Calc!AS4</f>
        <v>1.208577192982456</v>
      </c>
      <c r="AX606" s="88" t="str">
        <f t="shared" ref="AX606:AX669" ca="1" si="51">A6</f>
        <v>ADEA</v>
      </c>
    </row>
    <row r="607" spans="1:70">
      <c r="A607" s="88" t="str">
        <f t="shared" ca="1" si="50"/>
        <v>AET</v>
      </c>
      <c r="F607" s="247">
        <v>-0.9</v>
      </c>
      <c r="G607" s="247">
        <v>0.1</v>
      </c>
      <c r="H607" s="247">
        <v>-2</v>
      </c>
      <c r="I607" s="247">
        <v>0.6</v>
      </c>
      <c r="J607" s="247">
        <v>-1</v>
      </c>
      <c r="K607" s="247">
        <v>-0.9</v>
      </c>
      <c r="L607" s="247">
        <v>0.1</v>
      </c>
      <c r="M607" s="247">
        <v>-0.8</v>
      </c>
      <c r="N607" s="247">
        <v>-0.42399999999999999</v>
      </c>
      <c r="O607" s="247">
        <v>1.6</v>
      </c>
      <c r="P607" s="247">
        <v>-0.4</v>
      </c>
      <c r="Q607" s="247">
        <v>-0.8</v>
      </c>
      <c r="R607" s="247">
        <v>-1.1000000000000001</v>
      </c>
      <c r="S607" s="247">
        <v>1</v>
      </c>
      <c r="T607" s="247">
        <v>0.3</v>
      </c>
      <c r="U607" s="247">
        <v>0.7</v>
      </c>
      <c r="V607" s="247">
        <v>0.4</v>
      </c>
      <c r="W607" s="247">
        <v>0.4</v>
      </c>
      <c r="X607" s="247">
        <v>1</v>
      </c>
      <c r="Y607" s="247">
        <v>1.4</v>
      </c>
      <c r="Z607" s="247">
        <f ca="1">[1]ExtEntry!$L5</f>
        <v>1.4</v>
      </c>
      <c r="AB607" s="309">
        <v>1.9360489816700612</v>
      </c>
      <c r="AC607" s="309">
        <v>1.9321139227642277</v>
      </c>
      <c r="AD607" s="309">
        <v>2.0139831567796609</v>
      </c>
      <c r="AE607" s="309">
        <v>1.9887030334728035</v>
      </c>
      <c r="AF607" s="309">
        <v>2.0311966880341883</v>
      </c>
      <c r="AG607" s="309">
        <v>2.0531318574514041</v>
      </c>
      <c r="AH607" s="309">
        <v>2.0487070043103448</v>
      </c>
      <c r="AI607" s="309">
        <v>2.0846492324561403</v>
      </c>
      <c r="AJ607" s="309">
        <v>2.1042147379139364</v>
      </c>
      <c r="AK607" s="309">
        <v>2.1953811778290997</v>
      </c>
      <c r="AL607" s="309">
        <v>2.2158509324009326</v>
      </c>
      <c r="AM607" s="309">
        <v>2.2579573634204277</v>
      </c>
      <c r="AN607" s="309">
        <v>2.3185367073170733</v>
      </c>
      <c r="AO607" s="309">
        <v>2.2633334523809525</v>
      </c>
      <c r="AP607" s="309">
        <v>2.2472814420803786</v>
      </c>
      <c r="AQ607" s="309">
        <v>2.2106977906976746</v>
      </c>
      <c r="AR607" s="309">
        <v>2.1903226958525348</v>
      </c>
      <c r="AS607" s="309">
        <v>2.2271889400921658</v>
      </c>
      <c r="AT607" s="309">
        <v>2.1770270270270271</v>
      </c>
      <c r="AU607" s="309" t="e">
        <v>#N/A</v>
      </c>
      <c r="AV607" s="309">
        <f ca="1">Calc!AS5</f>
        <v>2.0755458515283847</v>
      </c>
      <c r="AX607" s="88" t="str">
        <f t="shared" ca="1" si="51"/>
        <v>AET</v>
      </c>
    </row>
    <row r="608" spans="1:70">
      <c r="A608" s="88" t="str">
        <f t="shared" ca="1" si="50"/>
        <v>AMZN</v>
      </c>
      <c r="F608" s="255">
        <v>1.25</v>
      </c>
      <c r="G608" s="255">
        <v>-2.6</v>
      </c>
      <c r="H608" s="255">
        <v>1.06</v>
      </c>
      <c r="I608" s="255">
        <v>1.78</v>
      </c>
      <c r="J608" s="255">
        <v>-2.9</v>
      </c>
      <c r="K608" s="255">
        <v>0.88</v>
      </c>
      <c r="L608" s="255">
        <v>3.44</v>
      </c>
      <c r="M608" s="255">
        <v>2.52</v>
      </c>
      <c r="N608" s="255">
        <v>2.52</v>
      </c>
      <c r="O608" s="255">
        <v>3.7</v>
      </c>
      <c r="P608" s="255">
        <v>-3.68</v>
      </c>
      <c r="Q608" s="255">
        <v>-1.23</v>
      </c>
      <c r="R608" s="255">
        <v>-1.1000000000000001</v>
      </c>
      <c r="S608" s="255">
        <v>-1.43</v>
      </c>
      <c r="T608" s="255">
        <v>3.44</v>
      </c>
      <c r="U608" s="255">
        <v>5.55</v>
      </c>
      <c r="V608" s="255">
        <v>-4.08</v>
      </c>
      <c r="W608" s="255">
        <v>-4.08</v>
      </c>
      <c r="X608" s="255">
        <v>3.14</v>
      </c>
      <c r="Y608" s="255">
        <v>3.12</v>
      </c>
      <c r="Z608" s="247">
        <f ca="1">[1]ExtEntry!$L6</f>
        <v>3.12</v>
      </c>
      <c r="AB608" s="309">
        <v>1.1906995882911824</v>
      </c>
      <c r="AC608" s="309">
        <v>1.1986169786400693</v>
      </c>
      <c r="AD608" s="309">
        <v>1.1928583148257266</v>
      </c>
      <c r="AE608" s="309">
        <v>1.1833115867092308</v>
      </c>
      <c r="AF608" s="309">
        <v>1.1989446038904836</v>
      </c>
      <c r="AG608" s="309">
        <v>1.1866729641987557</v>
      </c>
      <c r="AH608" s="309">
        <v>1.168547775508392</v>
      </c>
      <c r="AI608" s="309">
        <v>1.1556175024150348</v>
      </c>
      <c r="AJ608" s="309">
        <v>1.1556175024150348</v>
      </c>
      <c r="AK608" s="309">
        <v>1.1958937156359342</v>
      </c>
      <c r="AL608" s="309">
        <v>1.2162314801977911</v>
      </c>
      <c r="AM608" s="309">
        <v>1.2231842814649565</v>
      </c>
      <c r="AN608" s="309">
        <v>1.2271195505198864</v>
      </c>
      <c r="AO608" s="309">
        <v>1.2353564119414195</v>
      </c>
      <c r="AP608" s="309">
        <v>1.2157258407243166</v>
      </c>
      <c r="AQ608" s="309">
        <v>1.1853368013331533</v>
      </c>
      <c r="AR608" s="309">
        <v>1.2075261757283782</v>
      </c>
      <c r="AS608" s="309">
        <v>1.2230534526267494</v>
      </c>
      <c r="AT608" s="309">
        <v>1.2056832059342351</v>
      </c>
      <c r="AU608" s="309" t="e">
        <v>#N/A</v>
      </c>
      <c r="AV608" s="309">
        <f ca="1">Calc!AS6</f>
        <v>1.188905490388475</v>
      </c>
      <c r="AX608" s="88" t="str">
        <f t="shared" ca="1" si="51"/>
        <v>AMZN</v>
      </c>
    </row>
    <row r="609" spans="1:50" ht="24" customHeight="1">
      <c r="A609" s="88" t="str">
        <f t="shared" ca="1" si="50"/>
        <v>ALDNE</v>
      </c>
      <c r="F609" s="247">
        <v>5.6000000000000001E-2</v>
      </c>
      <c r="G609" s="247">
        <v>2E-3</v>
      </c>
      <c r="H609" s="247">
        <v>1.2E-2</v>
      </c>
      <c r="I609" s="247">
        <v>-0.01</v>
      </c>
      <c r="J609" s="247">
        <v>-2E-3</v>
      </c>
      <c r="K609" s="247">
        <v>0</v>
      </c>
      <c r="L609" s="247">
        <v>-1.7999999999999999E-2</v>
      </c>
      <c r="M609" s="247">
        <v>0</v>
      </c>
      <c r="N609" s="247">
        <v>0</v>
      </c>
      <c r="O609" s="247">
        <v>0</v>
      </c>
      <c r="P609" s="247">
        <v>2E-3</v>
      </c>
      <c r="Q609" s="247">
        <v>-2E-3</v>
      </c>
      <c r="R609" s="247">
        <v>-8.0000000000000002E-3</v>
      </c>
      <c r="S609" s="247">
        <v>0</v>
      </c>
      <c r="T609" s="247">
        <v>-0.01</v>
      </c>
      <c r="U609" s="247">
        <v>0.01</v>
      </c>
      <c r="V609" s="247">
        <v>0.01</v>
      </c>
      <c r="W609" s="247">
        <v>0.01</v>
      </c>
      <c r="X609" s="247">
        <v>-2E-3</v>
      </c>
      <c r="Y609" s="247">
        <v>-1.2E-2</v>
      </c>
      <c r="Z609" s="247">
        <f ca="1">[1]ExtEntry!$L7</f>
        <v>-1.2E-2</v>
      </c>
      <c r="AB609" s="309">
        <v>1.7705889145496536</v>
      </c>
      <c r="AC609" s="309">
        <v>1.7665092165898619</v>
      </c>
      <c r="AD609" s="309">
        <v>1.7424204545454547</v>
      </c>
      <c r="AE609" s="309">
        <v>1.762448275862069</v>
      </c>
      <c r="AF609" s="309">
        <v>1.7665092165898619</v>
      </c>
      <c r="AG609" s="309">
        <v>1.8253928571428573</v>
      </c>
      <c r="AH609" s="309">
        <v>1.8653649635036498</v>
      </c>
      <c r="AI609" s="309">
        <v>1.8653649635036498</v>
      </c>
      <c r="AJ609" s="309">
        <v>1.8653649635036498</v>
      </c>
      <c r="AK609" s="309">
        <v>1.8297494033412889</v>
      </c>
      <c r="AL609" s="309">
        <v>1.8253928571428573</v>
      </c>
      <c r="AM609" s="309">
        <v>1.8297494033412889</v>
      </c>
      <c r="AN609" s="309">
        <v>1.8473855421686749</v>
      </c>
      <c r="AO609" s="309">
        <v>1.8473855421686749</v>
      </c>
      <c r="AP609" s="309">
        <v>1.8699146341463417</v>
      </c>
      <c r="AQ609" s="309">
        <v>1.8473855421686749</v>
      </c>
      <c r="AR609" s="309">
        <v>1.8253928571428573</v>
      </c>
      <c r="AS609" s="309">
        <v>1.8253928571428573</v>
      </c>
      <c r="AT609" s="309">
        <v>1.8297494033412889</v>
      </c>
      <c r="AU609" s="309" t="e">
        <v>#N/A</v>
      </c>
      <c r="AV609" s="309">
        <f ca="1">Calc!AS7</f>
        <v>1.8563317191283295</v>
      </c>
      <c r="AX609" s="88" t="str">
        <f t="shared" ca="1" si="51"/>
        <v>ALDNE</v>
      </c>
    </row>
    <row r="610" spans="1:50">
      <c r="A610" s="88" t="str">
        <f t="shared" ca="1" si="50"/>
        <v>ASML</v>
      </c>
      <c r="F610" s="255">
        <v>12.7</v>
      </c>
      <c r="G610" s="255">
        <v>2.6</v>
      </c>
      <c r="H610" s="255">
        <v>13.3</v>
      </c>
      <c r="I610" s="255">
        <v>36.200000000000003</v>
      </c>
      <c r="J610" s="255">
        <v>2.5</v>
      </c>
      <c r="K610" s="255">
        <v>-22.5</v>
      </c>
      <c r="L610" s="255">
        <v>-23</v>
      </c>
      <c r="M610" s="255">
        <v>-2</v>
      </c>
      <c r="N610" s="255">
        <v>-7.5</v>
      </c>
      <c r="O610" s="255">
        <v>30.1</v>
      </c>
      <c r="P610" s="255">
        <v>2.6</v>
      </c>
      <c r="Q610" s="255">
        <v>26.4</v>
      </c>
      <c r="R610" s="255">
        <v>4.4000000000000004</v>
      </c>
      <c r="S610" s="255">
        <v>-1.7</v>
      </c>
      <c r="T610" s="255">
        <v>23.3</v>
      </c>
      <c r="U610" s="255">
        <v>-9.1999999999999993</v>
      </c>
      <c r="V610" s="255">
        <v>-19.7</v>
      </c>
      <c r="W610" s="255">
        <v>-19.7</v>
      </c>
      <c r="X610" s="255">
        <v>17.600000000000001</v>
      </c>
      <c r="Y610" s="255">
        <v>6.7</v>
      </c>
      <c r="Z610" s="247">
        <f ca="1">[1]ExtEntry!$L8</f>
        <v>6.7</v>
      </c>
      <c r="AB610" s="309">
        <v>0.9182313749242883</v>
      </c>
      <c r="AC610" s="309">
        <v>0.91534838787586037</v>
      </c>
      <c r="AD610" s="309">
        <v>0.90087948657000239</v>
      </c>
      <c r="AE610" s="309">
        <v>0.86371923427529629</v>
      </c>
      <c r="AF610" s="309">
        <v>0.86126576525394838</v>
      </c>
      <c r="AG610" s="309">
        <v>0.86648376771833568</v>
      </c>
      <c r="AH610" s="309">
        <v>0.88988025358065281</v>
      </c>
      <c r="AI610" s="309">
        <v>0.89197458225464821</v>
      </c>
      <c r="AJ610" s="309">
        <v>0.89991689421821208</v>
      </c>
      <c r="AK610" s="309">
        <v>0.8981042654028436</v>
      </c>
      <c r="AL610" s="309">
        <v>0.89534609024332623</v>
      </c>
      <c r="AM610" s="309">
        <v>0.86827033218785798</v>
      </c>
      <c r="AN610" s="309">
        <v>0.86391611579667205</v>
      </c>
      <c r="AO610" s="309">
        <v>0.86559323969395907</v>
      </c>
      <c r="AP610" s="309">
        <v>0.84315906562847609</v>
      </c>
      <c r="AQ610" s="309">
        <v>0.85187682625309058</v>
      </c>
      <c r="AR610" s="309">
        <v>0.87116423399609233</v>
      </c>
      <c r="AS610" s="309">
        <v>1.0043710607976095</v>
      </c>
      <c r="AT610" s="309">
        <v>0.98445787991438549</v>
      </c>
      <c r="AU610" s="309" t="e">
        <v>#N/A</v>
      </c>
      <c r="AV610" s="309">
        <f ca="1">Calc!AS8</f>
        <v>0.97708325134168161</v>
      </c>
      <c r="AX610" s="88" t="str">
        <f t="shared" ca="1" si="51"/>
        <v>ASML</v>
      </c>
    </row>
    <row r="611" spans="1:50">
      <c r="A611" s="88" t="str">
        <f t="shared" ca="1" si="50"/>
        <v>AZN</v>
      </c>
      <c r="F611" s="255">
        <v>-3.31</v>
      </c>
      <c r="G611" s="255">
        <v>2.0099999999999998</v>
      </c>
      <c r="H611" s="255">
        <v>3.48</v>
      </c>
      <c r="I611" s="255">
        <v>4.79</v>
      </c>
      <c r="J611" s="255">
        <v>0.19</v>
      </c>
      <c r="K611" s="255">
        <v>0.92</v>
      </c>
      <c r="L611" s="255">
        <v>9.09</v>
      </c>
      <c r="M611" s="255">
        <v>-0.48</v>
      </c>
      <c r="N611" s="255">
        <v>-0.48</v>
      </c>
      <c r="O611" s="255">
        <v>32.07</v>
      </c>
      <c r="P611" s="255">
        <v>-12.57</v>
      </c>
      <c r="Q611" s="255">
        <v>6.66</v>
      </c>
      <c r="R611" s="255">
        <v>2.82</v>
      </c>
      <c r="S611" s="255">
        <v>-4.82</v>
      </c>
      <c r="T611" s="255">
        <v>-0.09</v>
      </c>
      <c r="U611" s="255">
        <v>-6.58</v>
      </c>
      <c r="V611" s="255">
        <v>-2.36</v>
      </c>
      <c r="W611" s="255">
        <v>-2.36</v>
      </c>
      <c r="X611" s="255">
        <v>3.99</v>
      </c>
      <c r="Y611" s="255">
        <v>9.84</v>
      </c>
      <c r="Z611" s="247">
        <f ca="1">[1]ExtEntry!$L9</f>
        <v>-0.11</v>
      </c>
      <c r="AB611" s="309">
        <v>1.0719763299317673</v>
      </c>
      <c r="AC611" s="309">
        <v>0.26452668909702642</v>
      </c>
      <c r="AD611" s="309">
        <v>1.0649989501784698</v>
      </c>
      <c r="AE611" s="309">
        <v>1.0499142468507896</v>
      </c>
      <c r="AF611" s="309">
        <v>1.0493247037266897</v>
      </c>
      <c r="AG611" s="309">
        <v>1.0554383044499271</v>
      </c>
      <c r="AH611" s="309">
        <v>1.0276700434153401</v>
      </c>
      <c r="AI611" s="309">
        <v>1.0290997623326184</v>
      </c>
      <c r="AJ611" s="309">
        <v>1.0290997623326184</v>
      </c>
      <c r="AK611" s="309">
        <v>0.99540229885057474</v>
      </c>
      <c r="AL611" s="309">
        <v>1.031761253014849</v>
      </c>
      <c r="AM611" s="309">
        <v>1.0121725248724307</v>
      </c>
      <c r="AN611" s="309">
        <v>1.002569532683891</v>
      </c>
      <c r="AO611" s="309">
        <v>1.0164028282712623</v>
      </c>
      <c r="AP611" s="309">
        <v>1.0166647577597068</v>
      </c>
      <c r="AQ611" s="309">
        <v>1.0361874744644837</v>
      </c>
      <c r="AR611" s="309">
        <v>1.0433734939759036</v>
      </c>
      <c r="AS611" s="309">
        <v>1.0883482221569203</v>
      </c>
      <c r="AT611" s="309">
        <v>1.0757352813035521</v>
      </c>
      <c r="AU611" s="309" t="e">
        <v>#N/A</v>
      </c>
      <c r="AV611" s="309">
        <f ca="1">Calc!AS9</f>
        <v>1.0778004562372432</v>
      </c>
      <c r="AX611" s="88" t="str">
        <f t="shared" ca="1" si="51"/>
        <v>AZN</v>
      </c>
    </row>
    <row r="612" spans="1:50" hidden="1">
      <c r="A612" s="88" t="str">
        <f t="shared" ca="1" si="50"/>
        <v>BLDP</v>
      </c>
      <c r="F612" s="255">
        <v>0.2</v>
      </c>
      <c r="G612" s="255">
        <v>2.59</v>
      </c>
      <c r="H612" s="255">
        <v>7.64</v>
      </c>
      <c r="I612" s="255">
        <v>-0.71</v>
      </c>
      <c r="J612" s="255">
        <v>1.66</v>
      </c>
      <c r="K612" s="255">
        <v>0.38</v>
      </c>
      <c r="L612" s="255">
        <v>-0.49</v>
      </c>
      <c r="M612" s="255">
        <v>-0.34</v>
      </c>
      <c r="N612" s="255">
        <v>-0.34</v>
      </c>
      <c r="O612" s="255">
        <v>-0.02</v>
      </c>
      <c r="P612" s="255">
        <v>0.61</v>
      </c>
      <c r="Q612" s="255">
        <v>-0.17499999999999999</v>
      </c>
      <c r="R612" s="255">
        <v>-1</v>
      </c>
      <c r="S612" s="255">
        <v>0.86</v>
      </c>
      <c r="T612" s="255">
        <v>-0.82</v>
      </c>
      <c r="U612" s="255">
        <v>-0.65</v>
      </c>
      <c r="V612" s="255">
        <v>0.21</v>
      </c>
      <c r="W612" s="255">
        <v>0.21</v>
      </c>
      <c r="X612" s="255">
        <v>-0.03</v>
      </c>
      <c r="Y612" s="255">
        <v>-0.11</v>
      </c>
      <c r="Z612" s="247">
        <f ca="1">[1]ExtEntry!$L10</f>
        <v>0.16</v>
      </c>
      <c r="AB612" s="309">
        <v>1.1799621416982153</v>
      </c>
      <c r="AC612" s="309">
        <v>1.1375130344108446</v>
      </c>
      <c r="AD612" s="309">
        <v>1.0344950213371265</v>
      </c>
      <c r="AE612" s="309">
        <v>1.0432755528989837</v>
      </c>
      <c r="AF612" s="309">
        <v>1.0229750322353768</v>
      </c>
      <c r="AG612" s="309">
        <v>1.0163037149178991</v>
      </c>
      <c r="AH612" s="309">
        <v>1.022136331693605</v>
      </c>
      <c r="AI612" s="309">
        <v>1.0262229539040451</v>
      </c>
      <c r="AJ612" s="309">
        <v>1.0262229539040451</v>
      </c>
      <c r="AK612" s="309">
        <v>1.032658856940007</v>
      </c>
      <c r="AL612" s="309">
        <v>1.0252584586466165</v>
      </c>
      <c r="AM612" s="309">
        <v>1.0273706515980929</v>
      </c>
      <c r="AN612" s="309">
        <v>1.0410354288440893</v>
      </c>
      <c r="AO612" s="309">
        <v>1.030464045341835</v>
      </c>
      <c r="AP612" s="309">
        <v>1.040538929295338</v>
      </c>
      <c r="AQ612" s="309">
        <v>1.0486661860129776</v>
      </c>
      <c r="AR612" s="309">
        <v>1.0460266091334052</v>
      </c>
      <c r="AS612" s="309">
        <v>1.0759918494546326</v>
      </c>
      <c r="AT612" s="309">
        <v>1.0763788968824939</v>
      </c>
      <c r="AU612" s="309" t="e">
        <v>#N/A</v>
      </c>
      <c r="AV612" s="308">
        <f ca="1">Calc!AS10</f>
        <v>0.7071220930232559</v>
      </c>
      <c r="AX612" s="88" t="str">
        <f t="shared" ca="1" si="51"/>
        <v>BLDP</v>
      </c>
    </row>
    <row r="613" spans="1:50" hidden="1">
      <c r="A613" s="88" t="str">
        <f t="shared" ca="1" si="50"/>
        <v>BMRA</v>
      </c>
      <c r="F613" s="255">
        <v>-4.5100000000000001E-2</v>
      </c>
      <c r="G613" s="255">
        <v>-0.02</v>
      </c>
      <c r="H613" s="255">
        <v>0.24</v>
      </c>
      <c r="I613" s="255">
        <v>-0.09</v>
      </c>
      <c r="J613" s="255">
        <v>0.66</v>
      </c>
      <c r="K613" s="255">
        <v>-0.02</v>
      </c>
      <c r="L613" s="255">
        <v>-0.02</v>
      </c>
      <c r="M613" s="255">
        <v>-0.02</v>
      </c>
      <c r="N613" s="255">
        <v>-0.02</v>
      </c>
      <c r="O613" s="255">
        <v>0.22</v>
      </c>
      <c r="P613" s="255">
        <v>0.49</v>
      </c>
      <c r="Q613" s="255">
        <v>-0.20499999999999999</v>
      </c>
      <c r="R613" s="255">
        <v>-0.09</v>
      </c>
      <c r="S613" s="255">
        <v>-0.04</v>
      </c>
      <c r="T613" s="255">
        <v>0.01</v>
      </c>
      <c r="U613" s="255">
        <v>-0.31</v>
      </c>
      <c r="V613" s="255">
        <v>-0.05</v>
      </c>
      <c r="W613" s="255">
        <v>-0.05</v>
      </c>
      <c r="X613" s="255">
        <v>0</v>
      </c>
      <c r="Y613" s="255">
        <v>0.16</v>
      </c>
      <c r="Z613" s="247">
        <f ca="1">[1]ExtEntry!$L11</f>
        <v>0.05</v>
      </c>
      <c r="AB613" s="309">
        <v>0.85616104107360724</v>
      </c>
      <c r="AC613" s="309">
        <v>32.084558823529406</v>
      </c>
      <c r="AD613" s="309">
        <v>0.78237500000000004</v>
      </c>
      <c r="AE613" s="309">
        <v>0.80690940766550523</v>
      </c>
      <c r="AF613" s="309">
        <v>0.65604249291784711</v>
      </c>
      <c r="AG613" s="309">
        <v>0.63796969696969696</v>
      </c>
      <c r="AH613" s="309">
        <v>0.64150415512465375</v>
      </c>
      <c r="AI613" s="309">
        <v>0.6450779944289694</v>
      </c>
      <c r="AJ613" s="309">
        <v>0.6450779944289694</v>
      </c>
      <c r="AK613" s="309">
        <v>0.66356160458452718</v>
      </c>
      <c r="AL613" s="309">
        <v>0.58186683417085427</v>
      </c>
      <c r="AM613" s="309">
        <v>0.61346490066225168</v>
      </c>
      <c r="AN613" s="309">
        <v>0.63101634877384194</v>
      </c>
      <c r="AO613" s="309">
        <v>0.63796969696969696</v>
      </c>
      <c r="AP613" s="309">
        <v>0.63621703296703291</v>
      </c>
      <c r="AQ613" s="309">
        <v>0.69544444444444442</v>
      </c>
      <c r="AR613" s="309">
        <v>0.7060457317073171</v>
      </c>
      <c r="AS613" s="309">
        <v>0.74161585365853666</v>
      </c>
      <c r="AT613" s="309">
        <v>0.74161585365853666</v>
      </c>
      <c r="AU613" s="309" t="e">
        <v>#N/A</v>
      </c>
      <c r="AV613" s="308">
        <f ca="1">Calc!AS11</f>
        <v>0</v>
      </c>
      <c r="AX613" s="88" t="str">
        <f t="shared" ca="1" si="51"/>
        <v>BMRA</v>
      </c>
    </row>
    <row r="614" spans="1:50" hidden="1">
      <c r="A614" s="88" t="str">
        <f t="shared" ca="1" si="50"/>
        <v>C</v>
      </c>
      <c r="F614" s="255">
        <v>0</v>
      </c>
      <c r="G614" s="255">
        <v>-0.02</v>
      </c>
      <c r="H614" s="255">
        <v>-0.01</v>
      </c>
      <c r="I614" s="255">
        <v>-0.06</v>
      </c>
      <c r="J614" s="255">
        <v>0.04</v>
      </c>
      <c r="K614" s="255">
        <v>-0.06</v>
      </c>
      <c r="L614" s="255">
        <v>0.04</v>
      </c>
      <c r="M614" s="255">
        <v>7.0000000000000007E-2</v>
      </c>
      <c r="N614" s="255">
        <v>7.0000000000000007E-2</v>
      </c>
      <c r="O614" s="255">
        <v>0</v>
      </c>
      <c r="P614" s="255">
        <v>0.08</v>
      </c>
      <c r="Q614" s="255">
        <v>-0.02</v>
      </c>
      <c r="R614" s="255">
        <v>0.15</v>
      </c>
      <c r="S614" s="255">
        <v>-0.03</v>
      </c>
      <c r="T614" s="255">
        <v>0.14000000000000001</v>
      </c>
      <c r="U614" s="255">
        <v>0.08</v>
      </c>
      <c r="V614" s="255">
        <v>-0.27</v>
      </c>
      <c r="W614" s="255">
        <v>-0.25</v>
      </c>
      <c r="X614" s="255">
        <v>-0.02</v>
      </c>
      <c r="Y614" s="255">
        <v>0.05</v>
      </c>
      <c r="Z614" s="247">
        <f ca="1">[1]ExtEntry!$L12</f>
        <v>2.09</v>
      </c>
      <c r="AB614" s="309">
        <v>0</v>
      </c>
      <c r="AC614" s="309">
        <v>0.8183144876325088</v>
      </c>
      <c r="AD614" s="309">
        <v>0</v>
      </c>
      <c r="AE614" s="309">
        <v>0</v>
      </c>
      <c r="AF614" s="309">
        <v>0</v>
      </c>
      <c r="AG614" s="309">
        <v>0</v>
      </c>
      <c r="AH614" s="309">
        <v>0</v>
      </c>
      <c r="AI614" s="309">
        <v>0</v>
      </c>
      <c r="AJ614" s="309">
        <v>0</v>
      </c>
      <c r="AK614" s="309">
        <v>0</v>
      </c>
      <c r="AL614" s="309">
        <v>0</v>
      </c>
      <c r="AM614" s="309">
        <v>0</v>
      </c>
      <c r="AN614" s="309">
        <v>0</v>
      </c>
      <c r="AO614" s="309">
        <v>0</v>
      </c>
      <c r="AP614" s="309">
        <v>0</v>
      </c>
      <c r="AQ614" s="309">
        <v>0</v>
      </c>
      <c r="AR614" s="309">
        <v>0</v>
      </c>
      <c r="AS614" s="309">
        <v>0</v>
      </c>
      <c r="AT614" s="309">
        <v>0</v>
      </c>
      <c r="AU614" s="309" t="e">
        <v>#N/A</v>
      </c>
      <c r="AV614" s="308">
        <f ca="1">Calc!AS12</f>
        <v>1.0067827495444421</v>
      </c>
      <c r="AX614" s="88" t="str">
        <f t="shared" ca="1" si="51"/>
        <v>C</v>
      </c>
    </row>
    <row r="615" spans="1:50" hidden="1">
      <c r="A615" s="88" t="str">
        <f t="shared" ca="1" si="50"/>
        <v>CSCO</v>
      </c>
      <c r="F615" s="255">
        <v>-0.28000000000000003</v>
      </c>
      <c r="G615" s="255">
        <v>-1.67</v>
      </c>
      <c r="H615" s="255">
        <v>-2.79</v>
      </c>
      <c r="I615" s="255">
        <v>-1.39</v>
      </c>
      <c r="J615" s="255">
        <v>0.375</v>
      </c>
      <c r="K615" s="255">
        <v>-0.25</v>
      </c>
      <c r="L615" s="255">
        <v>-1.08</v>
      </c>
      <c r="M615" s="255">
        <v>-0.78</v>
      </c>
      <c r="N615" s="255">
        <v>-0.78</v>
      </c>
      <c r="O615" s="255">
        <v>2.15</v>
      </c>
      <c r="P615" s="255">
        <v>3.71</v>
      </c>
      <c r="Q615" s="255">
        <v>-0.59299999999999997</v>
      </c>
      <c r="R615" s="255">
        <v>-3.5</v>
      </c>
      <c r="S615" s="255">
        <v>0.81</v>
      </c>
      <c r="T615" s="255">
        <v>2.2200000000000002</v>
      </c>
      <c r="U615" s="255">
        <v>-1.05</v>
      </c>
      <c r="V615" s="255">
        <v>-1.93</v>
      </c>
      <c r="W615" s="255">
        <v>-1.93</v>
      </c>
      <c r="X615" s="255">
        <v>0.36</v>
      </c>
      <c r="Y615" s="255">
        <v>2.105</v>
      </c>
      <c r="Z615" s="247">
        <f ca="1">[1]ExtEntry!$L13</f>
        <v>0.36</v>
      </c>
      <c r="AB615" s="309">
        <v>0.98456098506883838</v>
      </c>
      <c r="AC615" s="309">
        <v>0</v>
      </c>
      <c r="AD615" s="309">
        <v>1.0287470367743896</v>
      </c>
      <c r="AE615" s="309">
        <v>1.0434404027949034</v>
      </c>
      <c r="AF615" s="309">
        <v>1.0392224325845569</v>
      </c>
      <c r="AG615" s="309">
        <v>1.0383192229038856</v>
      </c>
      <c r="AH615" s="309">
        <v>1.0499133581472291</v>
      </c>
      <c r="AI615" s="309">
        <v>1.0586699332777314</v>
      </c>
      <c r="AJ615" s="309">
        <v>1.0586699332777314</v>
      </c>
      <c r="AK615" s="309">
        <v>1.0569069525395502</v>
      </c>
      <c r="AL615" s="309">
        <v>1.0174092776274921</v>
      </c>
      <c r="AM615" s="309">
        <v>1.0231807510554474</v>
      </c>
      <c r="AN615" s="309">
        <v>1.0547114665558786</v>
      </c>
      <c r="AO615" s="309">
        <v>1.046127742865973</v>
      </c>
      <c r="AP615" s="309">
        <v>1.0227376372242925</v>
      </c>
      <c r="AQ615" s="309">
        <v>1.0335635623409669</v>
      </c>
      <c r="AR615" s="309">
        <v>1.0542734634551496</v>
      </c>
      <c r="AS615" s="309">
        <v>1.1487007890365448</v>
      </c>
      <c r="AT615" s="309">
        <v>1.1446602524312022</v>
      </c>
      <c r="AU615" s="309" t="e">
        <v>#N/A</v>
      </c>
      <c r="AV615" s="308">
        <f ca="1">Calc!AS13</f>
        <v>1.0801493699561093</v>
      </c>
      <c r="AX615" s="88" t="str">
        <f t="shared" ca="1" si="51"/>
        <v>CSCO</v>
      </c>
    </row>
    <row r="616" spans="1:50" hidden="1">
      <c r="A616" s="88" t="str">
        <f t="shared" ca="1" si="50"/>
        <v>CVS</v>
      </c>
      <c r="F616" s="255">
        <v>0.30499999999999999</v>
      </c>
      <c r="G616" s="255">
        <v>0.7</v>
      </c>
      <c r="H616" s="255">
        <v>0.33</v>
      </c>
      <c r="I616" s="255">
        <v>-0.44</v>
      </c>
      <c r="J616" s="255">
        <v>0.02</v>
      </c>
      <c r="K616" s="255">
        <v>7.4999999999999997E-2</v>
      </c>
      <c r="L616" s="255">
        <v>1.345</v>
      </c>
      <c r="M616" s="255">
        <v>-0.37</v>
      </c>
      <c r="N616" s="255">
        <v>-0.37</v>
      </c>
      <c r="O616" s="255">
        <v>-0.48</v>
      </c>
      <c r="P616" s="255">
        <v>1.2</v>
      </c>
      <c r="Q616" s="255">
        <v>0.76500000000000001</v>
      </c>
      <c r="R616" s="255">
        <v>-0.43</v>
      </c>
      <c r="S616" s="255">
        <v>1.04</v>
      </c>
      <c r="T616" s="255">
        <v>0.52</v>
      </c>
      <c r="U616" s="255">
        <v>7.0000000000000007E-2</v>
      </c>
      <c r="V616" s="255">
        <v>-0.06</v>
      </c>
      <c r="W616" s="255">
        <v>-0.06</v>
      </c>
      <c r="X616" s="255">
        <v>-0.39</v>
      </c>
      <c r="Y616" s="255">
        <v>0.36</v>
      </c>
      <c r="Z616" s="247">
        <f ca="1">[1]ExtEntry!$L14</f>
        <v>0.86</v>
      </c>
      <c r="AB616" s="309">
        <v>1.1227657904479822</v>
      </c>
      <c r="AC616" s="309">
        <v>1.4841803566208709</v>
      </c>
      <c r="AD616" s="309">
        <v>1.1027601454545455</v>
      </c>
      <c r="AE616" s="309">
        <v>1.1098632703850095</v>
      </c>
      <c r="AF616" s="309">
        <v>1.1162361601884572</v>
      </c>
      <c r="AG616" s="309">
        <v>1.0990035514967023</v>
      </c>
      <c r="AH616" s="309">
        <v>1.0779860656903173</v>
      </c>
      <c r="AI616" s="309">
        <v>1.0836872498570613</v>
      </c>
      <c r="AJ616" s="309">
        <v>1.0836872498570613</v>
      </c>
      <c r="AK616" s="309">
        <v>1.123847613400534</v>
      </c>
      <c r="AL616" s="309">
        <v>1.1042056510340812</v>
      </c>
      <c r="AM616" s="309">
        <v>1.0920383147281241</v>
      </c>
      <c r="AN616" s="309">
        <v>1.0973333333333333</v>
      </c>
      <c r="AO616" s="309">
        <v>1.0810603165549695</v>
      </c>
      <c r="AP616" s="309">
        <v>1.0731034677990092</v>
      </c>
      <c r="AQ616" s="309">
        <v>1.0720412895927602</v>
      </c>
      <c r="AR616" s="309">
        <v>1.0729515992074725</v>
      </c>
      <c r="AS616" s="309">
        <v>1.0796907727144069</v>
      </c>
      <c r="AT616" s="309">
        <v>1.0856830795503059</v>
      </c>
      <c r="AU616" s="309" t="e">
        <v>#N/A</v>
      </c>
      <c r="AV616" s="308">
        <f ca="1">Calc!AS14</f>
        <v>1.0227226901013058</v>
      </c>
      <c r="AX616" s="88" t="str">
        <f t="shared" ca="1" si="51"/>
        <v>CVS</v>
      </c>
    </row>
    <row r="617" spans="1:50" hidden="1">
      <c r="A617" s="88" t="str">
        <f t="shared" ca="1" si="50"/>
        <v>DDD</v>
      </c>
      <c r="F617" s="255">
        <v>-0.17</v>
      </c>
      <c r="G617" s="255">
        <v>-0.17</v>
      </c>
      <c r="H617" s="255">
        <v>1.47</v>
      </c>
      <c r="I617" s="255">
        <v>0.56999999999999995</v>
      </c>
      <c r="J617" s="255">
        <v>0.04</v>
      </c>
      <c r="K617" s="255">
        <v>0.28000000000000003</v>
      </c>
      <c r="L617" s="255">
        <v>-0.17</v>
      </c>
      <c r="M617" s="255">
        <v>-0.18</v>
      </c>
      <c r="N617" s="255">
        <v>-0.19</v>
      </c>
      <c r="O617" s="255">
        <v>0.55000000000000004</v>
      </c>
      <c r="P617" s="255">
        <v>1.24</v>
      </c>
      <c r="Q617" s="255">
        <v>1.45</v>
      </c>
      <c r="R617" s="255">
        <v>0.73</v>
      </c>
      <c r="S617" s="255">
        <v>1.1499999999999999</v>
      </c>
      <c r="T617" s="255">
        <v>-7.0000000000000007E-2</v>
      </c>
      <c r="U617" s="255">
        <v>0.54</v>
      </c>
      <c r="V617" s="255">
        <v>-1</v>
      </c>
      <c r="W617" s="255">
        <v>-1</v>
      </c>
      <c r="X617" s="255">
        <v>-0.27500000000000002</v>
      </c>
      <c r="Y617" s="255">
        <v>0.83</v>
      </c>
      <c r="Z617" s="247">
        <f ca="1">[1]ExtEntry!$L15</f>
        <v>0.05</v>
      </c>
      <c r="AB617" s="309">
        <v>1.0856150793650796</v>
      </c>
      <c r="AC617" s="309">
        <v>1.0055007957559683</v>
      </c>
      <c r="AD617" s="309">
        <v>1.0678181108508977</v>
      </c>
      <c r="AE617" s="309">
        <v>1.0598205061983472</v>
      </c>
      <c r="AF617" s="309">
        <v>1.0591366627951995</v>
      </c>
      <c r="AG617" s="309">
        <v>1.0642181016597509</v>
      </c>
      <c r="AH617" s="309">
        <v>1.0665692007797272</v>
      </c>
      <c r="AI617" s="309">
        <v>1.0693485342019544</v>
      </c>
      <c r="AJ617" s="309">
        <v>1.0694878811571542</v>
      </c>
      <c r="AK617" s="309">
        <v>1.0461759082217974</v>
      </c>
      <c r="AL617" s="309">
        <v>1.0300263554216866</v>
      </c>
      <c r="AM617" s="309">
        <v>1.0118666009123414</v>
      </c>
      <c r="AN617" s="309">
        <v>1.0082616707616707</v>
      </c>
      <c r="AO617" s="309">
        <v>0.99457707222491532</v>
      </c>
      <c r="AP617" s="309">
        <v>0.99542146755609462</v>
      </c>
      <c r="AQ617" s="309">
        <v>0.98858708744880763</v>
      </c>
      <c r="AR617" s="309">
        <v>1.0003961482203803</v>
      </c>
      <c r="AS617" s="309">
        <v>1.0213514139444173</v>
      </c>
      <c r="AT617" s="309">
        <v>1.0335718514863699</v>
      </c>
      <c r="AU617" s="309" t="e">
        <v>#N/A</v>
      </c>
      <c r="AV617" s="308">
        <f ca="1">Calc!AS15</f>
        <v>1.0383386581469649</v>
      </c>
      <c r="AX617" s="88" t="str">
        <f t="shared" ca="1" si="51"/>
        <v>DDD</v>
      </c>
    </row>
    <row r="618" spans="1:50" hidden="1">
      <c r="A618" s="88" t="str">
        <f t="shared" ca="1" si="50"/>
        <v>DIS</v>
      </c>
      <c r="F618" s="255">
        <v>-0.14000000000000001</v>
      </c>
      <c r="G618" s="255">
        <v>-0.06</v>
      </c>
      <c r="H618" s="255">
        <v>-3.5000000000000003E-2</v>
      </c>
      <c r="I618" s="255">
        <v>0.125</v>
      </c>
      <c r="J618" s="255">
        <v>0.13</v>
      </c>
      <c r="K618" s="255">
        <v>-3.5000000000000003E-2</v>
      </c>
      <c r="L618" s="255">
        <v>0.105</v>
      </c>
      <c r="M618" s="255">
        <v>-0.05</v>
      </c>
      <c r="N618" s="255">
        <v>-0.05</v>
      </c>
      <c r="O618" s="255">
        <v>0.22</v>
      </c>
      <c r="P618" s="255">
        <v>-0.03</v>
      </c>
      <c r="Q618" s="255">
        <v>0.17</v>
      </c>
      <c r="R618" s="255">
        <v>-0.01</v>
      </c>
      <c r="S618" s="255">
        <v>-0.15</v>
      </c>
      <c r="T618" s="255">
        <v>0.67500000000000004</v>
      </c>
      <c r="U618" s="255">
        <v>-0.41</v>
      </c>
      <c r="V618" s="255">
        <v>-0.375</v>
      </c>
      <c r="W618" s="255">
        <v>-0.375</v>
      </c>
      <c r="X618" s="255">
        <v>6.5000000000000002E-2</v>
      </c>
      <c r="Y618" s="255">
        <v>4.4999999999999998E-2</v>
      </c>
      <c r="Z618" s="247">
        <f ca="1">[1]ExtEntry!$L16</f>
        <v>-1.35</v>
      </c>
      <c r="AB618" s="309">
        <v>1.0942760942760943</v>
      </c>
      <c r="AC618" s="309">
        <v>28.300862068965518</v>
      </c>
      <c r="AD618" s="309">
        <v>1.1343804537521813</v>
      </c>
      <c r="AE618" s="309">
        <v>1.0851419031719531</v>
      </c>
      <c r="AF618" s="309">
        <v>1.0416666666666667</v>
      </c>
      <c r="AG618" s="309">
        <v>1.0366826156299842</v>
      </c>
      <c r="AH618" s="309">
        <v>1.0015408320493067</v>
      </c>
      <c r="AI618" s="309">
        <v>1.0220125786163521</v>
      </c>
      <c r="AJ618" s="309">
        <v>1.0220125786163521</v>
      </c>
      <c r="AK618" s="309">
        <v>1.045016077170418</v>
      </c>
      <c r="AL618" s="309">
        <v>1.0551948051948052</v>
      </c>
      <c r="AM618" s="309">
        <v>1</v>
      </c>
      <c r="AN618" s="309">
        <v>0.99693251533742333</v>
      </c>
      <c r="AO618" s="309">
        <v>1.045016077170418</v>
      </c>
      <c r="AP618" s="309">
        <v>0.85865257595772781</v>
      </c>
      <c r="AQ618" s="309">
        <v>0.96439169139465875</v>
      </c>
      <c r="AR618" s="309">
        <v>1.08153078202995</v>
      </c>
      <c r="AS618" s="309">
        <v>1.08153078202995</v>
      </c>
      <c r="AT618" s="309">
        <v>1.056910569105691</v>
      </c>
      <c r="AU618" s="309" t="e">
        <v>#N/A</v>
      </c>
      <c r="AV618" s="308">
        <f ca="1">Calc!AS16</f>
        <v>1.1995787965616047</v>
      </c>
      <c r="AX618" s="88" t="str">
        <f t="shared" ca="1" si="51"/>
        <v>DIS</v>
      </c>
    </row>
    <row r="619" spans="1:50" hidden="1">
      <c r="A619" s="88" t="str">
        <f t="shared" ca="1" si="50"/>
        <v>DSY</v>
      </c>
      <c r="F619" s="255">
        <v>0.82499999999999996</v>
      </c>
      <c r="G619" s="255">
        <v>-0.3</v>
      </c>
      <c r="H619" s="255">
        <v>-1.5649999999999999</v>
      </c>
      <c r="I619" s="255">
        <v>-0.79</v>
      </c>
      <c r="J619" s="255">
        <v>0.35</v>
      </c>
      <c r="K619" s="255">
        <v>-0.18</v>
      </c>
      <c r="L619" s="255">
        <v>-0.64</v>
      </c>
      <c r="M619" s="255">
        <v>-0.9</v>
      </c>
      <c r="N619" s="255">
        <v>-0.9</v>
      </c>
      <c r="O619" s="255">
        <v>1.1000000000000001</v>
      </c>
      <c r="P619" s="255">
        <v>0.89500000000000002</v>
      </c>
      <c r="Q619" s="255">
        <v>0.83499999999999996</v>
      </c>
      <c r="R619" s="255">
        <v>-1.8149999999999999</v>
      </c>
      <c r="S619" s="255">
        <v>0.79</v>
      </c>
      <c r="T619" s="255">
        <v>1.31</v>
      </c>
      <c r="U619" s="255">
        <v>2.35</v>
      </c>
      <c r="V619" s="255">
        <v>-1.2</v>
      </c>
      <c r="W619" s="255">
        <v>-1.2</v>
      </c>
      <c r="X619" s="255">
        <v>-0.06</v>
      </c>
      <c r="Y619" s="255">
        <v>-1.36</v>
      </c>
      <c r="Z619" s="247">
        <f ca="1">[1]ExtEntry!$L17</f>
        <v>-0.52</v>
      </c>
      <c r="AB619" s="309">
        <v>1.1568829782580166</v>
      </c>
      <c r="AC619" s="309">
        <v>2.8389238294898672E-2</v>
      </c>
      <c r="AD619" s="309">
        <v>1.1708145393367868</v>
      </c>
      <c r="AE619" s="309">
        <v>1.1789046005706134</v>
      </c>
      <c r="AF619" s="309">
        <v>1.1754461729931551</v>
      </c>
      <c r="AG619" s="309">
        <v>1.1746108199342633</v>
      </c>
      <c r="AH619" s="309">
        <v>1.1817493967289303</v>
      </c>
      <c r="AI619" s="309">
        <v>1.1913320118929636</v>
      </c>
      <c r="AJ619" s="309">
        <v>1.1913320118929636</v>
      </c>
      <c r="AK619" s="309">
        <v>1.1988932813491704</v>
      </c>
      <c r="AL619" s="309">
        <v>1.1894565735618225</v>
      </c>
      <c r="AM619" s="309">
        <v>1.1805360474978797</v>
      </c>
      <c r="AN619" s="309">
        <v>1.203202511488239</v>
      </c>
      <c r="AO619" s="309">
        <v>1.194776723592663</v>
      </c>
      <c r="AP619" s="309">
        <v>1.1807996070726916</v>
      </c>
      <c r="AQ619" s="309">
        <v>1.1567311696264544</v>
      </c>
      <c r="AR619" s="309">
        <v>1.1691064544650753</v>
      </c>
      <c r="AS619" s="309">
        <v>1.1845177718832893</v>
      </c>
      <c r="AT619" s="309">
        <v>1.1853562201380288</v>
      </c>
      <c r="AU619" s="309" t="e">
        <v>#N/A</v>
      </c>
      <c r="AV619" s="308">
        <f ca="1">Calc!AS17</f>
        <v>1.3841961852861036</v>
      </c>
      <c r="AX619" s="88" t="str">
        <f t="shared" ca="1" si="51"/>
        <v>DSY</v>
      </c>
    </row>
    <row r="620" spans="1:50" hidden="1">
      <c r="A620" s="88" t="str">
        <f t="shared" ca="1" si="50"/>
        <v>DVA</v>
      </c>
      <c r="F620" s="255">
        <v>0.25</v>
      </c>
      <c r="G620" s="255">
        <v>0.2</v>
      </c>
      <c r="H620" s="255">
        <v>-0.05</v>
      </c>
      <c r="I620" s="255">
        <v>0.91</v>
      </c>
      <c r="J620" s="255">
        <v>-0.18</v>
      </c>
      <c r="K620" s="255">
        <v>-0.17</v>
      </c>
      <c r="L620" s="255">
        <v>-0.28000000000000003</v>
      </c>
      <c r="M620" s="255">
        <v>0.16</v>
      </c>
      <c r="N620" s="255">
        <v>0.43</v>
      </c>
      <c r="O620" s="255">
        <v>0.31</v>
      </c>
      <c r="P620" s="255">
        <v>-0.46</v>
      </c>
      <c r="Q620" s="255">
        <v>0.53</v>
      </c>
      <c r="R620" s="255">
        <v>0.5</v>
      </c>
      <c r="S620" s="255">
        <v>-0.05</v>
      </c>
      <c r="T620" s="255">
        <v>0.45</v>
      </c>
      <c r="U620" s="255">
        <v>0.49</v>
      </c>
      <c r="V620" s="255">
        <v>-0.15</v>
      </c>
      <c r="W620" s="255">
        <v>-0.15</v>
      </c>
      <c r="X620" s="255">
        <v>-3.91</v>
      </c>
      <c r="Y620" s="255">
        <v>-0.52</v>
      </c>
      <c r="Z620" s="247">
        <f ca="1">[1]ExtEntry!$L18</f>
        <v>1.17</v>
      </c>
      <c r="AB620" s="309">
        <v>1.2562306605439775</v>
      </c>
      <c r="AC620" s="309">
        <v>4.637879340582252</v>
      </c>
      <c r="AD620" s="309">
        <v>1.2496096275474349</v>
      </c>
      <c r="AE620" s="309">
        <v>1.2108917262512768</v>
      </c>
      <c r="AF620" s="309">
        <v>1.2183586844809866</v>
      </c>
      <c r="AG620" s="309">
        <v>1.2242302925989672</v>
      </c>
      <c r="AH620" s="309">
        <v>1.2361449426485924</v>
      </c>
      <c r="AI620" s="309">
        <v>1.2293083304528172</v>
      </c>
      <c r="AJ620" s="309">
        <v>1.2113041553133514</v>
      </c>
      <c r="AK620" s="309">
        <v>1.2344286706004861</v>
      </c>
      <c r="AL620" s="309">
        <v>1.2544582010582011</v>
      </c>
      <c r="AM620" s="309">
        <v>1.2314366343490306</v>
      </c>
      <c r="AN620" s="309">
        <v>1.2104795779441797</v>
      </c>
      <c r="AO620" s="309">
        <v>1.2125431299011251</v>
      </c>
      <c r="AP620" s="309">
        <v>1.1942206178643384</v>
      </c>
      <c r="AQ620" s="309">
        <v>1.1748889990089197</v>
      </c>
      <c r="AR620" s="309">
        <v>1.1807400398406374</v>
      </c>
      <c r="AS620" s="309">
        <v>1.1737310756972112</v>
      </c>
      <c r="AT620" s="309">
        <v>1.3488279282716522</v>
      </c>
      <c r="AU620" s="309" t="e">
        <v>#N/A</v>
      </c>
      <c r="AV620" s="308">
        <f ca="1">Calc!AS18</f>
        <v>1.1726913847821039</v>
      </c>
      <c r="AX620" s="88" t="str">
        <f t="shared" ca="1" si="51"/>
        <v>DVA</v>
      </c>
    </row>
    <row r="621" spans="1:50" hidden="1">
      <c r="A621" s="88" t="str">
        <f t="shared" ca="1" si="50"/>
        <v>DXC</v>
      </c>
      <c r="F621" s="255">
        <v>-0.73499999999999999</v>
      </c>
      <c r="G621" s="255">
        <v>2.2799999999999998</v>
      </c>
      <c r="H621" s="255">
        <v>0</v>
      </c>
      <c r="I621" s="255">
        <v>-0.77</v>
      </c>
      <c r="J621" s="255">
        <v>-0.94</v>
      </c>
      <c r="K621" s="255">
        <v>2.9</v>
      </c>
      <c r="L621" s="255">
        <v>-3.1150000000000002</v>
      </c>
      <c r="M621" s="255">
        <v>-1.56</v>
      </c>
      <c r="N621" s="255">
        <v>-1.51</v>
      </c>
      <c r="O621" s="255">
        <v>-0.1</v>
      </c>
      <c r="P621" s="255">
        <v>2.702</v>
      </c>
      <c r="Q621" s="255">
        <v>0.155</v>
      </c>
      <c r="R621" s="255">
        <v>-0.75</v>
      </c>
      <c r="S621" s="255">
        <v>0.63</v>
      </c>
      <c r="T621" s="255">
        <v>2.17</v>
      </c>
      <c r="U621" s="255">
        <v>0.36</v>
      </c>
      <c r="V621" s="255">
        <v>0.67</v>
      </c>
      <c r="W621" s="255">
        <v>0.67</v>
      </c>
      <c r="X621" s="255">
        <v>-1.06</v>
      </c>
      <c r="Y621" s="255">
        <v>1.17</v>
      </c>
      <c r="Z621" s="247">
        <f ca="1">[1]ExtEntry!$L19</f>
        <v>0.17</v>
      </c>
      <c r="AB621" s="309">
        <v>1.1801791411986315</v>
      </c>
      <c r="AC621" s="309">
        <v>0.26765929103635133</v>
      </c>
      <c r="AD621" s="309">
        <v>1.1552645442914127</v>
      </c>
      <c r="AE621" s="309">
        <v>1.161998485995458</v>
      </c>
      <c r="AF621" s="309">
        <v>1.1703263189996951</v>
      </c>
      <c r="AG621" s="309">
        <v>1.1713980463980465</v>
      </c>
      <c r="AH621" s="309">
        <v>1.199921829196795</v>
      </c>
      <c r="AI621" s="309">
        <v>1.2150716377740838</v>
      </c>
      <c r="AJ621" s="309">
        <v>1.2145909162842223</v>
      </c>
      <c r="AK621" s="309">
        <v>1.2390023407861812</v>
      </c>
      <c r="AL621" s="309">
        <v>1.212365336618962</v>
      </c>
      <c r="AM621" s="309">
        <v>1.2108065470321434</v>
      </c>
      <c r="AN621" s="309">
        <v>1.2255489021956087</v>
      </c>
      <c r="AO621" s="309">
        <v>1.2194153161741341</v>
      </c>
      <c r="AP621" s="309">
        <v>1.1987504880905895</v>
      </c>
      <c r="AQ621" s="309">
        <v>1.195389767152091</v>
      </c>
      <c r="AR621" s="309">
        <v>1.1891850015494265</v>
      </c>
      <c r="AS621" s="309">
        <v>1.1736907344282614</v>
      </c>
      <c r="AT621" s="309">
        <v>1.18340884236838</v>
      </c>
      <c r="AU621" s="309" t="e">
        <v>#N/A</v>
      </c>
      <c r="AV621" s="308">
        <f ca="1">Calc!AS19</f>
        <v>1.1170605612998523</v>
      </c>
      <c r="AX621" s="88" t="str">
        <f t="shared" ca="1" si="51"/>
        <v>DXC</v>
      </c>
    </row>
    <row r="622" spans="1:50" hidden="1">
      <c r="A622" s="88" t="str">
        <f t="shared" ca="1" si="50"/>
        <v>EOAN</v>
      </c>
      <c r="F622" s="255">
        <v>-0.23499999999999999</v>
      </c>
      <c r="G622" s="255">
        <v>0</v>
      </c>
      <c r="H622" s="255">
        <v>0.16500000000000001</v>
      </c>
      <c r="I622" s="255">
        <v>-0.21</v>
      </c>
      <c r="J622" s="255">
        <v>0.21</v>
      </c>
      <c r="K622" s="255">
        <v>-0.32</v>
      </c>
      <c r="L622" s="255">
        <v>0.06</v>
      </c>
      <c r="M622" s="255">
        <v>0.24</v>
      </c>
      <c r="N622" s="255">
        <v>0.24</v>
      </c>
      <c r="O622" s="255">
        <v>0.33500000000000002</v>
      </c>
      <c r="P622" s="255">
        <v>9.5000000000000001E-2</v>
      </c>
      <c r="Q622" s="255">
        <v>-0.19</v>
      </c>
      <c r="R622" s="255">
        <v>-0.28000000000000003</v>
      </c>
      <c r="S622" s="255">
        <v>0.03</v>
      </c>
      <c r="T622" s="255">
        <v>0.14499999999999999</v>
      </c>
      <c r="U622" s="255">
        <v>0.28499999999999998</v>
      </c>
      <c r="V622" s="255">
        <v>0</v>
      </c>
      <c r="W622" s="255">
        <v>0</v>
      </c>
      <c r="X622" s="255">
        <v>0.1</v>
      </c>
      <c r="Y622" s="255">
        <v>0.17</v>
      </c>
      <c r="Z622" s="247">
        <f ca="1">[1]ExtEntry!$L20</f>
        <v>0.05</v>
      </c>
      <c r="AB622" s="309">
        <v>1.0980036297640654</v>
      </c>
      <c r="AC622" s="309">
        <v>11.261922230374173</v>
      </c>
      <c r="AD622" s="309">
        <v>1.0964117433852845</v>
      </c>
      <c r="AE622" s="309">
        <v>1.1129506990434144</v>
      </c>
      <c r="AF622" s="309">
        <v>1.0960144927536231</v>
      </c>
      <c r="AG622" s="309">
        <v>1.1389307228915664</v>
      </c>
      <c r="AH622" s="309">
        <v>1.133808095952024</v>
      </c>
      <c r="AI622" s="309">
        <v>1.1137702503681886</v>
      </c>
      <c r="AJ622" s="309">
        <v>1.1137702503681886</v>
      </c>
      <c r="AK622" s="309">
        <v>1.1436672967863895</v>
      </c>
      <c r="AL622" s="309">
        <v>1.1359369132557267</v>
      </c>
      <c r="AM622" s="309">
        <v>1.1519421172886519</v>
      </c>
      <c r="AN622" s="309">
        <v>1.1797971918876755</v>
      </c>
      <c r="AO622" s="309">
        <v>1.1770428015564203</v>
      </c>
      <c r="AP622" s="309">
        <v>1.1639091958445558</v>
      </c>
      <c r="AQ622" s="309">
        <v>1.1393596986817325</v>
      </c>
      <c r="AR622" s="309">
        <v>1.1397889977392615</v>
      </c>
      <c r="AS622" s="309">
        <v>1.1397889977392615</v>
      </c>
      <c r="AT622" s="309">
        <v>1.1312640239341811</v>
      </c>
      <c r="AU622" s="309" t="e">
        <v>#N/A</v>
      </c>
      <c r="AV622" s="308">
        <f ca="1">Calc!AS20</f>
        <v>1.0500466272925086</v>
      </c>
      <c r="AX622" s="88" t="str">
        <f t="shared" ca="1" si="51"/>
        <v>EOAN</v>
      </c>
    </row>
    <row r="623" spans="1:50" hidden="1">
      <c r="A623" s="88" t="str">
        <f t="shared" ca="1" si="50"/>
        <v>EPIX</v>
      </c>
      <c r="F623" s="255">
        <v>-0.05</v>
      </c>
      <c r="G623" s="255">
        <v>0</v>
      </c>
      <c r="H623" s="255">
        <v>0.09</v>
      </c>
      <c r="I623" s="255">
        <v>-0.2</v>
      </c>
      <c r="J623" s="255">
        <v>0.16</v>
      </c>
      <c r="K623" s="255">
        <v>0.04</v>
      </c>
      <c r="L623" s="255">
        <v>6.5000000000000002E-2</v>
      </c>
      <c r="M623" s="255">
        <v>-5.0000000000000001E-3</v>
      </c>
      <c r="N623" s="255">
        <v>5.0000000000000001E-3</v>
      </c>
      <c r="O623" s="255">
        <v>0.19</v>
      </c>
      <c r="P623" s="255">
        <v>0.11</v>
      </c>
      <c r="Q623" s="255">
        <v>-0.17</v>
      </c>
      <c r="R623" s="255">
        <v>0.05</v>
      </c>
      <c r="S623" s="255">
        <v>0.02</v>
      </c>
      <c r="T623" s="255">
        <v>0.15</v>
      </c>
      <c r="U623" s="255">
        <v>-5.5E-2</v>
      </c>
      <c r="V623" s="255">
        <v>-0.26500000000000001</v>
      </c>
      <c r="W623" s="255">
        <v>-0.26500000000000001</v>
      </c>
      <c r="X623" s="255">
        <v>-0.12</v>
      </c>
      <c r="Y623" s="255">
        <v>0.08</v>
      </c>
      <c r="Z623" s="247">
        <f ca="1">[1]ExtEntry!$L21</f>
        <v>0</v>
      </c>
      <c r="AB623" s="309">
        <v>1.055185254607935</v>
      </c>
      <c r="AC623" s="309">
        <v>0.94119477286869946</v>
      </c>
      <c r="AD623" s="309">
        <v>1.0450643564356434</v>
      </c>
      <c r="AE623" s="309">
        <v>1.0581604010025061</v>
      </c>
      <c r="AF623" s="309">
        <v>1.0476575682382132</v>
      </c>
      <c r="AG623" s="309">
        <v>1.0479826248836488</v>
      </c>
      <c r="AH623" s="309">
        <v>1.0437725587144624</v>
      </c>
      <c r="AI623" s="309">
        <v>1.0440952086553323</v>
      </c>
      <c r="AJ623" s="309">
        <v>1.0437725587144624</v>
      </c>
      <c r="AK623" s="309">
        <v>1.0386371463714636</v>
      </c>
      <c r="AL623" s="309">
        <v>1.0316579108124617</v>
      </c>
      <c r="AM623" s="309">
        <v>1.042483950617284</v>
      </c>
      <c r="AN623" s="309">
        <v>1.0392763076923077</v>
      </c>
      <c r="AO623" s="309">
        <v>1.0379987707437002</v>
      </c>
      <c r="AP623" s="309">
        <v>1.0285164433617537</v>
      </c>
      <c r="AQ623" s="309">
        <v>1.0319731133516652</v>
      </c>
      <c r="AR623" s="309">
        <v>1.04895900621118</v>
      </c>
      <c r="AS623" s="309">
        <v>1.0485931677018632</v>
      </c>
      <c r="AT623" s="309">
        <v>1.0564674593241552</v>
      </c>
      <c r="AU623" s="309" t="e">
        <v>#N/A</v>
      </c>
      <c r="AV623" s="308">
        <f ca="1">Calc!AS21</f>
        <v>0</v>
      </c>
      <c r="AX623" s="88" t="str">
        <f t="shared" ca="1" si="51"/>
        <v>EPIX</v>
      </c>
    </row>
    <row r="624" spans="1:50" hidden="1">
      <c r="A624" s="88" t="str">
        <f t="shared" ca="1" si="50"/>
        <v>GM</v>
      </c>
      <c r="F624" s="255">
        <v>-8.8000000000000005E-3</v>
      </c>
      <c r="G624" s="255">
        <v>-2.3999999999999998E-3</v>
      </c>
      <c r="H624" s="255">
        <v>1.49E-2</v>
      </c>
      <c r="I624" s="255">
        <v>1.15E-2</v>
      </c>
      <c r="J624" s="255">
        <v>-1.1299999999999999E-2</v>
      </c>
      <c r="K624" s="255">
        <v>8.0000000000000004E-4</v>
      </c>
      <c r="L624" s="255">
        <v>-3.8E-3</v>
      </c>
      <c r="M624" s="255">
        <v>-3.8E-3</v>
      </c>
      <c r="N624" s="255">
        <v>-3.8E-3</v>
      </c>
      <c r="O624" s="255">
        <v>0</v>
      </c>
      <c r="P624" s="255">
        <v>0</v>
      </c>
      <c r="Q624" s="255">
        <v>0</v>
      </c>
      <c r="R624" s="255">
        <v>0</v>
      </c>
      <c r="S624" s="255">
        <v>0</v>
      </c>
      <c r="T624" s="255">
        <v>0</v>
      </c>
      <c r="U624" s="255">
        <v>0</v>
      </c>
      <c r="V624" s="255">
        <v>0</v>
      </c>
      <c r="W624" s="255">
        <v>0</v>
      </c>
      <c r="X624" s="255">
        <v>0</v>
      </c>
      <c r="Y624" s="255">
        <v>0</v>
      </c>
      <c r="Z624" s="247">
        <f ca="1">[1]ExtEntry!$L22</f>
        <v>2.81</v>
      </c>
      <c r="AB624" s="309">
        <v>0</v>
      </c>
      <c r="AC624" s="309">
        <v>88.420104712041876</v>
      </c>
      <c r="AD624" s="309">
        <v>0</v>
      </c>
      <c r="AE624" s="309">
        <v>0</v>
      </c>
      <c r="AF624" s="309">
        <v>0</v>
      </c>
      <c r="AG624" s="309">
        <v>0</v>
      </c>
      <c r="AH624" s="309">
        <v>0</v>
      </c>
      <c r="AI624" s="309">
        <v>0</v>
      </c>
      <c r="AJ624" s="309">
        <v>0</v>
      </c>
      <c r="AK624" s="309">
        <v>0</v>
      </c>
      <c r="AL624" s="309">
        <v>0</v>
      </c>
      <c r="AM624" s="309">
        <v>0</v>
      </c>
      <c r="AN624" s="309">
        <v>0</v>
      </c>
      <c r="AO624" s="309">
        <v>0</v>
      </c>
      <c r="AP624" s="309">
        <v>0</v>
      </c>
      <c r="AQ624" s="309">
        <v>0</v>
      </c>
      <c r="AR624" s="309">
        <v>0</v>
      </c>
      <c r="AS624" s="309">
        <v>0</v>
      </c>
      <c r="AT624" s="309">
        <v>0</v>
      </c>
      <c r="AU624" s="309" t="e">
        <v>#N/A</v>
      </c>
      <c r="AV624" s="308">
        <f ca="1">Calc!AS22</f>
        <v>0.91587711742750499</v>
      </c>
      <c r="AX624" s="88" t="str">
        <f t="shared" ca="1" si="51"/>
        <v>GM</v>
      </c>
    </row>
    <row r="625" spans="1:50" hidden="1">
      <c r="A625" s="88" t="str">
        <f t="shared" ca="1" si="50"/>
        <v>HPE</v>
      </c>
      <c r="F625" s="255">
        <v>-0.42499999999999999</v>
      </c>
      <c r="G625" s="255">
        <v>-0.16</v>
      </c>
      <c r="H625" s="255">
        <v>0.36</v>
      </c>
      <c r="I625" s="255">
        <v>-1.98</v>
      </c>
      <c r="J625" s="255">
        <v>0.77</v>
      </c>
      <c r="K625" s="255">
        <v>-0.92</v>
      </c>
      <c r="L625" s="255">
        <v>-0.85499999999999998</v>
      </c>
      <c r="M625" s="255">
        <v>-0.46</v>
      </c>
      <c r="N625" s="255">
        <v>-0.48</v>
      </c>
      <c r="O625" s="255">
        <v>0.26</v>
      </c>
      <c r="P625" s="255">
        <v>1.53</v>
      </c>
      <c r="Q625" s="255">
        <v>0.76990000000000003</v>
      </c>
      <c r="R625" s="255">
        <v>-0.46</v>
      </c>
      <c r="S625" s="255">
        <v>1.04</v>
      </c>
      <c r="T625" s="255">
        <v>-0.36</v>
      </c>
      <c r="U625" s="255">
        <v>8.61</v>
      </c>
      <c r="V625" s="255">
        <v>0.7</v>
      </c>
      <c r="W625" s="255">
        <v>0.7</v>
      </c>
      <c r="X625" s="255">
        <v>-0.47499999999999998</v>
      </c>
      <c r="Y625" s="255">
        <v>2.82</v>
      </c>
      <c r="Z625" s="247">
        <f ca="1">[1]ExtEntry!$L23</f>
        <v>0.31</v>
      </c>
      <c r="AB625" s="309">
        <v>0.94055742826605282</v>
      </c>
      <c r="AC625" s="309">
        <v>0</v>
      </c>
      <c r="AD625" s="309">
        <v>0.93265938366215562</v>
      </c>
      <c r="AE625" s="309">
        <v>0.96361185983827502</v>
      </c>
      <c r="AF625" s="309">
        <v>0.9512722434724763</v>
      </c>
      <c r="AG625" s="309">
        <v>0.99877771957394801</v>
      </c>
      <c r="AH625" s="309">
        <v>1.014094495168868</v>
      </c>
      <c r="AI625" s="309">
        <v>1.0225241329996426</v>
      </c>
      <c r="AJ625" s="309">
        <v>1.0228898426323318</v>
      </c>
      <c r="AK625" s="309">
        <v>1.0285919798597376</v>
      </c>
      <c r="AL625" s="309">
        <v>1.0008748906386702</v>
      </c>
      <c r="AM625" s="309">
        <v>0.98757076583350467</v>
      </c>
      <c r="AN625" s="309">
        <v>0.99755842343913492</v>
      </c>
      <c r="AO625" s="309">
        <v>0.97978759849263442</v>
      </c>
      <c r="AP625" s="309">
        <v>0.98586694243364359</v>
      </c>
      <c r="AQ625" s="309">
        <v>0.85872992043236751</v>
      </c>
      <c r="AR625" s="309">
        <v>0.84967320261437917</v>
      </c>
      <c r="AS625" s="309">
        <v>0.94771241830065367</v>
      </c>
      <c r="AT625" s="309">
        <v>0.95458966110570809</v>
      </c>
      <c r="AU625" s="309" t="e">
        <v>#N/A</v>
      </c>
      <c r="AV625" s="308">
        <f ca="1">Calc!AS23</f>
        <v>0.97148936170212763</v>
      </c>
      <c r="AX625" s="88" t="str">
        <f t="shared" ca="1" si="51"/>
        <v>HPE</v>
      </c>
    </row>
    <row r="626" spans="1:50" hidden="1">
      <c r="A626" s="88" t="str">
        <f t="shared" ca="1" si="50"/>
        <v>HPQ</v>
      </c>
      <c r="F626" s="255">
        <v>0.1799</v>
      </c>
      <c r="G626" s="255">
        <v>0.4</v>
      </c>
      <c r="H626" s="255">
        <v>0.375</v>
      </c>
      <c r="I626" s="255">
        <v>-0.44</v>
      </c>
      <c r="J626" s="255">
        <v>-5.5E-2</v>
      </c>
      <c r="K626" s="255">
        <v>0.12</v>
      </c>
      <c r="L626" s="255">
        <v>1.165</v>
      </c>
      <c r="M626" s="255">
        <v>0.17</v>
      </c>
      <c r="N626" s="255">
        <v>0.17</v>
      </c>
      <c r="O626" s="255">
        <v>0.36499999999999999</v>
      </c>
      <c r="P626" s="255">
        <v>0.19</v>
      </c>
      <c r="Q626" s="255">
        <v>0.41499999999999998</v>
      </c>
      <c r="R626" s="255">
        <v>-2.52</v>
      </c>
      <c r="S626" s="255">
        <v>0.46</v>
      </c>
      <c r="T626" s="255">
        <v>-0.1</v>
      </c>
      <c r="U626" s="255">
        <v>0.4</v>
      </c>
      <c r="V626" s="255">
        <v>-0.16500000000000001</v>
      </c>
      <c r="W626" s="255">
        <v>-0.18</v>
      </c>
      <c r="X626" s="255">
        <v>0.11</v>
      </c>
      <c r="Y626" s="255">
        <v>0.31</v>
      </c>
      <c r="Z626" s="247">
        <f ca="1">[1]ExtEntry!$L24</f>
        <v>-0.17</v>
      </c>
      <c r="AB626" s="309">
        <v>1.0332598563269493</v>
      </c>
      <c r="AC626" s="309">
        <v>2.3308883455582725</v>
      </c>
      <c r="AD626" s="309">
        <v>1.0019699217966713</v>
      </c>
      <c r="AE626" s="309">
        <v>1.0201763985300123</v>
      </c>
      <c r="AF626" s="309">
        <v>1.0228912998976458</v>
      </c>
      <c r="AG626" s="309">
        <v>1.0029755118426336</v>
      </c>
      <c r="AH626" s="309">
        <v>0.95816375838926182</v>
      </c>
      <c r="AI626" s="309">
        <v>0.95177600000000007</v>
      </c>
      <c r="AJ626" s="309">
        <v>0.95177600000000007</v>
      </c>
      <c r="AK626" s="309">
        <v>1.0088479709267111</v>
      </c>
      <c r="AL626" s="309">
        <v>0.999764705882353</v>
      </c>
      <c r="AM626" s="309">
        <v>0.98304623253983869</v>
      </c>
      <c r="AN626" s="309">
        <v>1.1094191829484903</v>
      </c>
      <c r="AO626" s="309">
        <v>1.0881585365853659</v>
      </c>
      <c r="AP626" s="309">
        <v>1.0929186351706037</v>
      </c>
      <c r="AQ626" s="309">
        <v>1.0736622260421143</v>
      </c>
      <c r="AR626" s="309">
        <v>1.0813295823414846</v>
      </c>
      <c r="AS626" s="309">
        <v>1.1277851883932437</v>
      </c>
      <c r="AT626" s="309">
        <v>1.1224379310344827</v>
      </c>
      <c r="AU626" s="309" t="e">
        <v>#N/A</v>
      </c>
      <c r="AV626" s="308">
        <f ca="1">Calc!AS24</f>
        <v>1.0182122198120029</v>
      </c>
      <c r="AX626" s="88" t="str">
        <f t="shared" ca="1" si="51"/>
        <v>HPQ</v>
      </c>
    </row>
    <row r="627" spans="1:50" hidden="1">
      <c r="A627" s="88" t="str">
        <f t="shared" ca="1" si="50"/>
        <v>IAG</v>
      </c>
      <c r="F627" s="255">
        <v>7.4999999999999997E-2</v>
      </c>
      <c r="G627" s="255">
        <v>0.32</v>
      </c>
      <c r="H627" s="255">
        <v>-0.54</v>
      </c>
      <c r="I627" s="255">
        <v>-0.23499999999999999</v>
      </c>
      <c r="J627" s="255">
        <v>0.16</v>
      </c>
      <c r="K627" s="255">
        <v>-0.05</v>
      </c>
      <c r="L627" s="255">
        <v>0.48</v>
      </c>
      <c r="M627" s="255">
        <v>-0.06</v>
      </c>
      <c r="N627" s="255">
        <v>-0.06</v>
      </c>
      <c r="O627" s="255">
        <v>1.79</v>
      </c>
      <c r="P627" s="255">
        <v>1.1850000000000001</v>
      </c>
      <c r="Q627" s="255">
        <v>0.14000000000000001</v>
      </c>
      <c r="R627" s="255">
        <v>-1.395</v>
      </c>
      <c r="S627" s="255">
        <v>0.17</v>
      </c>
      <c r="T627" s="255">
        <v>0.28499999999999998</v>
      </c>
      <c r="U627" s="255">
        <v>0.5</v>
      </c>
      <c r="V627" s="255">
        <v>-0.5</v>
      </c>
      <c r="W627" s="255">
        <v>-0.5</v>
      </c>
      <c r="X627" s="255">
        <v>0.16500000000000001</v>
      </c>
      <c r="Y627" s="255">
        <v>-0.17</v>
      </c>
      <c r="Z627" s="247">
        <f ca="1">[1]ExtEntry!$L25</f>
        <v>6.5</v>
      </c>
      <c r="AB627" s="309">
        <v>1.0441665111069629</v>
      </c>
      <c r="AC627" s="309">
        <v>0.91819625137816974</v>
      </c>
      <c r="AD627" s="309">
        <v>1.0478831022855002</v>
      </c>
      <c r="AE627" s="309">
        <v>1.0567919894199886</v>
      </c>
      <c r="AF627" s="309">
        <v>1.0498498498498499</v>
      </c>
      <c r="AG627" s="309">
        <v>1.0530120481927712</v>
      </c>
      <c r="AH627" s="309">
        <v>1.0347021827598963</v>
      </c>
      <c r="AI627" s="309">
        <v>1.0370040786058583</v>
      </c>
      <c r="AJ627" s="309">
        <v>1.0370040786058583</v>
      </c>
      <c r="AK627" s="309">
        <v>1.022970007315289</v>
      </c>
      <c r="AL627" s="309">
        <v>0.98012966532328716</v>
      </c>
      <c r="AM627" s="309">
        <v>0.97517433751743376</v>
      </c>
      <c r="AN627" s="309">
        <v>1.0276685651295241</v>
      </c>
      <c r="AO627" s="309">
        <v>1.0218487394957982</v>
      </c>
      <c r="AP627" s="309">
        <v>1.0113180256734766</v>
      </c>
      <c r="AQ627" s="309">
        <v>0.99318181818181817</v>
      </c>
      <c r="AR627" s="309">
        <v>1.0111352133044107</v>
      </c>
      <c r="AS627" s="309">
        <v>1.0182122198120029</v>
      </c>
      <c r="AT627" s="309">
        <v>1.0121743036837376</v>
      </c>
      <c r="AU627" s="309" t="e">
        <v>#N/A</v>
      </c>
      <c r="AV627" s="308">
        <f ca="1">Calc!AS25</f>
        <v>1.0694051707317074</v>
      </c>
      <c r="AX627" s="88" t="str">
        <f t="shared" ca="1" si="51"/>
        <v>IAG</v>
      </c>
    </row>
    <row r="628" spans="1:50" hidden="1">
      <c r="A628" s="88" t="str">
        <f t="shared" ca="1" si="50"/>
        <v>KR</v>
      </c>
      <c r="F628" s="255">
        <v>2.4</v>
      </c>
      <c r="G628" s="255">
        <v>2</v>
      </c>
      <c r="H628" s="255">
        <v>-6.7</v>
      </c>
      <c r="I628" s="255">
        <v>7.2</v>
      </c>
      <c r="J628" s="255">
        <v>-0.8</v>
      </c>
      <c r="K628" s="255">
        <v>1.9</v>
      </c>
      <c r="L628" s="255">
        <v>10.3</v>
      </c>
      <c r="M628" s="255">
        <v>12.8</v>
      </c>
      <c r="N628" s="255">
        <v>-4.7</v>
      </c>
      <c r="O628" s="255">
        <v>0.2</v>
      </c>
      <c r="P628" s="255">
        <v>-0.2</v>
      </c>
      <c r="Q628" s="255">
        <v>-0.5</v>
      </c>
      <c r="R628" s="255">
        <v>-1.2</v>
      </c>
      <c r="S628" s="255">
        <v>-15.1</v>
      </c>
      <c r="T628" s="255">
        <v>4.8</v>
      </c>
      <c r="U628" s="255">
        <v>-2.2000000000000002</v>
      </c>
      <c r="V628" s="255">
        <v>8.8000000000000007</v>
      </c>
      <c r="W628" s="255">
        <v>8.8000000000000007</v>
      </c>
      <c r="X628" s="255">
        <v>0.9</v>
      </c>
      <c r="Y628" s="255">
        <v>6.5</v>
      </c>
      <c r="Z628" s="247">
        <f ca="1">[1]ExtEntry!$L26</f>
        <v>-1.55</v>
      </c>
      <c r="AB628" s="309">
        <v>1.1346990367091903</v>
      </c>
      <c r="AC628" s="309">
        <v>7.2437192437192433E-2</v>
      </c>
      <c r="AD628" s="309">
        <v>1.1487556668423828</v>
      </c>
      <c r="AE628" s="309">
        <v>1.1273613554061044</v>
      </c>
      <c r="AF628" s="309">
        <v>1.1296990668740279</v>
      </c>
      <c r="AG628" s="309">
        <v>1.1183933795227097</v>
      </c>
      <c r="AH628" s="309">
        <v>1.0895947500000001</v>
      </c>
      <c r="AI628" s="309">
        <v>1.0558088662790697</v>
      </c>
      <c r="AJ628" s="309">
        <v>1.0679683901004655</v>
      </c>
      <c r="AK628" s="309">
        <v>1.0677067613914748</v>
      </c>
      <c r="AL628" s="309">
        <v>1.0682301470588236</v>
      </c>
      <c r="AM628" s="309">
        <v>1.0695408588957056</v>
      </c>
      <c r="AN628" s="309">
        <v>1.0726997292640905</v>
      </c>
      <c r="AO628" s="309">
        <v>1.1141050613496932</v>
      </c>
      <c r="AP628" s="309">
        <v>1.1006007575757575</v>
      </c>
      <c r="AQ628" s="309">
        <v>1.1067493651599796</v>
      </c>
      <c r="AR628" s="309">
        <v>1.0825581222056631</v>
      </c>
      <c r="AS628" s="309">
        <v>1.0890614008941877</v>
      </c>
      <c r="AT628" s="309">
        <v>1.0866322676579925</v>
      </c>
      <c r="AU628" s="309" t="e">
        <v>#N/A</v>
      </c>
      <c r="AV628" s="308">
        <f ca="1">Calc!AS26</f>
        <v>1.1365330055133362</v>
      </c>
      <c r="AX628" s="88" t="str">
        <f t="shared" ca="1" si="51"/>
        <v>KR</v>
      </c>
    </row>
    <row r="629" spans="1:50" hidden="1">
      <c r="A629" s="88" t="str">
        <f t="shared" ca="1" si="50"/>
        <v>LNSR</v>
      </c>
      <c r="F629" s="255">
        <v>0.53500000000000003</v>
      </c>
      <c r="G629" s="255">
        <v>0.98</v>
      </c>
      <c r="H629" s="255">
        <v>-0.92</v>
      </c>
      <c r="I629" s="255">
        <v>-0.14000000000000001</v>
      </c>
      <c r="J629" s="255">
        <v>-0.06</v>
      </c>
      <c r="K629" s="255">
        <v>2.08</v>
      </c>
      <c r="L629" s="255">
        <v>1.24</v>
      </c>
      <c r="M629" s="255">
        <v>-0.56000000000000005</v>
      </c>
      <c r="N629" s="255">
        <v>-0.56000000000000005</v>
      </c>
      <c r="O629" s="255">
        <v>-0.65500000000000003</v>
      </c>
      <c r="P629" s="255">
        <v>2</v>
      </c>
      <c r="Q629" s="255">
        <v>-2.5000000000000001E-2</v>
      </c>
      <c r="R629" s="255">
        <v>-0.21</v>
      </c>
      <c r="S629" s="255">
        <v>0.11</v>
      </c>
      <c r="T629" s="255">
        <v>0.17</v>
      </c>
      <c r="U629" s="255">
        <v>-1.54</v>
      </c>
      <c r="V629" s="255">
        <v>1.01</v>
      </c>
      <c r="W629" s="255">
        <v>1.01</v>
      </c>
      <c r="X629" s="255">
        <v>0.06</v>
      </c>
      <c r="Y629" s="255">
        <v>-1.56</v>
      </c>
      <c r="Z629" s="247">
        <f ca="1">[1]ExtEntry!$L27</f>
        <v>-0.01</v>
      </c>
      <c r="AB629" s="309">
        <v>1.147469808318812</v>
      </c>
      <c r="AC629" s="309">
        <v>6.4654784156653315</v>
      </c>
      <c r="AD629" s="309">
        <v>1.1389272070988119</v>
      </c>
      <c r="AE629" s="309">
        <v>1.1409864396564713</v>
      </c>
      <c r="AF629" s="309">
        <v>1.142191101055807</v>
      </c>
      <c r="AG629" s="309">
        <v>1.132285735645933</v>
      </c>
      <c r="AH629" s="309">
        <v>1.1116745449207281</v>
      </c>
      <c r="AI629" s="309">
        <v>1.1208891355831854</v>
      </c>
      <c r="AJ629" s="309">
        <v>1.1208891355831854</v>
      </c>
      <c r="AK629" s="309">
        <v>1.1281529981378027</v>
      </c>
      <c r="AL629" s="309">
        <v>1.095432807753508</v>
      </c>
      <c r="AM629" s="309">
        <v>1.0958291006439476</v>
      </c>
      <c r="AN629" s="309">
        <v>1.0992490927565686</v>
      </c>
      <c r="AO629" s="309">
        <v>1.0976557472097408</v>
      </c>
      <c r="AP629" s="309">
        <v>1.0949576344707925</v>
      </c>
      <c r="AQ629" s="309">
        <v>1.1200601981955334</v>
      </c>
      <c r="AR629" s="309">
        <v>1.1037351698003208</v>
      </c>
      <c r="AS629" s="309">
        <v>1.1116853228392363</v>
      </c>
      <c r="AT629" s="309">
        <v>1.1108757646373435</v>
      </c>
      <c r="AU629" s="309" t="e">
        <v>#N/A</v>
      </c>
      <c r="AV629" s="308">
        <f ca="1">Calc!AS27</f>
        <v>1.2531328320802004</v>
      </c>
      <c r="AX629" s="88" t="str">
        <f t="shared" ca="1" si="51"/>
        <v>LNSR</v>
      </c>
    </row>
    <row r="630" spans="1:50" hidden="1">
      <c r="A630" s="88" t="str">
        <f t="shared" ca="1" si="50"/>
        <v>LUMN</v>
      </c>
      <c r="F630" s="255">
        <v>-0.2248</v>
      </c>
      <c r="G630" s="255">
        <v>0.11</v>
      </c>
      <c r="H630" s="255">
        <v>-0.08</v>
      </c>
      <c r="I630" s="255">
        <v>0.16</v>
      </c>
      <c r="J630" s="255">
        <v>-0.24</v>
      </c>
      <c r="K630" s="255">
        <v>-0.02</v>
      </c>
      <c r="L630" s="255">
        <v>0.12</v>
      </c>
      <c r="M630" s="255">
        <v>-0.19</v>
      </c>
      <c r="N630" s="255">
        <v>-0.19</v>
      </c>
      <c r="O630" s="255">
        <v>0.08</v>
      </c>
      <c r="P630" s="255">
        <v>0.01</v>
      </c>
      <c r="Q630" s="255">
        <v>-0.28000000000000003</v>
      </c>
      <c r="R630" s="255">
        <v>0.21</v>
      </c>
      <c r="S630" s="255">
        <v>0.03</v>
      </c>
      <c r="T630" s="255">
        <v>0.43</v>
      </c>
      <c r="U630" s="255">
        <v>-0.02</v>
      </c>
      <c r="V630" s="255">
        <v>-0.04</v>
      </c>
      <c r="W630" s="255">
        <v>-0.04</v>
      </c>
      <c r="X630" s="255">
        <v>-0.24</v>
      </c>
      <c r="Y630" s="255">
        <v>-0.01</v>
      </c>
      <c r="Z630" s="247">
        <f ca="1">[1]ExtEntry!$L28</f>
        <v>0.3</v>
      </c>
      <c r="AB630" s="309">
        <v>1.237092996404183</v>
      </c>
      <c r="AC630" s="309">
        <v>6.1317627530364378</v>
      </c>
      <c r="AD630" s="309">
        <v>1.2224938875305624</v>
      </c>
      <c r="AE630" s="309">
        <v>1.2067578439259856</v>
      </c>
      <c r="AF630" s="309">
        <v>1.2305168170631666</v>
      </c>
      <c r="AG630" s="309">
        <v>1.2437810945273631</v>
      </c>
      <c r="AH630" s="309">
        <v>1.2315270935960592</v>
      </c>
      <c r="AI630" s="309">
        <v>1.2510425354462051</v>
      </c>
      <c r="AJ630" s="309">
        <v>1.2510425354462051</v>
      </c>
      <c r="AK630" s="309">
        <v>1.2531328320802004</v>
      </c>
      <c r="AL630" s="309">
        <v>1.2520868113522536</v>
      </c>
      <c r="AM630" s="309">
        <v>1.2820512820512822</v>
      </c>
      <c r="AN630" s="309">
        <v>1.2690355329949239</v>
      </c>
      <c r="AO630" s="309">
        <v>1.2658227848101267</v>
      </c>
      <c r="AP630" s="309">
        <v>1.221498371335505</v>
      </c>
      <c r="AQ630" s="309">
        <v>1.2234910277324633</v>
      </c>
      <c r="AR630" s="309">
        <v>1.2274959083469721</v>
      </c>
      <c r="AS630" s="309">
        <v>1.2274959083469721</v>
      </c>
      <c r="AT630" s="309">
        <v>1.2520868113522536</v>
      </c>
      <c r="AU630" s="309" t="e">
        <v>#N/A</v>
      </c>
      <c r="AV630" s="308">
        <f ca="1">Calc!AS28</f>
        <v>0.64816316440049448</v>
      </c>
      <c r="AX630" s="88" t="str">
        <f t="shared" ca="1" si="51"/>
        <v>LUMN</v>
      </c>
    </row>
    <row r="631" spans="1:50" hidden="1">
      <c r="A631" s="88" t="str">
        <f t="shared" ca="1" si="50"/>
        <v>MRNA</v>
      </c>
      <c r="F631" s="255">
        <v>-7.1900000000000006E-2</v>
      </c>
      <c r="G631" s="255">
        <v>0.23499999999999999</v>
      </c>
      <c r="H631" s="255">
        <v>-4.4999999999999998E-2</v>
      </c>
      <c r="I631" s="255">
        <v>0.315</v>
      </c>
      <c r="J631" s="255">
        <v>0.17499999999999999</v>
      </c>
      <c r="K631" s="255">
        <v>-0.255</v>
      </c>
      <c r="L631" s="255">
        <v>0.14499999999999999</v>
      </c>
      <c r="M631" s="255">
        <v>-0.185</v>
      </c>
      <c r="N631" s="255">
        <v>-0.19</v>
      </c>
      <c r="O631" s="255">
        <v>0.17</v>
      </c>
      <c r="P631" s="255">
        <v>0.12</v>
      </c>
      <c r="Q631" s="255">
        <v>0.30499999999999999</v>
      </c>
      <c r="R631" s="255">
        <v>-0.245</v>
      </c>
      <c r="S631" s="255">
        <v>-0.12</v>
      </c>
      <c r="T631" s="255">
        <v>0.255</v>
      </c>
      <c r="U631" s="255">
        <v>1.4999999999999999E-2</v>
      </c>
      <c r="V631" s="255">
        <v>-0.12</v>
      </c>
      <c r="W631" s="255">
        <v>-0.12</v>
      </c>
      <c r="X631" s="255">
        <v>0.745</v>
      </c>
      <c r="Y631" s="255">
        <v>0.29499999999999998</v>
      </c>
      <c r="Z631" s="247">
        <f ca="1">[1]ExtEntry!$L29</f>
        <v>0.49</v>
      </c>
      <c r="AB631" s="309">
        <v>0.86554949470768294</v>
      </c>
      <c r="AC631" s="309">
        <v>2.4489795918367347</v>
      </c>
      <c r="AD631" s="309">
        <v>0.8332213991769547</v>
      </c>
      <c r="AE631" s="309">
        <v>0.79276742364917774</v>
      </c>
      <c r="AF631" s="309">
        <v>0.77220747520976352</v>
      </c>
      <c r="AG631" s="309">
        <v>0.73306589427950752</v>
      </c>
      <c r="AH631" s="309">
        <v>0.7174798015591779</v>
      </c>
      <c r="AI631" s="309">
        <v>0.73841283734500363</v>
      </c>
      <c r="AJ631" s="309">
        <v>0.73895182481751831</v>
      </c>
      <c r="AK631" s="309">
        <v>0.74989925925925927</v>
      </c>
      <c r="AL631" s="309">
        <v>0.73680058224163025</v>
      </c>
      <c r="AM631" s="309">
        <v>0.70548013937282228</v>
      </c>
      <c r="AN631" s="309">
        <v>0.72054377224199284</v>
      </c>
      <c r="AO631" s="309">
        <v>0.73359710144927537</v>
      </c>
      <c r="AP631" s="309">
        <v>0.70745213137665963</v>
      </c>
      <c r="AQ631" s="309">
        <v>0.70548013937282228</v>
      </c>
      <c r="AR631" s="309">
        <v>0.71798865248226951</v>
      </c>
      <c r="AS631" s="309">
        <v>0.74377872340425533</v>
      </c>
      <c r="AT631" s="309">
        <v>0.67355684007707128</v>
      </c>
      <c r="AU631" s="309" t="e">
        <v>#N/A</v>
      </c>
      <c r="AV631" s="308">
        <f ca="1">Calc!AS29</f>
        <v>1.6566940912490651</v>
      </c>
      <c r="AX631" s="88" t="str">
        <f t="shared" ca="1" si="51"/>
        <v>MRNA</v>
      </c>
    </row>
    <row r="632" spans="1:50" hidden="1">
      <c r="A632" s="88" t="str">
        <f t="shared" ca="1" si="50"/>
        <v>MSFT</v>
      </c>
      <c r="F632" s="255">
        <v>0.61860000000000004</v>
      </c>
      <c r="G632" s="255">
        <v>0.5</v>
      </c>
      <c r="H632" s="255">
        <v>1.77</v>
      </c>
      <c r="I632" s="255">
        <v>0.77</v>
      </c>
      <c r="J632" s="255">
        <v>0.12</v>
      </c>
      <c r="K632" s="255">
        <v>-0.2</v>
      </c>
      <c r="L632" s="255">
        <v>0.57999999999999996</v>
      </c>
      <c r="M632" s="255">
        <v>-0.39</v>
      </c>
      <c r="N632" s="255">
        <v>-0.39</v>
      </c>
      <c r="O632" s="255">
        <v>-0.09</v>
      </c>
      <c r="P632" s="255">
        <v>-0.49</v>
      </c>
      <c r="Q632" s="255">
        <v>1.5049999999999999</v>
      </c>
      <c r="R632" s="255">
        <v>-0.57999999999999996</v>
      </c>
      <c r="S632" s="255">
        <v>-1.1299999999999999</v>
      </c>
      <c r="T632" s="255">
        <v>1.23</v>
      </c>
      <c r="U632" s="255">
        <v>0.25</v>
      </c>
      <c r="V632" s="255">
        <v>-0.64</v>
      </c>
      <c r="W632" s="255">
        <v>-0.64</v>
      </c>
      <c r="X632" s="255">
        <v>-0.6</v>
      </c>
      <c r="Y632" s="255">
        <v>0.49</v>
      </c>
      <c r="Z632" s="247">
        <f ca="1">[1]ExtEntry!$L30</f>
        <v>3.05</v>
      </c>
      <c r="AB632" s="309">
        <v>1.7623443760305235</v>
      </c>
      <c r="AC632" s="309">
        <v>0.19596670538133953</v>
      </c>
      <c r="AD632" s="309">
        <v>1.6032608695652173</v>
      </c>
      <c r="AE632" s="309">
        <v>1.5597462107860416</v>
      </c>
      <c r="AF632" s="309">
        <v>1.5531765531765533</v>
      </c>
      <c r="AG632" s="309">
        <v>1.6185076810534016</v>
      </c>
      <c r="AH632" s="309">
        <v>1.5848853868194841</v>
      </c>
      <c r="AI632" s="309">
        <v>1.6073374500544859</v>
      </c>
      <c r="AJ632" s="309">
        <v>1.6073374500544859</v>
      </c>
      <c r="AK632" s="309">
        <v>1.6548242333582648</v>
      </c>
      <c r="AL632" s="309">
        <v>1.6857142857142857</v>
      </c>
      <c r="AM632" s="309">
        <v>1.5943073320122501</v>
      </c>
      <c r="AN632" s="309">
        <v>1.6304347826086956</v>
      </c>
      <c r="AO632" s="309">
        <v>1.7012687427912341</v>
      </c>
      <c r="AP632" s="309">
        <v>1.6244493392070485</v>
      </c>
      <c r="AQ632" s="309">
        <v>1.6096762459076028</v>
      </c>
      <c r="AR632" s="309">
        <v>1.6480446927374302</v>
      </c>
      <c r="AS632" s="309">
        <v>1.6499068901303535</v>
      </c>
      <c r="AT632" s="309">
        <v>1.6876190476190476</v>
      </c>
      <c r="AU632" s="309" t="e">
        <v>#N/A</v>
      </c>
      <c r="AV632" s="308">
        <f ca="1">Calc!AS30</f>
        <v>1.1854947384503733</v>
      </c>
      <c r="AX632" s="88" t="str">
        <f t="shared" ca="1" si="51"/>
        <v>MSFT</v>
      </c>
    </row>
    <row r="633" spans="1:50" hidden="1">
      <c r="A633" s="88" t="str">
        <f t="shared" ca="1" si="50"/>
        <v>NEE</v>
      </c>
      <c r="F633" s="255">
        <v>3.3900999999999999</v>
      </c>
      <c r="G633" s="255">
        <v>3.35</v>
      </c>
      <c r="H633" s="255">
        <v>1.76</v>
      </c>
      <c r="I633" s="255">
        <v>-3.97</v>
      </c>
      <c r="J633" s="255">
        <v>1.61</v>
      </c>
      <c r="K633" s="255">
        <v>-4.59</v>
      </c>
      <c r="L633" s="255">
        <v>0.87</v>
      </c>
      <c r="M633" s="255">
        <v>-2.4500000000000002</v>
      </c>
      <c r="N633" s="255">
        <v>-2.4500000000000002</v>
      </c>
      <c r="O633" s="255">
        <v>3.09</v>
      </c>
      <c r="P633" s="255">
        <v>-0.48</v>
      </c>
      <c r="Q633" s="255">
        <v>-1.0799000000000001</v>
      </c>
      <c r="R633" s="255">
        <v>-1.82</v>
      </c>
      <c r="S633" s="255">
        <v>1.97</v>
      </c>
      <c r="T633" s="255">
        <v>3.21</v>
      </c>
      <c r="U633" s="255">
        <v>0.87</v>
      </c>
      <c r="V633" s="255">
        <v>2.88</v>
      </c>
      <c r="W633" s="255">
        <v>2.88</v>
      </c>
      <c r="X633" s="255">
        <v>0.02</v>
      </c>
      <c r="Y633" s="255">
        <v>3.05</v>
      </c>
      <c r="Z633" s="247">
        <f ca="1">[1]ExtEntry!$L31</f>
        <v>1.1599999999999999</v>
      </c>
      <c r="AB633" s="309">
        <v>1.192369584855864</v>
      </c>
      <c r="AC633" s="309">
        <v>8.5432956849116698E-2</v>
      </c>
      <c r="AD633" s="309">
        <v>1.1812195262742684</v>
      </c>
      <c r="AE633" s="309">
        <v>1.1903121728002481</v>
      </c>
      <c r="AF633" s="309">
        <v>1.186607905673142</v>
      </c>
      <c r="AG633" s="309">
        <v>1.1715935722737509</v>
      </c>
      <c r="AH633" s="309">
        <v>1.1696515194817567</v>
      </c>
      <c r="AI633" s="309">
        <v>1.1751370597243493</v>
      </c>
      <c r="AJ633" s="309">
        <v>1.1751370597243493</v>
      </c>
      <c r="AK633" s="309">
        <v>1.1942254644489838</v>
      </c>
      <c r="AL633" s="309">
        <v>1.1953416282103706</v>
      </c>
      <c r="AM633" s="309">
        <v>1.197860407449822</v>
      </c>
      <c r="AN633" s="309">
        <v>1.1999210335998125</v>
      </c>
      <c r="AO633" s="309">
        <v>1.1953183535184391</v>
      </c>
      <c r="AP633" s="309">
        <v>1.1878937285938198</v>
      </c>
      <c r="AQ633" s="309">
        <v>1.185897307112777</v>
      </c>
      <c r="AR633" s="309">
        <v>1.1793360740769203</v>
      </c>
      <c r="AS633" s="309">
        <v>1.1924864563722288</v>
      </c>
      <c r="AT633" s="309">
        <v>1.1924406408483172</v>
      </c>
      <c r="AU633" s="309" t="e">
        <v>#N/A</v>
      </c>
      <c r="AV633" s="308">
        <f ca="1">Calc!AS31</f>
        <v>1.0036988508470559</v>
      </c>
      <c r="AX633" s="88" t="str">
        <f t="shared" ca="1" si="51"/>
        <v>NEE</v>
      </c>
    </row>
    <row r="634" spans="1:50" hidden="1">
      <c r="A634" s="88" t="str">
        <f t="shared" ca="1" si="50"/>
        <v>NEM</v>
      </c>
      <c r="F634" s="255">
        <v>-0.27</v>
      </c>
      <c r="G634" s="255">
        <v>-0.74</v>
      </c>
      <c r="H634" s="255">
        <v>3.18</v>
      </c>
      <c r="I634" s="255">
        <v>-0.495</v>
      </c>
      <c r="J634" s="255">
        <v>1.895</v>
      </c>
      <c r="K634" s="255">
        <v>1.18</v>
      </c>
      <c r="L634" s="255">
        <v>0.85</v>
      </c>
      <c r="M634" s="255">
        <v>-0.34</v>
      </c>
      <c r="N634" s="255">
        <v>-0.33</v>
      </c>
      <c r="O634" s="255">
        <v>0.94</v>
      </c>
      <c r="P634" s="255">
        <v>0.33500000000000002</v>
      </c>
      <c r="Q634" s="255">
        <v>1.1499999999999999</v>
      </c>
      <c r="R634" s="255">
        <v>-0.74</v>
      </c>
      <c r="S634" s="255">
        <v>-0.52</v>
      </c>
      <c r="T634" s="255">
        <v>0.245</v>
      </c>
      <c r="U634" s="255">
        <v>-0.78</v>
      </c>
      <c r="V634" s="255">
        <v>-1.1399999999999999</v>
      </c>
      <c r="W634" s="255">
        <v>-1.1399999999999999</v>
      </c>
      <c r="X634" s="255">
        <v>0.43</v>
      </c>
      <c r="Y634" s="255">
        <v>1.1599999999999999</v>
      </c>
      <c r="Z634" s="247">
        <f ca="1">[1]ExtEntry!$L32</f>
        <v>-5.54</v>
      </c>
      <c r="AB634" s="309">
        <v>1.0888346123313046</v>
      </c>
      <c r="AC634" s="309">
        <v>8.1342467205512126</v>
      </c>
      <c r="AD634" s="309">
        <v>1.0460673700266938</v>
      </c>
      <c r="AE634" s="309">
        <v>1.0526910137511993</v>
      </c>
      <c r="AF634" s="309">
        <v>1.0277130190446457</v>
      </c>
      <c r="AG634" s="309">
        <v>0.98804322247568732</v>
      </c>
      <c r="AH634" s="309">
        <v>0.97899262431596479</v>
      </c>
      <c r="AI634" s="309">
        <v>0.9832033452807647</v>
      </c>
      <c r="AJ634" s="309">
        <v>0.98308589176920336</v>
      </c>
      <c r="AK634" s="309">
        <v>0.97632127179973904</v>
      </c>
      <c r="AL634" s="309">
        <v>0.97234146629644946</v>
      </c>
      <c r="AM634" s="309">
        <v>0.95925072852313786</v>
      </c>
      <c r="AN634" s="309">
        <v>0.96759694297472087</v>
      </c>
      <c r="AO634" s="309">
        <v>0.97354927244765177</v>
      </c>
      <c r="AP634" s="309">
        <v>0.9707357121792981</v>
      </c>
      <c r="AQ634" s="309">
        <v>0.9798085486367426</v>
      </c>
      <c r="AR634" s="309">
        <v>0.99329052504526272</v>
      </c>
      <c r="AS634" s="309">
        <v>1.0225977066988534</v>
      </c>
      <c r="AT634" s="309">
        <v>1.017439894319683</v>
      </c>
      <c r="AU634" s="309" t="e">
        <v>#N/A</v>
      </c>
      <c r="AV634" s="308">
        <f ca="1">Calc!AS32</f>
        <v>1.0940326256447164</v>
      </c>
      <c r="AX634" s="88" t="str">
        <f t="shared" ca="1" si="51"/>
        <v>NEM</v>
      </c>
    </row>
    <row r="635" spans="1:50" hidden="1">
      <c r="A635" s="88" t="str">
        <f t="shared" ca="1" si="50"/>
        <v>NFLX</v>
      </c>
      <c r="F635" s="255">
        <v>-0.25690000000000002</v>
      </c>
      <c r="G635" s="255">
        <v>-0.25</v>
      </c>
      <c r="H635" s="255">
        <v>1.63</v>
      </c>
      <c r="I635" s="255">
        <v>0.47499999999999998</v>
      </c>
      <c r="J635" s="255">
        <v>0.42499999999999999</v>
      </c>
      <c r="K635" s="255">
        <v>-1.55</v>
      </c>
      <c r="L635" s="255">
        <v>1.46</v>
      </c>
      <c r="M635" s="255">
        <v>-3.17</v>
      </c>
      <c r="N635" s="255">
        <v>-3.19</v>
      </c>
      <c r="O635" s="255">
        <v>4.26</v>
      </c>
      <c r="P635" s="255">
        <v>1.1399999999999999</v>
      </c>
      <c r="Q635" s="255">
        <v>3.1</v>
      </c>
      <c r="R635" s="255">
        <v>4.67</v>
      </c>
      <c r="S635" s="255">
        <v>-7.5</v>
      </c>
      <c r="T635" s="255">
        <v>4.125</v>
      </c>
      <c r="U635" s="255">
        <v>-8.5850000000000009</v>
      </c>
      <c r="V635" s="255">
        <v>0.68</v>
      </c>
      <c r="W635" s="255">
        <v>0.68</v>
      </c>
      <c r="X635" s="255">
        <v>1.85</v>
      </c>
      <c r="Y635" s="255">
        <v>-5.58</v>
      </c>
      <c r="Z635" s="247">
        <f ca="1">[1]ExtEntry!$L33</f>
        <v>-18.899999999999999</v>
      </c>
      <c r="AB635" s="309">
        <v>0.86153746598253267</v>
      </c>
      <c r="AC635" s="309">
        <v>0.97632127179973904</v>
      </c>
      <c r="AD635" s="309">
        <v>0.85204491505701652</v>
      </c>
      <c r="AE635" s="309">
        <v>0.84726340757882557</v>
      </c>
      <c r="AF635" s="309">
        <v>0.8430687928156122</v>
      </c>
      <c r="AG635" s="309">
        <v>0.84205082796688135</v>
      </c>
      <c r="AH635" s="309">
        <v>0.82824047053500738</v>
      </c>
      <c r="AI635" s="309">
        <v>0.85914279009738348</v>
      </c>
      <c r="AJ635" s="309">
        <v>0.85934444314047653</v>
      </c>
      <c r="AK635" s="309">
        <v>0.81906868008948541</v>
      </c>
      <c r="AL635" s="309">
        <v>0.80875568809366016</v>
      </c>
      <c r="AM635" s="309">
        <v>0.78198141819735156</v>
      </c>
      <c r="AN635" s="309">
        <v>0.74528997455470736</v>
      </c>
      <c r="AO635" s="309">
        <v>0.80670640079321365</v>
      </c>
      <c r="AP635" s="309">
        <v>0.77163960166499812</v>
      </c>
      <c r="AQ635" s="309">
        <v>0.84844145762122691</v>
      </c>
      <c r="AR635" s="309">
        <v>0.84166367816091947</v>
      </c>
      <c r="AS635" s="309">
        <v>1.0483850574712645</v>
      </c>
      <c r="AT635" s="309">
        <v>1.0264404681521495</v>
      </c>
      <c r="AU635" s="309" t="e">
        <v>#N/A</v>
      </c>
      <c r="AV635" s="308">
        <f ca="1">Calc!AS33</f>
        <v>1.2410915418977062</v>
      </c>
      <c r="AX635" s="88" t="str">
        <f t="shared" ca="1" si="51"/>
        <v>NFLX</v>
      </c>
    </row>
    <row r="636" spans="1:50" hidden="1">
      <c r="A636" s="88" t="str">
        <f t="shared" ca="1" si="50"/>
        <v>NOTE</v>
      </c>
      <c r="F636" s="255">
        <v>-6.07</v>
      </c>
      <c r="G636" s="255">
        <v>-7.49</v>
      </c>
      <c r="H636" s="255">
        <v>-28.02</v>
      </c>
      <c r="I636" s="255">
        <v>-8.3699999999999992</v>
      </c>
      <c r="J636" s="255">
        <v>-9.2100000000000009</v>
      </c>
      <c r="K636" s="255">
        <v>27.75</v>
      </c>
      <c r="L636" s="255">
        <v>23.19</v>
      </c>
      <c r="M636" s="255">
        <v>16.82</v>
      </c>
      <c r="N636" s="255">
        <v>16.82</v>
      </c>
      <c r="O636" s="255">
        <v>-1.05</v>
      </c>
      <c r="P636" s="255">
        <v>-3.68</v>
      </c>
      <c r="Q636" s="255">
        <v>-8.77</v>
      </c>
      <c r="R636" s="255">
        <v>-19.7</v>
      </c>
      <c r="S636" s="255">
        <v>15.77</v>
      </c>
      <c r="T636" s="255">
        <v>39.200000000000003</v>
      </c>
      <c r="U636" s="255">
        <v>2.79</v>
      </c>
      <c r="V636" s="255">
        <v>-124.98</v>
      </c>
      <c r="W636" s="255">
        <v>-124.98</v>
      </c>
      <c r="X636" s="255">
        <v>-2.78</v>
      </c>
      <c r="Y636" s="255">
        <v>-18.899999999999999</v>
      </c>
      <c r="Z636" s="247">
        <f ca="1">[1]ExtEntry!$L34</f>
        <v>-0.08</v>
      </c>
      <c r="AB636" s="309">
        <v>1.1210221329304133</v>
      </c>
      <c r="AC636" s="309">
        <v>6.1075584692890261E-2</v>
      </c>
      <c r="AD636" s="309">
        <v>1.1532291399777947</v>
      </c>
      <c r="AE636" s="309">
        <v>1.1615321755137502</v>
      </c>
      <c r="AF636" s="309">
        <v>1.1708077550029481</v>
      </c>
      <c r="AG636" s="309">
        <v>1.1337094688764631</v>
      </c>
      <c r="AH636" s="309">
        <v>1.1120576487543752</v>
      </c>
      <c r="AI636" s="309">
        <v>1.0968637039323517</v>
      </c>
      <c r="AJ636" s="309">
        <v>1.0968637039323517</v>
      </c>
      <c r="AK636" s="309">
        <v>1.1076971034346981</v>
      </c>
      <c r="AL636" s="309">
        <v>1.1110511375323981</v>
      </c>
      <c r="AM636" s="309">
        <v>1.1191267881118534</v>
      </c>
      <c r="AN636" s="309">
        <v>1.1408646575249877</v>
      </c>
      <c r="AO636" s="309">
        <v>1.1258637940234792</v>
      </c>
      <c r="AP636" s="309">
        <v>1.0902305903630023</v>
      </c>
      <c r="AQ636" s="309">
        <v>1.0877802392556493</v>
      </c>
      <c r="AR636" s="309">
        <v>1.2095595546279461</v>
      </c>
      <c r="AS636" s="309">
        <v>1.2169894389852827</v>
      </c>
      <c r="AT636" s="309">
        <v>1.2200275684946884</v>
      </c>
      <c r="AU636" s="309" t="e">
        <v>#N/A</v>
      </c>
      <c r="AV636" s="308">
        <f ca="1">Calc!AS34</f>
        <v>7.2082379862700225</v>
      </c>
      <c r="AX636" s="88" t="str">
        <f t="shared" ca="1" si="51"/>
        <v>NOTE</v>
      </c>
    </row>
    <row r="637" spans="1:50" hidden="1">
      <c r="A637" s="88" t="str">
        <f t="shared" ca="1" si="50"/>
        <v>PAAS</v>
      </c>
      <c r="F637" s="255">
        <v>0.05</v>
      </c>
      <c r="G637" s="255">
        <v>-0.03</v>
      </c>
      <c r="H637" s="255">
        <v>0.05</v>
      </c>
      <c r="I637" s="255">
        <v>0.28999999999999998</v>
      </c>
      <c r="J637" s="255">
        <v>0.19</v>
      </c>
      <c r="K637" s="255">
        <v>-0.09</v>
      </c>
      <c r="L637" s="255">
        <v>0.22</v>
      </c>
      <c r="M637" s="255">
        <v>-0.36</v>
      </c>
      <c r="N637" s="255">
        <v>-0.36</v>
      </c>
      <c r="O637" s="255">
        <v>-0.04</v>
      </c>
      <c r="P637" s="255">
        <v>0.09</v>
      </c>
      <c r="Q637" s="255">
        <v>-5.6000000000000001E-2</v>
      </c>
      <c r="R637" s="255">
        <v>-0.28000000000000003</v>
      </c>
      <c r="S637" s="255">
        <v>-0.14000000000000001</v>
      </c>
      <c r="T637" s="255">
        <v>0.2</v>
      </c>
      <c r="U637" s="255">
        <v>0.04</v>
      </c>
      <c r="V637" s="255">
        <v>-0.25</v>
      </c>
      <c r="W637" s="255">
        <v>-0.25</v>
      </c>
      <c r="X637" s="255">
        <v>0.21</v>
      </c>
      <c r="Y637" s="255">
        <v>-0.08</v>
      </c>
      <c r="Z637" s="247">
        <f ca="1">[1]ExtEntry!$L35</f>
        <v>0.12</v>
      </c>
      <c r="AB637" s="309">
        <v>6.8481000000000005</v>
      </c>
      <c r="AC637" s="309">
        <v>291.64492440604755</v>
      </c>
      <c r="AD637" s="309">
        <v>6.7310384615384615</v>
      </c>
      <c r="AE637" s="309">
        <v>6.3382816901408452</v>
      </c>
      <c r="AF637" s="309">
        <v>6.1048953488372089</v>
      </c>
      <c r="AG637" s="309">
        <v>6.2378732673267328</v>
      </c>
      <c r="AH637" s="309">
        <v>5.9774686907020875</v>
      </c>
      <c r="AI637" s="309">
        <v>6.3897079107505075</v>
      </c>
      <c r="AJ637" s="309">
        <v>6.3897079107505075</v>
      </c>
      <c r="AK637" s="309">
        <v>6.8184545454545447</v>
      </c>
      <c r="AL637" s="309">
        <v>6.7023957446808504</v>
      </c>
      <c r="AM637" s="309">
        <v>6.7396790757381249</v>
      </c>
      <c r="AN637" s="309">
        <v>7.1756856492027339</v>
      </c>
      <c r="AO637" s="309">
        <v>7.4120611764705879</v>
      </c>
      <c r="AP637" s="309">
        <v>7.0789348314606739</v>
      </c>
      <c r="AQ637" s="309">
        <v>7.0158708240534517</v>
      </c>
      <c r="AR637" s="309">
        <v>7.4295424528301881</v>
      </c>
      <c r="AS637" s="309">
        <v>7.4295</v>
      </c>
      <c r="AT637" s="309">
        <v>7.0788943820224723</v>
      </c>
      <c r="AU637" s="309" t="e">
        <v>#N/A</v>
      </c>
      <c r="AV637" s="308">
        <f ca="1">Calc!AS35</f>
        <v>1.2245459548706659</v>
      </c>
      <c r="AX637" s="88" t="str">
        <f t="shared" ca="1" si="51"/>
        <v>PAAS</v>
      </c>
    </row>
    <row r="638" spans="1:50" hidden="1">
      <c r="A638" s="88" t="str">
        <f t="shared" ca="1" si="50"/>
        <v>PROF</v>
      </c>
      <c r="F638" s="255">
        <v>0.92500000000000004</v>
      </c>
      <c r="G638" s="255">
        <v>-7.4999999999999997E-2</v>
      </c>
      <c r="H638" s="255">
        <v>0.56999999999999995</v>
      </c>
      <c r="I638" s="255">
        <v>-0.09</v>
      </c>
      <c r="J638" s="255">
        <v>-0.15</v>
      </c>
      <c r="K638" s="255">
        <v>-0.69</v>
      </c>
      <c r="L638" s="255">
        <v>0.42</v>
      </c>
      <c r="M638" s="255">
        <v>-1.23</v>
      </c>
      <c r="N638" s="255">
        <v>-1.24</v>
      </c>
      <c r="O638" s="255">
        <v>2.36</v>
      </c>
      <c r="P638" s="255">
        <v>-1.27</v>
      </c>
      <c r="Q638" s="255">
        <v>1.52</v>
      </c>
      <c r="R638" s="255">
        <v>1.02</v>
      </c>
      <c r="S638" s="255">
        <v>-3.59</v>
      </c>
      <c r="T638" s="255">
        <v>0.91</v>
      </c>
      <c r="U638" s="255">
        <v>-3.9449999999999998</v>
      </c>
      <c r="V638" s="255">
        <v>0.435</v>
      </c>
      <c r="W638" s="255">
        <v>0.435</v>
      </c>
      <c r="X638" s="255">
        <v>0.33</v>
      </c>
      <c r="Y638" s="255">
        <v>0.11</v>
      </c>
      <c r="Z638" s="247">
        <f ca="1">[1]ExtEntry!$L36</f>
        <v>0.19400000000000001</v>
      </c>
      <c r="AB638" s="309">
        <v>0.95138093419880365</v>
      </c>
      <c r="AC638" s="309">
        <v>0.81325054859945778</v>
      </c>
      <c r="AD638" s="309">
        <v>0.95101781170483468</v>
      </c>
      <c r="AE638" s="309">
        <v>0.95368716509313611</v>
      </c>
      <c r="AF638" s="309">
        <v>0.9573514344262295</v>
      </c>
      <c r="AG638" s="309">
        <v>0.95005083884087438</v>
      </c>
      <c r="AH638" s="309">
        <v>0.93954248366013071</v>
      </c>
      <c r="AI638" s="309">
        <v>0.96926867219917012</v>
      </c>
      <c r="AJ638" s="309">
        <v>0.96952010376134901</v>
      </c>
      <c r="AK638" s="309">
        <v>0.91470876162506121</v>
      </c>
      <c r="AL638" s="309">
        <v>0.94476744186046502</v>
      </c>
      <c r="AM638" s="309">
        <v>0.91025328787140769</v>
      </c>
      <c r="AN638" s="309">
        <v>0.88924577682607664</v>
      </c>
      <c r="AO638" s="309">
        <v>0.97229448491155057</v>
      </c>
      <c r="AP638" s="309">
        <v>0.94980940279542558</v>
      </c>
      <c r="AQ638" s="309">
        <v>1.054748130379568</v>
      </c>
      <c r="AR638" s="309">
        <v>1.0418118466898956</v>
      </c>
      <c r="AS638" s="309">
        <v>1.240418118466899</v>
      </c>
      <c r="AT638" s="309">
        <v>1.2289422811378072</v>
      </c>
      <c r="AU638" s="309" t="e">
        <v>#N/A</v>
      </c>
      <c r="AV638" s="308">
        <f ca="1">Calc!AS36</f>
        <v>2.1999999999999997</v>
      </c>
      <c r="AX638" s="88" t="str">
        <f t="shared" ca="1" si="51"/>
        <v>PROF</v>
      </c>
    </row>
    <row r="639" spans="1:50" hidden="1">
      <c r="A639" s="88" t="str">
        <f t="shared" ca="1" si="50"/>
        <v>POET</v>
      </c>
      <c r="F639" s="255">
        <v>-0.12</v>
      </c>
      <c r="G639" s="255">
        <v>-0.21</v>
      </c>
      <c r="H639" s="255">
        <v>0.05</v>
      </c>
      <c r="I639" s="255">
        <v>0.37</v>
      </c>
      <c r="J639" s="255">
        <v>0.36499999999999999</v>
      </c>
      <c r="K639" s="255">
        <v>0.68</v>
      </c>
      <c r="L639" s="255">
        <v>0.28000000000000003</v>
      </c>
      <c r="M639" s="255">
        <v>-0.11</v>
      </c>
      <c r="N639" s="255">
        <v>-0.11</v>
      </c>
      <c r="O639" s="255">
        <v>0.11</v>
      </c>
      <c r="P639" s="255">
        <v>-0.15</v>
      </c>
      <c r="Q639" s="255">
        <v>-0.23</v>
      </c>
      <c r="R639" s="255">
        <v>-0.2</v>
      </c>
      <c r="S639" s="255">
        <v>-0.03</v>
      </c>
      <c r="T639" s="255">
        <v>0.25</v>
      </c>
      <c r="U639" s="255">
        <v>0.08</v>
      </c>
      <c r="V639" s="255">
        <v>-0.44</v>
      </c>
      <c r="W639" s="255">
        <v>-0.44</v>
      </c>
      <c r="X639" s="255">
        <v>-0.114</v>
      </c>
      <c r="Y639" s="255">
        <v>0.19400000000000001</v>
      </c>
      <c r="Z639" s="247">
        <f ca="1">[1]ExtEntry!$L37</f>
        <v>0.92</v>
      </c>
      <c r="AB639" s="309">
        <v>2.3725490196078431</v>
      </c>
      <c r="AC639" s="309">
        <v>7.6431492842535791</v>
      </c>
      <c r="AD639" s="309">
        <v>2.449392712550607</v>
      </c>
      <c r="AE639" s="309">
        <v>2.2787193973634654</v>
      </c>
      <c r="AF639" s="309">
        <v>2.1321585903083702</v>
      </c>
      <c r="AG639" s="309">
        <v>1.873065015479876</v>
      </c>
      <c r="AH639" s="309">
        <v>1.7952522255192878</v>
      </c>
      <c r="AI639" s="309">
        <v>1.8250377073906485</v>
      </c>
      <c r="AJ639" s="309">
        <v>1.8250377073906485</v>
      </c>
      <c r="AK639" s="309">
        <v>2.023411371237458</v>
      </c>
      <c r="AL639" s="309">
        <v>2.0754716981132075</v>
      </c>
      <c r="AM639" s="309">
        <v>2.1607142857142856</v>
      </c>
      <c r="AN639" s="309">
        <v>2.1762589928057556</v>
      </c>
      <c r="AO639" s="309">
        <v>2.1880650994575044</v>
      </c>
      <c r="AP639" s="309">
        <v>2.0934256055363321</v>
      </c>
      <c r="AQ639" s="309">
        <v>2.0648464163822524</v>
      </c>
      <c r="AR639" s="309">
        <v>2.2324723247232474</v>
      </c>
      <c r="AS639" s="309">
        <v>2.2324723247232474</v>
      </c>
      <c r="AT639" s="309">
        <v>2.2804372408594045</v>
      </c>
      <c r="AU639" s="309" t="e">
        <v>#N/A</v>
      </c>
      <c r="AV639" s="308">
        <f ca="1">Calc!AS37</f>
        <v>0.80599392466585662</v>
      </c>
      <c r="AX639" s="88" t="str">
        <f t="shared" ca="1" si="51"/>
        <v>POET</v>
      </c>
    </row>
    <row r="640" spans="1:50" hidden="1">
      <c r="A640" s="88" t="str">
        <f t="shared" ca="1" si="50"/>
        <v>PW</v>
      </c>
      <c r="F640" s="255">
        <v>-0.31769999999999998</v>
      </c>
      <c r="G640" s="255">
        <v>0.05</v>
      </c>
      <c r="H640" s="255">
        <v>0.4</v>
      </c>
      <c r="I640" s="255">
        <v>0.56000000000000005</v>
      </c>
      <c r="J640" s="255">
        <v>-0.28000000000000003</v>
      </c>
      <c r="K640" s="255">
        <v>1.5</v>
      </c>
      <c r="L640" s="255">
        <v>1.34</v>
      </c>
      <c r="M640" s="255">
        <v>-0.4</v>
      </c>
      <c r="N640" s="255">
        <v>-0.4</v>
      </c>
      <c r="O640" s="255">
        <v>0.8</v>
      </c>
      <c r="P640" s="255">
        <v>0.62</v>
      </c>
      <c r="Q640" s="255">
        <v>-0.66500000000000004</v>
      </c>
      <c r="R640" s="255">
        <v>-0.76</v>
      </c>
      <c r="S640" s="255">
        <v>-0.54</v>
      </c>
      <c r="T640" s="255">
        <v>0.56999999999999995</v>
      </c>
      <c r="U640" s="255">
        <v>-0.14000000000000001</v>
      </c>
      <c r="V640" s="255">
        <v>-0.08</v>
      </c>
      <c r="W640" s="255">
        <v>-0.08</v>
      </c>
      <c r="X640" s="255">
        <v>-0.06</v>
      </c>
      <c r="Y640" s="255">
        <v>0.92</v>
      </c>
      <c r="Z640" s="247">
        <f ca="1">[1]ExtEntry!$L38</f>
        <v>5.0599999999999999E-2</v>
      </c>
      <c r="AB640" s="309">
        <v>1.218846811090899</v>
      </c>
      <c r="AC640" s="309">
        <v>2.1841155234657039</v>
      </c>
      <c r="AD640" s="309">
        <v>1.1167222222222222</v>
      </c>
      <c r="AE640" s="309">
        <v>1.0205123076923077</v>
      </c>
      <c r="AF640" s="309">
        <v>1.066451768488746</v>
      </c>
      <c r="AG640" s="309">
        <v>0.84179314720812182</v>
      </c>
      <c r="AH640" s="309">
        <v>0.71945010845986979</v>
      </c>
      <c r="AI640" s="309">
        <v>0.75207823129251694</v>
      </c>
      <c r="AJ640" s="309">
        <v>0.75207823129251694</v>
      </c>
      <c r="AK640" s="309">
        <v>0.78687188612099646</v>
      </c>
      <c r="AL640" s="309">
        <v>0.73296464088397784</v>
      </c>
      <c r="AM640" s="309">
        <v>0.79109481216457966</v>
      </c>
      <c r="AN640" s="309">
        <v>0.87742460317460325</v>
      </c>
      <c r="AO640" s="309">
        <v>0.94491880341880352</v>
      </c>
      <c r="AP640" s="309">
        <v>0.87395652173913041</v>
      </c>
      <c r="AQ640" s="309">
        <v>0.89037986577181205</v>
      </c>
      <c r="AR640" s="309">
        <v>0.90004477611940292</v>
      </c>
      <c r="AS640" s="309">
        <v>0.90004477611940292</v>
      </c>
      <c r="AT640" s="309">
        <v>0.90743228454172375</v>
      </c>
      <c r="AU640" s="309" t="e">
        <v>#N/A</v>
      </c>
      <c r="AV640" s="308">
        <f ca="1">Calc!AS38</f>
        <v>0</v>
      </c>
      <c r="AX640" s="88" t="str">
        <f t="shared" ca="1" si="51"/>
        <v>PW</v>
      </c>
    </row>
    <row r="641" spans="1:50" hidden="1">
      <c r="A641" s="88" t="str">
        <f t="shared" ca="1" si="50"/>
        <v>RIGL</v>
      </c>
      <c r="F641" s="255">
        <v>7.6300000000000007E-2</v>
      </c>
      <c r="G641" s="255">
        <v>-0.06</v>
      </c>
      <c r="H641" s="255">
        <v>0</v>
      </c>
      <c r="I641" s="255">
        <v>2.86E-2</v>
      </c>
      <c r="J641" s="255">
        <v>-2.86E-2</v>
      </c>
      <c r="K641" s="255">
        <v>-0.01</v>
      </c>
      <c r="L641" s="255">
        <v>-4.2599999999999999E-2</v>
      </c>
      <c r="M641" s="255">
        <v>-4.7300000000000002E-2</v>
      </c>
      <c r="N641" s="255">
        <v>-4.7300000000000002E-2</v>
      </c>
      <c r="O641" s="255">
        <v>-2.0400000000000001E-2</v>
      </c>
      <c r="P641" s="255">
        <v>-4.02E-2</v>
      </c>
      <c r="Q641" s="255">
        <v>2.06E-2</v>
      </c>
      <c r="R641" s="255">
        <v>-1.29E-2</v>
      </c>
      <c r="S641" s="255">
        <v>-7.9500000000000001E-2</v>
      </c>
      <c r="T641" s="255">
        <v>-3.9300000000000002E-2</v>
      </c>
      <c r="U641" s="255">
        <v>-1.7000000000000001E-2</v>
      </c>
      <c r="V641" s="255">
        <v>-5.4600000000000003E-2</v>
      </c>
      <c r="W641" s="255">
        <v>-5.4600000000000003E-2</v>
      </c>
      <c r="X641" s="255">
        <v>-2.4500000000000001E-2</v>
      </c>
      <c r="Y641" s="255">
        <v>5.0599999999999999E-2</v>
      </c>
      <c r="Z641" s="247">
        <f ca="1">[1]ExtEntry!$L39</f>
        <v>0.57999999999999996</v>
      </c>
      <c r="AB641" s="309">
        <v>0</v>
      </c>
      <c r="AC641" s="309">
        <v>6.5676534653465346</v>
      </c>
      <c r="AD641" s="309">
        <v>0</v>
      </c>
      <c r="AE641" s="309">
        <v>0</v>
      </c>
      <c r="AF641" s="309">
        <v>0</v>
      </c>
      <c r="AG641" s="309">
        <v>0</v>
      </c>
      <c r="AH641" s="309">
        <v>0</v>
      </c>
      <c r="AI641" s="309">
        <v>0</v>
      </c>
      <c r="AJ641" s="309">
        <v>0</v>
      </c>
      <c r="AK641" s="309">
        <v>0</v>
      </c>
      <c r="AL641" s="309">
        <v>0</v>
      </c>
      <c r="AM641" s="309">
        <v>0</v>
      </c>
      <c r="AN641" s="309">
        <v>0</v>
      </c>
      <c r="AO641" s="309">
        <v>0</v>
      </c>
      <c r="AP641" s="309">
        <v>0</v>
      </c>
      <c r="AQ641" s="309">
        <v>0</v>
      </c>
      <c r="AR641" s="309">
        <v>0</v>
      </c>
      <c r="AS641" s="309">
        <v>0</v>
      </c>
      <c r="AT641" s="309">
        <v>0</v>
      </c>
      <c r="AU641" s="309" t="e">
        <v>#N/A</v>
      </c>
      <c r="AV641" s="308">
        <f ca="1">Calc!AS39</f>
        <v>1.2789456122789455</v>
      </c>
      <c r="AX641" s="88" t="str">
        <f t="shared" ca="1" si="51"/>
        <v>RIGL</v>
      </c>
    </row>
    <row r="642" spans="1:50" hidden="1">
      <c r="A642" s="88" t="str">
        <f t="shared" ca="1" si="50"/>
        <v>RWE</v>
      </c>
      <c r="F642" s="255">
        <v>0.11</v>
      </c>
      <c r="G642" s="255">
        <v>-0.42</v>
      </c>
      <c r="H642" s="255">
        <v>-0.17</v>
      </c>
      <c r="I642" s="255">
        <v>-0.04</v>
      </c>
      <c r="J642" s="255">
        <v>0.42</v>
      </c>
      <c r="K642" s="255">
        <v>0.6</v>
      </c>
      <c r="L642" s="255">
        <v>-0.74</v>
      </c>
      <c r="M642" s="255">
        <v>-0.36</v>
      </c>
      <c r="N642" s="255">
        <v>-0.36</v>
      </c>
      <c r="O642" s="255">
        <v>-1.35</v>
      </c>
      <c r="P642" s="255">
        <v>0.55000000000000004</v>
      </c>
      <c r="Q642" s="255">
        <v>0.7</v>
      </c>
      <c r="R642" s="255">
        <v>0</v>
      </c>
      <c r="S642" s="255">
        <v>-0.17</v>
      </c>
      <c r="T642" s="255">
        <v>1.52</v>
      </c>
      <c r="U642" s="255">
        <v>0.81</v>
      </c>
      <c r="V642" s="255">
        <v>0.42</v>
      </c>
      <c r="W642" s="255">
        <v>0.42</v>
      </c>
      <c r="X642" s="255">
        <v>-1.3</v>
      </c>
      <c r="Y642" s="255">
        <v>0.57999999999999996</v>
      </c>
      <c r="Z642" s="247">
        <f ca="1">[1]ExtEntry!$L40</f>
        <v>0.13</v>
      </c>
      <c r="AB642" s="309">
        <v>1.3337971468336813</v>
      </c>
      <c r="AC642" s="309">
        <v>0</v>
      </c>
      <c r="AD642" s="309">
        <v>1.3612688210227271</v>
      </c>
      <c r="AE642" s="309">
        <v>1.3632051920341393</v>
      </c>
      <c r="AF642" s="309">
        <v>1.3431440084092501</v>
      </c>
      <c r="AG642" s="309">
        <v>1.2994349152542373</v>
      </c>
      <c r="AH642" s="309">
        <v>1.3328696105702362</v>
      </c>
      <c r="AI642" s="309">
        <v>1.3497651408450704</v>
      </c>
      <c r="AJ642" s="309">
        <v>1.3497651408450704</v>
      </c>
      <c r="AK642" s="309">
        <v>1.4287487886693999</v>
      </c>
      <c r="AL642" s="309">
        <v>1.4000485756026295</v>
      </c>
      <c r="AM642" s="309">
        <v>1.3651470797720797</v>
      </c>
      <c r="AN642" s="309">
        <v>1.3636901458555672</v>
      </c>
      <c r="AO642" s="309">
        <v>1.3719874731567643</v>
      </c>
      <c r="AP642" s="309">
        <v>1.3011992532247114</v>
      </c>
      <c r="AQ642" s="309">
        <v>1.2663802444664685</v>
      </c>
      <c r="AR642" s="309">
        <v>1.2490495275333984</v>
      </c>
      <c r="AS642" s="309">
        <v>1.2490495275333984</v>
      </c>
      <c r="AT642" s="309">
        <v>1.3042984008166041</v>
      </c>
      <c r="AU642" s="309" t="e">
        <v>#N/A</v>
      </c>
      <c r="AV642" s="308">
        <f ca="1">Calc!AS40</f>
        <v>1.0841101799359132</v>
      </c>
      <c r="AX642" s="88" t="str">
        <f t="shared" ca="1" si="51"/>
        <v>RWE</v>
      </c>
    </row>
    <row r="643" spans="1:50" hidden="1">
      <c r="A643" s="88" t="str">
        <f t="shared" ca="1" si="50"/>
        <v>SAP</v>
      </c>
      <c r="F643" s="255">
        <v>-0.13</v>
      </c>
      <c r="G643" s="255">
        <v>0.14000000000000001</v>
      </c>
      <c r="H643" s="255">
        <v>1.1399999999999999</v>
      </c>
      <c r="I643" s="255">
        <v>-0.11</v>
      </c>
      <c r="J643" s="255">
        <v>0.28999999999999998</v>
      </c>
      <c r="K643" s="255">
        <v>-0.06</v>
      </c>
      <c r="L643" s="255">
        <v>0.77</v>
      </c>
      <c r="M643" s="255">
        <v>-0.27</v>
      </c>
      <c r="N643" s="255">
        <v>0.32</v>
      </c>
      <c r="O643" s="255">
        <v>0.63</v>
      </c>
      <c r="P643" s="255">
        <v>-0.38</v>
      </c>
      <c r="Q643" s="255">
        <v>0.11</v>
      </c>
      <c r="R643" s="255">
        <v>0.61</v>
      </c>
      <c r="S643" s="255">
        <v>-0.32</v>
      </c>
      <c r="T643" s="255">
        <v>-0.14000000000000001</v>
      </c>
      <c r="U643" s="255">
        <v>-0.45</v>
      </c>
      <c r="V643" s="255">
        <v>-0.25</v>
      </c>
      <c r="W643" s="255">
        <v>-0.25</v>
      </c>
      <c r="X643" s="255">
        <v>-0.22</v>
      </c>
      <c r="Y643" s="255">
        <v>0.48</v>
      </c>
      <c r="Z643" s="247">
        <f ca="1">[1]ExtEntry!$L41</f>
        <v>-8.65</v>
      </c>
      <c r="AB643" s="309">
        <v>1.1450502911593434</v>
      </c>
      <c r="AC643" s="309">
        <v>1.010900052742616</v>
      </c>
      <c r="AD643" s="309">
        <v>1.108094262295082</v>
      </c>
      <c r="AE643" s="309">
        <v>1.1112252761366554</v>
      </c>
      <c r="AF643" s="309">
        <v>1.1030086690464049</v>
      </c>
      <c r="AG643" s="309">
        <v>1.0891238670694865</v>
      </c>
      <c r="AH643" s="309">
        <v>1.0684119535687824</v>
      </c>
      <c r="AI643" s="309">
        <v>1.0755842864246643</v>
      </c>
      <c r="AJ643" s="309">
        <v>1.0670942279230389</v>
      </c>
      <c r="AK643" s="309">
        <v>1.05615234375</v>
      </c>
      <c r="AL643" s="309">
        <v>1.0660423854115328</v>
      </c>
      <c r="AM643" s="309">
        <v>1.0631604816908331</v>
      </c>
      <c r="AN643" s="309">
        <v>1.0454325761237311</v>
      </c>
      <c r="AO643" s="309">
        <v>1.0535801266439355</v>
      </c>
      <c r="AP643" s="309">
        <v>1.0571847507331378</v>
      </c>
      <c r="AQ643" s="309">
        <v>1.0689399555226093</v>
      </c>
      <c r="AR643" s="309">
        <v>1.0755842864246643</v>
      </c>
      <c r="AS643" s="309">
        <v>1.0935442565887619</v>
      </c>
      <c r="AT643" s="309">
        <v>1.0995587499999999</v>
      </c>
      <c r="AU643" s="309" t="e">
        <v>#N/A</v>
      </c>
      <c r="AV643" s="308">
        <f ca="1">Calc!AS41</f>
        <v>1.2324949646453827</v>
      </c>
      <c r="AX643" s="88" t="str">
        <f t="shared" ca="1" si="51"/>
        <v>SAP</v>
      </c>
    </row>
    <row r="644" spans="1:50" hidden="1">
      <c r="A644" s="88" t="str">
        <f t="shared" ca="1" si="50"/>
        <v>SHECY</v>
      </c>
      <c r="F644" s="255">
        <v>0.4</v>
      </c>
      <c r="G644" s="255">
        <v>2.35</v>
      </c>
      <c r="H644" s="255">
        <v>-0.1</v>
      </c>
      <c r="I644" s="255">
        <v>4.3</v>
      </c>
      <c r="J644" s="255">
        <v>-1.95</v>
      </c>
      <c r="K644" s="255">
        <v>3.4</v>
      </c>
      <c r="L644" s="255">
        <v>2.2000000000000002</v>
      </c>
      <c r="M644" s="255">
        <v>0.6</v>
      </c>
      <c r="N644" s="255">
        <v>0.2</v>
      </c>
      <c r="O644" s="255">
        <v>0.85</v>
      </c>
      <c r="P644" s="255">
        <v>1.3</v>
      </c>
      <c r="Q644" s="255">
        <v>1.5</v>
      </c>
      <c r="R644" s="255">
        <v>-1</v>
      </c>
      <c r="S644" s="255">
        <v>-2.25</v>
      </c>
      <c r="T644" s="255">
        <v>7.65</v>
      </c>
      <c r="U644" s="255">
        <v>1.8</v>
      </c>
      <c r="V644" s="255">
        <v>-3.55</v>
      </c>
      <c r="W644" s="255">
        <v>-3.55</v>
      </c>
      <c r="X644" s="255">
        <v>5.15</v>
      </c>
      <c r="Y644" s="255">
        <v>-8.65</v>
      </c>
      <c r="Z644" s="247">
        <f ca="1">[1]ExtEntry!$L42</f>
        <v>-0.48</v>
      </c>
      <c r="AB644" s="309">
        <v>1.294215783639991</v>
      </c>
      <c r="AC644" s="309">
        <v>0.18982009653356735</v>
      </c>
      <c r="AD644" s="309">
        <v>1.2814327041264266</v>
      </c>
      <c r="AE644" s="309">
        <v>1.2576922447221026</v>
      </c>
      <c r="AF644" s="309">
        <v>1.2683483380404084</v>
      </c>
      <c r="AG644" s="309">
        <v>1.2421717872340425</v>
      </c>
      <c r="AH644" s="309">
        <v>1.2306508010118045</v>
      </c>
      <c r="AI644" s="309">
        <v>1.2275457106812446</v>
      </c>
      <c r="AJ644" s="309">
        <v>1.2265141596638656</v>
      </c>
      <c r="AK644" s="309">
        <v>1.2614968452895419</v>
      </c>
      <c r="AL644" s="309">
        <v>1.2544493768801033</v>
      </c>
      <c r="AM644" s="309">
        <v>1.246414901793339</v>
      </c>
      <c r="AN644" s="309">
        <v>1.2517597341337907</v>
      </c>
      <c r="AO644" s="309">
        <v>1.2639548387096775</v>
      </c>
      <c r="AP644" s="309">
        <v>1.2234298826487846</v>
      </c>
      <c r="AQ644" s="309">
        <v>1.2142694259567388</v>
      </c>
      <c r="AR644" s="309">
        <v>1.2324693687988177</v>
      </c>
      <c r="AS644" s="309">
        <v>1.2142820350432766</v>
      </c>
      <c r="AT644" s="309">
        <v>1.1884409090909092</v>
      </c>
      <c r="AU644" s="309" t="e">
        <v>#N/A</v>
      </c>
      <c r="AV644" s="308">
        <f ca="1">Calc!AS42</f>
        <v>0</v>
      </c>
      <c r="AX644" s="88" t="str">
        <f t="shared" ca="1" si="51"/>
        <v>SHECY</v>
      </c>
    </row>
    <row r="645" spans="1:50" hidden="1">
      <c r="A645" s="88" t="str">
        <f t="shared" ca="1" si="50"/>
        <v>SSYS</v>
      </c>
      <c r="F645" s="255">
        <v>0.245</v>
      </c>
      <c r="G645" s="255">
        <v>6.9900000000000004E-2</v>
      </c>
      <c r="H645" s="255">
        <v>0.16</v>
      </c>
      <c r="I645" s="255">
        <v>6.08E-2</v>
      </c>
      <c r="J645" s="255">
        <v>0.61919999999999997</v>
      </c>
      <c r="K645" s="255">
        <v>-0.35</v>
      </c>
      <c r="L645" s="255">
        <v>-0.3</v>
      </c>
      <c r="M645" s="255">
        <v>-0.05</v>
      </c>
      <c r="N645" s="255">
        <v>-0.05</v>
      </c>
      <c r="O645" s="255">
        <v>0.45</v>
      </c>
      <c r="P645" s="255">
        <v>0.17</v>
      </c>
      <c r="Q645" s="255">
        <v>-6.6600000000000006E-2</v>
      </c>
      <c r="R645" s="255">
        <v>-0.09</v>
      </c>
      <c r="S645" s="255">
        <v>0.05</v>
      </c>
      <c r="T645" s="255">
        <v>-0.16</v>
      </c>
      <c r="U645" s="255">
        <v>-7.0000000000000007E-2</v>
      </c>
      <c r="V645" s="255">
        <v>-0.23</v>
      </c>
      <c r="W645" s="255">
        <v>-0.23</v>
      </c>
      <c r="X645" s="255">
        <v>0.11</v>
      </c>
      <c r="Y645" s="255">
        <v>-0.48</v>
      </c>
      <c r="Z645" s="247">
        <f ca="1">[1]ExtEntry!$L43</f>
        <v>0.21</v>
      </c>
      <c r="AB645" s="309">
        <v>0</v>
      </c>
      <c r="AC645" s="309">
        <v>17.908611656441717</v>
      </c>
      <c r="AD645" s="309">
        <v>0</v>
      </c>
      <c r="AE645" s="309">
        <v>0</v>
      </c>
      <c r="AF645" s="309">
        <v>0</v>
      </c>
      <c r="AG645" s="309">
        <v>0</v>
      </c>
      <c r="AH645" s="309">
        <v>0</v>
      </c>
      <c r="AI645" s="309">
        <v>0</v>
      </c>
      <c r="AJ645" s="309">
        <v>0</v>
      </c>
      <c r="AK645" s="309">
        <v>0</v>
      </c>
      <c r="AL645" s="309">
        <v>0</v>
      </c>
      <c r="AM645" s="309">
        <v>0</v>
      </c>
      <c r="AN645" s="309">
        <v>0</v>
      </c>
      <c r="AO645" s="309">
        <v>0</v>
      </c>
      <c r="AP645" s="309">
        <v>0</v>
      </c>
      <c r="AQ645" s="309">
        <v>0</v>
      </c>
      <c r="AR645" s="309">
        <v>0</v>
      </c>
      <c r="AS645" s="309">
        <v>0</v>
      </c>
      <c r="AT645" s="309">
        <v>0</v>
      </c>
      <c r="AU645" s="309" t="e">
        <v>#N/A</v>
      </c>
      <c r="AV645" s="308">
        <f ca="1">Calc!AS43</f>
        <v>1.1120375312760633</v>
      </c>
      <c r="AX645" s="88" t="str">
        <f t="shared" ca="1" si="51"/>
        <v>SSYS</v>
      </c>
    </row>
    <row r="646" spans="1:50" hidden="1">
      <c r="A646" s="88" t="str">
        <f t="shared" ca="1" si="50"/>
        <v>TSLA</v>
      </c>
      <c r="F646" s="255">
        <v>-0.28999999999999998</v>
      </c>
      <c r="G646" s="255">
        <v>-0.11</v>
      </c>
      <c r="H646" s="255">
        <v>-0.12</v>
      </c>
      <c r="I646" s="255">
        <v>0.5</v>
      </c>
      <c r="J646" s="255">
        <v>0.06</v>
      </c>
      <c r="K646" s="255">
        <v>-0.33</v>
      </c>
      <c r="L646" s="255">
        <v>-0.06</v>
      </c>
      <c r="M646" s="255">
        <v>-0.08</v>
      </c>
      <c r="N646" s="255">
        <v>-0.08</v>
      </c>
      <c r="O646" s="255">
        <v>0.45</v>
      </c>
      <c r="P646" s="255">
        <v>-0.01</v>
      </c>
      <c r="Q646" s="255">
        <v>0.60899999999999999</v>
      </c>
      <c r="R646" s="255">
        <v>-0.06</v>
      </c>
      <c r="S646" s="255">
        <v>-0.56000000000000005</v>
      </c>
      <c r="T646" s="255">
        <v>1.52</v>
      </c>
      <c r="U646" s="255">
        <v>-0.09</v>
      </c>
      <c r="V646" s="255">
        <v>-1.05</v>
      </c>
      <c r="W646" s="255">
        <v>-1.05</v>
      </c>
      <c r="X646" s="255">
        <v>0.48</v>
      </c>
      <c r="Y646" s="255">
        <v>0.21</v>
      </c>
      <c r="Z646" s="247">
        <f ca="1">[1]ExtEntry!$L44</f>
        <v>-15.26</v>
      </c>
      <c r="AB646" s="309">
        <v>1.1768164165931156</v>
      </c>
      <c r="AC646" s="309">
        <v>0</v>
      </c>
      <c r="AD646" s="309">
        <v>1.2033691335740073</v>
      </c>
      <c r="AE646" s="309">
        <v>1.1514101899827289</v>
      </c>
      <c r="AF646" s="309">
        <v>1.1454750859106528</v>
      </c>
      <c r="AG646" s="309">
        <v>1.1544008658008658</v>
      </c>
      <c r="AH646" s="309">
        <v>1.1604290687554395</v>
      </c>
      <c r="AI646" s="309">
        <v>1.1685652936021034</v>
      </c>
      <c r="AJ646" s="309">
        <v>1.1685652936021034</v>
      </c>
      <c r="AK646" s="309">
        <v>1.2266172953081877</v>
      </c>
      <c r="AL646" s="309">
        <v>1.2277467771639043</v>
      </c>
      <c r="AM646" s="309">
        <v>1.1625538407882117</v>
      </c>
      <c r="AN646" s="309">
        <v>1.1614398954703833</v>
      </c>
      <c r="AO646" s="309">
        <v>1.2210009157509158</v>
      </c>
      <c r="AP646" s="309">
        <v>1.0718110932475884</v>
      </c>
      <c r="AQ646" s="309">
        <v>1.0796218623481781</v>
      </c>
      <c r="AR646" s="309">
        <v>1.1799407079646016</v>
      </c>
      <c r="AS646" s="309">
        <v>1.1799407079646016</v>
      </c>
      <c r="AT646" s="309">
        <v>1.1318616298811546</v>
      </c>
      <c r="AU646" s="309" t="e">
        <v>#N/A</v>
      </c>
      <c r="AV646" s="308">
        <f ca="1">Calc!AS44</f>
        <v>0.83147989486304519</v>
      </c>
      <c r="AX646" s="88" t="str">
        <f t="shared" ca="1" si="51"/>
        <v>TSLA</v>
      </c>
    </row>
    <row r="647" spans="1:50" hidden="1">
      <c r="A647" s="88" t="str">
        <f t="shared" ca="1" si="50"/>
        <v>TSM</v>
      </c>
      <c r="F647" s="255">
        <v>0.57999999999999996</v>
      </c>
      <c r="G647" s="255">
        <v>1.51</v>
      </c>
      <c r="H647" s="255">
        <v>14.74</v>
      </c>
      <c r="I647" s="255">
        <v>-23.46</v>
      </c>
      <c r="J647" s="255">
        <v>-6.17</v>
      </c>
      <c r="K647" s="255">
        <v>-20.16</v>
      </c>
      <c r="L647" s="255">
        <v>5.6</v>
      </c>
      <c r="M647" s="255">
        <v>-3.15</v>
      </c>
      <c r="N647" s="255">
        <v>-3.15</v>
      </c>
      <c r="O647" s="255">
        <v>22.41</v>
      </c>
      <c r="P647" s="255">
        <v>-6.66</v>
      </c>
      <c r="Q647" s="255">
        <v>4.2000999999999999</v>
      </c>
      <c r="R647" s="255">
        <v>-6.4</v>
      </c>
      <c r="S647" s="255">
        <v>10.56</v>
      </c>
      <c r="T647" s="255">
        <v>8.1199999999999992</v>
      </c>
      <c r="U647" s="255">
        <v>-4.83</v>
      </c>
      <c r="V647" s="255">
        <v>-3.63</v>
      </c>
      <c r="W647" s="255">
        <v>-3.63</v>
      </c>
      <c r="X647" s="255">
        <v>10.01</v>
      </c>
      <c r="Y647" s="255">
        <v>-15.26</v>
      </c>
      <c r="Z647" s="247">
        <f ca="1">[1]ExtEntry!$L45</f>
        <v>4.2300000000000004</v>
      </c>
      <c r="AB647" s="309">
        <v>0.70419089301102089</v>
      </c>
      <c r="AC647" s="309">
        <v>2.9981404029501706E-2</v>
      </c>
      <c r="AD647" s="309">
        <v>0.67586754015583517</v>
      </c>
      <c r="AE647" s="309">
        <v>0.7122341743119267</v>
      </c>
      <c r="AF647" s="309">
        <v>0.7224579484912641</v>
      </c>
      <c r="AG647" s="309">
        <v>0.71701978803481969</v>
      </c>
      <c r="AH647" s="309">
        <v>0.70786683079167523</v>
      </c>
      <c r="AI647" s="309">
        <v>0.71298640767782528</v>
      </c>
      <c r="AJ647" s="309">
        <v>0.71298640767782528</v>
      </c>
      <c r="AK647" s="309">
        <v>0.71239756824959866</v>
      </c>
      <c r="AL647" s="309">
        <v>0.72345098313297929</v>
      </c>
      <c r="AM647" s="309">
        <v>0.71644063389612556</v>
      </c>
      <c r="AN647" s="309">
        <v>0.72427778425655986</v>
      </c>
      <c r="AO647" s="309">
        <v>0.70686781543784571</v>
      </c>
      <c r="AP647" s="309">
        <v>0.69403951456093693</v>
      </c>
      <c r="AQ647" s="309">
        <v>0.70161342069588795</v>
      </c>
      <c r="AR647" s="309">
        <v>0.70741531311934758</v>
      </c>
      <c r="AS647" s="309">
        <v>0.82153554912636395</v>
      </c>
      <c r="AT647" s="309">
        <v>0.80321943070960844</v>
      </c>
      <c r="AU647" s="309" t="e">
        <v>#N/A</v>
      </c>
      <c r="AV647" s="308">
        <f ca="1">Calc!AS45</f>
        <v>0.91456468673718472</v>
      </c>
      <c r="AX647" s="88" t="str">
        <f t="shared" ca="1" si="51"/>
        <v>TSM</v>
      </c>
    </row>
    <row r="648" spans="1:50" hidden="1">
      <c r="A648" s="88" t="str">
        <f t="shared" ca="1" si="50"/>
        <v>UN0</v>
      </c>
      <c r="F648" s="255">
        <v>1.325</v>
      </c>
      <c r="G648" s="255">
        <v>6.0149999999999997</v>
      </c>
      <c r="H648" s="255">
        <v>9.31</v>
      </c>
      <c r="I648" s="255">
        <v>-0.34</v>
      </c>
      <c r="J648" s="255">
        <v>4.1900000000000004</v>
      </c>
      <c r="K648" s="255">
        <v>-8.3000000000000007</v>
      </c>
      <c r="L648" s="255">
        <v>10.48</v>
      </c>
      <c r="M648" s="255">
        <v>-4.68</v>
      </c>
      <c r="N648" s="255">
        <v>-4.6399999999999997</v>
      </c>
      <c r="O648" s="255">
        <v>22.57</v>
      </c>
      <c r="P648" s="255">
        <v>-6.915</v>
      </c>
      <c r="Q648" s="255">
        <v>9.125</v>
      </c>
      <c r="R648" s="255">
        <v>-4.74</v>
      </c>
      <c r="S648" s="255">
        <v>-4.76</v>
      </c>
      <c r="T648" s="255">
        <v>2.714</v>
      </c>
      <c r="U648" s="255">
        <v>-3.18</v>
      </c>
      <c r="V648" s="255">
        <v>-5.61</v>
      </c>
      <c r="W648" s="255">
        <v>-5.61</v>
      </c>
      <c r="X648" s="255">
        <v>1.86</v>
      </c>
      <c r="Y648" s="255">
        <v>4.2699999999999996</v>
      </c>
      <c r="Z648" s="247">
        <f ca="1">[1]ExtEntry!$L46</f>
        <v>-0.8</v>
      </c>
      <c r="AB648" s="309">
        <v>0.99807663323443219</v>
      </c>
      <c r="AC648" s="309">
        <v>1.1120489176171462</v>
      </c>
      <c r="AD648" s="309">
        <v>0.94995384615384604</v>
      </c>
      <c r="AE648" s="309">
        <v>0.9515034185957727</v>
      </c>
      <c r="AF648" s="309">
        <v>0.93792911392405054</v>
      </c>
      <c r="AG648" s="309">
        <v>0.93218864331859908</v>
      </c>
      <c r="AH648" s="309">
        <v>0.90032077764277041</v>
      </c>
      <c r="AI648" s="309">
        <v>0.91434324973319114</v>
      </c>
      <c r="AJ648" s="309">
        <v>0.91422128851540618</v>
      </c>
      <c r="AK648" s="309">
        <v>0.90412122811067497</v>
      </c>
      <c r="AL648" s="309">
        <v>0.92628323338119767</v>
      </c>
      <c r="AM648" s="309">
        <v>0.8986828380836871</v>
      </c>
      <c r="AN648" s="309">
        <v>0.91394699469946983</v>
      </c>
      <c r="AO648" s="309">
        <v>0.92909272061813752</v>
      </c>
      <c r="AP648" s="309">
        <v>0.92062526444454895</v>
      </c>
      <c r="AQ648" s="309">
        <v>0.93085929648241206</v>
      </c>
      <c r="AR648" s="309">
        <v>0.94896739356178617</v>
      </c>
      <c r="AS648" s="309">
        <v>1.0648905503634476</v>
      </c>
      <c r="AT648" s="309">
        <v>1.0581512003852238</v>
      </c>
      <c r="AU648" s="309" t="e">
        <v>#N/A</v>
      </c>
      <c r="AV648" s="308">
        <f ca="1">Calc!AS46</f>
        <v>0</v>
      </c>
      <c r="AX648" s="88" t="str">
        <f t="shared" ca="1" si="51"/>
        <v>UN0</v>
      </c>
    </row>
    <row r="649" spans="1:50" hidden="1">
      <c r="A649" s="88" t="str">
        <f t="shared" ca="1" si="50"/>
        <v>UNIT</v>
      </c>
      <c r="F649" s="255">
        <v>0.8</v>
      </c>
      <c r="G649" s="255">
        <v>-0.9</v>
      </c>
      <c r="H649" s="255">
        <v>-0.1</v>
      </c>
      <c r="I649" s="255">
        <v>-0.2</v>
      </c>
      <c r="J649" s="255">
        <v>0.2</v>
      </c>
      <c r="K649" s="255">
        <v>-1.1000000000000001</v>
      </c>
      <c r="L649" s="255">
        <v>1.1000000000000001</v>
      </c>
      <c r="M649" s="255">
        <v>0.4</v>
      </c>
      <c r="N649" s="255">
        <v>-0.75</v>
      </c>
      <c r="O649" s="255">
        <v>0.1</v>
      </c>
      <c r="P649" s="255">
        <v>-0.35</v>
      </c>
      <c r="Q649" s="255">
        <v>0.05</v>
      </c>
      <c r="R649" s="255">
        <v>0.15</v>
      </c>
      <c r="S649" s="255">
        <v>-0.2</v>
      </c>
      <c r="T649" s="255">
        <v>1.45</v>
      </c>
      <c r="U649" s="255">
        <v>-1.3</v>
      </c>
      <c r="V649" s="255">
        <v>0.1</v>
      </c>
      <c r="W649" s="255">
        <v>0.1</v>
      </c>
      <c r="X649" s="255">
        <v>-0.85</v>
      </c>
      <c r="Y649" s="255">
        <v>-0.8</v>
      </c>
      <c r="Z649" s="247">
        <f ca="1">[1]ExtEntry!$L47</f>
        <v>0.2</v>
      </c>
      <c r="AB649" s="309">
        <v>0</v>
      </c>
      <c r="AC649" s="309">
        <v>8.0397853372434014</v>
      </c>
      <c r="AD649" s="309">
        <v>0</v>
      </c>
      <c r="AE649" s="309">
        <v>0</v>
      </c>
      <c r="AF649" s="309">
        <v>0</v>
      </c>
      <c r="AG649" s="309">
        <v>0</v>
      </c>
      <c r="AH649" s="309">
        <v>0</v>
      </c>
      <c r="AI649" s="309">
        <v>0</v>
      </c>
      <c r="AJ649" s="309">
        <v>0</v>
      </c>
      <c r="AK649" s="309">
        <v>0</v>
      </c>
      <c r="AL649" s="309">
        <v>0</v>
      </c>
      <c r="AM649" s="309">
        <v>0</v>
      </c>
      <c r="AN649" s="309">
        <v>0</v>
      </c>
      <c r="AO649" s="309">
        <v>0</v>
      </c>
      <c r="AP649" s="309">
        <v>0</v>
      </c>
      <c r="AQ649" s="309">
        <v>0</v>
      </c>
      <c r="AR649" s="309">
        <v>0</v>
      </c>
      <c r="AS649" s="309">
        <v>0</v>
      </c>
      <c r="AT649" s="309">
        <v>0</v>
      </c>
      <c r="AU649" s="309" t="e">
        <v>#N/A</v>
      </c>
      <c r="AV649" s="308">
        <f ca="1">Calc!AS47</f>
        <v>1.2458333333333333</v>
      </c>
      <c r="AX649" s="88" t="str">
        <f t="shared" ca="1" si="51"/>
        <v>UNIT</v>
      </c>
    </row>
    <row r="650" spans="1:50" hidden="1">
      <c r="A650" s="88" t="str">
        <f t="shared" ca="1" si="50"/>
        <v>AVGO</v>
      </c>
      <c r="F650" s="255">
        <v>-0.115</v>
      </c>
      <c r="G650" s="255">
        <v>0.08</v>
      </c>
      <c r="H650" s="255">
        <v>-7.0000000000000007E-2</v>
      </c>
      <c r="I650" s="255">
        <v>-0.26</v>
      </c>
      <c r="J650" s="255">
        <v>0.05</v>
      </c>
      <c r="K650" s="255">
        <v>-0.1</v>
      </c>
      <c r="L650" s="255">
        <v>0.12</v>
      </c>
      <c r="M650" s="255">
        <v>-0.09</v>
      </c>
      <c r="N650" s="255">
        <v>-0.09</v>
      </c>
      <c r="O650" s="255">
        <v>-0.28000000000000003</v>
      </c>
      <c r="P650" s="255">
        <v>-0.09</v>
      </c>
      <c r="Q650" s="255">
        <v>0.26</v>
      </c>
      <c r="R650" s="255">
        <v>-0.11</v>
      </c>
      <c r="S650" s="255">
        <v>0.04</v>
      </c>
      <c r="T650" s="255">
        <v>-0.05</v>
      </c>
      <c r="U650" s="255">
        <v>0</v>
      </c>
      <c r="V650" s="255">
        <v>-0.05</v>
      </c>
      <c r="W650" s="255">
        <v>-0.05</v>
      </c>
      <c r="X650" s="255">
        <v>0.25</v>
      </c>
      <c r="Y650" s="255">
        <v>0.2</v>
      </c>
      <c r="Z650" s="247">
        <f ca="1">[1]ExtEntry!$L48</f>
        <v>9.84</v>
      </c>
      <c r="AB650" s="309">
        <v>1.3580691358024692</v>
      </c>
      <c r="AC650" s="309">
        <v>0</v>
      </c>
      <c r="AD650" s="309">
        <v>1.3636809917355373</v>
      </c>
      <c r="AE650" s="309">
        <v>1.4249170984455959</v>
      </c>
      <c r="AF650" s="309">
        <v>1.4127174657534247</v>
      </c>
      <c r="AG650" s="309">
        <v>1.3727570715474211</v>
      </c>
      <c r="AH650" s="309">
        <v>1.3458841761827081</v>
      </c>
      <c r="AI650" s="309">
        <v>1.3659387417218545</v>
      </c>
      <c r="AJ650" s="309">
        <v>1.3659387417218545</v>
      </c>
      <c r="AK650" s="309">
        <v>1.513811009174312</v>
      </c>
      <c r="AL650" s="309">
        <v>1.5392294776119402</v>
      </c>
      <c r="AM650" s="309">
        <v>1.4680195729537366</v>
      </c>
      <c r="AN650" s="309">
        <v>1.4706363636363635</v>
      </c>
      <c r="AO650" s="309">
        <v>1.4602247787610618</v>
      </c>
      <c r="AP650" s="309">
        <v>1.4732625000000001</v>
      </c>
      <c r="AQ650" s="309">
        <v>1.4732625000000001</v>
      </c>
      <c r="AR650" s="309">
        <v>1.4865351351351352</v>
      </c>
      <c r="AS650" s="309">
        <v>1.3468468468468469</v>
      </c>
      <c r="AT650" s="309">
        <v>1.2887931034482758</v>
      </c>
      <c r="AU650" s="309" t="e">
        <v>#N/A</v>
      </c>
      <c r="AV650" s="308">
        <f ca="1">Calc!AS48</f>
        <v>1.0458444638974387</v>
      </c>
      <c r="AX650" s="88" t="str">
        <f t="shared" ca="1" si="51"/>
        <v>AVGO</v>
      </c>
    </row>
    <row r="651" spans="1:50" hidden="1">
      <c r="A651" s="88" t="str">
        <f t="shared" ca="1" si="50"/>
        <v>VLVLY</v>
      </c>
      <c r="F651" s="255">
        <v>-0.79</v>
      </c>
      <c r="G651" s="255">
        <v>0.13</v>
      </c>
      <c r="H651" s="255">
        <v>0.08</v>
      </c>
      <c r="I651" s="255">
        <v>0.34</v>
      </c>
      <c r="J651" s="255">
        <v>0.31</v>
      </c>
      <c r="K651" s="255">
        <v>-0.77</v>
      </c>
      <c r="L651" s="255">
        <v>-0.08</v>
      </c>
      <c r="M651" s="255">
        <v>-0.56000000000000005</v>
      </c>
      <c r="N651" s="255">
        <v>-0.56000000000000005</v>
      </c>
      <c r="O651" s="255">
        <v>0.16</v>
      </c>
      <c r="P651" s="255">
        <v>-0.19989999999999999</v>
      </c>
      <c r="Q651" s="255">
        <v>0.188</v>
      </c>
      <c r="R651" s="255">
        <v>0.35</v>
      </c>
      <c r="S651" s="255">
        <v>-1.8</v>
      </c>
      <c r="T651" s="255">
        <v>0.73</v>
      </c>
      <c r="U651" s="255">
        <v>0.24</v>
      </c>
      <c r="V651" s="255">
        <v>-0.15</v>
      </c>
      <c r="W651" s="255">
        <v>-0.15</v>
      </c>
      <c r="X651" s="255">
        <v>0.23</v>
      </c>
      <c r="Y651" s="255">
        <v>0.2</v>
      </c>
      <c r="Z651" s="247">
        <f ca="1">[1]ExtEntry!$L49</f>
        <v>0.2</v>
      </c>
      <c r="AB651" s="309">
        <v>1.2600630031501574</v>
      </c>
      <c r="AC651" s="309">
        <v>1.2547926106657372</v>
      </c>
      <c r="AD651" s="309">
        <v>1.251303441084463</v>
      </c>
      <c r="AE651" s="309">
        <v>1.2366884232222604</v>
      </c>
      <c r="AF651" s="309">
        <v>1.2236573759347382</v>
      </c>
      <c r="AG651" s="309">
        <v>1.2596221133659902</v>
      </c>
      <c r="AH651" s="309">
        <v>1.263157894736842</v>
      </c>
      <c r="AI651" s="309">
        <v>1.2884753042233357</v>
      </c>
      <c r="AJ651" s="309">
        <v>1.2884753042233357</v>
      </c>
      <c r="AK651" s="309">
        <v>1.2875536480686696</v>
      </c>
      <c r="AL651" s="309">
        <v>1.2996342973491071</v>
      </c>
      <c r="AM651" s="309">
        <v>1.2931963503125223</v>
      </c>
      <c r="AN651" s="309">
        <v>1.2784090909090908</v>
      </c>
      <c r="AO651" s="309">
        <v>1.3657056145675266</v>
      </c>
      <c r="AP651" s="309">
        <v>1.3289036544850499</v>
      </c>
      <c r="AQ651" s="309">
        <v>1.3172338090010978</v>
      </c>
      <c r="AR651" s="309">
        <v>1.3245033112582782</v>
      </c>
      <c r="AS651" s="309">
        <v>1.3245033112582782</v>
      </c>
      <c r="AT651" s="309">
        <v>1.3133892739875959</v>
      </c>
      <c r="AU651" s="309" t="e">
        <v>#N/A</v>
      </c>
      <c r="AV651" s="309">
        <f ca="1">Calc!AS49</f>
        <v>1.3038754074610648</v>
      </c>
      <c r="AX651" s="88" t="str">
        <f t="shared" ca="1" si="51"/>
        <v>VLVLY</v>
      </c>
    </row>
    <row r="652" spans="1:50" hidden="1">
      <c r="A652" s="88" t="str">
        <f t="shared" ca="1" si="50"/>
        <v>VONN</v>
      </c>
      <c r="F652" s="255">
        <v>0.4</v>
      </c>
      <c r="G652" s="255">
        <v>-0.2</v>
      </c>
      <c r="H652" s="255">
        <v>-0.1</v>
      </c>
      <c r="I652" s="255">
        <v>0.2</v>
      </c>
      <c r="J652" s="255">
        <v>0.4</v>
      </c>
      <c r="K652" s="255">
        <v>0</v>
      </c>
      <c r="L652" s="255">
        <v>0.3</v>
      </c>
      <c r="M652" s="255">
        <v>0.3</v>
      </c>
      <c r="N652" s="255">
        <v>-0.4</v>
      </c>
      <c r="O652" s="255">
        <v>-0.4</v>
      </c>
      <c r="P652" s="255">
        <v>0.2</v>
      </c>
      <c r="Q652" s="255">
        <v>-0.5</v>
      </c>
      <c r="R652" s="255">
        <v>-0.4</v>
      </c>
      <c r="S652" s="255">
        <v>-0.8</v>
      </c>
      <c r="T652" s="255">
        <v>0.1</v>
      </c>
      <c r="U652" s="255">
        <v>-0.4</v>
      </c>
      <c r="V652" s="255">
        <v>1.6</v>
      </c>
      <c r="W652" s="255">
        <v>1.6</v>
      </c>
      <c r="X652" s="255">
        <v>0.8</v>
      </c>
      <c r="Y652" s="255">
        <v>0.2</v>
      </c>
      <c r="Z652" s="247">
        <f ca="1">[1]ExtEntry!$L50</f>
        <v>0.2</v>
      </c>
      <c r="AB652" s="309">
        <v>1.0536605657237936</v>
      </c>
      <c r="AC652" s="309">
        <v>1.057178631051753</v>
      </c>
      <c r="AD652" s="309">
        <v>1.0589464882943145</v>
      </c>
      <c r="AE652" s="309">
        <v>1.0554166666666667</v>
      </c>
      <c r="AF652" s="309">
        <v>1.048427152317881</v>
      </c>
      <c r="AG652" s="309">
        <v>1.041529605263158</v>
      </c>
      <c r="AH652" s="309">
        <v>1.0364157119476269</v>
      </c>
      <c r="AI652" s="309">
        <v>1.0313517915309447</v>
      </c>
      <c r="AJ652" s="309">
        <v>1.0381147540983606</v>
      </c>
      <c r="AK652" s="309">
        <v>1.0466942148760332</v>
      </c>
      <c r="AL652" s="309">
        <v>1.0432454695222406</v>
      </c>
      <c r="AM652" s="309">
        <v>1.0519102990033222</v>
      </c>
      <c r="AN652" s="309">
        <v>1.0589464882943145</v>
      </c>
      <c r="AO652" s="309">
        <v>1.0733050847457628</v>
      </c>
      <c r="AP652" s="309">
        <v>1.0714890016920473</v>
      </c>
      <c r="AQ652" s="309">
        <v>1.0787904599659284</v>
      </c>
      <c r="AR652" s="309">
        <v>1.0501658374792704</v>
      </c>
      <c r="AS652" s="309">
        <v>1.0132669983416254</v>
      </c>
      <c r="AT652" s="309">
        <v>1</v>
      </c>
      <c r="AU652" s="309" t="e">
        <v>#N/A</v>
      </c>
      <c r="AV652" s="309">
        <f ca="1">Calc!AS50</f>
        <v>1.0331158238172919</v>
      </c>
      <c r="AX652" s="88" t="str">
        <f t="shared" ca="1" si="51"/>
        <v>VONN</v>
      </c>
    </row>
    <row r="653" spans="1:50" hidden="1">
      <c r="A653" s="88" t="str">
        <f t="shared" ca="1" si="50"/>
        <v>VTRS</v>
      </c>
      <c r="F653" s="255">
        <v>1.4200000000000001E-2</v>
      </c>
      <c r="G653" s="255">
        <v>0.28000000000000003</v>
      </c>
      <c r="H653" s="255">
        <v>0.19</v>
      </c>
      <c r="I653" s="255">
        <v>0.02</v>
      </c>
      <c r="J653" s="255">
        <v>0.08</v>
      </c>
      <c r="K653" s="255">
        <v>0.01</v>
      </c>
      <c r="L653" s="255">
        <v>-0.17</v>
      </c>
      <c r="M653" s="255">
        <v>0.02</v>
      </c>
      <c r="N653" s="255">
        <v>0.02</v>
      </c>
      <c r="O653" s="255">
        <v>0.12</v>
      </c>
      <c r="P653" s="255">
        <v>7.0000000000000007E-2</v>
      </c>
      <c r="Q653" s="255">
        <v>4.4999999999999998E-2</v>
      </c>
      <c r="R653" s="255">
        <v>0.12</v>
      </c>
      <c r="S653" s="255">
        <v>7.0000000000000007E-2</v>
      </c>
      <c r="T653" s="255">
        <v>0.14000000000000001</v>
      </c>
      <c r="U653" s="255">
        <v>0.08</v>
      </c>
      <c r="V653" s="255">
        <v>0.02</v>
      </c>
      <c r="W653" s="255">
        <v>0.02</v>
      </c>
      <c r="X653" s="255">
        <v>-0.1</v>
      </c>
      <c r="Y653" s="255">
        <v>0.04</v>
      </c>
      <c r="Z653" s="247">
        <f ca="1">[1]ExtEntry!$L51</f>
        <v>0.04</v>
      </c>
      <c r="AB653" s="309">
        <v>1.1986920769440541</v>
      </c>
      <c r="AC653" s="309">
        <v>1.15440101010101</v>
      </c>
      <c r="AD653" s="309">
        <v>1.1326630327056493</v>
      </c>
      <c r="AE653" s="309">
        <v>1.1304223541048468</v>
      </c>
      <c r="AF653" s="309">
        <v>1.1215475956820413</v>
      </c>
      <c r="AG653" s="309">
        <v>1.127077909270217</v>
      </c>
      <c r="AH653" s="309">
        <v>1.146295887662989</v>
      </c>
      <c r="AI653" s="309">
        <v>1.1440010010010011</v>
      </c>
      <c r="AJ653" s="309">
        <v>1.1440010010010011</v>
      </c>
      <c r="AK653" s="309">
        <v>1.1590841784989858</v>
      </c>
      <c r="AL653" s="309">
        <v>1.1509133937562941</v>
      </c>
      <c r="AM653" s="309">
        <v>1.1457213032581455</v>
      </c>
      <c r="AN653" s="309">
        <v>1.131541584158416</v>
      </c>
      <c r="AO653" s="309">
        <v>1.1237531956735498</v>
      </c>
      <c r="AP653" s="309">
        <v>1.1084936954413191</v>
      </c>
      <c r="AQ653" s="309">
        <v>1.099958614051973</v>
      </c>
      <c r="AR653" s="309">
        <v>1.0978453410182518</v>
      </c>
      <c r="AS653" s="309">
        <v>1.0978453410182518</v>
      </c>
      <c r="AT653" s="309">
        <v>1.1084936954413191</v>
      </c>
      <c r="AU653" s="309" t="e">
        <v>#N/A</v>
      </c>
      <c r="AV653" s="309">
        <f ca="1">Calc!AS51</f>
        <v>1.1042096618357489</v>
      </c>
      <c r="AX653" s="88" t="str">
        <f t="shared" ca="1" si="51"/>
        <v>VTRS</v>
      </c>
    </row>
    <row r="654" spans="1:50" hidden="1">
      <c r="A654" s="88" t="str">
        <f t="shared" ca="1" si="50"/>
        <v>WBA</v>
      </c>
      <c r="F654" s="255">
        <v>0</v>
      </c>
      <c r="G654" s="255">
        <v>0</v>
      </c>
      <c r="H654" s="255">
        <v>0</v>
      </c>
      <c r="I654" s="255">
        <v>0</v>
      </c>
      <c r="J654" s="255">
        <v>0</v>
      </c>
      <c r="K654" s="255">
        <v>0</v>
      </c>
      <c r="L654" s="255">
        <v>0</v>
      </c>
      <c r="M654" s="255">
        <v>0</v>
      </c>
      <c r="N654" s="255">
        <v>0</v>
      </c>
      <c r="O654" s="255">
        <v>0</v>
      </c>
      <c r="P654" s="255">
        <v>0</v>
      </c>
      <c r="Q654" s="255">
        <v>0</v>
      </c>
      <c r="R654" s="255">
        <v>0</v>
      </c>
      <c r="S654" s="255">
        <v>0</v>
      </c>
      <c r="T654" s="255">
        <v>0</v>
      </c>
      <c r="U654" s="255">
        <v>0</v>
      </c>
      <c r="V654" s="255">
        <v>0</v>
      </c>
      <c r="W654" s="255">
        <v>0</v>
      </c>
      <c r="X654" s="255">
        <v>0</v>
      </c>
      <c r="Y654" s="255">
        <v>0</v>
      </c>
      <c r="Z654" s="247">
        <f ca="1">[1]ExtEntry!$L52</f>
        <v>0</v>
      </c>
      <c r="AB654" s="309">
        <v>1.0112095158597663</v>
      </c>
      <c r="AC654" s="309">
        <v>1.0112095158597663</v>
      </c>
      <c r="AD654" s="309">
        <v>1.0112095158597663</v>
      </c>
      <c r="AE654" s="309">
        <v>1.0112095158597663</v>
      </c>
      <c r="AF654" s="309">
        <v>1.0112095158597663</v>
      </c>
      <c r="AG654" s="309">
        <v>1.0112095158597663</v>
      </c>
      <c r="AH654" s="309">
        <v>1.0112095158597663</v>
      </c>
      <c r="AI654" s="309">
        <v>1.0112095158597663</v>
      </c>
      <c r="AJ654" s="309">
        <v>1.0112095158597663</v>
      </c>
      <c r="AK654" s="309">
        <v>1.0112095158597663</v>
      </c>
      <c r="AL654" s="309">
        <v>1.0112095158597663</v>
      </c>
      <c r="AM654" s="309">
        <v>1.0112095158597663</v>
      </c>
      <c r="AN654" s="309">
        <v>1.0112095158597663</v>
      </c>
      <c r="AO654" s="309">
        <v>1.0112095158597663</v>
      </c>
      <c r="AP654" s="309">
        <v>1.0112095158597663</v>
      </c>
      <c r="AQ654" s="309">
        <v>1.0112095158597663</v>
      </c>
      <c r="AR654" s="309">
        <v>1.0112095158597663</v>
      </c>
      <c r="AS654" s="309">
        <v>1.0112095158597663</v>
      </c>
      <c r="AT654" s="309">
        <v>1.0112095158597663</v>
      </c>
      <c r="AU654" s="309" t="e">
        <v>#N/A</v>
      </c>
      <c r="AV654" s="309">
        <f ca="1">Calc!AS52</f>
        <v>1.0112095158597663</v>
      </c>
      <c r="AX654" s="88" t="str">
        <f t="shared" ca="1" si="51"/>
        <v>WBA</v>
      </c>
    </row>
    <row r="655" spans="1:50" hidden="1">
      <c r="A655" s="88" t="str">
        <f t="shared" ca="1" si="50"/>
        <v>XOM</v>
      </c>
      <c r="F655" s="255">
        <v>-3.06</v>
      </c>
      <c r="G655" s="255">
        <v>-1.49</v>
      </c>
      <c r="H655" s="255">
        <v>-0.77500000000000002</v>
      </c>
      <c r="I655" s="255">
        <v>-0.68</v>
      </c>
      <c r="J655" s="255">
        <v>1.9650000000000001</v>
      </c>
      <c r="K655" s="255">
        <v>0.05</v>
      </c>
      <c r="L655" s="255">
        <v>-0.2</v>
      </c>
      <c r="M655" s="255">
        <v>-1.1100000000000001</v>
      </c>
      <c r="N655" s="255">
        <v>-1.1100000000000001</v>
      </c>
      <c r="O655" s="255">
        <v>1.5</v>
      </c>
      <c r="P655" s="255">
        <v>7.0000000000000007E-2</v>
      </c>
      <c r="Q655" s="255">
        <v>-0.51500000000000001</v>
      </c>
      <c r="R655" s="255">
        <v>-0.97</v>
      </c>
      <c r="S655" s="255">
        <v>1.6</v>
      </c>
      <c r="T655" s="255">
        <v>0.46500000000000002</v>
      </c>
      <c r="U655" s="255">
        <v>0</v>
      </c>
      <c r="V655" s="255">
        <v>2.02</v>
      </c>
      <c r="W655" s="255">
        <v>2.02</v>
      </c>
      <c r="X655" s="255">
        <v>1.24</v>
      </c>
      <c r="Y655" s="255">
        <v>-0.57999999999999996</v>
      </c>
      <c r="Z655" s="247">
        <f ca="1">[1]ExtEntry!$L53</f>
        <v>-0.59</v>
      </c>
      <c r="AB655" s="309">
        <v>1.0931295550105116</v>
      </c>
      <c r="AC655" s="309">
        <v>1.1069960968686241</v>
      </c>
      <c r="AD655" s="309">
        <v>1.114460102701496</v>
      </c>
      <c r="AE655" s="309">
        <v>1.1211182283712156</v>
      </c>
      <c r="AF655" s="309">
        <v>1.1018645534413491</v>
      </c>
      <c r="AG655" s="309">
        <v>1.0922684463894967</v>
      </c>
      <c r="AH655" s="309">
        <v>1.0940879361739435</v>
      </c>
      <c r="AI655" s="309">
        <v>1.1052313346913472</v>
      </c>
      <c r="AJ655" s="309">
        <v>1.1052313346913472</v>
      </c>
      <c r="AK655" s="309">
        <v>1.1119279158870177</v>
      </c>
      <c r="AL655" s="309">
        <v>1.1111358739203989</v>
      </c>
      <c r="AM655" s="309">
        <v>1.1164542160590472</v>
      </c>
      <c r="AN655" s="309">
        <v>1.1279073571945046</v>
      </c>
      <c r="AO655" s="309">
        <v>1.1118288488952246</v>
      </c>
      <c r="AP655" s="309">
        <v>1.1072416485515284</v>
      </c>
      <c r="AQ655" s="309">
        <v>1.1072907719609582</v>
      </c>
      <c r="AR655" s="309">
        <v>1.0876986838664691</v>
      </c>
      <c r="AS655" s="309">
        <v>1.0847311078183561</v>
      </c>
      <c r="AT655" s="309">
        <v>1.0733178094006037</v>
      </c>
      <c r="AU655" s="309" t="e">
        <v>#N/A</v>
      </c>
      <c r="AV655" s="309">
        <f ca="1">Calc!AS53</f>
        <v>1.0785267354190138</v>
      </c>
      <c r="AX655" s="88" t="str">
        <f t="shared" ca="1" si="51"/>
        <v>XOM</v>
      </c>
    </row>
    <row r="656" spans="1:50" hidden="1">
      <c r="A656" s="88" t="str">
        <f t="shared" ca="1" si="50"/>
        <v>XPER</v>
      </c>
      <c r="F656" s="255">
        <v>-1.4999999999999999E-2</v>
      </c>
      <c r="G656" s="255">
        <v>-0.14000000000000001</v>
      </c>
      <c r="H656" s="255">
        <v>0.09</v>
      </c>
      <c r="I656" s="255">
        <v>0.17</v>
      </c>
      <c r="J656" s="255">
        <v>0.14000000000000001</v>
      </c>
      <c r="K656" s="255">
        <v>-0.3</v>
      </c>
      <c r="L656" s="255">
        <v>0.06</v>
      </c>
      <c r="M656" s="255">
        <v>0.06</v>
      </c>
      <c r="N656" s="255">
        <v>0.06</v>
      </c>
      <c r="O656" s="255">
        <v>0.24</v>
      </c>
      <c r="P656" s="255">
        <v>0.22</v>
      </c>
      <c r="Q656" s="255">
        <v>6.0100000000000001E-2</v>
      </c>
      <c r="R656" s="255">
        <v>-0.04</v>
      </c>
      <c r="S656" s="255">
        <v>-0.11</v>
      </c>
      <c r="T656" s="255">
        <v>0.12</v>
      </c>
      <c r="U656" s="255">
        <v>0.05</v>
      </c>
      <c r="V656" s="255">
        <v>-0.22</v>
      </c>
      <c r="W656" s="255">
        <v>-0.23</v>
      </c>
      <c r="X656" s="255">
        <v>0.06</v>
      </c>
      <c r="Y656" s="255">
        <v>0.08</v>
      </c>
      <c r="Z656" s="247">
        <f ca="1">[1]ExtEntry!$L54</f>
        <v>0.06</v>
      </c>
      <c r="AB656" s="309">
        <v>1.6704631738800304</v>
      </c>
      <c r="AC656" s="309">
        <v>1.6975308641975309</v>
      </c>
      <c r="AD656" s="309">
        <v>1.6742770167427701</v>
      </c>
      <c r="AE656" s="309">
        <v>1.6320474777448071</v>
      </c>
      <c r="AF656" s="309">
        <v>1.6034985422740524</v>
      </c>
      <c r="AG656" s="309">
        <v>1.6717325227963526</v>
      </c>
      <c r="AH656" s="309">
        <v>1.6566265060240966</v>
      </c>
      <c r="AI656" s="309">
        <v>1.6417910447761193</v>
      </c>
      <c r="AJ656" s="309">
        <v>1.6417910447761193</v>
      </c>
      <c r="AK656" s="309">
        <v>1.6845329249617151</v>
      </c>
      <c r="AL656" s="309">
        <v>1.639344262295082</v>
      </c>
      <c r="AM656" s="309">
        <v>1.6247913620182863</v>
      </c>
      <c r="AN656" s="309">
        <v>1.6369047619047619</v>
      </c>
      <c r="AO656" s="309">
        <v>1.664145234493192</v>
      </c>
      <c r="AP656" s="309">
        <v>1.6344725111441307</v>
      </c>
      <c r="AQ656" s="309">
        <v>1.6224188790560472</v>
      </c>
      <c r="AR656" s="309">
        <v>1.6768292682926831</v>
      </c>
      <c r="AS656" s="309">
        <v>1.7404580152671756</v>
      </c>
      <c r="AT656" s="309">
        <v>1.7246596066565809</v>
      </c>
      <c r="AU656" s="309" t="e">
        <v>#N/A</v>
      </c>
      <c r="AV656" s="309">
        <f ca="1">Calc!AS54</f>
        <v>1.7091454272863569</v>
      </c>
      <c r="AX656" s="88" t="str">
        <f t="shared" ca="1" si="51"/>
        <v>XPER</v>
      </c>
    </row>
    <row r="657" spans="1:50" hidden="1">
      <c r="A657" s="88" t="str">
        <f t="shared" ca="1" si="50"/>
        <v>MVEALDNE</v>
      </c>
      <c r="F657" s="255">
        <v>5.6000000000000001E-2</v>
      </c>
      <c r="G657" s="255">
        <v>2E-3</v>
      </c>
      <c r="H657" s="255">
        <v>1.2E-2</v>
      </c>
      <c r="I657" s="255">
        <v>-0.01</v>
      </c>
      <c r="J657" s="255">
        <v>-2E-3</v>
      </c>
      <c r="K657" s="255">
        <v>0</v>
      </c>
      <c r="L657" s="255">
        <v>-1.7999999999999999E-2</v>
      </c>
      <c r="M657" s="255">
        <v>0</v>
      </c>
      <c r="N657" s="255">
        <v>0</v>
      </c>
      <c r="O657" s="255">
        <v>0</v>
      </c>
      <c r="P657" s="255">
        <v>2E-3</v>
      </c>
      <c r="Q657" s="255">
        <v>-2E-3</v>
      </c>
      <c r="R657" s="255">
        <v>-8.0000000000000002E-3</v>
      </c>
      <c r="S657" s="255">
        <v>0</v>
      </c>
      <c r="T657" s="255">
        <v>-0.01</v>
      </c>
      <c r="U657" s="255">
        <v>0.01</v>
      </c>
      <c r="V657" s="255">
        <v>0.01</v>
      </c>
      <c r="W657" s="255">
        <v>0.01</v>
      </c>
      <c r="X657" s="255">
        <v>-2E-3</v>
      </c>
      <c r="Y657" s="255">
        <v>-1.2E-2</v>
      </c>
      <c r="Z657" s="247">
        <f ca="1">[1]ExtEntry!$L55</f>
        <v>-1.2E-2</v>
      </c>
      <c r="AB657" s="309">
        <v>1.7705889145496536</v>
      </c>
      <c r="AC657" s="309">
        <v>1.7665092165898619</v>
      </c>
      <c r="AD657" s="309">
        <v>1.7424204545454547</v>
      </c>
      <c r="AE657" s="309">
        <v>1.762448275862069</v>
      </c>
      <c r="AF657" s="309">
        <v>1.7665092165898619</v>
      </c>
      <c r="AG657" s="309">
        <v>1.8253928571428573</v>
      </c>
      <c r="AH657" s="309">
        <v>1.8653649635036498</v>
      </c>
      <c r="AI657" s="309">
        <v>1.8653649635036498</v>
      </c>
      <c r="AJ657" s="309">
        <v>1.8653649635036498</v>
      </c>
      <c r="AK657" s="309">
        <v>1.8297494033412889</v>
      </c>
      <c r="AL657" s="309">
        <v>1.8253928571428573</v>
      </c>
      <c r="AM657" s="309">
        <v>1.8297494033412889</v>
      </c>
      <c r="AN657" s="309">
        <v>1.8473855421686749</v>
      </c>
      <c r="AO657" s="309">
        <v>1.8473855421686749</v>
      </c>
      <c r="AP657" s="309">
        <v>1.8699146341463417</v>
      </c>
      <c r="AQ657" s="309">
        <v>1.8473855421686749</v>
      </c>
      <c r="AR657" s="309">
        <v>1.8253928571428573</v>
      </c>
      <c r="AS657" s="309">
        <v>1.8253928571428573</v>
      </c>
      <c r="AT657" s="309">
        <v>1.8297494033412889</v>
      </c>
      <c r="AU657" s="309" t="e">
        <v>#N/A</v>
      </c>
      <c r="AV657" s="309">
        <f ca="1">Calc!AS55</f>
        <v>1.8563317191283295</v>
      </c>
      <c r="AX657" s="88" t="str">
        <f t="shared" ca="1" si="51"/>
        <v>MVEALDNE</v>
      </c>
    </row>
    <row r="658" spans="1:50" hidden="1">
      <c r="A658" s="88" t="str">
        <f t="shared" ca="1" si="50"/>
        <v>MVEDDD</v>
      </c>
      <c r="F658" s="255">
        <v>-0.14000000000000001</v>
      </c>
      <c r="G658" s="255">
        <v>-0.06</v>
      </c>
      <c r="H658" s="255">
        <v>-3.5000000000000003E-2</v>
      </c>
      <c r="I658" s="255">
        <v>0.125</v>
      </c>
      <c r="J658" s="255">
        <v>0.13</v>
      </c>
      <c r="K658" s="255">
        <v>-3.5000000000000003E-2</v>
      </c>
      <c r="L658" s="255">
        <v>0.105</v>
      </c>
      <c r="M658" s="255">
        <v>-0.05</v>
      </c>
      <c r="N658" s="255">
        <v>-0.05</v>
      </c>
      <c r="O658" s="255">
        <v>0.22</v>
      </c>
      <c r="P658" s="255">
        <v>-0.03</v>
      </c>
      <c r="Q658" s="255">
        <v>0.17</v>
      </c>
      <c r="R658" s="255">
        <v>-0.01</v>
      </c>
      <c r="S658" s="255">
        <v>-0.15</v>
      </c>
      <c r="T658" s="255">
        <v>0.67500000000000004</v>
      </c>
      <c r="U658" s="255">
        <v>-0.41</v>
      </c>
      <c r="V658" s="255">
        <v>-0.375</v>
      </c>
      <c r="W658" s="255">
        <v>-0.375</v>
      </c>
      <c r="X658" s="255">
        <v>6.5000000000000002E-2</v>
      </c>
      <c r="Y658" s="255">
        <v>4.4999999999999998E-2</v>
      </c>
      <c r="Z658" s="247">
        <f ca="1">[1]ExtEntry!$L56</f>
        <v>0.05</v>
      </c>
      <c r="AB658" s="309">
        <v>1.0942760942760943</v>
      </c>
      <c r="AC658" s="309">
        <v>1.1206896551724139</v>
      </c>
      <c r="AD658" s="309">
        <v>1.1343804537521813</v>
      </c>
      <c r="AE658" s="309">
        <v>1.0851419031719531</v>
      </c>
      <c r="AF658" s="309">
        <v>1.0416666666666667</v>
      </c>
      <c r="AG658" s="309">
        <v>1.0366826156299842</v>
      </c>
      <c r="AH658" s="309">
        <v>1.0015408320493067</v>
      </c>
      <c r="AI658" s="309">
        <v>1.0220125786163521</v>
      </c>
      <c r="AJ658" s="309">
        <v>1.0220125786163521</v>
      </c>
      <c r="AK658" s="309">
        <v>1.045016077170418</v>
      </c>
      <c r="AL658" s="309">
        <v>1.0551948051948052</v>
      </c>
      <c r="AM658" s="309">
        <v>1</v>
      </c>
      <c r="AN658" s="309">
        <v>0.99693251533742333</v>
      </c>
      <c r="AO658" s="309">
        <v>1.045016077170418</v>
      </c>
      <c r="AP658" s="309">
        <v>0.85865257595772781</v>
      </c>
      <c r="AQ658" s="309">
        <v>0.96439169139465875</v>
      </c>
      <c r="AR658" s="309">
        <v>1.08153078202995</v>
      </c>
      <c r="AS658" s="309">
        <v>1.08153078202995</v>
      </c>
      <c r="AT658" s="309">
        <v>1.056910569105691</v>
      </c>
      <c r="AU658" s="309" t="e">
        <v>#N/A</v>
      </c>
      <c r="AV658" s="309">
        <f ca="1">Calc!AS56</f>
        <v>1.0383386581469649</v>
      </c>
      <c r="AX658" s="88" t="str">
        <f t="shared" ca="1" si="51"/>
        <v>MVEDDD</v>
      </c>
    </row>
    <row r="659" spans="1:50" hidden="1">
      <c r="A659" s="88" t="str">
        <f t="shared" ca="1" si="50"/>
        <v>MVEDSY</v>
      </c>
      <c r="F659" s="255">
        <v>0.25</v>
      </c>
      <c r="G659" s="255">
        <v>-0.03</v>
      </c>
      <c r="H659" s="255">
        <v>-0.01</v>
      </c>
      <c r="I659" s="255">
        <v>0.02</v>
      </c>
      <c r="J659" s="255">
        <v>0.01</v>
      </c>
      <c r="K659" s="255">
        <v>-0.16520000000000001</v>
      </c>
      <c r="L659" s="255">
        <v>-0.28000000000000003</v>
      </c>
      <c r="M659" s="255">
        <v>0.16</v>
      </c>
      <c r="N659" s="255">
        <v>0.43</v>
      </c>
      <c r="O659" s="255">
        <v>0.31</v>
      </c>
      <c r="P659" s="255">
        <v>-0.46</v>
      </c>
      <c r="Q659" s="255">
        <v>0.53</v>
      </c>
      <c r="R659" s="255">
        <v>0.5</v>
      </c>
      <c r="S659" s="255">
        <v>-0.05</v>
      </c>
      <c r="T659" s="255">
        <v>0.45</v>
      </c>
      <c r="U659" s="255">
        <v>0.49</v>
      </c>
      <c r="V659" s="255">
        <v>-0.15</v>
      </c>
      <c r="W659" s="255">
        <v>-0.15</v>
      </c>
      <c r="X659" s="255">
        <v>-3.91</v>
      </c>
      <c r="Y659" s="255">
        <v>-0.52</v>
      </c>
      <c r="Z659" s="247">
        <f ca="1">[1]ExtEntry!$L57</f>
        <v>-0.52</v>
      </c>
      <c r="AB659" s="309">
        <v>1.2562306605439775</v>
      </c>
      <c r="AC659" s="309">
        <v>34.196048076923077</v>
      </c>
      <c r="AD659" s="309">
        <v>34.528048543689323</v>
      </c>
      <c r="AE659" s="309">
        <v>33.870371428571431</v>
      </c>
      <c r="AF659" s="309">
        <v>33.550839622641512</v>
      </c>
      <c r="AG659" s="309">
        <v>40.653737997256513</v>
      </c>
      <c r="AH659" s="309">
        <v>1.2361449426485924</v>
      </c>
      <c r="AI659" s="309">
        <v>1.2293083304528172</v>
      </c>
      <c r="AJ659" s="309">
        <v>1.2113041553133514</v>
      </c>
      <c r="AK659" s="309">
        <v>1.2344286706004861</v>
      </c>
      <c r="AL659" s="309">
        <v>1.2544582010582011</v>
      </c>
      <c r="AM659" s="309">
        <v>1.2314366343490306</v>
      </c>
      <c r="AN659" s="309">
        <v>1.2104795779441797</v>
      </c>
      <c r="AO659" s="309">
        <v>1.2125431299011251</v>
      </c>
      <c r="AP659" s="309">
        <v>1.1942206178643384</v>
      </c>
      <c r="AQ659" s="309">
        <v>1.1748889990089197</v>
      </c>
      <c r="AR659" s="309">
        <v>1.1807400398406374</v>
      </c>
      <c r="AS659" s="309">
        <v>1.1737310756972112</v>
      </c>
      <c r="AT659" s="309">
        <v>1.3488279282716522</v>
      </c>
      <c r="AU659" s="309" t="e">
        <v>#N/A</v>
      </c>
      <c r="AV659" s="309">
        <f ca="1">Calc!AS57</f>
        <v>1.3841961852861036</v>
      </c>
      <c r="AX659" s="88" t="str">
        <f t="shared" ca="1" si="51"/>
        <v>MVEDSY</v>
      </c>
    </row>
    <row r="660" spans="1:50" hidden="1">
      <c r="A660" s="88" t="str">
        <f t="shared" ca="1" si="50"/>
        <v>MVEEOAN</v>
      </c>
      <c r="F660" s="255">
        <v>-0.05</v>
      </c>
      <c r="G660" s="255">
        <v>0</v>
      </c>
      <c r="H660" s="255">
        <v>0.09</v>
      </c>
      <c r="I660" s="255">
        <v>-0.2</v>
      </c>
      <c r="J660" s="255">
        <v>0.16</v>
      </c>
      <c r="K660" s="255">
        <v>0.04</v>
      </c>
      <c r="L660" s="255">
        <v>6.5000000000000002E-2</v>
      </c>
      <c r="M660" s="255">
        <v>-5.0000000000000001E-3</v>
      </c>
      <c r="N660" s="255">
        <v>5.0000000000000001E-3</v>
      </c>
      <c r="O660" s="255">
        <v>0.19</v>
      </c>
      <c r="P660" s="255">
        <v>0.11</v>
      </c>
      <c r="Q660" s="255">
        <v>-0.17</v>
      </c>
      <c r="R660" s="255">
        <v>0.05</v>
      </c>
      <c r="S660" s="255">
        <v>0.02</v>
      </c>
      <c r="T660" s="255">
        <v>0.15</v>
      </c>
      <c r="U660" s="255">
        <v>-5.5E-2</v>
      </c>
      <c r="V660" s="255">
        <v>-0.26500000000000001</v>
      </c>
      <c r="W660" s="255">
        <v>-0.26500000000000001</v>
      </c>
      <c r="X660" s="255">
        <v>-0.12</v>
      </c>
      <c r="Y660" s="255">
        <v>0.08</v>
      </c>
      <c r="Z660" s="247">
        <f ca="1">[1]ExtEntry!$L58</f>
        <v>0.05</v>
      </c>
      <c r="AB660" s="309">
        <v>1.055185254607935</v>
      </c>
      <c r="AC660" s="309">
        <v>1.0509172370877411</v>
      </c>
      <c r="AD660" s="309">
        <v>1.0450643564356434</v>
      </c>
      <c r="AE660" s="309">
        <v>1.0581604010025061</v>
      </c>
      <c r="AF660" s="309">
        <v>1.0476575682382132</v>
      </c>
      <c r="AG660" s="309">
        <v>1.0479826248836488</v>
      </c>
      <c r="AH660" s="309">
        <v>1.0437725587144624</v>
      </c>
      <c r="AI660" s="309">
        <v>1.0440952086553323</v>
      </c>
      <c r="AJ660" s="309">
        <v>1.0437725587144624</v>
      </c>
      <c r="AK660" s="309">
        <v>1.0386371463714636</v>
      </c>
      <c r="AL660" s="309">
        <v>1.0316579108124617</v>
      </c>
      <c r="AM660" s="309">
        <v>1.042483950617284</v>
      </c>
      <c r="AN660" s="309">
        <v>1.0392763076923077</v>
      </c>
      <c r="AO660" s="309">
        <v>1.0379987707437002</v>
      </c>
      <c r="AP660" s="309">
        <v>1.0285164433617537</v>
      </c>
      <c r="AQ660" s="309">
        <v>1.0319731133516652</v>
      </c>
      <c r="AR660" s="309">
        <v>1.04895900621118</v>
      </c>
      <c r="AS660" s="309">
        <v>1.0485931677018632</v>
      </c>
      <c r="AT660" s="309">
        <v>1.0564674593241552</v>
      </c>
      <c r="AU660" s="309" t="e">
        <v>#N/A</v>
      </c>
      <c r="AV660" s="309">
        <f ca="1">Calc!AS58</f>
        <v>1.0495710289089213</v>
      </c>
      <c r="AX660" s="88" t="str">
        <f t="shared" ca="1" si="51"/>
        <v>MVEEOAN</v>
      </c>
    </row>
    <row r="661" spans="1:50" hidden="1">
      <c r="A661" s="88" t="str">
        <f t="shared" ca="1" si="50"/>
        <v>MVEENI</v>
      </c>
      <c r="F661" s="255">
        <v>-0.26400000000000001</v>
      </c>
      <c r="G661" s="255">
        <v>-0.216</v>
      </c>
      <c r="H661" s="255">
        <v>0.12</v>
      </c>
      <c r="I661" s="255">
        <v>-0.11</v>
      </c>
      <c r="J661" s="255">
        <v>0.03</v>
      </c>
      <c r="K661" s="255">
        <v>6.6000000000000003E-2</v>
      </c>
      <c r="L661" s="255">
        <v>0.112</v>
      </c>
      <c r="M661" s="255">
        <v>9.1999999999999998E-2</v>
      </c>
      <c r="N661" s="255">
        <v>-0.17599999999999999</v>
      </c>
      <c r="O661" s="255">
        <v>1.7999999999999999E-2</v>
      </c>
      <c r="P661" s="255">
        <v>-0.27200000000000002</v>
      </c>
      <c r="Q661" s="255">
        <v>2.1999999999999999E-2</v>
      </c>
      <c r="R661" s="255">
        <v>4.3999999999999997E-2</v>
      </c>
      <c r="S661" s="255">
        <v>7.8E-2</v>
      </c>
      <c r="T661" s="255">
        <v>3.2000000000000001E-2</v>
      </c>
      <c r="U661" s="255">
        <v>2.4E-2</v>
      </c>
      <c r="V661" s="255">
        <v>0.22600000000000001</v>
      </c>
      <c r="W661" s="255">
        <v>0.22600000000000001</v>
      </c>
      <c r="X661" s="255">
        <v>0.46</v>
      </c>
      <c r="Y661" s="255">
        <v>0.25</v>
      </c>
      <c r="Z661" s="247">
        <f ca="1">[1]ExtEntry!$L59</f>
        <v>0.25</v>
      </c>
      <c r="AB661" s="309">
        <v>1.0277151571409626</v>
      </c>
      <c r="AC661" s="309">
        <v>1.0426476523610924</v>
      </c>
      <c r="AD661" s="309">
        <v>1.0342986787668491</v>
      </c>
      <c r="AE661" s="309">
        <v>1.0419467598816887</v>
      </c>
      <c r="AF661" s="309">
        <v>1.0398497249429759</v>
      </c>
      <c r="AG661" s="309">
        <v>1.0214841175695268</v>
      </c>
      <c r="AH661" s="309">
        <v>1.0139997383226482</v>
      </c>
      <c r="AI661" s="309">
        <v>1.0079334113668879</v>
      </c>
      <c r="AJ661" s="309">
        <v>1.0196026838573873</v>
      </c>
      <c r="AK661" s="309">
        <v>1.0352658295484904</v>
      </c>
      <c r="AL661" s="309">
        <v>1.0544217687074831</v>
      </c>
      <c r="AM661" s="309">
        <v>1.0528460806955577</v>
      </c>
      <c r="AN661" s="309">
        <v>1.0497087904645808</v>
      </c>
      <c r="AO661" s="309">
        <v>1.0441929399083805</v>
      </c>
      <c r="AP661" s="309">
        <v>1.0419467598816887</v>
      </c>
      <c r="AQ661" s="309">
        <v>1.0402684563758389</v>
      </c>
      <c r="AR661" s="309">
        <v>1.0247256379743488</v>
      </c>
      <c r="AS661" s="309">
        <v>1.030435012561153</v>
      </c>
      <c r="AT661" s="309">
        <v>1.0000230976517388</v>
      </c>
      <c r="AU661" s="309" t="e">
        <v>#N/A</v>
      </c>
      <c r="AV661" s="309">
        <f ca="1">Calc!AS59</f>
        <v>0.96173276079818137</v>
      </c>
      <c r="AX661" s="88" t="str">
        <f t="shared" ca="1" si="51"/>
        <v>MVEENI</v>
      </c>
    </row>
    <row r="662" spans="1:50" hidden="1">
      <c r="A662" s="88" t="str">
        <f t="shared" ca="1" si="50"/>
        <v>MVEEPIX</v>
      </c>
      <c r="F662" s="255">
        <v>-8.8000000000000005E-3</v>
      </c>
      <c r="G662" s="255">
        <v>-2.3999999999999998E-3</v>
      </c>
      <c r="H662" s="255">
        <v>1.49E-2</v>
      </c>
      <c r="I662" s="255">
        <v>1.15E-2</v>
      </c>
      <c r="J662" s="255">
        <v>-1.1299999999999999E-2</v>
      </c>
      <c r="K662" s="255">
        <v>8.0000000000000004E-4</v>
      </c>
      <c r="L662" s="255">
        <v>-3.8E-3</v>
      </c>
      <c r="M662" s="255">
        <v>-3.8E-3</v>
      </c>
      <c r="N662" s="255">
        <v>-3.8E-3</v>
      </c>
      <c r="O662" s="255">
        <v>0</v>
      </c>
      <c r="P662" s="255">
        <v>0</v>
      </c>
      <c r="Q662" s="255">
        <v>0</v>
      </c>
      <c r="R662" s="255">
        <v>0</v>
      </c>
      <c r="S662" s="255">
        <v>0</v>
      </c>
      <c r="T662" s="255">
        <v>0</v>
      </c>
      <c r="U662" s="255">
        <v>0</v>
      </c>
      <c r="V662" s="255">
        <v>0</v>
      </c>
      <c r="W662" s="255">
        <v>0</v>
      </c>
      <c r="X662" s="255">
        <v>0</v>
      </c>
      <c r="Y662" s="255">
        <v>0</v>
      </c>
      <c r="Z662" s="247">
        <f ca="1">[1]ExtEntry!$L60</f>
        <v>0</v>
      </c>
      <c r="AB662" s="309">
        <v>0</v>
      </c>
      <c r="AC662" s="309">
        <v>0</v>
      </c>
      <c r="AD662" s="309">
        <v>0</v>
      </c>
      <c r="AE662" s="309">
        <v>0</v>
      </c>
      <c r="AF662" s="309">
        <v>0</v>
      </c>
      <c r="AG662" s="309">
        <v>0</v>
      </c>
      <c r="AH662" s="309">
        <v>0</v>
      </c>
      <c r="AI662" s="309">
        <v>0</v>
      </c>
      <c r="AJ662" s="309">
        <v>0</v>
      </c>
      <c r="AK662" s="309">
        <v>0</v>
      </c>
      <c r="AL662" s="309">
        <v>0</v>
      </c>
      <c r="AM662" s="309">
        <v>0</v>
      </c>
      <c r="AN662" s="309">
        <v>0</v>
      </c>
      <c r="AO662" s="309">
        <v>0</v>
      </c>
      <c r="AP662" s="309">
        <v>0</v>
      </c>
      <c r="AQ662" s="309">
        <v>0</v>
      </c>
      <c r="AR662" s="309">
        <v>0</v>
      </c>
      <c r="AS662" s="309">
        <v>0</v>
      </c>
      <c r="AT662" s="309">
        <v>0</v>
      </c>
      <c r="AU662" s="309" t="e">
        <v>#N/A</v>
      </c>
      <c r="AV662" s="309">
        <f ca="1">Calc!AS60</f>
        <v>0</v>
      </c>
      <c r="AX662" s="88" t="str">
        <f t="shared" ca="1" si="51"/>
        <v>MVEEPIX</v>
      </c>
    </row>
    <row r="663" spans="1:50" hidden="1">
      <c r="A663" s="88" t="str">
        <f t="shared" ca="1" si="50"/>
        <v>MVEGLE</v>
      </c>
      <c r="F663" s="255">
        <v>-0.74</v>
      </c>
      <c r="G663" s="255">
        <v>-0.26</v>
      </c>
      <c r="H663" s="255">
        <v>0.46</v>
      </c>
      <c r="I663" s="255">
        <v>-0.1</v>
      </c>
      <c r="J663" s="255">
        <v>0</v>
      </c>
      <c r="K663" s="255">
        <v>-0.42</v>
      </c>
      <c r="L663" s="255">
        <v>1.1200000000000001</v>
      </c>
      <c r="M663" s="255">
        <v>-0.06</v>
      </c>
      <c r="N663" s="255">
        <v>-0.12</v>
      </c>
      <c r="O663" s="255">
        <v>-0.14000000000000001</v>
      </c>
      <c r="P663" s="255">
        <v>1.3</v>
      </c>
      <c r="Q663" s="255">
        <v>0.54</v>
      </c>
      <c r="R663" s="255">
        <v>0.96</v>
      </c>
      <c r="S663" s="255">
        <v>-2.88</v>
      </c>
      <c r="T663" s="255">
        <v>-0.64</v>
      </c>
      <c r="U663" s="255">
        <v>0.12</v>
      </c>
      <c r="V663" s="255">
        <v>-0.24</v>
      </c>
      <c r="W663" s="255">
        <v>-0.24</v>
      </c>
      <c r="X663" s="255">
        <v>0.7</v>
      </c>
      <c r="Y663" s="255">
        <v>0.1</v>
      </c>
      <c r="Z663" s="247">
        <f ca="1">[1]ExtEntry!$L61</f>
        <v>0.1</v>
      </c>
      <c r="AB663" s="309">
        <v>1.0914969975273754</v>
      </c>
      <c r="AC663" s="309">
        <v>1.0965322924059617</v>
      </c>
      <c r="AD663" s="309">
        <v>1.0876550510383667</v>
      </c>
      <c r="AE663" s="309">
        <v>1.0895726375176304</v>
      </c>
      <c r="AF663" s="309">
        <v>1.0895726375176304</v>
      </c>
      <c r="AG663" s="309">
        <v>1.1594851782363977</v>
      </c>
      <c r="AH663" s="309">
        <v>1.1356221977214258</v>
      </c>
      <c r="AI663" s="309">
        <v>1.1368756438557763</v>
      </c>
      <c r="AJ663" s="309">
        <v>1.139390855457227</v>
      </c>
      <c r="AK663" s="309">
        <v>1.1504199553239016</v>
      </c>
      <c r="AL663" s="309">
        <v>1.1232380952380951</v>
      </c>
      <c r="AM663" s="309">
        <v>1.1123210943124548</v>
      </c>
      <c r="AN663" s="309">
        <v>1.0934281670205237</v>
      </c>
      <c r="AO663" s="309">
        <v>1.1521357196122297</v>
      </c>
      <c r="AP663" s="309">
        <v>1.1660483018867924</v>
      </c>
      <c r="AQ663" s="309">
        <v>1.1634141566265059</v>
      </c>
      <c r="AR663" s="309">
        <v>1.1686944024205748</v>
      </c>
      <c r="AS663" s="309">
        <v>1.1943498487140696</v>
      </c>
      <c r="AT663" s="309">
        <v>1.1787461739455021</v>
      </c>
      <c r="AU663" s="309" t="e">
        <v>#N/A</v>
      </c>
      <c r="AV663" s="309">
        <f ca="1">Calc!AS61</f>
        <v>1.1305886736214605</v>
      </c>
      <c r="AX663" s="88" t="str">
        <f t="shared" ca="1" si="51"/>
        <v>MVEGLE</v>
      </c>
    </row>
    <row r="664" spans="1:50" hidden="1">
      <c r="A664" s="88" t="str">
        <f t="shared" ca="1" si="50"/>
        <v>MVEORA</v>
      </c>
      <c r="F664" s="255">
        <v>-0.06</v>
      </c>
      <c r="G664" s="255">
        <v>0</v>
      </c>
      <c r="H664" s="255">
        <v>-0.105</v>
      </c>
      <c r="I664" s="255">
        <v>-0.17</v>
      </c>
      <c r="J664" s="255">
        <v>-0.215</v>
      </c>
      <c r="K664" s="255">
        <v>0.03</v>
      </c>
      <c r="L664" s="255">
        <v>0.17499999999999999</v>
      </c>
      <c r="M664" s="255">
        <v>0.17</v>
      </c>
      <c r="N664" s="255">
        <v>0.02</v>
      </c>
      <c r="O664" s="255">
        <v>-0.16</v>
      </c>
      <c r="P664" s="255">
        <v>0.14000000000000001</v>
      </c>
      <c r="Q664" s="255">
        <v>0.44500000000000001</v>
      </c>
      <c r="R664" s="255">
        <v>7.0000000000000007E-2</v>
      </c>
      <c r="S664" s="255">
        <v>0.25</v>
      </c>
      <c r="T664" s="255">
        <v>-0.17499999999999999</v>
      </c>
      <c r="U664" s="255">
        <v>-3.5000000000000003E-2</v>
      </c>
      <c r="V664" s="255">
        <v>-5.5E-2</v>
      </c>
      <c r="W664" s="255">
        <v>-5.5E-2</v>
      </c>
      <c r="X664" s="255">
        <v>0.08</v>
      </c>
      <c r="Y664" s="255">
        <v>-0.23</v>
      </c>
      <c r="Z664" s="247">
        <f ca="1">[1]ExtEntry!$L62</f>
        <v>-0.23</v>
      </c>
      <c r="AB664" s="309">
        <v>1.0944846715328469</v>
      </c>
      <c r="AC664" s="309">
        <v>0.32617881226887102</v>
      </c>
      <c r="AD664" s="309">
        <v>1.0940853703028093</v>
      </c>
      <c r="AE664" s="309">
        <v>1.1078271148873291</v>
      </c>
      <c r="AF664" s="309">
        <v>1.1257087087087088</v>
      </c>
      <c r="AG664" s="309">
        <v>1.1346530457813091</v>
      </c>
      <c r="AH664" s="309">
        <v>1.1198237490664675</v>
      </c>
      <c r="AI664" s="309">
        <v>1.1057846607669617</v>
      </c>
      <c r="AJ664" s="309">
        <v>1.104156111929308</v>
      </c>
      <c r="AK664" s="309">
        <v>1.1164884586746091</v>
      </c>
      <c r="AL664" s="309">
        <v>1.1049697862932941</v>
      </c>
      <c r="AM664" s="309">
        <v>1.0698851230824118</v>
      </c>
      <c r="AN664" s="309">
        <v>1.0645679801206958</v>
      </c>
      <c r="AO664" s="309">
        <v>1.0460020927799094</v>
      </c>
      <c r="AP664" s="309">
        <v>1.0589293785310736</v>
      </c>
      <c r="AQ664" s="309">
        <v>1.0615532743362832</v>
      </c>
      <c r="AR664" s="309">
        <v>1.0657029140014216</v>
      </c>
      <c r="AS664" s="309">
        <v>1.0866304193319118</v>
      </c>
      <c r="AT664" s="309">
        <v>1.0804869257950529</v>
      </c>
      <c r="AU664" s="309" t="e">
        <v>#N/A</v>
      </c>
      <c r="AV664" s="309">
        <f ca="1">Calc!AS62</f>
        <v>1.0718390804597702</v>
      </c>
      <c r="AX664" s="88" t="str">
        <f t="shared" ca="1" si="51"/>
        <v>MVEORA</v>
      </c>
    </row>
    <row r="665" spans="1:50" hidden="1">
      <c r="A665" s="88" t="str">
        <f t="shared" ca="1" si="50"/>
        <v>MVERWE</v>
      </c>
      <c r="F665" s="255">
        <v>-0.13</v>
      </c>
      <c r="G665" s="255">
        <v>0.14000000000000001</v>
      </c>
      <c r="H665" s="255">
        <v>1.1399999999999999</v>
      </c>
      <c r="I665" s="255">
        <v>-0.11</v>
      </c>
      <c r="J665" s="255">
        <v>0.28999999999999998</v>
      </c>
      <c r="K665" s="255">
        <v>-0.06</v>
      </c>
      <c r="L665" s="255">
        <v>0.77</v>
      </c>
      <c r="M665" s="255">
        <v>-0.27</v>
      </c>
      <c r="N665" s="255">
        <v>0.32</v>
      </c>
      <c r="O665" s="255">
        <v>0.63</v>
      </c>
      <c r="P665" s="255">
        <v>-0.38</v>
      </c>
      <c r="Q665" s="255">
        <v>0.11</v>
      </c>
      <c r="R665" s="255">
        <v>0.61</v>
      </c>
      <c r="S665" s="255">
        <v>-0.32</v>
      </c>
      <c r="T665" s="255">
        <v>-0.14000000000000001</v>
      </c>
      <c r="U665" s="255">
        <v>-0.45</v>
      </c>
      <c r="V665" s="255">
        <v>-0.25</v>
      </c>
      <c r="W665" s="255">
        <v>-0.25</v>
      </c>
      <c r="X665" s="255">
        <v>-0.22</v>
      </c>
      <c r="Y665" s="255">
        <v>0.48</v>
      </c>
      <c r="Z665" s="247">
        <f ca="1">[1]ExtEntry!$L63</f>
        <v>0.13</v>
      </c>
      <c r="AB665" s="309">
        <v>1.1450502911593434</v>
      </c>
      <c r="AC665" s="309">
        <v>1.1408227848101264</v>
      </c>
      <c r="AD665" s="309">
        <v>1.108094262295082</v>
      </c>
      <c r="AE665" s="309">
        <v>1.1112252761366554</v>
      </c>
      <c r="AF665" s="309">
        <v>1.1030086690464049</v>
      </c>
      <c r="AG665" s="309">
        <v>1.0891238670694865</v>
      </c>
      <c r="AH665" s="309">
        <v>1.0684119535687824</v>
      </c>
      <c r="AI665" s="309">
        <v>1.0755842864246643</v>
      </c>
      <c r="AJ665" s="309">
        <v>1.0670942279230389</v>
      </c>
      <c r="AK665" s="309">
        <v>1.05615234375</v>
      </c>
      <c r="AL665" s="309">
        <v>1.0660423854115328</v>
      </c>
      <c r="AM665" s="309">
        <v>1.0631604816908331</v>
      </c>
      <c r="AN665" s="309">
        <v>1.0454325761237311</v>
      </c>
      <c r="AO665" s="309">
        <v>1.0535801266439355</v>
      </c>
      <c r="AP665" s="309">
        <v>1.0571847507331378</v>
      </c>
      <c r="AQ665" s="309">
        <v>1.0689399555226093</v>
      </c>
      <c r="AR665" s="309">
        <v>1.0755842864246643</v>
      </c>
      <c r="AS665" s="309">
        <v>1.0935442565887619</v>
      </c>
      <c r="AT665" s="309">
        <v>1.0995587499999999</v>
      </c>
      <c r="AU665" s="309" t="e">
        <v>#N/A</v>
      </c>
      <c r="AV665" s="309">
        <f ca="1">Calc!AS63</f>
        <v>1.0841101799359132</v>
      </c>
      <c r="AX665" s="88" t="str">
        <f t="shared" ca="1" si="51"/>
        <v>MVERWE</v>
      </c>
    </row>
    <row r="666" spans="1:50" hidden="1">
      <c r="A666" s="88" t="str">
        <f t="shared" ca="1" si="50"/>
        <v>MVESAP</v>
      </c>
      <c r="F666" s="255">
        <v>0.4</v>
      </c>
      <c r="G666" s="255">
        <v>2.35</v>
      </c>
      <c r="H666" s="255">
        <v>-0.1</v>
      </c>
      <c r="I666" s="255">
        <v>4.3</v>
      </c>
      <c r="J666" s="255">
        <v>-1.95</v>
      </c>
      <c r="K666" s="255">
        <v>3.4</v>
      </c>
      <c r="L666" s="255">
        <v>2.2000000000000002</v>
      </c>
      <c r="M666" s="255">
        <v>0.6</v>
      </c>
      <c r="N666" s="255">
        <v>0.2</v>
      </c>
      <c r="O666" s="255">
        <v>0.85</v>
      </c>
      <c r="P666" s="255">
        <v>1.3</v>
      </c>
      <c r="Q666" s="255">
        <v>1.5</v>
      </c>
      <c r="R666" s="255">
        <v>-1</v>
      </c>
      <c r="S666" s="255">
        <v>-2.25</v>
      </c>
      <c r="T666" s="255">
        <v>7.65</v>
      </c>
      <c r="U666" s="255">
        <v>1.8</v>
      </c>
      <c r="V666" s="255">
        <v>-3.55</v>
      </c>
      <c r="W666" s="255">
        <v>-3.55</v>
      </c>
      <c r="X666" s="255">
        <v>5.15</v>
      </c>
      <c r="Y666" s="255">
        <v>-8.65</v>
      </c>
      <c r="Z666" s="247">
        <f ca="1">[1]ExtEntry!$L64</f>
        <v>-8.65</v>
      </c>
      <c r="AB666" s="309">
        <v>1.294215783639991</v>
      </c>
      <c r="AC666" s="309">
        <v>1.2808704256252743</v>
      </c>
      <c r="AD666" s="309">
        <v>1.2814327041264266</v>
      </c>
      <c r="AE666" s="309">
        <v>1.2576922447221026</v>
      </c>
      <c r="AF666" s="309">
        <v>1.2683483380404084</v>
      </c>
      <c r="AG666" s="309">
        <v>1.2421717872340425</v>
      </c>
      <c r="AH666" s="309">
        <v>1.2306508010118045</v>
      </c>
      <c r="AI666" s="309">
        <v>1.2275457106812446</v>
      </c>
      <c r="AJ666" s="309">
        <v>1.2265141596638656</v>
      </c>
      <c r="AK666" s="309">
        <v>1.2614968452895419</v>
      </c>
      <c r="AL666" s="309">
        <v>1.2544493768801033</v>
      </c>
      <c r="AM666" s="309">
        <v>1.246414901793339</v>
      </c>
      <c r="AN666" s="309">
        <v>1.2517597341337907</v>
      </c>
      <c r="AO666" s="309">
        <v>1.2639548387096775</v>
      </c>
      <c r="AP666" s="309">
        <v>1.2234298826487846</v>
      </c>
      <c r="AQ666" s="309">
        <v>1.2142694259567388</v>
      </c>
      <c r="AR666" s="309">
        <v>1.2324693687988177</v>
      </c>
      <c r="AS666" s="309">
        <v>1.2142820350432766</v>
      </c>
      <c r="AT666" s="309">
        <v>1.1884409090909092</v>
      </c>
      <c r="AU666" s="309" t="e">
        <v>#N/A</v>
      </c>
      <c r="AV666" s="309">
        <f ca="1">Calc!AS64</f>
        <v>1.2324949646453827</v>
      </c>
      <c r="AX666" s="88" t="str">
        <f t="shared" ca="1" si="51"/>
        <v>MVESAP</v>
      </c>
    </row>
    <row r="667" spans="1:50" hidden="1">
      <c r="A667" s="88" t="str">
        <f t="shared" ca="1" si="50"/>
        <v>MVEUN0</v>
      </c>
      <c r="F667" s="255">
        <v>0.8</v>
      </c>
      <c r="G667" s="255">
        <v>-0.9</v>
      </c>
      <c r="H667" s="255">
        <v>-0.1</v>
      </c>
      <c r="I667" s="255">
        <v>-0.2</v>
      </c>
      <c r="J667" s="255">
        <v>0.2</v>
      </c>
      <c r="K667" s="255">
        <v>-1.1000000000000001</v>
      </c>
      <c r="L667" s="255">
        <v>1.1000000000000001</v>
      </c>
      <c r="M667" s="255">
        <v>0.4</v>
      </c>
      <c r="N667" s="255">
        <v>-0.75</v>
      </c>
      <c r="O667" s="255">
        <v>0.1</v>
      </c>
      <c r="P667" s="255">
        <v>-0.35</v>
      </c>
      <c r="Q667" s="255">
        <v>0.05</v>
      </c>
      <c r="R667" s="255">
        <v>0.15</v>
      </c>
      <c r="S667" s="255">
        <v>-0.2</v>
      </c>
      <c r="T667" s="255">
        <v>1.45</v>
      </c>
      <c r="U667" s="255">
        <v>-1.3</v>
      </c>
      <c r="V667" s="255">
        <v>0.1</v>
      </c>
      <c r="W667" s="255">
        <v>0.1</v>
      </c>
      <c r="X667" s="255">
        <v>-0.85</v>
      </c>
      <c r="Y667" s="255">
        <v>-0.8</v>
      </c>
      <c r="Z667" s="247">
        <f ca="1">[1]ExtEntry!$L65</f>
        <v>-0.8</v>
      </c>
      <c r="AB667" s="309">
        <v>0</v>
      </c>
      <c r="AC667" s="309">
        <v>0</v>
      </c>
      <c r="AD667" s="309">
        <v>0</v>
      </c>
      <c r="AE667" s="309">
        <v>0</v>
      </c>
      <c r="AF667" s="309">
        <v>0</v>
      </c>
      <c r="AG667" s="309">
        <v>0</v>
      </c>
      <c r="AH667" s="309">
        <v>0</v>
      </c>
      <c r="AI667" s="309">
        <v>0</v>
      </c>
      <c r="AJ667" s="309">
        <v>0</v>
      </c>
      <c r="AK667" s="309">
        <v>0</v>
      </c>
      <c r="AL667" s="309">
        <v>0</v>
      </c>
      <c r="AM667" s="309">
        <v>0</v>
      </c>
      <c r="AN667" s="309">
        <v>0</v>
      </c>
      <c r="AO667" s="309">
        <v>0</v>
      </c>
      <c r="AP667" s="309">
        <v>0</v>
      </c>
      <c r="AQ667" s="309">
        <v>0</v>
      </c>
      <c r="AR667" s="309">
        <v>0</v>
      </c>
      <c r="AS667" s="309">
        <v>0</v>
      </c>
      <c r="AT667" s="309">
        <v>0</v>
      </c>
      <c r="AU667" s="309" t="e">
        <v>#N/A</v>
      </c>
      <c r="AV667" s="309">
        <f ca="1">Calc!AS65</f>
        <v>0</v>
      </c>
      <c r="AX667" s="88" t="str">
        <f t="shared" ca="1" si="51"/>
        <v>MVEUN0</v>
      </c>
    </row>
    <row r="668" spans="1:50" hidden="1">
      <c r="A668" s="88" t="str">
        <f t="shared" ca="1" si="50"/>
        <v>SAFAAPL</v>
      </c>
      <c r="F668" s="255">
        <v>-2.1448999999999998</v>
      </c>
      <c r="G668" s="255">
        <v>0.2</v>
      </c>
      <c r="H668" s="255">
        <v>0.82</v>
      </c>
      <c r="I668" s="255">
        <v>1.68</v>
      </c>
      <c r="J668" s="255">
        <v>0.89</v>
      </c>
      <c r="K668" s="255">
        <v>-0.21</v>
      </c>
      <c r="L668" s="255">
        <v>1.58</v>
      </c>
      <c r="M668" s="255">
        <v>-4.0199999999999996</v>
      </c>
      <c r="N668" s="255">
        <v>-4.0199999999999996</v>
      </c>
      <c r="O668" s="255">
        <v>2.39</v>
      </c>
      <c r="P668" s="255">
        <v>0.11</v>
      </c>
      <c r="Q668" s="255">
        <v>1.63</v>
      </c>
      <c r="R668" s="255">
        <v>-1.89</v>
      </c>
      <c r="S668" s="255">
        <v>4.84</v>
      </c>
      <c r="T668" s="255">
        <v>9.9499999999999993</v>
      </c>
      <c r="U668" s="255">
        <v>0.53</v>
      </c>
      <c r="V668" s="255">
        <v>-4.32</v>
      </c>
      <c r="W668" s="255">
        <v>-4.32</v>
      </c>
      <c r="X668" s="255">
        <v>1.1299999999999999</v>
      </c>
      <c r="Y668" s="255">
        <v>3.24</v>
      </c>
      <c r="Z668" s="247">
        <f ca="1">[1]ExtEntry!$L66</f>
        <v>3.24</v>
      </c>
      <c r="AB668" s="309">
        <v>0.92977295865899823</v>
      </c>
      <c r="AC668" s="309">
        <v>0.92497164513215258</v>
      </c>
      <c r="AD668" s="309">
        <v>0.92200246623605409</v>
      </c>
      <c r="AE668" s="309">
        <v>0.91597841558744608</v>
      </c>
      <c r="AF668" s="309">
        <v>0.91281889000852656</v>
      </c>
      <c r="AG668" s="309">
        <v>0.91829978945726753</v>
      </c>
      <c r="AH668" s="309">
        <v>0.91267740060451064</v>
      </c>
      <c r="AI668" s="309">
        <v>0.92711986301369864</v>
      </c>
      <c r="AJ668" s="309">
        <v>0.92711986301369864</v>
      </c>
      <c r="AK668" s="309">
        <v>0.95100351288056206</v>
      </c>
      <c r="AL668" s="309">
        <v>0.95058130524276541</v>
      </c>
      <c r="AM668" s="309">
        <v>0.94436860465116279</v>
      </c>
      <c r="AN668" s="309">
        <v>0.95181058799757534</v>
      </c>
      <c r="AO668" s="309">
        <v>0.93355079472036151</v>
      </c>
      <c r="AP668" s="309">
        <v>0.89812969035997559</v>
      </c>
      <c r="AQ668" s="309">
        <v>0.89631818700764931</v>
      </c>
      <c r="AR668" s="309">
        <v>0.91130017411491593</v>
      </c>
      <c r="AS668" s="309">
        <v>0.96022936738247244</v>
      </c>
      <c r="AT668" s="309">
        <v>0.95604931042453201</v>
      </c>
      <c r="AU668" s="309" t="e">
        <v>#N/A</v>
      </c>
      <c r="AV668" s="309">
        <f ca="1">Calc!AS66</f>
        <v>0.94426329807472797</v>
      </c>
      <c r="AX668" s="88" t="str">
        <f t="shared" ca="1" si="51"/>
        <v>SAFAAPL</v>
      </c>
    </row>
    <row r="669" spans="1:50" hidden="1">
      <c r="A669" s="88" t="str">
        <f t="shared" ca="1" si="50"/>
        <v>SAFAMZN</v>
      </c>
      <c r="F669" s="255">
        <v>1.25</v>
      </c>
      <c r="G669" s="255">
        <v>-2.6</v>
      </c>
      <c r="H669" s="255">
        <v>1.06</v>
      </c>
      <c r="I669" s="255">
        <v>1.78</v>
      </c>
      <c r="J669" s="255">
        <v>-2.9</v>
      </c>
      <c r="K669" s="255">
        <v>0.88</v>
      </c>
      <c r="L669" s="255">
        <v>3.44</v>
      </c>
      <c r="M669" s="255">
        <v>2.52</v>
      </c>
      <c r="N669" s="255">
        <v>2.52</v>
      </c>
      <c r="O669" s="255">
        <v>3.7</v>
      </c>
      <c r="P669" s="255">
        <v>-3.68</v>
      </c>
      <c r="Q669" s="255">
        <v>-1.23</v>
      </c>
      <c r="R669" s="255">
        <v>-1.1000000000000001</v>
      </c>
      <c r="S669" s="255">
        <v>-1.43</v>
      </c>
      <c r="T669" s="255">
        <v>3.44</v>
      </c>
      <c r="U669" s="255">
        <v>5.55</v>
      </c>
      <c r="V669" s="255">
        <v>-4.08</v>
      </c>
      <c r="W669" s="255">
        <v>-4.08</v>
      </c>
      <c r="X669" s="255">
        <v>3.14</v>
      </c>
      <c r="Y669" s="255">
        <v>3.12</v>
      </c>
      <c r="Z669" s="247">
        <f ca="1">[1]ExtEntry!$L67</f>
        <v>3.12</v>
      </c>
      <c r="AB669" s="308">
        <v>1.1906995882911824</v>
      </c>
      <c r="AC669" s="308">
        <v>1.1986169786400693</v>
      </c>
      <c r="AD669" s="308">
        <v>1.1928583148257266</v>
      </c>
      <c r="AE669" s="308">
        <v>1.1833115867092308</v>
      </c>
      <c r="AF669" s="308">
        <v>1.1989446038904836</v>
      </c>
      <c r="AG669" s="308">
        <v>1.1866729641987557</v>
      </c>
      <c r="AH669" s="308">
        <v>1.168547775508392</v>
      </c>
      <c r="AI669" s="308">
        <v>1.1556175024150348</v>
      </c>
      <c r="AJ669" s="308">
        <v>1.1556175024150348</v>
      </c>
      <c r="AK669" s="308">
        <v>1.1958937156359342</v>
      </c>
      <c r="AL669" s="308">
        <v>1.2162314801977911</v>
      </c>
      <c r="AM669" s="308">
        <v>1.2231842814649565</v>
      </c>
      <c r="AN669" s="308">
        <v>1.2271195505198864</v>
      </c>
      <c r="AO669" s="308">
        <v>1.2353564119414195</v>
      </c>
      <c r="AP669" s="308">
        <v>1.2157258407243166</v>
      </c>
      <c r="AQ669" s="308">
        <v>1.1853368013331533</v>
      </c>
      <c r="AR669" s="308">
        <v>1.2075261757283782</v>
      </c>
      <c r="AS669" s="308">
        <v>1.2230534526267494</v>
      </c>
      <c r="AT669" s="308">
        <v>1.2056832059342351</v>
      </c>
      <c r="AU669" s="308" t="e">
        <v>#N/A</v>
      </c>
      <c r="AV669" s="309">
        <f ca="1">Calc!AS67</f>
        <v>1.188905490388475</v>
      </c>
      <c r="AX669" s="88" t="str">
        <f t="shared" ca="1" si="51"/>
        <v>SAFAMZN</v>
      </c>
    </row>
    <row r="670" spans="1:50" hidden="1">
      <c r="A670" s="88" t="str">
        <f t="shared" ref="A670:A698" ca="1" si="52">A70</f>
        <v>SAFASML</v>
      </c>
      <c r="F670" s="255">
        <v>12.7</v>
      </c>
      <c r="G670" s="255">
        <v>5.48</v>
      </c>
      <c r="H670" s="255">
        <v>35.18</v>
      </c>
      <c r="I670" s="255">
        <v>26.9</v>
      </c>
      <c r="J670" s="255">
        <v>2.0499999999999998</v>
      </c>
      <c r="K670" s="255">
        <v>-22.5</v>
      </c>
      <c r="L670" s="255">
        <v>-23</v>
      </c>
      <c r="M670" s="255">
        <v>-2</v>
      </c>
      <c r="N670" s="255">
        <v>-7.5</v>
      </c>
      <c r="O670" s="255">
        <v>30.1</v>
      </c>
      <c r="P670" s="255">
        <v>2.6</v>
      </c>
      <c r="Q670" s="255">
        <v>26.4</v>
      </c>
      <c r="R670" s="255">
        <v>4.4000000000000004</v>
      </c>
      <c r="S670" s="255">
        <v>-1.7</v>
      </c>
      <c r="T670" s="255">
        <v>23.3</v>
      </c>
      <c r="U670" s="255">
        <v>-9.1999999999999993</v>
      </c>
      <c r="V670" s="255">
        <v>-19.7</v>
      </c>
      <c r="W670" s="255">
        <v>-19.7</v>
      </c>
      <c r="X670" s="255">
        <v>17.600000000000001</v>
      </c>
      <c r="Y670" s="255">
        <v>6.7</v>
      </c>
      <c r="Z670" s="247">
        <f ca="1">[1]ExtEntry!$L68</f>
        <v>6.7</v>
      </c>
      <c r="AB670" s="309">
        <v>0.9182313749242883</v>
      </c>
      <c r="AC670" s="309">
        <v>0.78298505304258903</v>
      </c>
      <c r="AD670" s="309">
        <v>0.75552941880052227</v>
      </c>
      <c r="AE670" s="309">
        <v>0.73580088723220438</v>
      </c>
      <c r="AF670" s="309">
        <v>0.73433957877196721</v>
      </c>
      <c r="AG670" s="309">
        <v>0.86648376771833568</v>
      </c>
      <c r="AH670" s="309">
        <v>0.88988025358065281</v>
      </c>
      <c r="AI670" s="309">
        <v>0.89197458225464821</v>
      </c>
      <c r="AJ670" s="309">
        <v>0.89991689421821208</v>
      </c>
      <c r="AK670" s="309">
        <v>0.8981042654028436</v>
      </c>
      <c r="AL670" s="309">
        <v>0.89534609024332623</v>
      </c>
      <c r="AM670" s="309">
        <v>0.86827033218785798</v>
      </c>
      <c r="AN670" s="309">
        <v>0.86391611579667205</v>
      </c>
      <c r="AO670" s="309">
        <v>0.86559323969395907</v>
      </c>
      <c r="AP670" s="309">
        <v>0.84315906562847609</v>
      </c>
      <c r="AQ670" s="309">
        <v>0.85187682625309058</v>
      </c>
      <c r="AR670" s="309">
        <v>0.87116423399609233</v>
      </c>
      <c r="AS670" s="309">
        <v>1.0043710607976095</v>
      </c>
      <c r="AT670" s="309">
        <v>0.98445787991438549</v>
      </c>
      <c r="AU670" s="309" t="e">
        <v>#N/A</v>
      </c>
      <c r="AV670" s="309">
        <f ca="1">Calc!AS68</f>
        <v>0.97708325134168161</v>
      </c>
      <c r="AX670" s="88" t="str">
        <f t="shared" ref="AX670:AX698" ca="1" si="53">A70</f>
        <v>SAFASML</v>
      </c>
    </row>
    <row r="671" spans="1:50" hidden="1">
      <c r="A671" s="88" t="str">
        <f t="shared" ca="1" si="52"/>
        <v>SAFDDD</v>
      </c>
      <c r="F671" s="255">
        <v>-0.14000000000000001</v>
      </c>
      <c r="G671" s="255">
        <v>-0.06</v>
      </c>
      <c r="H671" s="255">
        <v>-3.5000000000000003E-2</v>
      </c>
      <c r="I671" s="255">
        <v>0.125</v>
      </c>
      <c r="J671" s="255">
        <v>0.13</v>
      </c>
      <c r="K671" s="255">
        <v>-3.5000000000000003E-2</v>
      </c>
      <c r="L671" s="255">
        <v>0.105</v>
      </c>
      <c r="M671" s="255">
        <v>-0.05</v>
      </c>
      <c r="N671" s="255">
        <v>-0.05</v>
      </c>
      <c r="O671" s="255">
        <v>0.22</v>
      </c>
      <c r="P671" s="255">
        <v>-0.03</v>
      </c>
      <c r="Q671" s="255">
        <v>0.17</v>
      </c>
      <c r="R671" s="255">
        <v>-0.01</v>
      </c>
      <c r="S671" s="255">
        <v>-0.15</v>
      </c>
      <c r="T671" s="255">
        <v>0.67500000000000004</v>
      </c>
      <c r="U671" s="255">
        <v>-0.41</v>
      </c>
      <c r="V671" s="255">
        <v>-0.375</v>
      </c>
      <c r="W671" s="255">
        <v>-0.375</v>
      </c>
      <c r="X671" s="255">
        <v>6.5000000000000002E-2</v>
      </c>
      <c r="Y671" s="255">
        <v>4.4999999999999998E-2</v>
      </c>
      <c r="Z671" s="247">
        <f ca="1">[1]ExtEntry!$L69</f>
        <v>0.05</v>
      </c>
      <c r="AB671" s="309">
        <v>1.0942760942760943</v>
      </c>
      <c r="AC671" s="309">
        <v>1.1206896551724139</v>
      </c>
      <c r="AD671" s="309">
        <v>1.1343804537521813</v>
      </c>
      <c r="AE671" s="309">
        <v>1.0851419031719531</v>
      </c>
      <c r="AF671" s="309">
        <v>1.0416666666666667</v>
      </c>
      <c r="AG671" s="309">
        <v>1.0366826156299842</v>
      </c>
      <c r="AH671" s="309">
        <v>1.0015408320493067</v>
      </c>
      <c r="AI671" s="309">
        <v>1.0220125786163521</v>
      </c>
      <c r="AJ671" s="309">
        <v>1.0220125786163521</v>
      </c>
      <c r="AK671" s="309">
        <v>1.045016077170418</v>
      </c>
      <c r="AL671" s="309">
        <v>1.0551948051948052</v>
      </c>
      <c r="AM671" s="309">
        <v>1</v>
      </c>
      <c r="AN671" s="309">
        <v>0.99693251533742333</v>
      </c>
      <c r="AO671" s="309">
        <v>1.045016077170418</v>
      </c>
      <c r="AP671" s="309">
        <v>0.85865257595772781</v>
      </c>
      <c r="AQ671" s="309">
        <v>0.96439169139465875</v>
      </c>
      <c r="AR671" s="309">
        <v>1.08153078202995</v>
      </c>
      <c r="AS671" s="309">
        <v>1.08153078202995</v>
      </c>
      <c r="AT671" s="309">
        <v>1.056910569105691</v>
      </c>
      <c r="AU671" s="309" t="e">
        <v>#N/A</v>
      </c>
      <c r="AV671" s="309">
        <f ca="1">Calc!AS69</f>
        <v>1.0383386581469649</v>
      </c>
      <c r="AX671" s="88" t="str">
        <f t="shared" ca="1" si="53"/>
        <v>SAFDDD</v>
      </c>
    </row>
    <row r="672" spans="1:50" hidden="1">
      <c r="A672" s="88" t="str">
        <f t="shared" ca="1" si="52"/>
        <v>SAFDIS</v>
      </c>
      <c r="F672" s="255">
        <v>0.82499999999999996</v>
      </c>
      <c r="G672" s="255">
        <v>-0.3</v>
      </c>
      <c r="H672" s="255">
        <v>-1.5649999999999999</v>
      </c>
      <c r="I672" s="255">
        <v>-0.79</v>
      </c>
      <c r="J672" s="255">
        <v>0.35</v>
      </c>
      <c r="K672" s="255">
        <v>-0.18</v>
      </c>
      <c r="L672" s="255">
        <v>-0.64</v>
      </c>
      <c r="M672" s="255">
        <v>-0.9</v>
      </c>
      <c r="N672" s="255">
        <v>-0.9</v>
      </c>
      <c r="O672" s="255">
        <v>1.1000000000000001</v>
      </c>
      <c r="P672" s="255">
        <v>0.89500000000000002</v>
      </c>
      <c r="Q672" s="255">
        <v>0.83499999999999996</v>
      </c>
      <c r="R672" s="255">
        <v>-1.8149999999999999</v>
      </c>
      <c r="S672" s="255">
        <v>0.79</v>
      </c>
      <c r="T672" s="255">
        <v>1.31</v>
      </c>
      <c r="U672" s="255">
        <v>2.35</v>
      </c>
      <c r="V672" s="255">
        <v>-1.2</v>
      </c>
      <c r="W672" s="255">
        <v>-1.2</v>
      </c>
      <c r="X672" s="255">
        <v>-0.06</v>
      </c>
      <c r="Y672" s="255">
        <v>-1.36</v>
      </c>
      <c r="Z672" s="247">
        <f ca="1">[1]ExtEntry!$L70</f>
        <v>-1.35</v>
      </c>
      <c r="AB672" s="309">
        <v>1.1568829782580166</v>
      </c>
      <c r="AC672" s="309">
        <v>1.1550134521313766</v>
      </c>
      <c r="AD672" s="309">
        <v>1.1708145393367868</v>
      </c>
      <c r="AE672" s="309">
        <v>1.1789046005706134</v>
      </c>
      <c r="AF672" s="309">
        <v>1.1754461729931551</v>
      </c>
      <c r="AG672" s="309">
        <v>1.1746108199342633</v>
      </c>
      <c r="AH672" s="309">
        <v>1.1817493967289303</v>
      </c>
      <c r="AI672" s="309">
        <v>1.1913320118929636</v>
      </c>
      <c r="AJ672" s="309">
        <v>1.1913320118929636</v>
      </c>
      <c r="AK672" s="309">
        <v>1.1988932813491704</v>
      </c>
      <c r="AL672" s="309">
        <v>1.1894565735618225</v>
      </c>
      <c r="AM672" s="309">
        <v>1.1805360474978797</v>
      </c>
      <c r="AN672" s="309">
        <v>1.203202511488239</v>
      </c>
      <c r="AO672" s="309">
        <v>1.194776723592663</v>
      </c>
      <c r="AP672" s="309">
        <v>1.1807996070726916</v>
      </c>
      <c r="AQ672" s="309">
        <v>1.1567311696264544</v>
      </c>
      <c r="AR672" s="309">
        <v>1.1691064544650753</v>
      </c>
      <c r="AS672" s="309">
        <v>1.1845177718832893</v>
      </c>
      <c r="AT672" s="309">
        <v>1.1853562201380288</v>
      </c>
      <c r="AU672" s="309" t="e">
        <v>#N/A</v>
      </c>
      <c r="AV672" s="309">
        <f ca="1">Calc!AS70</f>
        <v>1.1995787965616047</v>
      </c>
      <c r="AX672" s="88" t="str">
        <f t="shared" ca="1" si="53"/>
        <v>SAFDIS</v>
      </c>
    </row>
    <row r="673" spans="1:50" hidden="1">
      <c r="A673" s="88" t="str">
        <f t="shared" ca="1" si="52"/>
        <v>SAFGM</v>
      </c>
      <c r="F673" s="255">
        <v>-0.42499999999999999</v>
      </c>
      <c r="G673" s="255">
        <v>-0.16</v>
      </c>
      <c r="H673" s="255">
        <v>0.36</v>
      </c>
      <c r="I673" s="255">
        <v>-1.98</v>
      </c>
      <c r="J673" s="255">
        <v>0.77</v>
      </c>
      <c r="K673" s="255">
        <v>-0.92</v>
      </c>
      <c r="L673" s="255">
        <v>-0.85499999999999998</v>
      </c>
      <c r="M673" s="255">
        <v>-0.46</v>
      </c>
      <c r="N673" s="255">
        <v>-0.48</v>
      </c>
      <c r="O673" s="255">
        <v>0.26</v>
      </c>
      <c r="P673" s="255">
        <v>1.53</v>
      </c>
      <c r="Q673" s="255">
        <v>0.76990000000000003</v>
      </c>
      <c r="R673" s="255">
        <v>-0.46</v>
      </c>
      <c r="S673" s="255">
        <v>1.04</v>
      </c>
      <c r="T673" s="255">
        <v>-0.36</v>
      </c>
      <c r="U673" s="255">
        <v>8.61</v>
      </c>
      <c r="V673" s="255">
        <v>0.7</v>
      </c>
      <c r="W673" s="255">
        <v>0.7</v>
      </c>
      <c r="X673" s="255">
        <v>-0.47499999999999998</v>
      </c>
      <c r="Y673" s="255">
        <v>2.82</v>
      </c>
      <c r="Z673" s="247">
        <f ca="1">[1]ExtEntry!$L71</f>
        <v>2.81</v>
      </c>
      <c r="AB673" s="309">
        <v>0.94055742826605282</v>
      </c>
      <c r="AC673" s="309">
        <v>0.93832020997375332</v>
      </c>
      <c r="AD673" s="309">
        <v>0.93265938366215562</v>
      </c>
      <c r="AE673" s="309">
        <v>0.96361185983827502</v>
      </c>
      <c r="AF673" s="309">
        <v>0.9512722434724763</v>
      </c>
      <c r="AG673" s="309">
        <v>0.99877771957394801</v>
      </c>
      <c r="AH673" s="309">
        <v>1.014094495168868</v>
      </c>
      <c r="AI673" s="309">
        <v>1.0225241329996426</v>
      </c>
      <c r="AJ673" s="309">
        <v>1.0228898426323318</v>
      </c>
      <c r="AK673" s="309">
        <v>1.0285919798597376</v>
      </c>
      <c r="AL673" s="309">
        <v>1.0008748906386702</v>
      </c>
      <c r="AM673" s="309">
        <v>0.98757076583350467</v>
      </c>
      <c r="AN673" s="309">
        <v>0.99755842343913492</v>
      </c>
      <c r="AO673" s="309">
        <v>0.97978759849263442</v>
      </c>
      <c r="AP673" s="309">
        <v>0.98586694243364359</v>
      </c>
      <c r="AQ673" s="309">
        <v>0.85872992043236751</v>
      </c>
      <c r="AR673" s="309">
        <v>0.84967320261437917</v>
      </c>
      <c r="AS673" s="309">
        <v>0.94771241830065367</v>
      </c>
      <c r="AT673" s="309">
        <v>0.95458966110570809</v>
      </c>
      <c r="AU673" s="309" t="e">
        <v>#N/A</v>
      </c>
      <c r="AV673" s="309">
        <f ca="1">Calc!AS71</f>
        <v>0.91587711742750499</v>
      </c>
      <c r="AX673" s="88" t="str">
        <f t="shared" ca="1" si="53"/>
        <v>SAFGM</v>
      </c>
    </row>
    <row r="674" spans="1:50" hidden="1">
      <c r="A674" s="88" t="str">
        <f t="shared" ca="1" si="52"/>
        <v>SAFIAG</v>
      </c>
      <c r="F674" s="255">
        <v>2.4</v>
      </c>
      <c r="G674" s="255">
        <v>2</v>
      </c>
      <c r="H674" s="255">
        <v>-6.7</v>
      </c>
      <c r="I674" s="255">
        <v>7.2</v>
      </c>
      <c r="J674" s="255">
        <v>-0.8</v>
      </c>
      <c r="K674" s="255">
        <v>1.9</v>
      </c>
      <c r="L674" s="255">
        <v>10.3</v>
      </c>
      <c r="M674" s="255">
        <v>12.8</v>
      </c>
      <c r="N674" s="255">
        <v>-4.7</v>
      </c>
      <c r="O674" s="255">
        <v>0.2</v>
      </c>
      <c r="P674" s="255">
        <v>-0.2</v>
      </c>
      <c r="Q674" s="255">
        <v>-0.5</v>
      </c>
      <c r="R674" s="255">
        <v>-1.2</v>
      </c>
      <c r="S674" s="255">
        <v>-15.1</v>
      </c>
      <c r="T674" s="255">
        <v>4.8</v>
      </c>
      <c r="U674" s="255">
        <v>-2.2000000000000002</v>
      </c>
      <c r="V674" s="255">
        <v>8.8000000000000007</v>
      </c>
      <c r="W674" s="255">
        <v>8.8000000000000007</v>
      </c>
      <c r="X674" s="255">
        <v>0.9</v>
      </c>
      <c r="Y674" s="255">
        <v>6.5</v>
      </c>
      <c r="Z674" s="247">
        <f ca="1">[1]ExtEntry!$L72</f>
        <v>6.5</v>
      </c>
      <c r="AB674" s="309">
        <v>1.1346990367091903</v>
      </c>
      <c r="AC674" s="309">
        <v>1.1288212898212897</v>
      </c>
      <c r="AD674" s="309">
        <v>1.1487556668423828</v>
      </c>
      <c r="AE674" s="309">
        <v>1.1273613554061044</v>
      </c>
      <c r="AF674" s="309">
        <v>1.1296990668740279</v>
      </c>
      <c r="AG674" s="309">
        <v>1.1183933795227097</v>
      </c>
      <c r="AH674" s="309">
        <v>1.0895947500000001</v>
      </c>
      <c r="AI674" s="309">
        <v>1.0558088662790697</v>
      </c>
      <c r="AJ674" s="309">
        <v>1.0679683901004655</v>
      </c>
      <c r="AK674" s="309">
        <v>1.0677067613914748</v>
      </c>
      <c r="AL674" s="309">
        <v>1.0682301470588236</v>
      </c>
      <c r="AM674" s="309">
        <v>1.0695408588957056</v>
      </c>
      <c r="AN674" s="309">
        <v>1.0726997292640905</v>
      </c>
      <c r="AO674" s="309">
        <v>1.1141050613496932</v>
      </c>
      <c r="AP674" s="309">
        <v>1.1006007575757575</v>
      </c>
      <c r="AQ674" s="309">
        <v>1.1067493651599796</v>
      </c>
      <c r="AR674" s="309">
        <v>1.0825581222056631</v>
      </c>
      <c r="AS674" s="309">
        <v>1.0890614008941877</v>
      </c>
      <c r="AT674" s="309">
        <v>1.0866322676579925</v>
      </c>
      <c r="AU674" s="309" t="e">
        <v>#N/A</v>
      </c>
      <c r="AV674" s="309">
        <f ca="1">Calc!AS72</f>
        <v>1.0694051707317074</v>
      </c>
      <c r="AX674" s="88" t="str">
        <f t="shared" ca="1" si="53"/>
        <v>SAFIAG</v>
      </c>
    </row>
    <row r="675" spans="1:50" hidden="1">
      <c r="A675" s="88" t="str">
        <f t="shared" ca="1" si="52"/>
        <v>SAFMRNA</v>
      </c>
      <c r="F675" s="255">
        <v>0.61860000000000004</v>
      </c>
      <c r="G675" s="255">
        <v>0.5</v>
      </c>
      <c r="H675" s="255">
        <v>1.77</v>
      </c>
      <c r="I675" s="255">
        <v>0.77</v>
      </c>
      <c r="J675" s="255">
        <v>0.12</v>
      </c>
      <c r="K675" s="255">
        <v>-0.2</v>
      </c>
      <c r="L675" s="255">
        <v>0.57999999999999996</v>
      </c>
      <c r="M675" s="255">
        <v>-0.39</v>
      </c>
      <c r="N675" s="255">
        <v>-0.39</v>
      </c>
      <c r="O675" s="255">
        <v>-0.09</v>
      </c>
      <c r="P675" s="255">
        <v>-0.49</v>
      </c>
      <c r="Q675" s="255">
        <v>1.5049999999999999</v>
      </c>
      <c r="R675" s="255">
        <v>-0.57999999999999996</v>
      </c>
      <c r="S675" s="255">
        <v>-1.1299999999999999</v>
      </c>
      <c r="T675" s="255">
        <v>1.23</v>
      </c>
      <c r="U675" s="255">
        <v>0.25</v>
      </c>
      <c r="V675" s="255">
        <v>-0.64</v>
      </c>
      <c r="W675" s="255">
        <v>-0.64</v>
      </c>
      <c r="X675" s="255">
        <v>-0.6</v>
      </c>
      <c r="Y675" s="255">
        <v>0.49</v>
      </c>
      <c r="Z675" s="247">
        <f ca="1">[1]ExtEntry!$L73</f>
        <v>0.49</v>
      </c>
      <c r="AB675" s="309">
        <v>1.7623443760305235</v>
      </c>
      <c r="AC675" s="309">
        <v>1.713124274099884</v>
      </c>
      <c r="AD675" s="309">
        <v>1.6032608695652173</v>
      </c>
      <c r="AE675" s="309">
        <v>1.5597462107860416</v>
      </c>
      <c r="AF675" s="309">
        <v>1.5531765531765533</v>
      </c>
      <c r="AG675" s="309">
        <v>1.6185076810534016</v>
      </c>
      <c r="AH675" s="309">
        <v>1.5848853868194841</v>
      </c>
      <c r="AI675" s="309">
        <v>1.6073374500544859</v>
      </c>
      <c r="AJ675" s="309">
        <v>1.6073374500544859</v>
      </c>
      <c r="AK675" s="309">
        <v>1.6548242333582648</v>
      </c>
      <c r="AL675" s="309">
        <v>1.6857142857142857</v>
      </c>
      <c r="AM675" s="309">
        <v>1.5943073320122501</v>
      </c>
      <c r="AN675" s="309">
        <v>1.6304347826086956</v>
      </c>
      <c r="AO675" s="309">
        <v>1.7012687427912341</v>
      </c>
      <c r="AP675" s="309">
        <v>1.6244493392070485</v>
      </c>
      <c r="AQ675" s="309">
        <v>1.6096762459076028</v>
      </c>
      <c r="AR675" s="309">
        <v>1.6480446927374302</v>
      </c>
      <c r="AS675" s="309">
        <v>1.6499068901303535</v>
      </c>
      <c r="AT675" s="309">
        <v>1.6876190476190476</v>
      </c>
      <c r="AU675" s="309" t="e">
        <v>#N/A</v>
      </c>
      <c r="AV675" s="309">
        <f ca="1">Calc!AS73</f>
        <v>1.6566940912490651</v>
      </c>
      <c r="AX675" s="88" t="str">
        <f t="shared" ca="1" si="53"/>
        <v>SAFMRNA</v>
      </c>
    </row>
    <row r="676" spans="1:50" hidden="1">
      <c r="A676" s="88" t="str">
        <f t="shared" ca="1" si="52"/>
        <v>BLNK</v>
      </c>
      <c r="F676" s="255">
        <v>0.21</v>
      </c>
      <c r="G676" s="255">
        <v>-0.11</v>
      </c>
      <c r="H676" s="255">
        <v>0.17</v>
      </c>
      <c r="I676" s="255">
        <v>-0.05</v>
      </c>
      <c r="J676" s="255">
        <v>0.24</v>
      </c>
      <c r="K676" s="255">
        <v>-0.13</v>
      </c>
      <c r="L676" s="255">
        <v>-7.0000000000000007E-2</v>
      </c>
      <c r="M676" s="255">
        <v>-7.0000000000000007E-2</v>
      </c>
      <c r="N676" s="255">
        <v>-7.0000000000000007E-2</v>
      </c>
      <c r="O676" s="255">
        <v>0.21</v>
      </c>
      <c r="P676" s="255">
        <v>0.04</v>
      </c>
      <c r="Q676" s="255">
        <v>-0.105</v>
      </c>
      <c r="R676" s="255">
        <v>-0.25</v>
      </c>
      <c r="S676" s="255">
        <v>-0.09</v>
      </c>
      <c r="T676" s="255">
        <v>7.0000000000000007E-2</v>
      </c>
      <c r="U676" s="255">
        <v>-0.12</v>
      </c>
      <c r="V676" s="255">
        <v>0.02</v>
      </c>
      <c r="W676" s="255">
        <v>0.02</v>
      </c>
      <c r="X676" s="255">
        <v>0</v>
      </c>
      <c r="Y676" s="255">
        <v>0.14000000000000001</v>
      </c>
      <c r="Z676" s="247">
        <f ca="1">[1]ExtEntry!$L74</f>
        <v>0.14000000000000001</v>
      </c>
      <c r="AB676" s="309">
        <v>1.3872832369942196</v>
      </c>
      <c r="AC676" s="309">
        <v>1.4634146341463414</v>
      </c>
      <c r="AD676" s="309">
        <v>1.3259668508287292</v>
      </c>
      <c r="AE676" s="309">
        <v>1.3636363636363635</v>
      </c>
      <c r="AF676" s="309">
        <v>1.2</v>
      </c>
      <c r="AG676" s="309">
        <v>1.0126582278481011</v>
      </c>
      <c r="AH676" s="309">
        <v>1.0434782608695652</v>
      </c>
      <c r="AI676" s="309">
        <v>1.0762331838565022</v>
      </c>
      <c r="AJ676" s="309">
        <v>1.0762331838565022</v>
      </c>
      <c r="AK676" s="309">
        <v>1.0762331838565022</v>
      </c>
      <c r="AL676" s="309">
        <v>1.0572687224669604</v>
      </c>
      <c r="AM676" s="309">
        <v>1.1085450346420322</v>
      </c>
      <c r="AN676" s="309">
        <v>1.256544502617801</v>
      </c>
      <c r="AO676" s="309">
        <v>1.3186813186813187</v>
      </c>
      <c r="AP676" s="309">
        <v>1.2698412698412698</v>
      </c>
      <c r="AQ676" s="309">
        <v>1.3559322033898304</v>
      </c>
      <c r="AR676" s="309">
        <v>1.3407821229050279</v>
      </c>
      <c r="AS676" s="309">
        <v>1.3407821229050279</v>
      </c>
      <c r="AT676" s="309">
        <v>1.3407821229050279</v>
      </c>
      <c r="AU676" s="309" t="e">
        <v>#N/A</v>
      </c>
      <c r="AV676" s="309">
        <f ca="1">Calc!AS74</f>
        <v>1.2435233160621761</v>
      </c>
      <c r="AX676" s="88" t="str">
        <f t="shared" ca="1" si="53"/>
        <v>BLNK</v>
      </c>
    </row>
    <row r="677" spans="1:50" hidden="1">
      <c r="A677" s="88" t="str">
        <f t="shared" ca="1" si="52"/>
        <v>ENI</v>
      </c>
      <c r="F677" s="255">
        <v>-0.26400000000000001</v>
      </c>
      <c r="G677" s="255">
        <v>-0.216</v>
      </c>
      <c r="H677" s="255">
        <v>0.12</v>
      </c>
      <c r="I677" s="255">
        <v>-0.11</v>
      </c>
      <c r="J677" s="255">
        <v>0.03</v>
      </c>
      <c r="K677" s="255">
        <v>6.6000000000000003E-2</v>
      </c>
      <c r="L677" s="255">
        <v>0.112</v>
      </c>
      <c r="M677" s="255">
        <v>9.1999999999999998E-2</v>
      </c>
      <c r="N677" s="255">
        <v>-0.17599999999999999</v>
      </c>
      <c r="O677" s="255">
        <v>1.7999999999999999E-2</v>
      </c>
      <c r="P677" s="255">
        <v>-0.27200000000000002</v>
      </c>
      <c r="Q677" s="255">
        <v>2.1999999999999999E-2</v>
      </c>
      <c r="R677" s="255">
        <v>4.3999999999999997E-2</v>
      </c>
      <c r="S677" s="255">
        <v>7.8E-2</v>
      </c>
      <c r="T677" s="255">
        <v>3.2000000000000001E-2</v>
      </c>
      <c r="U677" s="255">
        <v>2.4E-2</v>
      </c>
      <c r="V677" s="255">
        <v>0.22600000000000001</v>
      </c>
      <c r="W677" s="255">
        <v>0.22600000000000001</v>
      </c>
      <c r="X677" s="255">
        <v>0.46</v>
      </c>
      <c r="Y677" s="255">
        <v>0.25</v>
      </c>
      <c r="Z677" s="247">
        <f ca="1">[1]ExtEntry!$L75</f>
        <v>0.25</v>
      </c>
      <c r="AB677" s="309">
        <v>1.0277151571409626</v>
      </c>
      <c r="AC677" s="309">
        <v>1.0426476523610924</v>
      </c>
      <c r="AD677" s="309">
        <v>1.0342986787668491</v>
      </c>
      <c r="AE677" s="309">
        <v>1.0419467598816887</v>
      </c>
      <c r="AF677" s="309">
        <v>1.0398497249429759</v>
      </c>
      <c r="AG677" s="309">
        <v>1.0214841175695268</v>
      </c>
      <c r="AH677" s="309">
        <v>1.0139997383226482</v>
      </c>
      <c r="AI677" s="309">
        <v>1.0079334113668879</v>
      </c>
      <c r="AJ677" s="309">
        <v>1.0196026838573873</v>
      </c>
      <c r="AK677" s="309">
        <v>1.0352658295484904</v>
      </c>
      <c r="AL677" s="309">
        <v>1.0544217687074831</v>
      </c>
      <c r="AM677" s="309">
        <v>1.0528460806955577</v>
      </c>
      <c r="AN677" s="309">
        <v>1.0497087904645808</v>
      </c>
      <c r="AO677" s="309">
        <v>1.0441929399083805</v>
      </c>
      <c r="AP677" s="309">
        <v>1.0419467598816887</v>
      </c>
      <c r="AQ677" s="309">
        <v>1.0402684563758389</v>
      </c>
      <c r="AR677" s="309">
        <v>1.0247256379743488</v>
      </c>
      <c r="AS677" s="309">
        <v>1.030435012561153</v>
      </c>
      <c r="AT677" s="309">
        <v>1.0000230976517388</v>
      </c>
      <c r="AU677" s="309" t="e">
        <v>#N/A</v>
      </c>
      <c r="AV677" s="309">
        <f ca="1">Calc!AS75</f>
        <v>0.96173276079818137</v>
      </c>
      <c r="AX677" s="88" t="str">
        <f t="shared" ca="1" si="53"/>
        <v>ENI</v>
      </c>
    </row>
    <row r="678" spans="1:50" hidden="1">
      <c r="A678" s="88" t="str">
        <f t="shared" ca="1" si="52"/>
        <v>EZJ</v>
      </c>
      <c r="F678" s="255">
        <v>5.3</v>
      </c>
      <c r="G678" s="255">
        <v>3.4</v>
      </c>
      <c r="H678" s="255">
        <v>-1.7</v>
      </c>
      <c r="I678" s="255">
        <v>0.8</v>
      </c>
      <c r="J678" s="255">
        <v>8.1999999999999993</v>
      </c>
      <c r="K678" s="255">
        <v>-2.7</v>
      </c>
      <c r="L678" s="255">
        <v>6.1</v>
      </c>
      <c r="M678" s="255">
        <v>0</v>
      </c>
      <c r="N678" s="255">
        <v>-0.7732</v>
      </c>
      <c r="O678" s="255">
        <v>1.1000000000000001</v>
      </c>
      <c r="P678" s="255">
        <v>37.200000000000003</v>
      </c>
      <c r="Q678" s="255">
        <v>-20.5</v>
      </c>
      <c r="R678" s="255">
        <v>9</v>
      </c>
      <c r="S678" s="255">
        <v>-1.8</v>
      </c>
      <c r="T678" s="255">
        <v>-1.9</v>
      </c>
      <c r="U678" s="255">
        <v>-5.7</v>
      </c>
      <c r="V678" s="255">
        <v>13</v>
      </c>
      <c r="W678" s="255">
        <v>13</v>
      </c>
      <c r="X678" s="255">
        <v>-13.8</v>
      </c>
      <c r="Y678" s="255">
        <v>6.6</v>
      </c>
      <c r="Z678" s="247">
        <f ca="1">[1]ExtEntry!$L76</f>
        <v>6.6</v>
      </c>
      <c r="AB678" s="309">
        <v>1.4300564481111593</v>
      </c>
      <c r="AC678" s="309">
        <v>1.4195775862068964</v>
      </c>
      <c r="AD678" s="309">
        <v>1.4247977503785421</v>
      </c>
      <c r="AE678" s="309">
        <v>1.4223364284171884</v>
      </c>
      <c r="AF678" s="309">
        <v>1.3975896456609378</v>
      </c>
      <c r="AG678" s="309">
        <v>1.4153072625698324</v>
      </c>
      <c r="AH678" s="309">
        <v>1.3969968186638388</v>
      </c>
      <c r="AI678" s="309">
        <v>1.3969968186638388</v>
      </c>
      <c r="AJ678" s="309">
        <v>1.3992914786241191</v>
      </c>
      <c r="AK678" s="309">
        <v>1.4195775862068964</v>
      </c>
      <c r="AL678" s="309">
        <v>1.3142138866719872</v>
      </c>
      <c r="AM678" s="309">
        <v>1.3702600374453922</v>
      </c>
      <c r="AN678" s="309">
        <v>1.3450765774964264</v>
      </c>
      <c r="AO678" s="309">
        <v>1.3500389424062307</v>
      </c>
      <c r="AP678" s="309">
        <v>1.3553168724279834</v>
      </c>
      <c r="AQ678" s="309">
        <v>1.3714012075785966</v>
      </c>
      <c r="AR678" s="309">
        <v>1.3352604905736873</v>
      </c>
      <c r="AS678" s="309">
        <v>1.3048530306101762</v>
      </c>
      <c r="AT678" s="309">
        <v>1.3424066736183524</v>
      </c>
      <c r="AU678" s="309" t="e">
        <v>#N/A</v>
      </c>
      <c r="AV678" s="309">
        <f ca="1">Calc!AS76</f>
        <v>1.3550298292532399</v>
      </c>
      <c r="AX678" s="88" t="str">
        <f t="shared" ca="1" si="53"/>
        <v>EZJ</v>
      </c>
    </row>
    <row r="679" spans="1:50" hidden="1">
      <c r="A679" s="88" t="str">
        <f t="shared" ca="1" si="52"/>
        <v>F</v>
      </c>
      <c r="F679" s="255">
        <v>-5.7299999999999997E-2</v>
      </c>
      <c r="G679" s="255">
        <v>-0.13500000000000001</v>
      </c>
      <c r="H679" s="255">
        <v>0.31</v>
      </c>
      <c r="I679" s="255">
        <v>-3.5000000000000003E-2</v>
      </c>
      <c r="J679" s="255">
        <v>0.44</v>
      </c>
      <c r="K679" s="255">
        <v>-0.77500000000000002</v>
      </c>
      <c r="L679" s="255">
        <v>-0.17499999999999999</v>
      </c>
      <c r="M679" s="255">
        <v>-0.22</v>
      </c>
      <c r="N679" s="255">
        <v>-0.24</v>
      </c>
      <c r="O679" s="255">
        <v>0.13500000000000001</v>
      </c>
      <c r="P679" s="255">
        <v>0.125</v>
      </c>
      <c r="Q679" s="255">
        <v>8.5000000000000006E-2</v>
      </c>
      <c r="R679" s="255">
        <v>-1.4999999999999999E-2</v>
      </c>
      <c r="S679" s="255">
        <v>0.18</v>
      </c>
      <c r="T679" s="255">
        <v>8.5000000000000006E-2</v>
      </c>
      <c r="U679" s="255">
        <v>0.57999999999999996</v>
      </c>
      <c r="V679" s="255">
        <v>-0.105</v>
      </c>
      <c r="W679" s="255">
        <v>-0.105</v>
      </c>
      <c r="X679" s="255">
        <v>-0.12</v>
      </c>
      <c r="Y679" s="255">
        <v>1.49</v>
      </c>
      <c r="Z679" s="247">
        <f ca="1">[1]ExtEntry!$L77</f>
        <v>1.5</v>
      </c>
      <c r="AB679" s="309">
        <v>0.90356153839718223</v>
      </c>
      <c r="AC679" s="309">
        <v>0.903387703889586</v>
      </c>
      <c r="AD679" s="309">
        <v>0.88019559902200495</v>
      </c>
      <c r="AE679" s="309">
        <v>0.8827135267674705</v>
      </c>
      <c r="AF679" s="309">
        <v>0.85308056872037918</v>
      </c>
      <c r="AG679" s="309">
        <v>0.90566037735849059</v>
      </c>
      <c r="AH679" s="309">
        <v>0.91954022988505757</v>
      </c>
      <c r="AI679" s="309">
        <v>0.93750000000000011</v>
      </c>
      <c r="AJ679" s="309">
        <v>0.93913043478260871</v>
      </c>
      <c r="AK679" s="309">
        <v>0.93546990038977917</v>
      </c>
      <c r="AL679" s="309">
        <v>0.92584654950707257</v>
      </c>
      <c r="AM679" s="309">
        <v>0.92032381763953997</v>
      </c>
      <c r="AN679" s="309">
        <v>0.91954022988505757</v>
      </c>
      <c r="AO679" s="309">
        <v>0.90604026845637586</v>
      </c>
      <c r="AP679" s="309">
        <v>0.899625156184923</v>
      </c>
      <c r="AQ679" s="309">
        <v>0.8591885441527447</v>
      </c>
      <c r="AR679" s="309">
        <v>0.86712163789642716</v>
      </c>
      <c r="AS679" s="309">
        <v>0.9213167402649538</v>
      </c>
      <c r="AT679" s="309">
        <v>0.93216896831844021</v>
      </c>
      <c r="AU679" s="309" t="e">
        <v>#N/A</v>
      </c>
      <c r="AV679" s="309">
        <f ca="1">Calc!AS77</f>
        <v>0.77962427745664731</v>
      </c>
      <c r="AX679" s="88" t="str">
        <f t="shared" ca="1" si="53"/>
        <v>F</v>
      </c>
    </row>
    <row r="680" spans="1:50" hidden="1">
      <c r="A680" s="88" t="str">
        <f t="shared" ca="1" si="52"/>
        <v>GLE</v>
      </c>
      <c r="F680" s="255">
        <v>-0.74</v>
      </c>
      <c r="G680" s="255">
        <v>-0.26</v>
      </c>
      <c r="H680" s="255">
        <v>0.46</v>
      </c>
      <c r="I680" s="255">
        <v>-0.1</v>
      </c>
      <c r="J680" s="255">
        <v>0</v>
      </c>
      <c r="K680" s="255">
        <v>-0.42</v>
      </c>
      <c r="L680" s="255">
        <v>1.1200000000000001</v>
      </c>
      <c r="M680" s="255">
        <v>-0.06</v>
      </c>
      <c r="N680" s="255">
        <v>-0.12</v>
      </c>
      <c r="O680" s="255">
        <v>-0.14000000000000001</v>
      </c>
      <c r="P680" s="255">
        <v>1.3</v>
      </c>
      <c r="Q680" s="255">
        <v>0.54</v>
      </c>
      <c r="R680" s="255">
        <v>0.96</v>
      </c>
      <c r="S680" s="255">
        <v>-2.88</v>
      </c>
      <c r="T680" s="255">
        <v>-0.64</v>
      </c>
      <c r="U680" s="255">
        <v>0.12</v>
      </c>
      <c r="V680" s="255">
        <v>-0.24</v>
      </c>
      <c r="W680" s="255">
        <v>-0.24</v>
      </c>
      <c r="X680" s="255">
        <v>0.7</v>
      </c>
      <c r="Y680" s="255">
        <v>0.1</v>
      </c>
      <c r="Z680" s="247">
        <f ca="1">[1]ExtEntry!$L78</f>
        <v>0.1</v>
      </c>
      <c r="AB680" s="309">
        <v>1.0914969975273754</v>
      </c>
      <c r="AC680" s="309">
        <v>1.0965322924059617</v>
      </c>
      <c r="AD680" s="309">
        <v>1.0876550510383667</v>
      </c>
      <c r="AE680" s="309">
        <v>1.0895726375176304</v>
      </c>
      <c r="AF680" s="309">
        <v>1.0895726375176304</v>
      </c>
      <c r="AG680" s="309">
        <v>1.1594851782363977</v>
      </c>
      <c r="AH680" s="309">
        <v>1.1356221977214258</v>
      </c>
      <c r="AI680" s="309">
        <v>1.1368756438557763</v>
      </c>
      <c r="AJ680" s="309">
        <v>1.139390855457227</v>
      </c>
      <c r="AK680" s="309">
        <v>1.1504199553239016</v>
      </c>
      <c r="AL680" s="309">
        <v>1.1232380952380951</v>
      </c>
      <c r="AM680" s="309">
        <v>1.1123210943124548</v>
      </c>
      <c r="AN680" s="309">
        <v>1.0934281670205237</v>
      </c>
      <c r="AO680" s="309">
        <v>1.1521357196122297</v>
      </c>
      <c r="AP680" s="309">
        <v>1.1660483018867924</v>
      </c>
      <c r="AQ680" s="309">
        <v>1.1634141566265059</v>
      </c>
      <c r="AR680" s="309">
        <v>1.1686944024205748</v>
      </c>
      <c r="AS680" s="309">
        <v>1.1943498487140696</v>
      </c>
      <c r="AT680" s="309">
        <v>1.1787461739455021</v>
      </c>
      <c r="AU680" s="309" t="e">
        <v>#N/A</v>
      </c>
      <c r="AV680" s="309">
        <f ca="1">Calc!AS78</f>
        <v>1.1305886736214605</v>
      </c>
      <c r="AX680" s="88" t="str">
        <f t="shared" ca="1" si="53"/>
        <v>GLE</v>
      </c>
    </row>
    <row r="681" spans="1:50" hidden="1">
      <c r="A681" s="88" t="str">
        <f t="shared" ca="1" si="52"/>
        <v>GNRC</v>
      </c>
      <c r="F681" s="255">
        <v>-2.38</v>
      </c>
      <c r="G681" s="255">
        <v>1.58</v>
      </c>
      <c r="H681" s="255">
        <v>0.4</v>
      </c>
      <c r="I681" s="255">
        <v>2.12</v>
      </c>
      <c r="J681" s="255">
        <v>-4.32</v>
      </c>
      <c r="K681" s="255">
        <v>2.89</v>
      </c>
      <c r="L681" s="255">
        <v>4.3849999999999998</v>
      </c>
      <c r="M681" s="255">
        <v>0.59</v>
      </c>
      <c r="N681" s="255">
        <v>0.59</v>
      </c>
      <c r="O681" s="255">
        <v>4.04</v>
      </c>
      <c r="P681" s="255">
        <v>9.8049999999999997</v>
      </c>
      <c r="Q681" s="255">
        <v>9.4749999999999996</v>
      </c>
      <c r="R681" s="255">
        <v>0.98499999999999999</v>
      </c>
      <c r="S681" s="255">
        <v>-2.15</v>
      </c>
      <c r="T681" s="255">
        <v>5.28</v>
      </c>
      <c r="U681" s="255">
        <v>-3.25</v>
      </c>
      <c r="V681" s="255">
        <v>-9.41</v>
      </c>
      <c r="W681" s="255">
        <v>-9.41</v>
      </c>
      <c r="X681" s="255">
        <v>5.95</v>
      </c>
      <c r="Y681" s="255">
        <v>2.97</v>
      </c>
      <c r="Z681" s="247">
        <f ca="1">[1]ExtEntry!$L79</f>
        <v>2.91</v>
      </c>
      <c r="AB681" s="309">
        <v>1.2327445897884142</v>
      </c>
      <c r="AC681" s="309">
        <v>1.2216248506571086</v>
      </c>
      <c r="AD681" s="309">
        <v>1.2187127532777116</v>
      </c>
      <c r="AE681" s="309">
        <v>1.2028704193870949</v>
      </c>
      <c r="AF681" s="309">
        <v>1.2343816019798395</v>
      </c>
      <c r="AG681" s="309">
        <v>1.2244042629625194</v>
      </c>
      <c r="AH681" s="309">
        <v>1.1935681559517903</v>
      </c>
      <c r="AI681" s="309">
        <v>1.189506747324337</v>
      </c>
      <c r="AJ681" s="309">
        <v>1.189506747324337</v>
      </c>
      <c r="AK681" s="309">
        <v>1.1744773719274064</v>
      </c>
      <c r="AL681" s="309">
        <v>1.1118662498300937</v>
      </c>
      <c r="AM681" s="309">
        <v>1.0579683902842805</v>
      </c>
      <c r="AN681" s="309">
        <v>1.0614829617710415</v>
      </c>
      <c r="AO681" s="309">
        <v>1.0735471678303323</v>
      </c>
      <c r="AP681" s="309">
        <v>1.0445931450171118</v>
      </c>
      <c r="AQ681" s="309">
        <v>1.0622273010596301</v>
      </c>
      <c r="AR681" s="309">
        <v>1.1169370255065814</v>
      </c>
      <c r="AS681" s="309">
        <v>1.1107925064176087</v>
      </c>
      <c r="AT681" s="309">
        <v>1.0758305120609395</v>
      </c>
      <c r="AU681" s="309" t="e">
        <v>#N/A</v>
      </c>
      <c r="AV681" s="309">
        <f ca="1">Calc!AS79</f>
        <v>1.0595207085178433</v>
      </c>
      <c r="AX681" s="88" t="str">
        <f t="shared" ca="1" si="53"/>
        <v>GNRC</v>
      </c>
    </row>
    <row r="682" spans="1:50" hidden="1">
      <c r="A682" s="88" t="str">
        <f t="shared" ca="1" si="52"/>
        <v>GS</v>
      </c>
      <c r="F682" s="255">
        <v>0.128</v>
      </c>
      <c r="G682" s="255">
        <v>-7.88</v>
      </c>
      <c r="H682" s="255">
        <v>-10.25</v>
      </c>
      <c r="I682" s="255">
        <v>-5.62</v>
      </c>
      <c r="J682" s="255">
        <v>10.65</v>
      </c>
      <c r="K682" s="255">
        <v>-6.89</v>
      </c>
      <c r="L682" s="255">
        <v>-12.63</v>
      </c>
      <c r="M682" s="255">
        <v>3.73</v>
      </c>
      <c r="N682" s="255">
        <v>3.45</v>
      </c>
      <c r="O682" s="255">
        <v>23.55</v>
      </c>
      <c r="P682" s="255">
        <v>-15.64</v>
      </c>
      <c r="Q682" s="255">
        <v>-6.6</v>
      </c>
      <c r="R682" s="255">
        <v>-9.61</v>
      </c>
      <c r="S682" s="255">
        <v>-7.32</v>
      </c>
      <c r="T682" s="255">
        <v>12.32</v>
      </c>
      <c r="U682" s="255">
        <v>-4.25</v>
      </c>
      <c r="V682" s="255">
        <v>-14.4</v>
      </c>
      <c r="W682" s="255">
        <v>-14.4</v>
      </c>
      <c r="X682" s="255">
        <v>6.41</v>
      </c>
      <c r="Y682" s="255">
        <v>33.090000000000003</v>
      </c>
      <c r="Z682" s="247">
        <f ca="1">[1]ExtEntry!$L80</f>
        <v>33.1</v>
      </c>
      <c r="AB682" s="309">
        <v>0.88530445854793804</v>
      </c>
      <c r="AC682" s="309">
        <v>0.89241811514116343</v>
      </c>
      <c r="AD682" s="309">
        <v>0.90392952550566075</v>
      </c>
      <c r="AE682" s="309">
        <v>0.91112721024759902</v>
      </c>
      <c r="AF682" s="309">
        <v>0.89943293292659765</v>
      </c>
      <c r="AG682" s="309">
        <v>0.89959234830166224</v>
      </c>
      <c r="AH682" s="309">
        <v>0.91449254845435124</v>
      </c>
      <c r="AI682" s="309">
        <v>0.91071849687275708</v>
      </c>
      <c r="AJ682" s="309">
        <v>0.91104543822760131</v>
      </c>
      <c r="AK682" s="309">
        <v>0.90185300351562991</v>
      </c>
      <c r="AL682" s="309">
        <v>0.92146562232538831</v>
      </c>
      <c r="AM682" s="309">
        <v>0.92988248534338358</v>
      </c>
      <c r="AN682" s="309">
        <v>0.9370437282413755</v>
      </c>
      <c r="AO682" s="309">
        <v>0.94646696058713053</v>
      </c>
      <c r="AP682" s="309">
        <v>0.93118636071760852</v>
      </c>
      <c r="AQ682" s="309">
        <v>0.93611788109133531</v>
      </c>
      <c r="AR682" s="309">
        <v>0.95433532998468928</v>
      </c>
      <c r="AS682" s="309">
        <v>1.0270007252410756</v>
      </c>
      <c r="AT682" s="309">
        <v>1.0182077469008401</v>
      </c>
      <c r="AU682" s="309" t="e">
        <v>#N/A</v>
      </c>
      <c r="AV682" s="309">
        <f ca="1">Calc!AS80</f>
        <v>0.97551181303260703</v>
      </c>
      <c r="AX682" s="88" t="str">
        <f t="shared" ca="1" si="53"/>
        <v>GS</v>
      </c>
    </row>
    <row r="683" spans="1:50" hidden="1">
      <c r="A683" s="88" t="str">
        <f t="shared" ca="1" si="52"/>
        <v>LAZR</v>
      </c>
      <c r="F683" s="255">
        <v>-0.01</v>
      </c>
      <c r="G683" s="255">
        <v>-0.1</v>
      </c>
      <c r="H683" s="255">
        <v>5.5E-2</v>
      </c>
      <c r="I683" s="255">
        <v>0.20499999999999999</v>
      </c>
      <c r="J683" s="255">
        <v>0.28000000000000003</v>
      </c>
      <c r="K683" s="255">
        <v>-0.19</v>
      </c>
      <c r="L683" s="255">
        <v>0.16</v>
      </c>
      <c r="M683" s="255">
        <v>-0.11</v>
      </c>
      <c r="N683" s="255">
        <v>-0.11</v>
      </c>
      <c r="O683" s="255">
        <v>0.16</v>
      </c>
      <c r="P683" s="255">
        <v>-0.01</v>
      </c>
      <c r="Q683" s="255">
        <v>-8.5000000000000006E-2</v>
      </c>
      <c r="R683" s="255">
        <v>-0.13</v>
      </c>
      <c r="S683" s="255">
        <v>0.05</v>
      </c>
      <c r="T683" s="255">
        <v>0.06</v>
      </c>
      <c r="U683" s="255">
        <v>-0.185</v>
      </c>
      <c r="V683" s="255">
        <v>-9.5000000000000001E-2</v>
      </c>
      <c r="W683" s="255">
        <v>-9.5000000000000001E-2</v>
      </c>
      <c r="X683" s="255">
        <v>-0.03</v>
      </c>
      <c r="Y683" s="255">
        <v>0.53</v>
      </c>
      <c r="Z683" s="247">
        <f ca="1">[1]ExtEntry!$L81</f>
        <v>0.53</v>
      </c>
      <c r="AB683" s="309">
        <v>1.3267014925373135</v>
      </c>
      <c r="AC683" s="309">
        <v>1.3961623036649216</v>
      </c>
      <c r="AD683" s="309">
        <v>1.3570839694656487</v>
      </c>
      <c r="AE683" s="309">
        <v>1.2288801843317971</v>
      </c>
      <c r="AF683" s="309">
        <v>1.0884367346938775</v>
      </c>
      <c r="AG683" s="309">
        <v>1.3008146341463416</v>
      </c>
      <c r="AH683" s="309">
        <v>1.2066380090497737</v>
      </c>
      <c r="AI683" s="309">
        <v>1.2698428571428571</v>
      </c>
      <c r="AJ683" s="309">
        <v>1.2698428571428571</v>
      </c>
      <c r="AK683" s="309">
        <v>1.2698428571428571</v>
      </c>
      <c r="AL683" s="309">
        <v>1.2759186602870813</v>
      </c>
      <c r="AM683" s="309">
        <v>1.3300099750623442</v>
      </c>
      <c r="AN683" s="309">
        <v>1.4109365079365079</v>
      </c>
      <c r="AO683" s="309">
        <v>1.3745721649484537</v>
      </c>
      <c r="AP683" s="309">
        <v>1.3333349999999999</v>
      </c>
      <c r="AQ683" s="309">
        <v>1.4692396694214875</v>
      </c>
      <c r="AR683" s="309">
        <v>1.5503895348837209</v>
      </c>
      <c r="AS683" s="309">
        <v>1.5503895348837209</v>
      </c>
      <c r="AT683" s="309">
        <v>1.5779112426035502</v>
      </c>
      <c r="AU683" s="309" t="e">
        <v>#N/A</v>
      </c>
      <c r="AV683" s="309">
        <f ca="1">Calc!AS81</f>
        <v>1.3513513513513513</v>
      </c>
      <c r="AX683" s="88" t="str">
        <f t="shared" ca="1" si="53"/>
        <v>LAZR</v>
      </c>
    </row>
    <row r="684" spans="1:50" hidden="1">
      <c r="A684" s="88" t="str">
        <f t="shared" ca="1" si="52"/>
        <v>LUV</v>
      </c>
      <c r="F684" s="255">
        <v>0.13</v>
      </c>
      <c r="G684" s="255">
        <v>-0.84499999999999997</v>
      </c>
      <c r="H684" s="255">
        <v>0.375</v>
      </c>
      <c r="I684" s="255">
        <v>0.03</v>
      </c>
      <c r="J684" s="255">
        <v>0.215</v>
      </c>
      <c r="K684" s="255">
        <v>-0.19</v>
      </c>
      <c r="L684" s="255">
        <v>7.4999999999999997E-2</v>
      </c>
      <c r="M684" s="255">
        <v>-0.75</v>
      </c>
      <c r="N684" s="255">
        <v>-0.77</v>
      </c>
      <c r="O684" s="255">
        <v>0.6</v>
      </c>
      <c r="P684" s="255">
        <v>1.5049999999999999</v>
      </c>
      <c r="Q684" s="255">
        <v>0.35</v>
      </c>
      <c r="R684" s="255">
        <v>-0.27</v>
      </c>
      <c r="S684" s="255">
        <v>0.23</v>
      </c>
      <c r="T684" s="255">
        <v>0.88500000000000001</v>
      </c>
      <c r="U684" s="255">
        <v>0.255</v>
      </c>
      <c r="V684" s="255">
        <v>-0.96</v>
      </c>
      <c r="W684" s="255">
        <v>-0.96</v>
      </c>
      <c r="X684" s="255">
        <v>-2.11</v>
      </c>
      <c r="Y684" s="255">
        <v>0.54</v>
      </c>
      <c r="Z684" s="247">
        <f ca="1">[1]ExtEntry!$L82</f>
        <v>0.55000000000000004</v>
      </c>
      <c r="AB684" s="309">
        <v>0.98162890385793033</v>
      </c>
      <c r="AC684" s="309">
        <v>1.0045433181889394</v>
      </c>
      <c r="AD684" s="309">
        <v>0.99303081926591319</v>
      </c>
      <c r="AE684" s="309">
        <v>0.99226245744351593</v>
      </c>
      <c r="AF684" s="309">
        <v>0.9857033051498848</v>
      </c>
      <c r="AG684" s="309">
        <v>0.98981167026860151</v>
      </c>
      <c r="AH684" s="309">
        <v>0.9875250269521022</v>
      </c>
      <c r="AI684" s="309">
        <v>1.0113564668769717</v>
      </c>
      <c r="AJ684" s="309">
        <v>1.0119949494949496</v>
      </c>
      <c r="AK684" s="309">
        <v>1.0053308247099404</v>
      </c>
      <c r="AL684" s="309">
        <v>0.95973656638227811</v>
      </c>
      <c r="AM684" s="309">
        <v>0.9493633402428191</v>
      </c>
      <c r="AN684" s="309">
        <v>0.96305196755782529</v>
      </c>
      <c r="AO684" s="309">
        <v>0.9564439140811456</v>
      </c>
      <c r="AP684" s="309">
        <v>0.93184130213631744</v>
      </c>
      <c r="AQ684" s="309">
        <v>0.92431886982845612</v>
      </c>
      <c r="AR684" s="309">
        <v>0.95077105575326226</v>
      </c>
      <c r="AS684" s="309">
        <v>0.98042704626334531</v>
      </c>
      <c r="AT684" s="309">
        <v>1.0445497630331755</v>
      </c>
      <c r="AU684" s="309" t="e">
        <v>#N/A</v>
      </c>
      <c r="AV684" s="309">
        <f ca="1">Calc!AS82</f>
        <v>1.0267080745341615</v>
      </c>
      <c r="AX684" s="88" t="str">
        <f t="shared" ca="1" si="53"/>
        <v>LUV</v>
      </c>
    </row>
    <row r="685" spans="1:50" hidden="1">
      <c r="A685" s="88" t="str">
        <f t="shared" ca="1" si="52"/>
        <v>MA</v>
      </c>
      <c r="F685" s="255">
        <v>1.845</v>
      </c>
      <c r="G685" s="255">
        <v>0.67</v>
      </c>
      <c r="H685" s="255">
        <v>5.31</v>
      </c>
      <c r="I685" s="255">
        <v>3.69</v>
      </c>
      <c r="J685" s="255">
        <v>3.14</v>
      </c>
      <c r="K685" s="255">
        <v>1.03</v>
      </c>
      <c r="L685" s="255">
        <v>-3.43</v>
      </c>
      <c r="M685" s="255">
        <v>-11.05</v>
      </c>
      <c r="N685" s="255">
        <v>-11.13</v>
      </c>
      <c r="O685" s="255">
        <v>1.77</v>
      </c>
      <c r="P685" s="255">
        <v>8.4600000000000009</v>
      </c>
      <c r="Q685" s="255">
        <v>-4.2350000000000003</v>
      </c>
      <c r="R685" s="255">
        <v>-12.73</v>
      </c>
      <c r="S685" s="255">
        <v>11.09</v>
      </c>
      <c r="T685" s="255">
        <v>5.7</v>
      </c>
      <c r="U685" s="255">
        <v>5.61</v>
      </c>
      <c r="V685" s="255">
        <v>-0.76</v>
      </c>
      <c r="W685" s="255">
        <v>-0.76</v>
      </c>
      <c r="X685" s="255">
        <v>2.4900000000000002</v>
      </c>
      <c r="Y685" s="255">
        <v>0.46</v>
      </c>
      <c r="Z685" s="247">
        <f ca="1">[1]ExtEntry!$L83</f>
        <v>-0.1</v>
      </c>
      <c r="AB685" s="309">
        <v>1.1368252568455399</v>
      </c>
      <c r="AC685" s="309">
        <v>1.1331578207134194</v>
      </c>
      <c r="AD685" s="309">
        <v>1.1226773148470703</v>
      </c>
      <c r="AE685" s="309">
        <v>1.1161838049388701</v>
      </c>
      <c r="AF685" s="309">
        <v>1.1103958860923044</v>
      </c>
      <c r="AG685" s="309">
        <v>1.1116023385761589</v>
      </c>
      <c r="AH685" s="309">
        <v>1.118217067712219</v>
      </c>
      <c r="AI685" s="309">
        <v>1.1415466765846662</v>
      </c>
      <c r="AJ685" s="309">
        <v>1.1417084403507221</v>
      </c>
      <c r="AK685" s="309">
        <v>1.1525283862315603</v>
      </c>
      <c r="AL685" s="309">
        <v>1.1353734366742998</v>
      </c>
      <c r="AM685" s="309">
        <v>1.1434604433327127</v>
      </c>
      <c r="AN685" s="309">
        <v>1.1717413830715533</v>
      </c>
      <c r="AO685" s="309">
        <v>1.1489945986416386</v>
      </c>
      <c r="AP685" s="309">
        <v>1.1374371327227488</v>
      </c>
      <c r="AQ685" s="309">
        <v>1.1268973897232373</v>
      </c>
      <c r="AR685" s="309">
        <v>1.1282782222066625</v>
      </c>
      <c r="AS685" s="309">
        <v>1.1350680063717682</v>
      </c>
      <c r="AT685" s="309">
        <v>1.1299647991635444</v>
      </c>
      <c r="AU685" s="309" t="e">
        <v>#N/A</v>
      </c>
      <c r="AV685" s="309">
        <f ca="1">Calc!AS83</f>
        <v>1.1303193473599806</v>
      </c>
      <c r="AX685" s="88" t="str">
        <f t="shared" ca="1" si="53"/>
        <v>MA</v>
      </c>
    </row>
    <row r="686" spans="1:50" hidden="1">
      <c r="A686" s="88" t="str">
        <f t="shared" ca="1" si="52"/>
        <v>NVAX</v>
      </c>
      <c r="F686" s="255">
        <v>5.0000000000000001E-3</v>
      </c>
      <c r="G686" s="255">
        <v>0.1</v>
      </c>
      <c r="H686" s="255">
        <v>0.83</v>
      </c>
      <c r="I686" s="255">
        <v>0.05</v>
      </c>
      <c r="J686" s="255">
        <v>-0.09</v>
      </c>
      <c r="K686" s="255">
        <v>0.14000000000000001</v>
      </c>
      <c r="L686" s="255">
        <v>-0.31900000000000001</v>
      </c>
      <c r="M686" s="255">
        <v>-0.31</v>
      </c>
      <c r="N686" s="255">
        <v>-0.31</v>
      </c>
      <c r="O686" s="255">
        <v>0.28999999999999998</v>
      </c>
      <c r="P686" s="255">
        <v>0.27</v>
      </c>
      <c r="Q686" s="255">
        <v>0.125</v>
      </c>
      <c r="R686" s="255">
        <v>-0.43</v>
      </c>
      <c r="S686" s="255">
        <v>-0.38</v>
      </c>
      <c r="T686" s="255">
        <v>0.69</v>
      </c>
      <c r="U686" s="255">
        <v>-0.2</v>
      </c>
      <c r="V686" s="255">
        <v>-0.13</v>
      </c>
      <c r="W686" s="255">
        <v>-0.13</v>
      </c>
      <c r="X686" s="255">
        <v>-0.1</v>
      </c>
      <c r="Y686" s="255">
        <v>0.16</v>
      </c>
      <c r="Z686" s="247">
        <f ca="1">[1]ExtEntry!$L84</f>
        <v>0.16</v>
      </c>
      <c r="AB686" s="309">
        <v>1.4611338398597311</v>
      </c>
      <c r="AC686" s="309">
        <v>1.441753171856978</v>
      </c>
      <c r="AD686" s="309">
        <v>1.3157894736842106</v>
      </c>
      <c r="AE686" s="309">
        <v>1.3089005235602094</v>
      </c>
      <c r="AF686" s="309">
        <v>1.3213530655391119</v>
      </c>
      <c r="AG686" s="309">
        <v>1.3557483731019522</v>
      </c>
      <c r="AH686" s="309">
        <v>1.4043365913942254</v>
      </c>
      <c r="AI686" s="309">
        <v>1.4551804423748544</v>
      </c>
      <c r="AJ686" s="309">
        <v>1.4551804423748544</v>
      </c>
      <c r="AK686" s="309">
        <v>1.4501160092807426</v>
      </c>
      <c r="AL686" s="309">
        <v>1.4060742407199098</v>
      </c>
      <c r="AM686" s="309">
        <v>1.3865779256794231</v>
      </c>
      <c r="AN686" s="309">
        <v>1.4740566037735849</v>
      </c>
      <c r="AO686" s="309">
        <v>1.5432098765432098</v>
      </c>
      <c r="AP686" s="309">
        <v>1.4220705346985212</v>
      </c>
      <c r="AQ686" s="309">
        <v>1.4551804423748544</v>
      </c>
      <c r="AR686" s="309">
        <v>1.4775413711583922</v>
      </c>
      <c r="AS686" s="309">
        <v>1.4775413711583922</v>
      </c>
      <c r="AT686" s="309">
        <v>1.4952153110047848</v>
      </c>
      <c r="AU686" s="309" t="e">
        <v>#N/A</v>
      </c>
      <c r="AV686" s="309">
        <f ca="1">Calc!AS84</f>
        <v>1.4671361502347418</v>
      </c>
      <c r="AX686" s="88" t="str">
        <f t="shared" ca="1" si="53"/>
        <v>NVAX</v>
      </c>
    </row>
    <row r="687" spans="1:50" hidden="1">
      <c r="A687" s="88" t="str">
        <f t="shared" ca="1" si="52"/>
        <v>NVS</v>
      </c>
      <c r="F687" s="255">
        <v>0.28499999999999998</v>
      </c>
      <c r="G687" s="255">
        <v>4.13</v>
      </c>
      <c r="H687" s="255">
        <v>3.48</v>
      </c>
      <c r="I687" s="255">
        <v>-0.74</v>
      </c>
      <c r="J687" s="255">
        <v>1.42</v>
      </c>
      <c r="K687" s="255">
        <v>-0.69</v>
      </c>
      <c r="L687" s="255">
        <v>0.76</v>
      </c>
      <c r="M687" s="255">
        <v>-1.25</v>
      </c>
      <c r="N687" s="255">
        <v>-1.25</v>
      </c>
      <c r="O687" s="255">
        <v>-0.88</v>
      </c>
      <c r="P687" s="255">
        <v>1.18</v>
      </c>
      <c r="Q687" s="255">
        <v>-0.30499999999999999</v>
      </c>
      <c r="R687" s="255">
        <v>0.75</v>
      </c>
      <c r="S687" s="255">
        <v>0.66</v>
      </c>
      <c r="T687" s="255">
        <v>0.36</v>
      </c>
      <c r="U687" s="255">
        <v>-0.45</v>
      </c>
      <c r="V687" s="255">
        <v>0.09</v>
      </c>
      <c r="W687" s="255">
        <v>0.09</v>
      </c>
      <c r="X687" s="255">
        <v>0.21</v>
      </c>
      <c r="Y687" s="255">
        <v>-1.26</v>
      </c>
      <c r="Z687" s="247">
        <f ca="1">[1]ExtEntry!$L85</f>
        <v>-1.28</v>
      </c>
      <c r="AB687" s="309">
        <v>0.95650946060434905</v>
      </c>
      <c r="AC687" s="309">
        <v>0.92447165249941521</v>
      </c>
      <c r="AD687" s="309">
        <v>0.89997722441542671</v>
      </c>
      <c r="AE687" s="309">
        <v>0.90506184150251956</v>
      </c>
      <c r="AF687" s="309">
        <v>0.89542261500113307</v>
      </c>
      <c r="AG687" s="309">
        <v>0.90107175433262388</v>
      </c>
      <c r="AH687" s="309">
        <v>0.89596402388330432</v>
      </c>
      <c r="AI687" s="309">
        <v>0.90450938501449718</v>
      </c>
      <c r="AJ687" s="309">
        <v>0.90450938501449718</v>
      </c>
      <c r="AK687" s="309">
        <v>0.91788617886178858</v>
      </c>
      <c r="AL687" s="309">
        <v>0.90978511128165762</v>
      </c>
      <c r="AM687" s="309">
        <v>0.91220037705359536</v>
      </c>
      <c r="AN687" s="309">
        <v>0.9068619951040392</v>
      </c>
      <c r="AO687" s="309">
        <v>0.90196302214106361</v>
      </c>
      <c r="AP687" s="309">
        <v>0.89949920327794219</v>
      </c>
      <c r="AQ687" s="309">
        <v>0.90258108725445407</v>
      </c>
      <c r="AR687" s="309">
        <v>0.90196302214106361</v>
      </c>
      <c r="AS687" s="309">
        <v>0.92866164498211967</v>
      </c>
      <c r="AT687" s="309">
        <v>0.92718018839258598</v>
      </c>
      <c r="AU687" s="309" t="e">
        <v>#N/A</v>
      </c>
      <c r="AV687" s="309">
        <f ca="1">Calc!AS85</f>
        <v>0.9362841362381098</v>
      </c>
      <c r="AX687" s="88" t="str">
        <f t="shared" ca="1" si="53"/>
        <v>NVS</v>
      </c>
    </row>
    <row r="688" spans="1:50" hidden="1">
      <c r="A688" s="88" t="str">
        <f t="shared" ca="1" si="52"/>
        <v>ORA</v>
      </c>
      <c r="F688" s="255">
        <v>-0.06</v>
      </c>
      <c r="G688" s="255">
        <v>0.11</v>
      </c>
      <c r="H688" s="255">
        <v>-0.105</v>
      </c>
      <c r="I688" s="255">
        <v>-0.17</v>
      </c>
      <c r="J688" s="255">
        <v>-0.215</v>
      </c>
      <c r="K688" s="255">
        <v>0.03</v>
      </c>
      <c r="L688" s="255">
        <v>0.17499999999999999</v>
      </c>
      <c r="M688" s="255">
        <v>0.17</v>
      </c>
      <c r="N688" s="255">
        <v>0.02</v>
      </c>
      <c r="O688" s="255">
        <v>-0.16</v>
      </c>
      <c r="P688" s="255">
        <v>0.14000000000000001</v>
      </c>
      <c r="Q688" s="255">
        <v>0.44500000000000001</v>
      </c>
      <c r="R688" s="255">
        <v>7.0000000000000007E-2</v>
      </c>
      <c r="S688" s="255">
        <v>0.25</v>
      </c>
      <c r="T688" s="255">
        <v>-0.17499999999999999</v>
      </c>
      <c r="U688" s="255">
        <v>-3.5000000000000003E-2</v>
      </c>
      <c r="V688" s="255">
        <v>-5.5E-2</v>
      </c>
      <c r="W688" s="255">
        <v>-5.5E-2</v>
      </c>
      <c r="X688" s="255">
        <v>0.08</v>
      </c>
      <c r="Y688" s="255">
        <v>-0.23</v>
      </c>
      <c r="Z688" s="247">
        <f ca="1">[1]ExtEntry!$L86</f>
        <v>-0.23</v>
      </c>
      <c r="AB688" s="309">
        <v>1.0944846715328469</v>
      </c>
      <c r="AC688" s="309">
        <v>1.0857668356263577</v>
      </c>
      <c r="AD688" s="309">
        <v>1.0940853703028093</v>
      </c>
      <c r="AE688" s="309">
        <v>1.1078271148873291</v>
      </c>
      <c r="AF688" s="309">
        <v>1.1257087087087088</v>
      </c>
      <c r="AG688" s="309">
        <v>1.1346530457813091</v>
      </c>
      <c r="AH688" s="309">
        <v>1.1198237490664675</v>
      </c>
      <c r="AI688" s="309">
        <v>1.1057846607669617</v>
      </c>
      <c r="AJ688" s="309">
        <v>1.104156111929308</v>
      </c>
      <c r="AK688" s="309">
        <v>1.1164884586746091</v>
      </c>
      <c r="AL688" s="309">
        <v>1.1049697862932941</v>
      </c>
      <c r="AM688" s="309">
        <v>1.0698851230824118</v>
      </c>
      <c r="AN688" s="309">
        <v>1.0645679801206958</v>
      </c>
      <c r="AO688" s="309">
        <v>1.0460020927799094</v>
      </c>
      <c r="AP688" s="309">
        <v>1.0589293785310736</v>
      </c>
      <c r="AQ688" s="309">
        <v>1.0615532743362832</v>
      </c>
      <c r="AR688" s="309">
        <v>1.0657029140014216</v>
      </c>
      <c r="AS688" s="309">
        <v>1.0866304193319118</v>
      </c>
      <c r="AT688" s="309">
        <v>1.0804869257950529</v>
      </c>
      <c r="AU688" s="309" t="e">
        <v>#N/A</v>
      </c>
      <c r="AV688" s="309">
        <f ca="1">Calc!AS86</f>
        <v>1.0718390804597702</v>
      </c>
      <c r="AX688" s="88" t="str">
        <f t="shared" ca="1" si="53"/>
        <v>ORA</v>
      </c>
    </row>
    <row r="689" spans="1:50" hidden="1">
      <c r="A689" s="88" t="str">
        <f t="shared" ca="1" si="52"/>
        <v>OXY</v>
      </c>
      <c r="F689" s="255">
        <v>0.745</v>
      </c>
      <c r="G689" s="255">
        <v>-0.84</v>
      </c>
      <c r="H689" s="255">
        <v>0.48</v>
      </c>
      <c r="I689" s="255">
        <v>-3.5</v>
      </c>
      <c r="J689" s="255">
        <v>0.61499999999999999</v>
      </c>
      <c r="K689" s="255">
        <v>-7.4999999999999997E-2</v>
      </c>
      <c r="L689" s="255">
        <v>-0.28000000000000003</v>
      </c>
      <c r="M689" s="255">
        <v>-0.52</v>
      </c>
      <c r="N689" s="255">
        <v>-0.52</v>
      </c>
      <c r="O689" s="255">
        <v>0.28000000000000003</v>
      </c>
      <c r="P689" s="255">
        <v>-0.14000000000000001</v>
      </c>
      <c r="Q689" s="255">
        <v>-0.42499999999999999</v>
      </c>
      <c r="R689" s="255">
        <v>-0.84</v>
      </c>
      <c r="S689" s="255">
        <v>-0.14000000000000001</v>
      </c>
      <c r="T689" s="255">
        <v>0.13</v>
      </c>
      <c r="U689" s="255">
        <v>-0.12</v>
      </c>
      <c r="V689" s="255">
        <v>0.82499999999999996</v>
      </c>
      <c r="W689" s="255">
        <v>0.82499999999999996</v>
      </c>
      <c r="X689" s="255">
        <v>1.1499999999999999</v>
      </c>
      <c r="Y689" s="255">
        <v>-0.3</v>
      </c>
      <c r="Z689" s="247">
        <f ca="1">[1]ExtEntry!$L87</f>
        <v>-0.31</v>
      </c>
      <c r="AB689" s="309">
        <v>1.0531992118635278</v>
      </c>
      <c r="AC689" s="309">
        <v>1.0744815911976302</v>
      </c>
      <c r="AD689" s="309">
        <v>1.0639011104127385</v>
      </c>
      <c r="AE689" s="309">
        <v>1.1483491632745364</v>
      </c>
      <c r="AF689" s="309">
        <v>1.1323447430036795</v>
      </c>
      <c r="AG689" s="309">
        <v>1.1203530060672917</v>
      </c>
      <c r="AH689" s="309">
        <v>1.1271920088790235</v>
      </c>
      <c r="AI689" s="309">
        <v>1.1406109613656783</v>
      </c>
      <c r="AJ689" s="309">
        <v>1.1406109613656783</v>
      </c>
      <c r="AK689" s="309">
        <v>1.1967947207164742</v>
      </c>
      <c r="AL689" s="309">
        <v>1.2010406811731316</v>
      </c>
      <c r="AM689" s="309">
        <v>1.2132361725002987</v>
      </c>
      <c r="AN689" s="309">
        <v>1.2373294346978558</v>
      </c>
      <c r="AO689" s="309">
        <v>1.2415647921760391</v>
      </c>
      <c r="AP689" s="309">
        <v>1.2376310017060688</v>
      </c>
      <c r="AQ689" s="309">
        <v>1.2412613053043267</v>
      </c>
      <c r="AR689" s="309">
        <v>1.216724571702408</v>
      </c>
      <c r="AS689" s="309">
        <v>1.235065292919612</v>
      </c>
      <c r="AT689" s="309">
        <v>1.2020860541044776</v>
      </c>
      <c r="AU689" s="309" t="e">
        <v>#N/A</v>
      </c>
      <c r="AV689" s="309">
        <f ca="1">Calc!AS87</f>
        <v>1.2108397932816537</v>
      </c>
      <c r="AX689" s="88" t="str">
        <f t="shared" ca="1" si="53"/>
        <v>OXY</v>
      </c>
    </row>
    <row r="690" spans="1:50" hidden="1">
      <c r="A690" s="88" t="str">
        <f t="shared" ca="1" si="52"/>
        <v>PFE</v>
      </c>
      <c r="F690" s="255">
        <v>1.9900000000000001E-2</v>
      </c>
      <c r="G690" s="255">
        <v>1.625</v>
      </c>
      <c r="H690" s="255">
        <v>1.7450000000000001</v>
      </c>
      <c r="I690" s="255">
        <v>-0.115</v>
      </c>
      <c r="J690" s="255">
        <v>0.28499999999999998</v>
      </c>
      <c r="K690" s="255">
        <v>-0.16500000000000001</v>
      </c>
      <c r="L690" s="255">
        <v>-0.59</v>
      </c>
      <c r="M690" s="255">
        <v>-0.44500000000000001</v>
      </c>
      <c r="N690" s="255">
        <v>-0.44</v>
      </c>
      <c r="O690" s="255">
        <v>-7.4999999999999997E-2</v>
      </c>
      <c r="P690" s="255">
        <v>-0.20499999999999999</v>
      </c>
      <c r="Q690" s="255">
        <v>-0.17</v>
      </c>
      <c r="R690" s="255">
        <v>-0.16</v>
      </c>
      <c r="S690" s="255">
        <v>0.28000000000000003</v>
      </c>
      <c r="T690" s="255">
        <v>0.17499999999999999</v>
      </c>
      <c r="U690" s="255">
        <v>0.13500000000000001</v>
      </c>
      <c r="V690" s="255">
        <v>-0.115</v>
      </c>
      <c r="W690" s="255">
        <v>-0.115</v>
      </c>
      <c r="X690" s="255">
        <v>-3.5000000000000003E-2</v>
      </c>
      <c r="Y690" s="255">
        <v>0.11</v>
      </c>
      <c r="Z690" s="247">
        <f ca="1">[1]ExtEntry!$L88</f>
        <v>0.09</v>
      </c>
      <c r="AB690" s="309">
        <v>1.2135097288045786</v>
      </c>
      <c r="AC690" s="309">
        <v>1.1327631010794896</v>
      </c>
      <c r="AD690" s="309">
        <v>1.0599500459136824</v>
      </c>
      <c r="AE690" s="309">
        <v>1.0650356154272007</v>
      </c>
      <c r="AF690" s="309">
        <v>1.0545273159144894</v>
      </c>
      <c r="AG690" s="309">
        <v>1.0986917951646678</v>
      </c>
      <c r="AH690" s="309">
        <v>1.1237204049844238</v>
      </c>
      <c r="AI690" s="309">
        <v>1.1435363582326135</v>
      </c>
      <c r="AJ690" s="309">
        <v>1.1433098256735341</v>
      </c>
      <c r="AK690" s="309">
        <v>1.1680688119813805</v>
      </c>
      <c r="AL690" s="309">
        <v>1.1766417940876657</v>
      </c>
      <c r="AM690" s="309">
        <v>1.1850981519507187</v>
      </c>
      <c r="AN690" s="309">
        <v>1.1909673957903426</v>
      </c>
      <c r="AO690" s="309">
        <v>1.1773618931048551</v>
      </c>
      <c r="AP690" s="309">
        <v>1.1690151914117886</v>
      </c>
      <c r="AQ690" s="309">
        <v>1.1624225579053376</v>
      </c>
      <c r="AR690" s="309">
        <v>1.1666521123913485</v>
      </c>
      <c r="AS690" s="309">
        <v>1.1646913280776228</v>
      </c>
      <c r="AT690" s="309">
        <v>1.167050435487138</v>
      </c>
      <c r="AU690" s="309" t="e">
        <v>#N/A</v>
      </c>
      <c r="AV690" s="309">
        <f ca="1">Calc!AS88</f>
        <v>1.1635153473344102</v>
      </c>
      <c r="AX690" s="88" t="str">
        <f t="shared" ca="1" si="53"/>
        <v>PFE</v>
      </c>
    </row>
    <row r="691" spans="1:50" hidden="1">
      <c r="A691" s="88" t="str">
        <f t="shared" ca="1" si="52"/>
        <v>RIG</v>
      </c>
      <c r="F691" s="255">
        <v>-0.09</v>
      </c>
      <c r="G691" s="255">
        <v>5.0000000000000001E-3</v>
      </c>
      <c r="H691" s="255">
        <v>0.105</v>
      </c>
      <c r="I691" s="255">
        <v>6.5000000000000002E-2</v>
      </c>
      <c r="J691" s="255">
        <v>6.5000000000000002E-2</v>
      </c>
      <c r="K691" s="255">
        <v>3.5000000000000003E-2</v>
      </c>
      <c r="L691" s="255">
        <v>-5.5E-2</v>
      </c>
      <c r="M691" s="255">
        <v>-7.4999999999999997E-2</v>
      </c>
      <c r="N691" s="255">
        <v>-7.0000000000000007E-2</v>
      </c>
      <c r="O691" s="255">
        <v>0.115</v>
      </c>
      <c r="P691" s="255">
        <v>-8.5000000000000006E-2</v>
      </c>
      <c r="Q691" s="255">
        <v>0.17</v>
      </c>
      <c r="R691" s="255">
        <v>-8.5000000000000006E-2</v>
      </c>
      <c r="S691" s="255">
        <v>0.03</v>
      </c>
      <c r="T691" s="255">
        <v>2.5000000000000001E-2</v>
      </c>
      <c r="U691" s="255">
        <v>1.4999999999999999E-2</v>
      </c>
      <c r="V691" s="255">
        <v>0.115</v>
      </c>
      <c r="W691" s="255">
        <v>0.115</v>
      </c>
      <c r="X691" s="255">
        <v>0.46500000000000002</v>
      </c>
      <c r="Y691" s="255">
        <v>5.0000000000000001E-3</v>
      </c>
      <c r="Z691" s="247">
        <f ca="1">[1]ExtEntry!$L89</f>
        <v>0.01</v>
      </c>
      <c r="AB691" s="309">
        <v>1.2506193548387097</v>
      </c>
      <c r="AC691" s="309">
        <v>1.244597110754414</v>
      </c>
      <c r="AD691" s="309">
        <v>1.2021457364341086</v>
      </c>
      <c r="AE691" s="309">
        <v>1.1766069802731411</v>
      </c>
      <c r="AF691" s="309">
        <v>1.1521307578008915</v>
      </c>
      <c r="AG691" s="309">
        <v>1.118880230880231</v>
      </c>
      <c r="AH691" s="309">
        <v>1.1385961820851689</v>
      </c>
      <c r="AI691" s="309">
        <v>1.165990977443609</v>
      </c>
      <c r="AJ691" s="309">
        <v>1.1642402402402403</v>
      </c>
      <c r="AK691" s="309">
        <v>1.213433489827856</v>
      </c>
      <c r="AL691" s="309">
        <v>1.244597110754414</v>
      </c>
      <c r="AM691" s="309">
        <v>1.1783951367781156</v>
      </c>
      <c r="AN691" s="309">
        <v>1.2021457364341086</v>
      </c>
      <c r="AO691" s="309">
        <v>1.1892392638036811</v>
      </c>
      <c r="AP691" s="309">
        <v>1.1801887366818873</v>
      </c>
      <c r="AQ691" s="309">
        <v>1.1730468986384266</v>
      </c>
      <c r="AR691" s="309">
        <v>1.1319474452554745</v>
      </c>
      <c r="AS691" s="309">
        <v>1.1319474452554745</v>
      </c>
      <c r="AT691" s="309">
        <v>0.99792020592020603</v>
      </c>
      <c r="AU691" s="309" t="e">
        <v>#N/A</v>
      </c>
      <c r="AV691" s="309">
        <f ca="1">Calc!AS89</f>
        <v>0.99743589743589745</v>
      </c>
      <c r="AX691" s="88" t="str">
        <f t="shared" ca="1" si="53"/>
        <v>RIG</v>
      </c>
    </row>
    <row r="692" spans="1:50">
      <c r="A692" s="88" t="str">
        <f t="shared" ca="1" si="52"/>
        <v>RRC</v>
      </c>
      <c r="F692" s="255">
        <v>-0.11</v>
      </c>
      <c r="G692" s="255">
        <v>0.26</v>
      </c>
      <c r="H692" s="255">
        <v>2.09</v>
      </c>
      <c r="I692" s="255">
        <v>-1.1599999999999999</v>
      </c>
      <c r="J692" s="255">
        <v>-0.35</v>
      </c>
      <c r="K692" s="255">
        <v>0.56999999999999995</v>
      </c>
      <c r="L692" s="255">
        <v>0.19</v>
      </c>
      <c r="M692" s="255">
        <v>-0.98</v>
      </c>
      <c r="N692" s="255">
        <v>-0.98</v>
      </c>
      <c r="O692" s="255">
        <v>0.61</v>
      </c>
      <c r="P692" s="255">
        <v>-0.84</v>
      </c>
      <c r="Q692" s="255">
        <v>1.1100000000000001</v>
      </c>
      <c r="R692" s="255">
        <v>-1.47</v>
      </c>
      <c r="S692" s="255">
        <v>0.27</v>
      </c>
      <c r="T692" s="255">
        <v>1.1599999999999999</v>
      </c>
      <c r="U692" s="255">
        <v>-0.34</v>
      </c>
      <c r="V692" s="255">
        <v>-0.54</v>
      </c>
      <c r="W692" s="255">
        <v>-0.54</v>
      </c>
      <c r="X692" s="255">
        <v>1.25</v>
      </c>
      <c r="Y692" s="255">
        <v>0.105</v>
      </c>
      <c r="Z692" s="247">
        <f ca="1">[1]ExtEntry!$L90</f>
        <v>0.12</v>
      </c>
      <c r="AB692" s="309">
        <v>1.1354555141182738</v>
      </c>
      <c r="AC692" s="309">
        <v>1.1324388947927737</v>
      </c>
      <c r="AD692" s="309">
        <v>1.0728668512459101</v>
      </c>
      <c r="AE692" s="309">
        <v>1.105133523463832</v>
      </c>
      <c r="AF692" s="309">
        <v>1.1152537938252225</v>
      </c>
      <c r="AG692" s="309">
        <v>1.0829522357723578</v>
      </c>
      <c r="AH692" s="309">
        <v>1.0777496839443743</v>
      </c>
      <c r="AI692" s="309">
        <v>1.105133523463832</v>
      </c>
      <c r="AJ692" s="309">
        <v>1.105133523463832</v>
      </c>
      <c r="AK692" s="309">
        <v>1.1529618609683527</v>
      </c>
      <c r="AL692" s="309">
        <v>1.1797675062275117</v>
      </c>
      <c r="AM692" s="309">
        <v>1.1446025778732545</v>
      </c>
      <c r="AN692" s="309">
        <v>1.1943121322499299</v>
      </c>
      <c r="AO692" s="309">
        <v>1.1850152905198776</v>
      </c>
      <c r="AP692" s="309">
        <v>1.1479935362240774</v>
      </c>
      <c r="AQ692" s="309">
        <v>1.1589178901576944</v>
      </c>
      <c r="AR692" s="309">
        <v>1.1758620689655173</v>
      </c>
      <c r="AS692" s="309">
        <v>1.1655172413793105</v>
      </c>
      <c r="AT692" s="309">
        <v>1.1266666666666667</v>
      </c>
      <c r="AU692" s="309" t="e">
        <v>#N/A</v>
      </c>
      <c r="AV692" s="309">
        <f ca="1">Calc!AS90</f>
        <v>1.1485911749069644</v>
      </c>
      <c r="AX692" s="88" t="str">
        <f t="shared" ca="1" si="53"/>
        <v>RRC</v>
      </c>
    </row>
    <row r="693" spans="1:50">
      <c r="A693" s="88" t="str">
        <f t="shared" ca="1" si="52"/>
        <v>XYZ</v>
      </c>
      <c r="F693" s="247">
        <v>1.76</v>
      </c>
      <c r="G693" s="247">
        <v>-3.12</v>
      </c>
      <c r="H693" s="247">
        <v>1.1399999999999999</v>
      </c>
      <c r="I693" s="247">
        <v>3.4</v>
      </c>
      <c r="J693" s="247">
        <v>0.155</v>
      </c>
      <c r="K693" s="247">
        <v>1.26</v>
      </c>
      <c r="L693" s="247">
        <v>2.12</v>
      </c>
      <c r="M693" s="247">
        <v>-0.24</v>
      </c>
      <c r="N693" s="247">
        <v>-0.26</v>
      </c>
      <c r="O693" s="247">
        <v>0.35</v>
      </c>
      <c r="P693" s="247">
        <v>1.1599999999999999</v>
      </c>
      <c r="Q693" s="247">
        <v>-0.21</v>
      </c>
      <c r="R693" s="247">
        <v>-1.58</v>
      </c>
      <c r="S693" s="247">
        <v>0.66</v>
      </c>
      <c r="T693" s="247">
        <v>1.3</v>
      </c>
      <c r="U693" s="247">
        <v>1.21</v>
      </c>
      <c r="V693" s="247">
        <v>-1.8</v>
      </c>
      <c r="W693" s="247">
        <v>-1.8</v>
      </c>
      <c r="X693" s="247">
        <v>2.63</v>
      </c>
      <c r="Y693" s="247">
        <v>0.98</v>
      </c>
      <c r="Z693" s="247">
        <f ca="1">[1]ExtEntry!$L91</f>
        <v>0.98</v>
      </c>
      <c r="AB693" s="309">
        <v>1.1354161474214504</v>
      </c>
      <c r="AC693" s="309">
        <v>1.1850621281306213</v>
      </c>
      <c r="AD693" s="309">
        <v>1.1666590382781639</v>
      </c>
      <c r="AE693" s="309">
        <v>1.1151619791666667</v>
      </c>
      <c r="AF693" s="309">
        <v>1.1127712596634833</v>
      </c>
      <c r="AG693" s="309">
        <v>1.0835581983805667</v>
      </c>
      <c r="AH693" s="309">
        <v>1.0555144195218142</v>
      </c>
      <c r="AI693" s="309">
        <v>1.0590384567824904</v>
      </c>
      <c r="AJ693" s="309">
        <v>1.059300432900433</v>
      </c>
      <c r="AK693" s="309">
        <v>1.1416214342841911</v>
      </c>
      <c r="AL693" s="309">
        <v>1.1242378577054344</v>
      </c>
      <c r="AM693" s="309">
        <v>1.1273455311307095</v>
      </c>
      <c r="AN693" s="309">
        <v>1.1488187793427231</v>
      </c>
      <c r="AO693" s="309">
        <v>1.1388888297872339</v>
      </c>
      <c r="AP693" s="309">
        <v>1.1195351633986927</v>
      </c>
      <c r="AQ693" s="309">
        <v>1.1021032042208212</v>
      </c>
      <c r="AR693" s="309">
        <v>1.1279394178848938</v>
      </c>
      <c r="AS693" s="309">
        <v>1.159035427367312</v>
      </c>
      <c r="AT693" s="309">
        <v>1.1203763208147677</v>
      </c>
      <c r="AU693" s="309" t="e">
        <v>#N/A</v>
      </c>
      <c r="AV693" s="309">
        <f ca="1">Calc!AS91</f>
        <v>1.0739250691475986</v>
      </c>
      <c r="AX693" s="88" t="str">
        <f t="shared" ca="1" si="53"/>
        <v>XYZ</v>
      </c>
    </row>
    <row r="694" spans="1:50">
      <c r="A694" s="88" t="str">
        <f t="shared" ca="1" si="52"/>
        <v>THC</v>
      </c>
      <c r="F694" s="255">
        <v>-1.33</v>
      </c>
      <c r="G694" s="255">
        <v>1.68</v>
      </c>
      <c r="H694" s="255">
        <v>-1.7</v>
      </c>
      <c r="I694" s="255">
        <v>2.04</v>
      </c>
      <c r="J694" s="255">
        <v>-0.38</v>
      </c>
      <c r="K694" s="255">
        <v>5.18</v>
      </c>
      <c r="L694" s="255">
        <v>-4.3499999999999996</v>
      </c>
      <c r="M694" s="255">
        <v>-5.63</v>
      </c>
      <c r="N694" s="255">
        <v>-5.63</v>
      </c>
      <c r="O694" s="255">
        <v>0.38500000000000001</v>
      </c>
      <c r="P694" s="255">
        <v>6.45</v>
      </c>
      <c r="Q694" s="255">
        <v>1.67</v>
      </c>
      <c r="R694" s="255">
        <v>-0.1</v>
      </c>
      <c r="S694" s="255">
        <v>0.87</v>
      </c>
      <c r="T694" s="255">
        <v>2.0550000000000002</v>
      </c>
      <c r="U694" s="255">
        <v>0.25</v>
      </c>
      <c r="V694" s="255">
        <v>2.77</v>
      </c>
      <c r="W694" s="255">
        <v>2.77</v>
      </c>
      <c r="X694" s="255">
        <v>1.79</v>
      </c>
      <c r="Y694" s="255">
        <v>3.47</v>
      </c>
      <c r="Z694" s="247">
        <f ca="1">[1]ExtEntry!$L92</f>
        <v>3.47</v>
      </c>
      <c r="AB694" s="309">
        <v>0.98432152289829078</v>
      </c>
      <c r="AC694" s="309">
        <v>0.97359917192429024</v>
      </c>
      <c r="AD694" s="309">
        <v>0.98104599185457431</v>
      </c>
      <c r="AE694" s="309">
        <v>0.97120562493853868</v>
      </c>
      <c r="AF694" s="309">
        <v>0.97302364532019703</v>
      </c>
      <c r="AG694" s="309">
        <v>0.9638128232653459</v>
      </c>
      <c r="AH694" s="309">
        <v>1.0047386272944934</v>
      </c>
      <c r="AI694" s="309">
        <v>1.0337695663330768</v>
      </c>
      <c r="AJ694" s="309">
        <v>1.0337695663330768</v>
      </c>
      <c r="AK694" s="309">
        <v>1.0603532229621246</v>
      </c>
      <c r="AL694" s="309">
        <v>1.0253499618223467</v>
      </c>
      <c r="AM694" s="309">
        <v>1.0173232323232324</v>
      </c>
      <c r="AN694" s="309">
        <v>1.0115502435594839</v>
      </c>
      <c r="AO694" s="309">
        <v>1.00715</v>
      </c>
      <c r="AP694" s="309">
        <v>0.99690678280666156</v>
      </c>
      <c r="AQ694" s="309">
        <v>0.99540423008499701</v>
      </c>
      <c r="AR694" s="309">
        <v>0.98201053042121689</v>
      </c>
      <c r="AS694" s="309">
        <v>0.99895061427457099</v>
      </c>
      <c r="AT694" s="309">
        <v>0.99030858827509549</v>
      </c>
      <c r="AU694" s="309" t="e">
        <v>#N/A</v>
      </c>
      <c r="AV694" s="309">
        <f ca="1">Calc!AS92</f>
        <v>0.97397447475995824</v>
      </c>
      <c r="AX694" s="88" t="str">
        <f t="shared" ca="1" si="53"/>
        <v>THC</v>
      </c>
    </row>
    <row r="695" spans="1:50">
      <c r="A695" s="88" t="str">
        <f t="shared" ca="1" si="52"/>
        <v>X</v>
      </c>
      <c r="F695" s="247">
        <v>0</v>
      </c>
      <c r="G695" s="247">
        <v>0</v>
      </c>
      <c r="H695" s="247">
        <v>0</v>
      </c>
      <c r="I695" s="247">
        <v>0</v>
      </c>
      <c r="J695" s="247">
        <v>0</v>
      </c>
      <c r="K695" s="247">
        <v>0</v>
      </c>
      <c r="L695" s="247">
        <v>0</v>
      </c>
      <c r="M695" s="247">
        <v>0</v>
      </c>
      <c r="N695" s="247">
        <v>0</v>
      </c>
      <c r="O695" s="247">
        <v>0</v>
      </c>
      <c r="P695" s="247">
        <v>0</v>
      </c>
      <c r="Q695" s="247">
        <v>0</v>
      </c>
      <c r="R695" s="247">
        <v>0</v>
      </c>
      <c r="S695" s="247">
        <v>0</v>
      </c>
      <c r="T695" s="247">
        <v>0</v>
      </c>
      <c r="U695" s="247">
        <v>0</v>
      </c>
      <c r="V695" s="247">
        <v>0</v>
      </c>
      <c r="W695" s="247">
        <v>0</v>
      </c>
      <c r="X695" s="247">
        <v>0</v>
      </c>
      <c r="Y695" s="247">
        <v>0</v>
      </c>
      <c r="Z695" s="247">
        <f ca="1">[1]ExtEntry!$L93</f>
        <v>0</v>
      </c>
      <c r="AB695" s="309">
        <v>0</v>
      </c>
      <c r="AC695" s="309">
        <v>0</v>
      </c>
      <c r="AD695" s="309">
        <v>0</v>
      </c>
      <c r="AE695" s="309">
        <v>0</v>
      </c>
      <c r="AF695" s="309">
        <v>0</v>
      </c>
      <c r="AG695" s="309">
        <v>0</v>
      </c>
      <c r="AH695" s="309">
        <v>0</v>
      </c>
      <c r="AI695" s="309">
        <v>0</v>
      </c>
      <c r="AJ695" s="309">
        <v>0</v>
      </c>
      <c r="AK695" s="309">
        <v>0</v>
      </c>
      <c r="AL695" s="309">
        <v>0</v>
      </c>
      <c r="AM695" s="309">
        <v>0</v>
      </c>
      <c r="AN695" s="309">
        <v>0</v>
      </c>
      <c r="AO695" s="309">
        <v>0</v>
      </c>
      <c r="AP695" s="309">
        <v>0</v>
      </c>
      <c r="AQ695" s="309">
        <v>0</v>
      </c>
      <c r="AR695" s="309">
        <v>0</v>
      </c>
      <c r="AS695" s="309">
        <v>0</v>
      </c>
      <c r="AT695" s="309">
        <v>0</v>
      </c>
      <c r="AU695" s="309" t="e">
        <v>#N/A</v>
      </c>
      <c r="AV695" s="309">
        <f ca="1">Calc!AS93</f>
        <v>0</v>
      </c>
      <c r="AX695" s="88" t="str">
        <f t="shared" ca="1" si="53"/>
        <v>X</v>
      </c>
    </row>
    <row r="696" spans="1:50">
      <c r="A696" s="88" t="str">
        <f t="shared" ca="1" si="52"/>
        <v>JBEOAN</v>
      </c>
      <c r="F696" s="247">
        <v>6.2E-2</v>
      </c>
      <c r="G696" s="247">
        <v>-5.3999999999999999E-2</v>
      </c>
      <c r="H696" s="247">
        <v>-0.02</v>
      </c>
      <c r="I696" s="247">
        <v>8.2000000000000003E-2</v>
      </c>
      <c r="J696" s="247">
        <v>9.6000000000000002E-2</v>
      </c>
      <c r="K696" s="247">
        <v>-0.14199999999999999</v>
      </c>
      <c r="L696" s="247">
        <v>1.7999999999999999E-2</v>
      </c>
      <c r="M696" s="247">
        <v>0.17399999999999999</v>
      </c>
      <c r="N696" s="247">
        <v>-0.01</v>
      </c>
      <c r="O696" s="247">
        <v>-0.26</v>
      </c>
      <c r="P696" s="247">
        <v>-9.1999999999999998E-2</v>
      </c>
      <c r="Q696" s="247">
        <v>0.14599999999999999</v>
      </c>
      <c r="R696" s="247">
        <v>2E-3</v>
      </c>
      <c r="S696" s="247">
        <v>-0.2</v>
      </c>
      <c r="T696" s="247">
        <v>9.4E-2</v>
      </c>
      <c r="U696" s="247">
        <v>0.216</v>
      </c>
      <c r="V696" s="247">
        <v>-0.112</v>
      </c>
      <c r="W696" s="247">
        <v>-0.112</v>
      </c>
      <c r="X696" s="247">
        <v>0.03</v>
      </c>
      <c r="Y696" s="247">
        <v>0.20399999999999999</v>
      </c>
      <c r="Z696" s="247">
        <f ca="1">[1]ExtEntry!$L94</f>
        <v>0.05</v>
      </c>
      <c r="AB696" s="379">
        <v>0</v>
      </c>
      <c r="AC696" s="379">
        <v>0</v>
      </c>
      <c r="AD696" s="379">
        <v>0</v>
      </c>
      <c r="AE696" s="379">
        <v>0</v>
      </c>
      <c r="AF696" s="379">
        <v>0</v>
      </c>
      <c r="AG696" s="379">
        <v>0</v>
      </c>
      <c r="AH696" s="379">
        <v>0</v>
      </c>
      <c r="AI696" s="379">
        <v>0</v>
      </c>
      <c r="AJ696" s="379">
        <v>0</v>
      </c>
      <c r="AK696" s="379">
        <v>0</v>
      </c>
      <c r="AL696" s="379">
        <v>0</v>
      </c>
      <c r="AM696" s="379">
        <v>0</v>
      </c>
      <c r="AN696" s="379">
        <v>0</v>
      </c>
      <c r="AO696" s="379">
        <v>0</v>
      </c>
      <c r="AP696" s="379">
        <v>0</v>
      </c>
      <c r="AQ696" s="379">
        <v>0</v>
      </c>
      <c r="AR696" s="379">
        <v>0</v>
      </c>
      <c r="AS696" s="379">
        <v>0</v>
      </c>
      <c r="AT696" s="379">
        <v>0</v>
      </c>
      <c r="AU696" s="379" t="e">
        <v>#N/A</v>
      </c>
      <c r="AV696" s="309">
        <f ca="1">Calc!AS94</f>
        <v>1.0500466272925086</v>
      </c>
      <c r="AX696" s="88" t="str">
        <f t="shared" ca="1" si="53"/>
        <v>JBEOAN</v>
      </c>
    </row>
    <row r="697" spans="1:50">
      <c r="A697" s="88" t="str">
        <f t="shared" si="52"/>
        <v>LOCK</v>
      </c>
      <c r="F697" s="247">
        <v>12.7</v>
      </c>
      <c r="G697" s="247">
        <v>2.6</v>
      </c>
      <c r="H697" s="247">
        <v>13.3</v>
      </c>
      <c r="I697" s="247">
        <v>36.200000000000003</v>
      </c>
      <c r="J697" s="247">
        <v>2.5</v>
      </c>
      <c r="K697" s="247">
        <v>-22.5</v>
      </c>
      <c r="L697" s="1211">
        <v>-23</v>
      </c>
      <c r="M697" s="1212">
        <v>-2</v>
      </c>
      <c r="N697" s="247">
        <v>-7.5</v>
      </c>
      <c r="O697" s="247">
        <v>30.1</v>
      </c>
      <c r="P697" s="247">
        <v>2.6</v>
      </c>
      <c r="Q697" s="247">
        <v>26.4</v>
      </c>
      <c r="R697" s="1213">
        <v>4.4000000000000004</v>
      </c>
      <c r="S697" s="247">
        <v>-1.7</v>
      </c>
      <c r="T697" s="247">
        <v>23.3</v>
      </c>
      <c r="U697" s="247">
        <v>-9.1999999999999993</v>
      </c>
      <c r="V697" s="247">
        <v>-19.7</v>
      </c>
      <c r="W697" s="1211">
        <v>-19.7</v>
      </c>
      <c r="X697" s="1214">
        <v>17.600000000000001</v>
      </c>
      <c r="Y697" s="247">
        <v>6.7</v>
      </c>
      <c r="Z697" s="247">
        <f ca="1">[1]ExtEntry!$L95</f>
        <v>0.14599999999999999</v>
      </c>
      <c r="AB697" s="279">
        <v>0.9182313749242883</v>
      </c>
      <c r="AC697" s="279">
        <v>0.91534838787586037</v>
      </c>
      <c r="AD697" s="279">
        <v>0.90087948657000239</v>
      </c>
      <c r="AE697" s="279">
        <v>0.86371923427529629</v>
      </c>
      <c r="AF697" s="279">
        <v>0.86126576525394838</v>
      </c>
      <c r="AG697" s="279">
        <v>0.86648376771833568</v>
      </c>
      <c r="AH697" s="279">
        <v>0.88988025358065281</v>
      </c>
      <c r="AI697" s="279">
        <v>0.89197458225464821</v>
      </c>
      <c r="AJ697" s="279">
        <v>0.89991689421821208</v>
      </c>
      <c r="AK697" s="279">
        <v>0.8981042654028436</v>
      </c>
      <c r="AL697" s="279">
        <v>0.89534609024332623</v>
      </c>
      <c r="AM697" s="279">
        <v>0.86827033218785798</v>
      </c>
      <c r="AN697" s="279">
        <v>0.86391611579667205</v>
      </c>
      <c r="AO697" s="279">
        <v>0.86559323969395907</v>
      </c>
      <c r="AP697" s="279">
        <v>0.84315906562847609</v>
      </c>
      <c r="AQ697" s="279">
        <v>0.85187682625309058</v>
      </c>
      <c r="AR697" s="279">
        <v>0.87116423399609233</v>
      </c>
      <c r="AS697" s="279">
        <v>1.0043710607976095</v>
      </c>
      <c r="AT697" s="279">
        <v>0.98445787991438549</v>
      </c>
      <c r="AU697" s="308" t="e">
        <v>#N/A</v>
      </c>
      <c r="AV697" s="309">
        <f ca="1">Calc!AS95</f>
        <v>82.662056375331076</v>
      </c>
      <c r="AX697" s="88" t="str">
        <f t="shared" si="53"/>
        <v>LOCK</v>
      </c>
    </row>
    <row r="698" spans="1:50">
      <c r="A698" s="88" t="str">
        <f t="shared" si="52"/>
        <v>Total</v>
      </c>
      <c r="C698" s="686"/>
      <c r="D698" s="686"/>
      <c r="F698" s="247">
        <v>-0.05</v>
      </c>
      <c r="G698" s="247">
        <v>0</v>
      </c>
      <c r="H698" s="247">
        <v>0.09</v>
      </c>
      <c r="I698" s="247">
        <v>-0.2</v>
      </c>
      <c r="J698" s="247">
        <v>0.16</v>
      </c>
      <c r="K698" s="247">
        <v>0.04</v>
      </c>
      <c r="L698" s="247">
        <v>6.5000000000000002E-2</v>
      </c>
      <c r="M698" s="247">
        <v>-5.0000000000000001E-3</v>
      </c>
      <c r="N698" s="247">
        <v>5.0000000000000001E-3</v>
      </c>
      <c r="O698" s="247">
        <v>0.19</v>
      </c>
      <c r="P698" s="247">
        <v>0.11</v>
      </c>
      <c r="Q698" s="247">
        <v>-0.17</v>
      </c>
      <c r="R698" s="247">
        <v>0.05</v>
      </c>
      <c r="S698" s="247">
        <v>0.02</v>
      </c>
      <c r="T698" s="247">
        <v>0.15</v>
      </c>
      <c r="U698" s="247">
        <v>-5.5E-2</v>
      </c>
      <c r="V698" s="247">
        <v>-0.26500000000000001</v>
      </c>
      <c r="W698" s="247">
        <v>-0.26500000000000001</v>
      </c>
      <c r="X698" s="247">
        <v>-0.12</v>
      </c>
      <c r="Y698" s="247">
        <v>0.08</v>
      </c>
      <c r="Z698" s="247">
        <f ca="1">[1]ExtEntry!$L96</f>
        <v>0.62404946236559122</v>
      </c>
      <c r="AB698" s="308">
        <v>1.055185254607935</v>
      </c>
      <c r="AC698" s="308">
        <v>1.0509172370877411</v>
      </c>
      <c r="AD698" s="308">
        <v>1.0450643564356434</v>
      </c>
      <c r="AE698" s="308">
        <v>1.0581604010025061</v>
      </c>
      <c r="AF698" s="308">
        <v>1.0476575682382132</v>
      </c>
      <c r="AG698" s="308">
        <v>1.0479826248836488</v>
      </c>
      <c r="AH698" s="308">
        <v>1.0437725587144624</v>
      </c>
      <c r="AI698" s="308">
        <v>1.0440952086553323</v>
      </c>
      <c r="AJ698" s="308">
        <v>1.0437725587144624</v>
      </c>
      <c r="AK698" s="308">
        <v>1.0386371463714636</v>
      </c>
      <c r="AL698" s="308">
        <v>1.0316579108124617</v>
      </c>
      <c r="AM698" s="308">
        <v>1.042483950617284</v>
      </c>
      <c r="AN698" s="308">
        <v>1.0392763076923077</v>
      </c>
      <c r="AO698" s="308">
        <v>1.0379987707437002</v>
      </c>
      <c r="AP698" s="308">
        <v>1.0285164433617537</v>
      </c>
      <c r="AQ698" s="308">
        <v>1.0319731133516652</v>
      </c>
      <c r="AR698" s="308">
        <v>1.04895900621118</v>
      </c>
      <c r="AS698" s="308">
        <v>1.0485931677018632</v>
      </c>
      <c r="AT698" s="308">
        <v>1.0564674593241552</v>
      </c>
      <c r="AU698" s="308" t="e">
        <v>#N/A</v>
      </c>
      <c r="AV698" s="309" t="e">
        <f>Calc!AS96</f>
        <v>#VALUE!</v>
      </c>
      <c r="AX698" s="88" t="str">
        <f t="shared" si="53"/>
        <v>Total</v>
      </c>
    </row>
    <row r="699" spans="1:50">
      <c r="C699" s="686"/>
      <c r="D699" s="686"/>
      <c r="AX699" s="88"/>
    </row>
    <row r="700" spans="1:50">
      <c r="A700" s="88"/>
      <c r="C700" s="686"/>
      <c r="D700" s="686"/>
      <c r="AX700" s="88"/>
    </row>
    <row r="701" spans="1:50" ht="26">
      <c r="A701" s="88"/>
      <c r="C701" s="686"/>
      <c r="D701" s="686" t="s">
        <v>2730</v>
      </c>
      <c r="E701" s="1384">
        <v>1</v>
      </c>
      <c r="F701" s="1386">
        <f t="shared" ref="F701:Z701" ca="1" si="54">$E701*_xlfn.XLOOKUP(DataShiftChartTicker,$A$704:$A$797,F$704:F$797)</f>
        <v>-3.0130000000000001E-3</v>
      </c>
      <c r="G701" s="1386">
        <f t="shared" ca="1" si="54"/>
        <v>-2.957E-3</v>
      </c>
      <c r="H701" s="1386">
        <f t="shared" ca="1" si="54"/>
        <v>1.9332999999999999E-2</v>
      </c>
      <c r="I701" s="1386">
        <f t="shared" ca="1" si="54"/>
        <v>5.5259999999999997E-3</v>
      </c>
      <c r="J701" s="1386">
        <f t="shared" ca="1" si="54"/>
        <v>4.9170000000000004E-3</v>
      </c>
      <c r="K701" s="1386">
        <f t="shared" ca="1" si="54"/>
        <v>-1.7512E-2</v>
      </c>
      <c r="L701" s="1386">
        <f t="shared" ca="1" si="54"/>
        <v>1.6791E-2</v>
      </c>
      <c r="M701" s="1386">
        <f t="shared" ca="1" si="54"/>
        <v>-3.5859999999999996E-2</v>
      </c>
      <c r="N701" s="1386">
        <f t="shared" ca="1" si="54"/>
        <v>-3.6086E-2</v>
      </c>
      <c r="O701" s="1386">
        <f t="shared" ca="1" si="54"/>
        <v>5.0034999999999996E-2</v>
      </c>
      <c r="P701" s="1386">
        <f t="shared" ca="1" si="54"/>
        <v>1.2751999999999999E-2</v>
      </c>
      <c r="Q701" s="1386">
        <f t="shared" ca="1" si="54"/>
        <v>3.4238999999999999E-2</v>
      </c>
      <c r="R701" s="1386">
        <f t="shared" ca="1" si="54"/>
        <v>4.9904000000000004E-2</v>
      </c>
      <c r="S701" s="1386">
        <f t="shared" ca="1" si="54"/>
        <v>-7.6319999999999999E-2</v>
      </c>
      <c r="T701" s="1386">
        <f t="shared" ca="1" si="54"/>
        <v>4.5444999999999999E-2</v>
      </c>
      <c r="U701" s="1386">
        <f t="shared" ca="1" si="54"/>
        <v>-9.0472999999999998E-2</v>
      </c>
      <c r="V701" s="1386">
        <f t="shared" ca="1" si="54"/>
        <v>7.8779999999999996E-3</v>
      </c>
      <c r="W701" s="1386">
        <f t="shared" ca="1" si="54"/>
        <v>7.8779999999999996E-3</v>
      </c>
      <c r="X701" s="1386">
        <f t="shared" ca="1" si="54"/>
        <v>2.1262E-2</v>
      </c>
      <c r="Y701" s="1386">
        <f t="shared" ca="1" si="54"/>
        <v>-6.2759999999999996E-2</v>
      </c>
      <c r="Z701" s="1386">
        <f t="shared" ca="1" si="54"/>
        <v>-1.6972000000000001E-2</v>
      </c>
      <c r="AX701" s="88"/>
    </row>
    <row r="702" spans="1:50">
      <c r="A702" s="88"/>
      <c r="C702" s="686"/>
      <c r="D702" s="686"/>
      <c r="F702" s="117">
        <f t="shared" ref="F702:Z702" ca="1" si="55">F603</f>
        <v>45929</v>
      </c>
      <c r="G702" s="117">
        <f t="shared" ca="1" si="55"/>
        <v>45930</v>
      </c>
      <c r="H702" s="117">
        <f t="shared" ca="1" si="55"/>
        <v>45931</v>
      </c>
      <c r="I702" s="117">
        <f t="shared" ca="1" si="55"/>
        <v>45932</v>
      </c>
      <c r="J702" s="117">
        <f t="shared" ca="1" si="55"/>
        <v>45933</v>
      </c>
      <c r="K702" s="117">
        <f t="shared" ca="1" si="55"/>
        <v>45936</v>
      </c>
      <c r="L702" s="117">
        <f t="shared" ca="1" si="55"/>
        <v>45937</v>
      </c>
      <c r="M702" s="117">
        <f t="shared" ca="1" si="55"/>
        <v>45938</v>
      </c>
      <c r="N702" s="117">
        <f t="shared" ca="1" si="55"/>
        <v>45939</v>
      </c>
      <c r="O702" s="117">
        <f t="shared" ca="1" si="55"/>
        <v>45940</v>
      </c>
      <c r="P702" s="117">
        <f t="shared" ca="1" si="55"/>
        <v>45943</v>
      </c>
      <c r="Q702" s="117">
        <f t="shared" ca="1" si="55"/>
        <v>45944</v>
      </c>
      <c r="R702" s="117">
        <f t="shared" ca="1" si="55"/>
        <v>45945</v>
      </c>
      <c r="S702" s="117">
        <f t="shared" ca="1" si="55"/>
        <v>45946</v>
      </c>
      <c r="T702" s="117">
        <f t="shared" ca="1" si="55"/>
        <v>45947</v>
      </c>
      <c r="U702" s="117">
        <f t="shared" ca="1" si="55"/>
        <v>45950</v>
      </c>
      <c r="V702" s="117">
        <f t="shared" ca="1" si="55"/>
        <v>45951</v>
      </c>
      <c r="W702" s="117">
        <f t="shared" ca="1" si="55"/>
        <v>45952</v>
      </c>
      <c r="X702" s="117">
        <f t="shared" ca="1" si="55"/>
        <v>45953</v>
      </c>
      <c r="Y702" s="117">
        <f t="shared" ca="1" si="55"/>
        <v>45954</v>
      </c>
      <c r="Z702" s="117">
        <f t="shared" ca="1" si="55"/>
        <v>45956</v>
      </c>
      <c r="AB702" s="117">
        <f t="shared" ref="AB702:AV702" ca="1" si="56">F603</f>
        <v>45929</v>
      </c>
      <c r="AC702" s="117">
        <f t="shared" ca="1" si="56"/>
        <v>45930</v>
      </c>
      <c r="AD702" s="117">
        <f t="shared" ca="1" si="56"/>
        <v>45931</v>
      </c>
      <c r="AE702" s="117">
        <f t="shared" ca="1" si="56"/>
        <v>45932</v>
      </c>
      <c r="AF702" s="117">
        <f t="shared" ca="1" si="56"/>
        <v>45933</v>
      </c>
      <c r="AG702" s="117">
        <f t="shared" ca="1" si="56"/>
        <v>45936</v>
      </c>
      <c r="AH702" s="117">
        <f t="shared" ca="1" si="56"/>
        <v>45937</v>
      </c>
      <c r="AI702" s="117">
        <f t="shared" ca="1" si="56"/>
        <v>45938</v>
      </c>
      <c r="AJ702" s="117">
        <f t="shared" ca="1" si="56"/>
        <v>45939</v>
      </c>
      <c r="AK702" s="117">
        <f t="shared" ca="1" si="56"/>
        <v>45940</v>
      </c>
      <c r="AL702" s="117">
        <f t="shared" ca="1" si="56"/>
        <v>45943</v>
      </c>
      <c r="AM702" s="117">
        <f t="shared" ca="1" si="56"/>
        <v>45944</v>
      </c>
      <c r="AN702" s="117">
        <f t="shared" ca="1" si="56"/>
        <v>45945</v>
      </c>
      <c r="AO702" s="117">
        <f t="shared" ca="1" si="56"/>
        <v>45946</v>
      </c>
      <c r="AP702" s="117">
        <f t="shared" ca="1" si="56"/>
        <v>45947</v>
      </c>
      <c r="AQ702" s="117">
        <f t="shared" ca="1" si="56"/>
        <v>45950</v>
      </c>
      <c r="AR702" s="117">
        <f t="shared" ca="1" si="56"/>
        <v>45951</v>
      </c>
      <c r="AS702" s="117">
        <f t="shared" ca="1" si="56"/>
        <v>45952</v>
      </c>
      <c r="AT702" s="117">
        <f t="shared" ca="1" si="56"/>
        <v>45953</v>
      </c>
      <c r="AU702" s="117">
        <f t="shared" ca="1" si="56"/>
        <v>45954</v>
      </c>
      <c r="AV702" s="117">
        <f t="shared" ca="1" si="56"/>
        <v>45956</v>
      </c>
      <c r="AX702" s="88"/>
    </row>
    <row r="703" spans="1:50">
      <c r="A703" s="88"/>
      <c r="C703" s="686"/>
      <c r="D703" s="686"/>
      <c r="F703" s="282" t="s">
        <v>351</v>
      </c>
      <c r="G703" s="282" t="s">
        <v>352</v>
      </c>
      <c r="H703" s="282" t="s">
        <v>353</v>
      </c>
      <c r="I703" s="282" t="s">
        <v>354</v>
      </c>
      <c r="J703" s="282" t="s">
        <v>355</v>
      </c>
      <c r="K703" s="282" t="s">
        <v>356</v>
      </c>
      <c r="L703" s="282" t="s">
        <v>357</v>
      </c>
      <c r="M703" s="282" t="s">
        <v>358</v>
      </c>
      <c r="N703" s="282" t="s">
        <v>359</v>
      </c>
      <c r="O703" s="282" t="s">
        <v>360</v>
      </c>
      <c r="P703" s="282" t="s">
        <v>361</v>
      </c>
      <c r="Q703" s="282" t="s">
        <v>362</v>
      </c>
      <c r="R703" s="282" t="s">
        <v>363</v>
      </c>
      <c r="S703" s="282" t="s">
        <v>364</v>
      </c>
      <c r="T703" s="282" t="s">
        <v>365</v>
      </c>
      <c r="U703" s="282" t="s">
        <v>366</v>
      </c>
      <c r="V703" s="282" t="s">
        <v>367</v>
      </c>
      <c r="W703" s="282" t="s">
        <v>368</v>
      </c>
      <c r="X703" s="282" t="s">
        <v>369</v>
      </c>
      <c r="Y703" s="282" t="s">
        <v>370</v>
      </c>
      <c r="Z703" s="282" t="s">
        <v>371</v>
      </c>
      <c r="AB703" s="283" t="s">
        <v>1330</v>
      </c>
      <c r="AC703" s="283" t="s">
        <v>1331</v>
      </c>
      <c r="AD703" s="283" t="s">
        <v>1332</v>
      </c>
      <c r="AE703" s="283" t="s">
        <v>1333</v>
      </c>
      <c r="AF703" s="283" t="s">
        <v>1334</v>
      </c>
      <c r="AG703" s="283" t="s">
        <v>1335</v>
      </c>
      <c r="AH703" s="283" t="s">
        <v>1336</v>
      </c>
      <c r="AI703" s="283" t="s">
        <v>1337</v>
      </c>
      <c r="AJ703" s="283" t="s">
        <v>1338</v>
      </c>
      <c r="AK703" s="283" t="s">
        <v>1339</v>
      </c>
      <c r="AL703" s="283" t="s">
        <v>1340</v>
      </c>
      <c r="AM703" s="283" t="s">
        <v>1341</v>
      </c>
      <c r="AN703" s="283" t="s">
        <v>1342</v>
      </c>
      <c r="AO703" s="283" t="s">
        <v>1343</v>
      </c>
      <c r="AP703" s="283" t="s">
        <v>1344</v>
      </c>
      <c r="AQ703" s="283" t="s">
        <v>1345</v>
      </c>
      <c r="AR703" s="283" t="s">
        <v>1346</v>
      </c>
      <c r="AS703" s="283" t="s">
        <v>1347</v>
      </c>
      <c r="AT703" s="283" t="s">
        <v>1348</v>
      </c>
      <c r="AU703" s="283" t="s">
        <v>1349</v>
      </c>
      <c r="AV703" s="283" t="s">
        <v>1350</v>
      </c>
      <c r="AX703" s="88"/>
    </row>
    <row r="704" spans="1:50">
      <c r="A704" s="88" t="str">
        <f ca="1">A5</f>
        <v>AAPL</v>
      </c>
      <c r="C704" s="686"/>
      <c r="D704" s="686"/>
      <c r="F704" s="248">
        <v>-8.3960000000000007E-3</v>
      </c>
      <c r="G704" s="248">
        <v>7.8609999999999997E-4</v>
      </c>
      <c r="H704" s="248">
        <v>3.2200000000000002E-3</v>
      </c>
      <c r="I704" s="248">
        <v>6.5769999999999995E-3</v>
      </c>
      <c r="J704" s="248">
        <v>3.4610000000000001E-3</v>
      </c>
      <c r="K704" s="248">
        <v>-8.1809999999999999E-4</v>
      </c>
      <c r="L704" s="248">
        <v>6.1599999999999997E-3</v>
      </c>
      <c r="M704" s="248">
        <v>-1.5578000000000002E-2</v>
      </c>
      <c r="N704" s="248">
        <v>-1.5578000000000002E-2</v>
      </c>
      <c r="O704" s="248">
        <v>9.7440000000000009E-3</v>
      </c>
      <c r="P704" s="248">
        <v>4.4420000000000001E-4</v>
      </c>
      <c r="Q704" s="248">
        <v>6.5790000000000006E-3</v>
      </c>
      <c r="R704" s="248">
        <v>-7.5799999999999999E-3</v>
      </c>
      <c r="S704" s="248">
        <v>1.9560000000000001E-2</v>
      </c>
      <c r="T704" s="248">
        <v>3.9439000000000002E-2</v>
      </c>
      <c r="U704" s="248">
        <v>2.0210000000000002E-3</v>
      </c>
      <c r="V704" s="248">
        <v>-1.644E-2</v>
      </c>
      <c r="W704" s="248">
        <v>-1.644E-2</v>
      </c>
      <c r="X704" s="248">
        <v>4.372E-3</v>
      </c>
      <c r="Y704" s="248">
        <v>1.2482E-2</v>
      </c>
      <c r="Z704" s="248">
        <f ca="1">[1]ExtEntry!$M3</f>
        <v>1.2482E-2</v>
      </c>
      <c r="AB704" s="253">
        <v>5</v>
      </c>
      <c r="AC704" s="253">
        <v>3</v>
      </c>
      <c r="AD704" s="253">
        <v>3</v>
      </c>
      <c r="AE704" s="288">
        <v>1</v>
      </c>
      <c r="AF704" s="288">
        <v>1</v>
      </c>
      <c r="AG704" s="288">
        <v>4</v>
      </c>
      <c r="AH704" s="288">
        <v>1</v>
      </c>
      <c r="AI704" s="288">
        <v>10</v>
      </c>
      <c r="AJ704" s="288">
        <v>10</v>
      </c>
      <c r="AK704" s="288">
        <v>15</v>
      </c>
      <c r="AL704" s="288">
        <v>15</v>
      </c>
      <c r="AM704" s="277">
        <v>15</v>
      </c>
      <c r="AN704" s="277">
        <v>18</v>
      </c>
      <c r="AO704" s="277">
        <v>15</v>
      </c>
      <c r="AP704" s="277">
        <v>1</v>
      </c>
      <c r="AQ704" s="277">
        <v>1</v>
      </c>
      <c r="AR704" s="277">
        <v>3</v>
      </c>
      <c r="AS704" s="277">
        <v>3</v>
      </c>
      <c r="AT704" s="277">
        <v>3</v>
      </c>
      <c r="AU704" s="277">
        <v>1</v>
      </c>
      <c r="AV704" s="277">
        <f t="shared" ref="AV704:AV709" si="57">_xlfn.RANK.EQ(Y205,F205:Y205)</f>
        <v>1</v>
      </c>
      <c r="AX704" s="88" t="str">
        <f t="shared" ref="AX704:AX722" ca="1" si="58">A704</f>
        <v>AAPL</v>
      </c>
    </row>
    <row r="705" spans="1:50">
      <c r="A705" s="88" t="str">
        <f t="shared" ref="A705:A768" ca="1" si="59">A6</f>
        <v>ADEA</v>
      </c>
      <c r="C705" s="686"/>
      <c r="D705" s="686"/>
      <c r="F705" s="256">
        <v>-1.0695E-2</v>
      </c>
      <c r="G705" s="256">
        <v>4.1840000000000002E-3</v>
      </c>
      <c r="H705" s="256">
        <v>1.7262E-2</v>
      </c>
      <c r="I705" s="256">
        <v>1.3458000000000001E-2</v>
      </c>
      <c r="J705" s="256">
        <v>-1.732E-3</v>
      </c>
      <c r="K705" s="256">
        <v>-5.1082999999999996E-2</v>
      </c>
      <c r="L705" s="256">
        <v>-3.2183000000000003E-2</v>
      </c>
      <c r="M705" s="256">
        <v>-7.2550000000000002E-3</v>
      </c>
      <c r="N705" s="256">
        <v>-7.2550000000000002E-3</v>
      </c>
      <c r="O705" s="256">
        <v>2.5460000000000001E-3</v>
      </c>
      <c r="P705" s="256">
        <v>5.2698000000000002E-2</v>
      </c>
      <c r="Q705" s="256">
        <v>3.6187999999999998E-2</v>
      </c>
      <c r="R705" s="256">
        <v>-3.8217000000000001E-2</v>
      </c>
      <c r="S705" s="256">
        <v>-3.0100000000000001E-3</v>
      </c>
      <c r="T705" s="256">
        <v>1.3889E-2</v>
      </c>
      <c r="U705" s="256">
        <v>1.3103E-2</v>
      </c>
      <c r="V705" s="256">
        <v>-1.1169999999999999E-2</v>
      </c>
      <c r="W705" s="256">
        <v>-1.1169999999999999E-2</v>
      </c>
      <c r="X705" s="256">
        <v>-2.9729999999999999E-3</v>
      </c>
      <c r="Y705" s="256">
        <v>1.9678000000000001E-2</v>
      </c>
      <c r="Z705" s="248">
        <f ca="1">[1]ExtEntry!$M4</f>
        <v>1.9678000000000001E-2</v>
      </c>
      <c r="AB705" s="253">
        <v>6</v>
      </c>
      <c r="AC705" s="253">
        <v>4</v>
      </c>
      <c r="AD705" s="253">
        <v>1</v>
      </c>
      <c r="AE705" s="288">
        <v>1</v>
      </c>
      <c r="AF705" s="288">
        <v>2</v>
      </c>
      <c r="AG705" s="288">
        <v>3</v>
      </c>
      <c r="AH705" s="288">
        <v>15</v>
      </c>
      <c r="AI705" s="288">
        <v>16</v>
      </c>
      <c r="AJ705" s="288">
        <v>16</v>
      </c>
      <c r="AK705" s="288">
        <v>18</v>
      </c>
      <c r="AL705" s="288">
        <v>14</v>
      </c>
      <c r="AM705" s="277">
        <v>3</v>
      </c>
      <c r="AN705" s="277">
        <v>15</v>
      </c>
      <c r="AO705" s="277">
        <v>16</v>
      </c>
      <c r="AP705" s="277">
        <v>10</v>
      </c>
      <c r="AQ705" s="277">
        <v>6</v>
      </c>
      <c r="AR705" s="277">
        <v>9</v>
      </c>
      <c r="AS705" s="277">
        <v>8</v>
      </c>
      <c r="AT705" s="277">
        <v>12</v>
      </c>
      <c r="AU705" s="277">
        <v>4</v>
      </c>
      <c r="AV705" s="277">
        <f t="shared" si="57"/>
        <v>4</v>
      </c>
      <c r="AX705" s="88" t="str">
        <f t="shared" ca="1" si="58"/>
        <v>ADEA</v>
      </c>
    </row>
    <row r="706" spans="1:50">
      <c r="A706" s="88" t="str">
        <f t="shared" ca="1" si="59"/>
        <v>AET</v>
      </c>
      <c r="C706" s="686"/>
      <c r="D706" s="686"/>
      <c r="F706" s="248">
        <v>-1.8000000000000002E-2</v>
      </c>
      <c r="G706" s="248">
        <v>2.0369999999999997E-3</v>
      </c>
      <c r="H706" s="248">
        <v>-4.0650000000000006E-2</v>
      </c>
      <c r="I706" s="248">
        <v>1.2712000000000001E-2</v>
      </c>
      <c r="J706" s="248">
        <v>-2.0920999999999999E-2</v>
      </c>
      <c r="K706" s="248">
        <v>-1.9068000000000002E-2</v>
      </c>
      <c r="L706" s="248">
        <v>2.16E-3</v>
      </c>
      <c r="M706" s="248">
        <v>-1.7240999999999999E-2</v>
      </c>
      <c r="N706" s="248">
        <v>-9.297999999999999E-3</v>
      </c>
      <c r="O706" s="248">
        <v>3.8369E-2</v>
      </c>
      <c r="P706" s="248">
        <v>-9.2379999999999997E-3</v>
      </c>
      <c r="Q706" s="248">
        <v>-1.8648000000000001E-2</v>
      </c>
      <c r="R706" s="248">
        <v>-2.6127999999999998E-2</v>
      </c>
      <c r="S706" s="248">
        <v>2.4390000000000002E-2</v>
      </c>
      <c r="T706" s="248">
        <v>7.143E-3</v>
      </c>
      <c r="U706" s="248">
        <v>1.6548E-2</v>
      </c>
      <c r="V706" s="248">
        <v>9.3019999999999995E-3</v>
      </c>
      <c r="W706" s="248">
        <v>9.3019999999999995E-3</v>
      </c>
      <c r="X706" s="248">
        <v>2.3040999999999999E-2</v>
      </c>
      <c r="Y706" s="248">
        <v>3.1531999999999998E-2</v>
      </c>
      <c r="Z706" s="248">
        <f ca="1">[1]ExtEntry!$M5</f>
        <v>3.1531999999999998E-2</v>
      </c>
      <c r="AB706" s="253">
        <v>17</v>
      </c>
      <c r="AC706" s="253">
        <v>16</v>
      </c>
      <c r="AD706" s="253">
        <v>20</v>
      </c>
      <c r="AE706" s="288">
        <v>18</v>
      </c>
      <c r="AF706" s="288">
        <v>20</v>
      </c>
      <c r="AG706" s="288">
        <v>20</v>
      </c>
      <c r="AH706" s="288">
        <v>19</v>
      </c>
      <c r="AI706" s="288">
        <v>20</v>
      </c>
      <c r="AJ706" s="288">
        <v>20</v>
      </c>
      <c r="AK706" s="288">
        <v>20</v>
      </c>
      <c r="AL706" s="288">
        <v>20</v>
      </c>
      <c r="AM706" s="277">
        <v>20</v>
      </c>
      <c r="AN706" s="277">
        <v>20</v>
      </c>
      <c r="AO706" s="277">
        <v>19</v>
      </c>
      <c r="AP706" s="277">
        <v>17</v>
      </c>
      <c r="AQ706" s="277">
        <v>15</v>
      </c>
      <c r="AR706" s="277">
        <v>13</v>
      </c>
      <c r="AS706" s="277">
        <v>12</v>
      </c>
      <c r="AT706" s="277">
        <v>11</v>
      </c>
      <c r="AU706" s="277">
        <v>8</v>
      </c>
      <c r="AV706" s="277">
        <f t="shared" si="57"/>
        <v>8</v>
      </c>
      <c r="AX706" s="88" t="str">
        <f t="shared" ca="1" si="58"/>
        <v>AET</v>
      </c>
    </row>
    <row r="707" spans="1:50">
      <c r="A707" s="88" t="str">
        <f t="shared" ca="1" si="59"/>
        <v>AMZN</v>
      </c>
      <c r="C707" s="686"/>
      <c r="D707" s="686"/>
      <c r="F707" s="256">
        <v>5.6879999999999995E-3</v>
      </c>
      <c r="G707" s="256">
        <v>-1.1702999999999998E-2</v>
      </c>
      <c r="H707" s="256">
        <v>4.8279999999999998E-3</v>
      </c>
      <c r="I707" s="256">
        <v>8.0679999999999988E-3</v>
      </c>
      <c r="J707" s="256">
        <v>-1.3039E-2</v>
      </c>
      <c r="K707" s="256">
        <v>3.9839999999999997E-3</v>
      </c>
      <c r="L707" s="256">
        <v>1.5510999999999999E-2</v>
      </c>
      <c r="M707" s="256">
        <v>1.1188999999999999E-2</v>
      </c>
      <c r="N707" s="256">
        <v>1.1188999999999999E-2</v>
      </c>
      <c r="O707" s="256">
        <v>1.7100000000000001E-2</v>
      </c>
      <c r="P707" s="256">
        <v>-1.6722000000000001E-2</v>
      </c>
      <c r="Q707" s="256">
        <v>-5.6839999999999998E-3</v>
      </c>
      <c r="R707" s="256">
        <v>-5.1029999999999999E-3</v>
      </c>
      <c r="S707" s="256">
        <v>-6.6679999999999994E-3</v>
      </c>
      <c r="T707" s="256">
        <v>1.6147000000000002E-2</v>
      </c>
      <c r="U707" s="256">
        <v>2.5637E-2</v>
      </c>
      <c r="V707" s="256">
        <v>-1.8376E-2</v>
      </c>
      <c r="W707" s="256">
        <v>-1.8376E-2</v>
      </c>
      <c r="X707" s="256">
        <v>1.4407000000000001E-2</v>
      </c>
      <c r="Y707" s="256">
        <v>1.4112E-2</v>
      </c>
      <c r="Z707" s="248">
        <f ca="1">[1]ExtEntry!$M6</f>
        <v>1.4112E-2</v>
      </c>
      <c r="AB707" s="253">
        <v>16</v>
      </c>
      <c r="AC707" s="253">
        <v>19</v>
      </c>
      <c r="AD707" s="253">
        <v>16</v>
      </c>
      <c r="AE707" s="288">
        <v>13</v>
      </c>
      <c r="AF707" s="288">
        <v>19</v>
      </c>
      <c r="AG707" s="288">
        <v>12</v>
      </c>
      <c r="AH707" s="288">
        <v>10</v>
      </c>
      <c r="AI707" s="288">
        <v>9</v>
      </c>
      <c r="AJ707" s="288">
        <v>8</v>
      </c>
      <c r="AK707" s="288">
        <v>16</v>
      </c>
      <c r="AL707" s="288">
        <v>20</v>
      </c>
      <c r="AM707" s="277">
        <v>20</v>
      </c>
      <c r="AN707" s="277">
        <v>20</v>
      </c>
      <c r="AO707" s="277">
        <v>20</v>
      </c>
      <c r="AP707" s="277">
        <v>16</v>
      </c>
      <c r="AQ707" s="277">
        <v>5</v>
      </c>
      <c r="AR707" s="277">
        <v>15</v>
      </c>
      <c r="AS707" s="277">
        <v>14</v>
      </c>
      <c r="AT707" s="277">
        <v>7</v>
      </c>
      <c r="AU707" s="277">
        <v>4</v>
      </c>
      <c r="AV707" s="277">
        <f t="shared" si="57"/>
        <v>4</v>
      </c>
      <c r="AX707" s="88" t="str">
        <f t="shared" ca="1" si="58"/>
        <v>AMZN</v>
      </c>
    </row>
    <row r="708" spans="1:50" ht="30" customHeight="1">
      <c r="A708" s="88" t="str">
        <f t="shared" ca="1" si="59"/>
        <v>ALDNE</v>
      </c>
      <c r="C708" s="686"/>
      <c r="D708" s="686"/>
      <c r="F708" s="248">
        <v>6.9136000000000003E-2</v>
      </c>
      <c r="G708" s="248">
        <v>2.3089999999999999E-3</v>
      </c>
      <c r="H708" s="248">
        <v>1.3825E-2</v>
      </c>
      <c r="I708" s="248">
        <v>-1.1364000000000001E-2</v>
      </c>
      <c r="J708" s="248">
        <v>-2.2989999999999998E-3</v>
      </c>
      <c r="K708" s="248">
        <v>0</v>
      </c>
      <c r="L708" s="248">
        <v>-2.1429E-2</v>
      </c>
      <c r="M708" s="248">
        <v>0</v>
      </c>
      <c r="N708" s="248">
        <v>0</v>
      </c>
      <c r="O708" s="248">
        <v>0</v>
      </c>
      <c r="P708" s="248">
        <v>2.3869999999999998E-3</v>
      </c>
      <c r="Q708" s="248">
        <v>-2.3809999999999999E-3</v>
      </c>
      <c r="R708" s="248">
        <v>-9.5469999999999999E-3</v>
      </c>
      <c r="S708" s="248">
        <v>0</v>
      </c>
      <c r="T708" s="248">
        <v>-1.2048000000000001E-2</v>
      </c>
      <c r="U708" s="248">
        <v>1.2195000000000001E-2</v>
      </c>
      <c r="V708" s="248">
        <v>1.2048000000000001E-2</v>
      </c>
      <c r="W708" s="248">
        <v>1.2048000000000001E-2</v>
      </c>
      <c r="X708" s="248">
        <v>-2.3809999999999999E-3</v>
      </c>
      <c r="Y708" s="248">
        <v>-1.4319999999999999E-2</v>
      </c>
      <c r="Z708" s="248">
        <f ca="1">[1]ExtEntry!$M7</f>
        <v>-1.4319999999999999E-2</v>
      </c>
      <c r="AB708" s="253">
        <v>13</v>
      </c>
      <c r="AC708" s="253">
        <v>11</v>
      </c>
      <c r="AD708" s="253">
        <v>10</v>
      </c>
      <c r="AE708" s="288">
        <v>10</v>
      </c>
      <c r="AF708" s="288">
        <v>10</v>
      </c>
      <c r="AG708" s="288">
        <v>16</v>
      </c>
      <c r="AH708" s="288">
        <v>16</v>
      </c>
      <c r="AI708" s="288">
        <v>15</v>
      </c>
      <c r="AJ708" s="288">
        <v>14</v>
      </c>
      <c r="AK708" s="288">
        <v>13</v>
      </c>
      <c r="AL708" s="288">
        <v>11</v>
      </c>
      <c r="AM708" s="277">
        <v>12</v>
      </c>
      <c r="AN708" s="277">
        <v>13</v>
      </c>
      <c r="AO708" s="277">
        <v>12</v>
      </c>
      <c r="AP708" s="277">
        <v>16</v>
      </c>
      <c r="AQ708" s="277">
        <v>10</v>
      </c>
      <c r="AR708" s="277">
        <v>6</v>
      </c>
      <c r="AS708" s="277">
        <v>6</v>
      </c>
      <c r="AT708" s="277">
        <v>10</v>
      </c>
      <c r="AU708" s="277">
        <v>16</v>
      </c>
      <c r="AV708" s="277">
        <f t="shared" si="57"/>
        <v>16</v>
      </c>
      <c r="AX708" s="88" t="str">
        <f t="shared" ca="1" si="58"/>
        <v>ALDNE</v>
      </c>
    </row>
    <row r="709" spans="1:50">
      <c r="A709" s="88" t="str">
        <f t="shared" ca="1" si="59"/>
        <v>ASML</v>
      </c>
      <c r="C709" s="686"/>
      <c r="D709" s="686"/>
      <c r="F709" s="256">
        <v>1.5625E-2</v>
      </c>
      <c r="G709" s="256">
        <v>3.15E-3</v>
      </c>
      <c r="H709" s="256">
        <v>1.6061000000000002E-2</v>
      </c>
      <c r="I709" s="256">
        <v>4.3023999999999993E-2</v>
      </c>
      <c r="J709" s="256">
        <v>2.849E-3</v>
      </c>
      <c r="K709" s="256">
        <v>-2.5075E-2</v>
      </c>
      <c r="L709" s="256">
        <v>-2.6291999999999999E-2</v>
      </c>
      <c r="M709" s="256">
        <v>-2.3480000000000003E-3</v>
      </c>
      <c r="N709" s="256">
        <v>-8.8260000000000005E-3</v>
      </c>
      <c r="O709" s="256">
        <v>3.6982000000000001E-2</v>
      </c>
      <c r="P709" s="256">
        <v>3.081E-3</v>
      </c>
      <c r="Q709" s="256">
        <v>3.1184E-2</v>
      </c>
      <c r="R709" s="256">
        <v>5.0400000000000002E-3</v>
      </c>
      <c r="S709" s="256">
        <v>-1.9380000000000001E-3</v>
      </c>
      <c r="T709" s="256">
        <v>2.6606999999999999E-2</v>
      </c>
      <c r="U709" s="256">
        <v>-1.0234E-2</v>
      </c>
      <c r="V709" s="256">
        <v>-2.214E-2</v>
      </c>
      <c r="W709" s="256">
        <v>-2.214E-2</v>
      </c>
      <c r="X709" s="256">
        <v>2.0228000000000003E-2</v>
      </c>
      <c r="Y709" s="256">
        <v>7.548E-3</v>
      </c>
      <c r="Z709" s="248">
        <f ca="1">[1]ExtEntry!$M8</f>
        <v>7.548E-3</v>
      </c>
      <c r="AB709" s="253">
        <v>1</v>
      </c>
      <c r="AC709" s="253">
        <v>1</v>
      </c>
      <c r="AD709" s="253">
        <v>1</v>
      </c>
      <c r="AE709" s="288">
        <v>1</v>
      </c>
      <c r="AF709" s="288">
        <v>1</v>
      </c>
      <c r="AG709" s="288">
        <v>3</v>
      </c>
      <c r="AH709" s="288">
        <v>4</v>
      </c>
      <c r="AI709" s="288">
        <v>5</v>
      </c>
      <c r="AJ709" s="288">
        <v>6</v>
      </c>
      <c r="AK709" s="288">
        <v>6</v>
      </c>
      <c r="AL709" s="288">
        <v>6</v>
      </c>
      <c r="AM709" s="277">
        <v>4</v>
      </c>
      <c r="AN709" s="277">
        <v>3</v>
      </c>
      <c r="AO709" s="277">
        <v>4</v>
      </c>
      <c r="AP709" s="277">
        <v>1</v>
      </c>
      <c r="AQ709" s="277">
        <v>2</v>
      </c>
      <c r="AR709" s="277">
        <v>9</v>
      </c>
      <c r="AS709" s="277">
        <v>9</v>
      </c>
      <c r="AT709" s="277">
        <v>3</v>
      </c>
      <c r="AU709" s="277">
        <v>2</v>
      </c>
      <c r="AV709" s="277">
        <f t="shared" si="57"/>
        <v>2</v>
      </c>
      <c r="AX709" s="88" t="str">
        <f t="shared" ca="1" si="58"/>
        <v>ASML</v>
      </c>
    </row>
    <row r="710" spans="1:50">
      <c r="A710" s="88" t="str">
        <f t="shared" ca="1" si="59"/>
        <v>AZN</v>
      </c>
      <c r="C710" s="686"/>
      <c r="D710" s="686"/>
      <c r="F710" s="256">
        <v>-9.894E-3</v>
      </c>
      <c r="G710" s="256">
        <v>6.13E-3</v>
      </c>
      <c r="H710" s="256">
        <v>1.0548E-2</v>
      </c>
      <c r="I710" s="256">
        <v>1.4368000000000001E-2</v>
      </c>
      <c r="J710" s="256">
        <v>5.6179999999999999E-4</v>
      </c>
      <c r="K710" s="256">
        <v>2.7420000000000001E-3</v>
      </c>
      <c r="L710" s="256">
        <v>2.7021000000000003E-2</v>
      </c>
      <c r="M710" s="256">
        <v>-1.389E-3</v>
      </c>
      <c r="N710" s="256">
        <v>-1.389E-3</v>
      </c>
      <c r="O710" s="256">
        <v>9.8789000000000002E-2</v>
      </c>
      <c r="P710" s="256">
        <v>-3.524E-2</v>
      </c>
      <c r="Q710" s="256">
        <v>1.9352999999999999E-2</v>
      </c>
      <c r="R710" s="256">
        <v>8.0269999999999994E-3</v>
      </c>
      <c r="S710" s="256">
        <v>-1.3610000000000001E-2</v>
      </c>
      <c r="T710" s="256">
        <v>-2.5760000000000003E-4</v>
      </c>
      <c r="U710" s="256">
        <v>-1.8841E-2</v>
      </c>
      <c r="V710" s="256">
        <v>-6.8869999999999999E-3</v>
      </c>
      <c r="W710" s="256">
        <v>-6.8869999999999999E-3</v>
      </c>
      <c r="X710" s="256">
        <v>1.1725000000000001E-2</v>
      </c>
      <c r="Y710" s="256">
        <v>2.8580999999999999E-2</v>
      </c>
      <c r="Z710" s="248">
        <f ca="1">[1]ExtEntry!$M9</f>
        <v>-1.3189999999999999E-3</v>
      </c>
      <c r="AB710" s="253">
        <v>18</v>
      </c>
      <c r="AC710" s="253">
        <v>13</v>
      </c>
      <c r="AD710" s="253">
        <v>1</v>
      </c>
      <c r="AE710" s="288">
        <v>2</v>
      </c>
      <c r="AF710" s="288">
        <v>1</v>
      </c>
      <c r="AG710" s="288">
        <v>1</v>
      </c>
      <c r="AH710" s="288">
        <v>2</v>
      </c>
      <c r="AI710" s="288">
        <v>4</v>
      </c>
      <c r="AJ710" s="288">
        <v>4</v>
      </c>
      <c r="AK710" s="288">
        <v>6</v>
      </c>
      <c r="AL710" s="288">
        <v>4</v>
      </c>
      <c r="AM710" s="277">
        <v>7</v>
      </c>
      <c r="AN710" s="277">
        <v>10</v>
      </c>
      <c r="AO710" s="277">
        <v>8</v>
      </c>
      <c r="AP710" s="277">
        <v>11</v>
      </c>
      <c r="AQ710" s="277">
        <v>14</v>
      </c>
      <c r="AR710" s="277">
        <v>14</v>
      </c>
      <c r="AS710" s="277">
        <v>14</v>
      </c>
      <c r="AT710" s="277">
        <v>16</v>
      </c>
      <c r="AU710" s="277">
        <v>17</v>
      </c>
      <c r="AV710" s="277">
        <f t="shared" ref="AV710:AV748" si="60">_xlfn.RANK.EQ(Y212,F212:Y212)</f>
        <v>17</v>
      </c>
      <c r="AX710" s="88" t="str">
        <f t="shared" ca="1" si="58"/>
        <v>AZN</v>
      </c>
    </row>
    <row r="711" spans="1:50" hidden="1">
      <c r="A711" s="88" t="str">
        <f t="shared" ca="1" si="59"/>
        <v>BLDP</v>
      </c>
      <c r="C711" s="686"/>
      <c r="D711" s="686"/>
      <c r="F711" s="256">
        <v>2.7109999999999999E-3</v>
      </c>
      <c r="G711" s="256">
        <v>3.4938999999999998E-2</v>
      </c>
      <c r="H711" s="256">
        <v>9.9582999999999991E-2</v>
      </c>
      <c r="I711" s="256">
        <v>-8.4159999999999999E-3</v>
      </c>
      <c r="J711" s="256">
        <v>1.9844999999999998E-2</v>
      </c>
      <c r="K711" s="256">
        <v>4.4450000000000002E-3</v>
      </c>
      <c r="L711" s="256">
        <v>-5.7060000000000001E-3</v>
      </c>
      <c r="M711" s="256">
        <v>-3.9820000000000003E-3</v>
      </c>
      <c r="N711" s="256">
        <v>-3.9820000000000003E-3</v>
      </c>
      <c r="O711" s="256">
        <v>-2.366E-4</v>
      </c>
      <c r="P711" s="256">
        <v>7.2179999999999996E-3</v>
      </c>
      <c r="Q711" s="256">
        <v>-2.0560000000000001E-3</v>
      </c>
      <c r="R711" s="256">
        <v>-1.1788E-2</v>
      </c>
      <c r="S711" s="256">
        <v>1.0259000000000001E-2</v>
      </c>
      <c r="T711" s="256">
        <v>-9.6819999999999996E-3</v>
      </c>
      <c r="U711" s="256">
        <v>-7.7499999999999999E-3</v>
      </c>
      <c r="V711" s="256">
        <v>2.5230000000000001E-3</v>
      </c>
      <c r="W711" s="256">
        <v>2.5230000000000001E-3</v>
      </c>
      <c r="X711" s="256">
        <v>-3.5960000000000001E-4</v>
      </c>
      <c r="Y711" s="256">
        <v>-1.3189999999999999E-3</v>
      </c>
      <c r="Z711" s="248">
        <f ca="1">[1]ExtEntry!$M10</f>
        <v>4.8780000000000004E-2</v>
      </c>
      <c r="AB711" s="253">
        <v>8</v>
      </c>
      <c r="AC711" s="253">
        <v>8</v>
      </c>
      <c r="AD711" s="253">
        <v>2</v>
      </c>
      <c r="AE711" s="288">
        <v>5</v>
      </c>
      <c r="AF711" s="288">
        <v>1</v>
      </c>
      <c r="AG711" s="288">
        <v>1</v>
      </c>
      <c r="AH711" s="288">
        <v>2</v>
      </c>
      <c r="AI711" s="288">
        <v>3</v>
      </c>
      <c r="AJ711" s="288">
        <v>3</v>
      </c>
      <c r="AK711" s="288">
        <v>6</v>
      </c>
      <c r="AL711" s="288">
        <v>1</v>
      </c>
      <c r="AM711" s="277">
        <v>2</v>
      </c>
      <c r="AN711" s="277">
        <v>3</v>
      </c>
      <c r="AO711" s="277">
        <v>4</v>
      </c>
      <c r="AP711" s="277">
        <v>4</v>
      </c>
      <c r="AQ711" s="277">
        <v>12</v>
      </c>
      <c r="AR711" s="277">
        <v>13</v>
      </c>
      <c r="AS711" s="277">
        <v>13</v>
      </c>
      <c r="AT711" s="277">
        <v>13</v>
      </c>
      <c r="AU711" s="277">
        <v>12</v>
      </c>
      <c r="AV711" s="277">
        <f t="shared" si="60"/>
        <v>12</v>
      </c>
      <c r="AX711" s="88" t="str">
        <f t="shared" ca="1" si="58"/>
        <v>BLDP</v>
      </c>
    </row>
    <row r="712" spans="1:50" hidden="1">
      <c r="A712" s="88" t="str">
        <f t="shared" ca="1" si="59"/>
        <v>BMRA</v>
      </c>
      <c r="C712" s="686"/>
      <c r="D712" s="686"/>
      <c r="F712" s="256">
        <v>-1.6399999999999998E-2</v>
      </c>
      <c r="G712" s="256">
        <v>-7.2989999999999999E-3</v>
      </c>
      <c r="H712" s="256">
        <v>8.8234999999999994E-2</v>
      </c>
      <c r="I712" s="256">
        <v>-3.0405000000000001E-2</v>
      </c>
      <c r="J712" s="256">
        <v>0.229965</v>
      </c>
      <c r="K712" s="256">
        <v>-5.4790000000000004E-3</v>
      </c>
      <c r="L712" s="256">
        <v>-5.5100000000000001E-3</v>
      </c>
      <c r="M712" s="256">
        <v>-5.5400000000000007E-3</v>
      </c>
      <c r="N712" s="256">
        <v>-5.5400000000000007E-3</v>
      </c>
      <c r="O712" s="256">
        <v>6.7278000000000004E-2</v>
      </c>
      <c r="P712" s="256">
        <v>0.140401</v>
      </c>
      <c r="Q712" s="256">
        <v>-5.1508000000000005E-2</v>
      </c>
      <c r="R712" s="256">
        <v>-2.3936000000000002E-2</v>
      </c>
      <c r="S712" s="256">
        <v>-1.0899000000000001E-2</v>
      </c>
      <c r="T712" s="256">
        <v>2.7550000000000001E-3</v>
      </c>
      <c r="U712" s="256">
        <v>-8.5165000000000005E-2</v>
      </c>
      <c r="V712" s="256">
        <v>-1.5015000000000001E-2</v>
      </c>
      <c r="W712" s="256">
        <v>-1.5015000000000001E-2</v>
      </c>
      <c r="X712" s="256">
        <v>0</v>
      </c>
      <c r="Y712" s="256">
        <v>4.8780000000000004E-2</v>
      </c>
      <c r="Z712" s="248">
        <f ca="1">[1]ExtEntry!$M11</f>
        <v>1.7181999999999999E-2</v>
      </c>
      <c r="AB712" s="253">
        <v>18</v>
      </c>
      <c r="AC712" s="253">
        <v>15</v>
      </c>
      <c r="AD712" s="253">
        <v>16</v>
      </c>
      <c r="AE712" s="288">
        <v>20</v>
      </c>
      <c r="AF712" s="288">
        <v>18</v>
      </c>
      <c r="AG712" s="288">
        <v>12</v>
      </c>
      <c r="AH712" s="288">
        <v>8</v>
      </c>
      <c r="AI712" s="288">
        <v>5</v>
      </c>
      <c r="AJ712" s="288">
        <v>4</v>
      </c>
      <c r="AK712" s="288">
        <v>17</v>
      </c>
      <c r="AL712" s="288">
        <v>6</v>
      </c>
      <c r="AM712" s="277">
        <v>9</v>
      </c>
      <c r="AN712" s="277">
        <v>1</v>
      </c>
      <c r="AO712" s="277">
        <v>2</v>
      </c>
      <c r="AP712" s="277">
        <v>1</v>
      </c>
      <c r="AQ712" s="277">
        <v>1</v>
      </c>
      <c r="AR712" s="277">
        <v>7</v>
      </c>
      <c r="AS712" s="277">
        <v>7</v>
      </c>
      <c r="AT712" s="277">
        <v>9</v>
      </c>
      <c r="AU712" s="277">
        <v>5</v>
      </c>
      <c r="AV712" s="277">
        <f t="shared" si="60"/>
        <v>5</v>
      </c>
      <c r="AX712" s="88" t="str">
        <f t="shared" ca="1" si="58"/>
        <v>BMRA</v>
      </c>
    </row>
    <row r="713" spans="1:50" hidden="1">
      <c r="A713" s="88" t="str">
        <f t="shared" ca="1" si="59"/>
        <v>C</v>
      </c>
      <c r="C713" s="686"/>
      <c r="D713" s="686"/>
      <c r="F713" s="256">
        <v>0</v>
      </c>
      <c r="G713" s="256">
        <v>-7.0179999999999999E-3</v>
      </c>
      <c r="H713" s="256">
        <v>-3.5339999999999998E-3</v>
      </c>
      <c r="I713" s="256">
        <v>-2.1277000000000001E-2</v>
      </c>
      <c r="J713" s="256">
        <v>1.4493000000000001E-2</v>
      </c>
      <c r="K713" s="256">
        <v>-2.069E-2</v>
      </c>
      <c r="L713" s="256">
        <v>1.4085E-2</v>
      </c>
      <c r="M713" s="256">
        <v>2.4306000000000001E-2</v>
      </c>
      <c r="N713" s="256">
        <v>2.4306000000000001E-2</v>
      </c>
      <c r="O713" s="256">
        <v>0</v>
      </c>
      <c r="P713" s="256">
        <v>2.8570999999999999E-2</v>
      </c>
      <c r="Q713" s="256">
        <v>-6.9440000000000005E-3</v>
      </c>
      <c r="R713" s="256">
        <v>5.2447999999999995E-2</v>
      </c>
      <c r="S713" s="256">
        <v>-9.9670000000000002E-3</v>
      </c>
      <c r="T713" s="256">
        <v>4.6980000000000001E-2</v>
      </c>
      <c r="U713" s="256">
        <v>2.5640999999999997E-2</v>
      </c>
      <c r="V713" s="256">
        <v>-8.4375000000000006E-2</v>
      </c>
      <c r="W713" s="256">
        <v>-7.8616000000000005E-2</v>
      </c>
      <c r="X713" s="256">
        <v>-6.8259999999999996E-3</v>
      </c>
      <c r="Y713" s="256">
        <v>1.7181999999999999E-2</v>
      </c>
      <c r="Z713" s="248">
        <f ca="1">[1]ExtEntry!$M12</f>
        <v>2.1615000000000002E-2</v>
      </c>
      <c r="AB713" s="253">
        <v>3</v>
      </c>
      <c r="AC713" s="253">
        <v>10</v>
      </c>
      <c r="AD713" s="253">
        <v>16</v>
      </c>
      <c r="AE713" s="288">
        <v>17</v>
      </c>
      <c r="AF713" s="288">
        <v>17</v>
      </c>
      <c r="AG713" s="288">
        <v>17</v>
      </c>
      <c r="AH713" s="288">
        <v>20</v>
      </c>
      <c r="AI713" s="288">
        <v>20</v>
      </c>
      <c r="AJ713" s="288">
        <v>19</v>
      </c>
      <c r="AK713" s="288">
        <v>18</v>
      </c>
      <c r="AL713" s="288">
        <v>12</v>
      </c>
      <c r="AM713" s="277">
        <v>12</v>
      </c>
      <c r="AN713" s="277">
        <v>17</v>
      </c>
      <c r="AO713" s="277">
        <v>15</v>
      </c>
      <c r="AP713" s="277">
        <v>9</v>
      </c>
      <c r="AQ713" s="277">
        <v>11</v>
      </c>
      <c r="AR713" s="277">
        <v>16</v>
      </c>
      <c r="AS713" s="277">
        <v>15</v>
      </c>
      <c r="AT713" s="277">
        <v>14</v>
      </c>
      <c r="AU713" s="277">
        <v>6</v>
      </c>
      <c r="AV713" s="277">
        <f t="shared" si="60"/>
        <v>6</v>
      </c>
      <c r="AX713" s="88" t="str">
        <f t="shared" ca="1" si="58"/>
        <v>C</v>
      </c>
    </row>
    <row r="714" spans="1:50" hidden="1">
      <c r="A714" s="88" t="str">
        <f t="shared" ca="1" si="59"/>
        <v>CSCO</v>
      </c>
      <c r="C714" s="686"/>
      <c r="D714" s="686"/>
      <c r="F714" s="256">
        <v>-2.7069999999999998E-3</v>
      </c>
      <c r="G714" s="256">
        <v>-1.6188000000000001E-2</v>
      </c>
      <c r="H714" s="256">
        <v>-2.7488000000000002E-2</v>
      </c>
      <c r="I714" s="256">
        <v>-1.4081999999999999E-2</v>
      </c>
      <c r="J714" s="256">
        <v>3.852E-3</v>
      </c>
      <c r="K714" s="256">
        <v>-2.5500000000000002E-3</v>
      </c>
      <c r="L714" s="256">
        <v>-1.1043000000000001E-2</v>
      </c>
      <c r="M714" s="256">
        <v>-8.0660000000000003E-3</v>
      </c>
      <c r="N714" s="256">
        <v>-8.0660000000000003E-3</v>
      </c>
      <c r="O714" s="256">
        <v>2.2889E-2</v>
      </c>
      <c r="P714" s="256">
        <v>3.8606000000000001E-2</v>
      </c>
      <c r="Q714" s="256">
        <v>-5.94E-3</v>
      </c>
      <c r="R714" s="256">
        <v>-3.5076999999999997E-2</v>
      </c>
      <c r="S714" s="256">
        <v>8.4150000000000006E-3</v>
      </c>
      <c r="T714" s="256">
        <v>2.2869999999999998E-2</v>
      </c>
      <c r="U714" s="256">
        <v>-1.0573999999999998E-2</v>
      </c>
      <c r="V714" s="256">
        <v>-1.9643999999999998E-2</v>
      </c>
      <c r="W714" s="256">
        <v>-1.9643999999999998E-2</v>
      </c>
      <c r="X714" s="256">
        <v>3.738E-3</v>
      </c>
      <c r="Y714" s="256">
        <v>2.1770999999999999E-2</v>
      </c>
      <c r="Z714" s="248">
        <f ca="1">[1]ExtEntry!$M13</f>
        <v>5.1229999999999999E-3</v>
      </c>
      <c r="AB714" s="253">
        <v>11</v>
      </c>
      <c r="AC714" s="253">
        <v>2</v>
      </c>
      <c r="AD714" s="253">
        <v>1</v>
      </c>
      <c r="AE714" s="288">
        <v>4</v>
      </c>
      <c r="AF714" s="288">
        <v>8</v>
      </c>
      <c r="AG714" s="288">
        <v>1</v>
      </c>
      <c r="AH714" s="288">
        <v>1</v>
      </c>
      <c r="AI714" s="288">
        <v>2</v>
      </c>
      <c r="AJ714" s="288">
        <v>2</v>
      </c>
      <c r="AK714" s="288">
        <v>15</v>
      </c>
      <c r="AL714" s="288">
        <v>7</v>
      </c>
      <c r="AM714" s="277">
        <v>4</v>
      </c>
      <c r="AN714" s="277">
        <v>5</v>
      </c>
      <c r="AO714" s="277">
        <v>2</v>
      </c>
      <c r="AP714" s="277">
        <v>1</v>
      </c>
      <c r="AQ714" s="277">
        <v>1</v>
      </c>
      <c r="AR714" s="277">
        <v>2</v>
      </c>
      <c r="AS714" s="277">
        <v>2</v>
      </c>
      <c r="AT714" s="277">
        <v>6</v>
      </c>
      <c r="AU714" s="277">
        <v>5</v>
      </c>
      <c r="AV714" s="277">
        <f t="shared" si="60"/>
        <v>5</v>
      </c>
      <c r="AX714" s="88" t="str">
        <f t="shared" ca="1" si="58"/>
        <v>CSCO</v>
      </c>
    </row>
    <row r="715" spans="1:50" hidden="1">
      <c r="A715" s="88" t="str">
        <f t="shared" ca="1" si="59"/>
        <v>CVS</v>
      </c>
      <c r="C715" s="686"/>
      <c r="D715" s="686"/>
      <c r="F715" s="256">
        <v>4.5370000000000002E-3</v>
      </c>
      <c r="G715" s="256">
        <v>1.0337000000000001E-2</v>
      </c>
      <c r="H715" s="256">
        <v>4.823E-3</v>
      </c>
      <c r="I715" s="256">
        <v>-6.4000000000000003E-3</v>
      </c>
      <c r="J715" s="256">
        <v>2.9460000000000001E-4</v>
      </c>
      <c r="K715" s="256">
        <v>1.088E-3</v>
      </c>
      <c r="L715" s="256">
        <v>1.9497E-2</v>
      </c>
      <c r="M715" s="256">
        <v>-5.2610000000000001E-3</v>
      </c>
      <c r="N715" s="256">
        <v>-5.2610000000000001E-3</v>
      </c>
      <c r="O715" s="256">
        <v>-7.0650000000000001E-3</v>
      </c>
      <c r="P715" s="256">
        <v>1.7787999999999998E-2</v>
      </c>
      <c r="Q715" s="256">
        <v>1.1142000000000001E-2</v>
      </c>
      <c r="R715" s="256">
        <v>-6.1850000000000004E-3</v>
      </c>
      <c r="S715" s="256">
        <v>1.5053E-2</v>
      </c>
      <c r="T715" s="256">
        <v>7.4150000000000006E-3</v>
      </c>
      <c r="U715" s="256">
        <v>9.9080000000000001E-4</v>
      </c>
      <c r="V715" s="256">
        <v>-8.4840000000000002E-4</v>
      </c>
      <c r="W715" s="256">
        <v>-8.4840000000000002E-4</v>
      </c>
      <c r="X715" s="256">
        <v>-5.5189999999999996E-3</v>
      </c>
      <c r="Y715" s="256">
        <v>5.1229999999999999E-3</v>
      </c>
      <c r="Z715" s="248">
        <f ca="1">[1]ExtEntry!$M14</f>
        <v>1.0607999999999999E-2</v>
      </c>
      <c r="AB715" s="253">
        <v>4</v>
      </c>
      <c r="AC715" s="253">
        <v>5</v>
      </c>
      <c r="AD715" s="253">
        <v>1</v>
      </c>
      <c r="AE715" s="288">
        <v>1</v>
      </c>
      <c r="AF715" s="288">
        <v>1</v>
      </c>
      <c r="AG715" s="288">
        <v>3</v>
      </c>
      <c r="AH715" s="288">
        <v>4</v>
      </c>
      <c r="AI715" s="288">
        <v>6</v>
      </c>
      <c r="AJ715" s="288">
        <v>7</v>
      </c>
      <c r="AK715" s="288">
        <v>1</v>
      </c>
      <c r="AL715" s="288">
        <v>1</v>
      </c>
      <c r="AM715" s="277">
        <v>1</v>
      </c>
      <c r="AN715" s="277">
        <v>1</v>
      </c>
      <c r="AO715" s="277">
        <v>1</v>
      </c>
      <c r="AP715" s="277">
        <v>2</v>
      </c>
      <c r="AQ715" s="277">
        <v>1</v>
      </c>
      <c r="AR715" s="277">
        <v>4</v>
      </c>
      <c r="AS715" s="277">
        <v>4</v>
      </c>
      <c r="AT715" s="277">
        <v>8</v>
      </c>
      <c r="AU715" s="277">
        <v>6</v>
      </c>
      <c r="AV715" s="277">
        <f t="shared" si="60"/>
        <v>6</v>
      </c>
      <c r="AX715" s="88" t="str">
        <f t="shared" ca="1" si="58"/>
        <v>CVS</v>
      </c>
    </row>
    <row r="716" spans="1:50" hidden="1">
      <c r="A716" s="88" t="str">
        <f t="shared" ca="1" si="59"/>
        <v>DDD</v>
      </c>
      <c r="C716" s="686"/>
      <c r="D716" s="686"/>
      <c r="F716" s="256">
        <v>-2.2439999999999999E-3</v>
      </c>
      <c r="G716" s="256">
        <v>-2.2500000000000003E-3</v>
      </c>
      <c r="H716" s="256">
        <v>1.9498999999999999E-2</v>
      </c>
      <c r="I716" s="256">
        <v>7.4150000000000006E-3</v>
      </c>
      <c r="J716" s="256">
        <v>5.1650000000000003E-4</v>
      </c>
      <c r="K716" s="256">
        <v>3.6440000000000001E-3</v>
      </c>
      <c r="L716" s="256">
        <v>-2.2040000000000002E-3</v>
      </c>
      <c r="M716" s="256">
        <v>-2.3400000000000001E-3</v>
      </c>
      <c r="N716" s="256">
        <v>-2.47E-3</v>
      </c>
      <c r="O716" s="256">
        <v>7.0599999999999994E-3</v>
      </c>
      <c r="P716" s="256">
        <v>1.5807999999999999E-2</v>
      </c>
      <c r="Q716" s="256">
        <v>1.8201999999999999E-2</v>
      </c>
      <c r="R716" s="256">
        <v>9.0489999999999998E-3</v>
      </c>
      <c r="S716" s="256">
        <v>1.4133E-2</v>
      </c>
      <c r="T716" s="256">
        <v>-8.4830000000000007E-4</v>
      </c>
      <c r="U716" s="256">
        <v>6.5469999999999999E-3</v>
      </c>
      <c r="V716" s="256">
        <v>-1.2041999999999999E-2</v>
      </c>
      <c r="W716" s="256">
        <v>-1.2041999999999999E-2</v>
      </c>
      <c r="X716" s="256">
        <v>-3.3810000000000003E-3</v>
      </c>
      <c r="Y716" s="256">
        <v>1.0238000000000001E-2</v>
      </c>
      <c r="Z716" s="248">
        <f ca="1">[1]ExtEntry!$M15</f>
        <v>1.6233999999999998E-2</v>
      </c>
      <c r="AB716" s="253">
        <v>2</v>
      </c>
      <c r="AC716" s="253">
        <v>5</v>
      </c>
      <c r="AD716" s="253">
        <v>6</v>
      </c>
      <c r="AE716" s="288">
        <v>2</v>
      </c>
      <c r="AF716" s="288">
        <v>1</v>
      </c>
      <c r="AG716" s="288">
        <v>1</v>
      </c>
      <c r="AH716" s="288">
        <v>1</v>
      </c>
      <c r="AI716" s="288">
        <v>2</v>
      </c>
      <c r="AJ716" s="288">
        <v>2</v>
      </c>
      <c r="AK716" s="288">
        <v>7</v>
      </c>
      <c r="AL716" s="288">
        <v>8</v>
      </c>
      <c r="AM716" s="277">
        <v>1</v>
      </c>
      <c r="AN716" s="277">
        <v>1</v>
      </c>
      <c r="AO716" s="277">
        <v>9</v>
      </c>
      <c r="AP716" s="277">
        <v>1</v>
      </c>
      <c r="AQ716" s="277">
        <v>2</v>
      </c>
      <c r="AR716" s="277">
        <v>14</v>
      </c>
      <c r="AS716" s="277">
        <v>14</v>
      </c>
      <c r="AT716" s="277">
        <v>14</v>
      </c>
      <c r="AU716" s="277">
        <v>9</v>
      </c>
      <c r="AV716" s="277">
        <f t="shared" si="60"/>
        <v>9</v>
      </c>
      <c r="AX716" s="88" t="str">
        <f t="shared" ca="1" si="58"/>
        <v>DDD</v>
      </c>
    </row>
    <row r="717" spans="1:50" hidden="1">
      <c r="A717" s="88" t="str">
        <f t="shared" ca="1" si="59"/>
        <v>DIS</v>
      </c>
      <c r="C717" s="686"/>
      <c r="D717" s="686"/>
      <c r="F717" s="256">
        <v>-4.5016E-2</v>
      </c>
      <c r="G717" s="256">
        <v>-2.027E-2</v>
      </c>
      <c r="H717" s="256">
        <v>-1.2069000000000002E-2</v>
      </c>
      <c r="I717" s="256">
        <v>4.3554000000000002E-2</v>
      </c>
      <c r="J717" s="256">
        <v>4.3478000000000003E-2</v>
      </c>
      <c r="K717" s="256">
        <v>-1.1041E-2</v>
      </c>
      <c r="L717" s="256">
        <v>3.3439000000000003E-2</v>
      </c>
      <c r="M717" s="256">
        <v>-1.5480000000000001E-2</v>
      </c>
      <c r="N717" s="256">
        <v>-1.5480000000000001E-2</v>
      </c>
      <c r="O717" s="256">
        <v>7.6124999999999998E-2</v>
      </c>
      <c r="P717" s="256">
        <v>-9.6460000000000001E-3</v>
      </c>
      <c r="Q717" s="256">
        <v>5.5195000000000001E-2</v>
      </c>
      <c r="R717" s="256">
        <v>-3.058E-3</v>
      </c>
      <c r="S717" s="256">
        <v>-4.6012000000000004E-2</v>
      </c>
      <c r="T717" s="256">
        <v>0.21704200000000001</v>
      </c>
      <c r="U717" s="256">
        <v>-0.10846600000000001</v>
      </c>
      <c r="V717" s="256">
        <v>-0.11094699999999999</v>
      </c>
      <c r="W717" s="256">
        <v>-0.11094699999999999</v>
      </c>
      <c r="X717" s="256">
        <v>2.1595E-2</v>
      </c>
      <c r="Y717" s="256">
        <v>1.4610000000000001E-2</v>
      </c>
      <c r="Z717" s="248">
        <f ca="1">[1]ExtEntry!$M16</f>
        <v>-1.1944E-2</v>
      </c>
      <c r="AB717" s="253">
        <v>13</v>
      </c>
      <c r="AC717" s="253">
        <v>12</v>
      </c>
      <c r="AD717" s="253">
        <v>18</v>
      </c>
      <c r="AE717" s="288">
        <v>20</v>
      </c>
      <c r="AF717" s="288">
        <v>17</v>
      </c>
      <c r="AG717" s="288">
        <v>16</v>
      </c>
      <c r="AH717" s="288">
        <v>20</v>
      </c>
      <c r="AI717" s="288">
        <v>20</v>
      </c>
      <c r="AJ717" s="288">
        <v>19</v>
      </c>
      <c r="AK717" s="288">
        <v>20</v>
      </c>
      <c r="AL717" s="288">
        <v>17</v>
      </c>
      <c r="AM717" s="277">
        <v>15</v>
      </c>
      <c r="AN717" s="277">
        <v>20</v>
      </c>
      <c r="AO717" s="277">
        <v>18</v>
      </c>
      <c r="AP717" s="277">
        <v>13</v>
      </c>
      <c r="AQ717" s="277">
        <v>2</v>
      </c>
      <c r="AR717" s="277">
        <v>6</v>
      </c>
      <c r="AS717" s="277">
        <v>5</v>
      </c>
      <c r="AT717" s="277">
        <v>7</v>
      </c>
      <c r="AU717" s="277">
        <v>14</v>
      </c>
      <c r="AV717" s="277">
        <f t="shared" si="60"/>
        <v>14</v>
      </c>
      <c r="AX717" s="88" t="str">
        <f t="shared" ca="1" si="58"/>
        <v>DIS</v>
      </c>
    </row>
    <row r="718" spans="1:50" hidden="1">
      <c r="A718" s="88" t="str">
        <f t="shared" ca="1" si="59"/>
        <v>DSY</v>
      </c>
      <c r="C718" s="686"/>
      <c r="D718" s="686"/>
      <c r="F718" s="256">
        <v>7.2709999999999997E-3</v>
      </c>
      <c r="G718" s="256">
        <v>-2.614E-3</v>
      </c>
      <c r="H718" s="256">
        <v>-1.3668E-2</v>
      </c>
      <c r="I718" s="256">
        <v>-6.9940000000000002E-3</v>
      </c>
      <c r="J718" s="256">
        <v>3.1210000000000001E-3</v>
      </c>
      <c r="K718" s="256">
        <v>-1.596E-3</v>
      </c>
      <c r="L718" s="256">
        <v>-5.6870000000000002E-3</v>
      </c>
      <c r="M718" s="256">
        <v>-8.0440000000000008E-3</v>
      </c>
      <c r="N718" s="256">
        <v>-8.0440000000000008E-3</v>
      </c>
      <c r="O718" s="256">
        <v>1.0074000000000001E-2</v>
      </c>
      <c r="P718" s="256">
        <v>8.116E-3</v>
      </c>
      <c r="Q718" s="256">
        <v>7.5110000000000003E-3</v>
      </c>
      <c r="R718" s="256">
        <v>-1.6247000000000001E-2</v>
      </c>
      <c r="S718" s="256">
        <v>7.1899999999999993E-3</v>
      </c>
      <c r="T718" s="256">
        <v>1.1837E-2</v>
      </c>
      <c r="U718" s="256">
        <v>2.0990000000000002E-2</v>
      </c>
      <c r="V718" s="256">
        <v>-1.0499000000000001E-2</v>
      </c>
      <c r="W718" s="256">
        <v>-1.0499000000000001E-2</v>
      </c>
      <c r="X718" s="256">
        <v>-5.306E-4</v>
      </c>
      <c r="Y718" s="256">
        <v>-1.2032000000000001E-2</v>
      </c>
      <c r="Z718" s="248">
        <f ca="1">[1]ExtEntry!$M17</f>
        <v>-1.984E-2</v>
      </c>
      <c r="AB718" s="253">
        <v>2</v>
      </c>
      <c r="AC718" s="253">
        <v>1</v>
      </c>
      <c r="AD718" s="253">
        <v>2</v>
      </c>
      <c r="AE718" s="288">
        <v>1</v>
      </c>
      <c r="AF718" s="288">
        <v>2</v>
      </c>
      <c r="AG718" s="288">
        <v>3</v>
      </c>
      <c r="AH718" s="288">
        <v>4</v>
      </c>
      <c r="AI718" s="288">
        <v>4</v>
      </c>
      <c r="AJ718" s="288">
        <v>2</v>
      </c>
      <c r="AK718" s="288">
        <v>6</v>
      </c>
      <c r="AL718" s="288">
        <v>10</v>
      </c>
      <c r="AM718" s="277">
        <v>6</v>
      </c>
      <c r="AN718" s="277">
        <v>1</v>
      </c>
      <c r="AO718" s="277">
        <v>4</v>
      </c>
      <c r="AP718" s="277">
        <v>1</v>
      </c>
      <c r="AQ718" s="277">
        <v>1</v>
      </c>
      <c r="AR718" s="277">
        <v>2</v>
      </c>
      <c r="AS718" s="277">
        <v>2</v>
      </c>
      <c r="AT718" s="277">
        <v>20</v>
      </c>
      <c r="AU718" s="277">
        <v>20</v>
      </c>
      <c r="AV718" s="277">
        <f t="shared" si="60"/>
        <v>20</v>
      </c>
      <c r="AX718" s="88" t="str">
        <f t="shared" ca="1" si="58"/>
        <v>DSY</v>
      </c>
    </row>
    <row r="719" spans="1:50" hidden="1">
      <c r="A719" s="88" t="str">
        <f t="shared" ca="1" si="59"/>
        <v>DVA</v>
      </c>
      <c r="C719" s="686"/>
      <c r="D719" s="686"/>
      <c r="F719" s="256">
        <v>8.9090000000000003E-3</v>
      </c>
      <c r="G719" s="256">
        <v>7.0650000000000001E-3</v>
      </c>
      <c r="H719" s="256">
        <v>-1.7539999999999999E-3</v>
      </c>
      <c r="I719" s="256">
        <v>3.1974999999999996E-2</v>
      </c>
      <c r="J719" s="256">
        <v>-6.1289999999999999E-3</v>
      </c>
      <c r="K719" s="256">
        <v>-5.8180000000000003E-3</v>
      </c>
      <c r="L719" s="256">
        <v>-9.639E-3</v>
      </c>
      <c r="M719" s="256">
        <v>5.561E-3</v>
      </c>
      <c r="N719" s="256">
        <v>1.4862999999999999E-2</v>
      </c>
      <c r="O719" s="256">
        <v>1.0877E-2</v>
      </c>
      <c r="P719" s="256">
        <v>-1.5966999999999999E-2</v>
      </c>
      <c r="Q719" s="256">
        <v>1.8695E-2</v>
      </c>
      <c r="R719" s="256">
        <v>1.7313000000000002E-2</v>
      </c>
      <c r="S719" s="256">
        <v>-1.702E-3</v>
      </c>
      <c r="T719" s="256">
        <v>1.5343000000000001E-2</v>
      </c>
      <c r="U719" s="256">
        <v>1.6454E-2</v>
      </c>
      <c r="V719" s="256">
        <v>-4.9550000000000002E-3</v>
      </c>
      <c r="W719" s="256">
        <v>-4.9550000000000002E-3</v>
      </c>
      <c r="X719" s="256">
        <v>-0.12981400000000001</v>
      </c>
      <c r="Y719" s="256">
        <v>-1.984E-2</v>
      </c>
      <c r="Z719" s="248">
        <f ca="1">[1]ExtEntry!$M18</f>
        <v>9.1390000000000013E-3</v>
      </c>
      <c r="AB719" s="253">
        <v>20</v>
      </c>
      <c r="AC719" s="253">
        <v>8</v>
      </c>
      <c r="AD719" s="253">
        <v>7</v>
      </c>
      <c r="AE719" s="288">
        <v>11</v>
      </c>
      <c r="AF719" s="288">
        <v>11</v>
      </c>
      <c r="AG719" s="288">
        <v>11</v>
      </c>
      <c r="AH719" s="288">
        <v>20</v>
      </c>
      <c r="AI719" s="288">
        <v>20</v>
      </c>
      <c r="AJ719" s="288">
        <v>19</v>
      </c>
      <c r="AK719" s="288">
        <v>20</v>
      </c>
      <c r="AL719" s="288">
        <v>17</v>
      </c>
      <c r="AM719" s="277">
        <v>16</v>
      </c>
      <c r="AN719" s="277">
        <v>19</v>
      </c>
      <c r="AO719" s="277">
        <v>18</v>
      </c>
      <c r="AP719" s="277">
        <v>12</v>
      </c>
      <c r="AQ719" s="277">
        <v>11</v>
      </c>
      <c r="AR719" s="277">
        <v>10</v>
      </c>
      <c r="AS719" s="277">
        <v>9</v>
      </c>
      <c r="AT719" s="277">
        <v>12</v>
      </c>
      <c r="AU719" s="277">
        <v>7</v>
      </c>
      <c r="AV719" s="277">
        <f t="shared" si="60"/>
        <v>7</v>
      </c>
      <c r="AX719" s="88" t="str">
        <f t="shared" ca="1" si="58"/>
        <v>DVA</v>
      </c>
    </row>
    <row r="720" spans="1:50" hidden="1">
      <c r="A720" s="88" t="str">
        <f t="shared" ca="1" si="59"/>
        <v>DXC</v>
      </c>
      <c r="C720" s="686"/>
      <c r="D720" s="686"/>
      <c r="F720" s="256">
        <v>-5.6189999999999999E-3</v>
      </c>
      <c r="G720" s="256">
        <v>1.7458999999999999E-2</v>
      </c>
      <c r="H720" s="256">
        <v>0</v>
      </c>
      <c r="I720" s="256">
        <v>-5.7949999999999998E-3</v>
      </c>
      <c r="J720" s="256">
        <v>-7.1159999999999999E-3</v>
      </c>
      <c r="K720" s="256">
        <v>2.2631000000000002E-2</v>
      </c>
      <c r="L720" s="256">
        <v>-2.3771E-2</v>
      </c>
      <c r="M720" s="256">
        <v>-1.2198000000000001E-2</v>
      </c>
      <c r="N720" s="256">
        <v>-1.1807000000000002E-2</v>
      </c>
      <c r="O720" s="256">
        <v>-8.0650000000000003E-4</v>
      </c>
      <c r="P720" s="256">
        <v>2.1806000000000002E-2</v>
      </c>
      <c r="Q720" s="256">
        <v>1.224E-3</v>
      </c>
      <c r="R720" s="256">
        <v>-5.9519999999999998E-3</v>
      </c>
      <c r="S720" s="256">
        <v>5.0299999999999997E-3</v>
      </c>
      <c r="T720" s="256">
        <v>1.7239000000000001E-2</v>
      </c>
      <c r="U720" s="256">
        <v>2.8110000000000001E-3</v>
      </c>
      <c r="V720" s="256">
        <v>5.2180000000000004E-3</v>
      </c>
      <c r="W720" s="256">
        <v>5.2180000000000004E-3</v>
      </c>
      <c r="X720" s="256">
        <v>-8.2120000000000005E-3</v>
      </c>
      <c r="Y720" s="256">
        <v>9.1390000000000013E-3</v>
      </c>
      <c r="Z720" s="248">
        <f ca="1">[1]ExtEntry!$M19</f>
        <v>1.2715000000000001E-2</v>
      </c>
      <c r="AB720" s="253">
        <v>18</v>
      </c>
      <c r="AC720" s="253">
        <v>19</v>
      </c>
      <c r="AD720" s="253">
        <v>14</v>
      </c>
      <c r="AE720" s="288">
        <v>19</v>
      </c>
      <c r="AF720" s="288">
        <v>12</v>
      </c>
      <c r="AG720" s="288">
        <v>19</v>
      </c>
      <c r="AH720" s="288">
        <v>18</v>
      </c>
      <c r="AI720" s="288">
        <v>17</v>
      </c>
      <c r="AJ720" s="288">
        <v>16</v>
      </c>
      <c r="AK720" s="288">
        <v>20</v>
      </c>
      <c r="AL720" s="288">
        <v>17</v>
      </c>
      <c r="AM720" s="277">
        <v>20</v>
      </c>
      <c r="AN720" s="277">
        <v>20</v>
      </c>
      <c r="AO720" s="277">
        <v>19</v>
      </c>
      <c r="AP720" s="277">
        <v>18</v>
      </c>
      <c r="AQ720" s="277">
        <v>14</v>
      </c>
      <c r="AR720" s="277">
        <v>14</v>
      </c>
      <c r="AS720" s="277">
        <v>13</v>
      </c>
      <c r="AT720" s="277">
        <v>9</v>
      </c>
      <c r="AU720" s="277">
        <v>8</v>
      </c>
      <c r="AV720" s="277">
        <f t="shared" si="60"/>
        <v>8</v>
      </c>
      <c r="AX720" s="88" t="str">
        <f t="shared" ca="1" si="58"/>
        <v>DXC</v>
      </c>
    </row>
    <row r="721" spans="1:50" hidden="1">
      <c r="A721" s="88" t="str">
        <f t="shared" ca="1" si="59"/>
        <v>EOAN</v>
      </c>
      <c r="C721" s="686"/>
      <c r="D721" s="686"/>
      <c r="F721" s="256">
        <v>-1.6774000000000001E-2</v>
      </c>
      <c r="G721" s="256">
        <v>0</v>
      </c>
      <c r="H721" s="256">
        <v>1.2105999999999999E-2</v>
      </c>
      <c r="I721" s="256">
        <v>-1.5217000000000001E-2</v>
      </c>
      <c r="J721" s="256">
        <v>1.5453E-2</v>
      </c>
      <c r="K721" s="256">
        <v>-2.3529000000000001E-2</v>
      </c>
      <c r="L721" s="256">
        <v>4.5179999999999994E-3</v>
      </c>
      <c r="M721" s="256">
        <v>1.7991E-2</v>
      </c>
      <c r="N721" s="256">
        <v>1.7991E-2</v>
      </c>
      <c r="O721" s="256">
        <v>2.5988999999999998E-2</v>
      </c>
      <c r="P721" s="256">
        <v>7.1860000000000005E-3</v>
      </c>
      <c r="Q721" s="256">
        <v>-1.4263999999999999E-2</v>
      </c>
      <c r="R721" s="256">
        <v>-2.1374000000000001E-2</v>
      </c>
      <c r="S721" s="256">
        <v>2.3400000000000001E-3</v>
      </c>
      <c r="T721" s="256">
        <v>1.1284000000000001E-2</v>
      </c>
      <c r="U721" s="256">
        <v>2.1940000000000001E-2</v>
      </c>
      <c r="V721" s="256">
        <v>0</v>
      </c>
      <c r="W721" s="256">
        <v>0</v>
      </c>
      <c r="X721" s="256">
        <v>7.5360000000000002E-3</v>
      </c>
      <c r="Y721" s="256">
        <v>1.2715000000000001E-2</v>
      </c>
      <c r="Z721" s="248">
        <f ca="1">[1]ExtEntry!$M20</f>
        <v>3.1180000000000001E-3</v>
      </c>
      <c r="AB721" s="253">
        <v>2</v>
      </c>
      <c r="AC721" s="253">
        <v>1</v>
      </c>
      <c r="AD721" s="253">
        <v>1</v>
      </c>
      <c r="AE721" s="288">
        <v>6</v>
      </c>
      <c r="AF721" s="288">
        <v>2</v>
      </c>
      <c r="AG721" s="288">
        <v>3</v>
      </c>
      <c r="AH721" s="288">
        <v>1</v>
      </c>
      <c r="AI721" s="288">
        <v>2</v>
      </c>
      <c r="AJ721" s="288">
        <v>1</v>
      </c>
      <c r="AK721" s="288">
        <v>1</v>
      </c>
      <c r="AL721" s="288">
        <v>1</v>
      </c>
      <c r="AM721" s="277">
        <v>3</v>
      </c>
      <c r="AN721" s="277">
        <v>3</v>
      </c>
      <c r="AO721" s="277">
        <v>2</v>
      </c>
      <c r="AP721" s="277">
        <v>1</v>
      </c>
      <c r="AQ721" s="277">
        <v>3</v>
      </c>
      <c r="AR721" s="277">
        <v>14</v>
      </c>
      <c r="AS721" s="277">
        <v>14</v>
      </c>
      <c r="AT721" s="277">
        <v>19</v>
      </c>
      <c r="AU721" s="277">
        <v>17</v>
      </c>
      <c r="AV721" s="277">
        <f t="shared" si="60"/>
        <v>17</v>
      </c>
      <c r="AX721" s="88" t="str">
        <f t="shared" ca="1" si="58"/>
        <v>EOAN</v>
      </c>
    </row>
    <row r="722" spans="1:50" hidden="1">
      <c r="A722" s="88" t="str">
        <f t="shared" ca="1" si="59"/>
        <v>EPIX</v>
      </c>
      <c r="C722" s="686"/>
      <c r="D722" s="686"/>
      <c r="F722" s="256">
        <v>-3.114E-3</v>
      </c>
      <c r="G722" s="256">
        <v>0</v>
      </c>
      <c r="H722" s="256">
        <v>5.6000000000000008E-3</v>
      </c>
      <c r="I722" s="256">
        <v>-1.2376E-2</v>
      </c>
      <c r="J722" s="256">
        <v>1.0024999999999999E-2</v>
      </c>
      <c r="K722" s="256">
        <v>2.4879999999999998E-3</v>
      </c>
      <c r="L722" s="256">
        <v>4.0339999999999994E-3</v>
      </c>
      <c r="M722" s="256">
        <v>-3.0900000000000003E-4</v>
      </c>
      <c r="N722" s="256">
        <v>3.0909999999999998E-4</v>
      </c>
      <c r="O722" s="256">
        <v>1.1822999999999998E-2</v>
      </c>
      <c r="P722" s="256">
        <v>6.7650000000000002E-3</v>
      </c>
      <c r="Q722" s="256">
        <v>-1.0385E-2</v>
      </c>
      <c r="R722" s="256">
        <v>3.0859999999999998E-3</v>
      </c>
      <c r="S722" s="256">
        <v>1.2310000000000001E-3</v>
      </c>
      <c r="T722" s="256">
        <v>9.2189999999999998E-3</v>
      </c>
      <c r="U722" s="256">
        <v>-3.3500000000000001E-3</v>
      </c>
      <c r="V722" s="256">
        <v>-1.6192999999999999E-2</v>
      </c>
      <c r="W722" s="256">
        <v>-1.6192999999999999E-2</v>
      </c>
      <c r="X722" s="256">
        <v>-7.4529999999999996E-3</v>
      </c>
      <c r="Y722" s="256">
        <v>5.006E-3</v>
      </c>
      <c r="Z722" s="248">
        <f ca="1">[1]ExtEntry!$M21</f>
        <v>0</v>
      </c>
      <c r="AB722" s="253">
        <v>20</v>
      </c>
      <c r="AC722" s="253">
        <v>20</v>
      </c>
      <c r="AD722" s="253">
        <v>9</v>
      </c>
      <c r="AE722" s="288">
        <v>3</v>
      </c>
      <c r="AF722" s="288">
        <v>8</v>
      </c>
      <c r="AG722" s="288">
        <v>9</v>
      </c>
      <c r="AH722" s="288">
        <v>12</v>
      </c>
      <c r="AI722" s="288">
        <v>11</v>
      </c>
      <c r="AJ722" s="288">
        <v>10</v>
      </c>
      <c r="AK722" s="288">
        <v>10</v>
      </c>
      <c r="AL722" s="288">
        <v>10</v>
      </c>
      <c r="AM722" s="277">
        <v>10</v>
      </c>
      <c r="AN722" s="277">
        <v>9</v>
      </c>
      <c r="AO722" s="277">
        <v>8</v>
      </c>
      <c r="AP722" s="277">
        <v>7</v>
      </c>
      <c r="AQ722" s="277">
        <v>6</v>
      </c>
      <c r="AR722" s="277">
        <v>5</v>
      </c>
      <c r="AS722" s="277">
        <v>5</v>
      </c>
      <c r="AT722" s="277">
        <v>5</v>
      </c>
      <c r="AU722" s="277">
        <v>5</v>
      </c>
      <c r="AV722" s="277">
        <f t="shared" si="60"/>
        <v>5</v>
      </c>
      <c r="AX722" s="88" t="str">
        <f t="shared" ca="1" si="58"/>
        <v>EPIX</v>
      </c>
    </row>
    <row r="723" spans="1:50" hidden="1">
      <c r="A723" s="88" t="str">
        <f t="shared" ca="1" si="59"/>
        <v>GM</v>
      </c>
      <c r="C723" s="686"/>
      <c r="D723" s="686"/>
      <c r="F723" s="256">
        <v>-4.3781E-2</v>
      </c>
      <c r="G723" s="256">
        <v>-1.2410000000000001E-2</v>
      </c>
      <c r="H723" s="256">
        <v>7.8009999999999996E-2</v>
      </c>
      <c r="I723" s="256">
        <v>5.5852000000000006E-2</v>
      </c>
      <c r="J723" s="256">
        <v>-5.1977999999999996E-2</v>
      </c>
      <c r="K723" s="256">
        <v>3.9179999999999996E-3</v>
      </c>
      <c r="L723" s="256">
        <v>-1.8536999999999998E-2</v>
      </c>
      <c r="M723" s="256">
        <v>-1.8536999999999998E-2</v>
      </c>
      <c r="N723" s="256">
        <v>-1.8536999999999998E-2</v>
      </c>
      <c r="O723" s="256">
        <v>0</v>
      </c>
      <c r="P723" s="256">
        <v>0</v>
      </c>
      <c r="Q723" s="256">
        <v>0</v>
      </c>
      <c r="R723" s="256">
        <v>0</v>
      </c>
      <c r="S723" s="256">
        <v>0</v>
      </c>
      <c r="T723" s="256">
        <v>0</v>
      </c>
      <c r="U723" s="256">
        <v>0</v>
      </c>
      <c r="V723" s="256">
        <v>0</v>
      </c>
      <c r="W723" s="256">
        <v>0</v>
      </c>
      <c r="X723" s="256">
        <v>0</v>
      </c>
      <c r="Y723" s="256">
        <v>0</v>
      </c>
      <c r="Z723" s="248">
        <f ca="1">[1]ExtEntry!$M22</f>
        <v>4.2034000000000002E-2</v>
      </c>
      <c r="AB723" s="253">
        <v>2</v>
      </c>
      <c r="AC723" s="253">
        <v>2</v>
      </c>
      <c r="AD723" s="253">
        <v>1</v>
      </c>
      <c r="AE723" s="288">
        <v>7</v>
      </c>
      <c r="AF723" s="288">
        <v>6</v>
      </c>
      <c r="AG723" s="288">
        <v>20</v>
      </c>
      <c r="AH723" s="288">
        <v>20</v>
      </c>
      <c r="AI723" s="288">
        <v>20</v>
      </c>
      <c r="AJ723" s="288">
        <v>20</v>
      </c>
      <c r="AK723" s="288">
        <v>20</v>
      </c>
      <c r="AL723" s="288">
        <v>16</v>
      </c>
      <c r="AM723" s="277">
        <v>14</v>
      </c>
      <c r="AN723" s="277">
        <v>14</v>
      </c>
      <c r="AO723" s="277">
        <v>12</v>
      </c>
      <c r="AP723" s="277">
        <v>12</v>
      </c>
      <c r="AQ723" s="277">
        <v>1</v>
      </c>
      <c r="AR723" s="277">
        <v>1</v>
      </c>
      <c r="AS723" s="277">
        <v>1</v>
      </c>
      <c r="AT723" s="277">
        <v>3</v>
      </c>
      <c r="AU723" s="277">
        <v>1</v>
      </c>
      <c r="AV723" s="277">
        <f t="shared" si="60"/>
        <v>1</v>
      </c>
      <c r="AX723" s="88" t="str">
        <f t="shared" ref="AX723:AX786" ca="1" si="61">A723</f>
        <v>GM</v>
      </c>
    </row>
    <row r="724" spans="1:50" hidden="1">
      <c r="A724" s="88" t="str">
        <f t="shared" ca="1" si="59"/>
        <v>HPE</v>
      </c>
      <c r="C724" s="686"/>
      <c r="D724" s="686"/>
      <c r="F724" s="256">
        <v>-6.9399999999999991E-3</v>
      </c>
      <c r="G724" s="256">
        <v>-2.6179999999999997E-3</v>
      </c>
      <c r="H724" s="256">
        <v>5.9050000000000005E-3</v>
      </c>
      <c r="I724" s="256">
        <v>-3.2279000000000002E-2</v>
      </c>
      <c r="J724" s="256">
        <v>1.2971999999999999E-2</v>
      </c>
      <c r="K724" s="256">
        <v>-1.5810000000000001E-2</v>
      </c>
      <c r="L724" s="256">
        <v>-1.4932000000000001E-2</v>
      </c>
      <c r="M724" s="256">
        <v>-8.1560000000000001E-3</v>
      </c>
      <c r="N724" s="256">
        <v>-8.5109999999999995E-3</v>
      </c>
      <c r="O724" s="256">
        <v>4.6969999999999998E-3</v>
      </c>
      <c r="P724" s="256">
        <v>2.7507999999999998E-2</v>
      </c>
      <c r="Q724" s="256">
        <v>1.3472E-2</v>
      </c>
      <c r="R724" s="256">
        <v>-7.9579999999999998E-3</v>
      </c>
      <c r="S724" s="256">
        <v>1.8137E-2</v>
      </c>
      <c r="T724" s="256">
        <v>-6.1660000000000005E-3</v>
      </c>
      <c r="U724" s="256">
        <v>0.148448</v>
      </c>
      <c r="V724" s="256">
        <v>1.0506999999999999E-2</v>
      </c>
      <c r="W724" s="256">
        <v>1.0506999999999999E-2</v>
      </c>
      <c r="X724" s="256">
        <v>-7.0569999999999999E-3</v>
      </c>
      <c r="Y724" s="256">
        <v>4.2183999999999999E-2</v>
      </c>
      <c r="Z724" s="248">
        <f ca="1">[1]ExtEntry!$M23</f>
        <v>1.3368E-2</v>
      </c>
      <c r="AB724" s="253">
        <v>14</v>
      </c>
      <c r="AC724" s="253">
        <v>10</v>
      </c>
      <c r="AD724" s="253">
        <v>5</v>
      </c>
      <c r="AE724" s="288">
        <v>12</v>
      </c>
      <c r="AF724" s="288">
        <v>15</v>
      </c>
      <c r="AG724" s="288">
        <v>6</v>
      </c>
      <c r="AH724" s="288">
        <v>1</v>
      </c>
      <c r="AI724" s="288">
        <v>1</v>
      </c>
      <c r="AJ724" s="288">
        <v>1</v>
      </c>
      <c r="AK724" s="288">
        <v>11</v>
      </c>
      <c r="AL724" s="288">
        <v>6</v>
      </c>
      <c r="AM724" s="277">
        <v>4</v>
      </c>
      <c r="AN724" s="277">
        <v>20</v>
      </c>
      <c r="AO724" s="277">
        <v>19</v>
      </c>
      <c r="AP724" s="277">
        <v>19</v>
      </c>
      <c r="AQ724" s="277">
        <v>17</v>
      </c>
      <c r="AR724" s="277">
        <v>17</v>
      </c>
      <c r="AS724" s="277">
        <v>17</v>
      </c>
      <c r="AT724" s="277">
        <v>15</v>
      </c>
      <c r="AU724" s="277">
        <v>13</v>
      </c>
      <c r="AV724" s="277">
        <f t="shared" si="60"/>
        <v>13</v>
      </c>
      <c r="AX724" s="88" t="str">
        <f t="shared" ca="1" si="61"/>
        <v>HPE</v>
      </c>
    </row>
    <row r="725" spans="1:50" hidden="1">
      <c r="A725" s="88" t="str">
        <f t="shared" ca="1" si="59"/>
        <v>HPQ</v>
      </c>
      <c r="C725" s="686"/>
      <c r="D725" s="686"/>
      <c r="F725" s="256">
        <v>7.4960000000000001E-3</v>
      </c>
      <c r="G725" s="256">
        <v>1.6570000000000001E-2</v>
      </c>
      <c r="H725" s="256">
        <v>1.5269E-2</v>
      </c>
      <c r="I725" s="256">
        <v>-1.7648999999999998E-2</v>
      </c>
      <c r="J725" s="256">
        <v>-2.2470000000000003E-3</v>
      </c>
      <c r="K725" s="256">
        <v>4.8409999999999998E-3</v>
      </c>
      <c r="L725" s="256">
        <v>4.6768000000000004E-2</v>
      </c>
      <c r="M725" s="256">
        <v>6.5180000000000004E-3</v>
      </c>
      <c r="N725" s="256">
        <v>6.5180000000000004E-3</v>
      </c>
      <c r="O725" s="256">
        <v>1.4959E-2</v>
      </c>
      <c r="P725" s="256">
        <v>7.6610000000000003E-3</v>
      </c>
      <c r="Q725" s="256">
        <v>1.66E-2</v>
      </c>
      <c r="R725" s="256">
        <v>-0.10063900000000001</v>
      </c>
      <c r="S725" s="256">
        <v>2.0444E-2</v>
      </c>
      <c r="T725" s="256">
        <v>-4.3550000000000004E-3</v>
      </c>
      <c r="U725" s="256">
        <v>1.7490000000000002E-2</v>
      </c>
      <c r="V725" s="256">
        <v>-7.0909999999999992E-3</v>
      </c>
      <c r="W725" s="256">
        <v>-7.7349999999999997E-3</v>
      </c>
      <c r="X725" s="256">
        <v>4.764E-3</v>
      </c>
      <c r="Y725" s="256">
        <v>1.3368E-2</v>
      </c>
      <c r="Z725" s="248">
        <f ca="1">[1]ExtEntry!$M24</f>
        <v>-6.1089999999999998E-3</v>
      </c>
      <c r="AB725" s="253">
        <v>19</v>
      </c>
      <c r="AC725" s="253">
        <v>17</v>
      </c>
      <c r="AD725" s="253">
        <v>20</v>
      </c>
      <c r="AE725" s="288">
        <v>20</v>
      </c>
      <c r="AF725" s="288">
        <v>19</v>
      </c>
      <c r="AG725" s="288">
        <v>19</v>
      </c>
      <c r="AH725" s="288">
        <v>13</v>
      </c>
      <c r="AI725" s="288">
        <v>13</v>
      </c>
      <c r="AJ725" s="288">
        <v>12</v>
      </c>
      <c r="AK725" s="288">
        <v>9</v>
      </c>
      <c r="AL725" s="288">
        <v>2</v>
      </c>
      <c r="AM725" s="277">
        <v>1</v>
      </c>
      <c r="AN725" s="277">
        <v>9</v>
      </c>
      <c r="AO725" s="277">
        <v>7</v>
      </c>
      <c r="AP725" s="277">
        <v>5</v>
      </c>
      <c r="AQ725" s="277">
        <v>4</v>
      </c>
      <c r="AR725" s="277">
        <v>4</v>
      </c>
      <c r="AS725" s="277">
        <v>4</v>
      </c>
      <c r="AT725" s="277">
        <v>4</v>
      </c>
      <c r="AU725" s="277">
        <v>5</v>
      </c>
      <c r="AV725" s="277">
        <f t="shared" si="60"/>
        <v>5</v>
      </c>
      <c r="AX725" s="88" t="str">
        <f t="shared" ca="1" si="61"/>
        <v>HPQ</v>
      </c>
    </row>
    <row r="726" spans="1:50" hidden="1">
      <c r="A726" s="88" t="str">
        <f t="shared" ca="1" si="59"/>
        <v>IAG</v>
      </c>
      <c r="C726" s="686"/>
      <c r="D726" s="686"/>
      <c r="F726" s="256">
        <v>2.8079999999999997E-3</v>
      </c>
      <c r="G726" s="256">
        <v>1.1899999999999999E-2</v>
      </c>
      <c r="H726" s="256">
        <v>-1.9831000000000001E-2</v>
      </c>
      <c r="I726" s="256">
        <v>-8.8009999999999998E-3</v>
      </c>
      <c r="J726" s="256">
        <v>6.0419999999999996E-3</v>
      </c>
      <c r="K726" s="256">
        <v>-1.879E-3</v>
      </c>
      <c r="L726" s="256">
        <v>1.8079000000000001E-2</v>
      </c>
      <c r="M726" s="256">
        <v>-2.2200000000000002E-3</v>
      </c>
      <c r="N726" s="256">
        <v>-2.2200000000000002E-3</v>
      </c>
      <c r="O726" s="256">
        <v>7.0058999999999996E-2</v>
      </c>
      <c r="P726" s="256">
        <v>4.3326999999999997E-2</v>
      </c>
      <c r="Q726" s="256">
        <v>4.9049999999999996E-3</v>
      </c>
      <c r="R726" s="256">
        <v>-4.8758999999999997E-2</v>
      </c>
      <c r="S726" s="256">
        <v>6.2500000000000003E-3</v>
      </c>
      <c r="T726" s="256">
        <v>1.0412999999999999E-2</v>
      </c>
      <c r="U726" s="256">
        <v>1.8076999999999999E-2</v>
      </c>
      <c r="V726" s="256">
        <v>-1.7756000000000001E-2</v>
      </c>
      <c r="W726" s="256">
        <v>-1.7756000000000001E-2</v>
      </c>
      <c r="X726" s="256">
        <v>5.9650000000000007E-3</v>
      </c>
      <c r="Y726" s="256">
        <v>-6.1089999999999998E-3</v>
      </c>
      <c r="Z726" s="248">
        <f ca="1">[1]ExtEntry!$M25</f>
        <v>1.6108999999999998E-2</v>
      </c>
      <c r="AB726" s="253">
        <v>7</v>
      </c>
      <c r="AC726" s="253">
        <v>6</v>
      </c>
      <c r="AD726" s="253">
        <v>19</v>
      </c>
      <c r="AE726" s="288">
        <v>3</v>
      </c>
      <c r="AF726" s="288">
        <v>5</v>
      </c>
      <c r="AG726" s="288">
        <v>1</v>
      </c>
      <c r="AH726" s="288">
        <v>1</v>
      </c>
      <c r="AI726" s="288">
        <v>1</v>
      </c>
      <c r="AJ726" s="288">
        <v>2</v>
      </c>
      <c r="AK726" s="288">
        <v>2</v>
      </c>
      <c r="AL726" s="288">
        <v>4</v>
      </c>
      <c r="AM726" s="277">
        <v>5</v>
      </c>
      <c r="AN726" s="277">
        <v>6</v>
      </c>
      <c r="AO726" s="277">
        <v>8</v>
      </c>
      <c r="AP726" s="277">
        <v>8</v>
      </c>
      <c r="AQ726" s="277">
        <v>9</v>
      </c>
      <c r="AR726" s="277">
        <v>7</v>
      </c>
      <c r="AS726" s="277">
        <v>7</v>
      </c>
      <c r="AT726" s="277">
        <v>7</v>
      </c>
      <c r="AU726" s="277">
        <v>2</v>
      </c>
      <c r="AV726" s="277">
        <f t="shared" si="60"/>
        <v>2</v>
      </c>
      <c r="AX726" s="88" t="str">
        <f t="shared" ca="1" si="61"/>
        <v>IAG</v>
      </c>
    </row>
    <row r="727" spans="1:50" hidden="1">
      <c r="A727" s="88" t="str">
        <f t="shared" ca="1" si="59"/>
        <v>KR</v>
      </c>
      <c r="C727" s="686"/>
      <c r="D727" s="686"/>
      <c r="F727" s="256">
        <v>6.2880000000000002E-3</v>
      </c>
      <c r="G727" s="256">
        <v>5.2070000000000007E-3</v>
      </c>
      <c r="H727" s="256">
        <v>-1.7353E-2</v>
      </c>
      <c r="I727" s="256">
        <v>1.8977000000000001E-2</v>
      </c>
      <c r="J727" s="256">
        <v>-2.0690000000000001E-3</v>
      </c>
      <c r="K727" s="256">
        <v>4.8989999999999997E-3</v>
      </c>
      <c r="L727" s="256">
        <v>2.6431E-2</v>
      </c>
      <c r="M727" s="256">
        <v>3.2000000000000001E-2</v>
      </c>
      <c r="N727" s="256">
        <v>-1.1386E-2</v>
      </c>
      <c r="O727" s="256">
        <v>4.9019999999999999E-4</v>
      </c>
      <c r="P727" s="256">
        <v>-4.8999999999999998E-4</v>
      </c>
      <c r="Q727" s="256">
        <v>-1.225E-3</v>
      </c>
      <c r="R727" s="256">
        <v>-2.9449999999999997E-3</v>
      </c>
      <c r="S727" s="256">
        <v>-3.7164999999999997E-2</v>
      </c>
      <c r="T727" s="256">
        <v>1.2270000000000001E-2</v>
      </c>
      <c r="U727" s="256">
        <v>-5.5560000000000002E-3</v>
      </c>
      <c r="V727" s="256">
        <v>2.2345999999999998E-2</v>
      </c>
      <c r="W727" s="256">
        <v>2.2345999999999998E-2</v>
      </c>
      <c r="X727" s="256">
        <v>2.235E-3</v>
      </c>
      <c r="Y727" s="256">
        <v>1.6108999999999998E-2</v>
      </c>
      <c r="Z727" s="248">
        <f ca="1">[1]ExtEntry!$M26</f>
        <v>-2.2574999999999998E-2</v>
      </c>
      <c r="AB727" s="253">
        <v>12</v>
      </c>
      <c r="AC727" s="253">
        <v>8</v>
      </c>
      <c r="AD727" s="253">
        <v>11</v>
      </c>
      <c r="AE727" s="288">
        <v>11</v>
      </c>
      <c r="AF727" s="288">
        <v>11</v>
      </c>
      <c r="AG727" s="288">
        <v>7</v>
      </c>
      <c r="AH727" s="288">
        <v>2</v>
      </c>
      <c r="AI727" s="288">
        <v>4</v>
      </c>
      <c r="AJ727" s="288">
        <v>3</v>
      </c>
      <c r="AK727" s="288">
        <v>6</v>
      </c>
      <c r="AL727" s="288">
        <v>1</v>
      </c>
      <c r="AM727" s="277">
        <v>2</v>
      </c>
      <c r="AN727" s="277">
        <v>3</v>
      </c>
      <c r="AO727" s="277">
        <v>3</v>
      </c>
      <c r="AP727" s="277">
        <v>1</v>
      </c>
      <c r="AQ727" s="277">
        <v>7</v>
      </c>
      <c r="AR727" s="277">
        <v>6</v>
      </c>
      <c r="AS727" s="277">
        <v>6</v>
      </c>
      <c r="AT727" s="277">
        <v>6</v>
      </c>
      <c r="AU727" s="277">
        <v>15</v>
      </c>
      <c r="AV727" s="277">
        <f t="shared" si="60"/>
        <v>15</v>
      </c>
      <c r="AX727" s="88" t="str">
        <f t="shared" ca="1" si="61"/>
        <v>KR</v>
      </c>
    </row>
    <row r="728" spans="1:50" hidden="1">
      <c r="A728" s="88" t="str">
        <f t="shared" ca="1" si="59"/>
        <v>LNSR</v>
      </c>
      <c r="C728" s="686"/>
      <c r="D728" s="686"/>
      <c r="F728" s="256">
        <v>8.1729999999999997E-3</v>
      </c>
      <c r="G728" s="256">
        <v>1.4752000000000001E-2</v>
      </c>
      <c r="H728" s="256">
        <v>-1.3648E-2</v>
      </c>
      <c r="I728" s="256">
        <v>-2.1050000000000001E-3</v>
      </c>
      <c r="J728" s="256">
        <v>-9.0419999999999997E-4</v>
      </c>
      <c r="K728" s="256">
        <v>3.2099000000000003E-2</v>
      </c>
      <c r="L728" s="256">
        <v>1.8541000000000002E-2</v>
      </c>
      <c r="M728" s="256">
        <v>-8.2210000000000009E-3</v>
      </c>
      <c r="N728" s="256">
        <v>-8.2210000000000009E-3</v>
      </c>
      <c r="O728" s="256">
        <v>-9.6640000000000007E-3</v>
      </c>
      <c r="P728" s="256">
        <v>2.9793E-2</v>
      </c>
      <c r="Q728" s="256">
        <v>-3.6159999999999995E-4</v>
      </c>
      <c r="R728" s="256">
        <v>-3.039E-3</v>
      </c>
      <c r="S728" s="256">
        <v>1.5970000000000001E-3</v>
      </c>
      <c r="T728" s="256">
        <v>2.464E-3</v>
      </c>
      <c r="U728" s="256">
        <v>-2.2269999999999998E-2</v>
      </c>
      <c r="V728" s="256">
        <v>1.4940999999999999E-2</v>
      </c>
      <c r="W728" s="256">
        <v>1.4940999999999999E-2</v>
      </c>
      <c r="X728" s="256">
        <v>8.7460000000000001E-4</v>
      </c>
      <c r="Y728" s="256">
        <v>-2.2721000000000002E-2</v>
      </c>
      <c r="Z728" s="248">
        <f ca="1">[1]ExtEntry!$M27</f>
        <v>-8.3470000000000007E-4</v>
      </c>
      <c r="AB728" s="253">
        <v>17</v>
      </c>
      <c r="AC728" s="253">
        <v>8</v>
      </c>
      <c r="AD728" s="253">
        <v>13</v>
      </c>
      <c r="AE728" s="288">
        <v>3</v>
      </c>
      <c r="AF728" s="288">
        <v>15</v>
      </c>
      <c r="AG728" s="288">
        <v>19</v>
      </c>
      <c r="AH728" s="288">
        <v>15</v>
      </c>
      <c r="AI728" s="288">
        <v>20</v>
      </c>
      <c r="AJ728" s="288">
        <v>19</v>
      </c>
      <c r="AK728" s="288">
        <v>20</v>
      </c>
      <c r="AL728" s="288">
        <v>19</v>
      </c>
      <c r="AM728" s="277">
        <v>20</v>
      </c>
      <c r="AN728" s="277">
        <v>19</v>
      </c>
      <c r="AO728" s="277">
        <v>18</v>
      </c>
      <c r="AP728" s="277">
        <v>6</v>
      </c>
      <c r="AQ728" s="277">
        <v>7</v>
      </c>
      <c r="AR728" s="277">
        <v>7</v>
      </c>
      <c r="AS728" s="277">
        <v>7</v>
      </c>
      <c r="AT728" s="277">
        <v>15</v>
      </c>
      <c r="AU728" s="277">
        <v>16</v>
      </c>
      <c r="AV728" s="277">
        <f t="shared" si="60"/>
        <v>16</v>
      </c>
      <c r="AX728" s="88" t="str">
        <f t="shared" ca="1" si="61"/>
        <v>LNSR</v>
      </c>
    </row>
    <row r="729" spans="1:50" hidden="1">
      <c r="A729" s="88" t="str">
        <f t="shared" ca="1" si="59"/>
        <v>LUMN</v>
      </c>
      <c r="C729" s="686"/>
      <c r="D729" s="686"/>
      <c r="F729" s="256">
        <v>-1.8201999999999999E-2</v>
      </c>
      <c r="G729" s="256">
        <v>8.9870000000000002E-3</v>
      </c>
      <c r="H729" s="256">
        <v>-6.4780000000000003E-3</v>
      </c>
      <c r="I729" s="256">
        <v>1.3040000000000001E-2</v>
      </c>
      <c r="J729" s="256">
        <v>-1.9308000000000002E-2</v>
      </c>
      <c r="K729" s="256">
        <v>-1.6559999999999999E-3</v>
      </c>
      <c r="L729" s="256">
        <v>9.9500000000000005E-3</v>
      </c>
      <c r="M729" s="256">
        <v>-1.5599E-2</v>
      </c>
      <c r="N729" s="256">
        <v>-1.5599E-2</v>
      </c>
      <c r="O729" s="256">
        <v>6.7279999999999996E-3</v>
      </c>
      <c r="P729" s="256">
        <v>8.3540000000000003E-4</v>
      </c>
      <c r="Q729" s="256">
        <v>-2.3372E-2</v>
      </c>
      <c r="R729" s="256">
        <v>1.8088E-2</v>
      </c>
      <c r="S729" s="256">
        <v>2.5380000000000003E-3</v>
      </c>
      <c r="T729" s="256">
        <v>3.6287E-2</v>
      </c>
      <c r="U729" s="256">
        <v>-1.6289999999999998E-3</v>
      </c>
      <c r="V729" s="256">
        <v>-3.2629999999999998E-3</v>
      </c>
      <c r="W729" s="256">
        <v>-3.2629999999999998E-3</v>
      </c>
      <c r="X729" s="256">
        <v>-1.9640000000000001E-2</v>
      </c>
      <c r="Y729" s="256">
        <v>-8.3470000000000007E-4</v>
      </c>
      <c r="Z729" s="248">
        <f ca="1">[1]ExtEntry!$M28</f>
        <v>3.8511000000000004E-2</v>
      </c>
      <c r="AB729" s="253">
        <v>8</v>
      </c>
      <c r="AC729" s="253">
        <v>3</v>
      </c>
      <c r="AD729" s="253">
        <v>5</v>
      </c>
      <c r="AE729" s="288">
        <v>1</v>
      </c>
      <c r="AF729" s="288">
        <v>1</v>
      </c>
      <c r="AG729" s="288">
        <v>1</v>
      </c>
      <c r="AH729" s="288">
        <v>1</v>
      </c>
      <c r="AI729" s="288">
        <v>3</v>
      </c>
      <c r="AJ729" s="288">
        <v>4</v>
      </c>
      <c r="AK729" s="288">
        <v>5</v>
      </c>
      <c r="AL729" s="288">
        <v>3</v>
      </c>
      <c r="AM729" s="277">
        <v>1</v>
      </c>
      <c r="AN729" s="277">
        <v>3</v>
      </c>
      <c r="AO729" s="277">
        <v>5</v>
      </c>
      <c r="AP729" s="277">
        <v>2</v>
      </c>
      <c r="AQ729" s="277">
        <v>1</v>
      </c>
      <c r="AR729" s="277">
        <v>5</v>
      </c>
      <c r="AS729" s="277">
        <v>5</v>
      </c>
      <c r="AT729" s="277">
        <v>1</v>
      </c>
      <c r="AU729" s="277">
        <v>1</v>
      </c>
      <c r="AV729" s="277">
        <f t="shared" si="60"/>
        <v>1</v>
      </c>
      <c r="AX729" s="88" t="str">
        <f t="shared" ca="1" si="61"/>
        <v>LUMN</v>
      </c>
    </row>
    <row r="730" spans="1:50" hidden="1">
      <c r="A730" s="88" t="str">
        <f t="shared" ca="1" si="59"/>
        <v>MRNA</v>
      </c>
      <c r="C730" s="686"/>
      <c r="D730" s="686"/>
      <c r="F730" s="256">
        <v>-1.2145E-2</v>
      </c>
      <c r="G730" s="256">
        <v>3.9897999999999996E-2</v>
      </c>
      <c r="H730" s="256">
        <v>-7.3529999999999993E-3</v>
      </c>
      <c r="I730" s="256">
        <v>5.1894999999999997E-2</v>
      </c>
      <c r="J730" s="256">
        <v>2.7429000000000002E-2</v>
      </c>
      <c r="K730" s="256">
        <v>-3.5615000000000001E-2</v>
      </c>
      <c r="L730" s="256">
        <v>2.0983999999999999E-2</v>
      </c>
      <c r="M730" s="256">
        <v>-2.6278000000000003E-2</v>
      </c>
      <c r="N730" s="256">
        <v>-2.6988999999999999E-2</v>
      </c>
      <c r="O730" s="256">
        <v>2.5836000000000001E-2</v>
      </c>
      <c r="P730" s="256">
        <v>1.7778000000000002E-2</v>
      </c>
      <c r="Q730" s="256">
        <v>4.4396000000000005E-2</v>
      </c>
      <c r="R730" s="256">
        <v>-3.3700000000000001E-2</v>
      </c>
      <c r="S730" s="256">
        <v>-1.7094000000000002E-2</v>
      </c>
      <c r="T730" s="256">
        <v>3.6956999999999997E-2</v>
      </c>
      <c r="U730" s="256">
        <v>2.0950000000000001E-3</v>
      </c>
      <c r="V730" s="256">
        <v>-1.6736000000000001E-2</v>
      </c>
      <c r="W730" s="256">
        <v>-1.6736000000000001E-2</v>
      </c>
      <c r="X730" s="256">
        <v>0.105824</v>
      </c>
      <c r="Y730" s="256">
        <v>3.7869E-2</v>
      </c>
      <c r="Z730" s="248">
        <f ca="1">[1]ExtEntry!$M29</f>
        <v>1.8667E-2</v>
      </c>
      <c r="AB730" s="253">
        <v>8</v>
      </c>
      <c r="AC730" s="253">
        <v>3</v>
      </c>
      <c r="AD730" s="253">
        <v>1</v>
      </c>
      <c r="AE730" s="288">
        <v>1</v>
      </c>
      <c r="AF730" s="288">
        <v>1</v>
      </c>
      <c r="AG730" s="288">
        <v>4</v>
      </c>
      <c r="AH730" s="288">
        <v>3</v>
      </c>
      <c r="AI730" s="288">
        <v>5</v>
      </c>
      <c r="AJ730" s="288">
        <v>5</v>
      </c>
      <c r="AK730" s="288">
        <v>9</v>
      </c>
      <c r="AL730" s="288">
        <v>10</v>
      </c>
      <c r="AM730" s="277">
        <v>4</v>
      </c>
      <c r="AN730" s="277">
        <v>9</v>
      </c>
      <c r="AO730" s="277">
        <v>13</v>
      </c>
      <c r="AP730" s="277">
        <v>9</v>
      </c>
      <c r="AQ730" s="277">
        <v>8</v>
      </c>
      <c r="AR730" s="277">
        <v>12</v>
      </c>
      <c r="AS730" s="277">
        <v>12</v>
      </c>
      <c r="AT730" s="277">
        <v>15</v>
      </c>
      <c r="AU730" s="277">
        <v>14</v>
      </c>
      <c r="AV730" s="277">
        <f t="shared" si="60"/>
        <v>14</v>
      </c>
      <c r="AX730" s="88" t="str">
        <f t="shared" ca="1" si="61"/>
        <v>MRNA</v>
      </c>
    </row>
    <row r="731" spans="1:50" hidden="1">
      <c r="A731" s="88" t="str">
        <f t="shared" ca="1" si="59"/>
        <v>MSFT</v>
      </c>
      <c r="C731" s="686"/>
      <c r="D731" s="686"/>
      <c r="F731" s="256">
        <v>2.5259E-2</v>
      </c>
      <c r="G731" s="256">
        <v>1.9739E-2</v>
      </c>
      <c r="H731" s="256">
        <v>6.8525000000000003E-2</v>
      </c>
      <c r="I731" s="256">
        <v>2.7898999999999997E-2</v>
      </c>
      <c r="J731" s="256">
        <v>4.2300000000000003E-3</v>
      </c>
      <c r="K731" s="256">
        <v>-7.2619999999999994E-3</v>
      </c>
      <c r="L731" s="256">
        <v>2.1214E-2</v>
      </c>
      <c r="M731" s="256">
        <v>-1.3968000000000001E-2</v>
      </c>
      <c r="N731" s="256">
        <v>-1.3968000000000001E-2</v>
      </c>
      <c r="O731" s="256">
        <v>-3.3539999999999998E-3</v>
      </c>
      <c r="P731" s="256">
        <v>-1.8325000000000001E-2</v>
      </c>
      <c r="Q731" s="256">
        <v>5.7332999999999995E-2</v>
      </c>
      <c r="R731" s="256">
        <v>-2.0924000000000002E-2</v>
      </c>
      <c r="S731" s="256">
        <v>-4.1635999999999999E-2</v>
      </c>
      <c r="T731" s="256">
        <v>4.7289999999999999E-2</v>
      </c>
      <c r="U731" s="256">
        <v>9.1779999999999987E-3</v>
      </c>
      <c r="V731" s="256">
        <v>-2.3281E-2</v>
      </c>
      <c r="W731" s="256">
        <v>-2.3281E-2</v>
      </c>
      <c r="X731" s="256">
        <v>-2.2345999999999998E-2</v>
      </c>
      <c r="Y731" s="256">
        <v>1.8667E-2</v>
      </c>
      <c r="Z731" s="248">
        <f ca="1">[1]ExtEntry!$M30</f>
        <v>5.8589999999999996E-3</v>
      </c>
      <c r="AB731" s="253">
        <v>4</v>
      </c>
      <c r="AC731" s="253">
        <v>1</v>
      </c>
      <c r="AD731" s="253">
        <v>1</v>
      </c>
      <c r="AE731" s="288">
        <v>5</v>
      </c>
      <c r="AF731" s="288">
        <v>5</v>
      </c>
      <c r="AG731" s="288">
        <v>1</v>
      </c>
      <c r="AH731" s="288">
        <v>1</v>
      </c>
      <c r="AI731" s="288">
        <v>3</v>
      </c>
      <c r="AJ731" s="288">
        <v>3</v>
      </c>
      <c r="AK731" s="288">
        <v>14</v>
      </c>
      <c r="AL731" s="288">
        <v>14</v>
      </c>
      <c r="AM731" s="277">
        <v>15</v>
      </c>
      <c r="AN731" s="277">
        <v>16</v>
      </c>
      <c r="AO731" s="277">
        <v>13</v>
      </c>
      <c r="AP731" s="277">
        <v>8</v>
      </c>
      <c r="AQ731" s="277">
        <v>7</v>
      </c>
      <c r="AR731" s="277">
        <v>5</v>
      </c>
      <c r="AS731" s="277">
        <v>5</v>
      </c>
      <c r="AT731" s="277">
        <v>5</v>
      </c>
      <c r="AU731" s="277">
        <v>3</v>
      </c>
      <c r="AV731" s="277">
        <f t="shared" si="60"/>
        <v>3</v>
      </c>
      <c r="AX731" s="88" t="str">
        <f t="shared" ca="1" si="61"/>
        <v>MSFT</v>
      </c>
    </row>
    <row r="732" spans="1:50" hidden="1">
      <c r="A732" s="88" t="str">
        <f t="shared" ca="1" si="59"/>
        <v>NEE</v>
      </c>
      <c r="C732" s="686"/>
      <c r="D732" s="686"/>
      <c r="F732" s="256">
        <v>6.6279999999999993E-3</v>
      </c>
      <c r="G732" s="256">
        <v>6.5100000000000002E-3</v>
      </c>
      <c r="H732" s="256">
        <v>3.398E-3</v>
      </c>
      <c r="I732" s="256">
        <v>-7.639E-3</v>
      </c>
      <c r="J732" s="256">
        <v>3.1219999999999998E-3</v>
      </c>
      <c r="K732" s="256">
        <v>-8.683999999999999E-3</v>
      </c>
      <c r="L732" s="256">
        <v>1.66E-3</v>
      </c>
      <c r="M732" s="256">
        <v>-4.6680000000000003E-3</v>
      </c>
      <c r="N732" s="256">
        <v>-4.6680000000000003E-3</v>
      </c>
      <c r="O732" s="256">
        <v>6.0470000000000003E-3</v>
      </c>
      <c r="P732" s="256">
        <v>-9.3380000000000004E-4</v>
      </c>
      <c r="Q732" s="256">
        <v>-2.1029999999999998E-3</v>
      </c>
      <c r="R732" s="256">
        <v>-3.545E-3</v>
      </c>
      <c r="S732" s="256">
        <v>3.8509999999999998E-3</v>
      </c>
      <c r="T732" s="256">
        <v>6.2500000000000003E-3</v>
      </c>
      <c r="U732" s="256">
        <v>1.683E-3</v>
      </c>
      <c r="V732" s="256">
        <v>5.5630000000000002E-3</v>
      </c>
      <c r="W732" s="256">
        <v>5.5630000000000002E-3</v>
      </c>
      <c r="X732" s="256">
        <v>3.8420000000000001E-5</v>
      </c>
      <c r="Y732" s="256">
        <v>5.8589999999999996E-3</v>
      </c>
      <c r="Z732" s="248">
        <f ca="1">[1]ExtEntry!$M31</f>
        <v>1.3934E-2</v>
      </c>
      <c r="AB732" s="253">
        <v>2</v>
      </c>
      <c r="AC732" s="253">
        <v>3</v>
      </c>
      <c r="AD732" s="253">
        <v>1</v>
      </c>
      <c r="AE732" s="288">
        <v>2</v>
      </c>
      <c r="AF732" s="288">
        <v>1</v>
      </c>
      <c r="AG732" s="288">
        <v>1</v>
      </c>
      <c r="AH732" s="288">
        <v>1</v>
      </c>
      <c r="AI732" s="288">
        <v>2</v>
      </c>
      <c r="AJ732" s="288">
        <v>2</v>
      </c>
      <c r="AK732" s="288">
        <v>1</v>
      </c>
      <c r="AL732" s="288">
        <v>1</v>
      </c>
      <c r="AM732" s="277">
        <v>1</v>
      </c>
      <c r="AN732" s="277">
        <v>2</v>
      </c>
      <c r="AO732" s="277">
        <v>4</v>
      </c>
      <c r="AP732" s="277">
        <v>3</v>
      </c>
      <c r="AQ732" s="277">
        <v>8</v>
      </c>
      <c r="AR732" s="277">
        <v>12</v>
      </c>
      <c r="AS732" s="277">
        <v>12</v>
      </c>
      <c r="AT732" s="277">
        <v>12</v>
      </c>
      <c r="AU732" s="277">
        <v>6</v>
      </c>
      <c r="AV732" s="277">
        <f t="shared" si="60"/>
        <v>6</v>
      </c>
      <c r="AX732" s="88" t="str">
        <f t="shared" ca="1" si="61"/>
        <v>NEE</v>
      </c>
    </row>
    <row r="733" spans="1:50" hidden="1">
      <c r="A733" s="88" t="str">
        <f t="shared" ca="1" si="59"/>
        <v>NEM</v>
      </c>
      <c r="C733" s="686"/>
      <c r="D733" s="686"/>
      <c r="F733" s="256">
        <v>-3.5599999999999998E-3</v>
      </c>
      <c r="G733" s="256">
        <v>-9.7099999999999999E-3</v>
      </c>
      <c r="H733" s="256">
        <v>4.2125000000000003E-2</v>
      </c>
      <c r="I733" s="256">
        <v>-6.2919999999999998E-3</v>
      </c>
      <c r="J733" s="256">
        <v>2.4239E-2</v>
      </c>
      <c r="K733" s="256">
        <v>1.4371E-2</v>
      </c>
      <c r="L733" s="256">
        <v>1.0215E-2</v>
      </c>
      <c r="M733" s="256">
        <v>-4.0460000000000001E-3</v>
      </c>
      <c r="N733" s="256">
        <v>-3.9269999999999999E-3</v>
      </c>
      <c r="O733" s="256">
        <v>1.1278E-2</v>
      </c>
      <c r="P733" s="256">
        <v>3.9740000000000001E-3</v>
      </c>
      <c r="Q733" s="256">
        <v>1.3587E-2</v>
      </c>
      <c r="R733" s="256">
        <v>-8.626E-3</v>
      </c>
      <c r="S733" s="256">
        <v>-6.1140000000000005E-3</v>
      </c>
      <c r="T733" s="256">
        <v>2.898E-3</v>
      </c>
      <c r="U733" s="256">
        <v>-9.2010000000000008E-3</v>
      </c>
      <c r="V733" s="256">
        <v>-1.3573E-2</v>
      </c>
      <c r="W733" s="256">
        <v>-1.3573E-2</v>
      </c>
      <c r="X733" s="256">
        <v>5.1910000000000003E-3</v>
      </c>
      <c r="Y733" s="256">
        <v>1.3934E-2</v>
      </c>
      <c r="Z733" s="248">
        <f ca="1">[1]ExtEntry!$M32</f>
        <v>-6.2309999999999997E-2</v>
      </c>
      <c r="AB733" s="253">
        <v>2</v>
      </c>
      <c r="AC733" s="253">
        <v>4</v>
      </c>
      <c r="AD733" s="253">
        <v>1</v>
      </c>
      <c r="AE733" s="288">
        <v>1</v>
      </c>
      <c r="AF733" s="288">
        <v>1</v>
      </c>
      <c r="AG733" s="288">
        <v>1</v>
      </c>
      <c r="AH733" s="288">
        <v>1</v>
      </c>
      <c r="AI733" s="288">
        <v>7</v>
      </c>
      <c r="AJ733" s="288">
        <v>8</v>
      </c>
      <c r="AK733" s="288">
        <v>1</v>
      </c>
      <c r="AL733" s="288">
        <v>1</v>
      </c>
      <c r="AM733" s="277">
        <v>1</v>
      </c>
      <c r="AN733" s="277">
        <v>1</v>
      </c>
      <c r="AO733" s="277">
        <v>3</v>
      </c>
      <c r="AP733" s="277">
        <v>2</v>
      </c>
      <c r="AQ733" s="277">
        <v>11</v>
      </c>
      <c r="AR733" s="277">
        <v>8</v>
      </c>
      <c r="AS733" s="277">
        <v>8</v>
      </c>
      <c r="AT733" s="277">
        <v>7</v>
      </c>
      <c r="AU733" s="277">
        <v>20</v>
      </c>
      <c r="AV733" s="277">
        <f t="shared" si="60"/>
        <v>20</v>
      </c>
      <c r="AX733" s="88" t="str">
        <f t="shared" ca="1" si="61"/>
        <v>NEM</v>
      </c>
    </row>
    <row r="734" spans="1:50" hidden="1">
      <c r="A734" s="88" t="str">
        <f t="shared" ca="1" si="59"/>
        <v>NFLX</v>
      </c>
      <c r="C734" s="686"/>
      <c r="D734" s="686"/>
      <c r="F734" s="256">
        <v>-3.0130000000000001E-3</v>
      </c>
      <c r="G734" s="256">
        <v>-2.957E-3</v>
      </c>
      <c r="H734" s="256">
        <v>1.9332999999999999E-2</v>
      </c>
      <c r="I734" s="256">
        <v>5.5259999999999997E-3</v>
      </c>
      <c r="J734" s="256">
        <v>4.9170000000000004E-3</v>
      </c>
      <c r="K734" s="256">
        <v>-1.7512E-2</v>
      </c>
      <c r="L734" s="256">
        <v>1.6791E-2</v>
      </c>
      <c r="M734" s="256">
        <v>-3.5859999999999996E-2</v>
      </c>
      <c r="N734" s="256">
        <v>-3.6086E-2</v>
      </c>
      <c r="O734" s="256">
        <v>5.0034999999999996E-2</v>
      </c>
      <c r="P734" s="256">
        <v>1.2751999999999999E-2</v>
      </c>
      <c r="Q734" s="256">
        <v>3.4238999999999999E-2</v>
      </c>
      <c r="R734" s="256">
        <v>4.9904000000000004E-2</v>
      </c>
      <c r="S734" s="256">
        <v>-7.6319999999999999E-2</v>
      </c>
      <c r="T734" s="256">
        <v>4.5444999999999999E-2</v>
      </c>
      <c r="U734" s="256">
        <v>-9.0472999999999998E-2</v>
      </c>
      <c r="V734" s="256">
        <v>7.8779999999999996E-3</v>
      </c>
      <c r="W734" s="256">
        <v>7.8779999999999996E-3</v>
      </c>
      <c r="X734" s="256">
        <v>2.1262E-2</v>
      </c>
      <c r="Y734" s="256">
        <v>-6.2759999999999996E-2</v>
      </c>
      <c r="Z734" s="248">
        <f ca="1">[1]ExtEntry!$M33</f>
        <v>-1.6972000000000001E-2</v>
      </c>
      <c r="AB734" s="253">
        <v>15</v>
      </c>
      <c r="AC734" s="253">
        <v>18</v>
      </c>
      <c r="AD734" s="253">
        <v>20</v>
      </c>
      <c r="AE734" s="288">
        <v>20</v>
      </c>
      <c r="AF734" s="288">
        <v>20</v>
      </c>
      <c r="AG734" s="288">
        <v>16</v>
      </c>
      <c r="AH734" s="288">
        <v>5</v>
      </c>
      <c r="AI734" s="288">
        <v>1</v>
      </c>
      <c r="AJ734" s="288">
        <v>1</v>
      </c>
      <c r="AK734" s="288">
        <v>6</v>
      </c>
      <c r="AL734" s="288">
        <v>8</v>
      </c>
      <c r="AM734" s="277">
        <v>13</v>
      </c>
      <c r="AN734" s="277">
        <v>17</v>
      </c>
      <c r="AO734" s="277">
        <v>14</v>
      </c>
      <c r="AP734" s="277">
        <v>1</v>
      </c>
      <c r="AQ734" s="277">
        <v>1</v>
      </c>
      <c r="AR734" s="277">
        <v>20</v>
      </c>
      <c r="AS734" s="277">
        <v>19</v>
      </c>
      <c r="AT734" s="277">
        <v>20</v>
      </c>
      <c r="AU734" s="277">
        <v>20</v>
      </c>
      <c r="AV734" s="277">
        <f t="shared" si="60"/>
        <v>20</v>
      </c>
      <c r="AX734" s="88" t="str">
        <f t="shared" ca="1" si="61"/>
        <v>NFLX</v>
      </c>
    </row>
    <row r="735" spans="1:50" hidden="1">
      <c r="A735" s="88" t="str">
        <f t="shared" ca="1" si="59"/>
        <v>NOTE</v>
      </c>
      <c r="C735" s="686"/>
      <c r="D735" s="686"/>
      <c r="F735" s="256">
        <v>-5.0139999999999994E-3</v>
      </c>
      <c r="G735" s="256">
        <v>-6.2090000000000001E-3</v>
      </c>
      <c r="H735" s="256">
        <v>-2.3370999999999999E-2</v>
      </c>
      <c r="I735" s="256">
        <v>-7.1479999999999998E-3</v>
      </c>
      <c r="J735" s="256">
        <v>-7.9220000000000002E-3</v>
      </c>
      <c r="K735" s="256">
        <v>2.3854E-2</v>
      </c>
      <c r="L735" s="256">
        <v>1.9470000000000001E-2</v>
      </c>
      <c r="M735" s="256">
        <v>1.3852E-2</v>
      </c>
      <c r="N735" s="256">
        <v>1.3852E-2</v>
      </c>
      <c r="O735" s="256">
        <v>-8.6059999999999999E-4</v>
      </c>
      <c r="P735" s="256">
        <v>-3.019E-3</v>
      </c>
      <c r="Q735" s="256">
        <v>-7.2160000000000002E-3</v>
      </c>
      <c r="R735" s="256">
        <v>-1.6372000000000001E-2</v>
      </c>
      <c r="S735" s="256">
        <v>1.3324000000000001E-2</v>
      </c>
      <c r="T735" s="256">
        <v>3.2684000000000005E-2</v>
      </c>
      <c r="U735" s="256">
        <v>2.2529999999999998E-3</v>
      </c>
      <c r="V735" s="256">
        <v>-0.10068099999999999</v>
      </c>
      <c r="W735" s="256">
        <v>-0.10068099999999999</v>
      </c>
      <c r="X735" s="256">
        <v>-2.49E-3</v>
      </c>
      <c r="Y735" s="256">
        <v>-1.6972000000000001E-2</v>
      </c>
      <c r="Z735" s="248">
        <f ca="1">[1]ExtEntry!$M34</f>
        <v>-1.7978000000000001E-2</v>
      </c>
      <c r="AB735" s="253">
        <v>10</v>
      </c>
      <c r="AC735" s="253">
        <v>8</v>
      </c>
      <c r="AD735" s="253">
        <v>8</v>
      </c>
      <c r="AE735" s="288">
        <v>3</v>
      </c>
      <c r="AF735" s="288">
        <v>1</v>
      </c>
      <c r="AG735" s="288">
        <v>4</v>
      </c>
      <c r="AH735" s="288">
        <v>1</v>
      </c>
      <c r="AI735" s="288">
        <v>6</v>
      </c>
      <c r="AJ735" s="288">
        <v>6</v>
      </c>
      <c r="AK735" s="288">
        <v>13</v>
      </c>
      <c r="AL735" s="288">
        <v>10</v>
      </c>
      <c r="AM735" s="277">
        <v>13</v>
      </c>
      <c r="AN735" s="277">
        <v>18</v>
      </c>
      <c r="AO735" s="277">
        <v>20</v>
      </c>
      <c r="AP735" s="277">
        <v>18</v>
      </c>
      <c r="AQ735" s="277">
        <v>17</v>
      </c>
      <c r="AR735" s="277">
        <v>20</v>
      </c>
      <c r="AS735" s="277">
        <v>19</v>
      </c>
      <c r="AT735" s="277">
        <v>15</v>
      </c>
      <c r="AU735" s="277">
        <v>17</v>
      </c>
      <c r="AV735" s="277">
        <f t="shared" si="60"/>
        <v>17</v>
      </c>
      <c r="AX735" s="88" t="str">
        <f t="shared" ca="1" si="61"/>
        <v>NOTE</v>
      </c>
    </row>
    <row r="736" spans="1:50" hidden="1">
      <c r="A736" s="88" t="str">
        <f t="shared" ca="1" si="59"/>
        <v>PAAS</v>
      </c>
      <c r="C736" s="686"/>
      <c r="D736" s="686"/>
      <c r="F736" s="256">
        <v>1.0989000000000001E-2</v>
      </c>
      <c r="G736" s="256">
        <v>-6.4380000000000001E-3</v>
      </c>
      <c r="H736" s="256">
        <v>1.0799000000000001E-2</v>
      </c>
      <c r="I736" s="256">
        <v>6.1966E-2</v>
      </c>
      <c r="J736" s="256">
        <v>3.8228999999999999E-2</v>
      </c>
      <c r="K736" s="256">
        <v>-1.7509999999999998E-2</v>
      </c>
      <c r="L736" s="256">
        <v>4.3563999999999999E-2</v>
      </c>
      <c r="M736" s="256">
        <v>-6.8053000000000002E-2</v>
      </c>
      <c r="N736" s="256">
        <v>-6.8053000000000002E-2</v>
      </c>
      <c r="O736" s="256">
        <v>-8.5840000000000014E-3</v>
      </c>
      <c r="P736" s="256">
        <v>1.9522999999999999E-2</v>
      </c>
      <c r="Q736" s="256">
        <v>-1.1838999999999999E-2</v>
      </c>
      <c r="R736" s="256">
        <v>-5.9957000000000003E-2</v>
      </c>
      <c r="S736" s="256">
        <v>-3.1890999999999996E-2</v>
      </c>
      <c r="T736" s="256">
        <v>4.7058999999999997E-2</v>
      </c>
      <c r="U736" s="256">
        <v>8.9890000000000005E-3</v>
      </c>
      <c r="V736" s="256">
        <v>-5.5678999999999999E-2</v>
      </c>
      <c r="W736" s="256">
        <v>-5.5678999999999999E-2</v>
      </c>
      <c r="X736" s="256">
        <v>4.9527999999999996E-2</v>
      </c>
      <c r="Y736" s="256">
        <v>-1.7978000000000001E-2</v>
      </c>
      <c r="Z736" s="248">
        <f ca="1">[1]ExtEntry!$M35</f>
        <v>3.313E-3</v>
      </c>
      <c r="AB736" s="253">
        <v>1</v>
      </c>
      <c r="AC736" s="253">
        <v>2</v>
      </c>
      <c r="AD736" s="253">
        <v>1</v>
      </c>
      <c r="AE736" s="288">
        <v>3</v>
      </c>
      <c r="AF736" s="288">
        <v>4</v>
      </c>
      <c r="AG736" s="288">
        <v>1</v>
      </c>
      <c r="AH736" s="288">
        <v>1</v>
      </c>
      <c r="AI736" s="288">
        <v>8</v>
      </c>
      <c r="AJ736" s="288">
        <v>9</v>
      </c>
      <c r="AK736" s="288">
        <v>1</v>
      </c>
      <c r="AL736" s="288">
        <v>3</v>
      </c>
      <c r="AM736" s="277">
        <v>1</v>
      </c>
      <c r="AN736" s="277">
        <v>1</v>
      </c>
      <c r="AO736" s="277">
        <v>14</v>
      </c>
      <c r="AP736" s="277">
        <v>6</v>
      </c>
      <c r="AQ736" s="277">
        <v>20</v>
      </c>
      <c r="AR736" s="277">
        <v>19</v>
      </c>
      <c r="AS736" s="277">
        <v>18</v>
      </c>
      <c r="AT736" s="277">
        <v>17</v>
      </c>
      <c r="AU736" s="277">
        <v>16</v>
      </c>
      <c r="AV736" s="277">
        <f t="shared" si="60"/>
        <v>16</v>
      </c>
      <c r="AX736" s="88" t="str">
        <f t="shared" ca="1" si="61"/>
        <v>PAAS</v>
      </c>
    </row>
    <row r="737" spans="1:50" hidden="1">
      <c r="A737" s="88" t="str">
        <f t="shared" ca="1" si="59"/>
        <v>PROF</v>
      </c>
      <c r="C737" s="686"/>
      <c r="D737" s="686"/>
      <c r="F737" s="256">
        <v>2.4114E-2</v>
      </c>
      <c r="G737" s="256">
        <v>-1.9320000000000001E-3</v>
      </c>
      <c r="H737" s="256">
        <v>1.4717000000000001E-2</v>
      </c>
      <c r="I737" s="256">
        <v>-2.2910000000000001E-3</v>
      </c>
      <c r="J737" s="256">
        <v>-3.8279999999999998E-3</v>
      </c>
      <c r="K737" s="256">
        <v>-1.7236999999999999E-2</v>
      </c>
      <c r="L737" s="256">
        <v>1.0671E-2</v>
      </c>
      <c r="M737" s="256">
        <v>-3.0912000000000002E-2</v>
      </c>
      <c r="N737" s="256">
        <v>-3.1164000000000001E-2</v>
      </c>
      <c r="O737" s="256">
        <v>6.1298999999999999E-2</v>
      </c>
      <c r="P737" s="256">
        <v>-3.1105000000000001E-2</v>
      </c>
      <c r="Q737" s="256">
        <v>3.8441999999999997E-2</v>
      </c>
      <c r="R737" s="256">
        <v>2.4872000000000002E-2</v>
      </c>
      <c r="S737" s="256">
        <v>-8.5414999999999991E-2</v>
      </c>
      <c r="T737" s="256">
        <v>2.3673000000000003E-2</v>
      </c>
      <c r="U737" s="256">
        <v>-0.10017799999999999</v>
      </c>
      <c r="V737" s="256">
        <v>1.2274E-2</v>
      </c>
      <c r="W737" s="256">
        <v>1.2274E-2</v>
      </c>
      <c r="X737" s="256">
        <v>9.1970000000000003E-3</v>
      </c>
      <c r="Y737" s="256">
        <v>3.0370000000000002E-3</v>
      </c>
      <c r="Z737" s="248">
        <f ca="1">[1]ExtEntry!$M36</f>
        <v>3.6562000000000004E-2</v>
      </c>
      <c r="AB737" s="253">
        <v>4</v>
      </c>
      <c r="AC737" s="253">
        <v>6</v>
      </c>
      <c r="AD737" s="253">
        <v>6</v>
      </c>
      <c r="AE737" s="288">
        <v>2</v>
      </c>
      <c r="AF737" s="288">
        <v>1</v>
      </c>
      <c r="AG737" s="288">
        <v>1</v>
      </c>
      <c r="AH737" s="288">
        <v>1</v>
      </c>
      <c r="AI737" s="288">
        <v>2</v>
      </c>
      <c r="AJ737" s="288">
        <v>2</v>
      </c>
      <c r="AK737" s="288">
        <v>5</v>
      </c>
      <c r="AL737" s="288">
        <v>6</v>
      </c>
      <c r="AM737" s="277">
        <v>8</v>
      </c>
      <c r="AN737" s="277">
        <v>9</v>
      </c>
      <c r="AO737" s="277">
        <v>10</v>
      </c>
      <c r="AP737" s="277">
        <v>7</v>
      </c>
      <c r="AQ737" s="277">
        <v>6</v>
      </c>
      <c r="AR737" s="277">
        <v>13</v>
      </c>
      <c r="AS737" s="277">
        <v>13</v>
      </c>
      <c r="AT737" s="277">
        <v>16</v>
      </c>
      <c r="AU737" s="277">
        <v>13</v>
      </c>
      <c r="AV737" s="277">
        <f t="shared" si="60"/>
        <v>13</v>
      </c>
      <c r="AX737" s="88" t="str">
        <f t="shared" ca="1" si="61"/>
        <v>PROF</v>
      </c>
    </row>
    <row r="738" spans="1:50" hidden="1">
      <c r="A738" s="88" t="str">
        <f t="shared" ca="1" si="59"/>
        <v>POET</v>
      </c>
      <c r="C738" s="686"/>
      <c r="D738" s="686"/>
      <c r="F738" s="256">
        <v>-2.2989000000000002E-2</v>
      </c>
      <c r="G738" s="256">
        <v>-4.1176000000000004E-2</v>
      </c>
      <c r="H738" s="256">
        <v>1.0225E-2</v>
      </c>
      <c r="I738" s="256">
        <v>7.4898999999999993E-2</v>
      </c>
      <c r="J738" s="256">
        <v>6.8738000000000007E-2</v>
      </c>
      <c r="K738" s="256">
        <v>0.117647</v>
      </c>
      <c r="L738" s="256">
        <v>4.3343999999999994E-2</v>
      </c>
      <c r="M738" s="256">
        <v>-1.6319999999999998E-2</v>
      </c>
      <c r="N738" s="256">
        <v>-1.6319999999999998E-2</v>
      </c>
      <c r="O738" s="256">
        <v>1.8738999999999999E-2</v>
      </c>
      <c r="P738" s="256">
        <v>-2.5083999999999999E-2</v>
      </c>
      <c r="Q738" s="256">
        <v>-3.9451E-2</v>
      </c>
      <c r="R738" s="256">
        <v>-3.4722000000000003E-2</v>
      </c>
      <c r="S738" s="256">
        <v>-5.3959999999999998E-3</v>
      </c>
      <c r="T738" s="256">
        <v>4.5208000000000005E-2</v>
      </c>
      <c r="U738" s="256">
        <v>1.3841000000000001E-2</v>
      </c>
      <c r="V738" s="256">
        <v>-7.5084999999999999E-2</v>
      </c>
      <c r="W738" s="256">
        <v>-7.5084999999999999E-2</v>
      </c>
      <c r="X738" s="256">
        <v>-2.1033E-2</v>
      </c>
      <c r="Y738" s="256">
        <v>3.6562000000000004E-2</v>
      </c>
      <c r="Z738" s="248">
        <f ca="1">[1]ExtEntry!$M37</f>
        <v>0.12585499999999999</v>
      </c>
      <c r="AB738" s="253">
        <v>6</v>
      </c>
      <c r="AC738" s="253">
        <v>6</v>
      </c>
      <c r="AD738" s="253">
        <v>4</v>
      </c>
      <c r="AE738" s="288">
        <v>1</v>
      </c>
      <c r="AF738" s="288">
        <v>2</v>
      </c>
      <c r="AG738" s="288">
        <v>1</v>
      </c>
      <c r="AH738" s="288">
        <v>1</v>
      </c>
      <c r="AI738" s="288">
        <v>2</v>
      </c>
      <c r="AJ738" s="288">
        <v>2</v>
      </c>
      <c r="AK738" s="288">
        <v>4</v>
      </c>
      <c r="AL738" s="288">
        <v>2</v>
      </c>
      <c r="AM738" s="277">
        <v>6</v>
      </c>
      <c r="AN738" s="277">
        <v>8</v>
      </c>
      <c r="AO738" s="277">
        <v>9</v>
      </c>
      <c r="AP738" s="277">
        <v>8</v>
      </c>
      <c r="AQ738" s="277">
        <v>10</v>
      </c>
      <c r="AR738" s="277">
        <v>11</v>
      </c>
      <c r="AS738" s="277">
        <v>11</v>
      </c>
      <c r="AT738" s="277">
        <v>13</v>
      </c>
      <c r="AU738" s="277">
        <v>7</v>
      </c>
      <c r="AV738" s="277">
        <f t="shared" si="60"/>
        <v>7</v>
      </c>
      <c r="AX738" s="88" t="str">
        <f t="shared" ca="1" si="61"/>
        <v>POET</v>
      </c>
    </row>
    <row r="739" spans="1:50" hidden="1">
      <c r="A739" s="88" t="str">
        <f t="shared" ca="1" si="59"/>
        <v>PW</v>
      </c>
      <c r="C739" s="686"/>
      <c r="D739" s="686"/>
      <c r="F739" s="256">
        <v>-5.5156000000000004E-2</v>
      </c>
      <c r="G739" s="256">
        <v>9.1069999999999988E-3</v>
      </c>
      <c r="H739" s="256">
        <v>7.2202000000000002E-2</v>
      </c>
      <c r="I739" s="256">
        <v>9.4275999999999999E-2</v>
      </c>
      <c r="J739" s="256">
        <v>-4.3076999999999997E-2</v>
      </c>
      <c r="K739" s="256">
        <v>0.23510999999999999</v>
      </c>
      <c r="L739" s="256">
        <v>0.17005099999999998</v>
      </c>
      <c r="M739" s="256">
        <v>-4.3383999999999999E-2</v>
      </c>
      <c r="N739" s="256">
        <v>-4.3383999999999999E-2</v>
      </c>
      <c r="O739" s="256">
        <v>0.104849</v>
      </c>
      <c r="P739" s="256">
        <v>7.3547000000000001E-2</v>
      </c>
      <c r="Q739" s="256">
        <v>-7.3480999999999991E-2</v>
      </c>
      <c r="R739" s="256">
        <v>-9.1346000000000011E-2</v>
      </c>
      <c r="S739" s="256">
        <v>-7.1429000000000006E-2</v>
      </c>
      <c r="T739" s="256">
        <v>8.1197000000000005E-2</v>
      </c>
      <c r="U739" s="256">
        <v>-1.8445E-2</v>
      </c>
      <c r="V739" s="256">
        <v>-1.0738000000000001E-2</v>
      </c>
      <c r="W739" s="256">
        <v>-1.0738000000000001E-2</v>
      </c>
      <c r="X739" s="256">
        <v>-8.1410000000000007E-3</v>
      </c>
      <c r="Y739" s="256">
        <v>0.12585499999999999</v>
      </c>
      <c r="Z739" s="248">
        <f ca="1">[1]ExtEntry!$M38</f>
        <v>7.1986999999999995E-2</v>
      </c>
      <c r="AB739" s="253">
        <v>1</v>
      </c>
      <c r="AC739" s="253">
        <v>8</v>
      </c>
      <c r="AD739" s="253">
        <v>8</v>
      </c>
      <c r="AE739" s="288">
        <v>4</v>
      </c>
      <c r="AF739" s="288">
        <v>9</v>
      </c>
      <c r="AG739" s="288">
        <v>4</v>
      </c>
      <c r="AH739" s="288">
        <v>13</v>
      </c>
      <c r="AI739" s="288">
        <v>17</v>
      </c>
      <c r="AJ739" s="288">
        <v>16</v>
      </c>
      <c r="AK739" s="288">
        <v>20</v>
      </c>
      <c r="AL739" s="288">
        <v>20</v>
      </c>
      <c r="AM739" s="277">
        <v>19</v>
      </c>
      <c r="AN739" s="277">
        <v>19</v>
      </c>
      <c r="AO739" s="277">
        <v>20</v>
      </c>
      <c r="AP739" s="277">
        <v>20</v>
      </c>
      <c r="AQ739" s="277">
        <v>20</v>
      </c>
      <c r="AR739" s="277">
        <v>20</v>
      </c>
      <c r="AS739" s="277">
        <v>19</v>
      </c>
      <c r="AT739" s="277">
        <v>20</v>
      </c>
      <c r="AU739" s="277">
        <v>17</v>
      </c>
      <c r="AV739" s="277">
        <f t="shared" si="60"/>
        <v>17</v>
      </c>
      <c r="AX739" s="88" t="str">
        <f t="shared" ca="1" si="61"/>
        <v>PW</v>
      </c>
    </row>
    <row r="740" spans="1:50" hidden="1">
      <c r="A740" s="88" t="str">
        <f t="shared" ca="1" si="59"/>
        <v>RIGL</v>
      </c>
      <c r="C740" s="686"/>
      <c r="D740" s="686"/>
      <c r="F740" s="256">
        <v>7.6799000000000006E-2</v>
      </c>
      <c r="G740" s="256">
        <v>-5.6075E-2</v>
      </c>
      <c r="H740" s="256">
        <v>0</v>
      </c>
      <c r="I740" s="256">
        <v>2.8317000000000002E-2</v>
      </c>
      <c r="J740" s="256">
        <v>-2.7536999999999999E-2</v>
      </c>
      <c r="K740" s="256">
        <v>-9.5239999999999995E-3</v>
      </c>
      <c r="L740" s="256">
        <v>-4.0961999999999998E-2</v>
      </c>
      <c r="M740" s="256">
        <v>-4.7423E-2</v>
      </c>
      <c r="N740" s="256">
        <v>-4.7423E-2</v>
      </c>
      <c r="O740" s="256">
        <v>-2.2021000000000002E-2</v>
      </c>
      <c r="P740" s="256">
        <v>-4.4089000000000003E-2</v>
      </c>
      <c r="Q740" s="256">
        <v>2.3424999999999998E-2</v>
      </c>
      <c r="R740" s="256">
        <v>-1.4132E-2</v>
      </c>
      <c r="S740" s="256">
        <v>-8.8343000000000005E-2</v>
      </c>
      <c r="T740" s="256">
        <v>-4.7903000000000001E-2</v>
      </c>
      <c r="U740" s="256">
        <v>-2.1764000000000002E-2</v>
      </c>
      <c r="V740" s="256">
        <v>-7.1456999999999993E-2</v>
      </c>
      <c r="W740" s="256">
        <v>-7.1456999999999993E-2</v>
      </c>
      <c r="X740" s="256">
        <v>-3.4530999999999999E-2</v>
      </c>
      <c r="Y740" s="256">
        <v>7.1986999999999995E-2</v>
      </c>
      <c r="Z740" s="248">
        <f ca="1">[1]ExtEntry!$M39</f>
        <v>1.9734999999999999E-2</v>
      </c>
      <c r="AB740" s="253">
        <v>18</v>
      </c>
      <c r="AC740" s="253">
        <v>20</v>
      </c>
      <c r="AD740" s="253">
        <v>20</v>
      </c>
      <c r="AE740" s="288">
        <v>20</v>
      </c>
      <c r="AF740" s="288">
        <v>17</v>
      </c>
      <c r="AG740" s="288">
        <v>13</v>
      </c>
      <c r="AH740" s="288">
        <v>13</v>
      </c>
      <c r="AI740" s="288">
        <v>17</v>
      </c>
      <c r="AJ740" s="288">
        <v>16</v>
      </c>
      <c r="AK740" s="288">
        <v>20</v>
      </c>
      <c r="AL740" s="288">
        <v>19</v>
      </c>
      <c r="AM740" s="277">
        <v>18</v>
      </c>
      <c r="AN740" s="277">
        <v>17</v>
      </c>
      <c r="AO740" s="277">
        <v>18</v>
      </c>
      <c r="AP740" s="277">
        <v>5</v>
      </c>
      <c r="AQ740" s="277">
        <v>3</v>
      </c>
      <c r="AR740" s="277">
        <v>1</v>
      </c>
      <c r="AS740" s="277">
        <v>1</v>
      </c>
      <c r="AT740" s="277">
        <v>6</v>
      </c>
      <c r="AU740" s="277">
        <v>4</v>
      </c>
      <c r="AV740" s="277">
        <f t="shared" si="60"/>
        <v>4</v>
      </c>
      <c r="AX740" s="88" t="str">
        <f t="shared" ca="1" si="61"/>
        <v>RIGL</v>
      </c>
    </row>
    <row r="741" spans="1:50" hidden="1">
      <c r="A741" s="88" t="str">
        <f t="shared" ca="1" si="59"/>
        <v>RWE</v>
      </c>
      <c r="C741" s="686"/>
      <c r="D741" s="686"/>
      <c r="F741" s="256">
        <v>3.8419999999999999E-3</v>
      </c>
      <c r="G741" s="256">
        <v>-1.4609E-2</v>
      </c>
      <c r="H741" s="256">
        <v>-6.0009999999999994E-3</v>
      </c>
      <c r="I741" s="256">
        <v>-1.4199999999999998E-3</v>
      </c>
      <c r="J741" s="256">
        <v>1.4936E-2</v>
      </c>
      <c r="K741" s="256">
        <v>2.0760999999999998E-2</v>
      </c>
      <c r="L741" s="256">
        <v>-2.5085000000000003E-2</v>
      </c>
      <c r="M741" s="256">
        <v>-1.2517E-2</v>
      </c>
      <c r="N741" s="256">
        <v>-1.2517E-2</v>
      </c>
      <c r="O741" s="256">
        <v>-4.7906000000000004E-2</v>
      </c>
      <c r="P741" s="256">
        <v>2.0499E-2</v>
      </c>
      <c r="Q741" s="256">
        <v>2.5565999999999998E-2</v>
      </c>
      <c r="R741" s="256">
        <v>0</v>
      </c>
      <c r="S741" s="256">
        <v>-6.0480000000000004E-3</v>
      </c>
      <c r="T741" s="256">
        <v>5.4401999999999999E-2</v>
      </c>
      <c r="U741" s="256">
        <v>2.7494999999999999E-2</v>
      </c>
      <c r="V741" s="256">
        <v>1.3875E-2</v>
      </c>
      <c r="W741" s="256">
        <v>1.3875E-2</v>
      </c>
      <c r="X741" s="256">
        <v>-4.2359000000000001E-2</v>
      </c>
      <c r="Y741" s="256">
        <v>1.9734999999999999E-2</v>
      </c>
      <c r="Z741" s="248">
        <f ca="1">[1]ExtEntry!$M40</f>
        <v>3.215E-3</v>
      </c>
      <c r="AB741" s="253">
        <v>2</v>
      </c>
      <c r="AC741" s="253">
        <v>1</v>
      </c>
      <c r="AD741" s="253">
        <v>1</v>
      </c>
      <c r="AE741" s="288">
        <v>2</v>
      </c>
      <c r="AF741" s="288">
        <v>1</v>
      </c>
      <c r="AG741" s="288">
        <v>1</v>
      </c>
      <c r="AH741" s="288">
        <v>1</v>
      </c>
      <c r="AI741" s="288">
        <v>2</v>
      </c>
      <c r="AJ741" s="288">
        <v>1</v>
      </c>
      <c r="AK741" s="288">
        <v>1</v>
      </c>
      <c r="AL741" s="288">
        <v>2</v>
      </c>
      <c r="AM741" s="277">
        <v>2</v>
      </c>
      <c r="AN741" s="277">
        <v>1</v>
      </c>
      <c r="AO741" s="277">
        <v>2</v>
      </c>
      <c r="AP741" s="277">
        <v>4</v>
      </c>
      <c r="AQ741" s="277">
        <v>9</v>
      </c>
      <c r="AR741" s="277">
        <v>10</v>
      </c>
      <c r="AS741" s="277">
        <v>10</v>
      </c>
      <c r="AT741" s="277">
        <v>13</v>
      </c>
      <c r="AU741" s="277">
        <v>9</v>
      </c>
      <c r="AV741" s="277">
        <f t="shared" si="60"/>
        <v>9</v>
      </c>
      <c r="AX741" s="88" t="str">
        <f t="shared" ca="1" si="61"/>
        <v>RWE</v>
      </c>
    </row>
    <row r="742" spans="1:50" hidden="1">
      <c r="A742" s="88" t="str">
        <f t="shared" ca="1" si="59"/>
        <v>SAP</v>
      </c>
      <c r="C742" s="686"/>
      <c r="D742" s="686"/>
      <c r="F742" s="256">
        <v>-3.4289999999999998E-3</v>
      </c>
      <c r="G742" s="256">
        <v>3.7059999999999997E-3</v>
      </c>
      <c r="H742" s="256">
        <v>3.0062999999999999E-2</v>
      </c>
      <c r="I742" s="256">
        <v>-2.8179999999999998E-3</v>
      </c>
      <c r="J742" s="256">
        <v>7.4489999999999999E-3</v>
      </c>
      <c r="K742" s="256">
        <v>-1.5079999999999998E-3</v>
      </c>
      <c r="L742" s="256">
        <v>1.9386E-2</v>
      </c>
      <c r="M742" s="256">
        <v>-6.6679999999999994E-3</v>
      </c>
      <c r="N742" s="256">
        <v>7.9559999999999995E-3</v>
      </c>
      <c r="O742" s="256">
        <v>1.5621000000000001E-2</v>
      </c>
      <c r="P742" s="256">
        <v>-9.2770000000000005E-3</v>
      </c>
      <c r="Q742" s="256">
        <v>2.7109999999999999E-3</v>
      </c>
      <c r="R742" s="256">
        <v>1.4962E-2</v>
      </c>
      <c r="S742" s="256">
        <v>-7.7330000000000003E-3</v>
      </c>
      <c r="T742" s="256">
        <v>-3.4100000000000003E-3</v>
      </c>
      <c r="U742" s="256">
        <v>-1.0997E-2</v>
      </c>
      <c r="V742" s="256">
        <v>-6.1770000000000002E-3</v>
      </c>
      <c r="W742" s="256">
        <v>-6.1770000000000002E-3</v>
      </c>
      <c r="X742" s="256">
        <v>-5.47E-3</v>
      </c>
      <c r="Y742" s="256">
        <v>1.2E-2</v>
      </c>
      <c r="Z742" s="248">
        <f ca="1">[1]ExtEntry!$M41</f>
        <v>-3.5743999999999998E-2</v>
      </c>
      <c r="AB742" s="253">
        <v>11</v>
      </c>
      <c r="AC742" s="253">
        <v>7</v>
      </c>
      <c r="AD742" s="253">
        <v>7</v>
      </c>
      <c r="AE742" s="288">
        <v>1</v>
      </c>
      <c r="AF742" s="288">
        <v>3</v>
      </c>
      <c r="AG742" s="288">
        <v>1</v>
      </c>
      <c r="AH742" s="288">
        <v>1</v>
      </c>
      <c r="AI742" s="288">
        <v>1</v>
      </c>
      <c r="AJ742" s="288">
        <v>1</v>
      </c>
      <c r="AK742" s="288">
        <v>6</v>
      </c>
      <c r="AL742" s="288">
        <v>5</v>
      </c>
      <c r="AM742" s="277">
        <v>5</v>
      </c>
      <c r="AN742" s="277">
        <v>6</v>
      </c>
      <c r="AO742" s="277">
        <v>10</v>
      </c>
      <c r="AP742" s="277">
        <v>1</v>
      </c>
      <c r="AQ742" s="277">
        <v>1</v>
      </c>
      <c r="AR742" s="277">
        <v>6</v>
      </c>
      <c r="AS742" s="277">
        <v>6</v>
      </c>
      <c r="AT742" s="277">
        <v>1</v>
      </c>
      <c r="AU742" s="277">
        <v>11</v>
      </c>
      <c r="AV742" s="277">
        <f t="shared" si="60"/>
        <v>11</v>
      </c>
      <c r="AX742" s="88" t="str">
        <f t="shared" ca="1" si="61"/>
        <v>SAP</v>
      </c>
    </row>
    <row r="743" spans="1:50" hidden="1">
      <c r="A743" s="88" t="str">
        <f t="shared" ca="1" si="59"/>
        <v>SHECY</v>
      </c>
      <c r="C743" s="686"/>
      <c r="D743" s="686"/>
      <c r="F743" s="256">
        <v>1.7769999999999999E-3</v>
      </c>
      <c r="G743" s="256">
        <v>1.0419000000000001E-2</v>
      </c>
      <c r="H743" s="256">
        <v>-4.3880000000000004E-4</v>
      </c>
      <c r="I743" s="256">
        <v>1.8876E-2</v>
      </c>
      <c r="J743" s="256">
        <v>-8.4019999999999997E-3</v>
      </c>
      <c r="K743" s="256">
        <v>1.468E-2</v>
      </c>
      <c r="L743" s="256">
        <v>9.3620000000000005E-3</v>
      </c>
      <c r="M743" s="256">
        <v>2.5300000000000001E-3</v>
      </c>
      <c r="N743" s="256">
        <v>8.4099999999999995E-4</v>
      </c>
      <c r="O743" s="256">
        <v>3.6870000000000002E-3</v>
      </c>
      <c r="P743" s="256">
        <v>5.6179999999999997E-3</v>
      </c>
      <c r="Q743" s="256">
        <v>6.4459999999999995E-3</v>
      </c>
      <c r="R743" s="256">
        <v>-4.2699999999999995E-3</v>
      </c>
      <c r="S743" s="256">
        <v>-9.6480000000000003E-3</v>
      </c>
      <c r="T743" s="256">
        <v>3.3124000000000001E-2</v>
      </c>
      <c r="U743" s="256">
        <v>7.5439999999999995E-3</v>
      </c>
      <c r="V743" s="256">
        <v>-1.4766999999999999E-2</v>
      </c>
      <c r="W743" s="256">
        <v>-1.4766999999999999E-2</v>
      </c>
      <c r="X743" s="256">
        <v>2.1743999999999999E-2</v>
      </c>
      <c r="Y743" s="256">
        <v>-3.5743999999999998E-2</v>
      </c>
      <c r="Z743" s="248">
        <f ca="1">[1]ExtEntry!$M42</f>
        <v>-2.9721000000000001E-2</v>
      </c>
      <c r="AB743" s="253">
        <v>1</v>
      </c>
      <c r="AC743" s="253">
        <v>1</v>
      </c>
      <c r="AD743" s="253">
        <v>1</v>
      </c>
      <c r="AE743" s="288">
        <v>1</v>
      </c>
      <c r="AF743" s="288">
        <v>1</v>
      </c>
      <c r="AG743" s="288">
        <v>2</v>
      </c>
      <c r="AH743" s="288">
        <v>3</v>
      </c>
      <c r="AI743" s="288">
        <v>4</v>
      </c>
      <c r="AJ743" s="288">
        <v>4</v>
      </c>
      <c r="AK743" s="288">
        <v>9</v>
      </c>
      <c r="AL743" s="288">
        <v>6</v>
      </c>
      <c r="AM743" s="277">
        <v>7</v>
      </c>
      <c r="AN743" s="277">
        <v>10</v>
      </c>
      <c r="AO743" s="277">
        <v>9</v>
      </c>
      <c r="AP743" s="277">
        <v>12</v>
      </c>
      <c r="AQ743" s="277">
        <v>15</v>
      </c>
      <c r="AR743" s="277">
        <v>17</v>
      </c>
      <c r="AS743" s="277">
        <v>17</v>
      </c>
      <c r="AT743" s="277">
        <v>17</v>
      </c>
      <c r="AU743" s="277">
        <v>20</v>
      </c>
      <c r="AV743" s="277">
        <f t="shared" si="60"/>
        <v>20</v>
      </c>
      <c r="AX743" s="88" t="str">
        <f t="shared" ca="1" si="61"/>
        <v>SHECY</v>
      </c>
    </row>
    <row r="744" spans="1:50" hidden="1">
      <c r="A744" s="88" t="str">
        <f t="shared" ca="1" si="59"/>
        <v>SSYS</v>
      </c>
      <c r="C744" s="686"/>
      <c r="D744" s="686"/>
      <c r="F744" s="256">
        <v>1.537E-2</v>
      </c>
      <c r="G744" s="256">
        <v>4.3070000000000001E-3</v>
      </c>
      <c r="H744" s="256">
        <v>9.8160000000000001E-3</v>
      </c>
      <c r="I744" s="256">
        <v>3.6940000000000002E-3</v>
      </c>
      <c r="J744" s="256">
        <v>3.7479999999999999E-2</v>
      </c>
      <c r="K744" s="256">
        <v>-2.0080000000000001E-2</v>
      </c>
      <c r="L744" s="256">
        <v>-1.7564E-2</v>
      </c>
      <c r="M744" s="256">
        <v>-2.98E-3</v>
      </c>
      <c r="N744" s="256">
        <v>-2.98E-3</v>
      </c>
      <c r="O744" s="256">
        <v>2.8426999999999997E-2</v>
      </c>
      <c r="P744" s="256">
        <v>1.0366E-2</v>
      </c>
      <c r="Q744" s="256">
        <v>-4.0100000000000005E-3</v>
      </c>
      <c r="R744" s="256">
        <v>-5.4410000000000005E-3</v>
      </c>
      <c r="S744" s="256">
        <v>3.0399999999999997E-3</v>
      </c>
      <c r="T744" s="256">
        <v>-9.6970000000000008E-3</v>
      </c>
      <c r="U744" s="256">
        <v>-4.2839999999999996E-3</v>
      </c>
      <c r="V744" s="256">
        <v>-1.4135999999999999E-2</v>
      </c>
      <c r="W744" s="256">
        <v>-1.4135999999999999E-2</v>
      </c>
      <c r="X744" s="256">
        <v>6.8579999999999995E-3</v>
      </c>
      <c r="Y744" s="256">
        <v>-2.9721000000000001E-2</v>
      </c>
      <c r="Z744" s="248">
        <f ca="1">[1]ExtEntry!$M43</f>
        <v>1.7826999999999999E-2</v>
      </c>
      <c r="AB744" s="253">
        <v>5</v>
      </c>
      <c r="AC744" s="253">
        <v>6</v>
      </c>
      <c r="AD744" s="253">
        <v>7</v>
      </c>
      <c r="AE744" s="288">
        <v>5</v>
      </c>
      <c r="AF744" s="288">
        <v>3</v>
      </c>
      <c r="AG744" s="288">
        <v>7</v>
      </c>
      <c r="AH744" s="288">
        <v>8</v>
      </c>
      <c r="AI744" s="288">
        <v>9</v>
      </c>
      <c r="AJ744" s="288">
        <v>9</v>
      </c>
      <c r="AK744" s="288">
        <v>14</v>
      </c>
      <c r="AL744" s="288">
        <v>15</v>
      </c>
      <c r="AM744" s="277">
        <v>9</v>
      </c>
      <c r="AN744" s="277">
        <v>9</v>
      </c>
      <c r="AO744" s="277">
        <v>16</v>
      </c>
      <c r="AP744" s="277">
        <v>1</v>
      </c>
      <c r="AQ744" s="277">
        <v>2</v>
      </c>
      <c r="AR744" s="277">
        <v>15</v>
      </c>
      <c r="AS744" s="277">
        <v>14</v>
      </c>
      <c r="AT744" s="277">
        <v>3</v>
      </c>
      <c r="AU744" s="277">
        <v>3</v>
      </c>
      <c r="AV744" s="277">
        <f t="shared" si="60"/>
        <v>3</v>
      </c>
      <c r="AX744" s="88" t="str">
        <f t="shared" ca="1" si="61"/>
        <v>SSYS</v>
      </c>
    </row>
    <row r="745" spans="1:50" hidden="1">
      <c r="A745" s="88" t="str">
        <f t="shared" ca="1" si="59"/>
        <v>TSLA</v>
      </c>
      <c r="C745" s="686"/>
      <c r="D745" s="686"/>
      <c r="F745" s="256">
        <v>-2.4956999999999997E-2</v>
      </c>
      <c r="G745" s="256">
        <v>-9.7260000000000003E-3</v>
      </c>
      <c r="H745" s="256">
        <v>-1.0714E-2</v>
      </c>
      <c r="I745" s="256">
        <v>4.5125999999999999E-2</v>
      </c>
      <c r="J745" s="256">
        <v>5.1809999999999998E-3</v>
      </c>
      <c r="K745" s="256">
        <v>-2.7778000000000001E-2</v>
      </c>
      <c r="L745" s="256">
        <v>-5.195E-3</v>
      </c>
      <c r="M745" s="256">
        <v>-6.9630000000000004E-3</v>
      </c>
      <c r="N745" s="256">
        <v>-6.9630000000000004E-3</v>
      </c>
      <c r="O745" s="256">
        <v>4.3186000000000002E-2</v>
      </c>
      <c r="P745" s="256">
        <v>-9.2000000000000003E-4</v>
      </c>
      <c r="Q745" s="256">
        <v>5.6077000000000002E-2</v>
      </c>
      <c r="R745" s="256">
        <v>-5.1990000000000005E-3</v>
      </c>
      <c r="S745" s="256">
        <v>-4.8780000000000004E-2</v>
      </c>
      <c r="T745" s="256">
        <v>0.13919399999999998</v>
      </c>
      <c r="U745" s="256">
        <v>-7.2350000000000001E-3</v>
      </c>
      <c r="V745" s="256">
        <v>-8.5020000000000012E-2</v>
      </c>
      <c r="W745" s="256">
        <v>-8.5020000000000012E-2</v>
      </c>
      <c r="X745" s="256">
        <v>4.2477999999999995E-2</v>
      </c>
      <c r="Y745" s="256">
        <v>1.7826999999999999E-2</v>
      </c>
      <c r="Z745" s="248">
        <f ca="1">[1]ExtEntry!$M44</f>
        <v>-3.3987999999999997E-2</v>
      </c>
      <c r="AB745" s="253">
        <v>2</v>
      </c>
      <c r="AC745" s="253">
        <v>1</v>
      </c>
      <c r="AD745" s="253">
        <v>1</v>
      </c>
      <c r="AE745" s="288">
        <v>6</v>
      </c>
      <c r="AF745" s="288">
        <v>8</v>
      </c>
      <c r="AG745" s="288">
        <v>7</v>
      </c>
      <c r="AH745" s="288">
        <v>6</v>
      </c>
      <c r="AI745" s="288">
        <v>8</v>
      </c>
      <c r="AJ745" s="288">
        <v>8</v>
      </c>
      <c r="AK745" s="288">
        <v>8</v>
      </c>
      <c r="AL745" s="288">
        <v>14</v>
      </c>
      <c r="AM745" s="277">
        <v>11</v>
      </c>
      <c r="AN745" s="277">
        <v>16</v>
      </c>
      <c r="AO745" s="277">
        <v>6</v>
      </c>
      <c r="AP745" s="277">
        <v>2</v>
      </c>
      <c r="AQ745" s="277">
        <v>5</v>
      </c>
      <c r="AR745" s="277">
        <v>9</v>
      </c>
      <c r="AS745" s="277">
        <v>8</v>
      </c>
      <c r="AT745" s="277">
        <v>2</v>
      </c>
      <c r="AU745" s="277">
        <v>15</v>
      </c>
      <c r="AV745" s="277">
        <f t="shared" si="60"/>
        <v>15</v>
      </c>
      <c r="AX745" s="88" t="str">
        <f t="shared" ca="1" si="61"/>
        <v>TSLA</v>
      </c>
    </row>
    <row r="746" spans="1:50" hidden="1">
      <c r="A746" s="88" t="str">
        <f t="shared" ca="1" si="59"/>
        <v>TSM</v>
      </c>
      <c r="C746" s="686"/>
      <c r="D746" s="686"/>
      <c r="F746" s="256">
        <v>1.317E-3</v>
      </c>
      <c r="G746" s="256">
        <v>3.4069999999999999E-3</v>
      </c>
      <c r="H746" s="256">
        <v>3.3144E-2</v>
      </c>
      <c r="I746" s="256">
        <v>-5.1060000000000001E-2</v>
      </c>
      <c r="J746" s="256">
        <v>-1.4151E-2</v>
      </c>
      <c r="K746" s="256">
        <v>-4.4478999999999998E-2</v>
      </c>
      <c r="L746" s="256">
        <v>1.2929999999999999E-2</v>
      </c>
      <c r="M746" s="256">
        <v>-7.1799999999999998E-3</v>
      </c>
      <c r="N746" s="256">
        <v>-7.1799999999999998E-3</v>
      </c>
      <c r="O746" s="256">
        <v>5.4196999999999995E-2</v>
      </c>
      <c r="P746" s="256">
        <v>-1.5279000000000001E-2</v>
      </c>
      <c r="Q746" s="256">
        <v>9.7850000000000003E-3</v>
      </c>
      <c r="R746" s="256">
        <v>-1.4708000000000001E-2</v>
      </c>
      <c r="S746" s="256">
        <v>2.4629999999999999E-2</v>
      </c>
      <c r="T746" s="256">
        <v>1.8484E-2</v>
      </c>
      <c r="U746" s="256">
        <v>-1.0794999999999999E-2</v>
      </c>
      <c r="V746" s="256">
        <v>-8.202000000000001E-3</v>
      </c>
      <c r="W746" s="256">
        <v>-8.202000000000001E-3</v>
      </c>
      <c r="X746" s="256">
        <v>2.2803E-2</v>
      </c>
      <c r="Y746" s="256">
        <v>-3.3987999999999997E-2</v>
      </c>
      <c r="Z746" s="248">
        <f ca="1">[1]ExtEntry!$M45</f>
        <v>1.455E-2</v>
      </c>
      <c r="AB746" s="253">
        <v>5</v>
      </c>
      <c r="AC746" s="253">
        <v>3</v>
      </c>
      <c r="AD746" s="253">
        <v>1</v>
      </c>
      <c r="AE746" s="288">
        <v>2</v>
      </c>
      <c r="AF746" s="288">
        <v>1</v>
      </c>
      <c r="AG746" s="288">
        <v>1</v>
      </c>
      <c r="AH746" s="288">
        <v>1</v>
      </c>
      <c r="AI746" s="288">
        <v>2</v>
      </c>
      <c r="AJ746" s="288">
        <v>2</v>
      </c>
      <c r="AK746" s="288">
        <v>2</v>
      </c>
      <c r="AL746" s="288">
        <v>5</v>
      </c>
      <c r="AM746" s="277">
        <v>1</v>
      </c>
      <c r="AN746" s="277">
        <v>4</v>
      </c>
      <c r="AO746" s="277">
        <v>8</v>
      </c>
      <c r="AP746" s="277">
        <v>7</v>
      </c>
      <c r="AQ746" s="277">
        <v>10</v>
      </c>
      <c r="AR746" s="277">
        <v>13</v>
      </c>
      <c r="AS746" s="277">
        <v>13</v>
      </c>
      <c r="AT746" s="277">
        <v>13</v>
      </c>
      <c r="AU746" s="277">
        <v>10</v>
      </c>
      <c r="AV746" s="277">
        <f t="shared" si="60"/>
        <v>10</v>
      </c>
      <c r="AX746" s="88" t="str">
        <f t="shared" ca="1" si="61"/>
        <v>TSM</v>
      </c>
    </row>
    <row r="747" spans="1:50" hidden="1">
      <c r="A747" s="88" t="str">
        <f t="shared" ca="1" si="59"/>
        <v>UN0</v>
      </c>
      <c r="C747" s="686"/>
      <c r="D747" s="686"/>
      <c r="F747" s="256">
        <v>4.8470000000000006E-3</v>
      </c>
      <c r="G747" s="256">
        <v>2.2013999999999999E-2</v>
      </c>
      <c r="H747" s="256">
        <v>3.3334999999999997E-2</v>
      </c>
      <c r="I747" s="256">
        <v>-1.1790000000000001E-3</v>
      </c>
      <c r="J747" s="256">
        <v>1.4542999999999999E-2</v>
      </c>
      <c r="K747" s="256">
        <v>-2.7446999999999999E-2</v>
      </c>
      <c r="L747" s="256">
        <v>3.5643000000000001E-2</v>
      </c>
      <c r="M747" s="256">
        <v>-1.5368E-2</v>
      </c>
      <c r="N747" s="256">
        <v>-1.5237000000000001E-2</v>
      </c>
      <c r="O747" s="256">
        <v>8.0418000000000003E-2</v>
      </c>
      <c r="P747" s="256">
        <v>-2.283E-2</v>
      </c>
      <c r="Q747" s="256">
        <v>3.0834E-2</v>
      </c>
      <c r="R747" s="256">
        <v>-1.5556E-2</v>
      </c>
      <c r="S747" s="256">
        <v>-1.5875E-2</v>
      </c>
      <c r="T747" s="256">
        <v>9.1979999999999996E-3</v>
      </c>
      <c r="U747" s="256">
        <v>-1.0682000000000001E-2</v>
      </c>
      <c r="V747" s="256">
        <v>-1.9049E-2</v>
      </c>
      <c r="W747" s="256">
        <v>-1.9049E-2</v>
      </c>
      <c r="X747" s="256">
        <v>6.4390000000000003E-3</v>
      </c>
      <c r="Y747" s="256">
        <v>1.4686999999999999E-2</v>
      </c>
      <c r="Z747" s="248">
        <f ca="1">[1]ExtEntry!$M46</f>
        <v>-2.5847999999999999E-2</v>
      </c>
      <c r="AB747" s="253">
        <v>14</v>
      </c>
      <c r="AC747" s="253">
        <v>17</v>
      </c>
      <c r="AD747" s="253">
        <v>20</v>
      </c>
      <c r="AE747" s="288">
        <v>20</v>
      </c>
      <c r="AF747" s="288">
        <v>18</v>
      </c>
      <c r="AG747" s="288">
        <v>20</v>
      </c>
      <c r="AH747" s="288">
        <v>19</v>
      </c>
      <c r="AI747" s="288">
        <v>18</v>
      </c>
      <c r="AJ747" s="288">
        <v>19</v>
      </c>
      <c r="AK747" s="288">
        <v>20</v>
      </c>
      <c r="AL747" s="288">
        <v>20</v>
      </c>
      <c r="AM747" s="277">
        <v>19</v>
      </c>
      <c r="AN747" s="277">
        <v>18</v>
      </c>
      <c r="AO747" s="277">
        <v>19</v>
      </c>
      <c r="AP747" s="277">
        <v>11</v>
      </c>
      <c r="AQ747" s="277">
        <v>17</v>
      </c>
      <c r="AR747" s="277">
        <v>15</v>
      </c>
      <c r="AS747" s="277">
        <v>14</v>
      </c>
      <c r="AT747" s="277">
        <v>20</v>
      </c>
      <c r="AU747" s="277">
        <v>20</v>
      </c>
      <c r="AV747" s="277">
        <f t="shared" si="60"/>
        <v>20</v>
      </c>
      <c r="AX747" s="88" t="str">
        <f t="shared" ca="1" si="61"/>
        <v>UN0</v>
      </c>
    </row>
    <row r="748" spans="1:50" hidden="1">
      <c r="A748" s="88" t="str">
        <f t="shared" ca="1" si="59"/>
        <v>UNIT</v>
      </c>
      <c r="C748" s="686"/>
      <c r="D748" s="686"/>
      <c r="F748" s="256">
        <v>2.3460000000000002E-2</v>
      </c>
      <c r="G748" s="256">
        <v>-2.5714000000000001E-2</v>
      </c>
      <c r="H748" s="256">
        <v>-2.9329999999999998E-3</v>
      </c>
      <c r="I748" s="256">
        <v>-5.8819999999999992E-3</v>
      </c>
      <c r="J748" s="256">
        <v>5.9170000000000004E-3</v>
      </c>
      <c r="K748" s="256">
        <v>-3.3182999999999997E-2</v>
      </c>
      <c r="L748" s="256">
        <v>3.4321000000000004E-2</v>
      </c>
      <c r="M748" s="256">
        <v>1.2270000000000001E-2</v>
      </c>
      <c r="N748" s="256">
        <v>-2.2727000000000001E-2</v>
      </c>
      <c r="O748" s="256">
        <v>3.1450000000000002E-3</v>
      </c>
      <c r="P748" s="256">
        <v>-1.0971999999999999E-2</v>
      </c>
      <c r="Q748" s="256">
        <v>1.585E-3</v>
      </c>
      <c r="R748" s="256">
        <v>4.7470000000000004E-3</v>
      </c>
      <c r="S748" s="256">
        <v>-6.2989999999999999E-3</v>
      </c>
      <c r="T748" s="256">
        <v>4.5959E-2</v>
      </c>
      <c r="U748" s="256">
        <v>-3.9393999999999998E-2</v>
      </c>
      <c r="V748" s="256">
        <v>3.1549999999999998E-3</v>
      </c>
      <c r="W748" s="256">
        <v>3.1549999999999998E-3</v>
      </c>
      <c r="X748" s="256">
        <v>-2.673E-2</v>
      </c>
      <c r="Y748" s="256">
        <v>-2.5847999999999999E-2</v>
      </c>
      <c r="Z748" s="248">
        <f ca="1">[1]ExtEntry!$M47</f>
        <v>3.4483E-2</v>
      </c>
      <c r="AB748" s="253">
        <v>18</v>
      </c>
      <c r="AC748" s="253">
        <v>18</v>
      </c>
      <c r="AD748" s="253">
        <v>20</v>
      </c>
      <c r="AE748" s="288">
        <v>20</v>
      </c>
      <c r="AF748" s="288">
        <v>19</v>
      </c>
      <c r="AG748" s="288">
        <v>18</v>
      </c>
      <c r="AH748" s="288">
        <v>14</v>
      </c>
      <c r="AI748" s="288">
        <v>17</v>
      </c>
      <c r="AJ748" s="288">
        <v>16</v>
      </c>
      <c r="AK748" s="288">
        <v>20</v>
      </c>
      <c r="AL748" s="288">
        <v>20</v>
      </c>
      <c r="AM748" s="277">
        <v>18</v>
      </c>
      <c r="AN748" s="277">
        <v>18</v>
      </c>
      <c r="AO748" s="277">
        <v>16</v>
      </c>
      <c r="AP748" s="277">
        <v>18</v>
      </c>
      <c r="AQ748" s="277">
        <v>17</v>
      </c>
      <c r="AR748" s="277">
        <v>18</v>
      </c>
      <c r="AS748" s="277">
        <v>17</v>
      </c>
      <c r="AT748" s="277">
        <v>10</v>
      </c>
      <c r="AU748" s="277">
        <v>8</v>
      </c>
      <c r="AV748" s="277">
        <f t="shared" si="60"/>
        <v>8</v>
      </c>
      <c r="AX748" s="88" t="str">
        <f t="shared" ca="1" si="61"/>
        <v>UNIT</v>
      </c>
    </row>
    <row r="749" spans="1:50" hidden="1">
      <c r="A749" s="88" t="str">
        <f t="shared" ca="1" si="59"/>
        <v>AVGO</v>
      </c>
      <c r="C749" s="686"/>
      <c r="D749" s="686"/>
      <c r="F749" s="256">
        <v>-1.8577999999999997E-2</v>
      </c>
      <c r="G749" s="256">
        <v>1.3245E-2</v>
      </c>
      <c r="H749" s="256">
        <v>-1.1437999999999999E-2</v>
      </c>
      <c r="I749" s="256">
        <v>-4.2975000000000006E-2</v>
      </c>
      <c r="J749" s="256">
        <v>8.6359999999999996E-3</v>
      </c>
      <c r="K749" s="256">
        <v>-1.6367E-2</v>
      </c>
      <c r="L749" s="256">
        <v>1.9966999999999999E-2</v>
      </c>
      <c r="M749" s="256">
        <v>-1.4681999999999999E-2</v>
      </c>
      <c r="N749" s="256">
        <v>-1.4681999999999999E-2</v>
      </c>
      <c r="O749" s="256">
        <v>-4.8865999999999993E-2</v>
      </c>
      <c r="P749" s="256">
        <v>-1.6514000000000001E-2</v>
      </c>
      <c r="Q749" s="256">
        <v>4.8506999999999995E-2</v>
      </c>
      <c r="R749" s="256">
        <v>-1.9231000000000002E-2</v>
      </c>
      <c r="S749" s="256">
        <v>7.1300000000000001E-3</v>
      </c>
      <c r="T749" s="256">
        <v>-8.8500000000000002E-3</v>
      </c>
      <c r="U749" s="256">
        <v>0</v>
      </c>
      <c r="V749" s="256">
        <v>-8.9289999999999994E-3</v>
      </c>
      <c r="W749" s="256">
        <v>-8.9289999999999994E-3</v>
      </c>
      <c r="X749" s="256">
        <v>4.5045000000000002E-2</v>
      </c>
      <c r="Y749" s="256">
        <v>3.4483E-2</v>
      </c>
      <c r="Z749" s="248">
        <f ca="1">[1]ExtEntry!$M48</f>
        <v>2.8580999999999999E-2</v>
      </c>
      <c r="AB749" s="253">
        <v>17</v>
      </c>
      <c r="AC749" s="253" t="e">
        <v>#REF!</v>
      </c>
      <c r="AD749" s="253" t="e">
        <v>#REF!</v>
      </c>
      <c r="AE749" s="288" t="e">
        <v>#REF!</v>
      </c>
      <c r="AF749" s="288" t="e">
        <v>#REF!</v>
      </c>
      <c r="AG749" s="288" t="e">
        <v>#REF!</v>
      </c>
      <c r="AH749" s="288" t="e">
        <v>#REF!</v>
      </c>
      <c r="AI749" s="288" t="e">
        <v>#REF!</v>
      </c>
      <c r="AJ749" s="288" t="e">
        <v>#REF!</v>
      </c>
      <c r="AK749" s="288" t="e">
        <v>#REF!</v>
      </c>
      <c r="AL749" s="288" t="e">
        <v>#REF!</v>
      </c>
      <c r="AM749" s="277" t="e">
        <v>#REF!</v>
      </c>
      <c r="AN749" s="277" t="e">
        <v>#REF!</v>
      </c>
      <c r="AO749" s="277" t="e">
        <v>#REF!</v>
      </c>
      <c r="AP749" s="277" t="e">
        <v>#REF!</v>
      </c>
      <c r="AQ749" s="277" t="e">
        <v>#REF!</v>
      </c>
      <c r="AR749" s="277" t="e">
        <v>#REF!</v>
      </c>
      <c r="AS749" s="277" t="e">
        <v>#REF!</v>
      </c>
      <c r="AT749" s="277" t="e">
        <v>#REF!</v>
      </c>
      <c r="AU749" s="277" t="e">
        <v>#REF!</v>
      </c>
      <c r="AV749" s="277" t="e">
        <f>_xlfn.RANK.EQ(#REF!,#REF!)</f>
        <v>#REF!</v>
      </c>
      <c r="AX749" s="88" t="str">
        <f t="shared" ca="1" si="61"/>
        <v>AVGO</v>
      </c>
    </row>
    <row r="750" spans="1:50" hidden="1">
      <c r="A750" s="88" t="str">
        <f t="shared" ca="1" si="59"/>
        <v>VLVLY</v>
      </c>
      <c r="C750" s="686"/>
      <c r="D750" s="686"/>
      <c r="F750" s="256">
        <v>-2.6907E-2</v>
      </c>
      <c r="G750" s="256">
        <v>4.5519999999999996E-3</v>
      </c>
      <c r="H750" s="256">
        <v>2.7880000000000001E-3</v>
      </c>
      <c r="I750" s="256">
        <v>1.1818E-2</v>
      </c>
      <c r="J750" s="256">
        <v>1.0648999999999999E-2</v>
      </c>
      <c r="K750" s="256">
        <v>-2.6234999999999998E-2</v>
      </c>
      <c r="L750" s="256">
        <v>-2.7989999999999998E-3</v>
      </c>
      <c r="M750" s="256">
        <v>-1.9649E-2</v>
      </c>
      <c r="N750" s="256">
        <v>-1.9649E-2</v>
      </c>
      <c r="O750" s="256">
        <v>5.7549999999999997E-3</v>
      </c>
      <c r="P750" s="256">
        <v>-7.1650000000000004E-3</v>
      </c>
      <c r="Q750" s="256">
        <v>6.7989999999999995E-3</v>
      </c>
      <c r="R750" s="256">
        <v>1.2584999999999999E-2</v>
      </c>
      <c r="S750" s="256">
        <v>-6.3920000000000005E-2</v>
      </c>
      <c r="T750" s="256">
        <v>2.7692999999999999E-2</v>
      </c>
      <c r="U750" s="256">
        <v>8.8590000000000006E-3</v>
      </c>
      <c r="V750" s="256">
        <v>-5.4879999999999998E-3</v>
      </c>
      <c r="W750" s="256">
        <v>-5.4879999999999998E-3</v>
      </c>
      <c r="X750" s="256">
        <v>8.461999999999999E-3</v>
      </c>
      <c r="Y750" s="256">
        <v>7.2970000000000005E-3</v>
      </c>
      <c r="Z750" s="248">
        <f ca="1">[1]ExtEntry!$M49</f>
        <v>7.2970000000000005E-3</v>
      </c>
      <c r="AB750" s="253">
        <v>19</v>
      </c>
      <c r="AC750" s="253">
        <v>18</v>
      </c>
      <c r="AD750" s="253">
        <v>17</v>
      </c>
      <c r="AE750" s="288">
        <v>14</v>
      </c>
      <c r="AF750" s="288">
        <v>5</v>
      </c>
      <c r="AG750" s="288">
        <v>18</v>
      </c>
      <c r="AH750" s="288">
        <v>19</v>
      </c>
      <c r="AI750" s="288">
        <v>20</v>
      </c>
      <c r="AJ750" s="288">
        <v>19</v>
      </c>
      <c r="AK750" s="288">
        <v>18</v>
      </c>
      <c r="AL750" s="288">
        <v>20</v>
      </c>
      <c r="AM750" s="277">
        <v>19</v>
      </c>
      <c r="AN750" s="277">
        <v>15</v>
      </c>
      <c r="AO750" s="277">
        <v>20</v>
      </c>
      <c r="AP750" s="277">
        <v>19</v>
      </c>
      <c r="AQ750" s="277">
        <v>18</v>
      </c>
      <c r="AR750" s="277">
        <v>18</v>
      </c>
      <c r="AS750" s="277">
        <v>17</v>
      </c>
      <c r="AT750" s="277">
        <v>15</v>
      </c>
      <c r="AU750" s="277">
        <v>14</v>
      </c>
      <c r="AV750" s="277">
        <f t="shared" ref="AV750:AV797" si="62">_xlfn.RANK.EQ(Y251,F251:Y251)</f>
        <v>14</v>
      </c>
      <c r="AX750" s="88" t="str">
        <f t="shared" ca="1" si="61"/>
        <v>VLVLY</v>
      </c>
    </row>
    <row r="751" spans="1:50" hidden="1">
      <c r="A751" s="88" t="str">
        <f t="shared" ca="1" si="59"/>
        <v>VONN</v>
      </c>
      <c r="C751" s="686"/>
      <c r="D751" s="686"/>
      <c r="F751" s="256">
        <v>6.7000000000000002E-3</v>
      </c>
      <c r="G751" s="256">
        <v>-3.3279999999999998E-3</v>
      </c>
      <c r="H751" s="256">
        <v>-1.6689999999999999E-3</v>
      </c>
      <c r="I751" s="256">
        <v>3.3439999999999998E-3</v>
      </c>
      <c r="J751" s="256">
        <v>6.6669999999999993E-3</v>
      </c>
      <c r="K751" s="256">
        <v>0</v>
      </c>
      <c r="L751" s="256">
        <v>4.934E-3</v>
      </c>
      <c r="M751" s="256">
        <v>4.9100000000000003E-3</v>
      </c>
      <c r="N751" s="256">
        <v>-6.515E-3</v>
      </c>
      <c r="O751" s="256">
        <v>-6.5680000000000009E-3</v>
      </c>
      <c r="P751" s="256">
        <v>3.3059999999999999E-3</v>
      </c>
      <c r="Q751" s="256">
        <v>-8.2369999999999995E-3</v>
      </c>
      <c r="R751" s="256">
        <v>-6.6449999999999999E-3</v>
      </c>
      <c r="S751" s="256">
        <v>-1.3378000000000001E-2</v>
      </c>
      <c r="T751" s="256">
        <v>1.6950000000000001E-3</v>
      </c>
      <c r="U751" s="256">
        <v>-6.7679999999999997E-3</v>
      </c>
      <c r="V751" s="256">
        <v>2.7256999999999997E-2</v>
      </c>
      <c r="W751" s="256">
        <v>2.7256999999999997E-2</v>
      </c>
      <c r="X751" s="256">
        <v>1.3266999999999999E-2</v>
      </c>
      <c r="Y751" s="256">
        <v>3.2729999999999999E-3</v>
      </c>
      <c r="Z751" s="248">
        <f ca="1">[1]ExtEntry!$M50</f>
        <v>3.2729999999999999E-3</v>
      </c>
      <c r="AB751" s="253">
        <v>18</v>
      </c>
      <c r="AC751" s="253">
        <v>18</v>
      </c>
      <c r="AD751" s="253">
        <v>18</v>
      </c>
      <c r="AE751" s="288">
        <v>16</v>
      </c>
      <c r="AF751" s="288">
        <v>12</v>
      </c>
      <c r="AG751" s="288">
        <v>7</v>
      </c>
      <c r="AH751" s="288">
        <v>5</v>
      </c>
      <c r="AI751" s="288">
        <v>3</v>
      </c>
      <c r="AJ751" s="288">
        <v>5</v>
      </c>
      <c r="AK751" s="288">
        <v>8</v>
      </c>
      <c r="AL751" s="288">
        <v>7</v>
      </c>
      <c r="AM751" s="277">
        <v>13</v>
      </c>
      <c r="AN751" s="277">
        <v>17</v>
      </c>
      <c r="AO751" s="277">
        <v>20</v>
      </c>
      <c r="AP751" s="277">
        <v>19</v>
      </c>
      <c r="AQ751" s="277">
        <v>20</v>
      </c>
      <c r="AR751" s="277">
        <v>8</v>
      </c>
      <c r="AS751" s="277">
        <v>8</v>
      </c>
      <c r="AT751" s="277">
        <v>2</v>
      </c>
      <c r="AU751" s="277">
        <v>2</v>
      </c>
      <c r="AV751" s="277">
        <f t="shared" si="62"/>
        <v>2</v>
      </c>
      <c r="AX751" s="88" t="str">
        <f t="shared" ca="1" si="61"/>
        <v>VONN</v>
      </c>
    </row>
    <row r="752" spans="1:50" hidden="1">
      <c r="A752" s="88" t="str">
        <f t="shared" ca="1" si="59"/>
        <v>VTRS</v>
      </c>
      <c r="C752" s="686"/>
      <c r="D752" s="686"/>
      <c r="F752" s="256">
        <v>1.4920000000000001E-3</v>
      </c>
      <c r="G752" s="256">
        <v>2.9106E-2</v>
      </c>
      <c r="H752" s="256">
        <v>1.9192000000000001E-2</v>
      </c>
      <c r="I752" s="256">
        <v>1.9819999999999998E-3</v>
      </c>
      <c r="J752" s="256">
        <v>7.9129999999999999E-3</v>
      </c>
      <c r="K752" s="256">
        <v>9.8719999999999993E-4</v>
      </c>
      <c r="L752" s="256">
        <v>-1.6765000000000002E-2</v>
      </c>
      <c r="M752" s="256">
        <v>2.006E-3</v>
      </c>
      <c r="N752" s="256">
        <v>2.006E-3</v>
      </c>
      <c r="O752" s="256">
        <v>1.2319999999999999E-2</v>
      </c>
      <c r="P752" s="256">
        <v>7.0989999999999994E-3</v>
      </c>
      <c r="Q752" s="256">
        <v>4.5319999999999996E-3</v>
      </c>
      <c r="R752" s="256">
        <v>1.2024E-2</v>
      </c>
      <c r="S752" s="256">
        <v>6.9310000000000005E-3</v>
      </c>
      <c r="T752" s="256">
        <v>1.3766E-2</v>
      </c>
      <c r="U752" s="256">
        <v>7.7590000000000003E-3</v>
      </c>
      <c r="V752" s="256">
        <v>1.9250000000000001E-3</v>
      </c>
      <c r="W752" s="256">
        <v>1.9250000000000001E-3</v>
      </c>
      <c r="X752" s="256">
        <v>-9.606E-3</v>
      </c>
      <c r="Y752" s="256">
        <v>3.8800000000000002E-3</v>
      </c>
      <c r="Z752" s="248">
        <f ca="1">[1]ExtEntry!$M51</f>
        <v>3.8800000000000002E-3</v>
      </c>
      <c r="AB752" s="253">
        <v>18</v>
      </c>
      <c r="AC752" s="253">
        <v>8</v>
      </c>
      <c r="AD752" s="253">
        <v>6</v>
      </c>
      <c r="AE752" s="288">
        <v>5</v>
      </c>
      <c r="AF752" s="288">
        <v>3</v>
      </c>
      <c r="AG752" s="288">
        <v>3</v>
      </c>
      <c r="AH752" s="288">
        <v>6</v>
      </c>
      <c r="AI752" s="288">
        <v>5</v>
      </c>
      <c r="AJ752" s="288">
        <v>5</v>
      </c>
      <c r="AK752" s="288">
        <v>11</v>
      </c>
      <c r="AL752" s="288">
        <v>8</v>
      </c>
      <c r="AM752" s="277">
        <v>7</v>
      </c>
      <c r="AN752" s="277">
        <v>4</v>
      </c>
      <c r="AO752" s="277">
        <v>2</v>
      </c>
      <c r="AP752" s="277">
        <v>1</v>
      </c>
      <c r="AQ752" s="277">
        <v>1</v>
      </c>
      <c r="AR752" s="277">
        <v>1</v>
      </c>
      <c r="AS752" s="277">
        <v>1</v>
      </c>
      <c r="AT752" s="277">
        <v>4</v>
      </c>
      <c r="AU752" s="277">
        <v>4</v>
      </c>
      <c r="AV752" s="277">
        <f t="shared" si="62"/>
        <v>4</v>
      </c>
      <c r="AX752" s="88" t="str">
        <f t="shared" ca="1" si="61"/>
        <v>VTRS</v>
      </c>
    </row>
    <row r="753" spans="1:50" hidden="1">
      <c r="A753" s="88" t="str">
        <f t="shared" ca="1" si="59"/>
        <v>WBA</v>
      </c>
      <c r="C753" s="686"/>
      <c r="D753" s="686"/>
      <c r="F753" s="256">
        <v>0</v>
      </c>
      <c r="G753" s="256">
        <v>0</v>
      </c>
      <c r="H753" s="256">
        <v>0</v>
      </c>
      <c r="I753" s="256">
        <v>0</v>
      </c>
      <c r="J753" s="256">
        <v>0</v>
      </c>
      <c r="K753" s="256">
        <v>0</v>
      </c>
      <c r="L753" s="256">
        <v>0</v>
      </c>
      <c r="M753" s="256">
        <v>0</v>
      </c>
      <c r="N753" s="256">
        <v>0</v>
      </c>
      <c r="O753" s="256">
        <v>0</v>
      </c>
      <c r="P753" s="256">
        <v>0</v>
      </c>
      <c r="Q753" s="256">
        <v>0</v>
      </c>
      <c r="R753" s="256">
        <v>0</v>
      </c>
      <c r="S753" s="256">
        <v>0</v>
      </c>
      <c r="T753" s="256">
        <v>0</v>
      </c>
      <c r="U753" s="256">
        <v>0</v>
      </c>
      <c r="V753" s="256">
        <v>0</v>
      </c>
      <c r="W753" s="256">
        <v>0</v>
      </c>
      <c r="X753" s="256">
        <v>0</v>
      </c>
      <c r="Y753" s="256">
        <v>0</v>
      </c>
      <c r="Z753" s="248">
        <f ca="1">[1]ExtEntry!$M52</f>
        <v>0</v>
      </c>
      <c r="AB753" s="253">
        <v>1</v>
      </c>
      <c r="AC753" s="253">
        <v>1</v>
      </c>
      <c r="AD753" s="253">
        <v>1</v>
      </c>
      <c r="AE753" s="288">
        <v>1</v>
      </c>
      <c r="AF753" s="288">
        <v>1</v>
      </c>
      <c r="AG753" s="288">
        <v>1</v>
      </c>
      <c r="AH753" s="288">
        <v>1</v>
      </c>
      <c r="AI753" s="288">
        <v>1</v>
      </c>
      <c r="AJ753" s="288">
        <v>1</v>
      </c>
      <c r="AK753" s="288">
        <v>1</v>
      </c>
      <c r="AL753" s="288">
        <v>1</v>
      </c>
      <c r="AM753" s="277">
        <v>1</v>
      </c>
      <c r="AN753" s="277">
        <v>1</v>
      </c>
      <c r="AO753" s="277">
        <v>1</v>
      </c>
      <c r="AP753" s="277">
        <v>1</v>
      </c>
      <c r="AQ753" s="277">
        <v>1</v>
      </c>
      <c r="AR753" s="277">
        <v>1</v>
      </c>
      <c r="AS753" s="277">
        <v>1</v>
      </c>
      <c r="AT753" s="277">
        <v>1</v>
      </c>
      <c r="AU753" s="277">
        <v>1</v>
      </c>
      <c r="AV753" s="277">
        <f t="shared" si="62"/>
        <v>1</v>
      </c>
      <c r="AX753" s="88" t="str">
        <f t="shared" ca="1" si="61"/>
        <v>WBA</v>
      </c>
    </row>
    <row r="754" spans="1:50" hidden="1">
      <c r="A754" s="88" t="str">
        <f t="shared" ca="1" si="59"/>
        <v>XOM</v>
      </c>
      <c r="C754" s="686"/>
      <c r="D754" s="686"/>
      <c r="F754" s="256">
        <v>-2.6105E-2</v>
      </c>
      <c r="G754" s="256">
        <v>-1.3044999999999999E-2</v>
      </c>
      <c r="H754" s="256">
        <v>-6.8739999999999999E-3</v>
      </c>
      <c r="I754" s="256">
        <v>-6.0719999999999993E-3</v>
      </c>
      <c r="J754" s="256">
        <v>1.7656999999999999E-2</v>
      </c>
      <c r="K754" s="256">
        <v>4.3780000000000002E-4</v>
      </c>
      <c r="L754" s="256">
        <v>-1.7499999999999998E-3</v>
      </c>
      <c r="M754" s="256">
        <v>-9.7350000000000006E-3</v>
      </c>
      <c r="N754" s="256">
        <v>-9.7350000000000006E-3</v>
      </c>
      <c r="O754" s="256">
        <v>1.3546000000000001E-2</v>
      </c>
      <c r="P754" s="256">
        <v>6.2370000000000004E-4</v>
      </c>
      <c r="Q754" s="256">
        <v>-4.5859999999999998E-3</v>
      </c>
      <c r="R754" s="256">
        <v>-8.6909999999999991E-3</v>
      </c>
      <c r="S754" s="256">
        <v>1.4461E-2</v>
      </c>
      <c r="T754" s="256">
        <v>4.143E-3</v>
      </c>
      <c r="U754" s="256">
        <v>0</v>
      </c>
      <c r="V754" s="256">
        <v>1.7922E-2</v>
      </c>
      <c r="W754" s="256">
        <v>1.7922E-2</v>
      </c>
      <c r="X754" s="256">
        <v>1.081E-2</v>
      </c>
      <c r="Y754" s="256">
        <v>-5.0010000000000002E-3</v>
      </c>
      <c r="Z754" s="248">
        <f ca="1">[1]ExtEntry!$M53</f>
        <v>-5.0870000000000004E-3</v>
      </c>
      <c r="AB754" s="253">
        <v>5</v>
      </c>
      <c r="AC754" s="253">
        <v>10</v>
      </c>
      <c r="AD754" s="253">
        <v>17</v>
      </c>
      <c r="AE754" s="288">
        <v>18</v>
      </c>
      <c r="AF754" s="288">
        <v>8</v>
      </c>
      <c r="AG754" s="288">
        <v>5</v>
      </c>
      <c r="AH754" s="288">
        <v>7</v>
      </c>
      <c r="AI754" s="288">
        <v>11</v>
      </c>
      <c r="AJ754" s="288">
        <v>11</v>
      </c>
      <c r="AK754" s="288">
        <v>17</v>
      </c>
      <c r="AL754" s="288">
        <v>16</v>
      </c>
      <c r="AM754" s="277">
        <v>18</v>
      </c>
      <c r="AN754" s="277">
        <v>20</v>
      </c>
      <c r="AO754" s="277">
        <v>14</v>
      </c>
      <c r="AP754" s="277">
        <v>12</v>
      </c>
      <c r="AQ754" s="277">
        <v>13</v>
      </c>
      <c r="AR754" s="277">
        <v>3</v>
      </c>
      <c r="AS754" s="277">
        <v>3</v>
      </c>
      <c r="AT754" s="277">
        <v>2</v>
      </c>
      <c r="AU754" s="277">
        <v>2</v>
      </c>
      <c r="AV754" s="277">
        <f t="shared" si="62"/>
        <v>2</v>
      </c>
      <c r="AX754" s="88" t="str">
        <f t="shared" ca="1" si="61"/>
        <v>XOM</v>
      </c>
    </row>
    <row r="755" spans="1:50" hidden="1">
      <c r="A755" s="88" t="str">
        <f t="shared" ca="1" si="59"/>
        <v>XPER</v>
      </c>
      <c r="C755" s="686"/>
      <c r="D755" s="686"/>
      <c r="F755" s="256">
        <v>-2.2729999999999998E-3</v>
      </c>
      <c r="G755" s="256">
        <v>-2.1147999999999997E-2</v>
      </c>
      <c r="H755" s="256">
        <v>1.3889E-2</v>
      </c>
      <c r="I755" s="256">
        <v>2.5874999999999999E-2</v>
      </c>
      <c r="J755" s="256">
        <v>2.0833000000000001E-2</v>
      </c>
      <c r="K755" s="256">
        <v>-4.3604999999999998E-2</v>
      </c>
      <c r="L755" s="256">
        <v>9.1190000000000004E-3</v>
      </c>
      <c r="M755" s="256">
        <v>9.0359999999999989E-3</v>
      </c>
      <c r="N755" s="256">
        <v>9.0359999999999989E-3</v>
      </c>
      <c r="O755" s="256">
        <v>3.8155999999999995E-2</v>
      </c>
      <c r="P755" s="256">
        <v>3.3898000000000005E-2</v>
      </c>
      <c r="Q755" s="256">
        <v>8.9569999999999997E-3</v>
      </c>
      <c r="R755" s="256">
        <v>-5.9170000000000004E-3</v>
      </c>
      <c r="S755" s="256">
        <v>-1.6369000000000002E-2</v>
      </c>
      <c r="T755" s="256">
        <v>1.8154E-2</v>
      </c>
      <c r="U755" s="256">
        <v>7.4289999999999998E-3</v>
      </c>
      <c r="V755" s="256">
        <v>-3.2448000000000005E-2</v>
      </c>
      <c r="W755" s="256">
        <v>-3.3923000000000002E-2</v>
      </c>
      <c r="X755" s="256">
        <v>9.1599999999999997E-3</v>
      </c>
      <c r="Y755" s="256">
        <v>1.2102999999999999E-2</v>
      </c>
      <c r="Z755" s="248">
        <f ca="1">[1]ExtEntry!$M54</f>
        <v>9.077E-3</v>
      </c>
      <c r="AB755" s="253">
        <v>2</v>
      </c>
      <c r="AC755" s="253">
        <v>3</v>
      </c>
      <c r="AD755" s="253">
        <v>3</v>
      </c>
      <c r="AE755" s="288">
        <v>1</v>
      </c>
      <c r="AF755" s="288">
        <v>1</v>
      </c>
      <c r="AG755" s="288">
        <v>5</v>
      </c>
      <c r="AH755" s="288">
        <v>3</v>
      </c>
      <c r="AI755" s="288">
        <v>3</v>
      </c>
      <c r="AJ755" s="288">
        <v>3</v>
      </c>
      <c r="AK755" s="288">
        <v>10</v>
      </c>
      <c r="AL755" s="288">
        <v>3</v>
      </c>
      <c r="AM755" s="277">
        <v>2</v>
      </c>
      <c r="AN755" s="277">
        <v>4</v>
      </c>
      <c r="AO755" s="277">
        <v>9</v>
      </c>
      <c r="AP755" s="277">
        <v>4</v>
      </c>
      <c r="AQ755" s="277">
        <v>2</v>
      </c>
      <c r="AR755" s="277">
        <v>16</v>
      </c>
      <c r="AS755" s="277">
        <v>17</v>
      </c>
      <c r="AT755" s="277">
        <v>11</v>
      </c>
      <c r="AU755" s="277">
        <v>10</v>
      </c>
      <c r="AV755" s="277">
        <f t="shared" si="62"/>
        <v>10</v>
      </c>
      <c r="AX755" s="88" t="str">
        <f t="shared" ca="1" si="61"/>
        <v>XPER</v>
      </c>
    </row>
    <row r="756" spans="1:50" hidden="1">
      <c r="A756" s="88" t="str">
        <f t="shared" ca="1" si="59"/>
        <v>MVEALDNE</v>
      </c>
      <c r="C756" s="686"/>
      <c r="D756" s="686"/>
      <c r="F756" s="256">
        <v>6.9136000000000003E-2</v>
      </c>
      <c r="G756" s="256">
        <v>2.3089999999999999E-3</v>
      </c>
      <c r="H756" s="256">
        <v>1.3825E-2</v>
      </c>
      <c r="I756" s="256">
        <v>-1.1364000000000001E-2</v>
      </c>
      <c r="J756" s="256">
        <v>-2.2989999999999998E-3</v>
      </c>
      <c r="K756" s="256">
        <v>0</v>
      </c>
      <c r="L756" s="256">
        <v>-2.1429E-2</v>
      </c>
      <c r="M756" s="256">
        <v>0</v>
      </c>
      <c r="N756" s="256">
        <v>0</v>
      </c>
      <c r="O756" s="256">
        <v>0</v>
      </c>
      <c r="P756" s="256">
        <v>2.3869999999999998E-3</v>
      </c>
      <c r="Q756" s="256">
        <v>-2.3809999999999999E-3</v>
      </c>
      <c r="R756" s="256">
        <v>-9.5469999999999999E-3</v>
      </c>
      <c r="S756" s="256">
        <v>0</v>
      </c>
      <c r="T756" s="256">
        <v>-1.2048000000000001E-2</v>
      </c>
      <c r="U756" s="256">
        <v>1.2195000000000001E-2</v>
      </c>
      <c r="V756" s="256">
        <v>1.2048000000000001E-2</v>
      </c>
      <c r="W756" s="256">
        <v>1.2048000000000001E-2</v>
      </c>
      <c r="X756" s="256">
        <v>-2.3809999999999999E-3</v>
      </c>
      <c r="Y756" s="256">
        <v>-1.4319999999999999E-2</v>
      </c>
      <c r="Z756" s="248">
        <f ca="1">[1]ExtEntry!$M55</f>
        <v>-1.4319999999999999E-2</v>
      </c>
      <c r="AB756" s="253">
        <v>13</v>
      </c>
      <c r="AC756" s="253">
        <v>11</v>
      </c>
      <c r="AD756" s="253">
        <v>10</v>
      </c>
      <c r="AE756" s="288">
        <v>10</v>
      </c>
      <c r="AF756" s="288">
        <v>10</v>
      </c>
      <c r="AG756" s="288">
        <v>16</v>
      </c>
      <c r="AH756" s="288">
        <v>16</v>
      </c>
      <c r="AI756" s="288">
        <v>15</v>
      </c>
      <c r="AJ756" s="288">
        <v>14</v>
      </c>
      <c r="AK756" s="288">
        <v>13</v>
      </c>
      <c r="AL756" s="288">
        <v>11</v>
      </c>
      <c r="AM756" s="277">
        <v>12</v>
      </c>
      <c r="AN756" s="277">
        <v>13</v>
      </c>
      <c r="AO756" s="277">
        <v>12</v>
      </c>
      <c r="AP756" s="277">
        <v>16</v>
      </c>
      <c r="AQ756" s="277">
        <v>10</v>
      </c>
      <c r="AR756" s="277">
        <v>6</v>
      </c>
      <c r="AS756" s="277">
        <v>6</v>
      </c>
      <c r="AT756" s="277">
        <v>10</v>
      </c>
      <c r="AU756" s="277">
        <v>16</v>
      </c>
      <c r="AV756" s="277">
        <f t="shared" si="62"/>
        <v>16</v>
      </c>
      <c r="AX756" s="88" t="str">
        <f t="shared" ca="1" si="61"/>
        <v>MVEALDNE</v>
      </c>
    </row>
    <row r="757" spans="1:50" hidden="1">
      <c r="A757" s="88" t="str">
        <f t="shared" ca="1" si="59"/>
        <v>MVEDDD</v>
      </c>
      <c r="C757" s="686"/>
      <c r="D757" s="686"/>
      <c r="F757" s="256">
        <v>-4.5016E-2</v>
      </c>
      <c r="G757" s="256">
        <v>-2.027E-2</v>
      </c>
      <c r="H757" s="256">
        <v>-1.2069000000000002E-2</v>
      </c>
      <c r="I757" s="256">
        <v>4.3554000000000002E-2</v>
      </c>
      <c r="J757" s="256">
        <v>4.3478000000000003E-2</v>
      </c>
      <c r="K757" s="256">
        <v>-1.1041E-2</v>
      </c>
      <c r="L757" s="256">
        <v>3.3439000000000003E-2</v>
      </c>
      <c r="M757" s="256">
        <v>-1.5480000000000001E-2</v>
      </c>
      <c r="N757" s="256">
        <v>-1.5480000000000001E-2</v>
      </c>
      <c r="O757" s="256">
        <v>7.6124999999999998E-2</v>
      </c>
      <c r="P757" s="256">
        <v>-9.6460000000000001E-3</v>
      </c>
      <c r="Q757" s="256">
        <v>5.5195000000000001E-2</v>
      </c>
      <c r="R757" s="256">
        <v>-3.058E-3</v>
      </c>
      <c r="S757" s="256">
        <v>-4.6012000000000004E-2</v>
      </c>
      <c r="T757" s="256">
        <v>0.21704200000000001</v>
      </c>
      <c r="U757" s="256">
        <v>-0.10846600000000001</v>
      </c>
      <c r="V757" s="256">
        <v>-0.11094699999999999</v>
      </c>
      <c r="W757" s="256">
        <v>-0.11094699999999999</v>
      </c>
      <c r="X757" s="256">
        <v>2.1595E-2</v>
      </c>
      <c r="Y757" s="256">
        <v>1.4610000000000001E-2</v>
      </c>
      <c r="Z757" s="248">
        <f ca="1">[1]ExtEntry!$M56</f>
        <v>1.6233999999999998E-2</v>
      </c>
      <c r="AB757" s="253">
        <v>2</v>
      </c>
      <c r="AC757" s="253">
        <v>5</v>
      </c>
      <c r="AD757" s="253">
        <v>6</v>
      </c>
      <c r="AE757" s="288">
        <v>2</v>
      </c>
      <c r="AF757" s="288">
        <v>1</v>
      </c>
      <c r="AG757" s="288">
        <v>1</v>
      </c>
      <c r="AH757" s="288">
        <v>1</v>
      </c>
      <c r="AI757" s="288">
        <v>2</v>
      </c>
      <c r="AJ757" s="288">
        <v>2</v>
      </c>
      <c r="AK757" s="288">
        <v>7</v>
      </c>
      <c r="AL757" s="288">
        <v>8</v>
      </c>
      <c r="AM757" s="277">
        <v>1</v>
      </c>
      <c r="AN757" s="277">
        <v>1</v>
      </c>
      <c r="AO757" s="277">
        <v>9</v>
      </c>
      <c r="AP757" s="277">
        <v>1</v>
      </c>
      <c r="AQ757" s="277">
        <v>2</v>
      </c>
      <c r="AR757" s="277">
        <v>14</v>
      </c>
      <c r="AS757" s="277">
        <v>14</v>
      </c>
      <c r="AT757" s="277">
        <v>14</v>
      </c>
      <c r="AU757" s="277">
        <v>9</v>
      </c>
      <c r="AV757" s="277">
        <f t="shared" si="62"/>
        <v>9</v>
      </c>
      <c r="AX757" s="88" t="str">
        <f t="shared" ca="1" si="61"/>
        <v>MVEDDD</v>
      </c>
    </row>
    <row r="758" spans="1:50" hidden="1">
      <c r="A758" s="88" t="str">
        <f t="shared" ca="1" si="59"/>
        <v>MVEDSY</v>
      </c>
      <c r="C758" s="686"/>
      <c r="D758" s="686"/>
      <c r="F758" s="256">
        <v>8.9090000000000003E-3</v>
      </c>
      <c r="G758" s="256">
        <v>-2.8036999999999999E-2</v>
      </c>
      <c r="H758" s="256">
        <v>-9.6150000000000003E-3</v>
      </c>
      <c r="I758" s="256">
        <v>1.9417E-2</v>
      </c>
      <c r="J758" s="256">
        <v>9.5239999999999995E-3</v>
      </c>
      <c r="K758" s="256">
        <v>-0.15884600000000001</v>
      </c>
      <c r="L758" s="256">
        <v>-9.639E-3</v>
      </c>
      <c r="M758" s="256">
        <v>5.561E-3</v>
      </c>
      <c r="N758" s="256">
        <v>1.4862999999999999E-2</v>
      </c>
      <c r="O758" s="256">
        <v>1.0877E-2</v>
      </c>
      <c r="P758" s="256">
        <v>-1.5966999999999999E-2</v>
      </c>
      <c r="Q758" s="256">
        <v>1.8695E-2</v>
      </c>
      <c r="R758" s="256">
        <v>1.7313000000000002E-2</v>
      </c>
      <c r="S758" s="256">
        <v>-1.702E-3</v>
      </c>
      <c r="T758" s="256">
        <v>1.5343000000000001E-2</v>
      </c>
      <c r="U758" s="256">
        <v>1.6454E-2</v>
      </c>
      <c r="V758" s="256">
        <v>-4.9550000000000002E-3</v>
      </c>
      <c r="W758" s="256">
        <v>-4.9550000000000002E-3</v>
      </c>
      <c r="X758" s="256">
        <v>-0.12981400000000001</v>
      </c>
      <c r="Y758" s="256">
        <v>-1.984E-2</v>
      </c>
      <c r="Z758" s="248">
        <f ca="1">[1]ExtEntry!$M57</f>
        <v>-1.984E-2</v>
      </c>
      <c r="AB758" s="253">
        <v>2</v>
      </c>
      <c r="AC758" s="253">
        <v>20</v>
      </c>
      <c r="AD758" s="253">
        <v>20</v>
      </c>
      <c r="AE758" s="288">
        <v>18</v>
      </c>
      <c r="AF758" s="288">
        <v>17</v>
      </c>
      <c r="AG758" s="288">
        <v>20</v>
      </c>
      <c r="AH758" s="288">
        <v>1</v>
      </c>
      <c r="AI758" s="288">
        <v>1</v>
      </c>
      <c r="AJ758" s="288">
        <v>1</v>
      </c>
      <c r="AK758" s="288">
        <v>3</v>
      </c>
      <c r="AL758" s="288">
        <v>5</v>
      </c>
      <c r="AM758" s="277">
        <v>3</v>
      </c>
      <c r="AN758" s="277">
        <v>1</v>
      </c>
      <c r="AO758" s="277">
        <v>3</v>
      </c>
      <c r="AP758" s="277">
        <v>1</v>
      </c>
      <c r="AQ758" s="277">
        <v>1</v>
      </c>
      <c r="AR758" s="277">
        <v>2</v>
      </c>
      <c r="AS758" s="277">
        <v>2</v>
      </c>
      <c r="AT758" s="277">
        <v>15</v>
      </c>
      <c r="AU758" s="277">
        <v>15</v>
      </c>
      <c r="AV758" s="277">
        <f t="shared" si="62"/>
        <v>15</v>
      </c>
      <c r="AX758" s="88" t="str">
        <f t="shared" ca="1" si="61"/>
        <v>MVEDSY</v>
      </c>
    </row>
    <row r="759" spans="1:50" hidden="1">
      <c r="A759" s="88" t="str">
        <f t="shared" ca="1" si="59"/>
        <v>MVEEOAN</v>
      </c>
      <c r="C759" s="686"/>
      <c r="D759" s="686"/>
      <c r="F759" s="256">
        <v>-3.114E-3</v>
      </c>
      <c r="G759" s="256">
        <v>0</v>
      </c>
      <c r="H759" s="256">
        <v>5.6000000000000008E-3</v>
      </c>
      <c r="I759" s="256">
        <v>-1.2376E-2</v>
      </c>
      <c r="J759" s="256">
        <v>1.0024999999999999E-2</v>
      </c>
      <c r="K759" s="256">
        <v>2.4879999999999998E-3</v>
      </c>
      <c r="L759" s="256">
        <v>4.0339999999999994E-3</v>
      </c>
      <c r="M759" s="256">
        <v>-3.0900000000000003E-4</v>
      </c>
      <c r="N759" s="256">
        <v>3.0909999999999998E-4</v>
      </c>
      <c r="O759" s="256">
        <v>1.1822999999999998E-2</v>
      </c>
      <c r="P759" s="256">
        <v>6.7650000000000002E-3</v>
      </c>
      <c r="Q759" s="256">
        <v>-1.0385E-2</v>
      </c>
      <c r="R759" s="256">
        <v>3.0859999999999998E-3</v>
      </c>
      <c r="S759" s="256">
        <v>1.2310000000000001E-3</v>
      </c>
      <c r="T759" s="256">
        <v>9.2189999999999998E-3</v>
      </c>
      <c r="U759" s="256">
        <v>-3.3500000000000001E-3</v>
      </c>
      <c r="V759" s="256">
        <v>-1.6192999999999999E-2</v>
      </c>
      <c r="W759" s="256">
        <v>-1.6192999999999999E-2</v>
      </c>
      <c r="X759" s="256">
        <v>-7.4529999999999996E-3</v>
      </c>
      <c r="Y759" s="256">
        <v>5.006E-3</v>
      </c>
      <c r="Z759" s="248">
        <f ca="1">[1]ExtEntry!$M58</f>
        <v>3.1180000000000001E-3</v>
      </c>
      <c r="AB759" s="253">
        <v>2</v>
      </c>
      <c r="AC759" s="253">
        <v>1</v>
      </c>
      <c r="AD759" s="253">
        <v>1</v>
      </c>
      <c r="AE759" s="288">
        <v>6</v>
      </c>
      <c r="AF759" s="288">
        <v>2</v>
      </c>
      <c r="AG759" s="288">
        <v>3</v>
      </c>
      <c r="AH759" s="288">
        <v>1</v>
      </c>
      <c r="AI759" s="288">
        <v>2</v>
      </c>
      <c r="AJ759" s="288">
        <v>1</v>
      </c>
      <c r="AK759" s="288">
        <v>1</v>
      </c>
      <c r="AL759" s="288">
        <v>1</v>
      </c>
      <c r="AM759" s="277">
        <v>3</v>
      </c>
      <c r="AN759" s="277">
        <v>3</v>
      </c>
      <c r="AO759" s="277">
        <v>2</v>
      </c>
      <c r="AP759" s="277">
        <v>1</v>
      </c>
      <c r="AQ759" s="277">
        <v>3</v>
      </c>
      <c r="AR759" s="277">
        <v>14</v>
      </c>
      <c r="AS759" s="277">
        <v>14</v>
      </c>
      <c r="AT759" s="277">
        <v>19</v>
      </c>
      <c r="AU759" s="277">
        <v>17</v>
      </c>
      <c r="AV759" s="277">
        <f t="shared" si="62"/>
        <v>17</v>
      </c>
      <c r="AX759" s="88" t="str">
        <f t="shared" ca="1" si="61"/>
        <v>MVEEOAN</v>
      </c>
    </row>
    <row r="760" spans="1:50" hidden="1">
      <c r="A760" s="88" t="str">
        <f t="shared" ca="1" si="59"/>
        <v>MVEENI</v>
      </c>
      <c r="C760" s="686"/>
      <c r="D760" s="686"/>
      <c r="F760" s="256">
        <v>-1.7203E-2</v>
      </c>
      <c r="G760" s="256">
        <v>-1.4322E-2</v>
      </c>
      <c r="H760" s="256">
        <v>8.072000000000001E-3</v>
      </c>
      <c r="I760" s="256">
        <v>-7.3400000000000002E-3</v>
      </c>
      <c r="J760" s="256">
        <v>2.0169999999999997E-3</v>
      </c>
      <c r="K760" s="256">
        <v>4.3690000000000005E-3</v>
      </c>
      <c r="L760" s="256">
        <v>7.3809999999999995E-3</v>
      </c>
      <c r="M760" s="256">
        <v>6.019E-3</v>
      </c>
      <c r="N760" s="256">
        <v>-1.1445E-2</v>
      </c>
      <c r="O760" s="256">
        <v>1.204E-3</v>
      </c>
      <c r="P760" s="256">
        <v>-1.8166999999999999E-2</v>
      </c>
      <c r="Q760" s="256">
        <v>1.4970000000000001E-3</v>
      </c>
      <c r="R760" s="256">
        <v>2.9889999999999999E-3</v>
      </c>
      <c r="S760" s="256">
        <v>5.2820000000000002E-3</v>
      </c>
      <c r="T760" s="256">
        <v>2.1559999999999999E-3</v>
      </c>
      <c r="U760" s="256">
        <v>1.6130000000000001E-3</v>
      </c>
      <c r="V760" s="256">
        <v>1.5167999999999999E-2</v>
      </c>
      <c r="W760" s="256">
        <v>1.5167999999999999E-2</v>
      </c>
      <c r="X760" s="256">
        <v>3.0411000000000001E-2</v>
      </c>
      <c r="Y760" s="256">
        <v>1.6040000000000002E-2</v>
      </c>
      <c r="Z760" s="248">
        <f ca="1">[1]ExtEntry!$M59</f>
        <v>1.6040000000000002E-2</v>
      </c>
      <c r="AB760" s="253">
        <v>4</v>
      </c>
      <c r="AC760" s="253">
        <v>14</v>
      </c>
      <c r="AD760" s="253">
        <v>5</v>
      </c>
      <c r="AE760" s="288">
        <v>12</v>
      </c>
      <c r="AF760" s="288">
        <v>10</v>
      </c>
      <c r="AG760" s="288">
        <v>2</v>
      </c>
      <c r="AH760" s="288">
        <v>2</v>
      </c>
      <c r="AI760" s="288">
        <v>1</v>
      </c>
      <c r="AJ760" s="288">
        <v>4</v>
      </c>
      <c r="AK760" s="288">
        <v>10</v>
      </c>
      <c r="AL760" s="288">
        <v>19</v>
      </c>
      <c r="AM760" s="277">
        <v>18</v>
      </c>
      <c r="AN760" s="277">
        <v>17</v>
      </c>
      <c r="AO760" s="277">
        <v>14</v>
      </c>
      <c r="AP760" s="277">
        <v>12</v>
      </c>
      <c r="AQ760" s="277">
        <v>12</v>
      </c>
      <c r="AR760" s="277">
        <v>7</v>
      </c>
      <c r="AS760" s="277">
        <v>7</v>
      </c>
      <c r="AT760" s="277">
        <v>1</v>
      </c>
      <c r="AU760" s="277">
        <v>1</v>
      </c>
      <c r="AV760" s="277">
        <f t="shared" si="62"/>
        <v>1</v>
      </c>
      <c r="AX760" s="88" t="str">
        <f t="shared" ca="1" si="61"/>
        <v>MVEENI</v>
      </c>
    </row>
    <row r="761" spans="1:50" hidden="1">
      <c r="A761" s="88" t="str">
        <f t="shared" ca="1" si="59"/>
        <v>MVEEPIX</v>
      </c>
      <c r="C761" s="686"/>
      <c r="D761" s="686"/>
      <c r="F761" s="256">
        <v>-4.3781E-2</v>
      </c>
      <c r="G761" s="256">
        <v>-1.2410000000000001E-2</v>
      </c>
      <c r="H761" s="256">
        <v>7.8009999999999996E-2</v>
      </c>
      <c r="I761" s="256">
        <v>5.5852000000000006E-2</v>
      </c>
      <c r="J761" s="256">
        <v>-5.1977999999999996E-2</v>
      </c>
      <c r="K761" s="256">
        <v>3.9179999999999996E-3</v>
      </c>
      <c r="L761" s="256">
        <v>-1.8536999999999998E-2</v>
      </c>
      <c r="M761" s="256">
        <v>-1.8536999999999998E-2</v>
      </c>
      <c r="N761" s="256">
        <v>-1.8536999999999998E-2</v>
      </c>
      <c r="O761" s="256">
        <v>0</v>
      </c>
      <c r="P761" s="256">
        <v>0</v>
      </c>
      <c r="Q761" s="256">
        <v>0</v>
      </c>
      <c r="R761" s="256">
        <v>0</v>
      </c>
      <c r="S761" s="256">
        <v>0</v>
      </c>
      <c r="T761" s="256">
        <v>0</v>
      </c>
      <c r="U761" s="256">
        <v>0</v>
      </c>
      <c r="V761" s="256">
        <v>0</v>
      </c>
      <c r="W761" s="256">
        <v>0</v>
      </c>
      <c r="X761" s="256">
        <v>0</v>
      </c>
      <c r="Y761" s="256">
        <v>0</v>
      </c>
      <c r="Z761" s="248">
        <f ca="1">[1]ExtEntry!$M60</f>
        <v>0</v>
      </c>
      <c r="AB761" s="253">
        <v>20</v>
      </c>
      <c r="AC761" s="253">
        <v>20</v>
      </c>
      <c r="AD761" s="253">
        <v>9</v>
      </c>
      <c r="AE761" s="288">
        <v>3</v>
      </c>
      <c r="AF761" s="288">
        <v>8</v>
      </c>
      <c r="AG761" s="288">
        <v>9</v>
      </c>
      <c r="AH761" s="288">
        <v>12</v>
      </c>
      <c r="AI761" s="288">
        <v>11</v>
      </c>
      <c r="AJ761" s="288">
        <v>10</v>
      </c>
      <c r="AK761" s="288">
        <v>10</v>
      </c>
      <c r="AL761" s="288">
        <v>10</v>
      </c>
      <c r="AM761" s="277">
        <v>10</v>
      </c>
      <c r="AN761" s="277">
        <v>9</v>
      </c>
      <c r="AO761" s="277">
        <v>8</v>
      </c>
      <c r="AP761" s="277">
        <v>7</v>
      </c>
      <c r="AQ761" s="277">
        <v>6</v>
      </c>
      <c r="AR761" s="277">
        <v>5</v>
      </c>
      <c r="AS761" s="277">
        <v>5</v>
      </c>
      <c r="AT761" s="277">
        <v>5</v>
      </c>
      <c r="AU761" s="277">
        <v>5</v>
      </c>
      <c r="AV761" s="277">
        <f t="shared" si="62"/>
        <v>5</v>
      </c>
      <c r="AX761" s="88" t="str">
        <f t="shared" ca="1" si="61"/>
        <v>MVEEPIX</v>
      </c>
    </row>
    <row r="762" spans="1:50" hidden="1">
      <c r="A762" s="88" t="str">
        <f t="shared" ca="1" si="59"/>
        <v>MVEGLE</v>
      </c>
      <c r="C762" s="686"/>
      <c r="D762" s="686"/>
      <c r="F762" s="256">
        <v>-1.2901000000000001E-2</v>
      </c>
      <c r="G762" s="256">
        <v>-4.5919999999999997E-3</v>
      </c>
      <c r="H762" s="256">
        <v>8.1620000000000009E-3</v>
      </c>
      <c r="I762" s="256">
        <v>-1.7599999999999998E-3</v>
      </c>
      <c r="J762" s="256">
        <v>0</v>
      </c>
      <c r="K762" s="256">
        <v>-7.8180000000000003E-3</v>
      </c>
      <c r="L762" s="256">
        <v>2.1013E-2</v>
      </c>
      <c r="M762" s="256">
        <v>-1.103E-3</v>
      </c>
      <c r="N762" s="256">
        <v>-2.2079999999999999E-3</v>
      </c>
      <c r="O762" s="256">
        <v>-2.5990000000000002E-3</v>
      </c>
      <c r="P762" s="256">
        <v>2.4199999999999999E-2</v>
      </c>
      <c r="Q762" s="256">
        <v>9.8150000000000008E-3</v>
      </c>
      <c r="R762" s="256">
        <v>1.7278999999999999E-2</v>
      </c>
      <c r="S762" s="256">
        <v>-5.0955E-2</v>
      </c>
      <c r="T762" s="256">
        <v>-1.1931000000000001E-2</v>
      </c>
      <c r="U762" s="256">
        <v>2.264E-3</v>
      </c>
      <c r="V762" s="256">
        <v>-4.5179999999999994E-3</v>
      </c>
      <c r="W762" s="256">
        <v>-4.5179999999999994E-3</v>
      </c>
      <c r="X762" s="256">
        <v>1.3238000000000002E-2</v>
      </c>
      <c r="Y762" s="256">
        <v>1.8659999999999998E-3</v>
      </c>
      <c r="Z762" s="248">
        <f ca="1">[1]ExtEntry!$M61</f>
        <v>1.8659999999999998E-3</v>
      </c>
      <c r="AB762" s="253">
        <v>13</v>
      </c>
      <c r="AC762" s="253">
        <v>15</v>
      </c>
      <c r="AD762" s="253">
        <v>12</v>
      </c>
      <c r="AE762" s="288">
        <v>14</v>
      </c>
      <c r="AF762" s="288">
        <v>14</v>
      </c>
      <c r="AG762" s="288">
        <v>20</v>
      </c>
      <c r="AH762" s="288">
        <v>19</v>
      </c>
      <c r="AI762" s="288">
        <v>19</v>
      </c>
      <c r="AJ762" s="288">
        <v>19</v>
      </c>
      <c r="AK762" s="288">
        <v>19</v>
      </c>
      <c r="AL762" s="288">
        <v>15</v>
      </c>
      <c r="AM762" s="277">
        <v>14</v>
      </c>
      <c r="AN762" s="277">
        <v>12</v>
      </c>
      <c r="AO762" s="277">
        <v>19</v>
      </c>
      <c r="AP762" s="277">
        <v>20</v>
      </c>
      <c r="AQ762" s="277">
        <v>19</v>
      </c>
      <c r="AR762" s="277">
        <v>20</v>
      </c>
      <c r="AS762" s="277">
        <v>19</v>
      </c>
      <c r="AT762" s="277">
        <v>15</v>
      </c>
      <c r="AU762" s="277">
        <v>13</v>
      </c>
      <c r="AV762" s="277">
        <f t="shared" si="62"/>
        <v>13</v>
      </c>
      <c r="AX762" s="88" t="str">
        <f t="shared" ca="1" si="61"/>
        <v>MVEGLE</v>
      </c>
    </row>
    <row r="763" spans="1:50" hidden="1">
      <c r="A763" s="88" t="str">
        <f t="shared" ca="1" si="59"/>
        <v>MVEORA</v>
      </c>
      <c r="C763" s="686"/>
      <c r="D763" s="686"/>
      <c r="F763" s="256">
        <v>-4.3600000000000002E-3</v>
      </c>
      <c r="G763" s="256">
        <v>0</v>
      </c>
      <c r="H763" s="256">
        <v>-7.6029999999999995E-3</v>
      </c>
      <c r="I763" s="256">
        <v>-1.2404E-2</v>
      </c>
      <c r="J763" s="256">
        <v>-1.5885E-2</v>
      </c>
      <c r="K763" s="256">
        <v>2.2750000000000001E-3</v>
      </c>
      <c r="L763" s="256">
        <v>1.3243E-2</v>
      </c>
      <c r="M763" s="256">
        <v>1.2696000000000001E-2</v>
      </c>
      <c r="N763" s="256">
        <v>1.475E-3</v>
      </c>
      <c r="O763" s="256">
        <v>-1.1773E-2</v>
      </c>
      <c r="P763" s="256">
        <v>1.0423999999999999E-2</v>
      </c>
      <c r="Q763" s="256">
        <v>3.2793000000000003E-2</v>
      </c>
      <c r="R763" s="256">
        <v>4.9950000000000003E-3</v>
      </c>
      <c r="S763" s="256">
        <v>1.7749000000000001E-2</v>
      </c>
      <c r="T763" s="256">
        <v>-1.2208000000000002E-2</v>
      </c>
      <c r="U763" s="256">
        <v>-2.4720000000000002E-3</v>
      </c>
      <c r="V763" s="256">
        <v>-3.8940000000000003E-3</v>
      </c>
      <c r="W763" s="256">
        <v>-3.8940000000000003E-3</v>
      </c>
      <c r="X763" s="256">
        <v>5.6860000000000001E-3</v>
      </c>
      <c r="Y763" s="256">
        <v>-1.6254000000000001E-2</v>
      </c>
      <c r="Z763" s="248">
        <f ca="1">[1]ExtEntry!$M62</f>
        <v>-1.6254000000000001E-2</v>
      </c>
      <c r="AB763" s="253">
        <v>10</v>
      </c>
      <c r="AC763" s="253">
        <v>1</v>
      </c>
      <c r="AD763" s="253">
        <v>9</v>
      </c>
      <c r="AE763" s="288">
        <v>18</v>
      </c>
      <c r="AF763" s="288">
        <v>20</v>
      </c>
      <c r="AG763" s="288">
        <v>20</v>
      </c>
      <c r="AH763" s="288">
        <v>18</v>
      </c>
      <c r="AI763" s="288">
        <v>15</v>
      </c>
      <c r="AJ763" s="288">
        <v>14</v>
      </c>
      <c r="AK763" s="288">
        <v>17</v>
      </c>
      <c r="AL763" s="288">
        <v>13</v>
      </c>
      <c r="AM763" s="277">
        <v>2</v>
      </c>
      <c r="AN763" s="277">
        <v>2</v>
      </c>
      <c r="AO763" s="277">
        <v>2</v>
      </c>
      <c r="AP763" s="277">
        <v>3</v>
      </c>
      <c r="AQ763" s="277">
        <v>4</v>
      </c>
      <c r="AR763" s="277">
        <v>6</v>
      </c>
      <c r="AS763" s="277">
        <v>6</v>
      </c>
      <c r="AT763" s="277">
        <v>4</v>
      </c>
      <c r="AU763" s="277">
        <v>10</v>
      </c>
      <c r="AV763" s="277">
        <f t="shared" si="62"/>
        <v>10</v>
      </c>
      <c r="AX763" s="88" t="str">
        <f t="shared" ca="1" si="61"/>
        <v>MVEORA</v>
      </c>
    </row>
    <row r="764" spans="1:50" hidden="1">
      <c r="A764" s="88" t="str">
        <f t="shared" ca="1" si="59"/>
        <v>MVERWE</v>
      </c>
      <c r="C764" s="686"/>
      <c r="D764" s="686"/>
      <c r="F764" s="256">
        <v>-3.4289999999999998E-3</v>
      </c>
      <c r="G764" s="256">
        <v>3.7059999999999997E-3</v>
      </c>
      <c r="H764" s="256">
        <v>3.0062999999999999E-2</v>
      </c>
      <c r="I764" s="256">
        <v>-2.8179999999999998E-3</v>
      </c>
      <c r="J764" s="256">
        <v>7.4489999999999999E-3</v>
      </c>
      <c r="K764" s="256">
        <v>-1.5079999999999998E-3</v>
      </c>
      <c r="L764" s="256">
        <v>1.9386E-2</v>
      </c>
      <c r="M764" s="256">
        <v>-6.6679999999999994E-3</v>
      </c>
      <c r="N764" s="256">
        <v>7.9559999999999995E-3</v>
      </c>
      <c r="O764" s="256">
        <v>1.5621000000000001E-2</v>
      </c>
      <c r="P764" s="256">
        <v>-9.2770000000000005E-3</v>
      </c>
      <c r="Q764" s="256">
        <v>2.7109999999999999E-3</v>
      </c>
      <c r="R764" s="256">
        <v>1.4962E-2</v>
      </c>
      <c r="S764" s="256">
        <v>-7.7330000000000003E-3</v>
      </c>
      <c r="T764" s="256">
        <v>-3.4100000000000003E-3</v>
      </c>
      <c r="U764" s="256">
        <v>-1.0997E-2</v>
      </c>
      <c r="V764" s="256">
        <v>-6.1770000000000002E-3</v>
      </c>
      <c r="W764" s="256">
        <v>-6.1770000000000002E-3</v>
      </c>
      <c r="X764" s="256">
        <v>-5.47E-3</v>
      </c>
      <c r="Y764" s="256">
        <v>1.2E-2</v>
      </c>
      <c r="Z764" s="248">
        <f ca="1">[1]ExtEntry!$M63</f>
        <v>3.215E-3</v>
      </c>
      <c r="AB764" s="253">
        <v>2</v>
      </c>
      <c r="AC764" s="253">
        <v>1</v>
      </c>
      <c r="AD764" s="253">
        <v>1</v>
      </c>
      <c r="AE764" s="288">
        <v>2</v>
      </c>
      <c r="AF764" s="288">
        <v>1</v>
      </c>
      <c r="AG764" s="288">
        <v>1</v>
      </c>
      <c r="AH764" s="288">
        <v>1</v>
      </c>
      <c r="AI764" s="288">
        <v>2</v>
      </c>
      <c r="AJ764" s="288">
        <v>1</v>
      </c>
      <c r="AK764" s="288">
        <v>1</v>
      </c>
      <c r="AL764" s="288">
        <v>2</v>
      </c>
      <c r="AM764" s="277">
        <v>2</v>
      </c>
      <c r="AN764" s="277">
        <v>1</v>
      </c>
      <c r="AO764" s="277">
        <v>2</v>
      </c>
      <c r="AP764" s="277">
        <v>4</v>
      </c>
      <c r="AQ764" s="277">
        <v>9</v>
      </c>
      <c r="AR764" s="277">
        <v>10</v>
      </c>
      <c r="AS764" s="277">
        <v>10</v>
      </c>
      <c r="AT764" s="277">
        <v>13</v>
      </c>
      <c r="AU764" s="277">
        <v>9</v>
      </c>
      <c r="AV764" s="277">
        <f t="shared" si="62"/>
        <v>9</v>
      </c>
      <c r="AX764" s="88" t="str">
        <f t="shared" ca="1" si="61"/>
        <v>MVERWE</v>
      </c>
    </row>
    <row r="765" spans="1:50" hidden="1">
      <c r="A765" s="88" t="str">
        <f t="shared" ca="1" si="59"/>
        <v>MVESAP</v>
      </c>
      <c r="C765" s="686"/>
      <c r="D765" s="686"/>
      <c r="F765" s="256">
        <v>1.7769999999999999E-3</v>
      </c>
      <c r="G765" s="256">
        <v>1.0419000000000001E-2</v>
      </c>
      <c r="H765" s="256">
        <v>-4.3880000000000004E-4</v>
      </c>
      <c r="I765" s="256">
        <v>1.8876E-2</v>
      </c>
      <c r="J765" s="256">
        <v>-8.4019999999999997E-3</v>
      </c>
      <c r="K765" s="256">
        <v>1.468E-2</v>
      </c>
      <c r="L765" s="256">
        <v>9.3620000000000005E-3</v>
      </c>
      <c r="M765" s="256">
        <v>2.5300000000000001E-3</v>
      </c>
      <c r="N765" s="256">
        <v>8.4099999999999995E-4</v>
      </c>
      <c r="O765" s="256">
        <v>3.6870000000000002E-3</v>
      </c>
      <c r="P765" s="256">
        <v>5.6179999999999997E-3</v>
      </c>
      <c r="Q765" s="256">
        <v>6.4459999999999995E-3</v>
      </c>
      <c r="R765" s="256">
        <v>-4.2699999999999995E-3</v>
      </c>
      <c r="S765" s="256">
        <v>-9.6480000000000003E-3</v>
      </c>
      <c r="T765" s="256">
        <v>3.3124000000000001E-2</v>
      </c>
      <c r="U765" s="256">
        <v>7.5439999999999995E-3</v>
      </c>
      <c r="V765" s="256">
        <v>-1.4766999999999999E-2</v>
      </c>
      <c r="W765" s="256">
        <v>-1.4766999999999999E-2</v>
      </c>
      <c r="X765" s="256">
        <v>2.1743999999999999E-2</v>
      </c>
      <c r="Y765" s="256">
        <v>-3.5743999999999998E-2</v>
      </c>
      <c r="Z765" s="248">
        <f ca="1">[1]ExtEntry!$M64</f>
        <v>-3.5743999999999998E-2</v>
      </c>
      <c r="AB765" s="253">
        <v>11</v>
      </c>
      <c r="AC765" s="253">
        <v>7</v>
      </c>
      <c r="AD765" s="253">
        <v>7</v>
      </c>
      <c r="AE765" s="288">
        <v>1</v>
      </c>
      <c r="AF765" s="288">
        <v>3</v>
      </c>
      <c r="AG765" s="288">
        <v>1</v>
      </c>
      <c r="AH765" s="288">
        <v>1</v>
      </c>
      <c r="AI765" s="288">
        <v>1</v>
      </c>
      <c r="AJ765" s="288">
        <v>1</v>
      </c>
      <c r="AK765" s="288">
        <v>6</v>
      </c>
      <c r="AL765" s="288">
        <v>5</v>
      </c>
      <c r="AM765" s="277">
        <v>5</v>
      </c>
      <c r="AN765" s="277">
        <v>6</v>
      </c>
      <c r="AO765" s="277">
        <v>10</v>
      </c>
      <c r="AP765" s="277">
        <v>1</v>
      </c>
      <c r="AQ765" s="277">
        <v>1</v>
      </c>
      <c r="AR765" s="277">
        <v>6</v>
      </c>
      <c r="AS765" s="277">
        <v>6</v>
      </c>
      <c r="AT765" s="277">
        <v>1</v>
      </c>
      <c r="AU765" s="277">
        <v>11</v>
      </c>
      <c r="AV765" s="277">
        <f t="shared" si="62"/>
        <v>11</v>
      </c>
      <c r="AX765" s="88" t="str">
        <f t="shared" ca="1" si="61"/>
        <v>MVESAP</v>
      </c>
    </row>
    <row r="766" spans="1:50" hidden="1">
      <c r="A766" s="88" t="str">
        <f t="shared" ca="1" si="59"/>
        <v>MVEUN0</v>
      </c>
      <c r="C766" s="686"/>
      <c r="D766" s="686"/>
      <c r="F766" s="256">
        <v>2.3460000000000002E-2</v>
      </c>
      <c r="G766" s="256">
        <v>-2.5714000000000001E-2</v>
      </c>
      <c r="H766" s="256">
        <v>-2.9329999999999998E-3</v>
      </c>
      <c r="I766" s="256">
        <v>-5.8819999999999992E-3</v>
      </c>
      <c r="J766" s="256">
        <v>5.9170000000000004E-3</v>
      </c>
      <c r="K766" s="256">
        <v>-3.3182999999999997E-2</v>
      </c>
      <c r="L766" s="256">
        <v>3.4321000000000004E-2</v>
      </c>
      <c r="M766" s="256">
        <v>1.2270000000000001E-2</v>
      </c>
      <c r="N766" s="256">
        <v>-2.2727000000000001E-2</v>
      </c>
      <c r="O766" s="256">
        <v>3.1450000000000002E-3</v>
      </c>
      <c r="P766" s="256">
        <v>-1.0971999999999999E-2</v>
      </c>
      <c r="Q766" s="256">
        <v>1.585E-3</v>
      </c>
      <c r="R766" s="256">
        <v>4.7470000000000004E-3</v>
      </c>
      <c r="S766" s="256">
        <v>-6.2989999999999999E-3</v>
      </c>
      <c r="T766" s="256">
        <v>4.5959E-2</v>
      </c>
      <c r="U766" s="256">
        <v>-3.9393999999999998E-2</v>
      </c>
      <c r="V766" s="256">
        <v>3.1549999999999998E-3</v>
      </c>
      <c r="W766" s="256">
        <v>3.1549999999999998E-3</v>
      </c>
      <c r="X766" s="256">
        <v>-2.673E-2</v>
      </c>
      <c r="Y766" s="256">
        <v>-2.5847999999999999E-2</v>
      </c>
      <c r="Z766" s="248">
        <f ca="1">[1]ExtEntry!$M65</f>
        <v>-2.5847999999999999E-2</v>
      </c>
      <c r="AB766" s="253">
        <v>14</v>
      </c>
      <c r="AC766" s="253">
        <v>17</v>
      </c>
      <c r="AD766" s="253">
        <v>20</v>
      </c>
      <c r="AE766" s="288">
        <v>20</v>
      </c>
      <c r="AF766" s="288">
        <v>18</v>
      </c>
      <c r="AG766" s="288">
        <v>20</v>
      </c>
      <c r="AH766" s="288">
        <v>19</v>
      </c>
      <c r="AI766" s="288">
        <v>18</v>
      </c>
      <c r="AJ766" s="288">
        <v>19</v>
      </c>
      <c r="AK766" s="288">
        <v>20</v>
      </c>
      <c r="AL766" s="288">
        <v>20</v>
      </c>
      <c r="AM766" s="277">
        <v>19</v>
      </c>
      <c r="AN766" s="277">
        <v>18</v>
      </c>
      <c r="AO766" s="277">
        <v>19</v>
      </c>
      <c r="AP766" s="277">
        <v>11</v>
      </c>
      <c r="AQ766" s="277">
        <v>17</v>
      </c>
      <c r="AR766" s="277">
        <v>15</v>
      </c>
      <c r="AS766" s="277">
        <v>14</v>
      </c>
      <c r="AT766" s="277">
        <v>20</v>
      </c>
      <c r="AU766" s="277">
        <v>20</v>
      </c>
      <c r="AV766" s="277">
        <f t="shared" si="62"/>
        <v>20</v>
      </c>
      <c r="AX766" s="88" t="str">
        <f t="shared" ca="1" si="61"/>
        <v>MVEUN0</v>
      </c>
    </row>
    <row r="767" spans="1:50" hidden="1">
      <c r="A767" s="88" t="str">
        <f t="shared" ca="1" si="59"/>
        <v>SAFAAPL</v>
      </c>
      <c r="C767" s="686"/>
      <c r="D767" s="686"/>
      <c r="F767" s="256">
        <v>-8.3960000000000007E-3</v>
      </c>
      <c r="G767" s="256">
        <v>7.8609999999999997E-4</v>
      </c>
      <c r="H767" s="256">
        <v>3.2200000000000002E-3</v>
      </c>
      <c r="I767" s="256">
        <v>6.5769999999999995E-3</v>
      </c>
      <c r="J767" s="256">
        <v>3.4610000000000001E-3</v>
      </c>
      <c r="K767" s="256">
        <v>-8.1809999999999999E-4</v>
      </c>
      <c r="L767" s="256">
        <v>6.1599999999999997E-3</v>
      </c>
      <c r="M767" s="256">
        <v>-1.5578000000000002E-2</v>
      </c>
      <c r="N767" s="256">
        <v>-1.5578000000000002E-2</v>
      </c>
      <c r="O767" s="256">
        <v>9.7440000000000009E-3</v>
      </c>
      <c r="P767" s="256">
        <v>4.4420000000000001E-4</v>
      </c>
      <c r="Q767" s="256">
        <v>6.5790000000000006E-3</v>
      </c>
      <c r="R767" s="256">
        <v>-7.5799999999999999E-3</v>
      </c>
      <c r="S767" s="256">
        <v>1.9560000000000001E-2</v>
      </c>
      <c r="T767" s="256">
        <v>3.9439000000000002E-2</v>
      </c>
      <c r="U767" s="256">
        <v>2.0210000000000002E-3</v>
      </c>
      <c r="V767" s="256">
        <v>-1.644E-2</v>
      </c>
      <c r="W767" s="256">
        <v>-1.644E-2</v>
      </c>
      <c r="X767" s="256">
        <v>4.372E-3</v>
      </c>
      <c r="Y767" s="256">
        <v>1.2482E-2</v>
      </c>
      <c r="Z767" s="248">
        <f ca="1">[1]ExtEntry!$M66</f>
        <v>1.2482E-2</v>
      </c>
      <c r="AB767" s="253">
        <v>5</v>
      </c>
      <c r="AC767" s="253">
        <v>3</v>
      </c>
      <c r="AD767" s="253">
        <v>3</v>
      </c>
      <c r="AE767" s="288">
        <v>1</v>
      </c>
      <c r="AF767" s="288">
        <v>1</v>
      </c>
      <c r="AG767" s="288">
        <v>4</v>
      </c>
      <c r="AH767" s="288">
        <v>1</v>
      </c>
      <c r="AI767" s="288">
        <v>10</v>
      </c>
      <c r="AJ767" s="288">
        <v>10</v>
      </c>
      <c r="AK767" s="288">
        <v>15</v>
      </c>
      <c r="AL767" s="288">
        <v>15</v>
      </c>
      <c r="AM767" s="277">
        <v>15</v>
      </c>
      <c r="AN767" s="277">
        <v>18</v>
      </c>
      <c r="AO767" s="277">
        <v>15</v>
      </c>
      <c r="AP767" s="277">
        <v>1</v>
      </c>
      <c r="AQ767" s="277">
        <v>1</v>
      </c>
      <c r="AR767" s="277">
        <v>3</v>
      </c>
      <c r="AS767" s="277">
        <v>3</v>
      </c>
      <c r="AT767" s="277">
        <v>3</v>
      </c>
      <c r="AU767" s="277">
        <v>1</v>
      </c>
      <c r="AV767" s="277">
        <f t="shared" si="62"/>
        <v>1</v>
      </c>
      <c r="AX767" s="88" t="str">
        <f t="shared" ca="1" si="61"/>
        <v>SAFAAPL</v>
      </c>
    </row>
    <row r="768" spans="1:50" hidden="1">
      <c r="A768" s="88" t="str">
        <f t="shared" ca="1" si="59"/>
        <v>SAFAMZN</v>
      </c>
      <c r="C768" s="686"/>
      <c r="D768" s="686"/>
      <c r="F768" s="256">
        <v>5.6879999999999995E-3</v>
      </c>
      <c r="G768" s="256">
        <v>-1.1702999999999998E-2</v>
      </c>
      <c r="H768" s="256">
        <v>4.8279999999999998E-3</v>
      </c>
      <c r="I768" s="256">
        <v>8.0679999999999988E-3</v>
      </c>
      <c r="J768" s="256">
        <v>-1.3039E-2</v>
      </c>
      <c r="K768" s="256">
        <v>3.9839999999999997E-3</v>
      </c>
      <c r="L768" s="256">
        <v>1.5510999999999999E-2</v>
      </c>
      <c r="M768" s="256">
        <v>1.1188999999999999E-2</v>
      </c>
      <c r="N768" s="256">
        <v>1.1188999999999999E-2</v>
      </c>
      <c r="O768" s="256">
        <v>1.7100000000000001E-2</v>
      </c>
      <c r="P768" s="256">
        <v>-1.6722000000000001E-2</v>
      </c>
      <c r="Q768" s="256">
        <v>-5.6839999999999998E-3</v>
      </c>
      <c r="R768" s="256">
        <v>-5.1029999999999999E-3</v>
      </c>
      <c r="S768" s="256">
        <v>-6.6679999999999994E-3</v>
      </c>
      <c r="T768" s="256">
        <v>1.6147000000000002E-2</v>
      </c>
      <c r="U768" s="256">
        <v>2.5637E-2</v>
      </c>
      <c r="V768" s="256">
        <v>-1.8376E-2</v>
      </c>
      <c r="W768" s="256">
        <v>-1.8376E-2</v>
      </c>
      <c r="X768" s="256">
        <v>1.4407000000000001E-2</v>
      </c>
      <c r="Y768" s="256">
        <v>1.4112E-2</v>
      </c>
      <c r="Z768" s="248">
        <f ca="1">[1]ExtEntry!$M67</f>
        <v>1.4112E-2</v>
      </c>
      <c r="AB768" s="253">
        <v>16</v>
      </c>
      <c r="AC768" s="253">
        <v>19</v>
      </c>
      <c r="AD768" s="253">
        <v>16</v>
      </c>
      <c r="AE768" s="288">
        <v>13</v>
      </c>
      <c r="AF768" s="288">
        <v>19</v>
      </c>
      <c r="AG768" s="288">
        <v>12</v>
      </c>
      <c r="AH768" s="288">
        <v>10</v>
      </c>
      <c r="AI768" s="288">
        <v>9</v>
      </c>
      <c r="AJ768" s="288">
        <v>8</v>
      </c>
      <c r="AK768" s="288">
        <v>16</v>
      </c>
      <c r="AL768" s="288">
        <v>20</v>
      </c>
      <c r="AM768" s="277">
        <v>20</v>
      </c>
      <c r="AN768" s="277">
        <v>20</v>
      </c>
      <c r="AO768" s="277">
        <v>20</v>
      </c>
      <c r="AP768" s="277">
        <v>16</v>
      </c>
      <c r="AQ768" s="277">
        <v>5</v>
      </c>
      <c r="AR768" s="277">
        <v>15</v>
      </c>
      <c r="AS768" s="277">
        <v>14</v>
      </c>
      <c r="AT768" s="277">
        <v>7</v>
      </c>
      <c r="AU768" s="277">
        <v>4</v>
      </c>
      <c r="AV768" s="277">
        <f t="shared" si="62"/>
        <v>4</v>
      </c>
      <c r="AX768" s="88" t="str">
        <f t="shared" ca="1" si="61"/>
        <v>SAFAMZN</v>
      </c>
    </row>
    <row r="769" spans="1:50" hidden="1">
      <c r="A769" s="88" t="str">
        <f t="shared" ref="A769:A797" ca="1" si="63">A70</f>
        <v>SAFASML</v>
      </c>
      <c r="C769" s="686"/>
      <c r="D769" s="686"/>
      <c r="F769" s="256">
        <v>1.5625E-2</v>
      </c>
      <c r="G769" s="256">
        <v>5.6930000000000001E-3</v>
      </c>
      <c r="H769" s="256">
        <v>3.6339999999999997E-2</v>
      </c>
      <c r="I769" s="256">
        <v>2.6811999999999999E-2</v>
      </c>
      <c r="J769" s="256">
        <v>1.99E-3</v>
      </c>
      <c r="K769" s="256">
        <v>-2.5075E-2</v>
      </c>
      <c r="L769" s="256">
        <v>-2.6291999999999999E-2</v>
      </c>
      <c r="M769" s="256">
        <v>-2.3480000000000003E-3</v>
      </c>
      <c r="N769" s="256">
        <v>-8.8260000000000005E-3</v>
      </c>
      <c r="O769" s="256">
        <v>3.6982000000000001E-2</v>
      </c>
      <c r="P769" s="256">
        <v>3.081E-3</v>
      </c>
      <c r="Q769" s="256">
        <v>3.1184E-2</v>
      </c>
      <c r="R769" s="256">
        <v>5.0400000000000002E-3</v>
      </c>
      <c r="S769" s="256">
        <v>-1.9380000000000001E-3</v>
      </c>
      <c r="T769" s="256">
        <v>2.6606999999999999E-2</v>
      </c>
      <c r="U769" s="256">
        <v>-1.0234E-2</v>
      </c>
      <c r="V769" s="256">
        <v>-2.214E-2</v>
      </c>
      <c r="W769" s="256">
        <v>-2.214E-2</v>
      </c>
      <c r="X769" s="256">
        <v>2.0228000000000003E-2</v>
      </c>
      <c r="Y769" s="256">
        <v>7.548E-3</v>
      </c>
      <c r="Z769" s="248">
        <f ca="1">[1]ExtEntry!$M68</f>
        <v>7.548E-3</v>
      </c>
      <c r="AB769" s="253">
        <v>1</v>
      </c>
      <c r="AC769" s="253">
        <v>1</v>
      </c>
      <c r="AD769" s="253">
        <v>1</v>
      </c>
      <c r="AE769" s="288">
        <v>1</v>
      </c>
      <c r="AF769" s="288">
        <v>1</v>
      </c>
      <c r="AG769" s="288">
        <v>5</v>
      </c>
      <c r="AH769" s="288">
        <v>6</v>
      </c>
      <c r="AI769" s="288">
        <v>7</v>
      </c>
      <c r="AJ769" s="288">
        <v>8</v>
      </c>
      <c r="AK769" s="288">
        <v>8</v>
      </c>
      <c r="AL769" s="288">
        <v>8</v>
      </c>
      <c r="AM769" s="277">
        <v>6</v>
      </c>
      <c r="AN769" s="277">
        <v>5</v>
      </c>
      <c r="AO769" s="277">
        <v>6</v>
      </c>
      <c r="AP769" s="277">
        <v>5</v>
      </c>
      <c r="AQ769" s="277">
        <v>6</v>
      </c>
      <c r="AR769" s="277">
        <v>11</v>
      </c>
      <c r="AS769" s="277">
        <v>11</v>
      </c>
      <c r="AT769" s="277">
        <v>7</v>
      </c>
      <c r="AU769" s="277">
        <v>6</v>
      </c>
      <c r="AV769" s="277">
        <f t="shared" si="62"/>
        <v>6</v>
      </c>
      <c r="AX769" s="88" t="str">
        <f t="shared" ca="1" si="61"/>
        <v>SAFASML</v>
      </c>
    </row>
    <row r="770" spans="1:50" hidden="1">
      <c r="A770" s="88" t="str">
        <f t="shared" ca="1" si="63"/>
        <v>SAFDDD</v>
      </c>
      <c r="C770" s="686"/>
      <c r="D770" s="686"/>
      <c r="F770" s="256">
        <v>-4.5016E-2</v>
      </c>
      <c r="G770" s="256">
        <v>-2.027E-2</v>
      </c>
      <c r="H770" s="256">
        <v>-1.2069000000000002E-2</v>
      </c>
      <c r="I770" s="256">
        <v>4.3554000000000002E-2</v>
      </c>
      <c r="J770" s="256">
        <v>4.3478000000000003E-2</v>
      </c>
      <c r="K770" s="256">
        <v>-1.1041E-2</v>
      </c>
      <c r="L770" s="256">
        <v>3.3439000000000003E-2</v>
      </c>
      <c r="M770" s="256">
        <v>-1.5480000000000001E-2</v>
      </c>
      <c r="N770" s="256">
        <v>-1.5480000000000001E-2</v>
      </c>
      <c r="O770" s="256">
        <v>7.6124999999999998E-2</v>
      </c>
      <c r="P770" s="256">
        <v>-9.6460000000000001E-3</v>
      </c>
      <c r="Q770" s="256">
        <v>5.5195000000000001E-2</v>
      </c>
      <c r="R770" s="256">
        <v>-3.058E-3</v>
      </c>
      <c r="S770" s="256">
        <v>-4.6012000000000004E-2</v>
      </c>
      <c r="T770" s="256">
        <v>0.21704200000000001</v>
      </c>
      <c r="U770" s="256">
        <v>-0.10846600000000001</v>
      </c>
      <c r="V770" s="256">
        <v>-0.11094699999999999</v>
      </c>
      <c r="W770" s="256">
        <v>-0.11094699999999999</v>
      </c>
      <c r="X770" s="256">
        <v>2.1595E-2</v>
      </c>
      <c r="Y770" s="256">
        <v>1.4610000000000001E-2</v>
      </c>
      <c r="Z770" s="248">
        <f ca="1">[1]ExtEntry!$M69</f>
        <v>1.6233999999999998E-2</v>
      </c>
      <c r="AB770" s="253">
        <v>2</v>
      </c>
      <c r="AC770" s="253">
        <v>5</v>
      </c>
      <c r="AD770" s="253">
        <v>6</v>
      </c>
      <c r="AE770" s="288">
        <v>2</v>
      </c>
      <c r="AF770" s="288">
        <v>1</v>
      </c>
      <c r="AG770" s="288">
        <v>1</v>
      </c>
      <c r="AH770" s="288">
        <v>1</v>
      </c>
      <c r="AI770" s="288">
        <v>2</v>
      </c>
      <c r="AJ770" s="288">
        <v>2</v>
      </c>
      <c r="AK770" s="288">
        <v>7</v>
      </c>
      <c r="AL770" s="288">
        <v>8</v>
      </c>
      <c r="AM770" s="277">
        <v>1</v>
      </c>
      <c r="AN770" s="277">
        <v>1</v>
      </c>
      <c r="AO770" s="277">
        <v>9</v>
      </c>
      <c r="AP770" s="277">
        <v>1</v>
      </c>
      <c r="AQ770" s="277">
        <v>2</v>
      </c>
      <c r="AR770" s="277">
        <v>14</v>
      </c>
      <c r="AS770" s="277">
        <v>14</v>
      </c>
      <c r="AT770" s="277">
        <v>14</v>
      </c>
      <c r="AU770" s="277">
        <v>9</v>
      </c>
      <c r="AV770" s="277">
        <f t="shared" si="62"/>
        <v>9</v>
      </c>
      <c r="AX770" s="88" t="str">
        <f t="shared" ca="1" si="61"/>
        <v>SAFDDD</v>
      </c>
    </row>
    <row r="771" spans="1:50" hidden="1">
      <c r="A771" s="88" t="str">
        <f t="shared" ca="1" si="63"/>
        <v>SAFDIS</v>
      </c>
      <c r="C771" s="686"/>
      <c r="D771" s="686"/>
      <c r="F771" s="256">
        <v>7.2709999999999997E-3</v>
      </c>
      <c r="G771" s="256">
        <v>-2.614E-3</v>
      </c>
      <c r="H771" s="256">
        <v>-1.3668E-2</v>
      </c>
      <c r="I771" s="256">
        <v>-6.9940000000000002E-3</v>
      </c>
      <c r="J771" s="256">
        <v>3.1210000000000001E-3</v>
      </c>
      <c r="K771" s="256">
        <v>-1.596E-3</v>
      </c>
      <c r="L771" s="256">
        <v>-5.6870000000000002E-3</v>
      </c>
      <c r="M771" s="256">
        <v>-8.0440000000000008E-3</v>
      </c>
      <c r="N771" s="256">
        <v>-8.0440000000000008E-3</v>
      </c>
      <c r="O771" s="256">
        <v>1.0074000000000001E-2</v>
      </c>
      <c r="P771" s="256">
        <v>8.116E-3</v>
      </c>
      <c r="Q771" s="256">
        <v>7.5110000000000003E-3</v>
      </c>
      <c r="R771" s="256">
        <v>-1.6247000000000001E-2</v>
      </c>
      <c r="S771" s="256">
        <v>7.1899999999999993E-3</v>
      </c>
      <c r="T771" s="256">
        <v>1.1837E-2</v>
      </c>
      <c r="U771" s="256">
        <v>2.0990000000000002E-2</v>
      </c>
      <c r="V771" s="256">
        <v>-1.0499000000000001E-2</v>
      </c>
      <c r="W771" s="256">
        <v>-1.0499000000000001E-2</v>
      </c>
      <c r="X771" s="256">
        <v>-5.306E-4</v>
      </c>
      <c r="Y771" s="256">
        <v>-1.2032000000000001E-2</v>
      </c>
      <c r="Z771" s="248">
        <f ca="1">[1]ExtEntry!$M70</f>
        <v>-1.1944E-2</v>
      </c>
      <c r="AB771" s="253">
        <v>13</v>
      </c>
      <c r="AC771" s="253">
        <v>12</v>
      </c>
      <c r="AD771" s="253">
        <v>18</v>
      </c>
      <c r="AE771" s="288">
        <v>20</v>
      </c>
      <c r="AF771" s="288">
        <v>17</v>
      </c>
      <c r="AG771" s="288">
        <v>16</v>
      </c>
      <c r="AH771" s="288">
        <v>20</v>
      </c>
      <c r="AI771" s="288">
        <v>20</v>
      </c>
      <c r="AJ771" s="288">
        <v>19</v>
      </c>
      <c r="AK771" s="288">
        <v>20</v>
      </c>
      <c r="AL771" s="288">
        <v>17</v>
      </c>
      <c r="AM771" s="277">
        <v>15</v>
      </c>
      <c r="AN771" s="277">
        <v>20</v>
      </c>
      <c r="AO771" s="277">
        <v>18</v>
      </c>
      <c r="AP771" s="277">
        <v>13</v>
      </c>
      <c r="AQ771" s="277">
        <v>2</v>
      </c>
      <c r="AR771" s="277">
        <v>6</v>
      </c>
      <c r="AS771" s="277">
        <v>5</v>
      </c>
      <c r="AT771" s="277">
        <v>7</v>
      </c>
      <c r="AU771" s="277">
        <v>14</v>
      </c>
      <c r="AV771" s="277">
        <f t="shared" si="62"/>
        <v>14</v>
      </c>
      <c r="AX771" s="88" t="str">
        <f t="shared" ca="1" si="61"/>
        <v>SAFDIS</v>
      </c>
    </row>
    <row r="772" spans="1:50" hidden="1">
      <c r="A772" s="88" t="str">
        <f t="shared" ca="1" si="63"/>
        <v>SAFGM</v>
      </c>
      <c r="C772" s="686"/>
      <c r="D772" s="686"/>
      <c r="F772" s="256">
        <v>-6.9399999999999991E-3</v>
      </c>
      <c r="G772" s="256">
        <v>-2.6179999999999997E-3</v>
      </c>
      <c r="H772" s="256">
        <v>5.9050000000000005E-3</v>
      </c>
      <c r="I772" s="256">
        <v>-3.2279000000000002E-2</v>
      </c>
      <c r="J772" s="256">
        <v>1.2971999999999999E-2</v>
      </c>
      <c r="K772" s="256">
        <v>-1.5810000000000001E-2</v>
      </c>
      <c r="L772" s="256">
        <v>-1.4932000000000001E-2</v>
      </c>
      <c r="M772" s="256">
        <v>-8.1560000000000001E-3</v>
      </c>
      <c r="N772" s="256">
        <v>-8.5109999999999995E-3</v>
      </c>
      <c r="O772" s="256">
        <v>4.6969999999999998E-3</v>
      </c>
      <c r="P772" s="256">
        <v>2.7507999999999998E-2</v>
      </c>
      <c r="Q772" s="256">
        <v>1.3472E-2</v>
      </c>
      <c r="R772" s="256">
        <v>-7.9579999999999998E-3</v>
      </c>
      <c r="S772" s="256">
        <v>1.8137E-2</v>
      </c>
      <c r="T772" s="256">
        <v>-6.1660000000000005E-3</v>
      </c>
      <c r="U772" s="256">
        <v>0.148448</v>
      </c>
      <c r="V772" s="256">
        <v>1.0506999999999999E-2</v>
      </c>
      <c r="W772" s="256">
        <v>1.0506999999999999E-2</v>
      </c>
      <c r="X772" s="256">
        <v>-7.0569999999999999E-3</v>
      </c>
      <c r="Y772" s="256">
        <v>4.2183999999999999E-2</v>
      </c>
      <c r="Z772" s="248">
        <f ca="1">[1]ExtEntry!$M71</f>
        <v>4.2034000000000002E-2</v>
      </c>
      <c r="AB772" s="253">
        <v>2</v>
      </c>
      <c r="AC772" s="253">
        <v>2</v>
      </c>
      <c r="AD772" s="253">
        <v>1</v>
      </c>
      <c r="AE772" s="288">
        <v>7</v>
      </c>
      <c r="AF772" s="288">
        <v>6</v>
      </c>
      <c r="AG772" s="288">
        <v>20</v>
      </c>
      <c r="AH772" s="288">
        <v>20</v>
      </c>
      <c r="AI772" s="288">
        <v>20</v>
      </c>
      <c r="AJ772" s="288">
        <v>20</v>
      </c>
      <c r="AK772" s="288">
        <v>20</v>
      </c>
      <c r="AL772" s="288">
        <v>16</v>
      </c>
      <c r="AM772" s="277">
        <v>14</v>
      </c>
      <c r="AN772" s="277">
        <v>14</v>
      </c>
      <c r="AO772" s="277">
        <v>12</v>
      </c>
      <c r="AP772" s="277">
        <v>12</v>
      </c>
      <c r="AQ772" s="277">
        <v>1</v>
      </c>
      <c r="AR772" s="277">
        <v>1</v>
      </c>
      <c r="AS772" s="277">
        <v>1</v>
      </c>
      <c r="AT772" s="277">
        <v>3</v>
      </c>
      <c r="AU772" s="277">
        <v>1</v>
      </c>
      <c r="AV772" s="277">
        <f t="shared" si="62"/>
        <v>1</v>
      </c>
      <c r="AX772" s="88" t="str">
        <f t="shared" ca="1" si="61"/>
        <v>SAFGM</v>
      </c>
    </row>
    <row r="773" spans="1:50" hidden="1">
      <c r="A773" s="88" t="str">
        <f t="shared" ca="1" si="63"/>
        <v>SAFIAG</v>
      </c>
      <c r="C773" s="686"/>
      <c r="D773" s="686"/>
      <c r="F773" s="256">
        <v>6.2880000000000002E-3</v>
      </c>
      <c r="G773" s="256">
        <v>5.2070000000000007E-3</v>
      </c>
      <c r="H773" s="256">
        <v>-1.7353E-2</v>
      </c>
      <c r="I773" s="256">
        <v>1.8977000000000001E-2</v>
      </c>
      <c r="J773" s="256">
        <v>-2.0690000000000001E-3</v>
      </c>
      <c r="K773" s="256">
        <v>4.8989999999999997E-3</v>
      </c>
      <c r="L773" s="256">
        <v>2.6431E-2</v>
      </c>
      <c r="M773" s="256">
        <v>3.2000000000000001E-2</v>
      </c>
      <c r="N773" s="256">
        <v>-1.1386E-2</v>
      </c>
      <c r="O773" s="256">
        <v>4.9019999999999999E-4</v>
      </c>
      <c r="P773" s="256">
        <v>-4.8999999999999998E-4</v>
      </c>
      <c r="Q773" s="256">
        <v>-1.225E-3</v>
      </c>
      <c r="R773" s="256">
        <v>-2.9449999999999997E-3</v>
      </c>
      <c r="S773" s="256">
        <v>-3.7164999999999997E-2</v>
      </c>
      <c r="T773" s="256">
        <v>1.2270000000000001E-2</v>
      </c>
      <c r="U773" s="256">
        <v>-5.5560000000000002E-3</v>
      </c>
      <c r="V773" s="256">
        <v>2.2345999999999998E-2</v>
      </c>
      <c r="W773" s="256">
        <v>2.2345999999999998E-2</v>
      </c>
      <c r="X773" s="256">
        <v>2.235E-3</v>
      </c>
      <c r="Y773" s="256">
        <v>1.6108999999999998E-2</v>
      </c>
      <c r="Z773" s="248">
        <f ca="1">[1]ExtEntry!$M72</f>
        <v>1.6108999999999998E-2</v>
      </c>
      <c r="AB773" s="253">
        <v>7</v>
      </c>
      <c r="AC773" s="253">
        <v>6</v>
      </c>
      <c r="AD773" s="253">
        <v>19</v>
      </c>
      <c r="AE773" s="288">
        <v>3</v>
      </c>
      <c r="AF773" s="288">
        <v>5</v>
      </c>
      <c r="AG773" s="288">
        <v>1</v>
      </c>
      <c r="AH773" s="288">
        <v>1</v>
      </c>
      <c r="AI773" s="288">
        <v>1</v>
      </c>
      <c r="AJ773" s="288">
        <v>2</v>
      </c>
      <c r="AK773" s="288">
        <v>2</v>
      </c>
      <c r="AL773" s="288">
        <v>4</v>
      </c>
      <c r="AM773" s="277">
        <v>5</v>
      </c>
      <c r="AN773" s="277">
        <v>6</v>
      </c>
      <c r="AO773" s="277">
        <v>8</v>
      </c>
      <c r="AP773" s="277">
        <v>8</v>
      </c>
      <c r="AQ773" s="277">
        <v>9</v>
      </c>
      <c r="AR773" s="277">
        <v>7</v>
      </c>
      <c r="AS773" s="277">
        <v>7</v>
      </c>
      <c r="AT773" s="277">
        <v>7</v>
      </c>
      <c r="AU773" s="277">
        <v>2</v>
      </c>
      <c r="AV773" s="277">
        <f t="shared" si="62"/>
        <v>2</v>
      </c>
      <c r="AX773" s="88" t="str">
        <f t="shared" ca="1" si="61"/>
        <v>SAFIAG</v>
      </c>
    </row>
    <row r="774" spans="1:50" hidden="1">
      <c r="A774" s="88" t="str">
        <f t="shared" ca="1" si="63"/>
        <v>SAFMRNA</v>
      </c>
      <c r="C774" s="686"/>
      <c r="D774" s="686"/>
      <c r="F774" s="256">
        <v>2.5259E-2</v>
      </c>
      <c r="G774" s="256">
        <v>1.9739E-2</v>
      </c>
      <c r="H774" s="256">
        <v>6.8525000000000003E-2</v>
      </c>
      <c r="I774" s="256">
        <v>2.7898999999999997E-2</v>
      </c>
      <c r="J774" s="256">
        <v>4.2300000000000003E-3</v>
      </c>
      <c r="K774" s="256">
        <v>-7.2619999999999994E-3</v>
      </c>
      <c r="L774" s="256">
        <v>2.1214E-2</v>
      </c>
      <c r="M774" s="256">
        <v>-1.3968000000000001E-2</v>
      </c>
      <c r="N774" s="256">
        <v>-1.3968000000000001E-2</v>
      </c>
      <c r="O774" s="256">
        <v>-3.3539999999999998E-3</v>
      </c>
      <c r="P774" s="256">
        <v>-1.8325000000000001E-2</v>
      </c>
      <c r="Q774" s="256">
        <v>5.7332999999999995E-2</v>
      </c>
      <c r="R774" s="256">
        <v>-2.0924000000000002E-2</v>
      </c>
      <c r="S774" s="256">
        <v>-4.1635999999999999E-2</v>
      </c>
      <c r="T774" s="256">
        <v>4.7289999999999999E-2</v>
      </c>
      <c r="U774" s="256">
        <v>9.1779999999999987E-3</v>
      </c>
      <c r="V774" s="256">
        <v>-2.3281E-2</v>
      </c>
      <c r="W774" s="256">
        <v>-2.3281E-2</v>
      </c>
      <c r="X774" s="256">
        <v>-2.2345999999999998E-2</v>
      </c>
      <c r="Y774" s="256">
        <v>1.8667E-2</v>
      </c>
      <c r="Z774" s="248">
        <f ca="1">[1]ExtEntry!$M73</f>
        <v>1.8667E-2</v>
      </c>
      <c r="AB774" s="253">
        <v>8</v>
      </c>
      <c r="AC774" s="253">
        <v>3</v>
      </c>
      <c r="AD774" s="253">
        <v>1</v>
      </c>
      <c r="AE774" s="288">
        <v>1</v>
      </c>
      <c r="AF774" s="288">
        <v>1</v>
      </c>
      <c r="AG774" s="288">
        <v>4</v>
      </c>
      <c r="AH774" s="288">
        <v>3</v>
      </c>
      <c r="AI774" s="288">
        <v>5</v>
      </c>
      <c r="AJ774" s="288">
        <v>5</v>
      </c>
      <c r="AK774" s="288">
        <v>9</v>
      </c>
      <c r="AL774" s="288">
        <v>10</v>
      </c>
      <c r="AM774" s="277">
        <v>4</v>
      </c>
      <c r="AN774" s="277">
        <v>9</v>
      </c>
      <c r="AO774" s="277">
        <v>13</v>
      </c>
      <c r="AP774" s="277">
        <v>9</v>
      </c>
      <c r="AQ774" s="277">
        <v>8</v>
      </c>
      <c r="AR774" s="277">
        <v>12</v>
      </c>
      <c r="AS774" s="277">
        <v>12</v>
      </c>
      <c r="AT774" s="277">
        <v>15</v>
      </c>
      <c r="AU774" s="277">
        <v>14</v>
      </c>
      <c r="AV774" s="277">
        <f t="shared" si="62"/>
        <v>14</v>
      </c>
      <c r="AX774" s="88" t="str">
        <f t="shared" ca="1" si="61"/>
        <v>SAFMRNA</v>
      </c>
    </row>
    <row r="775" spans="1:50" hidden="1">
      <c r="A775" s="88" t="str">
        <f t="shared" ca="1" si="63"/>
        <v>BLNK</v>
      </c>
      <c r="C775" s="686"/>
      <c r="D775" s="686"/>
      <c r="F775" s="256">
        <v>0.138158</v>
      </c>
      <c r="G775" s="256">
        <v>-6.2856999999999996E-2</v>
      </c>
      <c r="H775" s="256">
        <v>0.103659</v>
      </c>
      <c r="I775" s="256">
        <v>-2.7623999999999999E-2</v>
      </c>
      <c r="J775" s="256">
        <v>0.13636400000000001</v>
      </c>
      <c r="K775" s="256">
        <v>-5.2000000000000005E-2</v>
      </c>
      <c r="L775" s="256">
        <v>-2.9535999999999996E-2</v>
      </c>
      <c r="M775" s="256">
        <v>-3.0435E-2</v>
      </c>
      <c r="N775" s="256">
        <v>-3.0435E-2</v>
      </c>
      <c r="O775" s="256">
        <v>0.10396000000000001</v>
      </c>
      <c r="P775" s="256">
        <v>1.7937000000000002E-2</v>
      </c>
      <c r="Q775" s="256">
        <v>-4.6256000000000005E-2</v>
      </c>
      <c r="R775" s="256">
        <v>-0.115741</v>
      </c>
      <c r="S775" s="256">
        <v>-4.7119999999999995E-2</v>
      </c>
      <c r="T775" s="256">
        <v>3.8462000000000003E-2</v>
      </c>
      <c r="U775" s="256">
        <v>-6.3491999999999993E-2</v>
      </c>
      <c r="V775" s="256">
        <v>1.1298999999999998E-2</v>
      </c>
      <c r="W775" s="256">
        <v>1.1298999999999998E-2</v>
      </c>
      <c r="X775" s="256">
        <v>0</v>
      </c>
      <c r="Y775" s="256">
        <v>7.8212000000000004E-2</v>
      </c>
      <c r="Z775" s="248">
        <f ca="1">[1]ExtEntry!$M74</f>
        <v>7.8212000000000004E-2</v>
      </c>
      <c r="AB775" s="253">
        <v>1</v>
      </c>
      <c r="AC775" s="253">
        <v>2</v>
      </c>
      <c r="AD775" s="253">
        <v>1</v>
      </c>
      <c r="AE775" s="288">
        <v>2</v>
      </c>
      <c r="AF775" s="288">
        <v>1</v>
      </c>
      <c r="AG775" s="288">
        <v>1</v>
      </c>
      <c r="AH775" s="288">
        <v>2</v>
      </c>
      <c r="AI775" s="288">
        <v>3</v>
      </c>
      <c r="AJ775" s="288">
        <v>3</v>
      </c>
      <c r="AK775" s="288">
        <v>3</v>
      </c>
      <c r="AL775" s="288">
        <v>3</v>
      </c>
      <c r="AM775" s="277">
        <v>7</v>
      </c>
      <c r="AN775" s="277">
        <v>9</v>
      </c>
      <c r="AO775" s="277">
        <v>10</v>
      </c>
      <c r="AP775" s="277">
        <v>10</v>
      </c>
      <c r="AQ775" s="277">
        <v>13</v>
      </c>
      <c r="AR775" s="277">
        <v>13</v>
      </c>
      <c r="AS775" s="277">
        <v>13</v>
      </c>
      <c r="AT775" s="277">
        <v>13</v>
      </c>
      <c r="AU775" s="277">
        <v>9</v>
      </c>
      <c r="AV775" s="277">
        <f t="shared" si="62"/>
        <v>9</v>
      </c>
      <c r="AX775" s="88" t="str">
        <f t="shared" ca="1" si="61"/>
        <v>BLNK</v>
      </c>
    </row>
    <row r="776" spans="1:50" hidden="1">
      <c r="A776" s="88" t="str">
        <f t="shared" ca="1" si="63"/>
        <v>ENI</v>
      </c>
      <c r="C776" s="686"/>
      <c r="D776" s="686"/>
      <c r="F776" s="256">
        <v>-1.7203E-2</v>
      </c>
      <c r="G776" s="256">
        <v>-1.4322E-2</v>
      </c>
      <c r="H776" s="256">
        <v>8.072000000000001E-3</v>
      </c>
      <c r="I776" s="256">
        <v>-7.3400000000000002E-3</v>
      </c>
      <c r="J776" s="256">
        <v>2.0169999999999997E-3</v>
      </c>
      <c r="K776" s="256">
        <v>4.3690000000000005E-3</v>
      </c>
      <c r="L776" s="256">
        <v>7.3809999999999995E-3</v>
      </c>
      <c r="M776" s="256">
        <v>6.019E-3</v>
      </c>
      <c r="N776" s="256">
        <v>-1.1445E-2</v>
      </c>
      <c r="O776" s="256">
        <v>1.204E-3</v>
      </c>
      <c r="P776" s="256">
        <v>-1.8166999999999999E-2</v>
      </c>
      <c r="Q776" s="256">
        <v>1.4970000000000001E-3</v>
      </c>
      <c r="R776" s="256">
        <v>2.9889999999999999E-3</v>
      </c>
      <c r="S776" s="256">
        <v>5.2820000000000002E-3</v>
      </c>
      <c r="T776" s="256">
        <v>2.1559999999999999E-3</v>
      </c>
      <c r="U776" s="256">
        <v>1.6130000000000001E-3</v>
      </c>
      <c r="V776" s="256">
        <v>1.5167999999999999E-2</v>
      </c>
      <c r="W776" s="256">
        <v>1.5167999999999999E-2</v>
      </c>
      <c r="X776" s="256">
        <v>3.0411000000000001E-2</v>
      </c>
      <c r="Y776" s="256">
        <v>1.6040000000000002E-2</v>
      </c>
      <c r="Z776" s="248">
        <f ca="1">[1]ExtEntry!$M75</f>
        <v>1.6040000000000002E-2</v>
      </c>
      <c r="AB776" s="253">
        <v>4</v>
      </c>
      <c r="AC776" s="253">
        <v>14</v>
      </c>
      <c r="AD776" s="253">
        <v>5</v>
      </c>
      <c r="AE776" s="288">
        <v>12</v>
      </c>
      <c r="AF776" s="288">
        <v>10</v>
      </c>
      <c r="AG776" s="288">
        <v>2</v>
      </c>
      <c r="AH776" s="288">
        <v>2</v>
      </c>
      <c r="AI776" s="288">
        <v>1</v>
      </c>
      <c r="AJ776" s="288">
        <v>4</v>
      </c>
      <c r="AK776" s="288">
        <v>10</v>
      </c>
      <c r="AL776" s="288">
        <v>19</v>
      </c>
      <c r="AM776" s="277">
        <v>18</v>
      </c>
      <c r="AN776" s="277">
        <v>17</v>
      </c>
      <c r="AO776" s="277">
        <v>14</v>
      </c>
      <c r="AP776" s="277">
        <v>12</v>
      </c>
      <c r="AQ776" s="277">
        <v>12</v>
      </c>
      <c r="AR776" s="277">
        <v>7</v>
      </c>
      <c r="AS776" s="277">
        <v>7</v>
      </c>
      <c r="AT776" s="277">
        <v>1</v>
      </c>
      <c r="AU776" s="277">
        <v>1</v>
      </c>
      <c r="AV776" s="277">
        <f t="shared" si="62"/>
        <v>1</v>
      </c>
      <c r="AX776" s="88" t="str">
        <f t="shared" ca="1" si="61"/>
        <v>ENI</v>
      </c>
    </row>
    <row r="777" spans="1:50" hidden="1">
      <c r="A777" s="88" t="str">
        <f t="shared" ca="1" si="63"/>
        <v>EZJ</v>
      </c>
      <c r="C777" s="686"/>
      <c r="D777" s="686"/>
      <c r="F777" s="256">
        <v>1.1640999999999999E-2</v>
      </c>
      <c r="G777" s="256">
        <v>7.3819999999999997E-3</v>
      </c>
      <c r="H777" s="256">
        <v>-3.6640000000000002E-3</v>
      </c>
      <c r="I777" s="256">
        <v>1.7299999999999998E-3</v>
      </c>
      <c r="J777" s="256">
        <v>1.7707000000000001E-2</v>
      </c>
      <c r="K777" s="256">
        <v>-5.7679999999999997E-3</v>
      </c>
      <c r="L777" s="256">
        <v>1.3107000000000001E-2</v>
      </c>
      <c r="M777" s="256">
        <v>0</v>
      </c>
      <c r="N777" s="256">
        <v>-1.64E-3</v>
      </c>
      <c r="O777" s="256">
        <v>2.3760000000000001E-3</v>
      </c>
      <c r="P777" s="256">
        <v>8.0172000000000007E-2</v>
      </c>
      <c r="Q777" s="256">
        <v>-4.0902000000000001E-2</v>
      </c>
      <c r="R777" s="256">
        <v>1.8723E-2</v>
      </c>
      <c r="S777" s="256">
        <v>-3.676E-3</v>
      </c>
      <c r="T777" s="256">
        <v>-3.8940000000000003E-3</v>
      </c>
      <c r="U777" s="256">
        <v>-1.1728000000000001E-2</v>
      </c>
      <c r="V777" s="256">
        <v>2.7066E-2</v>
      </c>
      <c r="W777" s="256">
        <v>2.7066E-2</v>
      </c>
      <c r="X777" s="256">
        <v>-2.7975E-2</v>
      </c>
      <c r="Y777" s="256">
        <v>1.3764E-2</v>
      </c>
      <c r="Z777" s="248">
        <f ca="1">[1]ExtEntry!$M76</f>
        <v>1.3764E-2</v>
      </c>
      <c r="AB777" s="253">
        <v>11</v>
      </c>
      <c r="AC777" s="253">
        <v>9</v>
      </c>
      <c r="AD777" s="253">
        <v>9</v>
      </c>
      <c r="AE777" s="288">
        <v>8</v>
      </c>
      <c r="AF777" s="288">
        <v>4</v>
      </c>
      <c r="AG777" s="288">
        <v>6</v>
      </c>
      <c r="AH777" s="288">
        <v>3</v>
      </c>
      <c r="AI777" s="288">
        <v>3</v>
      </c>
      <c r="AJ777" s="288">
        <v>6</v>
      </c>
      <c r="AK777" s="288">
        <v>7</v>
      </c>
      <c r="AL777" s="288">
        <v>1</v>
      </c>
      <c r="AM777" s="277">
        <v>2</v>
      </c>
      <c r="AN777" s="277">
        <v>2</v>
      </c>
      <c r="AO777" s="277">
        <v>3</v>
      </c>
      <c r="AP777" s="277">
        <v>4</v>
      </c>
      <c r="AQ777" s="277">
        <v>6</v>
      </c>
      <c r="AR777" s="277">
        <v>2</v>
      </c>
      <c r="AS777" s="277">
        <v>2</v>
      </c>
      <c r="AT777" s="277">
        <v>9</v>
      </c>
      <c r="AU777" s="277">
        <v>6</v>
      </c>
      <c r="AV777" s="277">
        <f t="shared" si="62"/>
        <v>6</v>
      </c>
      <c r="AX777" s="88" t="str">
        <f t="shared" ca="1" si="61"/>
        <v>EZJ</v>
      </c>
    </row>
    <row r="778" spans="1:50" hidden="1">
      <c r="A778" s="88" t="str">
        <f t="shared" ca="1" si="63"/>
        <v>F</v>
      </c>
      <c r="C778" s="686"/>
      <c r="D778" s="686"/>
      <c r="F778" s="256">
        <v>-4.7710000000000001E-3</v>
      </c>
      <c r="G778" s="256">
        <v>-1.1166000000000001E-2</v>
      </c>
      <c r="H778" s="256">
        <v>2.5920000000000002E-2</v>
      </c>
      <c r="I778" s="256">
        <v>-2.8519999999999999E-3</v>
      </c>
      <c r="J778" s="256">
        <v>3.6006999999999997E-2</v>
      </c>
      <c r="K778" s="256">
        <v>-6.1024000000000002E-2</v>
      </c>
      <c r="L778" s="256">
        <v>-1.4681E-2</v>
      </c>
      <c r="M778" s="256">
        <v>-1.8738999999999999E-2</v>
      </c>
      <c r="N778" s="256">
        <v>-2.0442999999999999E-2</v>
      </c>
      <c r="O778" s="256">
        <v>1.1832000000000001E-2</v>
      </c>
      <c r="P778" s="256">
        <v>1.0832E-2</v>
      </c>
      <c r="Q778" s="256">
        <v>7.2960000000000004E-3</v>
      </c>
      <c r="R778" s="256">
        <v>-1.276E-3</v>
      </c>
      <c r="S778" s="256">
        <v>1.5331999999999998E-2</v>
      </c>
      <c r="T778" s="256">
        <v>7.1309999999999993E-3</v>
      </c>
      <c r="U778" s="256">
        <v>4.8374E-2</v>
      </c>
      <c r="V778" s="256">
        <v>-8.3599999999999994E-3</v>
      </c>
      <c r="W778" s="256">
        <v>-8.3599999999999994E-3</v>
      </c>
      <c r="X778" s="256">
        <v>-9.6540000000000011E-3</v>
      </c>
      <c r="Y778" s="256">
        <v>0.12074600000000001</v>
      </c>
      <c r="Z778" s="248">
        <f ca="1">[1]ExtEntry!$M77</f>
        <v>0.121556</v>
      </c>
      <c r="AB778" s="253">
        <v>2</v>
      </c>
      <c r="AC778" s="253">
        <v>2</v>
      </c>
      <c r="AD778" s="253">
        <v>1</v>
      </c>
      <c r="AE778" s="288">
        <v>2</v>
      </c>
      <c r="AF778" s="288">
        <v>1</v>
      </c>
      <c r="AG778" s="288">
        <v>7</v>
      </c>
      <c r="AH778" s="288">
        <v>9</v>
      </c>
      <c r="AI778" s="288">
        <v>20</v>
      </c>
      <c r="AJ778" s="288">
        <v>20</v>
      </c>
      <c r="AK778" s="288">
        <v>18</v>
      </c>
      <c r="AL778" s="288">
        <v>11</v>
      </c>
      <c r="AM778" s="277">
        <v>11</v>
      </c>
      <c r="AN778" s="277">
        <v>8</v>
      </c>
      <c r="AO778" s="277">
        <v>8</v>
      </c>
      <c r="AP778" s="277">
        <v>5</v>
      </c>
      <c r="AQ778" s="277">
        <v>2</v>
      </c>
      <c r="AR778" s="277">
        <v>3</v>
      </c>
      <c r="AS778" s="277">
        <v>3</v>
      </c>
      <c r="AT778" s="277">
        <v>5</v>
      </c>
      <c r="AU778" s="277">
        <v>1</v>
      </c>
      <c r="AV778" s="277">
        <f t="shared" si="62"/>
        <v>1</v>
      </c>
      <c r="AX778" s="88" t="str">
        <f t="shared" ca="1" si="61"/>
        <v>F</v>
      </c>
    </row>
    <row r="779" spans="1:50" hidden="1">
      <c r="A779" s="88" t="str">
        <f t="shared" ca="1" si="63"/>
        <v>GLE</v>
      </c>
      <c r="C779" s="686"/>
      <c r="D779" s="686"/>
      <c r="F779" s="256">
        <v>-1.2901000000000001E-2</v>
      </c>
      <c r="G779" s="256">
        <v>-4.5919999999999997E-3</v>
      </c>
      <c r="H779" s="256">
        <v>8.1620000000000009E-3</v>
      </c>
      <c r="I779" s="256">
        <v>-1.7599999999999998E-3</v>
      </c>
      <c r="J779" s="256">
        <v>0</v>
      </c>
      <c r="K779" s="256">
        <v>-7.8180000000000003E-3</v>
      </c>
      <c r="L779" s="256">
        <v>2.1013E-2</v>
      </c>
      <c r="M779" s="256">
        <v>-1.103E-3</v>
      </c>
      <c r="N779" s="256">
        <v>-2.2079999999999999E-3</v>
      </c>
      <c r="O779" s="256">
        <v>-2.5990000000000002E-3</v>
      </c>
      <c r="P779" s="256">
        <v>2.4199999999999999E-2</v>
      </c>
      <c r="Q779" s="256">
        <v>9.8150000000000008E-3</v>
      </c>
      <c r="R779" s="256">
        <v>1.7278999999999999E-2</v>
      </c>
      <c r="S779" s="256">
        <v>-5.0955E-2</v>
      </c>
      <c r="T779" s="256">
        <v>-1.1931000000000001E-2</v>
      </c>
      <c r="U779" s="256">
        <v>2.264E-3</v>
      </c>
      <c r="V779" s="256">
        <v>-4.5179999999999994E-3</v>
      </c>
      <c r="W779" s="256">
        <v>-4.5179999999999994E-3</v>
      </c>
      <c r="X779" s="256">
        <v>1.3238000000000002E-2</v>
      </c>
      <c r="Y779" s="256">
        <v>1.8659999999999998E-3</v>
      </c>
      <c r="Z779" s="248">
        <f ca="1">[1]ExtEntry!$M78</f>
        <v>1.8659999999999998E-3</v>
      </c>
      <c r="AB779" s="253">
        <v>13</v>
      </c>
      <c r="AC779" s="253">
        <v>15</v>
      </c>
      <c r="AD779" s="253">
        <v>12</v>
      </c>
      <c r="AE779" s="288">
        <v>14</v>
      </c>
      <c r="AF779" s="288">
        <v>14</v>
      </c>
      <c r="AG779" s="288">
        <v>20</v>
      </c>
      <c r="AH779" s="288">
        <v>19</v>
      </c>
      <c r="AI779" s="288">
        <v>19</v>
      </c>
      <c r="AJ779" s="288">
        <v>19</v>
      </c>
      <c r="AK779" s="288">
        <v>19</v>
      </c>
      <c r="AL779" s="288">
        <v>15</v>
      </c>
      <c r="AM779" s="277">
        <v>14</v>
      </c>
      <c r="AN779" s="277">
        <v>12</v>
      </c>
      <c r="AO779" s="277">
        <v>19</v>
      </c>
      <c r="AP779" s="277">
        <v>20</v>
      </c>
      <c r="AQ779" s="277">
        <v>19</v>
      </c>
      <c r="AR779" s="277">
        <v>20</v>
      </c>
      <c r="AS779" s="277">
        <v>19</v>
      </c>
      <c r="AT779" s="277">
        <v>15</v>
      </c>
      <c r="AU779" s="277">
        <v>13</v>
      </c>
      <c r="AV779" s="277">
        <f t="shared" si="62"/>
        <v>13</v>
      </c>
      <c r="AX779" s="88" t="str">
        <f t="shared" ca="1" si="61"/>
        <v>GLE</v>
      </c>
    </row>
    <row r="780" spans="1:50" hidden="1">
      <c r="A780" s="88" t="str">
        <f t="shared" ca="1" si="63"/>
        <v>GNRC</v>
      </c>
      <c r="C780" s="686"/>
      <c r="D780" s="686"/>
      <c r="F780" s="256">
        <v>-1.4144E-2</v>
      </c>
      <c r="G780" s="256">
        <v>9.528E-3</v>
      </c>
      <c r="H780" s="256">
        <v>2.3890000000000001E-3</v>
      </c>
      <c r="I780" s="256">
        <v>1.2626999999999999E-2</v>
      </c>
      <c r="J780" s="256">
        <v>-2.5413000000000002E-2</v>
      </c>
      <c r="K780" s="256">
        <v>1.7607999999999999E-2</v>
      </c>
      <c r="L780" s="256">
        <v>2.6265E-2</v>
      </c>
      <c r="M780" s="256">
        <v>3.444E-3</v>
      </c>
      <c r="N780" s="256">
        <v>3.444E-3</v>
      </c>
      <c r="O780" s="256">
        <v>2.3754000000000001E-2</v>
      </c>
      <c r="P780" s="256">
        <v>5.6312000000000001E-2</v>
      </c>
      <c r="Q780" s="256">
        <v>5.1544999999999994E-2</v>
      </c>
      <c r="R780" s="256">
        <v>5.1390000000000003E-3</v>
      </c>
      <c r="S780" s="256">
        <v>-1.1161000000000001E-2</v>
      </c>
      <c r="T780" s="256">
        <v>2.7718E-2</v>
      </c>
      <c r="U780" s="256">
        <v>-1.6600999999999998E-2</v>
      </c>
      <c r="V780" s="256">
        <v>-4.8883000000000003E-2</v>
      </c>
      <c r="W780" s="256">
        <v>-4.8883000000000003E-2</v>
      </c>
      <c r="X780" s="256">
        <v>3.2497999999999999E-2</v>
      </c>
      <c r="Y780" s="256">
        <v>1.5710999999999999E-2</v>
      </c>
      <c r="Z780" s="248">
        <f ca="1">[1]ExtEntry!$M79</f>
        <v>1.5394000000000001E-2</v>
      </c>
      <c r="AB780" s="253">
        <v>19</v>
      </c>
      <c r="AC780" s="253">
        <v>17</v>
      </c>
      <c r="AD780" s="253">
        <v>15</v>
      </c>
      <c r="AE780" s="288">
        <v>13</v>
      </c>
      <c r="AF780" s="288">
        <v>19</v>
      </c>
      <c r="AG780" s="288">
        <v>16</v>
      </c>
      <c r="AH780" s="288">
        <v>10</v>
      </c>
      <c r="AI780" s="288">
        <v>9</v>
      </c>
      <c r="AJ780" s="288">
        <v>8</v>
      </c>
      <c r="AK780" s="288">
        <v>7</v>
      </c>
      <c r="AL780" s="288">
        <v>2</v>
      </c>
      <c r="AM780" s="277">
        <v>1</v>
      </c>
      <c r="AN780" s="277">
        <v>2</v>
      </c>
      <c r="AO780" s="277">
        <v>3</v>
      </c>
      <c r="AP780" s="277">
        <v>1</v>
      </c>
      <c r="AQ780" s="277">
        <v>4</v>
      </c>
      <c r="AR780" s="277">
        <v>7</v>
      </c>
      <c r="AS780" s="277">
        <v>7</v>
      </c>
      <c r="AT780" s="277">
        <v>6</v>
      </c>
      <c r="AU780" s="277">
        <v>5</v>
      </c>
      <c r="AV780" s="277">
        <f t="shared" si="62"/>
        <v>5</v>
      </c>
      <c r="AX780" s="88" t="str">
        <f t="shared" ca="1" si="61"/>
        <v>GNRC</v>
      </c>
    </row>
    <row r="781" spans="1:50" hidden="1">
      <c r="A781" s="88" t="str">
        <f t="shared" ca="1" si="63"/>
        <v>GS</v>
      </c>
      <c r="C781" s="686"/>
      <c r="D781" s="686"/>
      <c r="F781" s="256">
        <v>1.595E-4</v>
      </c>
      <c r="G781" s="256">
        <v>-9.7999999999999997E-3</v>
      </c>
      <c r="H781" s="256">
        <v>-1.2870999999999999E-2</v>
      </c>
      <c r="I781" s="256">
        <v>-7.1549999999999999E-3</v>
      </c>
      <c r="J781" s="256">
        <v>1.3665E-2</v>
      </c>
      <c r="K781" s="256">
        <v>-8.6470000000000002E-3</v>
      </c>
      <c r="L781" s="256">
        <v>-1.5993999999999998E-2</v>
      </c>
      <c r="M781" s="256">
        <v>4.8040000000000001E-3</v>
      </c>
      <c r="N781" s="256">
        <v>4.4429999999999999E-3</v>
      </c>
      <c r="O781" s="256">
        <v>3.0810000000000001E-2</v>
      </c>
      <c r="P781" s="256">
        <v>-1.9878E-2</v>
      </c>
      <c r="Q781" s="256">
        <v>-8.5629999999999994E-3</v>
      </c>
      <c r="R781" s="256">
        <v>-1.2514000000000001E-2</v>
      </c>
      <c r="S781" s="256">
        <v>-9.6559999999999997E-3</v>
      </c>
      <c r="T781" s="256">
        <v>1.6410000000000001E-2</v>
      </c>
      <c r="U781" s="256">
        <v>-5.568E-3</v>
      </c>
      <c r="V781" s="256">
        <v>-1.8973E-2</v>
      </c>
      <c r="W781" s="256">
        <v>-1.8973E-2</v>
      </c>
      <c r="X781" s="256">
        <v>8.6090000000000003E-3</v>
      </c>
      <c r="Y781" s="256">
        <v>4.4074000000000002E-2</v>
      </c>
      <c r="Z781" s="248">
        <f ca="1">[1]ExtEntry!$M80</f>
        <v>4.4086999999999994E-2</v>
      </c>
      <c r="AB781" s="253">
        <v>7</v>
      </c>
      <c r="AC781" s="253">
        <v>8</v>
      </c>
      <c r="AD781" s="253">
        <v>13</v>
      </c>
      <c r="AE781" s="288">
        <v>16</v>
      </c>
      <c r="AF781" s="288">
        <v>12</v>
      </c>
      <c r="AG781" s="288">
        <v>13</v>
      </c>
      <c r="AH781" s="288">
        <v>20</v>
      </c>
      <c r="AI781" s="288">
        <v>17</v>
      </c>
      <c r="AJ781" s="288">
        <v>18</v>
      </c>
      <c r="AK781" s="288">
        <v>13</v>
      </c>
      <c r="AL781" s="288">
        <v>20</v>
      </c>
      <c r="AM781" s="277">
        <v>20</v>
      </c>
      <c r="AN781" s="277">
        <v>20</v>
      </c>
      <c r="AO781" s="277">
        <v>20</v>
      </c>
      <c r="AP781" s="277">
        <v>18</v>
      </c>
      <c r="AQ781" s="277">
        <v>18</v>
      </c>
      <c r="AR781" s="277">
        <v>20</v>
      </c>
      <c r="AS781" s="277">
        <v>19</v>
      </c>
      <c r="AT781" s="277">
        <v>17</v>
      </c>
      <c r="AU781" s="277">
        <v>7</v>
      </c>
      <c r="AV781" s="277">
        <f t="shared" si="62"/>
        <v>7</v>
      </c>
      <c r="AX781" s="88" t="str">
        <f t="shared" ca="1" si="61"/>
        <v>GS</v>
      </c>
    </row>
    <row r="782" spans="1:50" hidden="1">
      <c r="A782" s="88" t="str">
        <f t="shared" ca="1" si="63"/>
        <v>LAZR</v>
      </c>
      <c r="C782" s="686"/>
      <c r="D782" s="686"/>
      <c r="F782" s="256">
        <v>-4.9499999999999995E-3</v>
      </c>
      <c r="G782" s="256">
        <v>-4.9751000000000004E-2</v>
      </c>
      <c r="H782" s="256">
        <v>2.8795999999999999E-2</v>
      </c>
      <c r="I782" s="256">
        <v>0.104326</v>
      </c>
      <c r="J782" s="256">
        <v>0.12903200000000001</v>
      </c>
      <c r="K782" s="256">
        <v>-8.4821000000000008E-2</v>
      </c>
      <c r="L782" s="256">
        <v>7.8048999999999993E-2</v>
      </c>
      <c r="M782" s="256">
        <v>-4.9774000000000006E-2</v>
      </c>
      <c r="N782" s="256">
        <v>-4.9774000000000006E-2</v>
      </c>
      <c r="O782" s="256">
        <v>8.2474000000000006E-2</v>
      </c>
      <c r="P782" s="256">
        <v>-4.7619999999999997E-3</v>
      </c>
      <c r="Q782" s="256">
        <v>-4.0670000000000005E-2</v>
      </c>
      <c r="R782" s="256">
        <v>-6.4355999999999997E-2</v>
      </c>
      <c r="S782" s="256">
        <v>2.6455000000000003E-2</v>
      </c>
      <c r="T782" s="256">
        <v>3.0928000000000001E-2</v>
      </c>
      <c r="U782" s="256">
        <v>-9.2499999999999999E-2</v>
      </c>
      <c r="V782" s="256">
        <v>-5.2342000000000007E-2</v>
      </c>
      <c r="W782" s="256">
        <v>-5.2342000000000007E-2</v>
      </c>
      <c r="X782" s="256">
        <v>-1.7441999999999999E-2</v>
      </c>
      <c r="Y782" s="256">
        <v>0.31360900000000003</v>
      </c>
      <c r="Z782" s="248">
        <f ca="1">[1]ExtEntry!$M81</f>
        <v>0.31360900000000003</v>
      </c>
      <c r="AB782" s="253">
        <v>12</v>
      </c>
      <c r="AC782" s="253">
        <v>13</v>
      </c>
      <c r="AD782" s="253">
        <v>13</v>
      </c>
      <c r="AE782" s="288">
        <v>6</v>
      </c>
      <c r="AF782" s="288">
        <v>1</v>
      </c>
      <c r="AG782" s="288">
        <v>13</v>
      </c>
      <c r="AH782" s="288">
        <v>7</v>
      </c>
      <c r="AI782" s="288">
        <v>13</v>
      </c>
      <c r="AJ782" s="288">
        <v>13</v>
      </c>
      <c r="AK782" s="288">
        <v>13</v>
      </c>
      <c r="AL782" s="288">
        <v>15</v>
      </c>
      <c r="AM782" s="277">
        <v>18</v>
      </c>
      <c r="AN782" s="277">
        <v>20</v>
      </c>
      <c r="AO782" s="277">
        <v>18</v>
      </c>
      <c r="AP782" s="277">
        <v>16</v>
      </c>
      <c r="AQ782" s="277">
        <v>20</v>
      </c>
      <c r="AR782" s="277">
        <v>20</v>
      </c>
      <c r="AS782" s="277">
        <v>19</v>
      </c>
      <c r="AT782" s="277">
        <v>20</v>
      </c>
      <c r="AU782" s="277">
        <v>2</v>
      </c>
      <c r="AV782" s="277">
        <f t="shared" si="62"/>
        <v>2</v>
      </c>
      <c r="AX782" s="88" t="str">
        <f t="shared" ca="1" si="61"/>
        <v>LAZR</v>
      </c>
    </row>
    <row r="783" spans="1:50" hidden="1">
      <c r="A783" s="88" t="str">
        <f t="shared" ca="1" si="63"/>
        <v>LUV</v>
      </c>
      <c r="C783" s="686"/>
      <c r="D783" s="686"/>
      <c r="F783" s="256">
        <v>3.9960000000000004E-3</v>
      </c>
      <c r="G783" s="256">
        <v>-2.5794000000000001E-2</v>
      </c>
      <c r="H783" s="256">
        <v>1.1752E-2</v>
      </c>
      <c r="I783" s="256">
        <v>9.2939999999999993E-4</v>
      </c>
      <c r="J783" s="256">
        <v>6.6540000000000002E-3</v>
      </c>
      <c r="K783" s="256">
        <v>-5.8320000000000004E-3</v>
      </c>
      <c r="L783" s="256">
        <v>2.3159999999999999E-3</v>
      </c>
      <c r="M783" s="256">
        <v>-2.3112000000000001E-2</v>
      </c>
      <c r="N783" s="256">
        <v>-2.3729E-2</v>
      </c>
      <c r="O783" s="256">
        <v>1.9175000000000001E-2</v>
      </c>
      <c r="P783" s="256">
        <v>4.7178999999999999E-2</v>
      </c>
      <c r="Q783" s="256">
        <v>1.0473E-2</v>
      </c>
      <c r="R783" s="256">
        <v>-8.0450000000000001E-3</v>
      </c>
      <c r="S783" s="256">
        <v>6.9089999999999993E-3</v>
      </c>
      <c r="T783" s="256">
        <v>2.6402000000000002E-2</v>
      </c>
      <c r="U783" s="256">
        <v>7.4060000000000003E-3</v>
      </c>
      <c r="V783" s="256">
        <v>-2.7682000000000002E-2</v>
      </c>
      <c r="W783" s="256">
        <v>-2.7682000000000002E-2</v>
      </c>
      <c r="X783" s="256">
        <v>-6.25E-2</v>
      </c>
      <c r="Y783" s="256">
        <v>1.7062000000000001E-2</v>
      </c>
      <c r="Z783" s="248">
        <f ca="1">[1]ExtEntry!$M82</f>
        <v>1.7378000000000001E-2</v>
      </c>
      <c r="AB783" s="253">
        <v>4</v>
      </c>
      <c r="AC783" s="253">
        <v>11</v>
      </c>
      <c r="AD783" s="253">
        <v>7</v>
      </c>
      <c r="AE783" s="288">
        <v>7</v>
      </c>
      <c r="AF783" s="288">
        <v>4</v>
      </c>
      <c r="AG783" s="288">
        <v>8</v>
      </c>
      <c r="AH783" s="288">
        <v>8</v>
      </c>
      <c r="AI783" s="288">
        <v>16</v>
      </c>
      <c r="AJ783" s="288">
        <v>17</v>
      </c>
      <c r="AK783" s="288">
        <v>16</v>
      </c>
      <c r="AL783" s="288">
        <v>1</v>
      </c>
      <c r="AM783" s="277">
        <v>1</v>
      </c>
      <c r="AN783" s="277">
        <v>4</v>
      </c>
      <c r="AO783" s="277">
        <v>2</v>
      </c>
      <c r="AP783" s="277">
        <v>1</v>
      </c>
      <c r="AQ783" s="277">
        <v>1</v>
      </c>
      <c r="AR783" s="277">
        <v>4</v>
      </c>
      <c r="AS783" s="277">
        <v>4</v>
      </c>
      <c r="AT783" s="277">
        <v>20</v>
      </c>
      <c r="AU783" s="277">
        <v>15</v>
      </c>
      <c r="AV783" s="277">
        <f t="shared" si="62"/>
        <v>15</v>
      </c>
      <c r="AX783" s="88" t="str">
        <f t="shared" ca="1" si="61"/>
        <v>LUV</v>
      </c>
    </row>
    <row r="784" spans="1:50" hidden="1">
      <c r="A784" s="88" t="str">
        <f t="shared" ca="1" si="63"/>
        <v>MA</v>
      </c>
      <c r="C784" s="686"/>
      <c r="D784" s="686"/>
      <c r="F784" s="256">
        <v>3.2650000000000001E-3</v>
      </c>
      <c r="G784" s="256">
        <v>1.1790000000000001E-3</v>
      </c>
      <c r="H784" s="256">
        <v>9.3349999999999995E-3</v>
      </c>
      <c r="I784" s="256">
        <v>6.4310000000000001E-3</v>
      </c>
      <c r="J784" s="256">
        <v>5.4390000000000003E-3</v>
      </c>
      <c r="K784" s="256">
        <v>1.7799999999999999E-3</v>
      </c>
      <c r="L784" s="256">
        <v>-5.9150000000000001E-3</v>
      </c>
      <c r="M784" s="256">
        <v>-1.9195E-2</v>
      </c>
      <c r="N784" s="256">
        <v>-1.9334E-2</v>
      </c>
      <c r="O784" s="256">
        <v>3.1749999999999999E-3</v>
      </c>
      <c r="P784" s="256">
        <v>1.5127999999999999E-2</v>
      </c>
      <c r="Q784" s="256">
        <v>-7.4570000000000001E-3</v>
      </c>
      <c r="R784" s="256">
        <v>-2.2618999999999997E-2</v>
      </c>
      <c r="S784" s="256">
        <v>2.0167999999999998E-2</v>
      </c>
      <c r="T784" s="256">
        <v>1.0161E-2</v>
      </c>
      <c r="U784" s="256">
        <v>9.9050000000000006E-3</v>
      </c>
      <c r="V784" s="256">
        <v>-1.3289999999999999E-3</v>
      </c>
      <c r="W784" s="256">
        <v>-1.3289999999999999E-3</v>
      </c>
      <c r="X784" s="256">
        <v>4.3579999999999999E-3</v>
      </c>
      <c r="Y784" s="256">
        <v>8.0170000000000003E-4</v>
      </c>
      <c r="Z784" s="248">
        <f ca="1">[1]ExtEntry!$M83</f>
        <v>-1.7430000000000001E-4</v>
      </c>
      <c r="AB784" s="253">
        <v>19</v>
      </c>
      <c r="AC784" s="253">
        <v>16</v>
      </c>
      <c r="AD784" s="253">
        <v>14</v>
      </c>
      <c r="AE784" s="288">
        <v>13</v>
      </c>
      <c r="AF784" s="288">
        <v>11</v>
      </c>
      <c r="AG784" s="288">
        <v>11</v>
      </c>
      <c r="AH784" s="288">
        <v>13</v>
      </c>
      <c r="AI784" s="288">
        <v>20</v>
      </c>
      <c r="AJ784" s="288">
        <v>20</v>
      </c>
      <c r="AK784" s="288">
        <v>20</v>
      </c>
      <c r="AL784" s="288">
        <v>14</v>
      </c>
      <c r="AM784" s="277">
        <v>19</v>
      </c>
      <c r="AN784" s="277">
        <v>20</v>
      </c>
      <c r="AO784" s="277">
        <v>18</v>
      </c>
      <c r="AP784" s="277">
        <v>13</v>
      </c>
      <c r="AQ784" s="277">
        <v>6</v>
      </c>
      <c r="AR784" s="277">
        <v>7</v>
      </c>
      <c r="AS784" s="277">
        <v>7</v>
      </c>
      <c r="AT784" s="277">
        <v>6</v>
      </c>
      <c r="AU784" s="277">
        <v>5</v>
      </c>
      <c r="AV784" s="277">
        <f t="shared" si="62"/>
        <v>5</v>
      </c>
      <c r="AX784" s="88" t="str">
        <f t="shared" ca="1" si="61"/>
        <v>MA</v>
      </c>
    </row>
    <row r="785" spans="1:70" hidden="1">
      <c r="A785" s="88" t="str">
        <f t="shared" ca="1" si="63"/>
        <v>NVAX</v>
      </c>
      <c r="C785" s="686"/>
      <c r="D785" s="686"/>
      <c r="F785" s="256">
        <v>5.8480000000000001E-4</v>
      </c>
      <c r="G785" s="256">
        <v>1.1669000000000001E-2</v>
      </c>
      <c r="H785" s="256">
        <v>9.5731999999999998E-2</v>
      </c>
      <c r="I785" s="256">
        <v>5.2630000000000003E-3</v>
      </c>
      <c r="J785" s="256">
        <v>-9.4240000000000001E-3</v>
      </c>
      <c r="K785" s="256">
        <v>1.5419E-2</v>
      </c>
      <c r="L785" s="256">
        <v>-3.4599000000000005E-2</v>
      </c>
      <c r="M785" s="256">
        <v>-3.4831000000000001E-2</v>
      </c>
      <c r="N785" s="256">
        <v>-3.4831000000000001E-2</v>
      </c>
      <c r="O785" s="256">
        <v>3.4813999999999998E-2</v>
      </c>
      <c r="P785" s="256">
        <v>3.1322999999999997E-2</v>
      </c>
      <c r="Q785" s="256">
        <v>1.4060999999999999E-2</v>
      </c>
      <c r="R785" s="256">
        <v>-4.8259999999999997E-2</v>
      </c>
      <c r="S785" s="256">
        <v>-4.4810999999999997E-2</v>
      </c>
      <c r="T785" s="256">
        <v>8.5184999999999997E-2</v>
      </c>
      <c r="U785" s="256">
        <v>-2.2753000000000002E-2</v>
      </c>
      <c r="V785" s="256">
        <v>-1.5134000000000002E-2</v>
      </c>
      <c r="W785" s="256">
        <v>-1.5134000000000002E-2</v>
      </c>
      <c r="X785" s="256">
        <v>-1.1819999999999999E-2</v>
      </c>
      <c r="Y785" s="256">
        <v>1.9139E-2</v>
      </c>
      <c r="Z785" s="248">
        <f ca="1">[1]ExtEntry!$M84</f>
        <v>1.9139E-2</v>
      </c>
      <c r="AB785" s="253">
        <v>7</v>
      </c>
      <c r="AC785" s="253">
        <v>4</v>
      </c>
      <c r="AD785" s="253">
        <v>1</v>
      </c>
      <c r="AE785" s="288">
        <v>1</v>
      </c>
      <c r="AF785" s="288">
        <v>3</v>
      </c>
      <c r="AG785" s="288">
        <v>4</v>
      </c>
      <c r="AH785" s="288">
        <v>5</v>
      </c>
      <c r="AI785" s="288">
        <v>12</v>
      </c>
      <c r="AJ785" s="288">
        <v>12</v>
      </c>
      <c r="AK785" s="288">
        <v>12</v>
      </c>
      <c r="AL785" s="288">
        <v>6</v>
      </c>
      <c r="AM785" s="277">
        <v>5</v>
      </c>
      <c r="AN785" s="277">
        <v>19</v>
      </c>
      <c r="AO785" s="277">
        <v>20</v>
      </c>
      <c r="AP785" s="277">
        <v>9</v>
      </c>
      <c r="AQ785" s="277">
        <v>13</v>
      </c>
      <c r="AR785" s="277">
        <v>18</v>
      </c>
      <c r="AS785" s="277">
        <v>17</v>
      </c>
      <c r="AT785" s="277">
        <v>19</v>
      </c>
      <c r="AU785" s="277">
        <v>15</v>
      </c>
      <c r="AV785" s="277">
        <f t="shared" si="62"/>
        <v>15</v>
      </c>
      <c r="AX785" s="88" t="str">
        <f t="shared" ca="1" si="61"/>
        <v>NVAX</v>
      </c>
    </row>
    <row r="786" spans="1:70" hidden="1">
      <c r="A786" s="88" t="str">
        <f t="shared" ca="1" si="63"/>
        <v>NVS</v>
      </c>
      <c r="C786" s="686"/>
      <c r="D786" s="686"/>
      <c r="F786" s="256">
        <v>2.3050000000000002E-3</v>
      </c>
      <c r="G786" s="256">
        <v>3.3279999999999997E-2</v>
      </c>
      <c r="H786" s="256">
        <v>2.7136999999999998E-2</v>
      </c>
      <c r="I786" s="256">
        <v>-5.6179999999999997E-3</v>
      </c>
      <c r="J786" s="256">
        <v>1.0842000000000001E-2</v>
      </c>
      <c r="K786" s="256">
        <v>-5.2170000000000003E-3</v>
      </c>
      <c r="L786" s="256">
        <v>5.777E-3</v>
      </c>
      <c r="M786" s="256">
        <v>-9.4479999999999998E-3</v>
      </c>
      <c r="N786" s="256">
        <v>-9.4479999999999998E-3</v>
      </c>
      <c r="O786" s="256">
        <v>-6.7679999999999997E-3</v>
      </c>
      <c r="P786" s="256">
        <v>9.1390000000000013E-3</v>
      </c>
      <c r="Q786" s="256">
        <v>-2.3410000000000002E-3</v>
      </c>
      <c r="R786" s="256">
        <v>5.7709999999999992E-3</v>
      </c>
      <c r="S786" s="256">
        <v>5.0470000000000003E-3</v>
      </c>
      <c r="T786" s="256">
        <v>2.7389999999999997E-3</v>
      </c>
      <c r="U786" s="256">
        <v>-3.4150000000000001E-3</v>
      </c>
      <c r="V786" s="256">
        <v>6.8519999999999996E-4</v>
      </c>
      <c r="W786" s="256">
        <v>6.8519999999999996E-4</v>
      </c>
      <c r="X786" s="256">
        <v>1.598E-3</v>
      </c>
      <c r="Y786" s="256">
        <v>-9.5720000000000006E-3</v>
      </c>
      <c r="Z786" s="248">
        <f ca="1">[1]ExtEntry!$M85</f>
        <v>-9.7230000000000007E-3</v>
      </c>
      <c r="AB786" s="253">
        <v>9</v>
      </c>
      <c r="AC786" s="253">
        <v>3</v>
      </c>
      <c r="AD786" s="253">
        <v>1</v>
      </c>
      <c r="AE786" s="288">
        <v>2</v>
      </c>
      <c r="AF786" s="288">
        <v>1</v>
      </c>
      <c r="AG786" s="288">
        <v>3</v>
      </c>
      <c r="AH786" s="288">
        <v>2</v>
      </c>
      <c r="AI786" s="288">
        <v>5</v>
      </c>
      <c r="AJ786" s="288">
        <v>5</v>
      </c>
      <c r="AK786" s="288">
        <v>8</v>
      </c>
      <c r="AL786" s="288">
        <v>8</v>
      </c>
      <c r="AM786" s="277">
        <v>9</v>
      </c>
      <c r="AN786" s="277">
        <v>8</v>
      </c>
      <c r="AO786" s="277">
        <v>5</v>
      </c>
      <c r="AP786" s="277">
        <v>3</v>
      </c>
      <c r="AQ786" s="277">
        <v>7</v>
      </c>
      <c r="AR786" s="277">
        <v>6</v>
      </c>
      <c r="AS786" s="277">
        <v>6</v>
      </c>
      <c r="AT786" s="277">
        <v>5</v>
      </c>
      <c r="AU786" s="277">
        <v>15</v>
      </c>
      <c r="AV786" s="277">
        <f t="shared" si="62"/>
        <v>15</v>
      </c>
      <c r="AX786" s="88" t="str">
        <f t="shared" ca="1" si="61"/>
        <v>NVS</v>
      </c>
    </row>
    <row r="787" spans="1:70" hidden="1">
      <c r="A787" s="88" t="str">
        <f t="shared" ca="1" si="63"/>
        <v>ORA</v>
      </c>
      <c r="C787" s="686"/>
      <c r="D787" s="686"/>
      <c r="F787" s="256">
        <v>-4.3600000000000002E-3</v>
      </c>
      <c r="G787" s="256">
        <v>8.0289999999999997E-3</v>
      </c>
      <c r="H787" s="256">
        <v>-7.6029999999999995E-3</v>
      </c>
      <c r="I787" s="256">
        <v>-1.2404E-2</v>
      </c>
      <c r="J787" s="256">
        <v>-1.5885E-2</v>
      </c>
      <c r="K787" s="256">
        <v>2.2750000000000001E-3</v>
      </c>
      <c r="L787" s="256">
        <v>1.3243E-2</v>
      </c>
      <c r="M787" s="256">
        <v>1.2696000000000001E-2</v>
      </c>
      <c r="N787" s="256">
        <v>1.475E-3</v>
      </c>
      <c r="O787" s="256">
        <v>-1.1773E-2</v>
      </c>
      <c r="P787" s="256">
        <v>1.0423999999999999E-2</v>
      </c>
      <c r="Q787" s="256">
        <v>3.2793000000000003E-2</v>
      </c>
      <c r="R787" s="256">
        <v>4.9950000000000003E-3</v>
      </c>
      <c r="S787" s="256">
        <v>1.7749000000000001E-2</v>
      </c>
      <c r="T787" s="256">
        <v>-1.2208000000000002E-2</v>
      </c>
      <c r="U787" s="256">
        <v>-2.4720000000000002E-3</v>
      </c>
      <c r="V787" s="256">
        <v>-3.8940000000000003E-3</v>
      </c>
      <c r="W787" s="256">
        <v>-3.8940000000000003E-3</v>
      </c>
      <c r="X787" s="256">
        <v>5.6860000000000001E-3</v>
      </c>
      <c r="Y787" s="256">
        <v>-1.6254000000000001E-2</v>
      </c>
      <c r="Z787" s="248">
        <f ca="1">[1]ExtEntry!$M86</f>
        <v>-1.6254000000000001E-2</v>
      </c>
      <c r="AB787" s="253">
        <v>10</v>
      </c>
      <c r="AC787" s="253">
        <v>5</v>
      </c>
      <c r="AD787" s="253">
        <v>9</v>
      </c>
      <c r="AE787" s="288">
        <v>18</v>
      </c>
      <c r="AF787" s="288">
        <v>20</v>
      </c>
      <c r="AG787" s="288">
        <v>20</v>
      </c>
      <c r="AH787" s="288">
        <v>18</v>
      </c>
      <c r="AI787" s="288">
        <v>15</v>
      </c>
      <c r="AJ787" s="288">
        <v>14</v>
      </c>
      <c r="AK787" s="288">
        <v>17</v>
      </c>
      <c r="AL787" s="288">
        <v>13</v>
      </c>
      <c r="AM787" s="277">
        <v>1</v>
      </c>
      <c r="AN787" s="277">
        <v>1</v>
      </c>
      <c r="AO787" s="277">
        <v>1</v>
      </c>
      <c r="AP787" s="277">
        <v>2</v>
      </c>
      <c r="AQ787" s="277">
        <v>3</v>
      </c>
      <c r="AR787" s="277">
        <v>5</v>
      </c>
      <c r="AS787" s="277">
        <v>5</v>
      </c>
      <c r="AT787" s="277">
        <v>3</v>
      </c>
      <c r="AU787" s="277">
        <v>9</v>
      </c>
      <c r="AV787" s="277">
        <f t="shared" si="62"/>
        <v>9</v>
      </c>
      <c r="AX787" s="88" t="str">
        <f t="shared" ref="AX787:AX850" ca="1" si="64">A787</f>
        <v>ORA</v>
      </c>
      <c r="BQ787" t="s">
        <v>190</v>
      </c>
      <c r="BR787" t="s">
        <v>178</v>
      </c>
    </row>
    <row r="788" spans="1:70" hidden="1">
      <c r="A788" s="88" t="str">
        <f t="shared" ca="1" si="63"/>
        <v>OXY</v>
      </c>
      <c r="C788" s="686"/>
      <c r="D788" s="686"/>
      <c r="F788" s="256">
        <v>1.5694E-2</v>
      </c>
      <c r="G788" s="256">
        <v>-1.7464E-2</v>
      </c>
      <c r="H788" s="256">
        <v>1.0159E-2</v>
      </c>
      <c r="I788" s="256">
        <v>-7.3345000000000007E-2</v>
      </c>
      <c r="J788" s="256">
        <v>1.3905000000000001E-2</v>
      </c>
      <c r="K788" s="256">
        <v>-1.652E-3</v>
      </c>
      <c r="L788" s="256">
        <v>-6.1770000000000002E-3</v>
      </c>
      <c r="M788" s="256">
        <v>-1.1545000000000001E-2</v>
      </c>
      <c r="N788" s="256">
        <v>-1.1545000000000001E-2</v>
      </c>
      <c r="O788" s="256">
        <v>6.6429999999999996E-3</v>
      </c>
      <c r="P788" s="256">
        <v>-3.3E-3</v>
      </c>
      <c r="Q788" s="256">
        <v>-1.0052E-2</v>
      </c>
      <c r="R788" s="256">
        <v>-2.0057000000000002E-2</v>
      </c>
      <c r="S788" s="256">
        <v>-3.411E-3</v>
      </c>
      <c r="T788" s="256">
        <v>3.1780000000000003E-3</v>
      </c>
      <c r="U788" s="256">
        <v>-2.9249999999999996E-3</v>
      </c>
      <c r="V788" s="256">
        <v>2.0166E-2</v>
      </c>
      <c r="W788" s="256">
        <v>2.0166E-2</v>
      </c>
      <c r="X788" s="256">
        <v>2.7557999999999999E-2</v>
      </c>
      <c r="Y788" s="256">
        <v>-6.9959999999999996E-3</v>
      </c>
      <c r="Z788" s="248">
        <f ca="1">[1]ExtEntry!$M87</f>
        <v>-7.2290000000000002E-3</v>
      </c>
      <c r="AB788" s="253">
        <v>1</v>
      </c>
      <c r="AC788" s="253">
        <v>5</v>
      </c>
      <c r="AD788" s="253">
        <v>3</v>
      </c>
      <c r="AE788" s="288">
        <v>20</v>
      </c>
      <c r="AF788" s="288">
        <v>19</v>
      </c>
      <c r="AG788" s="288">
        <v>18</v>
      </c>
      <c r="AH788" s="288">
        <v>18</v>
      </c>
      <c r="AI788" s="288">
        <v>19</v>
      </c>
      <c r="AJ788" s="288">
        <v>18</v>
      </c>
      <c r="AK788" s="288">
        <v>20</v>
      </c>
      <c r="AL788" s="288">
        <v>20</v>
      </c>
      <c r="AM788" s="277">
        <v>20</v>
      </c>
      <c r="AN788" s="277">
        <v>20</v>
      </c>
      <c r="AO788" s="277">
        <v>20</v>
      </c>
      <c r="AP788" s="277">
        <v>19</v>
      </c>
      <c r="AQ788" s="277">
        <v>19</v>
      </c>
      <c r="AR788" s="277">
        <v>16</v>
      </c>
      <c r="AS788" s="277">
        <v>15</v>
      </c>
      <c r="AT788" s="277">
        <v>11</v>
      </c>
      <c r="AU788" s="277">
        <v>11</v>
      </c>
      <c r="AV788" s="277">
        <f t="shared" si="62"/>
        <v>11</v>
      </c>
      <c r="AX788" s="88" t="str">
        <f t="shared" ca="1" si="64"/>
        <v>OXY</v>
      </c>
      <c r="BQ788" t="s">
        <v>191</v>
      </c>
      <c r="BR788" t="s">
        <v>2202</v>
      </c>
    </row>
    <row r="789" spans="1:70" ht="24" hidden="1" customHeight="1">
      <c r="A789" s="88" t="str">
        <f t="shared" ca="1" si="63"/>
        <v>PFE</v>
      </c>
      <c r="C789" s="686"/>
      <c r="D789" s="686"/>
      <c r="F789" s="256">
        <v>8.3750000000000003E-4</v>
      </c>
      <c r="G789" s="256">
        <v>6.8134E-2</v>
      </c>
      <c r="H789" s="256">
        <v>6.848499999999999E-2</v>
      </c>
      <c r="I789" s="256">
        <v>-4.2259999999999997E-3</v>
      </c>
      <c r="J789" s="256">
        <v>1.0524E-2</v>
      </c>
      <c r="K789" s="256">
        <v>-6.2429999999999994E-3</v>
      </c>
      <c r="L789" s="256">
        <v>-2.2458999999999996E-2</v>
      </c>
      <c r="M789" s="256">
        <v>-1.7329000000000001E-2</v>
      </c>
      <c r="N789" s="256">
        <v>-1.7134E-2</v>
      </c>
      <c r="O789" s="256">
        <v>-3.0270000000000002E-3</v>
      </c>
      <c r="P789" s="256">
        <v>-8.2899999999999988E-3</v>
      </c>
      <c r="Q789" s="256">
        <v>-6.9329999999999999E-3</v>
      </c>
      <c r="R789" s="256">
        <v>-6.5599999999999999E-3</v>
      </c>
      <c r="S789" s="256">
        <v>1.1556E-2</v>
      </c>
      <c r="T789" s="256">
        <v>7.1399999999999996E-3</v>
      </c>
      <c r="U789" s="256">
        <v>5.4679999999999998E-3</v>
      </c>
      <c r="V789" s="256">
        <v>-4.6280000000000002E-3</v>
      </c>
      <c r="W789" s="256">
        <v>-4.6280000000000002E-3</v>
      </c>
      <c r="X789" s="256">
        <v>-1.4159999999999999E-3</v>
      </c>
      <c r="Y789" s="256">
        <v>4.4590000000000003E-3</v>
      </c>
      <c r="Z789" s="248">
        <f ca="1">[1]ExtEntry!$M88</f>
        <v>3.6480000000000002E-3</v>
      </c>
      <c r="AB789" s="253">
        <v>18</v>
      </c>
      <c r="AC789" s="253">
        <v>1</v>
      </c>
      <c r="AD789" s="253">
        <v>1</v>
      </c>
      <c r="AE789" s="288">
        <v>2</v>
      </c>
      <c r="AF789" s="288">
        <v>1</v>
      </c>
      <c r="AG789" s="288">
        <v>4</v>
      </c>
      <c r="AH789" s="288">
        <v>5</v>
      </c>
      <c r="AI789" s="288">
        <v>7</v>
      </c>
      <c r="AJ789" s="288">
        <v>7</v>
      </c>
      <c r="AK789" s="288">
        <v>9</v>
      </c>
      <c r="AL789" s="288">
        <v>10</v>
      </c>
      <c r="AM789" s="277">
        <v>11</v>
      </c>
      <c r="AN789" s="277">
        <v>13</v>
      </c>
      <c r="AO789" s="277">
        <v>11</v>
      </c>
      <c r="AP789" s="277">
        <v>10</v>
      </c>
      <c r="AQ789" s="277">
        <v>9</v>
      </c>
      <c r="AR789" s="277">
        <v>10</v>
      </c>
      <c r="AS789" s="277">
        <v>10</v>
      </c>
      <c r="AT789" s="277">
        <v>13</v>
      </c>
      <c r="AU789" s="277">
        <v>10</v>
      </c>
      <c r="AV789" s="277">
        <f t="shared" si="62"/>
        <v>10</v>
      </c>
      <c r="AX789" s="88" t="str">
        <f t="shared" ca="1" si="64"/>
        <v>PFE</v>
      </c>
      <c r="BQ789" t="s">
        <v>139</v>
      </c>
      <c r="BR789" t="s">
        <v>2203</v>
      </c>
    </row>
    <row r="790" spans="1:70" hidden="1">
      <c r="A790" s="88" t="str">
        <f t="shared" ca="1" si="63"/>
        <v>RIG</v>
      </c>
      <c r="C790" s="686"/>
      <c r="D790" s="686"/>
      <c r="F790" s="256">
        <v>-2.8212999999999998E-2</v>
      </c>
      <c r="G790" s="256">
        <v>1.6080000000000001E-3</v>
      </c>
      <c r="H790" s="256">
        <v>3.3654000000000003E-2</v>
      </c>
      <c r="I790" s="256">
        <v>2.0124E-2</v>
      </c>
      <c r="J790" s="256">
        <v>1.9696999999999999E-2</v>
      </c>
      <c r="K790" s="256">
        <v>1.0204E-2</v>
      </c>
      <c r="L790" s="256">
        <v>-1.5896E-2</v>
      </c>
      <c r="M790" s="256">
        <v>-2.2059000000000002E-2</v>
      </c>
      <c r="N790" s="256">
        <v>-2.0588000000000002E-2</v>
      </c>
      <c r="O790" s="256">
        <v>3.7338000000000003E-2</v>
      </c>
      <c r="P790" s="256">
        <v>-2.6563E-2</v>
      </c>
      <c r="Q790" s="256">
        <v>5.4486999999999994E-2</v>
      </c>
      <c r="R790" s="256">
        <v>-2.5680000000000001E-2</v>
      </c>
      <c r="S790" s="256">
        <v>9.2879999999999994E-3</v>
      </c>
      <c r="T790" s="256">
        <v>7.6690000000000005E-3</v>
      </c>
      <c r="U790" s="256">
        <v>4.5590000000000006E-3</v>
      </c>
      <c r="V790" s="256">
        <v>3.4742999999999996E-2</v>
      </c>
      <c r="W790" s="256">
        <v>3.4742999999999996E-2</v>
      </c>
      <c r="X790" s="256">
        <v>0.135965</v>
      </c>
      <c r="Y790" s="256">
        <v>1.2850000000000001E-3</v>
      </c>
      <c r="Z790" s="248">
        <f ca="1">[1]ExtEntry!$M89</f>
        <v>2.5709999999999999E-3</v>
      </c>
      <c r="AB790" s="253">
        <v>17</v>
      </c>
      <c r="AC790" s="253">
        <v>17</v>
      </c>
      <c r="AD790" s="253">
        <v>13</v>
      </c>
      <c r="AE790" s="288">
        <v>11</v>
      </c>
      <c r="AF790" s="288">
        <v>7</v>
      </c>
      <c r="AG790" s="288">
        <v>4</v>
      </c>
      <c r="AH790" s="288">
        <v>6</v>
      </c>
      <c r="AI790" s="288">
        <v>10</v>
      </c>
      <c r="AJ790" s="288">
        <v>10</v>
      </c>
      <c r="AK790" s="288">
        <v>16</v>
      </c>
      <c r="AL790" s="288">
        <v>18</v>
      </c>
      <c r="AM790" s="277">
        <v>13</v>
      </c>
      <c r="AN790" s="277">
        <v>13</v>
      </c>
      <c r="AO790" s="277">
        <v>12</v>
      </c>
      <c r="AP790" s="277">
        <v>11</v>
      </c>
      <c r="AQ790" s="277">
        <v>8</v>
      </c>
      <c r="AR790" s="277">
        <v>3</v>
      </c>
      <c r="AS790" s="277">
        <v>2</v>
      </c>
      <c r="AT790" s="277">
        <v>1</v>
      </c>
      <c r="AU790" s="277">
        <v>1</v>
      </c>
      <c r="AV790" s="277">
        <f t="shared" si="62"/>
        <v>1</v>
      </c>
      <c r="AX790" s="88" t="str">
        <f t="shared" ca="1" si="64"/>
        <v>RIG</v>
      </c>
      <c r="BQ790" t="s">
        <v>192</v>
      </c>
      <c r="BR790" t="s">
        <v>1894</v>
      </c>
    </row>
    <row r="791" spans="1:70">
      <c r="A791" s="88" t="str">
        <f t="shared" ca="1" si="63"/>
        <v>RRC</v>
      </c>
      <c r="F791" s="256">
        <v>-2.9220000000000001E-3</v>
      </c>
      <c r="G791" s="256">
        <v>6.9560000000000004E-3</v>
      </c>
      <c r="H791" s="256">
        <v>5.5525999999999999E-2</v>
      </c>
      <c r="I791" s="256">
        <v>-2.9197000000000001E-2</v>
      </c>
      <c r="J791" s="256">
        <v>-9.0740000000000005E-3</v>
      </c>
      <c r="K791" s="256">
        <v>1.4695E-2</v>
      </c>
      <c r="L791" s="256">
        <v>4.8270000000000006E-3</v>
      </c>
      <c r="M791" s="256">
        <v>-2.4778999999999999E-2</v>
      </c>
      <c r="N791" s="256">
        <v>-2.4778999999999999E-2</v>
      </c>
      <c r="O791" s="256">
        <v>1.6777E-2</v>
      </c>
      <c r="P791" s="256">
        <v>-2.2721000000000002E-2</v>
      </c>
      <c r="Q791" s="256">
        <v>3.0721999999999999E-2</v>
      </c>
      <c r="R791" s="256">
        <v>-3.9559000000000004E-2</v>
      </c>
      <c r="S791" s="256">
        <v>7.5629999999999994E-3</v>
      </c>
      <c r="T791" s="256">
        <v>3.2249E-2</v>
      </c>
      <c r="U791" s="256">
        <v>-9.1590000000000005E-3</v>
      </c>
      <c r="V791" s="256">
        <v>-1.4678E-2</v>
      </c>
      <c r="W791" s="256">
        <v>-1.4678E-2</v>
      </c>
      <c r="X791" s="256">
        <v>3.4483E-2</v>
      </c>
      <c r="Y791" s="256">
        <v>2.8000000000000004E-3</v>
      </c>
      <c r="Z791" s="248">
        <f ca="1">[1]ExtEntry!$M90</f>
        <v>3.2000000000000002E-3</v>
      </c>
      <c r="AB791" s="253">
        <v>2</v>
      </c>
      <c r="AC791" s="253">
        <v>1</v>
      </c>
      <c r="AD791" s="253">
        <v>1</v>
      </c>
      <c r="AE791" s="288">
        <v>2</v>
      </c>
      <c r="AF791" s="288">
        <v>3</v>
      </c>
      <c r="AG791" s="288">
        <v>2</v>
      </c>
      <c r="AH791" s="288">
        <v>2</v>
      </c>
      <c r="AI791" s="288">
        <v>4</v>
      </c>
      <c r="AJ791" s="288">
        <v>4</v>
      </c>
      <c r="AK791" s="288">
        <v>12</v>
      </c>
      <c r="AL791" s="288">
        <v>14</v>
      </c>
      <c r="AM791" s="277">
        <v>12</v>
      </c>
      <c r="AN791" s="277">
        <v>17</v>
      </c>
      <c r="AO791" s="277">
        <v>16</v>
      </c>
      <c r="AP791" s="277">
        <v>13</v>
      </c>
      <c r="AQ791" s="277">
        <v>16</v>
      </c>
      <c r="AR791" s="277">
        <v>17</v>
      </c>
      <c r="AS791" s="277">
        <v>16</v>
      </c>
      <c r="AT791" s="277">
        <v>11</v>
      </c>
      <c r="AU791" s="277">
        <v>9</v>
      </c>
      <c r="AV791" s="277">
        <f t="shared" si="62"/>
        <v>9</v>
      </c>
      <c r="AX791" s="88" t="str">
        <f t="shared" ca="1" si="64"/>
        <v>RRC</v>
      </c>
      <c r="BQ791" t="s">
        <v>193</v>
      </c>
      <c r="BR791" t="s">
        <v>2204</v>
      </c>
    </row>
    <row r="792" spans="1:70">
      <c r="A792" s="88" t="str">
        <f t="shared" ca="1" si="63"/>
        <v>XYZ</v>
      </c>
      <c r="F792" s="248">
        <v>2.3889999999999998E-2</v>
      </c>
      <c r="G792" s="248">
        <v>-4.1384999999999998E-2</v>
      </c>
      <c r="H792" s="248">
        <v>1.5774E-2</v>
      </c>
      <c r="I792" s="248">
        <v>4.6322000000000002E-2</v>
      </c>
      <c r="J792" s="248">
        <v>2.0180000000000003E-3</v>
      </c>
      <c r="K792" s="248">
        <v>1.6200000000000003E-2</v>
      </c>
      <c r="L792" s="248">
        <v>2.6829000000000002E-2</v>
      </c>
      <c r="M792" s="248">
        <v>-2.9589999999999998E-3</v>
      </c>
      <c r="N792" s="248">
        <v>-3.2060000000000001E-3</v>
      </c>
      <c r="O792" s="248">
        <v>4.6870000000000002E-3</v>
      </c>
      <c r="P792" s="248">
        <v>1.5462999999999999E-2</v>
      </c>
      <c r="Q792" s="248">
        <v>-2.7569999999999999E-3</v>
      </c>
      <c r="R792" s="248">
        <v>-2.0754000000000002E-2</v>
      </c>
      <c r="S792" s="248">
        <v>8.853999999999999E-3</v>
      </c>
      <c r="T792" s="248">
        <v>1.7287E-2</v>
      </c>
      <c r="U792" s="248">
        <v>1.5817000000000001E-2</v>
      </c>
      <c r="V792" s="248">
        <v>-2.3157000000000001E-2</v>
      </c>
      <c r="W792" s="248">
        <v>-2.3157000000000001E-2</v>
      </c>
      <c r="X792" s="248">
        <v>3.4641999999999999E-2</v>
      </c>
      <c r="Y792" s="248">
        <v>1.2475E-2</v>
      </c>
      <c r="Z792" s="248">
        <f ca="1">[1]ExtEntry!$M91</f>
        <v>1.2475E-2</v>
      </c>
      <c r="AB792" s="253">
        <v>12</v>
      </c>
      <c r="AC792" s="253">
        <v>20</v>
      </c>
      <c r="AD792" s="253">
        <v>18</v>
      </c>
      <c r="AE792" s="288">
        <v>4</v>
      </c>
      <c r="AF792" s="288">
        <v>4</v>
      </c>
      <c r="AG792" s="288">
        <v>1</v>
      </c>
      <c r="AH792" s="288">
        <v>1</v>
      </c>
      <c r="AI792" s="288">
        <v>2</v>
      </c>
      <c r="AJ792" s="288">
        <v>3</v>
      </c>
      <c r="AK792" s="288">
        <v>15</v>
      </c>
      <c r="AL792" s="288">
        <v>12</v>
      </c>
      <c r="AM792" s="277">
        <v>13</v>
      </c>
      <c r="AN792" s="277">
        <v>16</v>
      </c>
      <c r="AO792" s="277">
        <v>14</v>
      </c>
      <c r="AP792" s="277">
        <v>9</v>
      </c>
      <c r="AQ792" s="277">
        <v>5</v>
      </c>
      <c r="AR792" s="277">
        <v>12</v>
      </c>
      <c r="AS792" s="277">
        <v>11</v>
      </c>
      <c r="AT792" s="277">
        <v>5</v>
      </c>
      <c r="AU792" s="277">
        <v>4</v>
      </c>
      <c r="AV792" s="277">
        <f t="shared" si="62"/>
        <v>4</v>
      </c>
      <c r="AX792" s="88" t="str">
        <f t="shared" ca="1" si="64"/>
        <v>XYZ</v>
      </c>
      <c r="BQ792" t="s">
        <v>2205</v>
      </c>
      <c r="BR792" t="s">
        <v>1836</v>
      </c>
    </row>
    <row r="793" spans="1:70">
      <c r="A793" s="88" t="str">
        <f t="shared" ca="1" si="63"/>
        <v>THC</v>
      </c>
      <c r="F793" s="256">
        <v>-6.5839999999999996E-3</v>
      </c>
      <c r="G793" s="256">
        <v>8.3499999999999998E-3</v>
      </c>
      <c r="H793" s="256">
        <v>-8.3730000000000002E-3</v>
      </c>
      <c r="I793" s="256">
        <v>1.0132E-2</v>
      </c>
      <c r="J793" s="256">
        <v>-1.8679999999999999E-3</v>
      </c>
      <c r="K793" s="256">
        <v>2.5931000000000003E-2</v>
      </c>
      <c r="L793" s="256">
        <v>-2.1236999999999999E-2</v>
      </c>
      <c r="M793" s="256">
        <v>-2.8083E-2</v>
      </c>
      <c r="N793" s="256">
        <v>-2.8083E-2</v>
      </c>
      <c r="O793" s="256">
        <v>2.0309999999999998E-3</v>
      </c>
      <c r="P793" s="256">
        <v>3.3946999999999998E-2</v>
      </c>
      <c r="Q793" s="256">
        <v>8.5059999999999997E-3</v>
      </c>
      <c r="R793" s="256">
        <v>-5.019E-4</v>
      </c>
      <c r="S793" s="256">
        <v>4.3690000000000005E-3</v>
      </c>
      <c r="T793" s="256">
        <v>1.0275000000000001E-2</v>
      </c>
      <c r="U793" s="256">
        <v>1.237E-3</v>
      </c>
      <c r="V793" s="256">
        <v>1.3689E-2</v>
      </c>
      <c r="W793" s="256">
        <v>1.3689E-2</v>
      </c>
      <c r="X793" s="256">
        <v>8.7270000000000004E-3</v>
      </c>
      <c r="Y793" s="256">
        <v>1.6771000000000001E-2</v>
      </c>
      <c r="Z793" s="248">
        <f ca="1">[1]ExtEntry!$M92</f>
        <v>1.6771000000000001E-2</v>
      </c>
      <c r="AB793" s="253">
        <v>2</v>
      </c>
      <c r="AC793" s="253">
        <v>1</v>
      </c>
      <c r="AD793" s="253">
        <v>3</v>
      </c>
      <c r="AE793" s="288">
        <v>1</v>
      </c>
      <c r="AF793" s="288">
        <v>2</v>
      </c>
      <c r="AG793" s="288">
        <v>1</v>
      </c>
      <c r="AH793" s="288">
        <v>8</v>
      </c>
      <c r="AI793" s="288">
        <v>11</v>
      </c>
      <c r="AJ793" s="288">
        <v>11</v>
      </c>
      <c r="AK793" s="288">
        <v>18</v>
      </c>
      <c r="AL793" s="288">
        <v>11</v>
      </c>
      <c r="AM793" s="277">
        <v>9</v>
      </c>
      <c r="AN793" s="277">
        <v>9</v>
      </c>
      <c r="AO793" s="277">
        <v>9</v>
      </c>
      <c r="AP793" s="277">
        <v>5</v>
      </c>
      <c r="AQ793" s="277">
        <v>5</v>
      </c>
      <c r="AR793" s="277">
        <v>1</v>
      </c>
      <c r="AS793" s="277">
        <v>1</v>
      </c>
      <c r="AT793" s="277">
        <v>1</v>
      </c>
      <c r="AU793" s="277">
        <v>1</v>
      </c>
      <c r="AV793" s="277">
        <f t="shared" si="62"/>
        <v>1</v>
      </c>
      <c r="AX793" s="88" t="str">
        <f t="shared" ca="1" si="64"/>
        <v>THC</v>
      </c>
      <c r="BQ793" t="s">
        <v>195</v>
      </c>
      <c r="BR793" t="s">
        <v>702</v>
      </c>
    </row>
    <row r="794" spans="1:70">
      <c r="A794" s="88" t="str">
        <f t="shared" ca="1" si="63"/>
        <v>X</v>
      </c>
      <c r="F794" s="248">
        <v>0</v>
      </c>
      <c r="G794" s="248">
        <v>0</v>
      </c>
      <c r="H794" s="248">
        <v>0</v>
      </c>
      <c r="I794" s="248">
        <v>0</v>
      </c>
      <c r="J794" s="248">
        <v>0</v>
      </c>
      <c r="K794" s="248">
        <v>0</v>
      </c>
      <c r="L794" s="248">
        <v>0</v>
      </c>
      <c r="M794" s="248">
        <v>0</v>
      </c>
      <c r="N794" s="248">
        <v>0</v>
      </c>
      <c r="O794" s="248">
        <v>0</v>
      </c>
      <c r="P794" s="248">
        <v>0</v>
      </c>
      <c r="Q794" s="248">
        <v>0</v>
      </c>
      <c r="R794" s="248">
        <v>0</v>
      </c>
      <c r="S794" s="248">
        <v>0</v>
      </c>
      <c r="T794" s="248">
        <v>0</v>
      </c>
      <c r="U794" s="248">
        <v>0</v>
      </c>
      <c r="V794" s="248">
        <v>0</v>
      </c>
      <c r="W794" s="248">
        <v>0</v>
      </c>
      <c r="X794" s="248">
        <v>0</v>
      </c>
      <c r="Y794" s="248">
        <v>0</v>
      </c>
      <c r="Z794" s="248">
        <f ca="1">[1]ExtEntry!$M93</f>
        <v>0</v>
      </c>
      <c r="AB794" s="253">
        <v>1</v>
      </c>
      <c r="AC794" s="253">
        <v>1</v>
      </c>
      <c r="AD794" s="253">
        <v>1</v>
      </c>
      <c r="AE794" s="288">
        <v>1</v>
      </c>
      <c r="AF794" s="288">
        <v>1</v>
      </c>
      <c r="AG794" s="288">
        <v>1</v>
      </c>
      <c r="AH794" s="288">
        <v>1</v>
      </c>
      <c r="AI794" s="288">
        <v>1</v>
      </c>
      <c r="AJ794" s="288">
        <v>1</v>
      </c>
      <c r="AK794" s="288">
        <v>1</v>
      </c>
      <c r="AL794" s="288">
        <v>1</v>
      </c>
      <c r="AM794" s="277">
        <v>1</v>
      </c>
      <c r="AN794" s="277">
        <v>1</v>
      </c>
      <c r="AO794" s="277">
        <v>1</v>
      </c>
      <c r="AP794" s="277">
        <v>1</v>
      </c>
      <c r="AQ794" s="277">
        <v>1</v>
      </c>
      <c r="AR794" s="277">
        <v>1</v>
      </c>
      <c r="AS794" s="277">
        <v>1</v>
      </c>
      <c r="AT794" s="277">
        <v>1</v>
      </c>
      <c r="AU794" s="277">
        <v>1</v>
      </c>
      <c r="AV794" s="277">
        <f t="shared" si="62"/>
        <v>1</v>
      </c>
      <c r="AX794" s="88" t="str">
        <f t="shared" ca="1" si="64"/>
        <v>X</v>
      </c>
      <c r="BQ794" t="s">
        <v>2207</v>
      </c>
      <c r="BR794" t="s">
        <v>2206</v>
      </c>
    </row>
    <row r="795" spans="1:70">
      <c r="A795" s="88" t="str">
        <f t="shared" ca="1" si="63"/>
        <v>JBEOAN</v>
      </c>
      <c r="F795" s="248">
        <v>6.0350000000000004E-3</v>
      </c>
      <c r="G795" s="248">
        <v>-5.2159999999999993E-3</v>
      </c>
      <c r="H795" s="248">
        <v>-1.9420000000000001E-3</v>
      </c>
      <c r="I795" s="248">
        <v>7.977999999999999E-3</v>
      </c>
      <c r="J795" s="248">
        <v>9.2659999999999999E-3</v>
      </c>
      <c r="K795" s="248">
        <v>-1.3524000000000001E-2</v>
      </c>
      <c r="L795" s="248">
        <v>1.7380000000000002E-3</v>
      </c>
      <c r="M795" s="248">
        <v>1.6768999999999999E-2</v>
      </c>
      <c r="N795" s="248">
        <v>-9.479E-4</v>
      </c>
      <c r="O795" s="248">
        <v>-2.4621000000000001E-2</v>
      </c>
      <c r="P795" s="248">
        <v>-8.9320000000000007E-3</v>
      </c>
      <c r="Q795" s="248">
        <v>1.4303E-2</v>
      </c>
      <c r="R795" s="248">
        <v>1.9320000000000001E-4</v>
      </c>
      <c r="S795" s="248">
        <v>-1.9311999999999999E-2</v>
      </c>
      <c r="T795" s="248">
        <v>9.2560000000000003E-3</v>
      </c>
      <c r="U795" s="248">
        <v>2.1072999999999998E-2</v>
      </c>
      <c r="V795" s="248">
        <v>-1.0701E-2</v>
      </c>
      <c r="W795" s="248">
        <v>-1.0701E-2</v>
      </c>
      <c r="X795" s="248">
        <v>2.8970000000000003E-3</v>
      </c>
      <c r="Y795" s="248">
        <v>1.9646E-2</v>
      </c>
      <c r="Z795" s="248">
        <f ca="1">[1]ExtEntry!$M94</f>
        <v>3.1180000000000001E-3</v>
      </c>
      <c r="AB795" s="253">
        <v>2</v>
      </c>
      <c r="AC795" s="253">
        <v>12</v>
      </c>
      <c r="AD795" s="253">
        <v>15</v>
      </c>
      <c r="AE795" s="288">
        <v>8</v>
      </c>
      <c r="AF795" s="288">
        <v>3</v>
      </c>
      <c r="AG795" s="288">
        <v>10</v>
      </c>
      <c r="AH795" s="288">
        <v>8</v>
      </c>
      <c r="AI795" s="288">
        <v>1</v>
      </c>
      <c r="AJ795" s="288">
        <v>2</v>
      </c>
      <c r="AK795" s="288">
        <v>15</v>
      </c>
      <c r="AL795" s="288">
        <v>19</v>
      </c>
      <c r="AM795" s="277">
        <v>12</v>
      </c>
      <c r="AN795" s="277">
        <v>11</v>
      </c>
      <c r="AO795" s="277">
        <v>20</v>
      </c>
      <c r="AP795" s="277">
        <v>17</v>
      </c>
      <c r="AQ795" s="277">
        <v>3</v>
      </c>
      <c r="AR795" s="277">
        <v>9</v>
      </c>
      <c r="AS795" s="277">
        <v>9</v>
      </c>
      <c r="AT795" s="277">
        <v>5</v>
      </c>
      <c r="AU795" s="277">
        <v>1</v>
      </c>
      <c r="AV795" s="277">
        <f t="shared" si="62"/>
        <v>1</v>
      </c>
      <c r="AX795" s="88" t="str">
        <f t="shared" ca="1" si="64"/>
        <v>JBEOAN</v>
      </c>
      <c r="BQ795" t="s">
        <v>2208</v>
      </c>
      <c r="BR795" t="s">
        <v>2209</v>
      </c>
    </row>
    <row r="796" spans="1:70">
      <c r="A796" s="88" t="str">
        <f t="shared" si="63"/>
        <v>LOCK</v>
      </c>
      <c r="F796" s="248">
        <v>1.5625E-2</v>
      </c>
      <c r="G796" s="248">
        <v>3.15E-3</v>
      </c>
      <c r="H796" s="248">
        <v>1.6061000000000002E-2</v>
      </c>
      <c r="I796" s="248">
        <v>4.3023999999999993E-2</v>
      </c>
      <c r="J796" s="248">
        <v>2.849E-3</v>
      </c>
      <c r="K796" s="248">
        <v>-2.5075E-2</v>
      </c>
      <c r="L796" s="248">
        <v>-2.6291999999999999E-2</v>
      </c>
      <c r="M796" s="1215">
        <v>-2.3480000000000003E-3</v>
      </c>
      <c r="N796" s="248">
        <v>-8.8260000000000005E-3</v>
      </c>
      <c r="O796" s="248">
        <v>3.6982000000000001E-2</v>
      </c>
      <c r="P796" s="248">
        <v>3.081E-3</v>
      </c>
      <c r="Q796" s="248">
        <v>3.1184E-2</v>
      </c>
      <c r="R796" s="248">
        <v>5.0400000000000002E-3</v>
      </c>
      <c r="S796" s="248">
        <v>-1.9380000000000001E-3</v>
      </c>
      <c r="T796" s="248">
        <v>2.6606999999999999E-2</v>
      </c>
      <c r="U796" s="248">
        <v>-1.0234E-2</v>
      </c>
      <c r="V796" s="248">
        <v>-2.214E-2</v>
      </c>
      <c r="W796" s="248">
        <v>-2.214E-2</v>
      </c>
      <c r="X796" s="1215">
        <v>2.0228000000000003E-2</v>
      </c>
      <c r="Y796" s="248">
        <v>7.548E-3</v>
      </c>
      <c r="Z796" s="248">
        <f ca="1">[1]ExtEntry!$M95</f>
        <v>1.4003000000000002E-2</v>
      </c>
      <c r="AB796" s="253">
        <v>9</v>
      </c>
      <c r="AC796" s="253">
        <v>1</v>
      </c>
      <c r="AD796" s="253">
        <v>1</v>
      </c>
      <c r="AE796" s="288">
        <v>1</v>
      </c>
      <c r="AF796" s="288">
        <v>1</v>
      </c>
      <c r="AG796" s="288">
        <v>3</v>
      </c>
      <c r="AH796" s="288">
        <v>4</v>
      </c>
      <c r="AI796" s="288">
        <v>5</v>
      </c>
      <c r="AJ796" s="288">
        <v>6</v>
      </c>
      <c r="AK796" s="288">
        <v>6</v>
      </c>
      <c r="AL796" s="288">
        <v>6</v>
      </c>
      <c r="AM796" s="277">
        <v>4</v>
      </c>
      <c r="AN796" s="277">
        <v>3</v>
      </c>
      <c r="AO796" s="277">
        <v>4</v>
      </c>
      <c r="AP796" s="277">
        <v>1</v>
      </c>
      <c r="AQ796" s="277">
        <v>2</v>
      </c>
      <c r="AR796" s="277">
        <v>9</v>
      </c>
      <c r="AS796" s="277">
        <v>9</v>
      </c>
      <c r="AT796" s="277">
        <v>3</v>
      </c>
      <c r="AU796" s="277">
        <v>2</v>
      </c>
      <c r="AV796" s="277">
        <f t="shared" si="62"/>
        <v>2</v>
      </c>
      <c r="AX796" s="88" t="str">
        <f t="shared" si="64"/>
        <v>LOCK</v>
      </c>
    </row>
    <row r="797" spans="1:70">
      <c r="A797" s="88" t="str">
        <f t="shared" si="63"/>
        <v>Total</v>
      </c>
      <c r="F797" s="248">
        <v>-3.114E-3</v>
      </c>
      <c r="G797" s="248">
        <v>0</v>
      </c>
      <c r="H797" s="248">
        <v>5.6000000000000008E-3</v>
      </c>
      <c r="I797" s="248">
        <v>-1.2376E-2</v>
      </c>
      <c r="J797" s="248">
        <v>1.0024999999999999E-2</v>
      </c>
      <c r="K797" s="248">
        <v>2.4879999999999998E-3</v>
      </c>
      <c r="L797" s="248">
        <v>4.0339999999999994E-3</v>
      </c>
      <c r="M797" s="248">
        <v>-3.0900000000000003E-4</v>
      </c>
      <c r="N797" s="248">
        <v>3.0909999999999998E-4</v>
      </c>
      <c r="O797" s="248">
        <v>1.1822999999999998E-2</v>
      </c>
      <c r="P797" s="248">
        <v>6.7650000000000002E-3</v>
      </c>
      <c r="Q797" s="248">
        <v>-1.0385E-2</v>
      </c>
      <c r="R797" s="248">
        <v>3.0859999999999998E-3</v>
      </c>
      <c r="S797" s="248">
        <v>1.2310000000000001E-3</v>
      </c>
      <c r="T797" s="248">
        <v>9.2189999999999998E-3</v>
      </c>
      <c r="U797" s="248">
        <v>-3.3500000000000001E-3</v>
      </c>
      <c r="V797" s="248">
        <v>-1.6192999999999999E-2</v>
      </c>
      <c r="W797" s="248">
        <v>-1.6192999999999999E-2</v>
      </c>
      <c r="X797" s="248">
        <v>-7.4529999999999996E-3</v>
      </c>
      <c r="Y797" s="248">
        <v>5.006E-3</v>
      </c>
      <c r="Z797" s="248">
        <f ca="1">[1]ExtEntry!$M96</f>
        <v>0.31360900000000003</v>
      </c>
      <c r="AB797" s="253">
        <v>2</v>
      </c>
      <c r="AC797" s="253">
        <v>1</v>
      </c>
      <c r="AD797" s="253">
        <v>1</v>
      </c>
      <c r="AE797" s="288">
        <v>6</v>
      </c>
      <c r="AF797" s="288">
        <v>2</v>
      </c>
      <c r="AG797" s="288">
        <v>3</v>
      </c>
      <c r="AH797" s="288">
        <v>1</v>
      </c>
      <c r="AI797" s="288">
        <v>2</v>
      </c>
      <c r="AJ797" s="288">
        <v>1</v>
      </c>
      <c r="AK797" s="288">
        <v>1</v>
      </c>
      <c r="AL797" s="288">
        <v>1</v>
      </c>
      <c r="AM797" s="277">
        <v>3</v>
      </c>
      <c r="AN797" s="277">
        <v>3</v>
      </c>
      <c r="AO797" s="277">
        <v>2</v>
      </c>
      <c r="AP797" s="277">
        <v>1</v>
      </c>
      <c r="AQ797" s="277">
        <v>3</v>
      </c>
      <c r="AR797" s="277">
        <v>14</v>
      </c>
      <c r="AS797" s="277">
        <v>14</v>
      </c>
      <c r="AT797" s="277">
        <v>19</v>
      </c>
      <c r="AU797" s="277">
        <v>17</v>
      </c>
      <c r="AV797" s="277">
        <f t="shared" si="62"/>
        <v>17</v>
      </c>
      <c r="AX797" s="88" t="str">
        <f t="shared" si="64"/>
        <v>Total</v>
      </c>
    </row>
    <row r="798" spans="1:70">
      <c r="AX798" s="88"/>
    </row>
    <row r="799" spans="1:70">
      <c r="A799" s="88"/>
      <c r="AX799" s="88"/>
    </row>
    <row r="800" spans="1:70">
      <c r="A800" s="88"/>
      <c r="AX800" s="88"/>
    </row>
    <row r="801" spans="1:50" ht="26">
      <c r="A801" s="88"/>
      <c r="E801" s="1264"/>
      <c r="F801" s="112"/>
      <c r="G801" s="112"/>
      <c r="H801" s="112"/>
      <c r="I801" s="112"/>
      <c r="J801" s="112"/>
      <c r="K801" s="112"/>
      <c r="L801" s="112"/>
      <c r="M801" s="112"/>
      <c r="N801" s="112"/>
      <c r="O801" s="112"/>
      <c r="P801" s="112"/>
      <c r="Q801" s="112"/>
      <c r="R801" s="112"/>
      <c r="S801" s="112"/>
      <c r="T801" s="112"/>
      <c r="U801" s="112"/>
      <c r="V801" s="112"/>
      <c r="W801" s="112"/>
      <c r="X801" s="112"/>
      <c r="Y801" s="112"/>
      <c r="Z801" s="112"/>
      <c r="AV801" s="1" t="s">
        <v>1898</v>
      </c>
      <c r="AX801" s="88"/>
    </row>
    <row r="802" spans="1:50">
      <c r="A802" s="88"/>
      <c r="F802" s="117">
        <f t="shared" ref="F802:Z802" ca="1" si="65">F702</f>
        <v>45929</v>
      </c>
      <c r="G802" s="117">
        <f t="shared" ca="1" si="65"/>
        <v>45930</v>
      </c>
      <c r="H802" s="117">
        <f t="shared" ca="1" si="65"/>
        <v>45931</v>
      </c>
      <c r="I802" s="117">
        <f t="shared" ca="1" si="65"/>
        <v>45932</v>
      </c>
      <c r="J802" s="117">
        <f t="shared" ca="1" si="65"/>
        <v>45933</v>
      </c>
      <c r="K802" s="117">
        <f t="shared" ca="1" si="65"/>
        <v>45936</v>
      </c>
      <c r="L802" s="117">
        <f t="shared" ca="1" si="65"/>
        <v>45937</v>
      </c>
      <c r="M802" s="117">
        <f t="shared" ca="1" si="65"/>
        <v>45938</v>
      </c>
      <c r="N802" s="117">
        <f t="shared" ca="1" si="65"/>
        <v>45939</v>
      </c>
      <c r="O802" s="117">
        <f t="shared" ca="1" si="65"/>
        <v>45940</v>
      </c>
      <c r="P802" s="117">
        <f t="shared" ca="1" si="65"/>
        <v>45943</v>
      </c>
      <c r="Q802" s="117">
        <f t="shared" ca="1" si="65"/>
        <v>45944</v>
      </c>
      <c r="R802" s="117">
        <f t="shared" ca="1" si="65"/>
        <v>45945</v>
      </c>
      <c r="S802" s="117">
        <f t="shared" ca="1" si="65"/>
        <v>45946</v>
      </c>
      <c r="T802" s="117">
        <f t="shared" ca="1" si="65"/>
        <v>45947</v>
      </c>
      <c r="U802" s="117">
        <f t="shared" ca="1" si="65"/>
        <v>45950</v>
      </c>
      <c r="V802" s="117">
        <f t="shared" ca="1" si="65"/>
        <v>45951</v>
      </c>
      <c r="W802" s="117">
        <f t="shared" ca="1" si="65"/>
        <v>45952</v>
      </c>
      <c r="X802" s="117">
        <f t="shared" ca="1" si="65"/>
        <v>45953</v>
      </c>
      <c r="Y802" s="117">
        <f t="shared" ca="1" si="65"/>
        <v>45954</v>
      </c>
      <c r="Z802" s="117">
        <f t="shared" ca="1" si="65"/>
        <v>45956</v>
      </c>
      <c r="AB802" s="117">
        <f t="shared" ref="AB802:AV802" ca="1" si="66">F702</f>
        <v>45929</v>
      </c>
      <c r="AC802" s="117">
        <f t="shared" ca="1" si="66"/>
        <v>45930</v>
      </c>
      <c r="AD802" s="117">
        <f t="shared" ca="1" si="66"/>
        <v>45931</v>
      </c>
      <c r="AE802" s="117">
        <f t="shared" ca="1" si="66"/>
        <v>45932</v>
      </c>
      <c r="AF802" s="117">
        <f t="shared" ca="1" si="66"/>
        <v>45933</v>
      </c>
      <c r="AG802" s="117">
        <f t="shared" ca="1" si="66"/>
        <v>45936</v>
      </c>
      <c r="AH802" s="117">
        <f t="shared" ca="1" si="66"/>
        <v>45937</v>
      </c>
      <c r="AI802" s="117">
        <f t="shared" ca="1" si="66"/>
        <v>45938</v>
      </c>
      <c r="AJ802" s="117">
        <f t="shared" ca="1" si="66"/>
        <v>45939</v>
      </c>
      <c r="AK802" s="117">
        <f t="shared" ca="1" si="66"/>
        <v>45940</v>
      </c>
      <c r="AL802" s="117">
        <f t="shared" ca="1" si="66"/>
        <v>45943</v>
      </c>
      <c r="AM802" s="117">
        <f t="shared" ca="1" si="66"/>
        <v>45944</v>
      </c>
      <c r="AN802" s="117">
        <f t="shared" ca="1" si="66"/>
        <v>45945</v>
      </c>
      <c r="AO802" s="117">
        <f t="shared" ca="1" si="66"/>
        <v>45946</v>
      </c>
      <c r="AP802" s="117">
        <f t="shared" ca="1" si="66"/>
        <v>45947</v>
      </c>
      <c r="AQ802" s="117">
        <f t="shared" ca="1" si="66"/>
        <v>45950</v>
      </c>
      <c r="AR802" s="117">
        <f t="shared" ca="1" si="66"/>
        <v>45951</v>
      </c>
      <c r="AS802" s="117">
        <f t="shared" ca="1" si="66"/>
        <v>45952</v>
      </c>
      <c r="AT802" s="117">
        <f t="shared" ca="1" si="66"/>
        <v>45953</v>
      </c>
      <c r="AU802" s="117">
        <f t="shared" ca="1" si="66"/>
        <v>45954</v>
      </c>
      <c r="AV802" s="117">
        <f t="shared" ca="1" si="66"/>
        <v>45956</v>
      </c>
      <c r="AX802" s="88"/>
    </row>
    <row r="803" spans="1:50">
      <c r="A803" s="88"/>
      <c r="F803" s="282" t="s">
        <v>372</v>
      </c>
      <c r="G803" s="282" t="s">
        <v>373</v>
      </c>
      <c r="H803" s="282" t="s">
        <v>374</v>
      </c>
      <c r="I803" s="282" t="s">
        <v>375</v>
      </c>
      <c r="J803" s="282" t="s">
        <v>376</v>
      </c>
      <c r="K803" s="282" t="s">
        <v>377</v>
      </c>
      <c r="L803" s="282" t="s">
        <v>378</v>
      </c>
      <c r="M803" s="282" t="s">
        <v>379</v>
      </c>
      <c r="N803" s="282" t="s">
        <v>380</v>
      </c>
      <c r="O803" s="282" t="s">
        <v>381</v>
      </c>
      <c r="P803" s="282" t="s">
        <v>382</v>
      </c>
      <c r="Q803" s="282" t="s">
        <v>383</v>
      </c>
      <c r="R803" s="282" t="s">
        <v>384</v>
      </c>
      <c r="S803" s="282" t="s">
        <v>385</v>
      </c>
      <c r="T803" s="282" t="s">
        <v>386</v>
      </c>
      <c r="U803" s="282" t="s">
        <v>387</v>
      </c>
      <c r="V803" s="282" t="s">
        <v>388</v>
      </c>
      <c r="W803" s="282" t="s">
        <v>389</v>
      </c>
      <c r="X803" s="282" t="s">
        <v>390</v>
      </c>
      <c r="Y803" s="282" t="s">
        <v>391</v>
      </c>
      <c r="Z803" s="282" t="s">
        <v>392</v>
      </c>
      <c r="AB803" s="281" t="s">
        <v>1309</v>
      </c>
      <c r="AC803" s="281" t="s">
        <v>1310</v>
      </c>
      <c r="AD803" s="281" t="s">
        <v>1311</v>
      </c>
      <c r="AE803" s="281" t="s">
        <v>1312</v>
      </c>
      <c r="AF803" s="281" t="s">
        <v>1313</v>
      </c>
      <c r="AG803" s="281" t="s">
        <v>1314</v>
      </c>
      <c r="AH803" s="281" t="s">
        <v>1315</v>
      </c>
      <c r="AI803" s="281" t="s">
        <v>1316</v>
      </c>
      <c r="AJ803" s="281" t="s">
        <v>1317</v>
      </c>
      <c r="AK803" s="281" t="s">
        <v>1318</v>
      </c>
      <c r="AL803" s="281" t="s">
        <v>1319</v>
      </c>
      <c r="AM803" s="281" t="s">
        <v>1320</v>
      </c>
      <c r="AN803" s="281" t="s">
        <v>1321</v>
      </c>
      <c r="AO803" s="281" t="s">
        <v>1322</v>
      </c>
      <c r="AP803" s="281" t="s">
        <v>1323</v>
      </c>
      <c r="AQ803" s="281" t="s">
        <v>1324</v>
      </c>
      <c r="AR803" s="281" t="s">
        <v>1325</v>
      </c>
      <c r="AS803" s="281" t="s">
        <v>1326</v>
      </c>
      <c r="AT803" s="281" t="s">
        <v>1327</v>
      </c>
      <c r="AU803" s="281" t="s">
        <v>1328</v>
      </c>
      <c r="AV803" s="281" t="s">
        <v>1329</v>
      </c>
      <c r="AX803" s="88"/>
    </row>
    <row r="804" spans="1:50">
      <c r="A804" s="88" t="str">
        <f ca="1">A5</f>
        <v>AAPL</v>
      </c>
      <c r="F804" s="245">
        <v>169.21010000000001</v>
      </c>
      <c r="G804" s="245">
        <v>169.21010000000001</v>
      </c>
      <c r="H804" s="245">
        <v>169.21010000000001</v>
      </c>
      <c r="I804" s="245">
        <v>169.21010000000001</v>
      </c>
      <c r="J804" s="245">
        <v>169.21010000000001</v>
      </c>
      <c r="K804" s="245">
        <v>169.21010000000001</v>
      </c>
      <c r="L804" s="245">
        <v>169.21010000000001</v>
      </c>
      <c r="M804" s="245">
        <v>169.21010000000001</v>
      </c>
      <c r="N804" s="245">
        <v>169.21010000000001</v>
      </c>
      <c r="O804" s="245">
        <v>169.21010000000001</v>
      </c>
      <c r="P804" s="245">
        <v>169.21010000000001</v>
      </c>
      <c r="Q804" s="245">
        <v>169.21010000000001</v>
      </c>
      <c r="R804" s="245">
        <v>169.21010000000001</v>
      </c>
      <c r="S804" s="245">
        <v>169.21010000000001</v>
      </c>
      <c r="T804" s="245">
        <v>169.21010000000001</v>
      </c>
      <c r="U804" s="245">
        <v>169.21010000000001</v>
      </c>
      <c r="V804" s="245">
        <v>169.21010000000001</v>
      </c>
      <c r="W804" s="245">
        <v>169.21010000000001</v>
      </c>
      <c r="X804" s="245">
        <v>169.21010000000001</v>
      </c>
      <c r="Y804" s="245">
        <v>169.21010000000001</v>
      </c>
      <c r="Z804" s="247">
        <f ca="1">[1]ExtEntry!$N3</f>
        <v>169.21010000000001</v>
      </c>
      <c r="AB804" s="277">
        <v>18</v>
      </c>
      <c r="AC804" s="277">
        <v>12</v>
      </c>
      <c r="AD804" s="277">
        <v>11</v>
      </c>
      <c r="AE804" s="277">
        <v>9</v>
      </c>
      <c r="AF804" s="277">
        <v>11</v>
      </c>
      <c r="AG804" s="277">
        <v>14</v>
      </c>
      <c r="AH804" s="277">
        <v>10</v>
      </c>
      <c r="AI804" s="277">
        <v>20</v>
      </c>
      <c r="AJ804" s="277">
        <v>19</v>
      </c>
      <c r="AK804" s="277">
        <v>6</v>
      </c>
      <c r="AL804" s="277">
        <v>12</v>
      </c>
      <c r="AM804" s="277">
        <v>6</v>
      </c>
      <c r="AN804" s="277">
        <v>16</v>
      </c>
      <c r="AO804" s="277">
        <v>3</v>
      </c>
      <c r="AP804" s="277">
        <v>1</v>
      </c>
      <c r="AQ804" s="277">
        <v>10</v>
      </c>
      <c r="AR804" s="277">
        <v>20</v>
      </c>
      <c r="AS804" s="277">
        <v>19</v>
      </c>
      <c r="AT804" s="277">
        <v>7</v>
      </c>
      <c r="AU804" s="277">
        <v>3</v>
      </c>
      <c r="AV804" s="277">
        <f t="shared" ref="AV804:AV809" si="67">_xlfn.RANK.EQ(Y704,F704:Y704)</f>
        <v>3</v>
      </c>
      <c r="AX804" s="88" t="str">
        <f t="shared" ca="1" si="64"/>
        <v>AAPL</v>
      </c>
    </row>
    <row r="805" spans="1:50">
      <c r="A805" s="88" t="str">
        <f t="shared" ref="A805:A868" ca="1" si="68">A6</f>
        <v>ADEA</v>
      </c>
      <c r="F805" s="253">
        <v>10.59</v>
      </c>
      <c r="G805" s="253">
        <v>10.59</v>
      </c>
      <c r="H805" s="253">
        <v>10.59</v>
      </c>
      <c r="I805" s="253">
        <v>10.59</v>
      </c>
      <c r="J805" s="253">
        <v>10.59</v>
      </c>
      <c r="K805" s="253">
        <v>10.59</v>
      </c>
      <c r="L805" s="253">
        <v>10.59</v>
      </c>
      <c r="M805" s="253">
        <v>10.59</v>
      </c>
      <c r="N805" s="253">
        <v>10.59</v>
      </c>
      <c r="O805" s="253">
        <v>10.59</v>
      </c>
      <c r="P805" s="253">
        <v>10.59</v>
      </c>
      <c r="Q805" s="253">
        <v>10.59</v>
      </c>
      <c r="R805" s="253">
        <v>10.59</v>
      </c>
      <c r="S805" s="253">
        <v>10.59</v>
      </c>
      <c r="T805" s="253">
        <v>10.59</v>
      </c>
      <c r="U805" s="253">
        <v>10.59</v>
      </c>
      <c r="V805" s="253">
        <v>10.59</v>
      </c>
      <c r="W805" s="253">
        <v>10.59</v>
      </c>
      <c r="X805" s="253">
        <v>10.59</v>
      </c>
      <c r="Y805" s="253">
        <v>10.59</v>
      </c>
      <c r="Z805" s="247">
        <f ca="1">[1]ExtEntry!$N4</f>
        <v>10.59</v>
      </c>
      <c r="AB805" s="277">
        <v>19</v>
      </c>
      <c r="AC805" s="277">
        <v>9</v>
      </c>
      <c r="AD805" s="277">
        <v>3</v>
      </c>
      <c r="AE805" s="277">
        <v>4</v>
      </c>
      <c r="AF805" s="277">
        <v>14</v>
      </c>
      <c r="AG805" s="277">
        <v>20</v>
      </c>
      <c r="AH805" s="277">
        <v>19</v>
      </c>
      <c r="AI805" s="277">
        <v>15</v>
      </c>
      <c r="AJ805" s="277">
        <v>14</v>
      </c>
      <c r="AK805" s="277">
        <v>10</v>
      </c>
      <c r="AL805" s="277">
        <v>2</v>
      </c>
      <c r="AM805" s="277">
        <v>3</v>
      </c>
      <c r="AN805" s="277">
        <v>19</v>
      </c>
      <c r="AO805" s="277">
        <v>12</v>
      </c>
      <c r="AP805" s="277">
        <v>4</v>
      </c>
      <c r="AQ805" s="277">
        <v>6</v>
      </c>
      <c r="AR805" s="277">
        <v>17</v>
      </c>
      <c r="AS805" s="277">
        <v>16</v>
      </c>
      <c r="AT805" s="277">
        <v>11</v>
      </c>
      <c r="AU805" s="277">
        <v>3</v>
      </c>
      <c r="AV805" s="277">
        <f t="shared" si="67"/>
        <v>3</v>
      </c>
      <c r="AX805" s="88" t="str">
        <f t="shared" ca="1" si="64"/>
        <v>ADEA</v>
      </c>
    </row>
    <row r="806" spans="1:50">
      <c r="A806" s="88" t="str">
        <f t="shared" ca="1" si="68"/>
        <v>AET</v>
      </c>
      <c r="F806" s="245">
        <v>33.064999999999998</v>
      </c>
      <c r="G806" s="245">
        <v>33.064999999999998</v>
      </c>
      <c r="H806" s="245">
        <v>33.064999999999998</v>
      </c>
      <c r="I806" s="245">
        <v>33.064999999999998</v>
      </c>
      <c r="J806" s="245">
        <v>33.064999999999998</v>
      </c>
      <c r="K806" s="245">
        <v>33.064999999999998</v>
      </c>
      <c r="L806" s="245">
        <v>33.064999999999998</v>
      </c>
      <c r="M806" s="245">
        <v>33.064999999999998</v>
      </c>
      <c r="N806" s="245">
        <v>33.064999999999998</v>
      </c>
      <c r="O806" s="245">
        <v>33.064999999999998</v>
      </c>
      <c r="P806" s="245">
        <v>33.064999999999998</v>
      </c>
      <c r="Q806" s="245">
        <v>33.064999999999998</v>
      </c>
      <c r="R806" s="245">
        <v>33.064999999999998</v>
      </c>
      <c r="S806" s="245">
        <v>33.064999999999998</v>
      </c>
      <c r="T806" s="245">
        <v>33.064999999999998</v>
      </c>
      <c r="U806" s="245">
        <v>33.064999999999998</v>
      </c>
      <c r="V806" s="245">
        <v>33.064999999999998</v>
      </c>
      <c r="W806" s="245">
        <v>33.064999999999998</v>
      </c>
      <c r="X806" s="245">
        <v>33.064999999999998</v>
      </c>
      <c r="Y806" s="245">
        <v>33.064999999999998</v>
      </c>
      <c r="Z806" s="247">
        <f ca="1">[1]ExtEntry!$N5</f>
        <v>33.064999999999998</v>
      </c>
      <c r="AB806" s="277">
        <v>15</v>
      </c>
      <c r="AC806" s="277">
        <v>7</v>
      </c>
      <c r="AD806" s="277">
        <v>19</v>
      </c>
      <c r="AE806" s="277">
        <v>3</v>
      </c>
      <c r="AF806" s="277">
        <v>15</v>
      </c>
      <c r="AG806" s="277">
        <v>13</v>
      </c>
      <c r="AH806" s="277">
        <v>7</v>
      </c>
      <c r="AI806" s="277">
        <v>12</v>
      </c>
      <c r="AJ806" s="277">
        <v>11</v>
      </c>
      <c r="AK806" s="277">
        <v>2</v>
      </c>
      <c r="AL806" s="277">
        <v>10</v>
      </c>
      <c r="AM806" s="277">
        <v>14</v>
      </c>
      <c r="AN806" s="277">
        <v>19</v>
      </c>
      <c r="AO806" s="277">
        <v>3</v>
      </c>
      <c r="AP806" s="277">
        <v>6</v>
      </c>
      <c r="AQ806" s="277">
        <v>4</v>
      </c>
      <c r="AR806" s="277">
        <v>5</v>
      </c>
      <c r="AS806" s="277">
        <v>5</v>
      </c>
      <c r="AT806" s="277">
        <v>3</v>
      </c>
      <c r="AU806" s="277">
        <v>2</v>
      </c>
      <c r="AV806" s="277">
        <f t="shared" si="67"/>
        <v>2</v>
      </c>
      <c r="AX806" s="88" t="str">
        <f t="shared" ca="1" si="64"/>
        <v>AET</v>
      </c>
    </row>
    <row r="807" spans="1:50">
      <c r="A807" s="88" t="str">
        <f t="shared" ca="1" si="68"/>
        <v>AMZN</v>
      </c>
      <c r="F807" s="253">
        <v>161.38</v>
      </c>
      <c r="G807" s="253">
        <v>161.38</v>
      </c>
      <c r="H807" s="253">
        <v>161.38</v>
      </c>
      <c r="I807" s="253">
        <v>161.38</v>
      </c>
      <c r="J807" s="253">
        <v>161.38</v>
      </c>
      <c r="K807" s="253">
        <v>161.38</v>
      </c>
      <c r="L807" s="253">
        <v>161.38</v>
      </c>
      <c r="M807" s="253">
        <v>161.38</v>
      </c>
      <c r="N807" s="253">
        <v>161.38</v>
      </c>
      <c r="O807" s="253">
        <v>161.38</v>
      </c>
      <c r="P807" s="253">
        <v>161.38</v>
      </c>
      <c r="Q807" s="253">
        <v>161.38</v>
      </c>
      <c r="R807" s="253">
        <v>161.38</v>
      </c>
      <c r="S807" s="253">
        <v>161.38</v>
      </c>
      <c r="T807" s="253">
        <v>161.38</v>
      </c>
      <c r="U807" s="253">
        <v>161.38</v>
      </c>
      <c r="V807" s="253">
        <v>161.38</v>
      </c>
      <c r="W807" s="253">
        <v>161.38</v>
      </c>
      <c r="X807" s="253">
        <v>161.38</v>
      </c>
      <c r="Y807" s="253">
        <v>161.38</v>
      </c>
      <c r="Z807" s="247">
        <f ca="1">[1]ExtEntry!$N6</f>
        <v>161.38</v>
      </c>
      <c r="AB807" s="277">
        <v>8</v>
      </c>
      <c r="AC807" s="277">
        <v>17</v>
      </c>
      <c r="AD807" s="277">
        <v>9</v>
      </c>
      <c r="AE807" s="277">
        <v>6</v>
      </c>
      <c r="AF807" s="277">
        <v>18</v>
      </c>
      <c r="AG807" s="277">
        <v>8</v>
      </c>
      <c r="AH807" s="277">
        <v>2</v>
      </c>
      <c r="AI807" s="277">
        <v>5</v>
      </c>
      <c r="AJ807" s="277">
        <v>5</v>
      </c>
      <c r="AK807" s="277">
        <v>1</v>
      </c>
      <c r="AL807" s="277">
        <v>19</v>
      </c>
      <c r="AM807" s="277">
        <v>14</v>
      </c>
      <c r="AN807" s="277">
        <v>13</v>
      </c>
      <c r="AO807" s="277">
        <v>14</v>
      </c>
      <c r="AP807" s="277">
        <v>2</v>
      </c>
      <c r="AQ807" s="277">
        <v>1</v>
      </c>
      <c r="AR807" s="277">
        <v>20</v>
      </c>
      <c r="AS807" s="277">
        <v>19</v>
      </c>
      <c r="AT807" s="277">
        <v>5</v>
      </c>
      <c r="AU807" s="277">
        <v>6</v>
      </c>
      <c r="AV807" s="277">
        <f t="shared" si="67"/>
        <v>6</v>
      </c>
      <c r="AX807" s="88" t="str">
        <f t="shared" ca="1" si="64"/>
        <v>AMZN</v>
      </c>
    </row>
    <row r="808" spans="1:50">
      <c r="A808" s="88" t="str">
        <f t="shared" ca="1" si="68"/>
        <v>ALDNE</v>
      </c>
      <c r="F808" s="245">
        <v>0.65</v>
      </c>
      <c r="G808" s="245">
        <v>0.65</v>
      </c>
      <c r="H808" s="245">
        <v>0.65</v>
      </c>
      <c r="I808" s="245">
        <v>0.65</v>
      </c>
      <c r="J808" s="245">
        <v>0.65</v>
      </c>
      <c r="K808" s="245">
        <v>0.65</v>
      </c>
      <c r="L808" s="245">
        <v>0.65</v>
      </c>
      <c r="M808" s="245">
        <v>0.65</v>
      </c>
      <c r="N808" s="245">
        <v>0.65</v>
      </c>
      <c r="O808" s="245">
        <v>0.65</v>
      </c>
      <c r="P808" s="245">
        <v>0.65</v>
      </c>
      <c r="Q808" s="245">
        <v>0.65</v>
      </c>
      <c r="R808" s="245">
        <v>0.65</v>
      </c>
      <c r="S808" s="245">
        <v>0.65</v>
      </c>
      <c r="T808" s="245">
        <v>0.65</v>
      </c>
      <c r="U808" s="245">
        <v>0.65</v>
      </c>
      <c r="V808" s="245">
        <v>0.65</v>
      </c>
      <c r="W808" s="245">
        <v>0.65</v>
      </c>
      <c r="X808" s="245">
        <v>0.65</v>
      </c>
      <c r="Y808" s="245">
        <v>0.65</v>
      </c>
      <c r="Z808" s="247">
        <f ca="1">[1]ExtEntry!$N7</f>
        <v>0.65</v>
      </c>
      <c r="AB808" s="277">
        <v>1</v>
      </c>
      <c r="AC808" s="277">
        <v>8</v>
      </c>
      <c r="AD808" s="277">
        <v>5</v>
      </c>
      <c r="AE808" s="277">
        <v>14</v>
      </c>
      <c r="AF808" s="277">
        <v>13</v>
      </c>
      <c r="AG808" s="277">
        <v>9</v>
      </c>
      <c r="AH808" s="277">
        <v>15</v>
      </c>
      <c r="AI808" s="277">
        <v>8</v>
      </c>
      <c r="AJ808" s="277">
        <v>7</v>
      </c>
      <c r="AK808" s="277">
        <v>7</v>
      </c>
      <c r="AL808" s="277">
        <v>6</v>
      </c>
      <c r="AM808" s="277">
        <v>13</v>
      </c>
      <c r="AN808" s="277">
        <v>15</v>
      </c>
      <c r="AO808" s="277">
        <v>8</v>
      </c>
      <c r="AP808" s="277">
        <v>18</v>
      </c>
      <c r="AQ808" s="277">
        <v>4</v>
      </c>
      <c r="AR808" s="277">
        <v>5</v>
      </c>
      <c r="AS808" s="277">
        <v>5</v>
      </c>
      <c r="AT808" s="277">
        <v>15</v>
      </c>
      <c r="AU808" s="277">
        <v>19</v>
      </c>
      <c r="AV808" s="277">
        <f t="shared" si="67"/>
        <v>19</v>
      </c>
      <c r="AX808" s="88" t="str">
        <f t="shared" ca="1" si="64"/>
        <v>ALDNE</v>
      </c>
    </row>
    <row r="809" spans="1:50">
      <c r="A809" s="88" t="str">
        <f t="shared" ca="1" si="68"/>
        <v>ASML</v>
      </c>
      <c r="F809" s="253">
        <v>508.4</v>
      </c>
      <c r="G809" s="253">
        <v>508.4</v>
      </c>
      <c r="H809" s="253">
        <v>508.4</v>
      </c>
      <c r="I809" s="253">
        <v>508.4</v>
      </c>
      <c r="J809" s="253">
        <v>508.4</v>
      </c>
      <c r="K809" s="253">
        <v>508.4</v>
      </c>
      <c r="L809" s="253">
        <v>508.4</v>
      </c>
      <c r="M809" s="253">
        <v>508.4</v>
      </c>
      <c r="N809" s="253">
        <v>508.4</v>
      </c>
      <c r="O809" s="253">
        <v>508.4</v>
      </c>
      <c r="P809" s="253">
        <v>508.4</v>
      </c>
      <c r="Q809" s="253">
        <v>508.4</v>
      </c>
      <c r="R809" s="253">
        <v>508.4</v>
      </c>
      <c r="S809" s="253">
        <v>508.4</v>
      </c>
      <c r="T809" s="253">
        <v>508.4</v>
      </c>
      <c r="U809" s="253">
        <v>508.4</v>
      </c>
      <c r="V809" s="253">
        <v>508.4</v>
      </c>
      <c r="W809" s="253">
        <v>508.4</v>
      </c>
      <c r="X809" s="253">
        <v>508.4</v>
      </c>
      <c r="Y809" s="253">
        <v>508.4</v>
      </c>
      <c r="Z809" s="247">
        <f ca="1">[1]ExtEntry!$N8</f>
        <v>508.4</v>
      </c>
      <c r="AB809" s="277">
        <v>8</v>
      </c>
      <c r="AC809" s="277">
        <v>15</v>
      </c>
      <c r="AD809" s="277">
        <v>7</v>
      </c>
      <c r="AE809" s="277">
        <v>4</v>
      </c>
      <c r="AF809" s="277">
        <v>15</v>
      </c>
      <c r="AG809" s="277">
        <v>20</v>
      </c>
      <c r="AH809" s="277">
        <v>20</v>
      </c>
      <c r="AI809" s="277">
        <v>17</v>
      </c>
      <c r="AJ809" s="277">
        <v>17</v>
      </c>
      <c r="AK809" s="277">
        <v>4</v>
      </c>
      <c r="AL809" s="277">
        <v>11</v>
      </c>
      <c r="AM809" s="277">
        <v>4</v>
      </c>
      <c r="AN809" s="277">
        <v>8</v>
      </c>
      <c r="AO809" s="277">
        <v>15</v>
      </c>
      <c r="AP809" s="277">
        <v>4</v>
      </c>
      <c r="AQ809" s="277">
        <v>17</v>
      </c>
      <c r="AR809" s="277">
        <v>18</v>
      </c>
      <c r="AS809" s="277">
        <v>17</v>
      </c>
      <c r="AT809" s="277">
        <v>5</v>
      </c>
      <c r="AU809" s="277">
        <v>8</v>
      </c>
      <c r="AV809" s="277">
        <f t="shared" si="67"/>
        <v>8</v>
      </c>
      <c r="AX809" s="88" t="str">
        <f t="shared" ca="1" si="64"/>
        <v>ASML</v>
      </c>
    </row>
    <row r="810" spans="1:50">
      <c r="A810" s="88" t="str">
        <f t="shared" ca="1" si="68"/>
        <v>AZN</v>
      </c>
      <c r="F810" s="253">
        <v>61.24</v>
      </c>
      <c r="G810" s="253">
        <v>61.24</v>
      </c>
      <c r="H810" s="253">
        <v>61.24</v>
      </c>
      <c r="I810" s="253">
        <v>61.24</v>
      </c>
      <c r="J810" s="253">
        <v>61.24</v>
      </c>
      <c r="K810" s="253">
        <v>61.24</v>
      </c>
      <c r="L810" s="253">
        <v>61.24</v>
      </c>
      <c r="M810" s="253">
        <v>61.24</v>
      </c>
      <c r="N810" s="253">
        <v>61.24</v>
      </c>
      <c r="O810" s="253">
        <v>61.24</v>
      </c>
      <c r="P810" s="253">
        <v>61.24</v>
      </c>
      <c r="Q810" s="253">
        <v>61.24</v>
      </c>
      <c r="R810" s="253">
        <v>61.24</v>
      </c>
      <c r="S810" s="253">
        <v>61.24</v>
      </c>
      <c r="T810" s="253">
        <v>61.24</v>
      </c>
      <c r="U810" s="253">
        <v>61.24</v>
      </c>
      <c r="V810" s="253">
        <v>61.24</v>
      </c>
      <c r="W810" s="253">
        <v>61.24</v>
      </c>
      <c r="X810" s="253">
        <v>61.24</v>
      </c>
      <c r="Y810" s="253">
        <v>61.24</v>
      </c>
      <c r="Z810" s="247">
        <f ca="1">[1]ExtEntry!$N10</f>
        <v>1</v>
      </c>
      <c r="AB810" s="277">
        <v>6</v>
      </c>
      <c r="AC810" s="277">
        <v>1</v>
      </c>
      <c r="AD810" s="277">
        <v>1</v>
      </c>
      <c r="AE810" s="277">
        <v>13</v>
      </c>
      <c r="AF810" s="277">
        <v>3</v>
      </c>
      <c r="AG810" s="277">
        <v>5</v>
      </c>
      <c r="AH810" s="277">
        <v>9</v>
      </c>
      <c r="AI810" s="277">
        <v>8</v>
      </c>
      <c r="AJ810" s="277">
        <v>8</v>
      </c>
      <c r="AK810" s="277">
        <v>8</v>
      </c>
      <c r="AL810" s="277">
        <v>5</v>
      </c>
      <c r="AM810" s="277">
        <v>10</v>
      </c>
      <c r="AN810" s="277">
        <v>18</v>
      </c>
      <c r="AO810" s="277">
        <v>5</v>
      </c>
      <c r="AP810" s="277">
        <v>17</v>
      </c>
      <c r="AQ810" s="277">
        <v>14</v>
      </c>
      <c r="AR810" s="277">
        <v>9</v>
      </c>
      <c r="AS810" s="277">
        <v>9</v>
      </c>
      <c r="AT810" s="277">
        <v>12</v>
      </c>
      <c r="AU810" s="277">
        <v>12</v>
      </c>
      <c r="AV810" s="277">
        <f t="shared" ref="AV810:AV849" si="69">_xlfn.RANK.EQ(Y711,F711:Y711)</f>
        <v>12</v>
      </c>
      <c r="AX810" s="88" t="str">
        <f t="shared" ca="1" si="64"/>
        <v>AZN</v>
      </c>
    </row>
    <row r="811" spans="1:50" hidden="1">
      <c r="A811" s="88" t="str">
        <f t="shared" ca="1" si="68"/>
        <v>BLDP</v>
      </c>
      <c r="F811" s="253">
        <v>1</v>
      </c>
      <c r="G811" s="253">
        <v>1</v>
      </c>
      <c r="H811" s="253">
        <v>1</v>
      </c>
      <c r="I811" s="253">
        <v>1</v>
      </c>
      <c r="J811" s="253">
        <v>1</v>
      </c>
      <c r="K811" s="253">
        <v>1</v>
      </c>
      <c r="L811" s="253">
        <v>1</v>
      </c>
      <c r="M811" s="253">
        <v>1</v>
      </c>
      <c r="N811" s="253">
        <v>1</v>
      </c>
      <c r="O811" s="253">
        <v>1</v>
      </c>
      <c r="P811" s="253">
        <v>1</v>
      </c>
      <c r="Q811" s="253">
        <v>1</v>
      </c>
      <c r="R811" s="253">
        <v>1</v>
      </c>
      <c r="S811" s="253">
        <v>1</v>
      </c>
      <c r="T811" s="253">
        <v>1</v>
      </c>
      <c r="U811" s="253">
        <v>1</v>
      </c>
      <c r="V811" s="253">
        <v>1</v>
      </c>
      <c r="W811" s="253">
        <v>1</v>
      </c>
      <c r="X811" s="253">
        <v>1</v>
      </c>
      <c r="Y811" s="253">
        <v>1</v>
      </c>
      <c r="Z811" s="247">
        <f ca="1">[1]ExtEntry!$N11</f>
        <v>2.08</v>
      </c>
      <c r="AB811" s="277">
        <v>15</v>
      </c>
      <c r="AC811" s="277">
        <v>14</v>
      </c>
      <c r="AD811" s="277">
        <v>1</v>
      </c>
      <c r="AE811" s="277">
        <v>19</v>
      </c>
      <c r="AF811" s="277">
        <v>1</v>
      </c>
      <c r="AG811" s="277">
        <v>15</v>
      </c>
      <c r="AH811" s="277">
        <v>15</v>
      </c>
      <c r="AI811" s="277">
        <v>15</v>
      </c>
      <c r="AJ811" s="277">
        <v>14</v>
      </c>
      <c r="AK811" s="277">
        <v>3</v>
      </c>
      <c r="AL811" s="277">
        <v>2</v>
      </c>
      <c r="AM811" s="277">
        <v>19</v>
      </c>
      <c r="AN811" s="277">
        <v>17</v>
      </c>
      <c r="AO811" s="277">
        <v>14</v>
      </c>
      <c r="AP811" s="277">
        <v>8</v>
      </c>
      <c r="AQ811" s="277">
        <v>20</v>
      </c>
      <c r="AR811" s="277">
        <v>13</v>
      </c>
      <c r="AS811" s="277">
        <v>12</v>
      </c>
      <c r="AT811" s="277">
        <v>6</v>
      </c>
      <c r="AU811" s="277">
        <v>5</v>
      </c>
      <c r="AV811" s="277">
        <f t="shared" si="69"/>
        <v>5</v>
      </c>
      <c r="AX811" s="88" t="str">
        <f t="shared" ca="1" si="64"/>
        <v>BLDP</v>
      </c>
    </row>
    <row r="812" spans="1:50" hidden="1">
      <c r="A812" s="88" t="str">
        <f t="shared" ca="1" si="68"/>
        <v>BMRA</v>
      </c>
      <c r="F812" s="253">
        <v>2.08</v>
      </c>
      <c r="G812" s="253">
        <v>2.08</v>
      </c>
      <c r="H812" s="253">
        <v>2.08</v>
      </c>
      <c r="I812" s="253">
        <v>2.08</v>
      </c>
      <c r="J812" s="253">
        <v>2.08</v>
      </c>
      <c r="K812" s="253">
        <v>2.08</v>
      </c>
      <c r="L812" s="253">
        <v>2.08</v>
      </c>
      <c r="M812" s="253">
        <v>2.08</v>
      </c>
      <c r="N812" s="253">
        <v>2.08</v>
      </c>
      <c r="O812" s="253">
        <v>2.08</v>
      </c>
      <c r="P812" s="253">
        <v>2.08</v>
      </c>
      <c r="Q812" s="253">
        <v>2.08</v>
      </c>
      <c r="R812" s="253">
        <v>2.08</v>
      </c>
      <c r="S812" s="253">
        <v>2.08</v>
      </c>
      <c r="T812" s="253">
        <v>2.08</v>
      </c>
      <c r="U812" s="253">
        <v>2.08</v>
      </c>
      <c r="V812" s="253">
        <v>2.08</v>
      </c>
      <c r="W812" s="253">
        <v>2.08</v>
      </c>
      <c r="X812" s="253">
        <v>2.08</v>
      </c>
      <c r="Y812" s="253">
        <v>2.08</v>
      </c>
      <c r="Z812" s="247">
        <f ca="1">[1]ExtEntry!$N12</f>
        <v>55.51</v>
      </c>
      <c r="AB812" s="277">
        <v>12</v>
      </c>
      <c r="AC812" s="277">
        <v>14</v>
      </c>
      <c r="AD812" s="277">
        <v>14</v>
      </c>
      <c r="AE812" s="277">
        <v>19</v>
      </c>
      <c r="AF812" s="277">
        <v>2</v>
      </c>
      <c r="AG812" s="277">
        <v>18</v>
      </c>
      <c r="AH812" s="277">
        <v>3</v>
      </c>
      <c r="AI812" s="277">
        <v>1</v>
      </c>
      <c r="AJ812" s="277">
        <v>1</v>
      </c>
      <c r="AK812" s="277">
        <v>11</v>
      </c>
      <c r="AL812" s="277">
        <v>1</v>
      </c>
      <c r="AM812" s="277">
        <v>13</v>
      </c>
      <c r="AN812" s="277">
        <v>1</v>
      </c>
      <c r="AO812" s="277">
        <v>15</v>
      </c>
      <c r="AP812" s="277">
        <v>2</v>
      </c>
      <c r="AQ812" s="277">
        <v>4</v>
      </c>
      <c r="AR812" s="277">
        <v>20</v>
      </c>
      <c r="AS812" s="277">
        <v>19</v>
      </c>
      <c r="AT812" s="277">
        <v>13</v>
      </c>
      <c r="AU812" s="277">
        <v>7</v>
      </c>
      <c r="AV812" s="277">
        <f t="shared" si="69"/>
        <v>7</v>
      </c>
      <c r="AX812" s="88" t="str">
        <f t="shared" ca="1" si="64"/>
        <v>BMRA</v>
      </c>
    </row>
    <row r="813" spans="1:50" hidden="1">
      <c r="A813" s="88" t="str">
        <f t="shared" ca="1" si="68"/>
        <v>C</v>
      </c>
      <c r="F813" s="253">
        <v>55.51</v>
      </c>
      <c r="G813" s="253">
        <v>55.51</v>
      </c>
      <c r="H813" s="253">
        <v>55.51</v>
      </c>
      <c r="I813" s="253">
        <v>55.51</v>
      </c>
      <c r="J813" s="253">
        <v>55.51</v>
      </c>
      <c r="K813" s="253">
        <v>55.51</v>
      </c>
      <c r="L813" s="253">
        <v>55.51</v>
      </c>
      <c r="M813" s="253">
        <v>55.51</v>
      </c>
      <c r="N813" s="253">
        <v>55.51</v>
      </c>
      <c r="O813" s="253">
        <v>55.51</v>
      </c>
      <c r="P813" s="253">
        <v>55.51</v>
      </c>
      <c r="Q813" s="253">
        <v>55.51</v>
      </c>
      <c r="R813" s="253">
        <v>55.51</v>
      </c>
      <c r="S813" s="253">
        <v>55.51</v>
      </c>
      <c r="T813" s="253">
        <v>55.51</v>
      </c>
      <c r="U813" s="253">
        <v>55.51</v>
      </c>
      <c r="V813" s="253">
        <v>55.51</v>
      </c>
      <c r="W813" s="253">
        <v>55.51</v>
      </c>
      <c r="X813" s="253">
        <v>55.51</v>
      </c>
      <c r="Y813" s="253">
        <v>55.51</v>
      </c>
      <c r="Z813" s="247">
        <f ca="1">[1]ExtEntry!$N13</f>
        <v>52.11</v>
      </c>
      <c r="AB813" s="277">
        <v>18</v>
      </c>
      <c r="AC813" s="277">
        <v>20</v>
      </c>
      <c r="AD813" s="277">
        <v>20</v>
      </c>
      <c r="AE813" s="277">
        <v>18</v>
      </c>
      <c r="AF813" s="277">
        <v>10</v>
      </c>
      <c r="AG813" s="277">
        <v>14</v>
      </c>
      <c r="AH813" s="277">
        <v>16</v>
      </c>
      <c r="AI813" s="277">
        <v>15</v>
      </c>
      <c r="AJ813" s="277">
        <v>14</v>
      </c>
      <c r="AK813" s="277">
        <v>1</v>
      </c>
      <c r="AL813" s="277">
        <v>1</v>
      </c>
      <c r="AM813" s="277">
        <v>13</v>
      </c>
      <c r="AN813" s="277">
        <v>20</v>
      </c>
      <c r="AO813" s="277">
        <v>4</v>
      </c>
      <c r="AP813" s="277">
        <v>3</v>
      </c>
      <c r="AQ813" s="277">
        <v>14</v>
      </c>
      <c r="AR813" s="277">
        <v>18</v>
      </c>
      <c r="AS813" s="277">
        <v>17</v>
      </c>
      <c r="AT813" s="277">
        <v>7</v>
      </c>
      <c r="AU813" s="277">
        <v>4</v>
      </c>
      <c r="AV813" s="277">
        <f t="shared" si="69"/>
        <v>4</v>
      </c>
      <c r="AX813" s="88" t="str">
        <f t="shared" ca="1" si="64"/>
        <v>C</v>
      </c>
    </row>
    <row r="814" spans="1:50" hidden="1">
      <c r="A814" s="88" t="str">
        <f t="shared" ca="1" si="68"/>
        <v>CSCO</v>
      </c>
      <c r="F814" s="253">
        <v>52.11</v>
      </c>
      <c r="G814" s="253">
        <v>52.11</v>
      </c>
      <c r="H814" s="253">
        <v>52.11</v>
      </c>
      <c r="I814" s="253">
        <v>52.11</v>
      </c>
      <c r="J814" s="253">
        <v>52.11</v>
      </c>
      <c r="K814" s="253">
        <v>52.11</v>
      </c>
      <c r="L814" s="253">
        <v>52.11</v>
      </c>
      <c r="M814" s="253">
        <v>52.11</v>
      </c>
      <c r="N814" s="253">
        <v>52.11</v>
      </c>
      <c r="O814" s="253">
        <v>52.11</v>
      </c>
      <c r="P814" s="253">
        <v>52.11</v>
      </c>
      <c r="Q814" s="253">
        <v>52.11</v>
      </c>
      <c r="R814" s="253">
        <v>52.11</v>
      </c>
      <c r="S814" s="253">
        <v>52.11</v>
      </c>
      <c r="T814" s="253">
        <v>52.11</v>
      </c>
      <c r="U814" s="253">
        <v>52.11</v>
      </c>
      <c r="V814" s="253">
        <v>52.11</v>
      </c>
      <c r="W814" s="253">
        <v>52.11</v>
      </c>
      <c r="X814" s="253">
        <v>52.11</v>
      </c>
      <c r="Y814" s="253">
        <v>52.11</v>
      </c>
      <c r="Z814" s="247">
        <f ca="1">[1]ExtEntry!$N14</f>
        <v>43.56</v>
      </c>
      <c r="AB814" s="277">
        <v>7</v>
      </c>
      <c r="AC814" s="277">
        <v>3</v>
      </c>
      <c r="AD814" s="277">
        <v>7</v>
      </c>
      <c r="AE814" s="277">
        <v>15</v>
      </c>
      <c r="AF814" s="277">
        <v>10</v>
      </c>
      <c r="AG814" s="277">
        <v>9</v>
      </c>
      <c r="AH814" s="277">
        <v>1</v>
      </c>
      <c r="AI814" s="277">
        <v>14</v>
      </c>
      <c r="AJ814" s="277">
        <v>14</v>
      </c>
      <c r="AK814" s="277">
        <v>18</v>
      </c>
      <c r="AL814" s="277">
        <v>2</v>
      </c>
      <c r="AM814" s="277">
        <v>4</v>
      </c>
      <c r="AN814" s="277">
        <v>14</v>
      </c>
      <c r="AO814" s="277">
        <v>3</v>
      </c>
      <c r="AP814" s="277">
        <v>7</v>
      </c>
      <c r="AQ814" s="277">
        <v>11</v>
      </c>
      <c r="AR814" s="277">
        <v>13</v>
      </c>
      <c r="AS814" s="277">
        <v>13</v>
      </c>
      <c r="AT814" s="277">
        <v>16</v>
      </c>
      <c r="AU814" s="277">
        <v>7</v>
      </c>
      <c r="AV814" s="277">
        <f t="shared" si="69"/>
        <v>7</v>
      </c>
      <c r="AX814" s="88" t="str">
        <f t="shared" ca="1" si="64"/>
        <v>CSCO</v>
      </c>
    </row>
    <row r="815" spans="1:50" hidden="1">
      <c r="A815" s="88" t="str">
        <f t="shared" ca="1" si="68"/>
        <v>CVS</v>
      </c>
      <c r="F815" s="253">
        <v>43.56</v>
      </c>
      <c r="G815" s="253">
        <v>43.56</v>
      </c>
      <c r="H815" s="253">
        <v>43.56</v>
      </c>
      <c r="I815" s="253">
        <v>43.56</v>
      </c>
      <c r="J815" s="253">
        <v>43.56</v>
      </c>
      <c r="K815" s="253">
        <v>43.56</v>
      </c>
      <c r="L815" s="253">
        <v>43.56</v>
      </c>
      <c r="M815" s="253">
        <v>43.56</v>
      </c>
      <c r="N815" s="253">
        <v>43.56</v>
      </c>
      <c r="O815" s="253">
        <v>43.56</v>
      </c>
      <c r="P815" s="253">
        <v>43.56</v>
      </c>
      <c r="Q815" s="253">
        <v>43.56</v>
      </c>
      <c r="R815" s="253">
        <v>43.56</v>
      </c>
      <c r="S815" s="253">
        <v>43.56</v>
      </c>
      <c r="T815" s="253">
        <v>43.56</v>
      </c>
      <c r="U815" s="253">
        <v>43.56</v>
      </c>
      <c r="V815" s="253">
        <v>43.56</v>
      </c>
      <c r="W815" s="253">
        <v>43.56</v>
      </c>
      <c r="X815" s="253">
        <v>43.56</v>
      </c>
      <c r="Y815" s="253">
        <v>43.56</v>
      </c>
      <c r="Z815" s="247">
        <f ca="1">[1]ExtEntry!$N15</f>
        <v>1.32</v>
      </c>
      <c r="AB815" s="277">
        <v>14</v>
      </c>
      <c r="AC815" s="277">
        <v>15</v>
      </c>
      <c r="AD815" s="277">
        <v>3</v>
      </c>
      <c r="AE815" s="277">
        <v>7</v>
      </c>
      <c r="AF815" s="277">
        <v>13</v>
      </c>
      <c r="AG815" s="277">
        <v>11</v>
      </c>
      <c r="AH815" s="277">
        <v>15</v>
      </c>
      <c r="AI815" s="277">
        <v>17</v>
      </c>
      <c r="AJ815" s="277">
        <v>17</v>
      </c>
      <c r="AK815" s="277">
        <v>5</v>
      </c>
      <c r="AL815" s="277">
        <v>3</v>
      </c>
      <c r="AM815" s="277">
        <v>3</v>
      </c>
      <c r="AN815" s="277">
        <v>6</v>
      </c>
      <c r="AO815" s="277">
        <v>6</v>
      </c>
      <c r="AP815" s="277">
        <v>13</v>
      </c>
      <c r="AQ815" s="277">
        <v>10</v>
      </c>
      <c r="AR815" s="277">
        <v>19</v>
      </c>
      <c r="AS815" s="277">
        <v>18</v>
      </c>
      <c r="AT815" s="277">
        <v>18</v>
      </c>
      <c r="AU815" s="277">
        <v>5</v>
      </c>
      <c r="AV815" s="277">
        <f t="shared" si="69"/>
        <v>5</v>
      </c>
      <c r="AX815" s="88" t="str">
        <f t="shared" ca="1" si="64"/>
        <v>CVS</v>
      </c>
    </row>
    <row r="816" spans="1:50" hidden="1">
      <c r="A816" s="88" t="str">
        <f t="shared" ca="1" si="68"/>
        <v>DDD</v>
      </c>
      <c r="F816" s="253">
        <v>1.32</v>
      </c>
      <c r="G816" s="253">
        <v>1.32</v>
      </c>
      <c r="H816" s="253">
        <v>1.32</v>
      </c>
      <c r="I816" s="253">
        <v>1.32</v>
      </c>
      <c r="J816" s="253">
        <v>1.32</v>
      </c>
      <c r="K816" s="253">
        <v>1.32</v>
      </c>
      <c r="L816" s="253">
        <v>1.32</v>
      </c>
      <c r="M816" s="253">
        <v>1.32</v>
      </c>
      <c r="N816" s="253">
        <v>1.32</v>
      </c>
      <c r="O816" s="253">
        <v>1.32</v>
      </c>
      <c r="P816" s="253">
        <v>1.32</v>
      </c>
      <c r="Q816" s="253">
        <v>1.32</v>
      </c>
      <c r="R816" s="253">
        <v>1.32</v>
      </c>
      <c r="S816" s="253">
        <v>1.32</v>
      </c>
      <c r="T816" s="253">
        <v>1.32</v>
      </c>
      <c r="U816" s="253">
        <v>1.32</v>
      </c>
      <c r="V816" s="253">
        <v>1.32</v>
      </c>
      <c r="W816" s="253">
        <v>1.32</v>
      </c>
      <c r="X816" s="253">
        <v>1.32</v>
      </c>
      <c r="Y816" s="253">
        <v>1.32</v>
      </c>
      <c r="Z816" s="247">
        <f ca="1">[1]ExtEntry!$N16</f>
        <v>80.099999999999994</v>
      </c>
      <c r="AB816" s="277">
        <v>19</v>
      </c>
      <c r="AC816" s="277">
        <v>17</v>
      </c>
      <c r="AD816" s="277">
        <v>16</v>
      </c>
      <c r="AE816" s="277">
        <v>6</v>
      </c>
      <c r="AF816" s="277">
        <v>7</v>
      </c>
      <c r="AG816" s="277">
        <v>15</v>
      </c>
      <c r="AH816" s="277">
        <v>9</v>
      </c>
      <c r="AI816" s="277">
        <v>17</v>
      </c>
      <c r="AJ816" s="277">
        <v>16</v>
      </c>
      <c r="AK816" s="277">
        <v>3</v>
      </c>
      <c r="AL816" s="277">
        <v>13</v>
      </c>
      <c r="AM816" s="277">
        <v>5</v>
      </c>
      <c r="AN816" s="277">
        <v>9</v>
      </c>
      <c r="AO816" s="277">
        <v>20</v>
      </c>
      <c r="AP816" s="277">
        <v>1</v>
      </c>
      <c r="AQ816" s="277">
        <v>20</v>
      </c>
      <c r="AR816" s="277">
        <v>20</v>
      </c>
      <c r="AS816" s="277">
        <v>19</v>
      </c>
      <c r="AT816" s="277">
        <v>8</v>
      </c>
      <c r="AU816" s="277">
        <v>8</v>
      </c>
      <c r="AV816" s="277">
        <f t="shared" si="69"/>
        <v>8</v>
      </c>
      <c r="AX816" s="88" t="str">
        <f t="shared" ca="1" si="64"/>
        <v>DDD</v>
      </c>
    </row>
    <row r="817" spans="1:50" hidden="1">
      <c r="A817" s="88" t="str">
        <f t="shared" ca="1" si="68"/>
        <v>DIS</v>
      </c>
      <c r="F817" s="253">
        <v>80.099999999999994</v>
      </c>
      <c r="G817" s="253">
        <v>80.099999999999994</v>
      </c>
      <c r="H817" s="253">
        <v>80.099999999999994</v>
      </c>
      <c r="I817" s="253">
        <v>80.099999999999994</v>
      </c>
      <c r="J817" s="253">
        <v>80.099999999999994</v>
      </c>
      <c r="K817" s="253">
        <v>80.099999999999994</v>
      </c>
      <c r="L817" s="253">
        <v>80.099999999999994</v>
      </c>
      <c r="M817" s="253">
        <v>80.099999999999994</v>
      </c>
      <c r="N817" s="253">
        <v>80.099999999999994</v>
      </c>
      <c r="O817" s="253">
        <v>80.099999999999994</v>
      </c>
      <c r="P817" s="253">
        <v>80.099999999999994</v>
      </c>
      <c r="Q817" s="253">
        <v>80.099999999999994</v>
      </c>
      <c r="R817" s="253">
        <v>80.099999999999994</v>
      </c>
      <c r="S817" s="253">
        <v>80.099999999999994</v>
      </c>
      <c r="T817" s="253">
        <v>80.099999999999994</v>
      </c>
      <c r="U817" s="253">
        <v>80.099999999999994</v>
      </c>
      <c r="V817" s="253">
        <v>80.099999999999994</v>
      </c>
      <c r="W817" s="253">
        <v>80.099999999999994</v>
      </c>
      <c r="X817" s="253">
        <v>80.099999999999994</v>
      </c>
      <c r="Y817" s="253">
        <v>80.099999999999994</v>
      </c>
      <c r="Z817" s="247">
        <f ca="1">[1]ExtEntry!$N17</f>
        <v>25.01</v>
      </c>
      <c r="AB817" s="277">
        <v>5</v>
      </c>
      <c r="AC817" s="277">
        <v>9</v>
      </c>
      <c r="AD817" s="277">
        <v>20</v>
      </c>
      <c r="AE817" s="277">
        <v>12</v>
      </c>
      <c r="AF817" s="277">
        <v>5</v>
      </c>
      <c r="AG817" s="277">
        <v>7</v>
      </c>
      <c r="AH817" s="277">
        <v>13</v>
      </c>
      <c r="AI817" s="277">
        <v>14</v>
      </c>
      <c r="AJ817" s="277">
        <v>14</v>
      </c>
      <c r="AK817" s="277">
        <v>2</v>
      </c>
      <c r="AL817" s="277">
        <v>3</v>
      </c>
      <c r="AM817" s="277">
        <v>4</v>
      </c>
      <c r="AN817" s="277">
        <v>20</v>
      </c>
      <c r="AO817" s="277">
        <v>6</v>
      </c>
      <c r="AP817" s="277">
        <v>1</v>
      </c>
      <c r="AQ817" s="277">
        <v>1</v>
      </c>
      <c r="AR817" s="277">
        <v>18</v>
      </c>
      <c r="AS817" s="277">
        <v>17</v>
      </c>
      <c r="AT817" s="277">
        <v>10</v>
      </c>
      <c r="AU817" s="277">
        <v>18</v>
      </c>
      <c r="AV817" s="277">
        <f t="shared" si="69"/>
        <v>18</v>
      </c>
      <c r="AX817" s="88" t="str">
        <f t="shared" ca="1" si="64"/>
        <v>DIS</v>
      </c>
    </row>
    <row r="818" spans="1:50" hidden="1">
      <c r="A818" s="88" t="str">
        <f t="shared" ca="1" si="68"/>
        <v>DSY</v>
      </c>
      <c r="F818" s="253">
        <v>26.25</v>
      </c>
      <c r="G818" s="253">
        <v>26.25</v>
      </c>
      <c r="H818" s="253">
        <v>26.25</v>
      </c>
      <c r="I818" s="253">
        <v>26.25</v>
      </c>
      <c r="J818" s="253">
        <v>26.25</v>
      </c>
      <c r="K818" s="253">
        <v>26.25</v>
      </c>
      <c r="L818" s="253">
        <v>26.25</v>
      </c>
      <c r="M818" s="253">
        <v>26.25</v>
      </c>
      <c r="N818" s="253">
        <v>26.25</v>
      </c>
      <c r="O818" s="253">
        <v>26.25</v>
      </c>
      <c r="P818" s="253">
        <v>26.25</v>
      </c>
      <c r="Q818" s="253">
        <v>26.25</v>
      </c>
      <c r="R818" s="253">
        <v>26.25</v>
      </c>
      <c r="S818" s="253">
        <v>26.25</v>
      </c>
      <c r="T818" s="253">
        <v>26.25</v>
      </c>
      <c r="U818" s="253">
        <v>26.25</v>
      </c>
      <c r="V818" s="253">
        <v>26.25</v>
      </c>
      <c r="W818" s="253">
        <v>26.25</v>
      </c>
      <c r="X818" s="253">
        <v>25.01</v>
      </c>
      <c r="Y818" s="253">
        <v>25.01</v>
      </c>
      <c r="Z818" s="247">
        <f ca="1">[1]ExtEntry!$N18</f>
        <v>122.925</v>
      </c>
      <c r="AB818" s="277">
        <v>7</v>
      </c>
      <c r="AC818" s="277">
        <v>8</v>
      </c>
      <c r="AD818" s="277">
        <v>12</v>
      </c>
      <c r="AE818" s="277">
        <v>1</v>
      </c>
      <c r="AF818" s="277">
        <v>15</v>
      </c>
      <c r="AG818" s="277">
        <v>14</v>
      </c>
      <c r="AH818" s="277">
        <v>17</v>
      </c>
      <c r="AI818" s="277">
        <v>8</v>
      </c>
      <c r="AJ818" s="277">
        <v>3</v>
      </c>
      <c r="AK818" s="277">
        <v>4</v>
      </c>
      <c r="AL818" s="277">
        <v>20</v>
      </c>
      <c r="AM818" s="277">
        <v>3</v>
      </c>
      <c r="AN818" s="277">
        <v>3</v>
      </c>
      <c r="AO818" s="277">
        <v>12</v>
      </c>
      <c r="AP818" s="277">
        <v>4</v>
      </c>
      <c r="AQ818" s="277">
        <v>4</v>
      </c>
      <c r="AR818" s="277">
        <v>16</v>
      </c>
      <c r="AS818" s="277">
        <v>15</v>
      </c>
      <c r="AT818" s="277">
        <v>20</v>
      </c>
      <c r="AU818" s="277">
        <v>19</v>
      </c>
      <c r="AV818" s="277">
        <f t="shared" si="69"/>
        <v>19</v>
      </c>
      <c r="AX818" s="88" t="str">
        <f t="shared" ca="1" si="64"/>
        <v>DSY</v>
      </c>
    </row>
    <row r="819" spans="1:50" hidden="1">
      <c r="A819" s="88" t="str">
        <f t="shared" ca="1" si="68"/>
        <v>DVA</v>
      </c>
      <c r="F819" s="253">
        <v>126.07</v>
      </c>
      <c r="G819" s="253">
        <v>126.07</v>
      </c>
      <c r="H819" s="253">
        <v>126.07</v>
      </c>
      <c r="I819" s="253">
        <v>126.07</v>
      </c>
      <c r="J819" s="253">
        <v>126.07</v>
      </c>
      <c r="K819" s="253">
        <v>126.07</v>
      </c>
      <c r="L819" s="253">
        <v>126.07</v>
      </c>
      <c r="M819" s="253">
        <v>126.07</v>
      </c>
      <c r="N819" s="253">
        <v>126.07</v>
      </c>
      <c r="O819" s="253">
        <v>122.94499999999999</v>
      </c>
      <c r="P819" s="253">
        <v>122.925</v>
      </c>
      <c r="Q819" s="253">
        <v>122.925</v>
      </c>
      <c r="R819" s="253">
        <v>122.925</v>
      </c>
      <c r="S819" s="253">
        <v>122.925</v>
      </c>
      <c r="T819" s="253">
        <v>122.925</v>
      </c>
      <c r="U819" s="253">
        <v>122.925</v>
      </c>
      <c r="V819" s="253">
        <v>122.925</v>
      </c>
      <c r="W819" s="253">
        <v>122.925</v>
      </c>
      <c r="X819" s="253">
        <v>122.925</v>
      </c>
      <c r="Y819" s="253">
        <v>122.925</v>
      </c>
      <c r="Z819" s="247">
        <f ca="1">[1]ExtEntry!$N19</f>
        <v>12.24</v>
      </c>
      <c r="AB819" s="277">
        <v>13</v>
      </c>
      <c r="AC819" s="277">
        <v>1</v>
      </c>
      <c r="AD819" s="277">
        <v>9</v>
      </c>
      <c r="AE819" s="277">
        <v>14</v>
      </c>
      <c r="AF819" s="277">
        <v>17</v>
      </c>
      <c r="AG819" s="277">
        <v>1</v>
      </c>
      <c r="AH819" s="277">
        <v>19</v>
      </c>
      <c r="AI819" s="277">
        <v>17</v>
      </c>
      <c r="AJ819" s="277">
        <v>16</v>
      </c>
      <c r="AK819" s="277">
        <v>11</v>
      </c>
      <c r="AL819" s="277">
        <v>2</v>
      </c>
      <c r="AM819" s="277">
        <v>9</v>
      </c>
      <c r="AN819" s="277">
        <v>15</v>
      </c>
      <c r="AO819" s="277">
        <v>7</v>
      </c>
      <c r="AP819" s="277">
        <v>4</v>
      </c>
      <c r="AQ819" s="277">
        <v>9</v>
      </c>
      <c r="AR819" s="277">
        <v>6</v>
      </c>
      <c r="AS819" s="277">
        <v>5</v>
      </c>
      <c r="AT819" s="277">
        <v>17</v>
      </c>
      <c r="AU819" s="277">
        <v>5</v>
      </c>
      <c r="AV819" s="277">
        <f t="shared" si="69"/>
        <v>5</v>
      </c>
      <c r="AX819" s="88" t="str">
        <f t="shared" ca="1" si="64"/>
        <v>DVA</v>
      </c>
    </row>
    <row r="820" spans="1:50" hidden="1">
      <c r="A820" s="88" t="str">
        <f t="shared" ca="1" si="68"/>
        <v>DXC</v>
      </c>
      <c r="F820" s="253">
        <v>12.24</v>
      </c>
      <c r="G820" s="253">
        <v>12.24</v>
      </c>
      <c r="H820" s="253">
        <v>12.24</v>
      </c>
      <c r="I820" s="253">
        <v>12.24</v>
      </c>
      <c r="J820" s="253">
        <v>12.24</v>
      </c>
      <c r="K820" s="253">
        <v>12.24</v>
      </c>
      <c r="L820" s="253">
        <v>12.24</v>
      </c>
      <c r="M820" s="253">
        <v>12.24</v>
      </c>
      <c r="N820" s="253">
        <v>12.24</v>
      </c>
      <c r="O820" s="253">
        <v>12.24</v>
      </c>
      <c r="P820" s="253">
        <v>12.24</v>
      </c>
      <c r="Q820" s="253">
        <v>12.24</v>
      </c>
      <c r="R820" s="253">
        <v>12.24</v>
      </c>
      <c r="S820" s="253">
        <v>12.24</v>
      </c>
      <c r="T820" s="253">
        <v>12.24</v>
      </c>
      <c r="U820" s="253">
        <v>12.24</v>
      </c>
      <c r="V820" s="253">
        <v>12.24</v>
      </c>
      <c r="W820" s="253">
        <v>12.24</v>
      </c>
      <c r="X820" s="253">
        <v>12.24</v>
      </c>
      <c r="Y820" s="253">
        <v>12.24</v>
      </c>
      <c r="Z820" s="247">
        <f ca="1">[1]ExtEntry!$N20</f>
        <v>10.435</v>
      </c>
      <c r="AB820" s="277">
        <v>15</v>
      </c>
      <c r="AC820" s="277">
        <v>9</v>
      </c>
      <c r="AD820" s="277">
        <v>6</v>
      </c>
      <c r="AE820" s="277">
        <v>14</v>
      </c>
      <c r="AF820" s="277">
        <v>6</v>
      </c>
      <c r="AG820" s="277">
        <v>15</v>
      </c>
      <c r="AH820" s="277">
        <v>9</v>
      </c>
      <c r="AI820" s="277">
        <v>5</v>
      </c>
      <c r="AJ820" s="277">
        <v>5</v>
      </c>
      <c r="AK820" s="277">
        <v>3</v>
      </c>
      <c r="AL820" s="277">
        <v>11</v>
      </c>
      <c r="AM820" s="277">
        <v>13</v>
      </c>
      <c r="AN820" s="277">
        <v>15</v>
      </c>
      <c r="AO820" s="277">
        <v>11</v>
      </c>
      <c r="AP820" s="277">
        <v>9</v>
      </c>
      <c r="AQ820" s="277">
        <v>3</v>
      </c>
      <c r="AR820" s="277">
        <v>13</v>
      </c>
      <c r="AS820" s="277">
        <v>12</v>
      </c>
      <c r="AT820" s="277">
        <v>9</v>
      </c>
      <c r="AU820" s="277">
        <v>6</v>
      </c>
      <c r="AV820" s="277">
        <f t="shared" si="69"/>
        <v>6</v>
      </c>
      <c r="AX820" s="88" t="str">
        <f t="shared" ca="1" si="64"/>
        <v>DXC</v>
      </c>
    </row>
    <row r="821" spans="1:50" hidden="1">
      <c r="A821" s="88" t="str">
        <f t="shared" ca="1" si="68"/>
        <v>EOAN</v>
      </c>
      <c r="F821" s="253">
        <v>10.435</v>
      </c>
      <c r="G821" s="253">
        <v>7.3</v>
      </c>
      <c r="H821" s="253">
        <v>7.3</v>
      </c>
      <c r="I821" s="253">
        <v>7.3</v>
      </c>
      <c r="J821" s="253">
        <v>7.3</v>
      </c>
      <c r="K821" s="253">
        <v>7.3</v>
      </c>
      <c r="L821" s="253">
        <v>7.3</v>
      </c>
      <c r="M821" s="253">
        <v>7.3</v>
      </c>
      <c r="N821" s="253">
        <v>7.3</v>
      </c>
      <c r="O821" s="253">
        <v>7.3</v>
      </c>
      <c r="P821" s="253">
        <v>7.3</v>
      </c>
      <c r="Q821" s="253">
        <v>7.3</v>
      </c>
      <c r="R821" s="253">
        <v>7.3</v>
      </c>
      <c r="S821" s="253">
        <v>7.3</v>
      </c>
      <c r="T821" s="253">
        <v>7.3</v>
      </c>
      <c r="U821" s="253">
        <v>7.3</v>
      </c>
      <c r="V821" s="253">
        <v>7.3</v>
      </c>
      <c r="W821" s="253">
        <v>7.3</v>
      </c>
      <c r="X821" s="253">
        <v>7.3</v>
      </c>
      <c r="Y821" s="253">
        <v>7.3</v>
      </c>
      <c r="Z821" s="247">
        <f ca="1">[1]ExtEntry!$N21</f>
        <v>0.17330000000000001</v>
      </c>
      <c r="AB821" s="277">
        <v>17</v>
      </c>
      <c r="AC821" s="277">
        <v>15</v>
      </c>
      <c r="AD821" s="277">
        <v>8</v>
      </c>
      <c r="AE821" s="277">
        <v>20</v>
      </c>
      <c r="AF821" s="277">
        <v>5</v>
      </c>
      <c r="AG821" s="277">
        <v>12</v>
      </c>
      <c r="AH821" s="277">
        <v>12</v>
      </c>
      <c r="AI821" s="277">
        <v>16</v>
      </c>
      <c r="AJ821" s="277">
        <v>14</v>
      </c>
      <c r="AK821" s="277">
        <v>3</v>
      </c>
      <c r="AL821" s="277">
        <v>4</v>
      </c>
      <c r="AM821" s="277">
        <v>19</v>
      </c>
      <c r="AN821" s="277">
        <v>12</v>
      </c>
      <c r="AO821" s="277">
        <v>14</v>
      </c>
      <c r="AP821" s="277">
        <v>4</v>
      </c>
      <c r="AQ821" s="277">
        <v>18</v>
      </c>
      <c r="AR821" s="277">
        <v>20</v>
      </c>
      <c r="AS821" s="277">
        <v>19</v>
      </c>
      <c r="AT821" s="277">
        <v>16</v>
      </c>
      <c r="AU821" s="277">
        <v>6</v>
      </c>
      <c r="AV821" s="277">
        <f t="shared" si="69"/>
        <v>6</v>
      </c>
      <c r="AX821" s="88" t="str">
        <f t="shared" ca="1" si="64"/>
        <v>EOAN</v>
      </c>
    </row>
    <row r="822" spans="1:50" hidden="1">
      <c r="A822" s="88" t="str">
        <f t="shared" ca="1" si="68"/>
        <v>EPIX</v>
      </c>
      <c r="F822" s="253">
        <v>0.17330000000000001</v>
      </c>
      <c r="G822" s="253">
        <v>0.17330000000000001</v>
      </c>
      <c r="H822" s="253">
        <v>0.17330000000000001</v>
      </c>
      <c r="I822" s="253">
        <v>0.17330000000000001</v>
      </c>
      <c r="J822" s="253">
        <v>0.17330000000000001</v>
      </c>
      <c r="K822" s="253">
        <v>0.17330000000000001</v>
      </c>
      <c r="L822" s="253">
        <v>0.17330000000000001</v>
      </c>
      <c r="M822" s="253">
        <v>0.17330000000000001</v>
      </c>
      <c r="N822" s="253">
        <v>0.17330000000000001</v>
      </c>
      <c r="O822" s="253">
        <v>0.17330000000000001</v>
      </c>
      <c r="P822" s="253">
        <v>0.17330000000000001</v>
      </c>
      <c r="Q822" s="253">
        <v>0.17330000000000001</v>
      </c>
      <c r="R822" s="253">
        <v>0.17330000000000001</v>
      </c>
      <c r="S822" s="253">
        <v>0.17330000000000001</v>
      </c>
      <c r="T822" s="253">
        <v>0.17330000000000001</v>
      </c>
      <c r="U822" s="253">
        <v>0.17330000000000001</v>
      </c>
      <c r="V822" s="253">
        <v>0.17330000000000001</v>
      </c>
      <c r="W822" s="253">
        <v>0.17330000000000001</v>
      </c>
      <c r="X822" s="253">
        <v>0.17330000000000001</v>
      </c>
      <c r="Y822" s="253">
        <v>0.17330000000000001</v>
      </c>
      <c r="Z822" s="247">
        <f ca="1">[1]ExtEntry!$N22</f>
        <v>41.6</v>
      </c>
      <c r="AB822" s="277">
        <v>16</v>
      </c>
      <c r="AC822" s="277">
        <v>12</v>
      </c>
      <c r="AD822" s="277">
        <v>1</v>
      </c>
      <c r="AE822" s="277">
        <v>2</v>
      </c>
      <c r="AF822" s="277">
        <v>18</v>
      </c>
      <c r="AG822" s="277">
        <v>9</v>
      </c>
      <c r="AH822" s="277">
        <v>14</v>
      </c>
      <c r="AI822" s="277">
        <v>13</v>
      </c>
      <c r="AJ822" s="277">
        <v>12</v>
      </c>
      <c r="AK822" s="277">
        <v>10</v>
      </c>
      <c r="AL822" s="277">
        <v>10</v>
      </c>
      <c r="AM822" s="277">
        <v>9</v>
      </c>
      <c r="AN822" s="277">
        <v>8</v>
      </c>
      <c r="AO822" s="277">
        <v>7</v>
      </c>
      <c r="AP822" s="277">
        <v>6</v>
      </c>
      <c r="AQ822" s="277">
        <v>5</v>
      </c>
      <c r="AR822" s="277">
        <v>5</v>
      </c>
      <c r="AS822" s="277">
        <v>5</v>
      </c>
      <c r="AT822" s="277">
        <v>5</v>
      </c>
      <c r="AU822" s="277">
        <v>4</v>
      </c>
      <c r="AV822" s="277">
        <f t="shared" si="69"/>
        <v>4</v>
      </c>
      <c r="AX822" s="88" t="str">
        <f t="shared" ca="1" si="64"/>
        <v>EPIX</v>
      </c>
    </row>
    <row r="823" spans="1:50" hidden="1">
      <c r="A823" s="88" t="str">
        <f t="shared" ca="1" si="68"/>
        <v>GM</v>
      </c>
      <c r="F823" s="253">
        <v>41.6</v>
      </c>
      <c r="G823" s="253">
        <v>41.6</v>
      </c>
      <c r="H823" s="253">
        <v>41.6</v>
      </c>
      <c r="I823" s="253">
        <v>41.6</v>
      </c>
      <c r="J823" s="253">
        <v>41.6</v>
      </c>
      <c r="K823" s="253">
        <v>41.6</v>
      </c>
      <c r="L823" s="253">
        <v>41.6</v>
      </c>
      <c r="M823" s="253">
        <v>41.6</v>
      </c>
      <c r="N823" s="253">
        <v>41.6</v>
      </c>
      <c r="O823" s="253">
        <v>41.6</v>
      </c>
      <c r="P823" s="253">
        <v>41.6</v>
      </c>
      <c r="Q823" s="253">
        <v>41.6</v>
      </c>
      <c r="R823" s="253">
        <v>41.6</v>
      </c>
      <c r="S823" s="253">
        <v>41.6</v>
      </c>
      <c r="T823" s="253">
        <v>41.6</v>
      </c>
      <c r="U823" s="253">
        <v>41.6</v>
      </c>
      <c r="V823" s="253">
        <v>41.6</v>
      </c>
      <c r="W823" s="253">
        <v>41.6</v>
      </c>
      <c r="X823" s="253">
        <v>41.6</v>
      </c>
      <c r="Y823" s="253">
        <v>41.6</v>
      </c>
      <c r="Z823" s="247">
        <f ca="1">[1]ExtEntry!$N23</f>
        <v>11.965</v>
      </c>
      <c r="AB823" s="277">
        <v>17</v>
      </c>
      <c r="AC823" s="277">
        <v>10</v>
      </c>
      <c r="AD823" s="277">
        <v>8</v>
      </c>
      <c r="AE823" s="277">
        <v>20</v>
      </c>
      <c r="AF823" s="277">
        <v>3</v>
      </c>
      <c r="AG823" s="277">
        <v>19</v>
      </c>
      <c r="AH823" s="277">
        <v>18</v>
      </c>
      <c r="AI823" s="277">
        <v>16</v>
      </c>
      <c r="AJ823" s="277">
        <v>17</v>
      </c>
      <c r="AK823" s="277">
        <v>8</v>
      </c>
      <c r="AL823" s="277">
        <v>1</v>
      </c>
      <c r="AM823" s="277">
        <v>3</v>
      </c>
      <c r="AN823" s="277">
        <v>15</v>
      </c>
      <c r="AO823" s="277">
        <v>3</v>
      </c>
      <c r="AP823" s="277">
        <v>13</v>
      </c>
      <c r="AQ823" s="277">
        <v>1</v>
      </c>
      <c r="AR823" s="277">
        <v>9</v>
      </c>
      <c r="AS823" s="277">
        <v>8</v>
      </c>
      <c r="AT823" s="277">
        <v>14</v>
      </c>
      <c r="AU823" s="277">
        <v>2</v>
      </c>
      <c r="AV823" s="277">
        <f t="shared" si="69"/>
        <v>2</v>
      </c>
      <c r="AX823" s="88" t="str">
        <f t="shared" ca="1" si="64"/>
        <v>GM</v>
      </c>
    </row>
    <row r="824" spans="1:50" hidden="1">
      <c r="A824" s="88" t="str">
        <f t="shared" ca="1" si="68"/>
        <v>HPE</v>
      </c>
      <c r="F824" s="253">
        <v>11.965</v>
      </c>
      <c r="G824" s="253">
        <v>11.965</v>
      </c>
      <c r="H824" s="253">
        <v>11.965</v>
      </c>
      <c r="I824" s="253">
        <v>11.965</v>
      </c>
      <c r="J824" s="253">
        <v>11.965</v>
      </c>
      <c r="K824" s="253">
        <v>11.965</v>
      </c>
      <c r="L824" s="253">
        <v>11.965</v>
      </c>
      <c r="M824" s="253">
        <v>11.965</v>
      </c>
      <c r="N824" s="253">
        <v>11.965</v>
      </c>
      <c r="O824" s="253">
        <v>11.965</v>
      </c>
      <c r="P824" s="253">
        <v>11.965</v>
      </c>
      <c r="Q824" s="253">
        <v>11.965</v>
      </c>
      <c r="R824" s="253">
        <v>11.965</v>
      </c>
      <c r="S824" s="253">
        <v>11.965</v>
      </c>
      <c r="T824" s="253">
        <v>11.965</v>
      </c>
      <c r="U824" s="253">
        <v>11.965</v>
      </c>
      <c r="V824" s="253">
        <v>11.965</v>
      </c>
      <c r="W824" s="253">
        <v>11.965</v>
      </c>
      <c r="X824" s="253">
        <v>11.965</v>
      </c>
      <c r="Y824" s="253">
        <v>11.965</v>
      </c>
      <c r="Z824" s="247">
        <f ca="1">[1]ExtEntry!$N24</f>
        <v>21.21</v>
      </c>
      <c r="AB824" s="277">
        <v>6</v>
      </c>
      <c r="AC824" s="277">
        <v>4</v>
      </c>
      <c r="AD824" s="277">
        <v>6</v>
      </c>
      <c r="AE824" s="277">
        <v>19</v>
      </c>
      <c r="AF824" s="277">
        <v>11</v>
      </c>
      <c r="AG824" s="277">
        <v>8</v>
      </c>
      <c r="AH824" s="277">
        <v>1</v>
      </c>
      <c r="AI824" s="277">
        <v>7</v>
      </c>
      <c r="AJ824" s="277">
        <v>7</v>
      </c>
      <c r="AK824" s="277">
        <v>5</v>
      </c>
      <c r="AL824" s="277">
        <v>6</v>
      </c>
      <c r="AM824" s="277">
        <v>3</v>
      </c>
      <c r="AN824" s="277">
        <v>20</v>
      </c>
      <c r="AO824" s="277">
        <v>2</v>
      </c>
      <c r="AP824" s="277">
        <v>14</v>
      </c>
      <c r="AQ824" s="277">
        <v>3</v>
      </c>
      <c r="AR824" s="277">
        <v>15</v>
      </c>
      <c r="AS824" s="277">
        <v>16</v>
      </c>
      <c r="AT824" s="277">
        <v>13</v>
      </c>
      <c r="AU824" s="277">
        <v>8</v>
      </c>
      <c r="AV824" s="277">
        <f t="shared" si="69"/>
        <v>8</v>
      </c>
      <c r="AX824" s="88" t="str">
        <f t="shared" ca="1" si="64"/>
        <v>HPE</v>
      </c>
    </row>
    <row r="825" spans="1:50" hidden="1">
      <c r="A825" s="88" t="str">
        <f t="shared" ca="1" si="68"/>
        <v>HPQ</v>
      </c>
      <c r="F825" s="253">
        <v>21.21</v>
      </c>
      <c r="G825" s="253">
        <v>21.21</v>
      </c>
      <c r="H825" s="253">
        <v>21.21</v>
      </c>
      <c r="I825" s="253">
        <v>21.21</v>
      </c>
      <c r="J825" s="253">
        <v>21.21</v>
      </c>
      <c r="K825" s="253">
        <v>21.21</v>
      </c>
      <c r="L825" s="253">
        <v>21.21</v>
      </c>
      <c r="M825" s="253">
        <v>21.21</v>
      </c>
      <c r="N825" s="253">
        <v>21.21</v>
      </c>
      <c r="O825" s="253">
        <v>21.21</v>
      </c>
      <c r="P825" s="253">
        <v>21.21</v>
      </c>
      <c r="Q825" s="253">
        <v>21.21</v>
      </c>
      <c r="R825" s="253">
        <v>21.21</v>
      </c>
      <c r="S825" s="253">
        <v>21.21</v>
      </c>
      <c r="T825" s="253">
        <v>21.21</v>
      </c>
      <c r="U825" s="253">
        <v>21.21</v>
      </c>
      <c r="V825" s="253">
        <v>21.21</v>
      </c>
      <c r="W825" s="253">
        <v>21.21</v>
      </c>
      <c r="X825" s="253">
        <v>21.21</v>
      </c>
      <c r="Y825" s="253">
        <v>21.21</v>
      </c>
      <c r="Z825" s="247">
        <f ca="1">[1]ExtEntry!$N25</f>
        <v>207.2</v>
      </c>
      <c r="AB825" s="277">
        <v>5</v>
      </c>
      <c r="AC825" s="277">
        <v>2</v>
      </c>
      <c r="AD825" s="277">
        <v>18</v>
      </c>
      <c r="AE825" s="277">
        <v>14</v>
      </c>
      <c r="AF825" s="277">
        <v>4</v>
      </c>
      <c r="AG825" s="277">
        <v>10</v>
      </c>
      <c r="AH825" s="277">
        <v>1</v>
      </c>
      <c r="AI825" s="277">
        <v>11</v>
      </c>
      <c r="AJ825" s="277">
        <v>11</v>
      </c>
      <c r="AK825" s="277">
        <v>1</v>
      </c>
      <c r="AL825" s="277">
        <v>2</v>
      </c>
      <c r="AM825" s="277">
        <v>8</v>
      </c>
      <c r="AN825" s="277">
        <v>20</v>
      </c>
      <c r="AO825" s="277">
        <v>6</v>
      </c>
      <c r="AP825" s="277">
        <v>5</v>
      </c>
      <c r="AQ825" s="277">
        <v>4</v>
      </c>
      <c r="AR825" s="277">
        <v>16</v>
      </c>
      <c r="AS825" s="277">
        <v>16</v>
      </c>
      <c r="AT825" s="277">
        <v>9</v>
      </c>
      <c r="AU825" s="277">
        <v>15</v>
      </c>
      <c r="AV825" s="277">
        <f t="shared" si="69"/>
        <v>15</v>
      </c>
      <c r="AX825" s="88" t="str">
        <f t="shared" ca="1" si="64"/>
        <v>HPQ</v>
      </c>
    </row>
    <row r="826" spans="1:50" hidden="1">
      <c r="A826" s="88" t="str">
        <f t="shared" ca="1" si="68"/>
        <v>IAG</v>
      </c>
      <c r="F826" s="253">
        <v>187</v>
      </c>
      <c r="G826" s="253">
        <v>187</v>
      </c>
      <c r="H826" s="253">
        <v>187</v>
      </c>
      <c r="I826" s="253">
        <v>187</v>
      </c>
      <c r="J826" s="253">
        <v>187</v>
      </c>
      <c r="K826" s="253">
        <v>189.75</v>
      </c>
      <c r="L826" s="253">
        <v>189.75</v>
      </c>
      <c r="M826" s="253">
        <v>189.75</v>
      </c>
      <c r="N826" s="253">
        <v>189.75</v>
      </c>
      <c r="O826" s="253">
        <v>195.738</v>
      </c>
      <c r="P826" s="253">
        <v>195.738</v>
      </c>
      <c r="Q826" s="253">
        <v>195.738</v>
      </c>
      <c r="R826" s="253">
        <v>195.738</v>
      </c>
      <c r="S826" s="253">
        <v>195.738</v>
      </c>
      <c r="T826" s="253">
        <v>207.2</v>
      </c>
      <c r="U826" s="253">
        <v>207.2</v>
      </c>
      <c r="V826" s="253">
        <v>207.2</v>
      </c>
      <c r="W826" s="253">
        <v>207.2</v>
      </c>
      <c r="X826" s="253">
        <v>207.2</v>
      </c>
      <c r="Y826" s="253">
        <v>207.2</v>
      </c>
      <c r="Z826" s="247">
        <f ca="1">[1]ExtEntry!$N26</f>
        <v>55.6</v>
      </c>
      <c r="AB826" s="277">
        <v>6</v>
      </c>
      <c r="AC826" s="277">
        <v>7</v>
      </c>
      <c r="AD826" s="277">
        <v>19</v>
      </c>
      <c r="AE826" s="277">
        <v>1</v>
      </c>
      <c r="AF826" s="277">
        <v>14</v>
      </c>
      <c r="AG826" s="277">
        <v>8</v>
      </c>
      <c r="AH826" s="277">
        <v>1</v>
      </c>
      <c r="AI826" s="277">
        <v>1</v>
      </c>
      <c r="AJ826" s="277">
        <v>18</v>
      </c>
      <c r="AK826" s="277">
        <v>10</v>
      </c>
      <c r="AL826" s="277">
        <v>10</v>
      </c>
      <c r="AM826" s="277">
        <v>11</v>
      </c>
      <c r="AN826" s="277">
        <v>16</v>
      </c>
      <c r="AO826" s="277">
        <v>20</v>
      </c>
      <c r="AP826" s="277">
        <v>4</v>
      </c>
      <c r="AQ826" s="277">
        <v>17</v>
      </c>
      <c r="AR826" s="277">
        <v>3</v>
      </c>
      <c r="AS826" s="277">
        <v>3</v>
      </c>
      <c r="AT826" s="277">
        <v>10</v>
      </c>
      <c r="AU826" s="277">
        <v>6</v>
      </c>
      <c r="AV826" s="277">
        <f t="shared" si="69"/>
        <v>6</v>
      </c>
      <c r="AX826" s="88" t="str">
        <f t="shared" ca="1" si="64"/>
        <v>IAG</v>
      </c>
    </row>
    <row r="827" spans="1:50" hidden="1">
      <c r="A827" s="88" t="str">
        <f t="shared" ca="1" si="68"/>
        <v>KR</v>
      </c>
      <c r="F827" s="253">
        <v>54.88</v>
      </c>
      <c r="G827" s="253">
        <v>54.88</v>
      </c>
      <c r="H827" s="253">
        <v>54.88</v>
      </c>
      <c r="I827" s="253">
        <v>54.88</v>
      </c>
      <c r="J827" s="253">
        <v>54.88</v>
      </c>
      <c r="K827" s="253">
        <v>54.88</v>
      </c>
      <c r="L827" s="253">
        <v>54.88</v>
      </c>
      <c r="M827" s="253">
        <v>54.88</v>
      </c>
      <c r="N827" s="253">
        <v>54.88</v>
      </c>
      <c r="O827" s="253">
        <v>54.88</v>
      </c>
      <c r="P827" s="253">
        <v>54.88</v>
      </c>
      <c r="Q827" s="253">
        <v>55.19</v>
      </c>
      <c r="R827" s="253">
        <v>55.6</v>
      </c>
      <c r="S827" s="253">
        <v>55.6</v>
      </c>
      <c r="T827" s="253">
        <v>55.6</v>
      </c>
      <c r="U827" s="253">
        <v>55.6</v>
      </c>
      <c r="V827" s="253">
        <v>55.6</v>
      </c>
      <c r="W827" s="253">
        <v>55.6</v>
      </c>
      <c r="X827" s="253">
        <v>55.6</v>
      </c>
      <c r="Y827" s="253">
        <v>55.6</v>
      </c>
      <c r="Z827" s="247">
        <f ca="1">[1]ExtEntry!$N27</f>
        <v>5.25</v>
      </c>
      <c r="AB827" s="277">
        <v>3</v>
      </c>
      <c r="AC827" s="277">
        <v>2</v>
      </c>
      <c r="AD827" s="277">
        <v>19</v>
      </c>
      <c r="AE827" s="277">
        <v>10</v>
      </c>
      <c r="AF827" s="277">
        <v>8</v>
      </c>
      <c r="AG827" s="277">
        <v>1</v>
      </c>
      <c r="AH827" s="277">
        <v>2</v>
      </c>
      <c r="AI827" s="277">
        <v>14</v>
      </c>
      <c r="AJ827" s="277">
        <v>13</v>
      </c>
      <c r="AK827" s="277">
        <v>15</v>
      </c>
      <c r="AL827" s="277">
        <v>2</v>
      </c>
      <c r="AM827" s="277">
        <v>8</v>
      </c>
      <c r="AN827" s="277">
        <v>13</v>
      </c>
      <c r="AO827" s="277">
        <v>8</v>
      </c>
      <c r="AP827" s="277">
        <v>8</v>
      </c>
      <c r="AQ827" s="277">
        <v>20</v>
      </c>
      <c r="AR827" s="277">
        <v>4</v>
      </c>
      <c r="AS827" s="277">
        <v>4</v>
      </c>
      <c r="AT827" s="277">
        <v>10</v>
      </c>
      <c r="AU827" s="277">
        <v>20</v>
      </c>
      <c r="AV827" s="277">
        <f t="shared" si="69"/>
        <v>20</v>
      </c>
      <c r="AX827" s="88" t="str">
        <f t="shared" ca="1" si="64"/>
        <v>KR</v>
      </c>
    </row>
    <row r="828" spans="1:50" hidden="1">
      <c r="A828" s="88" t="str">
        <f t="shared" ca="1" si="68"/>
        <v>LNSR</v>
      </c>
      <c r="F828" s="253">
        <v>4.2</v>
      </c>
      <c r="G828" s="253">
        <v>4.2</v>
      </c>
      <c r="H828" s="253">
        <v>4.2</v>
      </c>
      <c r="I828" s="253">
        <v>4.2</v>
      </c>
      <c r="J828" s="253">
        <v>4.2</v>
      </c>
      <c r="K828" s="253">
        <v>4.3600000000000003</v>
      </c>
      <c r="L828" s="253">
        <v>4.4157999999999999</v>
      </c>
      <c r="M828" s="253">
        <v>4.4157999999999999</v>
      </c>
      <c r="N828" s="253">
        <v>4.6516000000000002</v>
      </c>
      <c r="O828" s="253">
        <v>4.7859999999999996</v>
      </c>
      <c r="P828" s="253">
        <v>4.7859999999999996</v>
      </c>
      <c r="Q828" s="253">
        <v>5.16</v>
      </c>
      <c r="R828" s="253">
        <v>5.25</v>
      </c>
      <c r="S828" s="253">
        <v>5.25</v>
      </c>
      <c r="T828" s="253">
        <v>5.25</v>
      </c>
      <c r="U828" s="253">
        <v>5.25</v>
      </c>
      <c r="V828" s="253">
        <v>5.25</v>
      </c>
      <c r="W828" s="253">
        <v>5.25</v>
      </c>
      <c r="X828" s="253">
        <v>5.25</v>
      </c>
      <c r="Y828" s="253">
        <v>5.25</v>
      </c>
      <c r="Z828" s="247">
        <f ca="1">[1]ExtEntry!$N28</f>
        <v>3.01</v>
      </c>
      <c r="AB828" s="277">
        <v>16</v>
      </c>
      <c r="AC828" s="277">
        <v>6</v>
      </c>
      <c r="AD828" s="277">
        <v>12</v>
      </c>
      <c r="AE828" s="277">
        <v>5</v>
      </c>
      <c r="AF828" s="277">
        <v>17</v>
      </c>
      <c r="AG828" s="277">
        <v>9</v>
      </c>
      <c r="AH828" s="277">
        <v>5</v>
      </c>
      <c r="AI828" s="277">
        <v>15</v>
      </c>
      <c r="AJ828" s="277">
        <v>14</v>
      </c>
      <c r="AK828" s="277">
        <v>6</v>
      </c>
      <c r="AL828" s="277">
        <v>7</v>
      </c>
      <c r="AM828" s="277">
        <v>20</v>
      </c>
      <c r="AN828" s="277">
        <v>2</v>
      </c>
      <c r="AO828" s="277">
        <v>8</v>
      </c>
      <c r="AP828" s="277">
        <v>1</v>
      </c>
      <c r="AQ828" s="277">
        <v>10</v>
      </c>
      <c r="AR828" s="277">
        <v>12</v>
      </c>
      <c r="AS828" s="277">
        <v>12</v>
      </c>
      <c r="AT828" s="277">
        <v>19</v>
      </c>
      <c r="AU828" s="277">
        <v>9</v>
      </c>
      <c r="AV828" s="277">
        <f t="shared" si="69"/>
        <v>9</v>
      </c>
      <c r="AX828" s="88" t="str">
        <f t="shared" ca="1" si="64"/>
        <v>LNSR</v>
      </c>
    </row>
    <row r="829" spans="1:50" hidden="1">
      <c r="A829" s="88" t="str">
        <f t="shared" ca="1" si="68"/>
        <v>LUMN</v>
      </c>
      <c r="F829" s="253">
        <v>3.01</v>
      </c>
      <c r="G829" s="253">
        <v>3.01</v>
      </c>
      <c r="H829" s="253">
        <v>3.01</v>
      </c>
      <c r="I829" s="253">
        <v>3.01</v>
      </c>
      <c r="J829" s="253">
        <v>3.01</v>
      </c>
      <c r="K829" s="253">
        <v>3.01</v>
      </c>
      <c r="L829" s="253">
        <v>3.01</v>
      </c>
      <c r="M829" s="253">
        <v>3.01</v>
      </c>
      <c r="N829" s="253">
        <v>3.01</v>
      </c>
      <c r="O829" s="253">
        <v>3.01</v>
      </c>
      <c r="P829" s="253">
        <v>3.01</v>
      </c>
      <c r="Q829" s="253">
        <v>3.01</v>
      </c>
      <c r="R829" s="253">
        <v>3.01</v>
      </c>
      <c r="S829" s="253">
        <v>3.01</v>
      </c>
      <c r="T829" s="253">
        <v>3.01</v>
      </c>
      <c r="U829" s="253">
        <v>3.01</v>
      </c>
      <c r="V829" s="253">
        <v>3.01</v>
      </c>
      <c r="W829" s="253">
        <v>3.01</v>
      </c>
      <c r="X829" s="253">
        <v>3.01</v>
      </c>
      <c r="Y829" s="253">
        <v>3.01</v>
      </c>
      <c r="Z829" s="247">
        <f ca="1">[1]ExtEntry!$N29</f>
        <v>23.15</v>
      </c>
      <c r="AB829" s="277">
        <v>14</v>
      </c>
      <c r="AC829" s="277">
        <v>7</v>
      </c>
      <c r="AD829" s="277">
        <v>11</v>
      </c>
      <c r="AE829" s="277">
        <v>6</v>
      </c>
      <c r="AF829" s="277">
        <v>8</v>
      </c>
      <c r="AG829" s="277">
        <v>18</v>
      </c>
      <c r="AH829" s="277">
        <v>7</v>
      </c>
      <c r="AI829" s="277">
        <v>15</v>
      </c>
      <c r="AJ829" s="277">
        <v>15</v>
      </c>
      <c r="AK829" s="277">
        <v>7</v>
      </c>
      <c r="AL829" s="277">
        <v>9</v>
      </c>
      <c r="AM829" s="277">
        <v>4</v>
      </c>
      <c r="AN829" s="277">
        <v>18</v>
      </c>
      <c r="AO829" s="277">
        <v>14</v>
      </c>
      <c r="AP829" s="277">
        <v>6</v>
      </c>
      <c r="AQ829" s="277">
        <v>10</v>
      </c>
      <c r="AR829" s="277">
        <v>14</v>
      </c>
      <c r="AS829" s="277">
        <v>14</v>
      </c>
      <c r="AT829" s="277">
        <v>1</v>
      </c>
      <c r="AU829" s="277">
        <v>5</v>
      </c>
      <c r="AV829" s="277">
        <f t="shared" si="69"/>
        <v>5</v>
      </c>
      <c r="AX829" s="88" t="str">
        <f t="shared" ca="1" si="64"/>
        <v>LUMN</v>
      </c>
    </row>
    <row r="830" spans="1:50" hidden="1">
      <c r="A830" s="88" t="str">
        <f t="shared" ca="1" si="68"/>
        <v>MRNA</v>
      </c>
      <c r="F830" s="253">
        <v>23.15</v>
      </c>
      <c r="G830" s="253">
        <v>23.15</v>
      </c>
      <c r="H830" s="253">
        <v>23.15</v>
      </c>
      <c r="I830" s="253">
        <v>23.15</v>
      </c>
      <c r="J830" s="253">
        <v>23.15</v>
      </c>
      <c r="K830" s="253">
        <v>23.15</v>
      </c>
      <c r="L830" s="253">
        <v>23.15</v>
      </c>
      <c r="M830" s="253">
        <v>23.15</v>
      </c>
      <c r="N830" s="253">
        <v>23.15</v>
      </c>
      <c r="O830" s="253">
        <v>23.15</v>
      </c>
      <c r="P830" s="253">
        <v>23.15</v>
      </c>
      <c r="Q830" s="253">
        <v>23.15</v>
      </c>
      <c r="R830" s="253">
        <v>23.15</v>
      </c>
      <c r="S830" s="253">
        <v>23.15</v>
      </c>
      <c r="T830" s="253">
        <v>23.15</v>
      </c>
      <c r="U830" s="253">
        <v>23.15</v>
      </c>
      <c r="V830" s="253">
        <v>23.15</v>
      </c>
      <c r="W830" s="253">
        <v>23.15</v>
      </c>
      <c r="X830" s="253">
        <v>23.15</v>
      </c>
      <c r="Y830" s="253">
        <v>23.15</v>
      </c>
      <c r="Z830" s="247">
        <f ca="1">[1]ExtEntry!$N30</f>
        <v>344.79</v>
      </c>
      <c r="AB830" s="277">
        <v>4</v>
      </c>
      <c r="AC830" s="277">
        <v>5</v>
      </c>
      <c r="AD830" s="277">
        <v>2</v>
      </c>
      <c r="AE830" s="277">
        <v>5</v>
      </c>
      <c r="AF830" s="277">
        <v>11</v>
      </c>
      <c r="AG830" s="277">
        <v>15</v>
      </c>
      <c r="AH830" s="277">
        <v>7</v>
      </c>
      <c r="AI830" s="277">
        <v>17</v>
      </c>
      <c r="AJ830" s="277">
        <v>17</v>
      </c>
      <c r="AK830" s="277">
        <v>12</v>
      </c>
      <c r="AL830" s="277">
        <v>18</v>
      </c>
      <c r="AM830" s="277">
        <v>3</v>
      </c>
      <c r="AN830" s="277">
        <v>18</v>
      </c>
      <c r="AO830" s="277">
        <v>19</v>
      </c>
      <c r="AP830" s="277">
        <v>4</v>
      </c>
      <c r="AQ830" s="277">
        <v>8</v>
      </c>
      <c r="AR830" s="277">
        <v>18</v>
      </c>
      <c r="AS830" s="277">
        <v>17</v>
      </c>
      <c r="AT830" s="277">
        <v>17</v>
      </c>
      <c r="AU830" s="277">
        <v>8</v>
      </c>
      <c r="AV830" s="277">
        <f t="shared" si="69"/>
        <v>8</v>
      </c>
      <c r="AX830" s="88" t="str">
        <f t="shared" ca="1" si="64"/>
        <v>MRNA</v>
      </c>
    </row>
    <row r="831" spans="1:50" hidden="1">
      <c r="A831" s="88" t="str">
        <f t="shared" ca="1" si="68"/>
        <v>MSFT</v>
      </c>
      <c r="F831" s="253">
        <v>344.79</v>
      </c>
      <c r="G831" s="253">
        <v>344.79</v>
      </c>
      <c r="H831" s="253">
        <v>344.79</v>
      </c>
      <c r="I831" s="253">
        <v>344.79</v>
      </c>
      <c r="J831" s="253">
        <v>344.79</v>
      </c>
      <c r="K831" s="253">
        <v>344.79</v>
      </c>
      <c r="L831" s="253">
        <v>344.79</v>
      </c>
      <c r="M831" s="253">
        <v>344.79</v>
      </c>
      <c r="N831" s="253">
        <v>344.79</v>
      </c>
      <c r="O831" s="253">
        <v>344.79</v>
      </c>
      <c r="P831" s="253">
        <v>344.79</v>
      </c>
      <c r="Q831" s="253">
        <v>344.79</v>
      </c>
      <c r="R831" s="253">
        <v>344.79</v>
      </c>
      <c r="S831" s="253">
        <v>344.79</v>
      </c>
      <c r="T831" s="253">
        <v>344.79</v>
      </c>
      <c r="U831" s="253">
        <v>344.79</v>
      </c>
      <c r="V831" s="253">
        <v>344.79</v>
      </c>
      <c r="W831" s="253">
        <v>344.79</v>
      </c>
      <c r="X831" s="253">
        <v>344.79</v>
      </c>
      <c r="Y831" s="253">
        <v>344.79</v>
      </c>
      <c r="Z831" s="247">
        <f ca="1">[1]ExtEntry!$N31</f>
        <v>61.72</v>
      </c>
      <c r="AB831" s="277">
        <v>6</v>
      </c>
      <c r="AC831" s="277">
        <v>7</v>
      </c>
      <c r="AD831" s="277">
        <v>12</v>
      </c>
      <c r="AE831" s="277">
        <v>18</v>
      </c>
      <c r="AF831" s="277">
        <v>11</v>
      </c>
      <c r="AG831" s="277">
        <v>18</v>
      </c>
      <c r="AH831" s="277">
        <v>13</v>
      </c>
      <c r="AI831" s="277">
        <v>14</v>
      </c>
      <c r="AJ831" s="277">
        <v>13</v>
      </c>
      <c r="AK831" s="277">
        <v>7</v>
      </c>
      <c r="AL831" s="277">
        <v>11</v>
      </c>
      <c r="AM831" s="277">
        <v>12</v>
      </c>
      <c r="AN831" s="277">
        <v>13</v>
      </c>
      <c r="AO831" s="277">
        <v>6</v>
      </c>
      <c r="AP831" s="277">
        <v>4</v>
      </c>
      <c r="AQ831" s="277">
        <v>10</v>
      </c>
      <c r="AR831" s="277">
        <v>6</v>
      </c>
      <c r="AS831" s="277">
        <v>6</v>
      </c>
      <c r="AT831" s="277">
        <v>13</v>
      </c>
      <c r="AU831" s="277">
        <v>5</v>
      </c>
      <c r="AV831" s="277">
        <f t="shared" si="69"/>
        <v>5</v>
      </c>
      <c r="AX831" s="88" t="str">
        <f t="shared" ca="1" si="64"/>
        <v>MSFT</v>
      </c>
    </row>
    <row r="832" spans="1:50" hidden="1">
      <c r="A832" s="88" t="str">
        <f t="shared" ca="1" si="68"/>
        <v>NEE</v>
      </c>
      <c r="F832" s="253">
        <v>61.72</v>
      </c>
      <c r="G832" s="253">
        <v>61.72</v>
      </c>
      <c r="H832" s="253">
        <v>61.72</v>
      </c>
      <c r="I832" s="253">
        <v>61.72</v>
      </c>
      <c r="J832" s="253">
        <v>61.72</v>
      </c>
      <c r="K832" s="253">
        <v>61.72</v>
      </c>
      <c r="L832" s="253">
        <v>61.72</v>
      </c>
      <c r="M832" s="253">
        <v>61.72</v>
      </c>
      <c r="N832" s="253">
        <v>61.72</v>
      </c>
      <c r="O832" s="253">
        <v>61.72</v>
      </c>
      <c r="P832" s="253">
        <v>61.72</v>
      </c>
      <c r="Q832" s="253">
        <v>61.72</v>
      </c>
      <c r="R832" s="253">
        <v>61.72</v>
      </c>
      <c r="S832" s="253">
        <v>61.72</v>
      </c>
      <c r="T832" s="253">
        <v>61.72</v>
      </c>
      <c r="U832" s="253">
        <v>61.72</v>
      </c>
      <c r="V832" s="253">
        <v>61.72</v>
      </c>
      <c r="W832" s="253">
        <v>61.72</v>
      </c>
      <c r="X832" s="253">
        <v>61.72</v>
      </c>
      <c r="Y832" s="253">
        <v>61.72</v>
      </c>
      <c r="Z832" s="247">
        <f ca="1">[1]ExtEntry!$N32</f>
        <v>36.86</v>
      </c>
      <c r="AB832" s="277">
        <v>15</v>
      </c>
      <c r="AC832" s="277">
        <v>16</v>
      </c>
      <c r="AD832" s="277">
        <v>1</v>
      </c>
      <c r="AE832" s="277">
        <v>17</v>
      </c>
      <c r="AF832" s="277">
        <v>2</v>
      </c>
      <c r="AG832" s="277">
        <v>6</v>
      </c>
      <c r="AH832" s="277">
        <v>8</v>
      </c>
      <c r="AI832" s="277">
        <v>17</v>
      </c>
      <c r="AJ832" s="277">
        <v>16</v>
      </c>
      <c r="AK832" s="277">
        <v>7</v>
      </c>
      <c r="AL832" s="277">
        <v>11</v>
      </c>
      <c r="AM832" s="277">
        <v>7</v>
      </c>
      <c r="AN832" s="277">
        <v>19</v>
      </c>
      <c r="AO832" s="277">
        <v>17</v>
      </c>
      <c r="AP832" s="277">
        <v>12</v>
      </c>
      <c r="AQ832" s="277">
        <v>19</v>
      </c>
      <c r="AR832" s="277">
        <v>20</v>
      </c>
      <c r="AS832" s="277">
        <v>19</v>
      </c>
      <c r="AT832" s="277">
        <v>8</v>
      </c>
      <c r="AU832" s="277">
        <v>4</v>
      </c>
      <c r="AV832" s="277">
        <f t="shared" si="69"/>
        <v>4</v>
      </c>
      <c r="AX832" s="88" t="str">
        <f t="shared" ca="1" si="64"/>
        <v>NEE</v>
      </c>
    </row>
    <row r="833" spans="1:50" hidden="1">
      <c r="A833" s="88" t="str">
        <f t="shared" ca="1" si="68"/>
        <v>NEM</v>
      </c>
      <c r="F833" s="253">
        <v>36.86</v>
      </c>
      <c r="G833" s="253">
        <v>36.86</v>
      </c>
      <c r="H833" s="253">
        <v>36.86</v>
      </c>
      <c r="I833" s="253">
        <v>36.86</v>
      </c>
      <c r="J833" s="253">
        <v>36.86</v>
      </c>
      <c r="K833" s="253">
        <v>36.86</v>
      </c>
      <c r="L833" s="253">
        <v>36.86</v>
      </c>
      <c r="M833" s="253">
        <v>36.86</v>
      </c>
      <c r="N833" s="253">
        <v>36.86</v>
      </c>
      <c r="O833" s="253">
        <v>36.86</v>
      </c>
      <c r="P833" s="253">
        <v>36.86</v>
      </c>
      <c r="Q833" s="253">
        <v>36.86</v>
      </c>
      <c r="R833" s="253">
        <v>36.86</v>
      </c>
      <c r="S833" s="253">
        <v>36.86</v>
      </c>
      <c r="T833" s="253">
        <v>36.86</v>
      </c>
      <c r="U833" s="253">
        <v>36.86</v>
      </c>
      <c r="V833" s="253">
        <v>36.86</v>
      </c>
      <c r="W833" s="253">
        <v>36.86</v>
      </c>
      <c r="X833" s="253">
        <v>36.86</v>
      </c>
      <c r="Y833" s="253">
        <v>36.86</v>
      </c>
      <c r="Z833" s="247">
        <f ca="1">[1]ExtEntry!$N33</f>
        <v>746.25</v>
      </c>
      <c r="AB833" s="277">
        <v>12</v>
      </c>
      <c r="AC833" s="277">
        <v>11</v>
      </c>
      <c r="AD833" s="277">
        <v>4</v>
      </c>
      <c r="AE833" s="277">
        <v>9</v>
      </c>
      <c r="AF833" s="277">
        <v>10</v>
      </c>
      <c r="AG833" s="277">
        <v>20</v>
      </c>
      <c r="AH833" s="277">
        <v>6</v>
      </c>
      <c r="AI833" s="277">
        <v>20</v>
      </c>
      <c r="AJ833" s="277">
        <v>20</v>
      </c>
      <c r="AK833" s="277">
        <v>1</v>
      </c>
      <c r="AL833" s="277">
        <v>8</v>
      </c>
      <c r="AM833" s="277">
        <v>4</v>
      </c>
      <c r="AN833" s="277">
        <v>2</v>
      </c>
      <c r="AO833" s="277">
        <v>20</v>
      </c>
      <c r="AP833" s="277">
        <v>3</v>
      </c>
      <c r="AQ833" s="277">
        <v>20</v>
      </c>
      <c r="AR833" s="277">
        <v>9</v>
      </c>
      <c r="AS833" s="277">
        <v>9</v>
      </c>
      <c r="AT833" s="277">
        <v>5</v>
      </c>
      <c r="AU833" s="277">
        <v>18</v>
      </c>
      <c r="AV833" s="277">
        <f t="shared" si="69"/>
        <v>18</v>
      </c>
      <c r="AX833" s="88" t="str">
        <f t="shared" ca="1" si="64"/>
        <v>NEM</v>
      </c>
    </row>
    <row r="834" spans="1:50" hidden="1">
      <c r="A834" s="88" t="str">
        <f t="shared" ca="1" si="68"/>
        <v>NFLX</v>
      </c>
      <c r="F834" s="253">
        <v>677.88</v>
      </c>
      <c r="G834" s="253">
        <v>677.88</v>
      </c>
      <c r="H834" s="253">
        <v>677.88</v>
      </c>
      <c r="I834" s="253">
        <v>677.88</v>
      </c>
      <c r="J834" s="253">
        <v>677.88</v>
      </c>
      <c r="K834" s="253">
        <v>677.88</v>
      </c>
      <c r="L834" s="253">
        <v>677.88</v>
      </c>
      <c r="M834" s="253">
        <v>677.88</v>
      </c>
      <c r="N834" s="253">
        <v>677.88</v>
      </c>
      <c r="O834" s="253">
        <v>677.88</v>
      </c>
      <c r="P834" s="253">
        <v>677.88</v>
      </c>
      <c r="Q834" s="253">
        <v>677.88</v>
      </c>
      <c r="R834" s="253">
        <v>677.88</v>
      </c>
      <c r="S834" s="253">
        <v>677.88</v>
      </c>
      <c r="T834" s="253">
        <v>744.26</v>
      </c>
      <c r="U834" s="253">
        <v>744.26</v>
      </c>
      <c r="V834" s="253">
        <v>744.26</v>
      </c>
      <c r="W834" s="253">
        <v>744.26</v>
      </c>
      <c r="X834" s="253">
        <v>744.26</v>
      </c>
      <c r="Y834" s="253">
        <v>746.25</v>
      </c>
      <c r="Z834" s="247">
        <f ca="1">[1]ExtEntry!$N34</f>
        <v>3.8</v>
      </c>
      <c r="AB834" s="277">
        <v>14</v>
      </c>
      <c r="AC834" s="277">
        <v>14</v>
      </c>
      <c r="AD834" s="277">
        <v>19</v>
      </c>
      <c r="AE834" s="277">
        <v>13</v>
      </c>
      <c r="AF834" s="277">
        <v>14</v>
      </c>
      <c r="AG834" s="277">
        <v>1</v>
      </c>
      <c r="AH834" s="277">
        <v>2</v>
      </c>
      <c r="AI834" s="277">
        <v>5</v>
      </c>
      <c r="AJ834" s="277">
        <v>5</v>
      </c>
      <c r="AK834" s="277">
        <v>11</v>
      </c>
      <c r="AL834" s="277">
        <v>12</v>
      </c>
      <c r="AM834" s="277">
        <v>15</v>
      </c>
      <c r="AN834" s="277">
        <v>19</v>
      </c>
      <c r="AO834" s="277">
        <v>6</v>
      </c>
      <c r="AP834" s="277">
        <v>1</v>
      </c>
      <c r="AQ834" s="277">
        <v>8</v>
      </c>
      <c r="AR834" s="277">
        <v>20</v>
      </c>
      <c r="AS834" s="277">
        <v>19</v>
      </c>
      <c r="AT834" s="277">
        <v>10</v>
      </c>
      <c r="AU834" s="277">
        <v>17</v>
      </c>
      <c r="AV834" s="277">
        <f t="shared" si="69"/>
        <v>17</v>
      </c>
      <c r="AX834" s="88" t="str">
        <f t="shared" ca="1" si="64"/>
        <v>NFLX</v>
      </c>
    </row>
    <row r="835" spans="1:50" hidden="1">
      <c r="A835" s="88" t="str">
        <f t="shared" ca="1" si="68"/>
        <v>NOTE</v>
      </c>
      <c r="F835" s="253">
        <v>3.8</v>
      </c>
      <c r="G835" s="253">
        <v>3.8</v>
      </c>
      <c r="H835" s="253">
        <v>3.8</v>
      </c>
      <c r="I835" s="253">
        <v>3.8</v>
      </c>
      <c r="J835" s="253">
        <v>3.8</v>
      </c>
      <c r="K835" s="253">
        <v>3.8</v>
      </c>
      <c r="L835" s="253">
        <v>3.8</v>
      </c>
      <c r="M835" s="253">
        <v>3.8</v>
      </c>
      <c r="N835" s="253">
        <v>3.8</v>
      </c>
      <c r="O835" s="253">
        <v>3.8</v>
      </c>
      <c r="P835" s="253">
        <v>3.8</v>
      </c>
      <c r="Q835" s="253">
        <v>3.8</v>
      </c>
      <c r="R835" s="253">
        <v>3.8</v>
      </c>
      <c r="S835" s="253">
        <v>3.8</v>
      </c>
      <c r="T835" s="253">
        <v>3.8</v>
      </c>
      <c r="U835" s="253">
        <v>3.8</v>
      </c>
      <c r="V835" s="253">
        <v>3.8</v>
      </c>
      <c r="W835" s="253">
        <v>3.8</v>
      </c>
      <c r="X835" s="253">
        <v>3.8</v>
      </c>
      <c r="Y835" s="253">
        <v>3.8</v>
      </c>
      <c r="Z835" s="247">
        <f ca="1">[1]ExtEntry!$N35</f>
        <v>19.8017</v>
      </c>
      <c r="AB835" s="277">
        <v>6</v>
      </c>
      <c r="AC835" s="277">
        <v>9</v>
      </c>
      <c r="AD835" s="277">
        <v>7</v>
      </c>
      <c r="AE835" s="277">
        <v>5</v>
      </c>
      <c r="AF835" s="277">
        <v>5</v>
      </c>
      <c r="AG835" s="277">
        <v>12</v>
      </c>
      <c r="AH835" s="277">
        <v>3</v>
      </c>
      <c r="AI835" s="277">
        <v>19</v>
      </c>
      <c r="AJ835" s="277">
        <v>19</v>
      </c>
      <c r="AK835" s="277">
        <v>10</v>
      </c>
      <c r="AL835" s="277">
        <v>6</v>
      </c>
      <c r="AM835" s="277">
        <v>11</v>
      </c>
      <c r="AN835" s="277">
        <v>18</v>
      </c>
      <c r="AO835" s="277">
        <v>16</v>
      </c>
      <c r="AP835" s="277">
        <v>3</v>
      </c>
      <c r="AQ835" s="277">
        <v>8</v>
      </c>
      <c r="AR835" s="277">
        <v>17</v>
      </c>
      <c r="AS835" s="277">
        <v>16</v>
      </c>
      <c r="AT835" s="277">
        <v>2</v>
      </c>
      <c r="AU835" s="277">
        <v>14</v>
      </c>
      <c r="AV835" s="277">
        <f t="shared" si="69"/>
        <v>14</v>
      </c>
      <c r="AX835" s="88" t="str">
        <f t="shared" ca="1" si="64"/>
        <v>NOTE</v>
      </c>
    </row>
    <row r="836" spans="1:50" hidden="1">
      <c r="A836" s="88" t="str">
        <f t="shared" ca="1" si="68"/>
        <v>PAAS</v>
      </c>
      <c r="F836" s="253">
        <v>19.8017</v>
      </c>
      <c r="G836" s="253">
        <v>19.8017</v>
      </c>
      <c r="H836" s="253">
        <v>19.8017</v>
      </c>
      <c r="I836" s="253">
        <v>19.8017</v>
      </c>
      <c r="J836" s="253">
        <v>19.8017</v>
      </c>
      <c r="K836" s="253">
        <v>19.8017</v>
      </c>
      <c r="L836" s="253">
        <v>19.8017</v>
      </c>
      <c r="M836" s="253">
        <v>19.8017</v>
      </c>
      <c r="N836" s="253">
        <v>19.8017</v>
      </c>
      <c r="O836" s="253">
        <v>19.8017</v>
      </c>
      <c r="P836" s="253">
        <v>19.8017</v>
      </c>
      <c r="Q836" s="253">
        <v>19.8017</v>
      </c>
      <c r="R836" s="253">
        <v>19.8017</v>
      </c>
      <c r="S836" s="253">
        <v>19.8017</v>
      </c>
      <c r="T836" s="253">
        <v>19.8017</v>
      </c>
      <c r="U836" s="253">
        <v>19.8017</v>
      </c>
      <c r="V836" s="253">
        <v>19.8017</v>
      </c>
      <c r="W836" s="253">
        <v>19.8017</v>
      </c>
      <c r="X836" s="253">
        <v>19.8017</v>
      </c>
      <c r="Y836" s="253">
        <v>19.8017</v>
      </c>
      <c r="Z836" s="247">
        <f ca="1">[1]ExtEntry!$N36</f>
        <v>3.76</v>
      </c>
      <c r="AB836" s="277">
        <v>7</v>
      </c>
      <c r="AC836" s="277">
        <v>13</v>
      </c>
      <c r="AD836" s="277">
        <v>11</v>
      </c>
      <c r="AE836" s="277">
        <v>15</v>
      </c>
      <c r="AF836" s="277">
        <v>17</v>
      </c>
      <c r="AG836" s="277">
        <v>18</v>
      </c>
      <c r="AH836" s="277">
        <v>12</v>
      </c>
      <c r="AI836" s="277">
        <v>19</v>
      </c>
      <c r="AJ836" s="277">
        <v>19</v>
      </c>
      <c r="AK836" s="277">
        <v>1</v>
      </c>
      <c r="AL836" s="277">
        <v>18</v>
      </c>
      <c r="AM836" s="277">
        <v>3</v>
      </c>
      <c r="AN836" s="277">
        <v>7</v>
      </c>
      <c r="AO836" s="277">
        <v>20</v>
      </c>
      <c r="AP836" s="277">
        <v>7</v>
      </c>
      <c r="AQ836" s="277">
        <v>20</v>
      </c>
      <c r="AR836" s="277">
        <v>8</v>
      </c>
      <c r="AS836" s="277">
        <v>8</v>
      </c>
      <c r="AT836" s="277">
        <v>11</v>
      </c>
      <c r="AU836" s="277">
        <v>11</v>
      </c>
      <c r="AV836" s="277">
        <f t="shared" si="69"/>
        <v>11</v>
      </c>
      <c r="AX836" s="88" t="str">
        <f t="shared" ca="1" si="64"/>
        <v>PAAS</v>
      </c>
    </row>
    <row r="837" spans="1:50" hidden="1">
      <c r="A837" s="88" t="str">
        <f t="shared" ca="1" si="68"/>
        <v>PROF</v>
      </c>
      <c r="F837" s="253">
        <v>3.76</v>
      </c>
      <c r="G837" s="253">
        <v>3.76</v>
      </c>
      <c r="H837" s="253">
        <v>3.76</v>
      </c>
      <c r="I837" s="253">
        <v>3.76</v>
      </c>
      <c r="J837" s="253">
        <v>3.76</v>
      </c>
      <c r="K837" s="253">
        <v>3.76</v>
      </c>
      <c r="L837" s="253">
        <v>3.76</v>
      </c>
      <c r="M837" s="253">
        <v>3.76</v>
      </c>
      <c r="N837" s="253">
        <v>3.76</v>
      </c>
      <c r="O837" s="253">
        <v>3.76</v>
      </c>
      <c r="P837" s="253">
        <v>3.76</v>
      </c>
      <c r="Q837" s="253">
        <v>3.76</v>
      </c>
      <c r="R837" s="253">
        <v>3.76</v>
      </c>
      <c r="S837" s="253">
        <v>3.76</v>
      </c>
      <c r="T837" s="253">
        <v>3.76</v>
      </c>
      <c r="U837" s="253">
        <v>3.76</v>
      </c>
      <c r="V837" s="253">
        <v>3.76</v>
      </c>
      <c r="W837" s="253">
        <v>3.76</v>
      </c>
      <c r="X837" s="253">
        <v>3.76</v>
      </c>
      <c r="Y837" s="253">
        <v>3.76</v>
      </c>
      <c r="Z837" s="247">
        <f ca="1">[1]ExtEntry!$N37</f>
        <v>3.09</v>
      </c>
      <c r="AB837" s="277">
        <v>16</v>
      </c>
      <c r="AC837" s="277">
        <v>18</v>
      </c>
      <c r="AD837" s="277">
        <v>11</v>
      </c>
      <c r="AE837" s="277">
        <v>2</v>
      </c>
      <c r="AF837" s="277">
        <v>3</v>
      </c>
      <c r="AG837" s="277">
        <v>2</v>
      </c>
      <c r="AH837" s="277">
        <v>8</v>
      </c>
      <c r="AI837" s="277">
        <v>16</v>
      </c>
      <c r="AJ837" s="277">
        <v>15</v>
      </c>
      <c r="AK837" s="277">
        <v>11</v>
      </c>
      <c r="AL837" s="277">
        <v>17</v>
      </c>
      <c r="AM837" s="277">
        <v>18</v>
      </c>
      <c r="AN837" s="277">
        <v>17</v>
      </c>
      <c r="AO837" s="277">
        <v>12</v>
      </c>
      <c r="AP837" s="277">
        <v>6</v>
      </c>
      <c r="AQ837" s="277">
        <v>10</v>
      </c>
      <c r="AR837" s="277">
        <v>20</v>
      </c>
      <c r="AS837" s="277">
        <v>19</v>
      </c>
      <c r="AT837" s="277">
        <v>13</v>
      </c>
      <c r="AU837" s="277">
        <v>6</v>
      </c>
      <c r="AV837" s="277">
        <f t="shared" si="69"/>
        <v>6</v>
      </c>
      <c r="AX837" s="88" t="str">
        <f t="shared" ca="1" si="64"/>
        <v>PROF</v>
      </c>
    </row>
    <row r="838" spans="1:50" hidden="1">
      <c r="A838" s="88" t="str">
        <f t="shared" ca="1" si="68"/>
        <v>POET</v>
      </c>
      <c r="F838" s="253">
        <v>3.09</v>
      </c>
      <c r="G838" s="253">
        <v>3.09</v>
      </c>
      <c r="H838" s="253">
        <v>3.09</v>
      </c>
      <c r="I838" s="253">
        <v>3.09</v>
      </c>
      <c r="J838" s="253">
        <v>3.09</v>
      </c>
      <c r="K838" s="253">
        <v>3.09</v>
      </c>
      <c r="L838" s="253">
        <v>3.09</v>
      </c>
      <c r="M838" s="253">
        <v>3.09</v>
      </c>
      <c r="N838" s="253">
        <v>3.09</v>
      </c>
      <c r="O838" s="253">
        <v>3.09</v>
      </c>
      <c r="P838" s="253">
        <v>3.09</v>
      </c>
      <c r="Q838" s="253">
        <v>3.09</v>
      </c>
      <c r="R838" s="253">
        <v>3.09</v>
      </c>
      <c r="S838" s="253">
        <v>3.09</v>
      </c>
      <c r="T838" s="253">
        <v>3.09</v>
      </c>
      <c r="U838" s="253">
        <v>3.09</v>
      </c>
      <c r="V838" s="253">
        <v>3.09</v>
      </c>
      <c r="W838" s="253">
        <v>3.09</v>
      </c>
      <c r="X838" s="253">
        <v>3.09</v>
      </c>
      <c r="Y838" s="253">
        <v>3.09</v>
      </c>
      <c r="Z838" s="247">
        <f ca="1">[1]ExtEntry!$N38</f>
        <v>0.66600000000000004</v>
      </c>
      <c r="AB838" s="277">
        <v>19</v>
      </c>
      <c r="AC838" s="277">
        <v>7</v>
      </c>
      <c r="AD838" s="277">
        <v>2</v>
      </c>
      <c r="AE838" s="277">
        <v>2</v>
      </c>
      <c r="AF838" s="277">
        <v>17</v>
      </c>
      <c r="AG838" s="277">
        <v>1</v>
      </c>
      <c r="AH838" s="277">
        <v>2</v>
      </c>
      <c r="AI838" s="277">
        <v>18</v>
      </c>
      <c r="AJ838" s="277">
        <v>17</v>
      </c>
      <c r="AK838" s="277">
        <v>4</v>
      </c>
      <c r="AL838" s="277">
        <v>6</v>
      </c>
      <c r="AM838" s="277">
        <v>20</v>
      </c>
      <c r="AN838" s="277">
        <v>20</v>
      </c>
      <c r="AO838" s="277">
        <v>18</v>
      </c>
      <c r="AP838" s="277">
        <v>6</v>
      </c>
      <c r="AQ838" s="277">
        <v>12</v>
      </c>
      <c r="AR838" s="277">
        <v>11</v>
      </c>
      <c r="AS838" s="277">
        <v>10</v>
      </c>
      <c r="AT838" s="277">
        <v>9</v>
      </c>
      <c r="AU838" s="277">
        <v>3</v>
      </c>
      <c r="AV838" s="277">
        <f t="shared" si="69"/>
        <v>3</v>
      </c>
      <c r="AX838" s="88" t="str">
        <f t="shared" ca="1" si="64"/>
        <v>POET</v>
      </c>
    </row>
    <row r="839" spans="1:50" hidden="1">
      <c r="A839" s="88" t="str">
        <f t="shared" ca="1" si="68"/>
        <v>PW</v>
      </c>
      <c r="F839" s="253">
        <v>0.71009999999999995</v>
      </c>
      <c r="G839" s="253">
        <v>0.71009999999999995</v>
      </c>
      <c r="H839" s="253">
        <v>0.71040000000000003</v>
      </c>
      <c r="I839" s="253">
        <v>0.78400000000000003</v>
      </c>
      <c r="J839" s="253">
        <v>0.82420000000000004</v>
      </c>
      <c r="K839" s="253">
        <v>0.82420000000000004</v>
      </c>
      <c r="L839" s="253">
        <v>0.82420000000000004</v>
      </c>
      <c r="M839" s="253">
        <v>0.82420000000000004</v>
      </c>
      <c r="N839" s="253">
        <v>0.82420000000000004</v>
      </c>
      <c r="O839" s="253">
        <v>0.82420000000000004</v>
      </c>
      <c r="P839" s="253">
        <v>0.82420000000000004</v>
      </c>
      <c r="Q839" s="253">
        <v>0.82420000000000004</v>
      </c>
      <c r="R839" s="253">
        <v>0.82420000000000004</v>
      </c>
      <c r="S839" s="253">
        <v>0.80249999999999999</v>
      </c>
      <c r="T839" s="253">
        <v>0.78110000000000002</v>
      </c>
      <c r="U839" s="253">
        <v>0.73309999999999997</v>
      </c>
      <c r="V839" s="253">
        <v>0.69079999999999997</v>
      </c>
      <c r="W839" s="253">
        <v>0.69079999999999997</v>
      </c>
      <c r="X839" s="253">
        <v>0.66600000000000004</v>
      </c>
      <c r="Y839" s="253">
        <v>0.66600000000000004</v>
      </c>
      <c r="Z839" s="247">
        <f ca="1">[1]ExtEntry!$N39</f>
        <v>13.570499999999999</v>
      </c>
      <c r="AB839" s="277">
        <v>2</v>
      </c>
      <c r="AC839" s="277">
        <v>18</v>
      </c>
      <c r="AD839" s="277">
        <v>11</v>
      </c>
      <c r="AE839" s="277">
        <v>7</v>
      </c>
      <c r="AF839" s="277">
        <v>15</v>
      </c>
      <c r="AG839" s="277">
        <v>14</v>
      </c>
      <c r="AH839" s="277">
        <v>16</v>
      </c>
      <c r="AI839" s="277">
        <v>18</v>
      </c>
      <c r="AJ839" s="277">
        <v>17</v>
      </c>
      <c r="AK839" s="277">
        <v>11</v>
      </c>
      <c r="AL839" s="277">
        <v>14</v>
      </c>
      <c r="AM839" s="277">
        <v>6</v>
      </c>
      <c r="AN839" s="277">
        <v>11</v>
      </c>
      <c r="AO839" s="277">
        <v>20</v>
      </c>
      <c r="AP839" s="277">
        <v>18</v>
      </c>
      <c r="AQ839" s="277">
        <v>11</v>
      </c>
      <c r="AR839" s="277">
        <v>19</v>
      </c>
      <c r="AS839" s="277">
        <v>18</v>
      </c>
      <c r="AT839" s="277">
        <v>11</v>
      </c>
      <c r="AU839" s="277">
        <v>2</v>
      </c>
      <c r="AV839" s="277">
        <f t="shared" si="69"/>
        <v>2</v>
      </c>
      <c r="AX839" s="88" t="str">
        <f t="shared" ca="1" si="64"/>
        <v>PW</v>
      </c>
    </row>
    <row r="840" spans="1:50" hidden="1">
      <c r="A840" s="88" t="str">
        <f t="shared" ca="1" si="68"/>
        <v>RIGL</v>
      </c>
      <c r="F840" s="253">
        <v>13.570499999999999</v>
      </c>
      <c r="G840" s="253">
        <v>13.570499999999999</v>
      </c>
      <c r="H840" s="253">
        <v>13.570499999999999</v>
      </c>
      <c r="I840" s="253">
        <v>13.570499999999999</v>
      </c>
      <c r="J840" s="253">
        <v>13.570499999999999</v>
      </c>
      <c r="K840" s="253">
        <v>13.570499999999999</v>
      </c>
      <c r="L840" s="253">
        <v>13.570499999999999</v>
      </c>
      <c r="M840" s="253">
        <v>13.570499999999999</v>
      </c>
      <c r="N840" s="253">
        <v>13.570499999999999</v>
      </c>
      <c r="O840" s="253">
        <v>13.570499999999999</v>
      </c>
      <c r="P840" s="253">
        <v>13.570499999999999</v>
      </c>
      <c r="Q840" s="253">
        <v>13.570499999999999</v>
      </c>
      <c r="R840" s="253">
        <v>13.570499999999999</v>
      </c>
      <c r="S840" s="253">
        <v>13.570499999999999</v>
      </c>
      <c r="T840" s="253">
        <v>13.570499999999999</v>
      </c>
      <c r="U840" s="253">
        <v>13.570499999999999</v>
      </c>
      <c r="V840" s="253">
        <v>13.570499999999999</v>
      </c>
      <c r="W840" s="253">
        <v>13.570499999999999</v>
      </c>
      <c r="X840" s="253">
        <v>13.570499999999999</v>
      </c>
      <c r="Y840" s="253">
        <v>13.570499999999999</v>
      </c>
      <c r="Z840" s="247">
        <f ca="1">[1]ExtEntry!$N40</f>
        <v>27.76</v>
      </c>
      <c r="AB840" s="277">
        <v>8</v>
      </c>
      <c r="AC840" s="277">
        <v>14</v>
      </c>
      <c r="AD840" s="277">
        <v>9</v>
      </c>
      <c r="AE840" s="277">
        <v>7</v>
      </c>
      <c r="AF840" s="277">
        <v>4</v>
      </c>
      <c r="AG840" s="277">
        <v>3</v>
      </c>
      <c r="AH840" s="277">
        <v>17</v>
      </c>
      <c r="AI840" s="277">
        <v>13</v>
      </c>
      <c r="AJ840" s="277">
        <v>12</v>
      </c>
      <c r="AK840" s="277">
        <v>17</v>
      </c>
      <c r="AL840" s="277">
        <v>3</v>
      </c>
      <c r="AM840" s="277">
        <v>2</v>
      </c>
      <c r="AN840" s="277">
        <v>7</v>
      </c>
      <c r="AO840" s="277">
        <v>11</v>
      </c>
      <c r="AP840" s="277">
        <v>1</v>
      </c>
      <c r="AQ840" s="277">
        <v>2</v>
      </c>
      <c r="AR840" s="277">
        <v>7</v>
      </c>
      <c r="AS840" s="277">
        <v>7</v>
      </c>
      <c r="AT840" s="277">
        <v>19</v>
      </c>
      <c r="AU840" s="277">
        <v>6</v>
      </c>
      <c r="AV840" s="277">
        <f t="shared" si="69"/>
        <v>6</v>
      </c>
      <c r="AX840" s="88" t="str">
        <f t="shared" ca="1" si="64"/>
        <v>RIGL</v>
      </c>
    </row>
    <row r="841" spans="1:50" hidden="1">
      <c r="A841" s="88" t="str">
        <f t="shared" ca="1" si="68"/>
        <v>RWE</v>
      </c>
      <c r="F841" s="253">
        <v>27.76</v>
      </c>
      <c r="G841" s="253">
        <v>14.231</v>
      </c>
      <c r="H841" s="253">
        <v>14.231</v>
      </c>
      <c r="I841" s="253">
        <v>14.231</v>
      </c>
      <c r="J841" s="253">
        <v>14.231</v>
      </c>
      <c r="K841" s="253">
        <v>14.231</v>
      </c>
      <c r="L841" s="253">
        <v>14.231</v>
      </c>
      <c r="M841" s="253">
        <v>14.231</v>
      </c>
      <c r="N841" s="253">
        <v>14.231</v>
      </c>
      <c r="O841" s="253">
        <v>14.231</v>
      </c>
      <c r="P841" s="253">
        <v>14.231</v>
      </c>
      <c r="Q841" s="253">
        <v>14.231</v>
      </c>
      <c r="R841" s="253">
        <v>14.231</v>
      </c>
      <c r="S841" s="253">
        <v>14.231</v>
      </c>
      <c r="T841" s="253">
        <v>14.231</v>
      </c>
      <c r="U841" s="253">
        <v>14.231</v>
      </c>
      <c r="V841" s="253">
        <v>14.231</v>
      </c>
      <c r="W841" s="253">
        <v>14.231</v>
      </c>
      <c r="X841" s="253">
        <v>14.231</v>
      </c>
      <c r="Y841" s="253">
        <v>14.231</v>
      </c>
      <c r="Z841" s="247">
        <f ca="1">[1]ExtEntry!$N41</f>
        <v>209.7</v>
      </c>
      <c r="AB841" s="277">
        <v>18</v>
      </c>
      <c r="AC841" s="277">
        <v>15</v>
      </c>
      <c r="AD841" s="277">
        <v>1</v>
      </c>
      <c r="AE841" s="277">
        <v>15</v>
      </c>
      <c r="AF841" s="277">
        <v>6</v>
      </c>
      <c r="AG841" s="277">
        <v>15</v>
      </c>
      <c r="AH841" s="277">
        <v>3</v>
      </c>
      <c r="AI841" s="277">
        <v>18</v>
      </c>
      <c r="AJ841" s="277">
        <v>7</v>
      </c>
      <c r="AK841" s="277">
        <v>5</v>
      </c>
      <c r="AL841" s="277">
        <v>18</v>
      </c>
      <c r="AM841" s="277">
        <v>14</v>
      </c>
      <c r="AN841" s="277">
        <v>6</v>
      </c>
      <c r="AO841" s="277">
        <v>19</v>
      </c>
      <c r="AP841" s="277">
        <v>16</v>
      </c>
      <c r="AQ841" s="277">
        <v>20</v>
      </c>
      <c r="AR841" s="277">
        <v>16</v>
      </c>
      <c r="AS841" s="277">
        <v>15</v>
      </c>
      <c r="AT841" s="277">
        <v>14</v>
      </c>
      <c r="AU841" s="277">
        <v>5</v>
      </c>
      <c r="AV841" s="277">
        <f t="shared" si="69"/>
        <v>5</v>
      </c>
      <c r="AX841" s="88" t="str">
        <f t="shared" ca="1" si="64"/>
        <v>RWE</v>
      </c>
    </row>
    <row r="842" spans="1:50" hidden="1">
      <c r="A842" s="88" t="str">
        <f t="shared" ca="1" si="68"/>
        <v>SAP</v>
      </c>
      <c r="F842" s="253">
        <v>198</v>
      </c>
      <c r="G842" s="253">
        <v>198.52</v>
      </c>
      <c r="H842" s="253">
        <v>198.52</v>
      </c>
      <c r="I842" s="253">
        <v>198.52</v>
      </c>
      <c r="J842" s="253">
        <v>198.52</v>
      </c>
      <c r="K842" s="253">
        <v>199.64</v>
      </c>
      <c r="L842" s="253">
        <v>199.64</v>
      </c>
      <c r="M842" s="253">
        <v>199.64</v>
      </c>
      <c r="N842" s="253">
        <v>199.64</v>
      </c>
      <c r="O842" s="253">
        <v>199.64</v>
      </c>
      <c r="P842" s="253">
        <v>208.7</v>
      </c>
      <c r="Q842" s="253">
        <v>208.7</v>
      </c>
      <c r="R842" s="253">
        <v>208.7</v>
      </c>
      <c r="S842" s="253">
        <v>208.7</v>
      </c>
      <c r="T842" s="253">
        <v>208.7</v>
      </c>
      <c r="U842" s="253">
        <v>209.7</v>
      </c>
      <c r="V842" s="253">
        <v>209.7</v>
      </c>
      <c r="W842" s="253">
        <v>209.7</v>
      </c>
      <c r="X842" s="253">
        <v>209.7</v>
      </c>
      <c r="Y842" s="253">
        <v>209.7</v>
      </c>
      <c r="Z842" s="247">
        <f ca="1">[1]ExtEntry!$N42</f>
        <v>11.88</v>
      </c>
      <c r="AB842" s="277">
        <v>8</v>
      </c>
      <c r="AC842" s="277">
        <v>3</v>
      </c>
      <c r="AD842" s="277">
        <v>9</v>
      </c>
      <c r="AE842" s="277">
        <v>2</v>
      </c>
      <c r="AF842" s="277">
        <v>11</v>
      </c>
      <c r="AG842" s="277">
        <v>3</v>
      </c>
      <c r="AH842" s="277">
        <v>5</v>
      </c>
      <c r="AI842" s="277">
        <v>9</v>
      </c>
      <c r="AJ842" s="277">
        <v>10</v>
      </c>
      <c r="AK842" s="277">
        <v>8</v>
      </c>
      <c r="AL842" s="277">
        <v>8</v>
      </c>
      <c r="AM842" s="277">
        <v>8</v>
      </c>
      <c r="AN842" s="277">
        <v>15</v>
      </c>
      <c r="AO842" s="277">
        <v>18</v>
      </c>
      <c r="AP842" s="277">
        <v>1</v>
      </c>
      <c r="AQ842" s="277">
        <v>7</v>
      </c>
      <c r="AR842" s="277">
        <v>20</v>
      </c>
      <c r="AS842" s="277">
        <v>19</v>
      </c>
      <c r="AT842" s="277">
        <v>2</v>
      </c>
      <c r="AU842" s="277">
        <v>20</v>
      </c>
      <c r="AV842" s="277">
        <f t="shared" si="69"/>
        <v>20</v>
      </c>
      <c r="AX842" s="88" t="str">
        <f t="shared" ca="1" si="64"/>
        <v>SAP</v>
      </c>
    </row>
    <row r="843" spans="1:50" hidden="1">
      <c r="A843" s="88" t="str">
        <f t="shared" ca="1" si="68"/>
        <v>SHECY</v>
      </c>
      <c r="F843" s="253">
        <v>11.88</v>
      </c>
      <c r="G843" s="253">
        <v>11.88</v>
      </c>
      <c r="H843" s="253">
        <v>11.88</v>
      </c>
      <c r="I843" s="253">
        <v>11.88</v>
      </c>
      <c r="J843" s="253">
        <v>11.88</v>
      </c>
      <c r="K843" s="253">
        <v>11.88</v>
      </c>
      <c r="L843" s="253">
        <v>11.88</v>
      </c>
      <c r="M843" s="253">
        <v>11.88</v>
      </c>
      <c r="N843" s="253">
        <v>11.88</v>
      </c>
      <c r="O843" s="253">
        <v>11.88</v>
      </c>
      <c r="P843" s="253">
        <v>11.88</v>
      </c>
      <c r="Q843" s="253">
        <v>11.88</v>
      </c>
      <c r="R843" s="253">
        <v>11.88</v>
      </c>
      <c r="S843" s="253">
        <v>11.88</v>
      </c>
      <c r="T843" s="253">
        <v>11.88</v>
      </c>
      <c r="U843" s="253">
        <v>11.88</v>
      </c>
      <c r="V843" s="253">
        <v>11.88</v>
      </c>
      <c r="W843" s="253">
        <v>11.88</v>
      </c>
      <c r="X843" s="253">
        <v>11.88</v>
      </c>
      <c r="Y843" s="253">
        <v>11.88</v>
      </c>
      <c r="Z843" s="247">
        <f ca="1">[1]ExtEntry!$N43</f>
        <v>6.92</v>
      </c>
      <c r="AB843" s="277">
        <v>4</v>
      </c>
      <c r="AC843" s="277">
        <v>9</v>
      </c>
      <c r="AD843" s="277">
        <v>7</v>
      </c>
      <c r="AE843" s="277">
        <v>12</v>
      </c>
      <c r="AF843" s="277">
        <v>1</v>
      </c>
      <c r="AG843" s="277">
        <v>20</v>
      </c>
      <c r="AH843" s="277">
        <v>19</v>
      </c>
      <c r="AI843" s="277">
        <v>14</v>
      </c>
      <c r="AJ843" s="277">
        <v>14</v>
      </c>
      <c r="AK843" s="277">
        <v>3</v>
      </c>
      <c r="AL843" s="277">
        <v>7</v>
      </c>
      <c r="AM843" s="277">
        <v>15</v>
      </c>
      <c r="AN843" s="277">
        <v>17</v>
      </c>
      <c r="AO843" s="277">
        <v>10</v>
      </c>
      <c r="AP843" s="277">
        <v>18</v>
      </c>
      <c r="AQ843" s="277">
        <v>13</v>
      </c>
      <c r="AR843" s="277">
        <v>18</v>
      </c>
      <c r="AS843" s="277">
        <v>17</v>
      </c>
      <c r="AT843" s="277">
        <v>7</v>
      </c>
      <c r="AU843" s="277">
        <v>20</v>
      </c>
      <c r="AV843" s="277">
        <f t="shared" si="69"/>
        <v>20</v>
      </c>
      <c r="AX843" s="88" t="str">
        <f t="shared" ca="1" si="64"/>
        <v>SHECY</v>
      </c>
    </row>
    <row r="844" spans="1:50" hidden="1">
      <c r="A844" s="88" t="str">
        <f t="shared" ca="1" si="68"/>
        <v>SSYS</v>
      </c>
      <c r="F844" s="253">
        <v>6.92</v>
      </c>
      <c r="G844" s="253">
        <v>6.92</v>
      </c>
      <c r="H844" s="253">
        <v>6.92</v>
      </c>
      <c r="I844" s="253">
        <v>6.92</v>
      </c>
      <c r="J844" s="253">
        <v>6.92</v>
      </c>
      <c r="K844" s="253">
        <v>6.92</v>
      </c>
      <c r="L844" s="253">
        <v>6.92</v>
      </c>
      <c r="M844" s="253">
        <v>6.92</v>
      </c>
      <c r="N844" s="253">
        <v>6.92</v>
      </c>
      <c r="O844" s="253">
        <v>6.92</v>
      </c>
      <c r="P844" s="253">
        <v>6.92</v>
      </c>
      <c r="Q844" s="253">
        <v>6.92</v>
      </c>
      <c r="R844" s="253">
        <v>6.92</v>
      </c>
      <c r="S844" s="253">
        <v>6.92</v>
      </c>
      <c r="T844" s="253">
        <v>6.92</v>
      </c>
      <c r="U844" s="253">
        <v>6.92</v>
      </c>
      <c r="V844" s="253">
        <v>6.92</v>
      </c>
      <c r="W844" s="253">
        <v>6.92</v>
      </c>
      <c r="X844" s="253">
        <v>6.92</v>
      </c>
      <c r="Y844" s="253">
        <v>6.92</v>
      </c>
      <c r="Z844" s="247">
        <f ca="1">[1]ExtEntry!$N44</f>
        <v>214.25</v>
      </c>
      <c r="AB844" s="277">
        <v>18</v>
      </c>
      <c r="AC844" s="277">
        <v>15</v>
      </c>
      <c r="AD844" s="277">
        <v>16</v>
      </c>
      <c r="AE844" s="277">
        <v>4</v>
      </c>
      <c r="AF844" s="277">
        <v>9</v>
      </c>
      <c r="AG844" s="277">
        <v>18</v>
      </c>
      <c r="AH844" s="277">
        <v>14</v>
      </c>
      <c r="AI844" s="277">
        <v>15</v>
      </c>
      <c r="AJ844" s="277">
        <v>14</v>
      </c>
      <c r="AK844" s="277">
        <v>5</v>
      </c>
      <c r="AL844" s="277">
        <v>9</v>
      </c>
      <c r="AM844" s="277">
        <v>4</v>
      </c>
      <c r="AN844" s="277">
        <v>12</v>
      </c>
      <c r="AO844" s="277">
        <v>20</v>
      </c>
      <c r="AP844" s="277">
        <v>1</v>
      </c>
      <c r="AQ844" s="277">
        <v>15</v>
      </c>
      <c r="AR844" s="277">
        <v>20</v>
      </c>
      <c r="AS844" s="277">
        <v>19</v>
      </c>
      <c r="AT844" s="277">
        <v>5</v>
      </c>
      <c r="AU844" s="277">
        <v>6</v>
      </c>
      <c r="AV844" s="277">
        <f t="shared" si="69"/>
        <v>6</v>
      </c>
      <c r="AX844" s="88" t="str">
        <f t="shared" ca="1" si="64"/>
        <v>SSYS</v>
      </c>
    </row>
    <row r="845" spans="1:50" hidden="1">
      <c r="A845" s="88" t="str">
        <f t="shared" ca="1" si="68"/>
        <v>TSLA</v>
      </c>
      <c r="F845" s="253">
        <v>212.11</v>
      </c>
      <c r="G845" s="253">
        <v>212.11</v>
      </c>
      <c r="H845" s="253">
        <v>212.11</v>
      </c>
      <c r="I845" s="253">
        <v>212.11</v>
      </c>
      <c r="J845" s="253">
        <v>212.11</v>
      </c>
      <c r="K845" s="253">
        <v>212.11</v>
      </c>
      <c r="L845" s="253">
        <v>212.11</v>
      </c>
      <c r="M845" s="253">
        <v>212.11</v>
      </c>
      <c r="N845" s="253">
        <v>212.11</v>
      </c>
      <c r="O845" s="253">
        <v>212.11</v>
      </c>
      <c r="P845" s="253">
        <v>212.11</v>
      </c>
      <c r="Q845" s="253">
        <v>212.11</v>
      </c>
      <c r="R845" s="253">
        <v>212.11</v>
      </c>
      <c r="S845" s="253">
        <v>212.11</v>
      </c>
      <c r="T845" s="253">
        <v>212.11</v>
      </c>
      <c r="U845" s="253">
        <v>212.11</v>
      </c>
      <c r="V845" s="253">
        <v>212.11</v>
      </c>
      <c r="W845" s="253">
        <v>212.11</v>
      </c>
      <c r="X845" s="253">
        <v>212.11</v>
      </c>
      <c r="Y845" s="253">
        <v>214.25</v>
      </c>
      <c r="Z845" s="247">
        <f ca="1">[1]ExtEntry!$N45</f>
        <v>134.25</v>
      </c>
      <c r="AB845" s="277">
        <v>16</v>
      </c>
      <c r="AC845" s="277">
        <v>13</v>
      </c>
      <c r="AD845" s="277">
        <v>7</v>
      </c>
      <c r="AE845" s="277">
        <v>20</v>
      </c>
      <c r="AF845" s="277">
        <v>16</v>
      </c>
      <c r="AG845" s="277">
        <v>19</v>
      </c>
      <c r="AH845" s="277">
        <v>12</v>
      </c>
      <c r="AI845" s="277">
        <v>14</v>
      </c>
      <c r="AJ845" s="277">
        <v>13</v>
      </c>
      <c r="AK845" s="277">
        <v>1</v>
      </c>
      <c r="AL845" s="277">
        <v>15</v>
      </c>
      <c r="AM845" s="277">
        <v>9</v>
      </c>
      <c r="AN845" s="277">
        <v>15</v>
      </c>
      <c r="AO845" s="277">
        <v>5</v>
      </c>
      <c r="AP845" s="277">
        <v>6</v>
      </c>
      <c r="AQ845" s="277">
        <v>13</v>
      </c>
      <c r="AR845" s="277">
        <v>13</v>
      </c>
      <c r="AS845" s="277">
        <v>12</v>
      </c>
      <c r="AT845" s="277">
        <v>5</v>
      </c>
      <c r="AU845" s="277">
        <v>18</v>
      </c>
      <c r="AV845" s="277">
        <f t="shared" si="69"/>
        <v>18</v>
      </c>
      <c r="AX845" s="88" t="str">
        <f t="shared" ca="1" si="64"/>
        <v>TSLA</v>
      </c>
    </row>
    <row r="846" spans="1:50" hidden="1">
      <c r="A846" s="88" t="str">
        <f t="shared" ca="1" si="68"/>
        <v>TSM</v>
      </c>
      <c r="F846" s="253">
        <v>134.25</v>
      </c>
      <c r="G846" s="253">
        <v>134.25</v>
      </c>
      <c r="H846" s="253">
        <v>134.25</v>
      </c>
      <c r="I846" s="253">
        <v>134.25</v>
      </c>
      <c r="J846" s="253">
        <v>134.25</v>
      </c>
      <c r="K846" s="253">
        <v>134.25</v>
      </c>
      <c r="L846" s="253">
        <v>134.25</v>
      </c>
      <c r="M846" s="253">
        <v>134.25</v>
      </c>
      <c r="N846" s="253">
        <v>134.25</v>
      </c>
      <c r="O846" s="253">
        <v>134.25</v>
      </c>
      <c r="P846" s="253">
        <v>134.25</v>
      </c>
      <c r="Q846" s="253">
        <v>134.25</v>
      </c>
      <c r="R846" s="253">
        <v>134.25</v>
      </c>
      <c r="S846" s="253">
        <v>134.25</v>
      </c>
      <c r="T846" s="253">
        <v>134.25</v>
      </c>
      <c r="U846" s="253">
        <v>134.25</v>
      </c>
      <c r="V846" s="253">
        <v>134.25</v>
      </c>
      <c r="W846" s="253">
        <v>134.25</v>
      </c>
      <c r="X846" s="253">
        <v>134.25</v>
      </c>
      <c r="Y846" s="253">
        <v>134.25</v>
      </c>
      <c r="Z846" s="247">
        <f ca="1">[1]ExtEntry!$N46</f>
        <v>2.1</v>
      </c>
      <c r="AB846" s="277">
        <v>13</v>
      </c>
      <c r="AC846" s="277">
        <v>5</v>
      </c>
      <c r="AD846" s="277">
        <v>4</v>
      </c>
      <c r="AE846" s="277">
        <v>14</v>
      </c>
      <c r="AF846" s="277">
        <v>8</v>
      </c>
      <c r="AG846" s="277">
        <v>20</v>
      </c>
      <c r="AH846" s="277">
        <v>3</v>
      </c>
      <c r="AI846" s="277">
        <v>19</v>
      </c>
      <c r="AJ846" s="277">
        <v>18</v>
      </c>
      <c r="AK846" s="277">
        <v>1</v>
      </c>
      <c r="AL846" s="277">
        <v>19</v>
      </c>
      <c r="AM846" s="277">
        <v>6</v>
      </c>
      <c r="AN846" s="277">
        <v>18</v>
      </c>
      <c r="AO846" s="277">
        <v>18</v>
      </c>
      <c r="AP846" s="277">
        <v>9</v>
      </c>
      <c r="AQ846" s="277">
        <v>12</v>
      </c>
      <c r="AR846" s="277">
        <v>18</v>
      </c>
      <c r="AS846" s="277">
        <v>17</v>
      </c>
      <c r="AT846" s="277">
        <v>8</v>
      </c>
      <c r="AU846" s="277">
        <v>6</v>
      </c>
      <c r="AV846" s="277">
        <f t="shared" si="69"/>
        <v>6</v>
      </c>
      <c r="AX846" s="88" t="str">
        <f t="shared" ca="1" si="64"/>
        <v>TSM</v>
      </c>
    </row>
    <row r="847" spans="1:50" hidden="1">
      <c r="A847" s="88" t="str">
        <f t="shared" ca="1" si="68"/>
        <v>UN0</v>
      </c>
      <c r="F847" s="253">
        <v>2.1</v>
      </c>
      <c r="G847" s="253">
        <v>2.1</v>
      </c>
      <c r="H847" s="253">
        <v>2.1</v>
      </c>
      <c r="I847" s="253">
        <v>2.1</v>
      </c>
      <c r="J847" s="253">
        <v>2.1</v>
      </c>
      <c r="K847" s="253">
        <v>2.1</v>
      </c>
      <c r="L847" s="253">
        <v>2.1</v>
      </c>
      <c r="M847" s="253">
        <v>2.1</v>
      </c>
      <c r="N847" s="253">
        <v>2.1</v>
      </c>
      <c r="O847" s="253">
        <v>2.1</v>
      </c>
      <c r="P847" s="253">
        <v>2.1</v>
      </c>
      <c r="Q847" s="253">
        <v>2.1</v>
      </c>
      <c r="R847" s="253">
        <v>2.1</v>
      </c>
      <c r="S847" s="253">
        <v>2.1</v>
      </c>
      <c r="T847" s="253">
        <v>2.1</v>
      </c>
      <c r="U847" s="253">
        <v>2.1</v>
      </c>
      <c r="V847" s="253">
        <v>2.1</v>
      </c>
      <c r="W847" s="253">
        <v>2.1</v>
      </c>
      <c r="X847" s="253">
        <v>2.1</v>
      </c>
      <c r="Y847" s="253">
        <v>2.1</v>
      </c>
      <c r="Z847" s="247">
        <f ca="1">[1]ExtEntry!$N47</f>
        <v>5.3</v>
      </c>
      <c r="AB847" s="277">
        <v>2</v>
      </c>
      <c r="AC847" s="277">
        <v>17</v>
      </c>
      <c r="AD847" s="277">
        <v>10</v>
      </c>
      <c r="AE847" s="277">
        <v>11</v>
      </c>
      <c r="AF847" s="277">
        <v>7</v>
      </c>
      <c r="AG847" s="277">
        <v>18</v>
      </c>
      <c r="AH847" s="277">
        <v>1</v>
      </c>
      <c r="AI847" s="277">
        <v>6</v>
      </c>
      <c r="AJ847" s="277">
        <v>15</v>
      </c>
      <c r="AK847" s="277">
        <v>8</v>
      </c>
      <c r="AL847" s="277">
        <v>14</v>
      </c>
      <c r="AM847" s="277">
        <v>9</v>
      </c>
      <c r="AN847" s="277">
        <v>7</v>
      </c>
      <c r="AO847" s="277">
        <v>14</v>
      </c>
      <c r="AP847" s="277">
        <v>1</v>
      </c>
      <c r="AQ847" s="277">
        <v>20</v>
      </c>
      <c r="AR847" s="277">
        <v>8</v>
      </c>
      <c r="AS847" s="277">
        <v>8</v>
      </c>
      <c r="AT847" s="277">
        <v>18</v>
      </c>
      <c r="AU847" s="277">
        <v>17</v>
      </c>
      <c r="AV847" s="277">
        <f t="shared" si="69"/>
        <v>17</v>
      </c>
      <c r="AX847" s="88" t="str">
        <f t="shared" ca="1" si="64"/>
        <v>UN0</v>
      </c>
    </row>
    <row r="848" spans="1:50" hidden="1">
      <c r="A848" s="88" t="str">
        <f t="shared" ca="1" si="68"/>
        <v>UNIT</v>
      </c>
      <c r="F848" s="253">
        <v>5.6849999999999996</v>
      </c>
      <c r="G848" s="253">
        <v>5.6849999999999996</v>
      </c>
      <c r="H848" s="253">
        <v>5.6849999999999996</v>
      </c>
      <c r="I848" s="253">
        <v>5.6849999999999996</v>
      </c>
      <c r="J848" s="253">
        <v>5.66</v>
      </c>
      <c r="K848" s="253">
        <v>5.66</v>
      </c>
      <c r="L848" s="253">
        <v>5.66</v>
      </c>
      <c r="M848" s="253">
        <v>5.66</v>
      </c>
      <c r="N848" s="253">
        <v>5.66</v>
      </c>
      <c r="O848" s="253">
        <v>5.35</v>
      </c>
      <c r="P848" s="253">
        <v>5.3018999999999998</v>
      </c>
      <c r="Q848" s="253">
        <v>5.3</v>
      </c>
      <c r="R848" s="253">
        <v>5.3</v>
      </c>
      <c r="S848" s="253">
        <v>5.3</v>
      </c>
      <c r="T848" s="253">
        <v>5.3</v>
      </c>
      <c r="U848" s="253">
        <v>5.3</v>
      </c>
      <c r="V848" s="253">
        <v>5.3</v>
      </c>
      <c r="W848" s="253">
        <v>5.3</v>
      </c>
      <c r="X848" s="253">
        <v>5.3</v>
      </c>
      <c r="Y848" s="253">
        <v>5.3</v>
      </c>
      <c r="Z848" s="247">
        <f ca="1">[1]ExtEntry!$N48</f>
        <v>138.1</v>
      </c>
      <c r="AB848" s="277">
        <v>12</v>
      </c>
      <c r="AC848" s="277">
        <v>8</v>
      </c>
      <c r="AD848" s="277">
        <v>10</v>
      </c>
      <c r="AE848" s="277">
        <v>18</v>
      </c>
      <c r="AF848" s="277">
        <v>6</v>
      </c>
      <c r="AG848" s="277">
        <v>10</v>
      </c>
      <c r="AH848" s="277">
        <v>5</v>
      </c>
      <c r="AI848" s="277">
        <v>10</v>
      </c>
      <c r="AJ848" s="277">
        <v>10</v>
      </c>
      <c r="AK848" s="277">
        <v>18</v>
      </c>
      <c r="AL848" s="277">
        <v>12</v>
      </c>
      <c r="AM848" s="277">
        <v>1</v>
      </c>
      <c r="AN848" s="277">
        <v>14</v>
      </c>
      <c r="AO848" s="277">
        <v>7</v>
      </c>
      <c r="AP848" s="277">
        <v>9</v>
      </c>
      <c r="AQ848" s="277">
        <v>7</v>
      </c>
      <c r="AR848" s="277">
        <v>9</v>
      </c>
      <c r="AS848" s="277">
        <v>9</v>
      </c>
      <c r="AT848" s="277">
        <v>2</v>
      </c>
      <c r="AU848" s="277">
        <v>3</v>
      </c>
      <c r="AV848" s="277">
        <f t="shared" si="69"/>
        <v>3</v>
      </c>
      <c r="AX848" s="88" t="str">
        <f t="shared" ca="1" si="64"/>
        <v>UNIT</v>
      </c>
    </row>
    <row r="849" spans="1:50" hidden="1">
      <c r="A849" s="88" t="str">
        <f t="shared" ca="1" si="68"/>
        <v>AVGO</v>
      </c>
      <c r="F849" s="253">
        <v>22.55</v>
      </c>
      <c r="G849" s="253">
        <v>22.55</v>
      </c>
      <c r="H849" s="253">
        <v>22.55</v>
      </c>
      <c r="I849" s="253">
        <v>22.55</v>
      </c>
      <c r="J849" s="253">
        <v>22.55</v>
      </c>
      <c r="K849" s="253">
        <v>22.55</v>
      </c>
      <c r="L849" s="253">
        <v>22.55</v>
      </c>
      <c r="M849" s="253">
        <v>22.55</v>
      </c>
      <c r="N849" s="253">
        <v>22.55</v>
      </c>
      <c r="O849" s="253">
        <v>22.55</v>
      </c>
      <c r="P849" s="253">
        <v>22.55</v>
      </c>
      <c r="Q849" s="253">
        <v>22.55</v>
      </c>
      <c r="R849" s="253">
        <v>22.55</v>
      </c>
      <c r="S849" s="253">
        <v>22.55</v>
      </c>
      <c r="T849" s="253">
        <v>22.55</v>
      </c>
      <c r="U849" s="253">
        <v>22.55</v>
      </c>
      <c r="V849" s="253">
        <v>22.55</v>
      </c>
      <c r="W849" s="253">
        <v>22.55</v>
      </c>
      <c r="X849" s="253">
        <v>22.55</v>
      </c>
      <c r="Y849" s="253">
        <v>22.55</v>
      </c>
      <c r="Z849" s="247">
        <f ca="1">[1]ExtEntry!$N49</f>
        <v>22.55</v>
      </c>
      <c r="AB849" s="277">
        <v>16</v>
      </c>
      <c r="AC849" s="277">
        <v>5</v>
      </c>
      <c r="AD849" s="277">
        <v>7</v>
      </c>
      <c r="AE849" s="277">
        <v>5</v>
      </c>
      <c r="AF849" s="277">
        <v>6</v>
      </c>
      <c r="AG849" s="277">
        <v>18</v>
      </c>
      <c r="AH849" s="277">
        <v>12</v>
      </c>
      <c r="AI849" s="277">
        <v>16</v>
      </c>
      <c r="AJ849" s="277">
        <v>15</v>
      </c>
      <c r="AK849" s="277">
        <v>6</v>
      </c>
      <c r="AL849" s="277">
        <v>12</v>
      </c>
      <c r="AM849" s="277">
        <v>5</v>
      </c>
      <c r="AN849" s="277">
        <v>3</v>
      </c>
      <c r="AO849" s="277">
        <v>20</v>
      </c>
      <c r="AP849" s="277">
        <v>2</v>
      </c>
      <c r="AQ849" s="277">
        <v>7</v>
      </c>
      <c r="AR849" s="277">
        <v>12</v>
      </c>
      <c r="AS849" s="277">
        <v>12</v>
      </c>
      <c r="AT849" s="277">
        <v>7</v>
      </c>
      <c r="AU849" s="277">
        <v>7</v>
      </c>
      <c r="AV849" s="277">
        <f t="shared" si="69"/>
        <v>7</v>
      </c>
      <c r="AX849" s="88" t="str">
        <f t="shared" ca="1" si="64"/>
        <v>AVGO</v>
      </c>
    </row>
    <row r="850" spans="1:50" hidden="1">
      <c r="A850" s="88" t="str">
        <f t="shared" ca="1" si="68"/>
        <v>VLVLY</v>
      </c>
      <c r="F850" s="253">
        <v>51.1</v>
      </c>
      <c r="G850" s="253">
        <v>51.1</v>
      </c>
      <c r="H850" s="253">
        <v>51.1</v>
      </c>
      <c r="I850" s="253">
        <v>51.1</v>
      </c>
      <c r="J850" s="253">
        <v>51.1</v>
      </c>
      <c r="K850" s="253">
        <v>51.1</v>
      </c>
      <c r="L850" s="253">
        <v>51.1</v>
      </c>
      <c r="M850" s="253">
        <v>51.1</v>
      </c>
      <c r="N850" s="253">
        <v>51.1</v>
      </c>
      <c r="O850" s="253">
        <v>51.1</v>
      </c>
      <c r="P850" s="253">
        <v>51.1</v>
      </c>
      <c r="Q850" s="253">
        <v>51.1</v>
      </c>
      <c r="R850" s="253">
        <v>51.1</v>
      </c>
      <c r="S850" s="253">
        <v>51.1</v>
      </c>
      <c r="T850" s="253">
        <v>51.1</v>
      </c>
      <c r="U850" s="253">
        <v>51.1</v>
      </c>
      <c r="V850" s="253">
        <v>51.1</v>
      </c>
      <c r="W850" s="253">
        <v>51.1</v>
      </c>
      <c r="X850" s="253">
        <v>51.1</v>
      </c>
      <c r="Y850" s="253">
        <v>51.1</v>
      </c>
      <c r="Z850" s="247">
        <f ca="1">[1]ExtEntry!$N50</f>
        <v>51.1</v>
      </c>
      <c r="AB850" s="277">
        <v>20</v>
      </c>
      <c r="AC850" s="277">
        <v>5</v>
      </c>
      <c r="AD850" s="277">
        <v>7</v>
      </c>
      <c r="AE850" s="277">
        <v>5</v>
      </c>
      <c r="AF850" s="277">
        <v>6</v>
      </c>
      <c r="AG850" s="277">
        <v>18</v>
      </c>
      <c r="AH850" s="277">
        <v>12</v>
      </c>
      <c r="AI850" s="277">
        <v>16</v>
      </c>
      <c r="AJ850" s="277">
        <v>15</v>
      </c>
      <c r="AK850" s="277">
        <v>6</v>
      </c>
      <c r="AL850" s="277">
        <v>12</v>
      </c>
      <c r="AM850" s="277">
        <v>5</v>
      </c>
      <c r="AN850" s="277">
        <v>3</v>
      </c>
      <c r="AO850" s="277">
        <v>20</v>
      </c>
      <c r="AP850" s="277">
        <v>2</v>
      </c>
      <c r="AQ850" s="277">
        <v>7</v>
      </c>
      <c r="AR850" s="277">
        <v>12</v>
      </c>
      <c r="AS850" s="277">
        <v>12</v>
      </c>
      <c r="AT850" s="277">
        <v>7</v>
      </c>
      <c r="AU850" s="277">
        <v>7</v>
      </c>
      <c r="AV850" s="277">
        <f t="shared" ref="AV850:AV897" si="70">_xlfn.RANK.EQ(Y750,F750:Y750)</f>
        <v>7</v>
      </c>
      <c r="AX850" s="88" t="str">
        <f t="shared" ca="1" si="64"/>
        <v>VLVLY</v>
      </c>
    </row>
    <row r="851" spans="1:50" hidden="1">
      <c r="A851" s="88" t="str">
        <f t="shared" ca="1" si="68"/>
        <v>VONN</v>
      </c>
      <c r="F851" s="253">
        <v>6.85</v>
      </c>
      <c r="G851" s="253">
        <v>6.85</v>
      </c>
      <c r="H851" s="253">
        <v>6.85</v>
      </c>
      <c r="I851" s="253">
        <v>6.85</v>
      </c>
      <c r="J851" s="253">
        <v>6.85</v>
      </c>
      <c r="K851" s="253">
        <v>6.85</v>
      </c>
      <c r="L851" s="253">
        <v>6.85</v>
      </c>
      <c r="M851" s="253">
        <v>6.85</v>
      </c>
      <c r="N851" s="253">
        <v>6.85</v>
      </c>
      <c r="O851" s="253">
        <v>6.85</v>
      </c>
      <c r="P851" s="253">
        <v>6.85</v>
      </c>
      <c r="Q851" s="253">
        <v>6.85</v>
      </c>
      <c r="R851" s="253">
        <v>6.85</v>
      </c>
      <c r="S851" s="253">
        <v>6.85</v>
      </c>
      <c r="T851" s="253">
        <v>6.85</v>
      </c>
      <c r="U851" s="253">
        <v>6.85</v>
      </c>
      <c r="V851" s="253">
        <v>6.85</v>
      </c>
      <c r="W851" s="253">
        <v>6.85</v>
      </c>
      <c r="X851" s="253">
        <v>6.85</v>
      </c>
      <c r="Y851" s="253">
        <v>6.85</v>
      </c>
      <c r="Z851" s="247">
        <f ca="1">[1]ExtEntry!$N51</f>
        <v>6.85</v>
      </c>
      <c r="AB851" s="277">
        <v>2</v>
      </c>
      <c r="AC851" s="277">
        <v>16</v>
      </c>
      <c r="AD851" s="277">
        <v>15</v>
      </c>
      <c r="AE851" s="277">
        <v>7</v>
      </c>
      <c r="AF851" s="277">
        <v>2</v>
      </c>
      <c r="AG851" s="277">
        <v>11</v>
      </c>
      <c r="AH851" s="277">
        <v>6</v>
      </c>
      <c r="AI851" s="277">
        <v>7</v>
      </c>
      <c r="AJ851" s="277">
        <v>17</v>
      </c>
      <c r="AK851" s="277">
        <v>17</v>
      </c>
      <c r="AL851" s="277">
        <v>9</v>
      </c>
      <c r="AM851" s="277">
        <v>18</v>
      </c>
      <c r="AN851" s="277">
        <v>17</v>
      </c>
      <c r="AO851" s="277">
        <v>20</v>
      </c>
      <c r="AP851" s="277">
        <v>9</v>
      </c>
      <c r="AQ851" s="277">
        <v>16</v>
      </c>
      <c r="AR851" s="277">
        <v>1</v>
      </c>
      <c r="AS851" s="277">
        <v>1</v>
      </c>
      <c r="AT851" s="277">
        <v>3</v>
      </c>
      <c r="AU851" s="277">
        <v>10</v>
      </c>
      <c r="AV851" s="277">
        <f t="shared" si="70"/>
        <v>10</v>
      </c>
      <c r="AX851" s="88" t="str">
        <f t="shared" ref="AX851:AX914" ca="1" si="71">A851</f>
        <v>VONN</v>
      </c>
    </row>
    <row r="852" spans="1:50" hidden="1">
      <c r="A852" s="88" t="str">
        <f t="shared" ca="1" si="68"/>
        <v>VTRS</v>
      </c>
      <c r="F852" s="253">
        <v>8.08</v>
      </c>
      <c r="G852" s="253">
        <v>8.08</v>
      </c>
      <c r="H852" s="253">
        <v>8.08</v>
      </c>
      <c r="I852" s="253">
        <v>8.08</v>
      </c>
      <c r="J852" s="253">
        <v>8.08</v>
      </c>
      <c r="K852" s="253">
        <v>8.08</v>
      </c>
      <c r="L852" s="253">
        <v>8.08</v>
      </c>
      <c r="M852" s="253">
        <v>8.08</v>
      </c>
      <c r="N852" s="253">
        <v>8.08</v>
      </c>
      <c r="O852" s="253">
        <v>8.08</v>
      </c>
      <c r="P852" s="253">
        <v>8.08</v>
      </c>
      <c r="Q852" s="253">
        <v>8.08</v>
      </c>
      <c r="R852" s="253">
        <v>8.08</v>
      </c>
      <c r="S852" s="253">
        <v>8.08</v>
      </c>
      <c r="T852" s="253">
        <v>8.08</v>
      </c>
      <c r="U852" s="253">
        <v>8.08</v>
      </c>
      <c r="V852" s="253">
        <v>8.08</v>
      </c>
      <c r="W852" s="253">
        <v>8.08</v>
      </c>
      <c r="X852" s="253">
        <v>8.08</v>
      </c>
      <c r="Y852" s="253">
        <v>8.08</v>
      </c>
      <c r="Z852" s="247">
        <f ca="1">[1]ExtEntry!$N52</f>
        <v>8.08</v>
      </c>
      <c r="AB852" s="277">
        <v>6</v>
      </c>
      <c r="AC852" s="277">
        <v>1</v>
      </c>
      <c r="AD852" s="277">
        <v>3</v>
      </c>
      <c r="AE852" s="277">
        <v>8</v>
      </c>
      <c r="AF852" s="277">
        <v>5</v>
      </c>
      <c r="AG852" s="277">
        <v>11</v>
      </c>
      <c r="AH852" s="277">
        <v>16</v>
      </c>
      <c r="AI852" s="277">
        <v>9</v>
      </c>
      <c r="AJ852" s="277">
        <v>9</v>
      </c>
      <c r="AK852" s="277">
        <v>4</v>
      </c>
      <c r="AL852" s="277">
        <v>7</v>
      </c>
      <c r="AM852" s="277">
        <v>8</v>
      </c>
      <c r="AN852" s="277">
        <v>4</v>
      </c>
      <c r="AO852" s="277">
        <v>8</v>
      </c>
      <c r="AP852" s="277">
        <v>3</v>
      </c>
      <c r="AQ852" s="277">
        <v>8</v>
      </c>
      <c r="AR852" s="277">
        <v>16</v>
      </c>
      <c r="AS852" s="277">
        <v>15</v>
      </c>
      <c r="AT852" s="277">
        <v>19</v>
      </c>
      <c r="AU852" s="277">
        <v>11</v>
      </c>
      <c r="AV852" s="277">
        <f t="shared" si="70"/>
        <v>11</v>
      </c>
      <c r="AX852" s="88" t="str">
        <f t="shared" ca="1" si="71"/>
        <v>VTRS</v>
      </c>
    </row>
    <row r="853" spans="1:50" hidden="1">
      <c r="A853" s="88" t="str">
        <f t="shared" ca="1" si="68"/>
        <v>WBA</v>
      </c>
      <c r="F853" s="253">
        <v>97.8</v>
      </c>
      <c r="G853" s="253">
        <v>97.8</v>
      </c>
      <c r="H853" s="253">
        <v>97.8</v>
      </c>
      <c r="I853" s="253">
        <v>97.8</v>
      </c>
      <c r="J853" s="253">
        <v>97.8</v>
      </c>
      <c r="K853" s="253">
        <v>97.8</v>
      </c>
      <c r="L853" s="253">
        <v>97.8</v>
      </c>
      <c r="M853" s="253">
        <v>97.8</v>
      </c>
      <c r="N853" s="253">
        <v>97.8</v>
      </c>
      <c r="O853" s="253">
        <v>97.8</v>
      </c>
      <c r="P853" s="253">
        <v>97.8</v>
      </c>
      <c r="Q853" s="253">
        <v>97.8</v>
      </c>
      <c r="R853" s="253">
        <v>97.8</v>
      </c>
      <c r="S853" s="253">
        <v>97.8</v>
      </c>
      <c r="T853" s="253">
        <v>97.8</v>
      </c>
      <c r="U853" s="253">
        <v>97.8</v>
      </c>
      <c r="V853" s="253">
        <v>97.8</v>
      </c>
      <c r="W853" s="253">
        <v>97.8</v>
      </c>
      <c r="X853" s="253">
        <v>97.8</v>
      </c>
      <c r="Y853" s="253">
        <v>97.8</v>
      </c>
      <c r="Z853" s="247">
        <f ca="1">[1]ExtEntry!$N53</f>
        <v>97.8</v>
      </c>
      <c r="AB853" s="277">
        <v>1</v>
      </c>
      <c r="AC853" s="277">
        <v>1</v>
      </c>
      <c r="AD853" s="277">
        <v>1</v>
      </c>
      <c r="AE853" s="277">
        <v>1</v>
      </c>
      <c r="AF853" s="277">
        <v>1</v>
      </c>
      <c r="AG853" s="277">
        <v>1</v>
      </c>
      <c r="AH853" s="277">
        <v>1</v>
      </c>
      <c r="AI853" s="277">
        <v>1</v>
      </c>
      <c r="AJ853" s="277">
        <v>1</v>
      </c>
      <c r="AK853" s="277">
        <v>1</v>
      </c>
      <c r="AL853" s="277">
        <v>1</v>
      </c>
      <c r="AM853" s="277">
        <v>1</v>
      </c>
      <c r="AN853" s="277">
        <v>1</v>
      </c>
      <c r="AO853" s="277">
        <v>1</v>
      </c>
      <c r="AP853" s="277">
        <v>1</v>
      </c>
      <c r="AQ853" s="277">
        <v>1</v>
      </c>
      <c r="AR853" s="277">
        <v>1</v>
      </c>
      <c r="AS853" s="277">
        <v>1</v>
      </c>
      <c r="AT853" s="277">
        <v>1</v>
      </c>
      <c r="AU853" s="277">
        <v>1</v>
      </c>
      <c r="AV853" s="277">
        <f t="shared" si="70"/>
        <v>1</v>
      </c>
      <c r="AX853" s="88" t="str">
        <f t="shared" ca="1" si="71"/>
        <v>WBA</v>
      </c>
    </row>
    <row r="854" spans="1:50" hidden="1">
      <c r="A854" s="88" t="str">
        <f t="shared" ca="1" si="68"/>
        <v>XOM</v>
      </c>
      <c r="F854" s="253">
        <v>5.6849999999999996</v>
      </c>
      <c r="G854" s="253">
        <v>5.6849999999999996</v>
      </c>
      <c r="H854" s="253">
        <v>5.6849999999999996</v>
      </c>
      <c r="I854" s="253">
        <v>5.6849999999999996</v>
      </c>
      <c r="J854" s="253">
        <v>5.6849999999999996</v>
      </c>
      <c r="K854" s="253">
        <v>5.6849999999999996</v>
      </c>
      <c r="L854" s="253">
        <v>5.6849999999999996</v>
      </c>
      <c r="M854" s="253">
        <v>5.6849999999999996</v>
      </c>
      <c r="N854" s="253">
        <v>5.6849999999999996</v>
      </c>
      <c r="O854" s="253">
        <v>5.6849999999999996</v>
      </c>
      <c r="P854" s="253">
        <v>5.6849999999999996</v>
      </c>
      <c r="Q854" s="253">
        <v>5.6849999999999996</v>
      </c>
      <c r="R854" s="253">
        <v>5.6849999999999996</v>
      </c>
      <c r="S854" s="253">
        <v>5.6849999999999996</v>
      </c>
      <c r="T854" s="253">
        <v>5.6849999999999996</v>
      </c>
      <c r="U854" s="253">
        <v>5.6849999999999996</v>
      </c>
      <c r="V854" s="253">
        <v>5.6849999999999996</v>
      </c>
      <c r="W854" s="253">
        <v>5.6849999999999996</v>
      </c>
      <c r="X854" s="253">
        <v>5.6849999999999996</v>
      </c>
      <c r="Y854" s="253">
        <v>5.6849999999999996</v>
      </c>
      <c r="Z854" s="247">
        <f ca="1">[1]ExtEntry!$N54</f>
        <v>5.6849999999999996</v>
      </c>
      <c r="AB854" s="277">
        <v>20</v>
      </c>
      <c r="AC854" s="277">
        <v>18</v>
      </c>
      <c r="AD854" s="277">
        <v>14</v>
      </c>
      <c r="AE854" s="277">
        <v>13</v>
      </c>
      <c r="AF854" s="277">
        <v>2</v>
      </c>
      <c r="AG854" s="277">
        <v>11</v>
      </c>
      <c r="AH854" s="277">
        <v>11</v>
      </c>
      <c r="AI854" s="277">
        <v>16</v>
      </c>
      <c r="AJ854" s="277">
        <v>15</v>
      </c>
      <c r="AK854" s="277">
        <v>5</v>
      </c>
      <c r="AL854" s="277">
        <v>8</v>
      </c>
      <c r="AM854" s="277">
        <v>10</v>
      </c>
      <c r="AN854" s="277">
        <v>13</v>
      </c>
      <c r="AO854" s="277">
        <v>3</v>
      </c>
      <c r="AP854" s="277">
        <v>8</v>
      </c>
      <c r="AQ854" s="277">
        <v>11</v>
      </c>
      <c r="AR854" s="277">
        <v>1</v>
      </c>
      <c r="AS854" s="277">
        <v>1</v>
      </c>
      <c r="AT854" s="277">
        <v>7</v>
      </c>
      <c r="AU854" s="277">
        <v>13</v>
      </c>
      <c r="AV854" s="277">
        <f t="shared" si="70"/>
        <v>13</v>
      </c>
      <c r="AX854" s="88" t="str">
        <f t="shared" ca="1" si="71"/>
        <v>XOM</v>
      </c>
    </row>
    <row r="855" spans="1:50" hidden="1">
      <c r="A855" s="88" t="str">
        <f t="shared" ca="1" si="68"/>
        <v>XPER</v>
      </c>
      <c r="F855" s="253">
        <v>0.65</v>
      </c>
      <c r="G855" s="253">
        <v>0.65</v>
      </c>
      <c r="H855" s="253">
        <v>0.65</v>
      </c>
      <c r="I855" s="253">
        <v>0.65</v>
      </c>
      <c r="J855" s="253">
        <v>0.65</v>
      </c>
      <c r="K855" s="253">
        <v>0.65</v>
      </c>
      <c r="L855" s="253">
        <v>0.65</v>
      </c>
      <c r="M855" s="253">
        <v>0.65</v>
      </c>
      <c r="N855" s="253">
        <v>0.65</v>
      </c>
      <c r="O855" s="253">
        <v>0.65</v>
      </c>
      <c r="P855" s="253">
        <v>0.65</v>
      </c>
      <c r="Q855" s="253">
        <v>0.65</v>
      </c>
      <c r="R855" s="253">
        <v>0.65</v>
      </c>
      <c r="S855" s="253">
        <v>0.65</v>
      </c>
      <c r="T855" s="253">
        <v>0.65</v>
      </c>
      <c r="U855" s="253">
        <v>0.65</v>
      </c>
      <c r="V855" s="253">
        <v>0.65</v>
      </c>
      <c r="W855" s="253">
        <v>0.65</v>
      </c>
      <c r="X855" s="253">
        <v>0.65</v>
      </c>
      <c r="Y855" s="253">
        <v>0.65</v>
      </c>
      <c r="Z855" s="247">
        <f ca="1">[1]ExtEntry!$N55</f>
        <v>0.65</v>
      </c>
      <c r="AB855" s="277">
        <v>12</v>
      </c>
      <c r="AC855" s="277">
        <v>19</v>
      </c>
      <c r="AD855" s="277">
        <v>7</v>
      </c>
      <c r="AE855" s="277">
        <v>2</v>
      </c>
      <c r="AF855" s="277">
        <v>6</v>
      </c>
      <c r="AG855" s="277">
        <v>20</v>
      </c>
      <c r="AH855" s="277">
        <v>9</v>
      </c>
      <c r="AI855" s="277">
        <v>9</v>
      </c>
      <c r="AJ855" s="277">
        <v>9</v>
      </c>
      <c r="AK855" s="277">
        <v>2</v>
      </c>
      <c r="AL855" s="277">
        <v>3</v>
      </c>
      <c r="AM855" s="277">
        <v>13</v>
      </c>
      <c r="AN855" s="277">
        <v>17</v>
      </c>
      <c r="AO855" s="277">
        <v>17</v>
      </c>
      <c r="AP855" s="277">
        <v>8</v>
      </c>
      <c r="AQ855" s="277">
        <v>13</v>
      </c>
      <c r="AR855" s="277">
        <v>19</v>
      </c>
      <c r="AS855" s="277">
        <v>19</v>
      </c>
      <c r="AT855" s="277">
        <v>8</v>
      </c>
      <c r="AU855" s="277">
        <v>7</v>
      </c>
      <c r="AV855" s="277">
        <f t="shared" si="70"/>
        <v>7</v>
      </c>
      <c r="AX855" s="88" t="str">
        <f t="shared" ca="1" si="71"/>
        <v>XPER</v>
      </c>
    </row>
    <row r="856" spans="1:50" hidden="1">
      <c r="A856" s="88" t="str">
        <f t="shared" ca="1" si="68"/>
        <v>MVEALDNE</v>
      </c>
      <c r="F856" s="253">
        <v>1.32</v>
      </c>
      <c r="G856" s="253">
        <v>1.32</v>
      </c>
      <c r="H856" s="253">
        <v>1.32</v>
      </c>
      <c r="I856" s="253">
        <v>1.32</v>
      </c>
      <c r="J856" s="253">
        <v>1.32</v>
      </c>
      <c r="K856" s="253">
        <v>1.32</v>
      </c>
      <c r="L856" s="253">
        <v>1.32</v>
      </c>
      <c r="M856" s="253">
        <v>1.32</v>
      </c>
      <c r="N856" s="253">
        <v>1.32</v>
      </c>
      <c r="O856" s="253">
        <v>1.32</v>
      </c>
      <c r="P856" s="253">
        <v>1.32</v>
      </c>
      <c r="Q856" s="253">
        <v>1.32</v>
      </c>
      <c r="R856" s="253">
        <v>1.32</v>
      </c>
      <c r="S856" s="253">
        <v>1.32</v>
      </c>
      <c r="T856" s="253">
        <v>1.32</v>
      </c>
      <c r="U856" s="253">
        <v>1.32</v>
      </c>
      <c r="V856" s="253">
        <v>1.32</v>
      </c>
      <c r="W856" s="253">
        <v>1.32</v>
      </c>
      <c r="X856" s="253">
        <v>1.32</v>
      </c>
      <c r="Y856" s="253">
        <v>1.32</v>
      </c>
      <c r="Z856" s="247">
        <f ca="1">[1]ExtEntry!$N56</f>
        <v>1.32</v>
      </c>
      <c r="AB856" s="277">
        <v>1</v>
      </c>
      <c r="AC856" s="277">
        <v>8</v>
      </c>
      <c r="AD856" s="277">
        <v>5</v>
      </c>
      <c r="AE856" s="277">
        <v>14</v>
      </c>
      <c r="AF856" s="277">
        <v>13</v>
      </c>
      <c r="AG856" s="277">
        <v>9</v>
      </c>
      <c r="AH856" s="277">
        <v>15</v>
      </c>
      <c r="AI856" s="277">
        <v>8</v>
      </c>
      <c r="AJ856" s="277">
        <v>7</v>
      </c>
      <c r="AK856" s="277">
        <v>7</v>
      </c>
      <c r="AL856" s="277">
        <v>6</v>
      </c>
      <c r="AM856" s="277">
        <v>13</v>
      </c>
      <c r="AN856" s="277">
        <v>15</v>
      </c>
      <c r="AO856" s="277">
        <v>8</v>
      </c>
      <c r="AP856" s="277">
        <v>18</v>
      </c>
      <c r="AQ856" s="277">
        <v>4</v>
      </c>
      <c r="AR856" s="277">
        <v>5</v>
      </c>
      <c r="AS856" s="277">
        <v>5</v>
      </c>
      <c r="AT856" s="277">
        <v>15</v>
      </c>
      <c r="AU856" s="277">
        <v>19</v>
      </c>
      <c r="AV856" s="277">
        <f t="shared" si="70"/>
        <v>19</v>
      </c>
      <c r="AX856" s="88" t="str">
        <f t="shared" ca="1" si="71"/>
        <v>MVEALDNE</v>
      </c>
    </row>
    <row r="857" spans="1:50" hidden="1">
      <c r="A857" s="88" t="str">
        <f t="shared" ca="1" si="68"/>
        <v>MVEDDD</v>
      </c>
      <c r="F857" s="253">
        <v>26.25</v>
      </c>
      <c r="G857" s="253">
        <v>0.95</v>
      </c>
      <c r="H857" s="253">
        <v>0.95</v>
      </c>
      <c r="I857" s="253">
        <v>0.95</v>
      </c>
      <c r="J857" s="253">
        <v>0.95</v>
      </c>
      <c r="K857" s="253">
        <v>0.86850000000000005</v>
      </c>
      <c r="L857" s="253">
        <v>26.25</v>
      </c>
      <c r="M857" s="253">
        <v>26.25</v>
      </c>
      <c r="N857" s="253">
        <v>26.25</v>
      </c>
      <c r="O857" s="253">
        <v>26.25</v>
      </c>
      <c r="P857" s="253">
        <v>26.25</v>
      </c>
      <c r="Q857" s="253">
        <v>26.25</v>
      </c>
      <c r="R857" s="253">
        <v>26.25</v>
      </c>
      <c r="S857" s="253">
        <v>26.25</v>
      </c>
      <c r="T857" s="253">
        <v>26.25</v>
      </c>
      <c r="U857" s="253">
        <v>26.25</v>
      </c>
      <c r="V857" s="253">
        <v>26.25</v>
      </c>
      <c r="W857" s="253">
        <v>26.25</v>
      </c>
      <c r="X857" s="253">
        <v>25.01</v>
      </c>
      <c r="Y857" s="253">
        <v>25.01</v>
      </c>
      <c r="Z857" s="247">
        <f ca="1">[1]ExtEntry!$N57</f>
        <v>25.01</v>
      </c>
      <c r="AB857" s="277">
        <v>19</v>
      </c>
      <c r="AC857" s="277">
        <v>17</v>
      </c>
      <c r="AD857" s="277">
        <v>16</v>
      </c>
      <c r="AE857" s="277">
        <v>6</v>
      </c>
      <c r="AF857" s="277">
        <v>7</v>
      </c>
      <c r="AG857" s="277">
        <v>15</v>
      </c>
      <c r="AH857" s="277">
        <v>9</v>
      </c>
      <c r="AI857" s="277">
        <v>17</v>
      </c>
      <c r="AJ857" s="277">
        <v>16</v>
      </c>
      <c r="AK857" s="277">
        <v>3</v>
      </c>
      <c r="AL857" s="277">
        <v>13</v>
      </c>
      <c r="AM857" s="277">
        <v>5</v>
      </c>
      <c r="AN857" s="277">
        <v>9</v>
      </c>
      <c r="AO857" s="277">
        <v>20</v>
      </c>
      <c r="AP857" s="277">
        <v>1</v>
      </c>
      <c r="AQ857" s="277">
        <v>20</v>
      </c>
      <c r="AR857" s="277">
        <v>20</v>
      </c>
      <c r="AS857" s="277">
        <v>19</v>
      </c>
      <c r="AT857" s="277">
        <v>8</v>
      </c>
      <c r="AU857" s="277">
        <v>8</v>
      </c>
      <c r="AV857" s="277">
        <f t="shared" si="70"/>
        <v>8</v>
      </c>
      <c r="AX857" s="88" t="str">
        <f t="shared" ca="1" si="71"/>
        <v>MVEDDD</v>
      </c>
    </row>
    <row r="858" spans="1:50" hidden="1">
      <c r="A858" s="88" t="str">
        <f t="shared" ca="1" si="68"/>
        <v>MVEDSY</v>
      </c>
      <c r="F858" s="253">
        <v>10.435</v>
      </c>
      <c r="G858" s="253">
        <v>7.3</v>
      </c>
      <c r="H858" s="253">
        <v>7.3</v>
      </c>
      <c r="I858" s="253">
        <v>7.3</v>
      </c>
      <c r="J858" s="253">
        <v>7.3</v>
      </c>
      <c r="K858" s="253">
        <v>7.3</v>
      </c>
      <c r="L858" s="253">
        <v>7.3</v>
      </c>
      <c r="M858" s="253">
        <v>7.3</v>
      </c>
      <c r="N858" s="253">
        <v>7.3</v>
      </c>
      <c r="O858" s="253">
        <v>7.3</v>
      </c>
      <c r="P858" s="253">
        <v>7.3</v>
      </c>
      <c r="Q858" s="253">
        <v>7.3</v>
      </c>
      <c r="R858" s="253">
        <v>7.3</v>
      </c>
      <c r="S858" s="253">
        <v>7.3</v>
      </c>
      <c r="T858" s="253">
        <v>7.3</v>
      </c>
      <c r="U858" s="253">
        <v>7.3</v>
      </c>
      <c r="V858" s="253">
        <v>7.3</v>
      </c>
      <c r="W858" s="253">
        <v>7.3</v>
      </c>
      <c r="X858" s="253">
        <v>7.3</v>
      </c>
      <c r="Y858" s="253">
        <v>7.3</v>
      </c>
      <c r="Z858" s="247">
        <f ca="1">[1]ExtEntry!$N58</f>
        <v>10.435</v>
      </c>
      <c r="AB858" s="277">
        <v>7</v>
      </c>
      <c r="AC858" s="277">
        <v>20</v>
      </c>
      <c r="AD858" s="277">
        <v>15</v>
      </c>
      <c r="AE858" s="277">
        <v>3</v>
      </c>
      <c r="AF858" s="277">
        <v>7</v>
      </c>
      <c r="AG858" s="277">
        <v>20</v>
      </c>
      <c r="AH858" s="277">
        <v>15</v>
      </c>
      <c r="AI858" s="277">
        <v>8</v>
      </c>
      <c r="AJ858" s="277">
        <v>3</v>
      </c>
      <c r="AK858" s="277">
        <v>4</v>
      </c>
      <c r="AL858" s="277">
        <v>18</v>
      </c>
      <c r="AM858" s="277">
        <v>3</v>
      </c>
      <c r="AN858" s="277">
        <v>3</v>
      </c>
      <c r="AO858" s="277">
        <v>12</v>
      </c>
      <c r="AP858" s="277">
        <v>4</v>
      </c>
      <c r="AQ858" s="277">
        <v>4</v>
      </c>
      <c r="AR858" s="277">
        <v>15</v>
      </c>
      <c r="AS858" s="277">
        <v>14</v>
      </c>
      <c r="AT858" s="277">
        <v>19</v>
      </c>
      <c r="AU858" s="277">
        <v>17</v>
      </c>
      <c r="AV858" s="277">
        <f t="shared" si="70"/>
        <v>17</v>
      </c>
      <c r="AX858" s="88" t="str">
        <f t="shared" ca="1" si="71"/>
        <v>MVEDSY</v>
      </c>
    </row>
    <row r="859" spans="1:50" hidden="1">
      <c r="A859" s="88" t="str">
        <f t="shared" ca="1" si="68"/>
        <v>MVEEOAN</v>
      </c>
      <c r="F859" s="253">
        <v>11.01</v>
      </c>
      <c r="G859" s="253">
        <v>11.01</v>
      </c>
      <c r="H859" s="253">
        <v>11.01</v>
      </c>
      <c r="I859" s="253">
        <v>11.01</v>
      </c>
      <c r="J859" s="253">
        <v>11.01</v>
      </c>
      <c r="K859" s="253">
        <v>11.01</v>
      </c>
      <c r="L859" s="253">
        <v>11.01</v>
      </c>
      <c r="M859" s="253">
        <v>11.01</v>
      </c>
      <c r="N859" s="253">
        <v>11.01</v>
      </c>
      <c r="O859" s="253">
        <v>11.01</v>
      </c>
      <c r="P859" s="253">
        <v>11.01</v>
      </c>
      <c r="Q859" s="253">
        <v>11.01</v>
      </c>
      <c r="R859" s="253">
        <v>11.01</v>
      </c>
      <c r="S859" s="253">
        <v>11.01</v>
      </c>
      <c r="T859" s="253">
        <v>11.01</v>
      </c>
      <c r="U859" s="253">
        <v>11.01</v>
      </c>
      <c r="V859" s="253">
        <v>11.01</v>
      </c>
      <c r="W859" s="253">
        <v>11.01</v>
      </c>
      <c r="X859" s="253">
        <v>11.01</v>
      </c>
      <c r="Y859" s="253">
        <v>11.01</v>
      </c>
      <c r="Z859" s="247">
        <f ca="1">[1]ExtEntry!$N59</f>
        <v>11.01</v>
      </c>
      <c r="AB859" s="277">
        <v>17</v>
      </c>
      <c r="AC859" s="277">
        <v>15</v>
      </c>
      <c r="AD859" s="277">
        <v>8</v>
      </c>
      <c r="AE859" s="277">
        <v>20</v>
      </c>
      <c r="AF859" s="277">
        <v>5</v>
      </c>
      <c r="AG859" s="277">
        <v>12</v>
      </c>
      <c r="AH859" s="277">
        <v>12</v>
      </c>
      <c r="AI859" s="277">
        <v>16</v>
      </c>
      <c r="AJ859" s="277">
        <v>14</v>
      </c>
      <c r="AK859" s="277">
        <v>3</v>
      </c>
      <c r="AL859" s="277">
        <v>4</v>
      </c>
      <c r="AM859" s="277">
        <v>19</v>
      </c>
      <c r="AN859" s="277">
        <v>12</v>
      </c>
      <c r="AO859" s="277">
        <v>14</v>
      </c>
      <c r="AP859" s="277">
        <v>4</v>
      </c>
      <c r="AQ859" s="277">
        <v>18</v>
      </c>
      <c r="AR859" s="277">
        <v>20</v>
      </c>
      <c r="AS859" s="277">
        <v>19</v>
      </c>
      <c r="AT859" s="277">
        <v>16</v>
      </c>
      <c r="AU859" s="277">
        <v>6</v>
      </c>
      <c r="AV859" s="277">
        <f t="shared" si="70"/>
        <v>6</v>
      </c>
      <c r="AX859" s="88" t="str">
        <f t="shared" ca="1" si="71"/>
        <v>MVEEOAN</v>
      </c>
    </row>
    <row r="860" spans="1:50" hidden="1">
      <c r="A860" s="88" t="str">
        <f t="shared" ca="1" si="68"/>
        <v>MVEENI</v>
      </c>
      <c r="F860" s="253">
        <v>0.17330000000000001</v>
      </c>
      <c r="G860" s="253">
        <v>0.17330000000000001</v>
      </c>
      <c r="H860" s="253">
        <v>0.17330000000000001</v>
      </c>
      <c r="I860" s="253">
        <v>0.17330000000000001</v>
      </c>
      <c r="J860" s="253">
        <v>0.17330000000000001</v>
      </c>
      <c r="K860" s="253">
        <v>0.17330000000000001</v>
      </c>
      <c r="L860" s="253">
        <v>0.17330000000000001</v>
      </c>
      <c r="M860" s="253">
        <v>0.17330000000000001</v>
      </c>
      <c r="N860" s="253">
        <v>0.17330000000000001</v>
      </c>
      <c r="O860" s="253">
        <v>0.17330000000000001</v>
      </c>
      <c r="P860" s="253">
        <v>0.17330000000000001</v>
      </c>
      <c r="Q860" s="253">
        <v>0.17330000000000001</v>
      </c>
      <c r="R860" s="253">
        <v>0.17330000000000001</v>
      </c>
      <c r="S860" s="253">
        <v>0.17330000000000001</v>
      </c>
      <c r="T860" s="253">
        <v>0.17330000000000001</v>
      </c>
      <c r="U860" s="253">
        <v>0.17330000000000001</v>
      </c>
      <c r="V860" s="253">
        <v>0.17330000000000001</v>
      </c>
      <c r="W860" s="253">
        <v>0.17330000000000001</v>
      </c>
      <c r="X860" s="253">
        <v>0.17330000000000001</v>
      </c>
      <c r="Y860" s="253">
        <v>0.17330000000000001</v>
      </c>
      <c r="Z860" s="247">
        <f ca="1">[1]ExtEntry!$N60</f>
        <v>0.17330000000000001</v>
      </c>
      <c r="AB860" s="277">
        <v>20</v>
      </c>
      <c r="AC860" s="277">
        <v>19</v>
      </c>
      <c r="AD860" s="277">
        <v>5</v>
      </c>
      <c r="AE860" s="277">
        <v>16</v>
      </c>
      <c r="AF860" s="277">
        <v>10</v>
      </c>
      <c r="AG860" s="277">
        <v>7</v>
      </c>
      <c r="AH860" s="277">
        <v>5</v>
      </c>
      <c r="AI860" s="277">
        <v>7</v>
      </c>
      <c r="AJ860" s="277">
        <v>18</v>
      </c>
      <c r="AK860" s="277">
        <v>13</v>
      </c>
      <c r="AL860" s="277">
        <v>20</v>
      </c>
      <c r="AM860" s="277">
        <v>12</v>
      </c>
      <c r="AN860" s="277">
        <v>10</v>
      </c>
      <c r="AO860" s="277">
        <v>7</v>
      </c>
      <c r="AP860" s="277">
        <v>12</v>
      </c>
      <c r="AQ860" s="277">
        <v>13</v>
      </c>
      <c r="AR860" s="277">
        <v>2</v>
      </c>
      <c r="AS860" s="277">
        <v>1</v>
      </c>
      <c r="AT860" s="277">
        <v>1</v>
      </c>
      <c r="AU860" s="277">
        <v>2</v>
      </c>
      <c r="AV860" s="277">
        <f t="shared" si="70"/>
        <v>2</v>
      </c>
      <c r="AX860" s="88" t="str">
        <f t="shared" ca="1" si="71"/>
        <v>MVEENI</v>
      </c>
    </row>
    <row r="861" spans="1:50" hidden="1">
      <c r="A861" s="88" t="str">
        <f t="shared" ca="1" si="68"/>
        <v>MVEEPIX</v>
      </c>
      <c r="F861" s="253">
        <v>21.67</v>
      </c>
      <c r="G861" s="253">
        <v>21.71</v>
      </c>
      <c r="H861" s="253">
        <v>21.71</v>
      </c>
      <c r="I861" s="253">
        <v>21.71</v>
      </c>
      <c r="J861" s="253">
        <v>21.71</v>
      </c>
      <c r="K861" s="253">
        <v>22.32</v>
      </c>
      <c r="L861" s="253">
        <v>22.32</v>
      </c>
      <c r="M861" s="253">
        <v>22.32</v>
      </c>
      <c r="N861" s="253">
        <v>22.32</v>
      </c>
      <c r="O861" s="253">
        <v>22.32</v>
      </c>
      <c r="P861" s="253">
        <v>22.87</v>
      </c>
      <c r="Q861" s="253">
        <v>22.87</v>
      </c>
      <c r="R861" s="253">
        <v>22.87</v>
      </c>
      <c r="S861" s="253">
        <v>22.87</v>
      </c>
      <c r="T861" s="253">
        <v>22.87</v>
      </c>
      <c r="U861" s="253">
        <v>23.35</v>
      </c>
      <c r="V861" s="253">
        <v>23.35</v>
      </c>
      <c r="W861" s="253">
        <v>23.35</v>
      </c>
      <c r="X861" s="253">
        <v>23.35</v>
      </c>
      <c r="Y861" s="253">
        <v>23.35</v>
      </c>
      <c r="Z861" s="247">
        <f ca="1">[1]ExtEntry!$N61</f>
        <v>23.35</v>
      </c>
      <c r="AB861" s="277">
        <v>16</v>
      </c>
      <c r="AC861" s="277">
        <v>12</v>
      </c>
      <c r="AD861" s="277">
        <v>1</v>
      </c>
      <c r="AE861" s="277">
        <v>2</v>
      </c>
      <c r="AF861" s="277">
        <v>18</v>
      </c>
      <c r="AG861" s="277">
        <v>9</v>
      </c>
      <c r="AH861" s="277">
        <v>14</v>
      </c>
      <c r="AI861" s="277">
        <v>13</v>
      </c>
      <c r="AJ861" s="277">
        <v>12</v>
      </c>
      <c r="AK861" s="277">
        <v>10</v>
      </c>
      <c r="AL861" s="277">
        <v>10</v>
      </c>
      <c r="AM861" s="277">
        <v>9</v>
      </c>
      <c r="AN861" s="277">
        <v>8</v>
      </c>
      <c r="AO861" s="277">
        <v>7</v>
      </c>
      <c r="AP861" s="277">
        <v>6</v>
      </c>
      <c r="AQ861" s="277">
        <v>5</v>
      </c>
      <c r="AR861" s="277">
        <v>5</v>
      </c>
      <c r="AS861" s="277">
        <v>5</v>
      </c>
      <c r="AT861" s="277">
        <v>5</v>
      </c>
      <c r="AU861" s="277">
        <v>4</v>
      </c>
      <c r="AV861" s="277">
        <f t="shared" si="70"/>
        <v>4</v>
      </c>
      <c r="AX861" s="88" t="str">
        <f t="shared" ca="1" si="71"/>
        <v>MVEEPIX</v>
      </c>
    </row>
    <row r="862" spans="1:50" hidden="1">
      <c r="A862" s="88" t="str">
        <f t="shared" ca="1" si="68"/>
        <v>MVEGLE</v>
      </c>
      <c r="F862" s="253">
        <v>9.3699999999999992</v>
      </c>
      <c r="G862" s="253">
        <v>14.22</v>
      </c>
      <c r="H862" s="253">
        <v>9.3699999999999992</v>
      </c>
      <c r="I862" s="253">
        <v>9.3699999999999992</v>
      </c>
      <c r="J862" s="253">
        <v>9.3699999999999992</v>
      </c>
      <c r="K862" s="253">
        <v>9.3699999999999992</v>
      </c>
      <c r="L862" s="253">
        <v>9.3699999999999992</v>
      </c>
      <c r="M862" s="253">
        <v>9.3699999999999992</v>
      </c>
      <c r="N862" s="253">
        <v>9.3699999999999992</v>
      </c>
      <c r="O862" s="253">
        <v>9.3699999999999992</v>
      </c>
      <c r="P862" s="253">
        <v>9.3699999999999992</v>
      </c>
      <c r="Q862" s="253">
        <v>9.3699999999999992</v>
      </c>
      <c r="R862" s="253">
        <v>9.3699999999999992</v>
      </c>
      <c r="S862" s="253">
        <v>9.3699999999999992</v>
      </c>
      <c r="T862" s="253">
        <v>9.3699999999999992</v>
      </c>
      <c r="U862" s="253">
        <v>9.3699999999999992</v>
      </c>
      <c r="V862" s="253">
        <v>9.3699999999999992</v>
      </c>
      <c r="W862" s="253">
        <v>9.3699999999999992</v>
      </c>
      <c r="X862" s="253">
        <v>9.3699999999999992</v>
      </c>
      <c r="Y862" s="253">
        <v>9.3699999999999992</v>
      </c>
      <c r="Z862" s="247">
        <f ca="1">[1]ExtEntry!$N62</f>
        <v>9.3699999999999992</v>
      </c>
      <c r="AB862" s="277">
        <v>18</v>
      </c>
      <c r="AC862" s="277">
        <v>14</v>
      </c>
      <c r="AD862" s="277">
        <v>11</v>
      </c>
      <c r="AE862" s="277">
        <v>13</v>
      </c>
      <c r="AF862" s="277">
        <v>12</v>
      </c>
      <c r="AG862" s="277">
        <v>15</v>
      </c>
      <c r="AH862" s="277">
        <v>4</v>
      </c>
      <c r="AI862" s="277">
        <v>11</v>
      </c>
      <c r="AJ862" s="277">
        <v>13</v>
      </c>
      <c r="AK862" s="277">
        <v>13</v>
      </c>
      <c r="AL862" s="277">
        <v>1</v>
      </c>
      <c r="AM862" s="277">
        <v>7</v>
      </c>
      <c r="AN862" s="277">
        <v>3</v>
      </c>
      <c r="AO862" s="277">
        <v>20</v>
      </c>
      <c r="AP862" s="277">
        <v>17</v>
      </c>
      <c r="AQ862" s="277">
        <v>8</v>
      </c>
      <c r="AR862" s="277">
        <v>14</v>
      </c>
      <c r="AS862" s="277">
        <v>13</v>
      </c>
      <c r="AT862" s="277">
        <v>5</v>
      </c>
      <c r="AU862" s="277">
        <v>8</v>
      </c>
      <c r="AV862" s="277">
        <f t="shared" si="70"/>
        <v>8</v>
      </c>
      <c r="AX862" s="88" t="str">
        <f t="shared" ca="1" si="71"/>
        <v>MVEGLE</v>
      </c>
    </row>
    <row r="863" spans="1:50" hidden="1">
      <c r="A863" s="88" t="str">
        <f t="shared" ca="1" si="68"/>
        <v>MVEORA</v>
      </c>
      <c r="F863" s="253">
        <v>27.76</v>
      </c>
      <c r="G863" s="253">
        <v>14.231</v>
      </c>
      <c r="H863" s="253">
        <v>14.231</v>
      </c>
      <c r="I863" s="253">
        <v>14.231</v>
      </c>
      <c r="J863" s="253">
        <v>14.231</v>
      </c>
      <c r="K863" s="253">
        <v>14.231</v>
      </c>
      <c r="L863" s="253">
        <v>14.231</v>
      </c>
      <c r="M863" s="253">
        <v>14.231</v>
      </c>
      <c r="N863" s="253">
        <v>14.231</v>
      </c>
      <c r="O863" s="253">
        <v>14.231</v>
      </c>
      <c r="P863" s="253">
        <v>14.231</v>
      </c>
      <c r="Q863" s="253">
        <v>14.231</v>
      </c>
      <c r="R863" s="253">
        <v>14.231</v>
      </c>
      <c r="S863" s="253">
        <v>14.231</v>
      </c>
      <c r="T863" s="253">
        <v>14.231</v>
      </c>
      <c r="U863" s="253">
        <v>14.231</v>
      </c>
      <c r="V863" s="253">
        <v>14.231</v>
      </c>
      <c r="W863" s="253">
        <v>14.231</v>
      </c>
      <c r="X863" s="253">
        <v>14.231</v>
      </c>
      <c r="Y863" s="253">
        <v>14.231</v>
      </c>
      <c r="Z863" s="247">
        <f ca="1">[1]ExtEntry!$N63</f>
        <v>27.76</v>
      </c>
      <c r="AB863" s="277">
        <v>13</v>
      </c>
      <c r="AC863" s="277">
        <v>11</v>
      </c>
      <c r="AD863" s="277">
        <v>18</v>
      </c>
      <c r="AE863" s="277">
        <v>20</v>
      </c>
      <c r="AF863" s="277">
        <v>20</v>
      </c>
      <c r="AG863" s="277">
        <v>7</v>
      </c>
      <c r="AH863" s="277">
        <v>1</v>
      </c>
      <c r="AI863" s="277">
        <v>2</v>
      </c>
      <c r="AJ863" s="277">
        <v>8</v>
      </c>
      <c r="AK863" s="277">
        <v>18</v>
      </c>
      <c r="AL863" s="277">
        <v>4</v>
      </c>
      <c r="AM863" s="277">
        <v>1</v>
      </c>
      <c r="AN863" s="277">
        <v>9</v>
      </c>
      <c r="AO863" s="277">
        <v>2</v>
      </c>
      <c r="AP863" s="277">
        <v>18</v>
      </c>
      <c r="AQ863" s="277">
        <v>12</v>
      </c>
      <c r="AR863" s="277">
        <v>13</v>
      </c>
      <c r="AS863" s="277">
        <v>13</v>
      </c>
      <c r="AT863" s="277">
        <v>7</v>
      </c>
      <c r="AU863" s="277">
        <v>20</v>
      </c>
      <c r="AV863" s="277">
        <f t="shared" si="70"/>
        <v>20</v>
      </c>
      <c r="AX863" s="88" t="str">
        <f t="shared" ca="1" si="71"/>
        <v>MVEORA</v>
      </c>
    </row>
    <row r="864" spans="1:50" hidden="1">
      <c r="A864" s="88" t="str">
        <f t="shared" ca="1" si="68"/>
        <v>MVERWE</v>
      </c>
      <c r="F864" s="253">
        <v>198</v>
      </c>
      <c r="G864" s="253">
        <v>198.52</v>
      </c>
      <c r="H864" s="253">
        <v>198.52</v>
      </c>
      <c r="I864" s="253">
        <v>198.52</v>
      </c>
      <c r="J864" s="253">
        <v>198.52</v>
      </c>
      <c r="K864" s="253">
        <v>199.64</v>
      </c>
      <c r="L864" s="253">
        <v>199.64</v>
      </c>
      <c r="M864" s="253">
        <v>199.64</v>
      </c>
      <c r="N864" s="253">
        <v>199.64</v>
      </c>
      <c r="O864" s="253">
        <v>199.64</v>
      </c>
      <c r="P864" s="253">
        <v>208.7</v>
      </c>
      <c r="Q864" s="253">
        <v>208.7</v>
      </c>
      <c r="R864" s="253">
        <v>208.7</v>
      </c>
      <c r="S864" s="253">
        <v>208.7</v>
      </c>
      <c r="T864" s="253">
        <v>208.7</v>
      </c>
      <c r="U864" s="253">
        <v>209.7</v>
      </c>
      <c r="V864" s="253">
        <v>209.7</v>
      </c>
      <c r="W864" s="253">
        <v>209.7</v>
      </c>
      <c r="X864" s="253">
        <v>209.7</v>
      </c>
      <c r="Y864" s="253">
        <v>209.7</v>
      </c>
      <c r="Z864" s="247">
        <f ca="1">[1]ExtEntry!$N64</f>
        <v>209.7</v>
      </c>
      <c r="AB864" s="277">
        <v>18</v>
      </c>
      <c r="AC864" s="277">
        <v>15</v>
      </c>
      <c r="AD864" s="277">
        <v>1</v>
      </c>
      <c r="AE864" s="277">
        <v>15</v>
      </c>
      <c r="AF864" s="277">
        <v>6</v>
      </c>
      <c r="AG864" s="277">
        <v>15</v>
      </c>
      <c r="AH864" s="277">
        <v>3</v>
      </c>
      <c r="AI864" s="277">
        <v>18</v>
      </c>
      <c r="AJ864" s="277">
        <v>7</v>
      </c>
      <c r="AK864" s="277">
        <v>5</v>
      </c>
      <c r="AL864" s="277">
        <v>18</v>
      </c>
      <c r="AM864" s="277">
        <v>14</v>
      </c>
      <c r="AN864" s="277">
        <v>6</v>
      </c>
      <c r="AO864" s="277">
        <v>19</v>
      </c>
      <c r="AP864" s="277">
        <v>16</v>
      </c>
      <c r="AQ864" s="277">
        <v>20</v>
      </c>
      <c r="AR864" s="277">
        <v>16</v>
      </c>
      <c r="AS864" s="277">
        <v>15</v>
      </c>
      <c r="AT864" s="277">
        <v>14</v>
      </c>
      <c r="AU864" s="277">
        <v>5</v>
      </c>
      <c r="AV864" s="277">
        <f t="shared" si="70"/>
        <v>5</v>
      </c>
      <c r="AX864" s="88" t="str">
        <f t="shared" ca="1" si="71"/>
        <v>MVERWE</v>
      </c>
    </row>
    <row r="865" spans="1:50" hidden="1">
      <c r="A865" s="88" t="str">
        <f t="shared" ca="1" si="68"/>
        <v>MVESAP</v>
      </c>
      <c r="F865" s="253">
        <v>2.1</v>
      </c>
      <c r="G865" s="253">
        <v>2.1</v>
      </c>
      <c r="H865" s="253">
        <v>2.1</v>
      </c>
      <c r="I865" s="253">
        <v>2.1</v>
      </c>
      <c r="J865" s="253">
        <v>2.1</v>
      </c>
      <c r="K865" s="253">
        <v>2.1</v>
      </c>
      <c r="L865" s="253">
        <v>2.1</v>
      </c>
      <c r="M865" s="253">
        <v>2.1</v>
      </c>
      <c r="N865" s="253">
        <v>2.1</v>
      </c>
      <c r="O865" s="253">
        <v>2.1</v>
      </c>
      <c r="P865" s="253">
        <v>2.1</v>
      </c>
      <c r="Q865" s="253">
        <v>2.1</v>
      </c>
      <c r="R865" s="253">
        <v>2.1</v>
      </c>
      <c r="S865" s="253">
        <v>2.1</v>
      </c>
      <c r="T865" s="253">
        <v>2.1</v>
      </c>
      <c r="U865" s="253">
        <v>2.1</v>
      </c>
      <c r="V865" s="253">
        <v>2.1</v>
      </c>
      <c r="W865" s="253">
        <v>2.1</v>
      </c>
      <c r="X865" s="253">
        <v>2.1</v>
      </c>
      <c r="Y865" s="253">
        <v>2.1</v>
      </c>
      <c r="Z865" s="247">
        <f ca="1">[1]ExtEntry!$N65</f>
        <v>2.1</v>
      </c>
      <c r="AB865" s="277">
        <v>8</v>
      </c>
      <c r="AC865" s="277">
        <v>3</v>
      </c>
      <c r="AD865" s="277">
        <v>9</v>
      </c>
      <c r="AE865" s="277">
        <v>2</v>
      </c>
      <c r="AF865" s="277">
        <v>11</v>
      </c>
      <c r="AG865" s="277">
        <v>3</v>
      </c>
      <c r="AH865" s="277">
        <v>5</v>
      </c>
      <c r="AI865" s="277">
        <v>9</v>
      </c>
      <c r="AJ865" s="277">
        <v>10</v>
      </c>
      <c r="AK865" s="277">
        <v>8</v>
      </c>
      <c r="AL865" s="277">
        <v>8</v>
      </c>
      <c r="AM865" s="277">
        <v>8</v>
      </c>
      <c r="AN865" s="277">
        <v>15</v>
      </c>
      <c r="AO865" s="277">
        <v>18</v>
      </c>
      <c r="AP865" s="277">
        <v>1</v>
      </c>
      <c r="AQ865" s="277">
        <v>7</v>
      </c>
      <c r="AR865" s="277">
        <v>20</v>
      </c>
      <c r="AS865" s="277">
        <v>19</v>
      </c>
      <c r="AT865" s="277">
        <v>2</v>
      </c>
      <c r="AU865" s="277">
        <v>20</v>
      </c>
      <c r="AV865" s="277">
        <f t="shared" si="70"/>
        <v>20</v>
      </c>
      <c r="AX865" s="88" t="str">
        <f t="shared" ca="1" si="71"/>
        <v>MVESAP</v>
      </c>
    </row>
    <row r="866" spans="1:50" hidden="1">
      <c r="A866" s="88" t="str">
        <f t="shared" ca="1" si="68"/>
        <v>MVEUN0</v>
      </c>
      <c r="F866" s="253">
        <v>169.21010000000001</v>
      </c>
      <c r="G866" s="253">
        <v>169.21010000000001</v>
      </c>
      <c r="H866" s="253">
        <v>169.21010000000001</v>
      </c>
      <c r="I866" s="253">
        <v>169.21010000000001</v>
      </c>
      <c r="J866" s="253">
        <v>169.21010000000001</v>
      </c>
      <c r="K866" s="253">
        <v>169.21010000000001</v>
      </c>
      <c r="L866" s="253">
        <v>169.21010000000001</v>
      </c>
      <c r="M866" s="253">
        <v>169.21010000000001</v>
      </c>
      <c r="N866" s="253">
        <v>169.21010000000001</v>
      </c>
      <c r="O866" s="253">
        <v>169.21010000000001</v>
      </c>
      <c r="P866" s="253">
        <v>169.21010000000001</v>
      </c>
      <c r="Q866" s="253">
        <v>169.21010000000001</v>
      </c>
      <c r="R866" s="253">
        <v>169.21010000000001</v>
      </c>
      <c r="S866" s="253">
        <v>169.21010000000001</v>
      </c>
      <c r="T866" s="253">
        <v>169.21010000000001</v>
      </c>
      <c r="U866" s="253">
        <v>169.21010000000001</v>
      </c>
      <c r="V866" s="253">
        <v>169.21010000000001</v>
      </c>
      <c r="W866" s="253">
        <v>169.21010000000001</v>
      </c>
      <c r="X866" s="253">
        <v>169.21010000000001</v>
      </c>
      <c r="Y866" s="253">
        <v>169.21010000000001</v>
      </c>
      <c r="Z866" s="247">
        <f ca="1">[1]ExtEntry!$N66</f>
        <v>169.21010000000001</v>
      </c>
      <c r="AB866" s="277">
        <v>2</v>
      </c>
      <c r="AC866" s="277">
        <v>17</v>
      </c>
      <c r="AD866" s="277">
        <v>10</v>
      </c>
      <c r="AE866" s="277">
        <v>11</v>
      </c>
      <c r="AF866" s="277">
        <v>7</v>
      </c>
      <c r="AG866" s="277">
        <v>18</v>
      </c>
      <c r="AH866" s="277">
        <v>1</v>
      </c>
      <c r="AI866" s="277">
        <v>6</v>
      </c>
      <c r="AJ866" s="277">
        <v>15</v>
      </c>
      <c r="AK866" s="277">
        <v>8</v>
      </c>
      <c r="AL866" s="277">
        <v>14</v>
      </c>
      <c r="AM866" s="277">
        <v>9</v>
      </c>
      <c r="AN866" s="277">
        <v>7</v>
      </c>
      <c r="AO866" s="277">
        <v>14</v>
      </c>
      <c r="AP866" s="277">
        <v>1</v>
      </c>
      <c r="AQ866" s="277">
        <v>20</v>
      </c>
      <c r="AR866" s="277">
        <v>8</v>
      </c>
      <c r="AS866" s="277">
        <v>8</v>
      </c>
      <c r="AT866" s="277">
        <v>18</v>
      </c>
      <c r="AU866" s="277">
        <v>17</v>
      </c>
      <c r="AV866" s="277">
        <f t="shared" si="70"/>
        <v>17</v>
      </c>
      <c r="AX866" s="88" t="str">
        <f t="shared" ca="1" si="71"/>
        <v>MVEUN0</v>
      </c>
    </row>
    <row r="867" spans="1:50" hidden="1">
      <c r="A867" s="88" t="str">
        <f t="shared" ca="1" si="68"/>
        <v>SAFAAPL</v>
      </c>
      <c r="F867" s="253">
        <v>161.38</v>
      </c>
      <c r="G867" s="253">
        <v>161.38</v>
      </c>
      <c r="H867" s="253">
        <v>161.38</v>
      </c>
      <c r="I867" s="253">
        <v>161.38</v>
      </c>
      <c r="J867" s="253">
        <v>161.38</v>
      </c>
      <c r="K867" s="253">
        <v>161.38</v>
      </c>
      <c r="L867" s="253">
        <v>161.38</v>
      </c>
      <c r="M867" s="253">
        <v>161.38</v>
      </c>
      <c r="N867" s="253">
        <v>161.38</v>
      </c>
      <c r="O867" s="253">
        <v>161.38</v>
      </c>
      <c r="P867" s="253">
        <v>161.38</v>
      </c>
      <c r="Q867" s="253">
        <v>161.38</v>
      </c>
      <c r="R867" s="253">
        <v>161.38</v>
      </c>
      <c r="S867" s="253">
        <v>161.38</v>
      </c>
      <c r="T867" s="253">
        <v>161.38</v>
      </c>
      <c r="U867" s="253">
        <v>161.38</v>
      </c>
      <c r="V867" s="253">
        <v>161.38</v>
      </c>
      <c r="W867" s="253">
        <v>161.38</v>
      </c>
      <c r="X867" s="253">
        <v>161.38</v>
      </c>
      <c r="Y867" s="253">
        <v>161.38</v>
      </c>
      <c r="Z867" s="247">
        <f ca="1">[1]ExtEntry!$N67</f>
        <v>161.38</v>
      </c>
      <c r="AB867" s="277">
        <v>18</v>
      </c>
      <c r="AC867" s="277">
        <v>12</v>
      </c>
      <c r="AD867" s="277">
        <v>11</v>
      </c>
      <c r="AE867" s="277">
        <v>9</v>
      </c>
      <c r="AF867" s="277">
        <v>11</v>
      </c>
      <c r="AG867" s="277">
        <v>14</v>
      </c>
      <c r="AH867" s="277">
        <v>10</v>
      </c>
      <c r="AI867" s="277">
        <v>20</v>
      </c>
      <c r="AJ867" s="277">
        <v>19</v>
      </c>
      <c r="AK867" s="277">
        <v>6</v>
      </c>
      <c r="AL867" s="277">
        <v>12</v>
      </c>
      <c r="AM867" s="277">
        <v>6</v>
      </c>
      <c r="AN867" s="277">
        <v>16</v>
      </c>
      <c r="AO867" s="277">
        <v>3</v>
      </c>
      <c r="AP867" s="277">
        <v>1</v>
      </c>
      <c r="AQ867" s="277">
        <v>10</v>
      </c>
      <c r="AR867" s="277">
        <v>20</v>
      </c>
      <c r="AS867" s="277">
        <v>19</v>
      </c>
      <c r="AT867" s="277">
        <v>7</v>
      </c>
      <c r="AU867" s="277">
        <v>3</v>
      </c>
      <c r="AV867" s="277">
        <f t="shared" si="70"/>
        <v>3</v>
      </c>
      <c r="AX867" s="88" t="str">
        <f t="shared" ca="1" si="71"/>
        <v>SAFAAPL</v>
      </c>
    </row>
    <row r="868" spans="1:50" hidden="1">
      <c r="A868" s="88" t="str">
        <f t="shared" ca="1" si="68"/>
        <v>SAFAMZN</v>
      </c>
      <c r="F868" s="253">
        <v>508.4</v>
      </c>
      <c r="G868" s="253">
        <v>578.51</v>
      </c>
      <c r="H868" s="253">
        <v>578.51</v>
      </c>
      <c r="I868" s="253">
        <v>578.51</v>
      </c>
      <c r="J868" s="253">
        <v>578.51</v>
      </c>
      <c r="K868" s="253">
        <v>508.4</v>
      </c>
      <c r="L868" s="253">
        <v>508.4</v>
      </c>
      <c r="M868" s="253">
        <v>508.4</v>
      </c>
      <c r="N868" s="253">
        <v>508.4</v>
      </c>
      <c r="O868" s="253">
        <v>508.4</v>
      </c>
      <c r="P868" s="253">
        <v>508.4</v>
      </c>
      <c r="Q868" s="253">
        <v>508.4</v>
      </c>
      <c r="R868" s="253">
        <v>508.4</v>
      </c>
      <c r="S868" s="253">
        <v>508.4</v>
      </c>
      <c r="T868" s="253">
        <v>508.4</v>
      </c>
      <c r="U868" s="253">
        <v>508.4</v>
      </c>
      <c r="V868" s="253">
        <v>508.4</v>
      </c>
      <c r="W868" s="253">
        <v>508.4</v>
      </c>
      <c r="X868" s="253">
        <v>508.4</v>
      </c>
      <c r="Y868" s="253">
        <v>508.4</v>
      </c>
      <c r="Z868" s="247">
        <f ca="1">[1]ExtEntry!$N68</f>
        <v>508.4</v>
      </c>
      <c r="AB868" s="277">
        <v>8</v>
      </c>
      <c r="AC868" s="277">
        <v>17</v>
      </c>
      <c r="AD868" s="277">
        <v>9</v>
      </c>
      <c r="AE868" s="277">
        <v>6</v>
      </c>
      <c r="AF868" s="277">
        <v>18</v>
      </c>
      <c r="AG868" s="277">
        <v>8</v>
      </c>
      <c r="AH868" s="277">
        <v>2</v>
      </c>
      <c r="AI868" s="277">
        <v>5</v>
      </c>
      <c r="AJ868" s="277">
        <v>5</v>
      </c>
      <c r="AK868" s="277">
        <v>1</v>
      </c>
      <c r="AL868" s="277">
        <v>19</v>
      </c>
      <c r="AM868" s="277">
        <v>14</v>
      </c>
      <c r="AN868" s="277">
        <v>13</v>
      </c>
      <c r="AO868" s="277">
        <v>14</v>
      </c>
      <c r="AP868" s="277">
        <v>2</v>
      </c>
      <c r="AQ868" s="277">
        <v>1</v>
      </c>
      <c r="AR868" s="277">
        <v>20</v>
      </c>
      <c r="AS868" s="277">
        <v>19</v>
      </c>
      <c r="AT868" s="277">
        <v>5</v>
      </c>
      <c r="AU868" s="277">
        <v>6</v>
      </c>
      <c r="AV868" s="277">
        <f t="shared" si="70"/>
        <v>6</v>
      </c>
      <c r="AX868" s="88" t="str">
        <f t="shared" ca="1" si="71"/>
        <v>SAFAMZN</v>
      </c>
    </row>
    <row r="869" spans="1:50" hidden="1">
      <c r="A869" s="88" t="str">
        <f t="shared" ref="A869:A897" ca="1" si="72">A70</f>
        <v>SAFASML</v>
      </c>
      <c r="F869" s="253">
        <v>1.32</v>
      </c>
      <c r="G869" s="253">
        <v>1.32</v>
      </c>
      <c r="H869" s="253">
        <v>1.32</v>
      </c>
      <c r="I869" s="253">
        <v>1.32</v>
      </c>
      <c r="J869" s="253">
        <v>1.32</v>
      </c>
      <c r="K869" s="253">
        <v>1.32</v>
      </c>
      <c r="L869" s="253">
        <v>1.32</v>
      </c>
      <c r="M869" s="253">
        <v>1.32</v>
      </c>
      <c r="N869" s="253">
        <v>1.32</v>
      </c>
      <c r="O869" s="253">
        <v>1.32</v>
      </c>
      <c r="P869" s="253">
        <v>1.32</v>
      </c>
      <c r="Q869" s="253">
        <v>1.32</v>
      </c>
      <c r="R869" s="253">
        <v>1.32</v>
      </c>
      <c r="S869" s="253">
        <v>1.32</v>
      </c>
      <c r="T869" s="253">
        <v>1.32</v>
      </c>
      <c r="U869" s="253">
        <v>1.32</v>
      </c>
      <c r="V869" s="253">
        <v>1.32</v>
      </c>
      <c r="W869" s="253">
        <v>1.32</v>
      </c>
      <c r="X869" s="253">
        <v>1.32</v>
      </c>
      <c r="Y869" s="253">
        <v>1.32</v>
      </c>
      <c r="Z869" s="247">
        <f ca="1">[1]ExtEntry!$N69</f>
        <v>1.32</v>
      </c>
      <c r="AB869" s="277">
        <v>8</v>
      </c>
      <c r="AC869" s="277">
        <v>12</v>
      </c>
      <c r="AD869" s="277">
        <v>4</v>
      </c>
      <c r="AE869" s="277">
        <v>5</v>
      </c>
      <c r="AF869" s="277">
        <v>15</v>
      </c>
      <c r="AG869" s="277">
        <v>20</v>
      </c>
      <c r="AH869" s="277">
        <v>20</v>
      </c>
      <c r="AI869" s="277">
        <v>17</v>
      </c>
      <c r="AJ869" s="277">
        <v>17</v>
      </c>
      <c r="AK869" s="277">
        <v>3</v>
      </c>
      <c r="AL869" s="277">
        <v>11</v>
      </c>
      <c r="AM869" s="277">
        <v>4</v>
      </c>
      <c r="AN869" s="277">
        <v>9</v>
      </c>
      <c r="AO869" s="277">
        <v>15</v>
      </c>
      <c r="AP869" s="277">
        <v>5</v>
      </c>
      <c r="AQ869" s="277">
        <v>17</v>
      </c>
      <c r="AR869" s="277">
        <v>18</v>
      </c>
      <c r="AS869" s="277">
        <v>17</v>
      </c>
      <c r="AT869" s="277">
        <v>6</v>
      </c>
      <c r="AU869" s="277">
        <v>8</v>
      </c>
      <c r="AV869" s="277">
        <f t="shared" si="70"/>
        <v>8</v>
      </c>
      <c r="AX869" s="88" t="str">
        <f t="shared" ca="1" si="71"/>
        <v>SAFASML</v>
      </c>
    </row>
    <row r="870" spans="1:50" hidden="1">
      <c r="A870" s="88" t="str">
        <f t="shared" ca="1" si="72"/>
        <v>SAFDDD</v>
      </c>
      <c r="F870" s="253">
        <v>80.099999999999994</v>
      </c>
      <c r="G870" s="253">
        <v>80.099999999999994</v>
      </c>
      <c r="H870" s="253">
        <v>80.099999999999994</v>
      </c>
      <c r="I870" s="253">
        <v>80.099999999999994</v>
      </c>
      <c r="J870" s="253">
        <v>80.099999999999994</v>
      </c>
      <c r="K870" s="253">
        <v>80.099999999999994</v>
      </c>
      <c r="L870" s="253">
        <v>80.099999999999994</v>
      </c>
      <c r="M870" s="253">
        <v>80.099999999999994</v>
      </c>
      <c r="N870" s="253">
        <v>80.099999999999994</v>
      </c>
      <c r="O870" s="253">
        <v>80.099999999999994</v>
      </c>
      <c r="P870" s="253">
        <v>80.099999999999994</v>
      </c>
      <c r="Q870" s="253">
        <v>80.099999999999994</v>
      </c>
      <c r="R870" s="253">
        <v>80.099999999999994</v>
      </c>
      <c r="S870" s="253">
        <v>80.099999999999994</v>
      </c>
      <c r="T870" s="253">
        <v>80.099999999999994</v>
      </c>
      <c r="U870" s="253">
        <v>80.099999999999994</v>
      </c>
      <c r="V870" s="253">
        <v>80.099999999999994</v>
      </c>
      <c r="W870" s="253">
        <v>80.099999999999994</v>
      </c>
      <c r="X870" s="253">
        <v>80.099999999999994</v>
      </c>
      <c r="Y870" s="253">
        <v>80.099999999999994</v>
      </c>
      <c r="Z870" s="247">
        <f ca="1">[1]ExtEntry!$N70</f>
        <v>80.099999999999994</v>
      </c>
      <c r="AB870" s="277">
        <v>19</v>
      </c>
      <c r="AC870" s="277">
        <v>17</v>
      </c>
      <c r="AD870" s="277">
        <v>16</v>
      </c>
      <c r="AE870" s="277">
        <v>6</v>
      </c>
      <c r="AF870" s="277">
        <v>7</v>
      </c>
      <c r="AG870" s="277">
        <v>15</v>
      </c>
      <c r="AH870" s="277">
        <v>9</v>
      </c>
      <c r="AI870" s="277">
        <v>17</v>
      </c>
      <c r="AJ870" s="277">
        <v>16</v>
      </c>
      <c r="AK870" s="277">
        <v>3</v>
      </c>
      <c r="AL870" s="277">
        <v>13</v>
      </c>
      <c r="AM870" s="277">
        <v>5</v>
      </c>
      <c r="AN870" s="277">
        <v>9</v>
      </c>
      <c r="AO870" s="277">
        <v>20</v>
      </c>
      <c r="AP870" s="277">
        <v>1</v>
      </c>
      <c r="AQ870" s="277">
        <v>20</v>
      </c>
      <c r="AR870" s="277">
        <v>20</v>
      </c>
      <c r="AS870" s="277">
        <v>19</v>
      </c>
      <c r="AT870" s="277">
        <v>8</v>
      </c>
      <c r="AU870" s="277">
        <v>8</v>
      </c>
      <c r="AV870" s="277">
        <f t="shared" si="70"/>
        <v>8</v>
      </c>
      <c r="AX870" s="88" t="str">
        <f t="shared" ca="1" si="71"/>
        <v>SAFDDD</v>
      </c>
    </row>
    <row r="871" spans="1:50" hidden="1">
      <c r="A871" s="88" t="str">
        <f t="shared" ca="1" si="72"/>
        <v>SAFDIS</v>
      </c>
      <c r="F871" s="253">
        <v>41.6</v>
      </c>
      <c r="G871" s="253">
        <v>41.6</v>
      </c>
      <c r="H871" s="253">
        <v>41.6</v>
      </c>
      <c r="I871" s="253">
        <v>41.6</v>
      </c>
      <c r="J871" s="253">
        <v>41.6</v>
      </c>
      <c r="K871" s="253">
        <v>41.6</v>
      </c>
      <c r="L871" s="253">
        <v>41.6</v>
      </c>
      <c r="M871" s="253">
        <v>41.6</v>
      </c>
      <c r="N871" s="253">
        <v>41.6</v>
      </c>
      <c r="O871" s="253">
        <v>41.6</v>
      </c>
      <c r="P871" s="253">
        <v>41.6</v>
      </c>
      <c r="Q871" s="253">
        <v>41.6</v>
      </c>
      <c r="R871" s="253">
        <v>41.6</v>
      </c>
      <c r="S871" s="253">
        <v>41.6</v>
      </c>
      <c r="T871" s="253">
        <v>41.6</v>
      </c>
      <c r="U871" s="253">
        <v>41.6</v>
      </c>
      <c r="V871" s="253">
        <v>41.6</v>
      </c>
      <c r="W871" s="253">
        <v>41.6</v>
      </c>
      <c r="X871" s="253">
        <v>41.6</v>
      </c>
      <c r="Y871" s="253">
        <v>41.6</v>
      </c>
      <c r="Z871" s="247">
        <f ca="1">[1]ExtEntry!$N71</f>
        <v>41.6</v>
      </c>
      <c r="AB871" s="277">
        <v>5</v>
      </c>
      <c r="AC871" s="277">
        <v>9</v>
      </c>
      <c r="AD871" s="277">
        <v>20</v>
      </c>
      <c r="AE871" s="277">
        <v>12</v>
      </c>
      <c r="AF871" s="277">
        <v>5</v>
      </c>
      <c r="AG871" s="277">
        <v>7</v>
      </c>
      <c r="AH871" s="277">
        <v>13</v>
      </c>
      <c r="AI871" s="277">
        <v>14</v>
      </c>
      <c r="AJ871" s="277">
        <v>14</v>
      </c>
      <c r="AK871" s="277">
        <v>2</v>
      </c>
      <c r="AL871" s="277">
        <v>3</v>
      </c>
      <c r="AM871" s="277">
        <v>4</v>
      </c>
      <c r="AN871" s="277">
        <v>20</v>
      </c>
      <c r="AO871" s="277">
        <v>6</v>
      </c>
      <c r="AP871" s="277">
        <v>1</v>
      </c>
      <c r="AQ871" s="277">
        <v>1</v>
      </c>
      <c r="AR871" s="277">
        <v>18</v>
      </c>
      <c r="AS871" s="277">
        <v>17</v>
      </c>
      <c r="AT871" s="277">
        <v>10</v>
      </c>
      <c r="AU871" s="277">
        <v>18</v>
      </c>
      <c r="AV871" s="277">
        <f t="shared" si="70"/>
        <v>18</v>
      </c>
      <c r="AX871" s="88" t="str">
        <f t="shared" ca="1" si="71"/>
        <v>SAFDIS</v>
      </c>
    </row>
    <row r="872" spans="1:50" hidden="1">
      <c r="A872" s="88" t="str">
        <f t="shared" ca="1" si="72"/>
        <v>SAFGM</v>
      </c>
      <c r="F872" s="253">
        <v>187</v>
      </c>
      <c r="G872" s="253">
        <v>187</v>
      </c>
      <c r="H872" s="253">
        <v>187</v>
      </c>
      <c r="I872" s="253">
        <v>187</v>
      </c>
      <c r="J872" s="253">
        <v>187</v>
      </c>
      <c r="K872" s="253">
        <v>189.75</v>
      </c>
      <c r="L872" s="253">
        <v>189.75</v>
      </c>
      <c r="M872" s="253">
        <v>189.75</v>
      </c>
      <c r="N872" s="253">
        <v>189.75</v>
      </c>
      <c r="O872" s="253">
        <v>195.738</v>
      </c>
      <c r="P872" s="253">
        <v>195.738</v>
      </c>
      <c r="Q872" s="253">
        <v>195.738</v>
      </c>
      <c r="R872" s="253">
        <v>195.738</v>
      </c>
      <c r="S872" s="253">
        <v>195.738</v>
      </c>
      <c r="T872" s="253">
        <v>207.2</v>
      </c>
      <c r="U872" s="253">
        <v>207.2</v>
      </c>
      <c r="V872" s="253">
        <v>207.2</v>
      </c>
      <c r="W872" s="253">
        <v>207.2</v>
      </c>
      <c r="X872" s="253">
        <v>207.2</v>
      </c>
      <c r="Y872" s="253">
        <v>207.2</v>
      </c>
      <c r="Z872" s="247">
        <f ca="1">[1]ExtEntry!$N72</f>
        <v>207.2</v>
      </c>
      <c r="AB872" s="277">
        <v>17</v>
      </c>
      <c r="AC872" s="277">
        <v>10</v>
      </c>
      <c r="AD872" s="277">
        <v>8</v>
      </c>
      <c r="AE872" s="277">
        <v>20</v>
      </c>
      <c r="AF872" s="277">
        <v>3</v>
      </c>
      <c r="AG872" s="277">
        <v>19</v>
      </c>
      <c r="AH872" s="277">
        <v>18</v>
      </c>
      <c r="AI872" s="277">
        <v>16</v>
      </c>
      <c r="AJ872" s="277">
        <v>17</v>
      </c>
      <c r="AK872" s="277">
        <v>8</v>
      </c>
      <c r="AL872" s="277">
        <v>1</v>
      </c>
      <c r="AM872" s="277">
        <v>3</v>
      </c>
      <c r="AN872" s="277">
        <v>15</v>
      </c>
      <c r="AO872" s="277">
        <v>3</v>
      </c>
      <c r="AP872" s="277">
        <v>13</v>
      </c>
      <c r="AQ872" s="277">
        <v>1</v>
      </c>
      <c r="AR872" s="277">
        <v>9</v>
      </c>
      <c r="AS872" s="277">
        <v>8</v>
      </c>
      <c r="AT872" s="277">
        <v>14</v>
      </c>
      <c r="AU872" s="277">
        <v>2</v>
      </c>
      <c r="AV872" s="277">
        <f t="shared" si="70"/>
        <v>2</v>
      </c>
      <c r="AX872" s="88" t="str">
        <f t="shared" ca="1" si="71"/>
        <v>SAFGM</v>
      </c>
    </row>
    <row r="873" spans="1:50" hidden="1">
      <c r="A873" s="88" t="str">
        <f t="shared" ca="1" si="72"/>
        <v>SAFIAG</v>
      </c>
      <c r="F873" s="253">
        <v>23.15</v>
      </c>
      <c r="G873" s="253">
        <v>23.15</v>
      </c>
      <c r="H873" s="253">
        <v>23.15</v>
      </c>
      <c r="I873" s="253">
        <v>23.15</v>
      </c>
      <c r="J873" s="253">
        <v>23.15</v>
      </c>
      <c r="K873" s="253">
        <v>23.15</v>
      </c>
      <c r="L873" s="253">
        <v>23.15</v>
      </c>
      <c r="M873" s="253">
        <v>23.15</v>
      </c>
      <c r="N873" s="253">
        <v>23.15</v>
      </c>
      <c r="O873" s="253">
        <v>23.15</v>
      </c>
      <c r="P873" s="253">
        <v>23.15</v>
      </c>
      <c r="Q873" s="253">
        <v>23.15</v>
      </c>
      <c r="R873" s="253">
        <v>23.15</v>
      </c>
      <c r="S873" s="253">
        <v>23.15</v>
      </c>
      <c r="T873" s="253">
        <v>23.15</v>
      </c>
      <c r="U873" s="253">
        <v>23.15</v>
      </c>
      <c r="V873" s="253">
        <v>23.15</v>
      </c>
      <c r="W873" s="253">
        <v>23.15</v>
      </c>
      <c r="X873" s="253">
        <v>23.15</v>
      </c>
      <c r="Y873" s="253">
        <v>23.15</v>
      </c>
      <c r="Z873" s="247">
        <f ca="1">[1]ExtEntry!$N73</f>
        <v>23.15</v>
      </c>
      <c r="AB873" s="277">
        <v>6</v>
      </c>
      <c r="AC873" s="277">
        <v>7</v>
      </c>
      <c r="AD873" s="277">
        <v>19</v>
      </c>
      <c r="AE873" s="277">
        <v>1</v>
      </c>
      <c r="AF873" s="277">
        <v>14</v>
      </c>
      <c r="AG873" s="277">
        <v>8</v>
      </c>
      <c r="AH873" s="277">
        <v>1</v>
      </c>
      <c r="AI873" s="277">
        <v>1</v>
      </c>
      <c r="AJ873" s="277">
        <v>18</v>
      </c>
      <c r="AK873" s="277">
        <v>10</v>
      </c>
      <c r="AL873" s="277">
        <v>10</v>
      </c>
      <c r="AM873" s="277">
        <v>11</v>
      </c>
      <c r="AN873" s="277">
        <v>16</v>
      </c>
      <c r="AO873" s="277">
        <v>20</v>
      </c>
      <c r="AP873" s="277">
        <v>4</v>
      </c>
      <c r="AQ873" s="277">
        <v>17</v>
      </c>
      <c r="AR873" s="277">
        <v>3</v>
      </c>
      <c r="AS873" s="277">
        <v>3</v>
      </c>
      <c r="AT873" s="277">
        <v>10</v>
      </c>
      <c r="AU873" s="277">
        <v>6</v>
      </c>
      <c r="AV873" s="277">
        <f t="shared" si="70"/>
        <v>6</v>
      </c>
      <c r="AX873" s="88" t="str">
        <f t="shared" ca="1" si="71"/>
        <v>SAFIAG</v>
      </c>
    </row>
    <row r="874" spans="1:50" hidden="1">
      <c r="A874" s="88" t="str">
        <f t="shared" ca="1" si="72"/>
        <v>SAFMRNA</v>
      </c>
      <c r="F874" s="253">
        <v>0.63009999999999999</v>
      </c>
      <c r="G874" s="253">
        <v>0.63009999999999999</v>
      </c>
      <c r="H874" s="253">
        <v>0.63009999999999999</v>
      </c>
      <c r="I874" s="253">
        <v>0.63009999999999999</v>
      </c>
      <c r="J874" s="253">
        <v>0.63009999999999999</v>
      </c>
      <c r="K874" s="253">
        <v>0.63009999999999999</v>
      </c>
      <c r="L874" s="253">
        <v>0.63009999999999999</v>
      </c>
      <c r="M874" s="253">
        <v>0.63009999999999999</v>
      </c>
      <c r="N874" s="253">
        <v>0.63009999999999999</v>
      </c>
      <c r="O874" s="253">
        <v>0.63009999999999999</v>
      </c>
      <c r="P874" s="253">
        <v>0.63009999999999999</v>
      </c>
      <c r="Q874" s="253">
        <v>0.63009999999999999</v>
      </c>
      <c r="R874" s="253">
        <v>0.63009999999999999</v>
      </c>
      <c r="S874" s="253">
        <v>0.63009999999999999</v>
      </c>
      <c r="T874" s="253">
        <v>0.63009999999999999</v>
      </c>
      <c r="U874" s="253">
        <v>0.63009999999999999</v>
      </c>
      <c r="V874" s="253">
        <v>0.63009999999999999</v>
      </c>
      <c r="W874" s="253">
        <v>0.63009999999999999</v>
      </c>
      <c r="X874" s="253">
        <v>0.63009999999999999</v>
      </c>
      <c r="Y874" s="253">
        <v>0.63009999999999999</v>
      </c>
      <c r="Z874" s="247">
        <f ca="1">[1]ExtEntry!$N74</f>
        <v>0.63009999999999999</v>
      </c>
      <c r="AB874" s="277">
        <v>4</v>
      </c>
      <c r="AC874" s="277">
        <v>5</v>
      </c>
      <c r="AD874" s="277">
        <v>2</v>
      </c>
      <c r="AE874" s="277">
        <v>5</v>
      </c>
      <c r="AF874" s="277">
        <v>11</v>
      </c>
      <c r="AG874" s="277">
        <v>15</v>
      </c>
      <c r="AH874" s="277">
        <v>7</v>
      </c>
      <c r="AI874" s="277">
        <v>17</v>
      </c>
      <c r="AJ874" s="277">
        <v>17</v>
      </c>
      <c r="AK874" s="277">
        <v>12</v>
      </c>
      <c r="AL874" s="277">
        <v>18</v>
      </c>
      <c r="AM874" s="277">
        <v>3</v>
      </c>
      <c r="AN874" s="277">
        <v>18</v>
      </c>
      <c r="AO874" s="277">
        <v>19</v>
      </c>
      <c r="AP874" s="277">
        <v>4</v>
      </c>
      <c r="AQ874" s="277">
        <v>8</v>
      </c>
      <c r="AR874" s="277">
        <v>18</v>
      </c>
      <c r="AS874" s="277">
        <v>17</v>
      </c>
      <c r="AT874" s="277">
        <v>17</v>
      </c>
      <c r="AU874" s="277">
        <v>8</v>
      </c>
      <c r="AV874" s="277">
        <f t="shared" si="70"/>
        <v>8</v>
      </c>
      <c r="AX874" s="88" t="str">
        <f t="shared" ca="1" si="71"/>
        <v>SAFMRNA</v>
      </c>
    </row>
    <row r="875" spans="1:50" hidden="1">
      <c r="A875" s="88" t="str">
        <f t="shared" ca="1" si="72"/>
        <v>BLNK</v>
      </c>
      <c r="F875" s="253">
        <v>11.01</v>
      </c>
      <c r="G875" s="253">
        <v>11.01</v>
      </c>
      <c r="H875" s="253">
        <v>11.01</v>
      </c>
      <c r="I875" s="253">
        <v>11.01</v>
      </c>
      <c r="J875" s="253">
        <v>11.01</v>
      </c>
      <c r="K875" s="253">
        <v>11.01</v>
      </c>
      <c r="L875" s="253">
        <v>11.01</v>
      </c>
      <c r="M875" s="253">
        <v>11.01</v>
      </c>
      <c r="N875" s="253">
        <v>11.01</v>
      </c>
      <c r="O875" s="253">
        <v>11.01</v>
      </c>
      <c r="P875" s="253">
        <v>11.01</v>
      </c>
      <c r="Q875" s="253">
        <v>11.01</v>
      </c>
      <c r="R875" s="253">
        <v>11.01</v>
      </c>
      <c r="S875" s="253">
        <v>11.01</v>
      </c>
      <c r="T875" s="253">
        <v>11.01</v>
      </c>
      <c r="U875" s="253">
        <v>11.01</v>
      </c>
      <c r="V875" s="253">
        <v>11.01</v>
      </c>
      <c r="W875" s="253">
        <v>11.01</v>
      </c>
      <c r="X875" s="253">
        <v>11.01</v>
      </c>
      <c r="Y875" s="253">
        <v>11.01</v>
      </c>
      <c r="Z875" s="247">
        <f ca="1">[1]ExtEntry!$N75</f>
        <v>11.01</v>
      </c>
      <c r="AB875" s="277">
        <v>1</v>
      </c>
      <c r="AC875" s="277">
        <v>19</v>
      </c>
      <c r="AD875" s="277">
        <v>2</v>
      </c>
      <c r="AE875" s="277">
        <v>18</v>
      </c>
      <c r="AF875" s="277">
        <v>2</v>
      </c>
      <c r="AG875" s="277">
        <v>19</v>
      </c>
      <c r="AH875" s="277">
        <v>17</v>
      </c>
      <c r="AI875" s="277">
        <v>17</v>
      </c>
      <c r="AJ875" s="277">
        <v>16</v>
      </c>
      <c r="AK875" s="277">
        <v>3</v>
      </c>
      <c r="AL875" s="277">
        <v>9</v>
      </c>
      <c r="AM875" s="277">
        <v>18</v>
      </c>
      <c r="AN875" s="277">
        <v>20</v>
      </c>
      <c r="AO875" s="277">
        <v>17</v>
      </c>
      <c r="AP875" s="277">
        <v>6</v>
      </c>
      <c r="AQ875" s="277">
        <v>19</v>
      </c>
      <c r="AR875" s="277">
        <v>7</v>
      </c>
      <c r="AS875" s="277">
        <v>7</v>
      </c>
      <c r="AT875" s="277">
        <v>9</v>
      </c>
      <c r="AU875" s="277">
        <v>5</v>
      </c>
      <c r="AV875" s="277">
        <f t="shared" si="70"/>
        <v>5</v>
      </c>
      <c r="AX875" s="88" t="str">
        <f t="shared" ca="1" si="71"/>
        <v>BLNK</v>
      </c>
    </row>
    <row r="876" spans="1:50" hidden="1">
      <c r="A876" s="88" t="str">
        <f t="shared" ca="1" si="72"/>
        <v>ENI</v>
      </c>
      <c r="F876" s="253">
        <v>401.05</v>
      </c>
      <c r="G876" s="253">
        <v>401.05</v>
      </c>
      <c r="H876" s="253">
        <v>401.05</v>
      </c>
      <c r="I876" s="253">
        <v>401.05</v>
      </c>
      <c r="J876" s="253">
        <v>401.05</v>
      </c>
      <c r="K876" s="253">
        <v>401.05</v>
      </c>
      <c r="L876" s="253">
        <v>401.05</v>
      </c>
      <c r="M876" s="253">
        <v>401.05</v>
      </c>
      <c r="N876" s="253">
        <v>401.05</v>
      </c>
      <c r="O876" s="253">
        <v>401.05</v>
      </c>
      <c r="P876" s="253">
        <v>401.05</v>
      </c>
      <c r="Q876" s="253">
        <v>401.05</v>
      </c>
      <c r="R876" s="253">
        <v>401.05</v>
      </c>
      <c r="S876" s="253">
        <v>401.05</v>
      </c>
      <c r="T876" s="253">
        <v>401.05</v>
      </c>
      <c r="U876" s="253">
        <v>401.05</v>
      </c>
      <c r="V876" s="253">
        <v>401.05</v>
      </c>
      <c r="W876" s="253">
        <v>401.05</v>
      </c>
      <c r="X876" s="253">
        <v>401.05</v>
      </c>
      <c r="Y876" s="253">
        <v>401.05</v>
      </c>
      <c r="Z876" s="247">
        <f ca="1">[1]ExtEntry!$N76</f>
        <v>401.05</v>
      </c>
      <c r="AB876" s="277">
        <v>20</v>
      </c>
      <c r="AC876" s="277">
        <v>19</v>
      </c>
      <c r="AD876" s="277">
        <v>5</v>
      </c>
      <c r="AE876" s="277">
        <v>16</v>
      </c>
      <c r="AF876" s="277">
        <v>10</v>
      </c>
      <c r="AG876" s="277">
        <v>7</v>
      </c>
      <c r="AH876" s="277">
        <v>5</v>
      </c>
      <c r="AI876" s="277">
        <v>7</v>
      </c>
      <c r="AJ876" s="277">
        <v>18</v>
      </c>
      <c r="AK876" s="277">
        <v>13</v>
      </c>
      <c r="AL876" s="277">
        <v>20</v>
      </c>
      <c r="AM876" s="277">
        <v>12</v>
      </c>
      <c r="AN876" s="277">
        <v>10</v>
      </c>
      <c r="AO876" s="277">
        <v>7</v>
      </c>
      <c r="AP876" s="277">
        <v>12</v>
      </c>
      <c r="AQ876" s="277">
        <v>13</v>
      </c>
      <c r="AR876" s="277">
        <v>2</v>
      </c>
      <c r="AS876" s="277">
        <v>1</v>
      </c>
      <c r="AT876" s="277">
        <v>1</v>
      </c>
      <c r="AU876" s="277">
        <v>2</v>
      </c>
      <c r="AV876" s="277">
        <f t="shared" si="70"/>
        <v>2</v>
      </c>
      <c r="AX876" s="88" t="str">
        <f t="shared" ca="1" si="71"/>
        <v>ENI</v>
      </c>
    </row>
    <row r="877" spans="1:50" hidden="1">
      <c r="A877" s="88" t="str">
        <f t="shared" ca="1" si="72"/>
        <v>EZJ</v>
      </c>
      <c r="F877" s="253">
        <v>8.4405999999999999</v>
      </c>
      <c r="G877" s="253">
        <v>8.4405999999999999</v>
      </c>
      <c r="H877" s="253">
        <v>8.4405999999999999</v>
      </c>
      <c r="I877" s="253">
        <v>8.4405999999999999</v>
      </c>
      <c r="J877" s="253">
        <v>8.4405999999999999</v>
      </c>
      <c r="K877" s="253">
        <v>8.4405999999999999</v>
      </c>
      <c r="L877" s="253">
        <v>8.4405999999999999</v>
      </c>
      <c r="M877" s="253">
        <v>8.4405999999999999</v>
      </c>
      <c r="N877" s="253">
        <v>8.4405999999999999</v>
      </c>
      <c r="O877" s="253">
        <v>8.4405999999999999</v>
      </c>
      <c r="P877" s="253">
        <v>8.4405999999999999</v>
      </c>
      <c r="Q877" s="253">
        <v>8.4405999999999999</v>
      </c>
      <c r="R877" s="253">
        <v>8.4405999999999999</v>
      </c>
      <c r="S877" s="253">
        <v>8.4405999999999999</v>
      </c>
      <c r="T877" s="253">
        <v>8.4405999999999999</v>
      </c>
      <c r="U877" s="253">
        <v>8.4405999999999999</v>
      </c>
      <c r="V877" s="253">
        <v>8.4405999999999999</v>
      </c>
      <c r="W877" s="253">
        <v>8.4405999999999999</v>
      </c>
      <c r="X877" s="253">
        <v>8.4405999999999999</v>
      </c>
      <c r="Y877" s="253">
        <v>8.4405999999999999</v>
      </c>
      <c r="Z877" s="247">
        <f ca="1">[1]ExtEntry!$N77</f>
        <v>8.4405999999999999</v>
      </c>
      <c r="AB877" s="277">
        <v>4</v>
      </c>
      <c r="AC877" s="277">
        <v>10</v>
      </c>
      <c r="AD877" s="277">
        <v>15</v>
      </c>
      <c r="AE877" s="277">
        <v>12</v>
      </c>
      <c r="AF877" s="277">
        <v>2</v>
      </c>
      <c r="AG877" s="277">
        <v>15</v>
      </c>
      <c r="AH877" s="277">
        <v>4</v>
      </c>
      <c r="AI877" s="277">
        <v>13</v>
      </c>
      <c r="AJ877" s="277">
        <v>14</v>
      </c>
      <c r="AK877" s="277">
        <v>10</v>
      </c>
      <c r="AL877" s="277">
        <v>1</v>
      </c>
      <c r="AM877" s="277">
        <v>20</v>
      </c>
      <c r="AN877" s="277">
        <v>3</v>
      </c>
      <c r="AO877" s="277">
        <v>16</v>
      </c>
      <c r="AP877" s="277">
        <v>16</v>
      </c>
      <c r="AQ877" s="277">
        <v>19</v>
      </c>
      <c r="AR877" s="277">
        <v>2</v>
      </c>
      <c r="AS877" s="277">
        <v>2</v>
      </c>
      <c r="AT877" s="277">
        <v>19</v>
      </c>
      <c r="AU877" s="277">
        <v>6</v>
      </c>
      <c r="AV877" s="277">
        <f t="shared" si="70"/>
        <v>6</v>
      </c>
      <c r="AX877" s="88" t="str">
        <f t="shared" ca="1" si="71"/>
        <v>EZJ</v>
      </c>
    </row>
    <row r="878" spans="1:50" hidden="1">
      <c r="A878" s="88" t="str">
        <f t="shared" ca="1" si="72"/>
        <v>F</v>
      </c>
      <c r="F878" s="253">
        <v>21.67</v>
      </c>
      <c r="G878" s="253">
        <v>21.71</v>
      </c>
      <c r="H878" s="253">
        <v>21.71</v>
      </c>
      <c r="I878" s="253">
        <v>21.71</v>
      </c>
      <c r="J878" s="253">
        <v>21.71</v>
      </c>
      <c r="K878" s="253">
        <v>22.32</v>
      </c>
      <c r="L878" s="253">
        <v>22.32</v>
      </c>
      <c r="M878" s="253">
        <v>22.32</v>
      </c>
      <c r="N878" s="253">
        <v>22.32</v>
      </c>
      <c r="O878" s="253">
        <v>22.32</v>
      </c>
      <c r="P878" s="253">
        <v>22.87</v>
      </c>
      <c r="Q878" s="253">
        <v>22.87</v>
      </c>
      <c r="R878" s="253">
        <v>22.87</v>
      </c>
      <c r="S878" s="253">
        <v>22.87</v>
      </c>
      <c r="T878" s="253">
        <v>22.87</v>
      </c>
      <c r="U878" s="253">
        <v>23.35</v>
      </c>
      <c r="V878" s="253">
        <v>23.35</v>
      </c>
      <c r="W878" s="253">
        <v>23.35</v>
      </c>
      <c r="X878" s="253">
        <v>23.35</v>
      </c>
      <c r="Y878" s="253">
        <v>23.35</v>
      </c>
      <c r="Z878" s="247">
        <f ca="1">[1]ExtEntry!$N78</f>
        <v>23.35</v>
      </c>
      <c r="AB878" s="277">
        <v>10</v>
      </c>
      <c r="AC878" s="277">
        <v>19</v>
      </c>
      <c r="AD878" s="277">
        <v>3</v>
      </c>
      <c r="AE878" s="277">
        <v>10</v>
      </c>
      <c r="AF878" s="277">
        <v>1</v>
      </c>
      <c r="AG878" s="277">
        <v>20</v>
      </c>
      <c r="AH878" s="277">
        <v>19</v>
      </c>
      <c r="AI878" s="277">
        <v>19</v>
      </c>
      <c r="AJ878" s="277">
        <v>19</v>
      </c>
      <c r="AK878" s="277">
        <v>4</v>
      </c>
      <c r="AL878" s="277">
        <v>5</v>
      </c>
      <c r="AM878" s="277">
        <v>6</v>
      </c>
      <c r="AN878" s="277">
        <v>8</v>
      </c>
      <c r="AO878" s="277">
        <v>4</v>
      </c>
      <c r="AP878" s="277">
        <v>9</v>
      </c>
      <c r="AQ878" s="277">
        <v>1</v>
      </c>
      <c r="AR878" s="277">
        <v>14</v>
      </c>
      <c r="AS878" s="277">
        <v>14</v>
      </c>
      <c r="AT878" s="277">
        <v>15</v>
      </c>
      <c r="AU878" s="277">
        <v>1</v>
      </c>
      <c r="AV878" s="277">
        <f t="shared" si="70"/>
        <v>1</v>
      </c>
      <c r="AX878" s="88" t="str">
        <f t="shared" ca="1" si="71"/>
        <v>F</v>
      </c>
    </row>
    <row r="879" spans="1:50" hidden="1">
      <c r="A879" s="88" t="str">
        <f t="shared" ca="1" si="72"/>
        <v>GLE</v>
      </c>
      <c r="F879" s="253">
        <v>99.5</v>
      </c>
      <c r="G879" s="253">
        <v>99.5</v>
      </c>
      <c r="H879" s="253">
        <v>99.5</v>
      </c>
      <c r="I879" s="253">
        <v>99.5</v>
      </c>
      <c r="J879" s="253">
        <v>99.5</v>
      </c>
      <c r="K879" s="253">
        <v>99.5</v>
      </c>
      <c r="L879" s="253">
        <v>99.5</v>
      </c>
      <c r="M879" s="253">
        <v>99.5</v>
      </c>
      <c r="N879" s="253">
        <v>99.5</v>
      </c>
      <c r="O879" s="253">
        <v>99.5</v>
      </c>
      <c r="P879" s="253">
        <v>99.5</v>
      </c>
      <c r="Q879" s="253">
        <v>99.5</v>
      </c>
      <c r="R879" s="253">
        <v>99.5</v>
      </c>
      <c r="S879" s="253">
        <v>99.5</v>
      </c>
      <c r="T879" s="253">
        <v>99.5</v>
      </c>
      <c r="U879" s="253">
        <v>99.5</v>
      </c>
      <c r="V879" s="253">
        <v>99.5</v>
      </c>
      <c r="W879" s="253">
        <v>99.5</v>
      </c>
      <c r="X879" s="253">
        <v>99.5</v>
      </c>
      <c r="Y879" s="253">
        <v>99.5</v>
      </c>
      <c r="Z879" s="247">
        <f ca="1">[1]ExtEntry!$N79</f>
        <v>99.5</v>
      </c>
      <c r="AB879" s="277">
        <v>18</v>
      </c>
      <c r="AC879" s="277">
        <v>14</v>
      </c>
      <c r="AD879" s="277">
        <v>11</v>
      </c>
      <c r="AE879" s="277">
        <v>13</v>
      </c>
      <c r="AF879" s="277">
        <v>12</v>
      </c>
      <c r="AG879" s="277">
        <v>15</v>
      </c>
      <c r="AH879" s="277">
        <v>4</v>
      </c>
      <c r="AI879" s="277">
        <v>11</v>
      </c>
      <c r="AJ879" s="277">
        <v>13</v>
      </c>
      <c r="AK879" s="277">
        <v>13</v>
      </c>
      <c r="AL879" s="277">
        <v>1</v>
      </c>
      <c r="AM879" s="277">
        <v>7</v>
      </c>
      <c r="AN879" s="277">
        <v>3</v>
      </c>
      <c r="AO879" s="277">
        <v>20</v>
      </c>
      <c r="AP879" s="277">
        <v>17</v>
      </c>
      <c r="AQ879" s="277">
        <v>8</v>
      </c>
      <c r="AR879" s="277">
        <v>14</v>
      </c>
      <c r="AS879" s="277">
        <v>13</v>
      </c>
      <c r="AT879" s="277">
        <v>5</v>
      </c>
      <c r="AU879" s="277">
        <v>8</v>
      </c>
      <c r="AV879" s="277">
        <f t="shared" si="70"/>
        <v>8</v>
      </c>
      <c r="AX879" s="88" t="str">
        <f t="shared" ca="1" si="71"/>
        <v>GLE</v>
      </c>
    </row>
    <row r="880" spans="1:50" hidden="1">
      <c r="A880" s="88" t="str">
        <f t="shared" ca="1" si="72"/>
        <v>GNRC</v>
      </c>
      <c r="F880" s="253">
        <v>439.38</v>
      </c>
      <c r="G880" s="253">
        <v>439.38</v>
      </c>
      <c r="H880" s="253">
        <v>439.38</v>
      </c>
      <c r="I880" s="253">
        <v>439.38</v>
      </c>
      <c r="J880" s="253">
        <v>439.38</v>
      </c>
      <c r="K880" s="253">
        <v>439.38</v>
      </c>
      <c r="L880" s="253">
        <v>439.38</v>
      </c>
      <c r="M880" s="253">
        <v>439.38</v>
      </c>
      <c r="N880" s="253">
        <v>439.38</v>
      </c>
      <c r="O880" s="253">
        <v>439.38</v>
      </c>
      <c r="P880" s="253">
        <v>439.38</v>
      </c>
      <c r="Q880" s="253">
        <v>439.38</v>
      </c>
      <c r="R880" s="253">
        <v>439.38</v>
      </c>
      <c r="S880" s="253">
        <v>439.38</v>
      </c>
      <c r="T880" s="253">
        <v>439.38</v>
      </c>
      <c r="U880" s="253">
        <v>439.38</v>
      </c>
      <c r="V880" s="253">
        <v>439.38</v>
      </c>
      <c r="W880" s="253">
        <v>439.38</v>
      </c>
      <c r="X880" s="253">
        <v>439.38</v>
      </c>
      <c r="Y880" s="253">
        <v>439.38</v>
      </c>
      <c r="Z880" s="247">
        <f ca="1">[1]ExtEntry!$N80</f>
        <v>439.38</v>
      </c>
      <c r="AB880" s="277">
        <v>15</v>
      </c>
      <c r="AC880" s="277">
        <v>8</v>
      </c>
      <c r="AD880" s="277">
        <v>12</v>
      </c>
      <c r="AE880" s="277">
        <v>6</v>
      </c>
      <c r="AF880" s="277">
        <v>19</v>
      </c>
      <c r="AG880" s="277">
        <v>3</v>
      </c>
      <c r="AH880" s="277">
        <v>1</v>
      </c>
      <c r="AI880" s="277">
        <v>11</v>
      </c>
      <c r="AJ880" s="277">
        <v>11</v>
      </c>
      <c r="AK880" s="277">
        <v>3</v>
      </c>
      <c r="AL880" s="277">
        <v>1</v>
      </c>
      <c r="AM880" s="277">
        <v>2</v>
      </c>
      <c r="AN880" s="277">
        <v>10</v>
      </c>
      <c r="AO880" s="277">
        <v>16</v>
      </c>
      <c r="AP880" s="277">
        <v>3</v>
      </c>
      <c r="AQ880" s="277">
        <v>17</v>
      </c>
      <c r="AR880" s="277">
        <v>20</v>
      </c>
      <c r="AS880" s="277">
        <v>19</v>
      </c>
      <c r="AT880" s="277">
        <v>3</v>
      </c>
      <c r="AU880" s="277">
        <v>8</v>
      </c>
      <c r="AV880" s="277">
        <f t="shared" si="70"/>
        <v>8</v>
      </c>
      <c r="AX880" s="88" t="str">
        <f t="shared" ca="1" si="71"/>
        <v>GNRC</v>
      </c>
    </row>
    <row r="881" spans="1:70" hidden="1">
      <c r="A881" s="88" t="str">
        <f t="shared" ca="1" si="72"/>
        <v>GS</v>
      </c>
      <c r="F881" s="253">
        <v>1.58</v>
      </c>
      <c r="G881" s="253">
        <v>1.58</v>
      </c>
      <c r="H881" s="253">
        <v>1.58</v>
      </c>
      <c r="I881" s="253">
        <v>1.58</v>
      </c>
      <c r="J881" s="253">
        <v>1.58</v>
      </c>
      <c r="K881" s="253">
        <v>1.58</v>
      </c>
      <c r="L881" s="253">
        <v>1.58</v>
      </c>
      <c r="M881" s="253">
        <v>1.58</v>
      </c>
      <c r="N881" s="253">
        <v>1.58</v>
      </c>
      <c r="O881" s="253">
        <v>1.58</v>
      </c>
      <c r="P881" s="253">
        <v>1.58</v>
      </c>
      <c r="Q881" s="253">
        <v>1.58</v>
      </c>
      <c r="R881" s="253">
        <v>1.58</v>
      </c>
      <c r="S881" s="253">
        <v>1.58</v>
      </c>
      <c r="T881" s="253">
        <v>1.58</v>
      </c>
      <c r="U881" s="253">
        <v>1.58</v>
      </c>
      <c r="V881" s="253">
        <v>1.58</v>
      </c>
      <c r="W881" s="253">
        <v>1.58</v>
      </c>
      <c r="X881" s="253">
        <v>1.58</v>
      </c>
      <c r="Y881" s="253">
        <v>1.58</v>
      </c>
      <c r="Z881" s="247">
        <f ca="1">[1]ExtEntry!$N81</f>
        <v>1.58</v>
      </c>
      <c r="AB881" s="277">
        <v>14</v>
      </c>
      <c r="AC881" s="277">
        <v>19</v>
      </c>
      <c r="AD881" s="277">
        <v>19</v>
      </c>
      <c r="AE881" s="277">
        <v>17</v>
      </c>
      <c r="AF881" s="277">
        <v>3</v>
      </c>
      <c r="AG881" s="277">
        <v>17</v>
      </c>
      <c r="AH881" s="277">
        <v>19</v>
      </c>
      <c r="AI881" s="277">
        <v>6</v>
      </c>
      <c r="AJ881" s="277">
        <v>7</v>
      </c>
      <c r="AK881" s="277">
        <v>1</v>
      </c>
      <c r="AL881" s="277">
        <v>20</v>
      </c>
      <c r="AM881" s="277">
        <v>14</v>
      </c>
      <c r="AN881" s="277">
        <v>16</v>
      </c>
      <c r="AO881" s="277">
        <v>14</v>
      </c>
      <c r="AP881" s="277">
        <v>2</v>
      </c>
      <c r="AQ881" s="277">
        <v>10</v>
      </c>
      <c r="AR881" s="277">
        <v>19</v>
      </c>
      <c r="AS881" s="277">
        <v>18</v>
      </c>
      <c r="AT881" s="277">
        <v>5</v>
      </c>
      <c r="AU881" s="277">
        <v>1</v>
      </c>
      <c r="AV881" s="277">
        <f t="shared" si="70"/>
        <v>1</v>
      </c>
      <c r="AX881" s="88" t="str">
        <f t="shared" ca="1" si="71"/>
        <v>GS</v>
      </c>
      <c r="BQ881" t="s">
        <v>2205</v>
      </c>
      <c r="BR881" t="s">
        <v>1836</v>
      </c>
    </row>
    <row r="882" spans="1:70" hidden="1">
      <c r="A882" s="88" t="str">
        <f t="shared" ca="1" si="72"/>
        <v>LAZR</v>
      </c>
      <c r="F882" s="253">
        <v>23.815000000000001</v>
      </c>
      <c r="G882" s="253">
        <v>23.815000000000001</v>
      </c>
      <c r="H882" s="253">
        <v>23.815000000000001</v>
      </c>
      <c r="I882" s="253">
        <v>23.815000000000001</v>
      </c>
      <c r="J882" s="253">
        <v>23.815000000000001</v>
      </c>
      <c r="K882" s="253">
        <v>23.815000000000001</v>
      </c>
      <c r="L882" s="253">
        <v>23.815000000000001</v>
      </c>
      <c r="M882" s="253">
        <v>23.815000000000001</v>
      </c>
      <c r="N882" s="253">
        <v>23.815000000000001</v>
      </c>
      <c r="O882" s="253">
        <v>23.815000000000001</v>
      </c>
      <c r="P882" s="253">
        <v>23.815000000000001</v>
      </c>
      <c r="Q882" s="253">
        <v>23.815000000000001</v>
      </c>
      <c r="R882" s="253">
        <v>23.815000000000001</v>
      </c>
      <c r="S882" s="253">
        <v>23.815000000000001</v>
      </c>
      <c r="T882" s="253">
        <v>23.815000000000001</v>
      </c>
      <c r="U882" s="253">
        <v>23.815000000000001</v>
      </c>
      <c r="V882" s="253">
        <v>23.815000000000001</v>
      </c>
      <c r="W882" s="253">
        <v>23.815000000000001</v>
      </c>
      <c r="X882" s="253">
        <v>23.815000000000001</v>
      </c>
      <c r="Y882" s="253">
        <v>23.815000000000001</v>
      </c>
      <c r="Z882" s="247">
        <f ca="1">[1]ExtEntry!$N82</f>
        <v>23.815000000000001</v>
      </c>
      <c r="AB882" s="277">
        <v>11</v>
      </c>
      <c r="AC882" s="277">
        <v>18</v>
      </c>
      <c r="AD882" s="277">
        <v>7</v>
      </c>
      <c r="AE882" s="277">
        <v>3</v>
      </c>
      <c r="AF882" s="277">
        <v>2</v>
      </c>
      <c r="AG882" s="277">
        <v>20</v>
      </c>
      <c r="AH882" s="277">
        <v>5</v>
      </c>
      <c r="AI882" s="277">
        <v>17</v>
      </c>
      <c r="AJ882" s="277">
        <v>16</v>
      </c>
      <c r="AK882" s="277">
        <v>4</v>
      </c>
      <c r="AL882" s="277">
        <v>7</v>
      </c>
      <c r="AM882" s="277">
        <v>14</v>
      </c>
      <c r="AN882" s="277">
        <v>19</v>
      </c>
      <c r="AO882" s="277">
        <v>7</v>
      </c>
      <c r="AP882" s="277">
        <v>6</v>
      </c>
      <c r="AQ882" s="277">
        <v>20</v>
      </c>
      <c r="AR882" s="277">
        <v>17</v>
      </c>
      <c r="AS882" s="277">
        <v>16</v>
      </c>
      <c r="AT882" s="277">
        <v>10</v>
      </c>
      <c r="AU882" s="277">
        <v>1</v>
      </c>
      <c r="AV882" s="277">
        <f t="shared" si="70"/>
        <v>1</v>
      </c>
      <c r="AX882" s="88" t="str">
        <f t="shared" ca="1" si="71"/>
        <v>LAZR</v>
      </c>
    </row>
    <row r="883" spans="1:70" hidden="1">
      <c r="A883" s="88" t="str">
        <f t="shared" ca="1" si="72"/>
        <v>LUV</v>
      </c>
      <c r="F883" s="253">
        <v>465.59</v>
      </c>
      <c r="G883" s="253">
        <v>465.59</v>
      </c>
      <c r="H883" s="253">
        <v>465.59</v>
      </c>
      <c r="I883" s="253">
        <v>465.59</v>
      </c>
      <c r="J883" s="253">
        <v>465.59</v>
      </c>
      <c r="K883" s="253">
        <v>465.59</v>
      </c>
      <c r="L883" s="253">
        <v>465.59</v>
      </c>
      <c r="M883" s="253">
        <v>465.59</v>
      </c>
      <c r="N883" s="253">
        <v>465.59</v>
      </c>
      <c r="O883" s="253">
        <v>465.59</v>
      </c>
      <c r="P883" s="253">
        <v>465.59</v>
      </c>
      <c r="Q883" s="253">
        <v>465.59</v>
      </c>
      <c r="R883" s="253">
        <v>465.59</v>
      </c>
      <c r="S883" s="253">
        <v>465.59</v>
      </c>
      <c r="T883" s="253">
        <v>465.59</v>
      </c>
      <c r="U883" s="253">
        <v>465.59</v>
      </c>
      <c r="V883" s="253">
        <v>465.59</v>
      </c>
      <c r="W883" s="253">
        <v>465.59</v>
      </c>
      <c r="X883" s="253">
        <v>465.59</v>
      </c>
      <c r="Y883" s="253">
        <v>465.59</v>
      </c>
      <c r="Z883" s="247">
        <f ca="1">[1]ExtEntry!$N83</f>
        <v>465.59</v>
      </c>
      <c r="AB883" s="277">
        <v>11</v>
      </c>
      <c r="AC883" s="277">
        <v>18</v>
      </c>
      <c r="AD883" s="277">
        <v>4</v>
      </c>
      <c r="AE883" s="277">
        <v>12</v>
      </c>
      <c r="AF883" s="277">
        <v>7</v>
      </c>
      <c r="AG883" s="277">
        <v>15</v>
      </c>
      <c r="AH883" s="277">
        <v>11</v>
      </c>
      <c r="AI883" s="277">
        <v>18</v>
      </c>
      <c r="AJ883" s="277">
        <v>18</v>
      </c>
      <c r="AK883" s="277">
        <v>2</v>
      </c>
      <c r="AL883" s="277">
        <v>1</v>
      </c>
      <c r="AM883" s="277">
        <v>6</v>
      </c>
      <c r="AN883" s="277">
        <v>14</v>
      </c>
      <c r="AO883" s="277">
        <v>8</v>
      </c>
      <c r="AP883" s="277">
        <v>3</v>
      </c>
      <c r="AQ883" s="277">
        <v>8</v>
      </c>
      <c r="AR883" s="277">
        <v>19</v>
      </c>
      <c r="AS883" s="277">
        <v>18</v>
      </c>
      <c r="AT883" s="277">
        <v>20</v>
      </c>
      <c r="AU883" s="277">
        <v>4</v>
      </c>
      <c r="AV883" s="277">
        <f t="shared" si="70"/>
        <v>4</v>
      </c>
      <c r="AX883" s="88" t="str">
        <f t="shared" ca="1" si="71"/>
        <v>LUV</v>
      </c>
    </row>
    <row r="884" spans="1:70" hidden="1">
      <c r="A884" s="88" t="str">
        <f t="shared" ca="1" si="72"/>
        <v>MA</v>
      </c>
      <c r="F884" s="253">
        <v>5.01</v>
      </c>
      <c r="G884" s="253">
        <v>5.01</v>
      </c>
      <c r="H884" s="253">
        <v>5.01</v>
      </c>
      <c r="I884" s="253">
        <v>5.01</v>
      </c>
      <c r="J884" s="253">
        <v>5.01</v>
      </c>
      <c r="K884" s="253">
        <v>5.01</v>
      </c>
      <c r="L884" s="253">
        <v>5.01</v>
      </c>
      <c r="M884" s="253">
        <v>5.01</v>
      </c>
      <c r="N884" s="253">
        <v>5.01</v>
      </c>
      <c r="O884" s="253">
        <v>5.01</v>
      </c>
      <c r="P884" s="253">
        <v>5.01</v>
      </c>
      <c r="Q884" s="253">
        <v>5.01</v>
      </c>
      <c r="R884" s="253">
        <v>5.01</v>
      </c>
      <c r="S884" s="253">
        <v>5.01</v>
      </c>
      <c r="T884" s="253">
        <v>5.01</v>
      </c>
      <c r="U884" s="253">
        <v>5.01</v>
      </c>
      <c r="V884" s="253">
        <v>5.01</v>
      </c>
      <c r="W884" s="253">
        <v>5.01</v>
      </c>
      <c r="X884" s="253">
        <v>5.01</v>
      </c>
      <c r="Y884" s="253">
        <v>5.01</v>
      </c>
      <c r="Z884" s="247">
        <f ca="1">[1]ExtEntry!$N84</f>
        <v>5.01</v>
      </c>
      <c r="AB884" s="277">
        <v>7</v>
      </c>
      <c r="AC884" s="277">
        <v>9</v>
      </c>
      <c r="AD884" s="277">
        <v>2</v>
      </c>
      <c r="AE884" s="277">
        <v>4</v>
      </c>
      <c r="AF884" s="277">
        <v>6</v>
      </c>
      <c r="AG884" s="277">
        <v>9</v>
      </c>
      <c r="AH884" s="277">
        <v>17</v>
      </c>
      <c r="AI884" s="277">
        <v>18</v>
      </c>
      <c r="AJ884" s="277">
        <v>18</v>
      </c>
      <c r="AK884" s="277">
        <v>7</v>
      </c>
      <c r="AL884" s="277">
        <v>1</v>
      </c>
      <c r="AM884" s="277">
        <v>16</v>
      </c>
      <c r="AN884" s="277">
        <v>19</v>
      </c>
      <c r="AO884" s="277">
        <v>1</v>
      </c>
      <c r="AP884" s="277">
        <v>3</v>
      </c>
      <c r="AQ884" s="277">
        <v>4</v>
      </c>
      <c r="AR884" s="277">
        <v>12</v>
      </c>
      <c r="AS884" s="277">
        <v>12</v>
      </c>
      <c r="AT884" s="277">
        <v>8</v>
      </c>
      <c r="AU884" s="277">
        <v>13</v>
      </c>
      <c r="AV884" s="277">
        <f t="shared" si="70"/>
        <v>13</v>
      </c>
      <c r="AX884" s="88" t="str">
        <f t="shared" ca="1" si="71"/>
        <v>MA</v>
      </c>
    </row>
    <row r="885" spans="1:70" hidden="1">
      <c r="A885" s="88" t="str">
        <f t="shared" ca="1" si="72"/>
        <v>NVAX</v>
      </c>
      <c r="F885" s="253">
        <v>96.061999999999998</v>
      </c>
      <c r="G885" s="253">
        <v>96.061999999999998</v>
      </c>
      <c r="H885" s="253">
        <v>96.061999999999998</v>
      </c>
      <c r="I885" s="253">
        <v>96.061999999999998</v>
      </c>
      <c r="J885" s="253">
        <v>96.061999999999998</v>
      </c>
      <c r="K885" s="253">
        <v>96.061999999999998</v>
      </c>
      <c r="L885" s="253">
        <v>96.061999999999998</v>
      </c>
      <c r="M885" s="253">
        <v>96.061999999999998</v>
      </c>
      <c r="N885" s="253">
        <v>96.061999999999998</v>
      </c>
      <c r="O885" s="253">
        <v>96.061999999999998</v>
      </c>
      <c r="P885" s="253">
        <v>96.061999999999998</v>
      </c>
      <c r="Q885" s="253">
        <v>96.061999999999998</v>
      </c>
      <c r="R885" s="253">
        <v>96.061999999999998</v>
      </c>
      <c r="S885" s="253">
        <v>96.061999999999998</v>
      </c>
      <c r="T885" s="253">
        <v>96.061999999999998</v>
      </c>
      <c r="U885" s="253">
        <v>96.061999999999998</v>
      </c>
      <c r="V885" s="253">
        <v>96.061999999999998</v>
      </c>
      <c r="W885" s="253">
        <v>96.061999999999998</v>
      </c>
      <c r="X885" s="253">
        <v>96.061999999999998</v>
      </c>
      <c r="Y885" s="253">
        <v>96.061999999999998</v>
      </c>
      <c r="Z885" s="247">
        <f ca="1">[1]ExtEntry!$N85</f>
        <v>96.061999999999998</v>
      </c>
      <c r="AB885" s="277">
        <v>13</v>
      </c>
      <c r="AC885" s="277">
        <v>12</v>
      </c>
      <c r="AD885" s="277">
        <v>1</v>
      </c>
      <c r="AE885" s="277">
        <v>13</v>
      </c>
      <c r="AF885" s="277">
        <v>17</v>
      </c>
      <c r="AG885" s="277">
        <v>9</v>
      </c>
      <c r="AH885" s="277">
        <v>18</v>
      </c>
      <c r="AI885" s="277">
        <v>19</v>
      </c>
      <c r="AJ885" s="277">
        <v>19</v>
      </c>
      <c r="AK885" s="277">
        <v>3</v>
      </c>
      <c r="AL885" s="277">
        <v>4</v>
      </c>
      <c r="AM885" s="277">
        <v>10</v>
      </c>
      <c r="AN885" s="277">
        <v>20</v>
      </c>
      <c r="AO885" s="277">
        <v>19</v>
      </c>
      <c r="AP885" s="277">
        <v>2</v>
      </c>
      <c r="AQ885" s="277">
        <v>14</v>
      </c>
      <c r="AR885" s="277">
        <v>13</v>
      </c>
      <c r="AS885" s="277">
        <v>12</v>
      </c>
      <c r="AT885" s="277">
        <v>12</v>
      </c>
      <c r="AU885" s="277">
        <v>5</v>
      </c>
      <c r="AV885" s="277">
        <f t="shared" si="70"/>
        <v>5</v>
      </c>
      <c r="AX885" s="88" t="str">
        <f t="shared" ca="1" si="71"/>
        <v>NVAX</v>
      </c>
    </row>
    <row r="886" spans="1:70" hidden="1">
      <c r="A886" s="88" t="str">
        <f t="shared" ca="1" si="72"/>
        <v>NVS</v>
      </c>
      <c r="F886" s="253">
        <v>9.3699999999999992</v>
      </c>
      <c r="G886" s="253">
        <v>9.3699999999999992</v>
      </c>
      <c r="H886" s="253">
        <v>9.3699999999999992</v>
      </c>
      <c r="I886" s="253">
        <v>9.3699999999999992</v>
      </c>
      <c r="J886" s="253">
        <v>9.3699999999999992</v>
      </c>
      <c r="K886" s="253">
        <v>9.3699999999999992</v>
      </c>
      <c r="L886" s="253">
        <v>9.3699999999999992</v>
      </c>
      <c r="M886" s="253">
        <v>9.3699999999999992</v>
      </c>
      <c r="N886" s="253">
        <v>9.3699999999999992</v>
      </c>
      <c r="O886" s="253">
        <v>9.3699999999999992</v>
      </c>
      <c r="P886" s="253">
        <v>9.3699999999999992</v>
      </c>
      <c r="Q886" s="253">
        <v>9.3699999999999992</v>
      </c>
      <c r="R886" s="253">
        <v>9.3699999999999992</v>
      </c>
      <c r="S886" s="253">
        <v>9.3699999999999992</v>
      </c>
      <c r="T886" s="253">
        <v>9.3699999999999992</v>
      </c>
      <c r="U886" s="253">
        <v>9.3699999999999992</v>
      </c>
      <c r="V886" s="253">
        <v>9.3699999999999992</v>
      </c>
      <c r="W886" s="253">
        <v>9.3699999999999992</v>
      </c>
      <c r="X886" s="253">
        <v>9.3699999999999992</v>
      </c>
      <c r="Y886" s="253">
        <v>9.3699999999999992</v>
      </c>
      <c r="Z886" s="247">
        <f ca="1">[1]ExtEntry!$N86</f>
        <v>9.3699999999999992</v>
      </c>
      <c r="AB886" s="277">
        <v>8</v>
      </c>
      <c r="AC886" s="277">
        <v>1</v>
      </c>
      <c r="AD886" s="277">
        <v>2</v>
      </c>
      <c r="AE886" s="277">
        <v>14</v>
      </c>
      <c r="AF886" s="277">
        <v>4</v>
      </c>
      <c r="AG886" s="277">
        <v>14</v>
      </c>
      <c r="AH886" s="277">
        <v>7</v>
      </c>
      <c r="AI886" s="277">
        <v>18</v>
      </c>
      <c r="AJ886" s="277">
        <v>18</v>
      </c>
      <c r="AK886" s="277">
        <v>18</v>
      </c>
      <c r="AL886" s="277">
        <v>5</v>
      </c>
      <c r="AM886" s="277">
        <v>13</v>
      </c>
      <c r="AN886" s="277">
        <v>8</v>
      </c>
      <c r="AO886" s="277">
        <v>10</v>
      </c>
      <c r="AP886" s="277">
        <v>10</v>
      </c>
      <c r="AQ886" s="277">
        <v>13</v>
      </c>
      <c r="AR886" s="277">
        <v>12</v>
      </c>
      <c r="AS886" s="277">
        <v>11</v>
      </c>
      <c r="AT886" s="277">
        <v>11</v>
      </c>
      <c r="AU886" s="277">
        <v>20</v>
      </c>
      <c r="AV886" s="277">
        <f t="shared" si="70"/>
        <v>20</v>
      </c>
      <c r="AX886" s="88" t="str">
        <f t="shared" ca="1" si="71"/>
        <v>NVS</v>
      </c>
    </row>
    <row r="887" spans="1:70" hidden="1">
      <c r="A887" s="88" t="str">
        <f t="shared" ca="1" si="72"/>
        <v>ORA</v>
      </c>
      <c r="F887" s="253">
        <v>34.784999999999997</v>
      </c>
      <c r="G887" s="253">
        <v>34.784999999999997</v>
      </c>
      <c r="H887" s="253">
        <v>34.784999999999997</v>
      </c>
      <c r="I887" s="253">
        <v>34.784999999999997</v>
      </c>
      <c r="J887" s="253">
        <v>34.784999999999997</v>
      </c>
      <c r="K887" s="253">
        <v>34.784999999999997</v>
      </c>
      <c r="L887" s="253">
        <v>34.784999999999997</v>
      </c>
      <c r="M887" s="253">
        <v>34.784999999999997</v>
      </c>
      <c r="N887" s="253">
        <v>34.784999999999997</v>
      </c>
      <c r="O887" s="253">
        <v>34.784999999999997</v>
      </c>
      <c r="P887" s="253">
        <v>34.784999999999997</v>
      </c>
      <c r="Q887" s="253">
        <v>34.784999999999997</v>
      </c>
      <c r="R887" s="253">
        <v>34.784999999999997</v>
      </c>
      <c r="S887" s="253">
        <v>34.784999999999997</v>
      </c>
      <c r="T887" s="253">
        <v>34.784999999999997</v>
      </c>
      <c r="U887" s="253">
        <v>34.784999999999997</v>
      </c>
      <c r="V887" s="253">
        <v>34.784999999999997</v>
      </c>
      <c r="W887" s="253">
        <v>34.784999999999997</v>
      </c>
      <c r="X887" s="253">
        <v>34.784999999999997</v>
      </c>
      <c r="Y887" s="253">
        <v>34.784999999999997</v>
      </c>
      <c r="Z887" s="247">
        <f ca="1">[1]ExtEntry!$N87</f>
        <v>34.784999999999997</v>
      </c>
      <c r="AB887" s="277">
        <v>13</v>
      </c>
      <c r="AC887" s="277">
        <v>6</v>
      </c>
      <c r="AD887" s="277">
        <v>18</v>
      </c>
      <c r="AE887" s="277">
        <v>20</v>
      </c>
      <c r="AF887" s="277">
        <v>20</v>
      </c>
      <c r="AG887" s="277">
        <v>8</v>
      </c>
      <c r="AH887" s="277">
        <v>1</v>
      </c>
      <c r="AI887" s="277">
        <v>2</v>
      </c>
      <c r="AJ887" s="277">
        <v>9</v>
      </c>
      <c r="AK887" s="277">
        <v>18</v>
      </c>
      <c r="AL887" s="277">
        <v>4</v>
      </c>
      <c r="AM887" s="277">
        <v>1</v>
      </c>
      <c r="AN887" s="277">
        <v>10</v>
      </c>
      <c r="AO887" s="277">
        <v>2</v>
      </c>
      <c r="AP887" s="277">
        <v>18</v>
      </c>
      <c r="AQ887" s="277">
        <v>12</v>
      </c>
      <c r="AR887" s="277">
        <v>13</v>
      </c>
      <c r="AS887" s="277">
        <v>13</v>
      </c>
      <c r="AT887" s="277">
        <v>8</v>
      </c>
      <c r="AU887" s="277">
        <v>20</v>
      </c>
      <c r="AV887" s="277">
        <f t="shared" si="70"/>
        <v>20</v>
      </c>
      <c r="AX887" s="88" t="str">
        <f t="shared" ca="1" si="71"/>
        <v>ORA</v>
      </c>
    </row>
    <row r="888" spans="1:70" hidden="1">
      <c r="A888" s="88" t="str">
        <f t="shared" ca="1" si="72"/>
        <v>OXY</v>
      </c>
      <c r="F888" s="253">
        <v>20.914999999999999</v>
      </c>
      <c r="G888" s="253">
        <v>20.914999999999999</v>
      </c>
      <c r="H888" s="253">
        <v>20.914999999999999</v>
      </c>
      <c r="I888" s="253">
        <v>20.914999999999999</v>
      </c>
      <c r="J888" s="253">
        <v>20.914999999999999</v>
      </c>
      <c r="K888" s="253">
        <v>20.914999999999999</v>
      </c>
      <c r="L888" s="253">
        <v>20.914999999999999</v>
      </c>
      <c r="M888" s="253">
        <v>20.914999999999999</v>
      </c>
      <c r="N888" s="253">
        <v>20.914999999999999</v>
      </c>
      <c r="O888" s="253">
        <v>20.914999999999999</v>
      </c>
      <c r="P888" s="253">
        <v>20.914999999999999</v>
      </c>
      <c r="Q888" s="253">
        <v>20.914999999999999</v>
      </c>
      <c r="R888" s="253">
        <v>20.914999999999999</v>
      </c>
      <c r="S888" s="253">
        <v>20.914999999999999</v>
      </c>
      <c r="T888" s="253">
        <v>20.914999999999999</v>
      </c>
      <c r="U888" s="253">
        <v>20.914999999999999</v>
      </c>
      <c r="V888" s="253">
        <v>20.914999999999999</v>
      </c>
      <c r="W888" s="253">
        <v>20.914999999999999</v>
      </c>
      <c r="X888" s="253">
        <v>20.914999999999999</v>
      </c>
      <c r="Y888" s="253">
        <v>20.914999999999999</v>
      </c>
      <c r="Z888" s="247">
        <f ca="1">[1]ExtEntry!$N88</f>
        <v>20.914999999999999</v>
      </c>
      <c r="AB888" s="277">
        <v>3</v>
      </c>
      <c r="AC888" s="277">
        <v>17</v>
      </c>
      <c r="AD888" s="277">
        <v>6</v>
      </c>
      <c r="AE888" s="277">
        <v>20</v>
      </c>
      <c r="AF888" s="277">
        <v>5</v>
      </c>
      <c r="AG888" s="277">
        <v>12</v>
      </c>
      <c r="AH888" s="277">
        <v>14</v>
      </c>
      <c r="AI888" s="277">
        <v>16</v>
      </c>
      <c r="AJ888" s="277">
        <v>15</v>
      </c>
      <c r="AK888" s="277">
        <v>8</v>
      </c>
      <c r="AL888" s="277">
        <v>12</v>
      </c>
      <c r="AM888" s="277">
        <v>14</v>
      </c>
      <c r="AN888" s="277">
        <v>17</v>
      </c>
      <c r="AO888" s="277">
        <v>11</v>
      </c>
      <c r="AP888" s="277">
        <v>8</v>
      </c>
      <c r="AQ888" s="277">
        <v>11</v>
      </c>
      <c r="AR888" s="277">
        <v>1</v>
      </c>
      <c r="AS888" s="277">
        <v>1</v>
      </c>
      <c r="AT888" s="277">
        <v>1</v>
      </c>
      <c r="AU888" s="277">
        <v>14</v>
      </c>
      <c r="AV888" s="277">
        <f t="shared" si="70"/>
        <v>14</v>
      </c>
      <c r="AX888" s="88" t="str">
        <f t="shared" ca="1" si="71"/>
        <v>OXY</v>
      </c>
    </row>
    <row r="889" spans="1:70" hidden="1">
      <c r="A889" s="88" t="str">
        <f t="shared" ca="1" si="72"/>
        <v>PFE</v>
      </c>
      <c r="F889" s="253">
        <v>1.97</v>
      </c>
      <c r="G889" s="253">
        <v>1.97</v>
      </c>
      <c r="H889" s="253">
        <v>1.97</v>
      </c>
      <c r="I889" s="253">
        <v>1.97</v>
      </c>
      <c r="J889" s="253">
        <v>1.97</v>
      </c>
      <c r="K889" s="253">
        <v>1.97</v>
      </c>
      <c r="L889" s="253">
        <v>1.97</v>
      </c>
      <c r="M889" s="253">
        <v>1.97</v>
      </c>
      <c r="N889" s="253">
        <v>1.97</v>
      </c>
      <c r="O889" s="253">
        <v>1.97</v>
      </c>
      <c r="P889" s="253">
        <v>1.97</v>
      </c>
      <c r="Q889" s="253">
        <v>1.97</v>
      </c>
      <c r="R889" s="253">
        <v>1.97</v>
      </c>
      <c r="S889" s="253">
        <v>1.97</v>
      </c>
      <c r="T889" s="253">
        <v>1.97</v>
      </c>
      <c r="U889" s="253">
        <v>1.97</v>
      </c>
      <c r="V889" s="253">
        <v>1.97</v>
      </c>
      <c r="W889" s="253">
        <v>1.97</v>
      </c>
      <c r="X889" s="253">
        <v>1.97</v>
      </c>
      <c r="Y889" s="253">
        <v>1.97</v>
      </c>
      <c r="Z889" s="247">
        <f ca="1">[1]ExtEntry!$N89</f>
        <v>1.97</v>
      </c>
      <c r="AB889" s="277">
        <v>8</v>
      </c>
      <c r="AC889" s="277">
        <v>1</v>
      </c>
      <c r="AD889" s="277">
        <v>1</v>
      </c>
      <c r="AE889" s="277">
        <v>14</v>
      </c>
      <c r="AF889" s="277">
        <v>4</v>
      </c>
      <c r="AG889" s="277">
        <v>18</v>
      </c>
      <c r="AH889" s="277">
        <v>19</v>
      </c>
      <c r="AI889" s="277">
        <v>17</v>
      </c>
      <c r="AJ889" s="277">
        <v>17</v>
      </c>
      <c r="AK889" s="277">
        <v>11</v>
      </c>
      <c r="AL889" s="277">
        <v>16</v>
      </c>
      <c r="AM889" s="277">
        <v>15</v>
      </c>
      <c r="AN889" s="277">
        <v>14</v>
      </c>
      <c r="AO889" s="277">
        <v>3</v>
      </c>
      <c r="AP889" s="277">
        <v>6</v>
      </c>
      <c r="AQ889" s="277">
        <v>7</v>
      </c>
      <c r="AR889" s="277">
        <v>12</v>
      </c>
      <c r="AS889" s="277">
        <v>11</v>
      </c>
      <c r="AT889" s="277">
        <v>9</v>
      </c>
      <c r="AU889" s="277">
        <v>7</v>
      </c>
      <c r="AV889" s="277">
        <f t="shared" si="70"/>
        <v>7</v>
      </c>
      <c r="AX889" s="88" t="str">
        <f t="shared" ca="1" si="71"/>
        <v>PFE</v>
      </c>
    </row>
    <row r="890" spans="1:70" hidden="1">
      <c r="A890" s="88" t="str">
        <f t="shared" ca="1" si="72"/>
        <v>RIG</v>
      </c>
      <c r="F890" s="253">
        <v>28.99</v>
      </c>
      <c r="G890" s="253">
        <v>28.99</v>
      </c>
      <c r="H890" s="253">
        <v>28.99</v>
      </c>
      <c r="I890" s="253">
        <v>28.99</v>
      </c>
      <c r="J890" s="253">
        <v>28.99</v>
      </c>
      <c r="K890" s="253">
        <v>28.99</v>
      </c>
      <c r="L890" s="253">
        <v>28.99</v>
      </c>
      <c r="M890" s="253">
        <v>28.99</v>
      </c>
      <c r="N890" s="253">
        <v>28.99</v>
      </c>
      <c r="O890" s="253">
        <v>28.99</v>
      </c>
      <c r="P890" s="253">
        <v>28.99</v>
      </c>
      <c r="Q890" s="253">
        <v>28.99</v>
      </c>
      <c r="R890" s="253">
        <v>28.99</v>
      </c>
      <c r="S890" s="253">
        <v>28.99</v>
      </c>
      <c r="T890" s="253">
        <v>29.48</v>
      </c>
      <c r="U890" s="253">
        <v>29.48</v>
      </c>
      <c r="V890" s="253">
        <v>29.48</v>
      </c>
      <c r="W890" s="253">
        <v>29.48</v>
      </c>
      <c r="X890" s="253">
        <v>29.48</v>
      </c>
      <c r="Y890" s="253">
        <v>29.48</v>
      </c>
      <c r="Z890" s="247">
        <f ca="1">[1]ExtEntry!$N90</f>
        <v>29.48</v>
      </c>
      <c r="AB890" s="277">
        <v>17</v>
      </c>
      <c r="AC890" s="277">
        <v>14</v>
      </c>
      <c r="AD890" s="277">
        <v>4</v>
      </c>
      <c r="AE890" s="277">
        <v>9</v>
      </c>
      <c r="AF890" s="277">
        <v>9</v>
      </c>
      <c r="AG890" s="277">
        <v>12</v>
      </c>
      <c r="AH890" s="277">
        <v>16</v>
      </c>
      <c r="AI890" s="277">
        <v>16</v>
      </c>
      <c r="AJ890" s="277">
        <v>15</v>
      </c>
      <c r="AK890" s="277">
        <v>3</v>
      </c>
      <c r="AL890" s="277">
        <v>16</v>
      </c>
      <c r="AM890" s="277">
        <v>1</v>
      </c>
      <c r="AN890" s="277">
        <v>15</v>
      </c>
      <c r="AO890" s="277">
        <v>10</v>
      </c>
      <c r="AP890" s="277">
        <v>12</v>
      </c>
      <c r="AQ890" s="277">
        <v>12</v>
      </c>
      <c r="AR890" s="277">
        <v>3</v>
      </c>
      <c r="AS890" s="277">
        <v>3</v>
      </c>
      <c r="AT890" s="277">
        <v>1</v>
      </c>
      <c r="AU890" s="277">
        <v>14</v>
      </c>
      <c r="AV890" s="277">
        <f t="shared" si="70"/>
        <v>14</v>
      </c>
      <c r="AX890" s="88" t="str">
        <f t="shared" ca="1" si="71"/>
        <v>RIG</v>
      </c>
    </row>
    <row r="891" spans="1:70">
      <c r="A891" s="88" t="str">
        <f t="shared" ca="1" si="72"/>
        <v>RRC</v>
      </c>
      <c r="F891" s="245">
        <v>44.27</v>
      </c>
      <c r="G891" s="245">
        <v>44.27</v>
      </c>
      <c r="H891" s="245">
        <v>44.27</v>
      </c>
      <c r="I891" s="245">
        <v>44.27</v>
      </c>
      <c r="J891" s="245">
        <v>44.27</v>
      </c>
      <c r="K891" s="245">
        <v>44.27</v>
      </c>
      <c r="L891" s="245">
        <v>44.27</v>
      </c>
      <c r="M891" s="245">
        <v>44.27</v>
      </c>
      <c r="N891" s="245">
        <v>44.27</v>
      </c>
      <c r="O891" s="245">
        <v>44.27</v>
      </c>
      <c r="P891" s="245">
        <v>44.27</v>
      </c>
      <c r="Q891" s="245">
        <v>44.27</v>
      </c>
      <c r="R891" s="245">
        <v>44.27</v>
      </c>
      <c r="S891" s="245">
        <v>44.27</v>
      </c>
      <c r="T891" s="245">
        <v>44.27</v>
      </c>
      <c r="U891" s="245">
        <v>44.27</v>
      </c>
      <c r="V891" s="245">
        <v>44.27</v>
      </c>
      <c r="W891" s="245">
        <v>44.27</v>
      </c>
      <c r="X891" s="245">
        <v>44.27</v>
      </c>
      <c r="Y891" s="245">
        <v>44.27</v>
      </c>
      <c r="Z891" s="247">
        <f ca="1">[1]ExtEntry!$N91</f>
        <v>44.27</v>
      </c>
      <c r="AB891" s="277">
        <v>13</v>
      </c>
      <c r="AC891" s="277">
        <v>10</v>
      </c>
      <c r="AD891" s="277">
        <v>1</v>
      </c>
      <c r="AE891" s="277">
        <v>20</v>
      </c>
      <c r="AF891" s="277">
        <v>17</v>
      </c>
      <c r="AG891" s="277">
        <v>6</v>
      </c>
      <c r="AH891" s="277">
        <v>11</v>
      </c>
      <c r="AI891" s="277">
        <v>19</v>
      </c>
      <c r="AJ891" s="277">
        <v>18</v>
      </c>
      <c r="AK891" s="277">
        <v>5</v>
      </c>
      <c r="AL891" s="277">
        <v>17</v>
      </c>
      <c r="AM891" s="277">
        <v>3</v>
      </c>
      <c r="AN891" s="277">
        <v>20</v>
      </c>
      <c r="AO891" s="277">
        <v>9</v>
      </c>
      <c r="AP891" s="277">
        <v>2</v>
      </c>
      <c r="AQ891" s="277">
        <v>15</v>
      </c>
      <c r="AR891" s="277">
        <v>15</v>
      </c>
      <c r="AS891" s="277">
        <v>14</v>
      </c>
      <c r="AT891" s="277">
        <v>2</v>
      </c>
      <c r="AU891" s="277">
        <v>10</v>
      </c>
      <c r="AV891" s="277">
        <f t="shared" si="70"/>
        <v>10</v>
      </c>
      <c r="AX891" s="88" t="str">
        <f t="shared" ca="1" si="71"/>
        <v>RRC</v>
      </c>
    </row>
    <row r="892" spans="1:70">
      <c r="A892" s="88" t="str">
        <f t="shared" ca="1" si="72"/>
        <v>XYZ</v>
      </c>
      <c r="F892" s="253">
        <v>109.82389999999999</v>
      </c>
      <c r="G892" s="253">
        <v>109.82389999999999</v>
      </c>
      <c r="H892" s="253">
        <v>109.82389999999999</v>
      </c>
      <c r="I892" s="253">
        <v>109.82389999999999</v>
      </c>
      <c r="J892" s="253">
        <v>109.82389999999999</v>
      </c>
      <c r="K892" s="253">
        <v>109.82389999999999</v>
      </c>
      <c r="L892" s="253">
        <v>109.82389999999999</v>
      </c>
      <c r="M892" s="253">
        <v>109.82389999999999</v>
      </c>
      <c r="N892" s="253">
        <v>109.82389999999999</v>
      </c>
      <c r="O892" s="253">
        <v>109.82389999999999</v>
      </c>
      <c r="P892" s="253">
        <v>109.82389999999999</v>
      </c>
      <c r="Q892" s="253">
        <v>109.82389999999999</v>
      </c>
      <c r="R892" s="253">
        <v>109.82389999999999</v>
      </c>
      <c r="S892" s="253">
        <v>109.82389999999999</v>
      </c>
      <c r="T892" s="253">
        <v>109.82389999999999</v>
      </c>
      <c r="U892" s="253">
        <v>109.82389999999999</v>
      </c>
      <c r="V892" s="253">
        <v>109.82389999999999</v>
      </c>
      <c r="W892" s="253">
        <v>109.82389999999999</v>
      </c>
      <c r="X892" s="253">
        <v>109.82389999999999</v>
      </c>
      <c r="Y892" s="253">
        <v>109.82389999999999</v>
      </c>
      <c r="Z892" s="247">
        <f ca="1">[1]ExtEntry!$N92</f>
        <v>109.82389999999999</v>
      </c>
      <c r="AB892" s="277">
        <v>2</v>
      </c>
      <c r="AC892" s="277">
        <v>20</v>
      </c>
      <c r="AD892" s="277">
        <v>5</v>
      </c>
      <c r="AE892" s="277">
        <v>1</v>
      </c>
      <c r="AF892" s="277">
        <v>9</v>
      </c>
      <c r="AG892" s="277">
        <v>6</v>
      </c>
      <c r="AH892" s="277">
        <v>2</v>
      </c>
      <c r="AI892" s="277">
        <v>13</v>
      </c>
      <c r="AJ892" s="277">
        <v>14</v>
      </c>
      <c r="AK892" s="277">
        <v>9</v>
      </c>
      <c r="AL892" s="277">
        <v>8</v>
      </c>
      <c r="AM892" s="277">
        <v>12</v>
      </c>
      <c r="AN892" s="277">
        <v>18</v>
      </c>
      <c r="AO892" s="277">
        <v>7</v>
      </c>
      <c r="AP892" s="277">
        <v>4</v>
      </c>
      <c r="AQ892" s="277">
        <v>6</v>
      </c>
      <c r="AR892" s="277">
        <v>18</v>
      </c>
      <c r="AS892" s="277">
        <v>17</v>
      </c>
      <c r="AT892" s="277">
        <v>2</v>
      </c>
      <c r="AU892" s="277">
        <v>10</v>
      </c>
      <c r="AV892" s="277">
        <f t="shared" si="70"/>
        <v>10</v>
      </c>
      <c r="AX892" s="88" t="str">
        <f t="shared" ca="1" si="71"/>
        <v>XYZ</v>
      </c>
    </row>
    <row r="893" spans="1:70">
      <c r="A893" s="88" t="str">
        <f t="shared" ca="1" si="72"/>
        <v>THC</v>
      </c>
      <c r="F893" s="245">
        <v>26.914999999999999</v>
      </c>
      <c r="G893" s="245">
        <v>26.914999999999999</v>
      </c>
      <c r="H893" s="245">
        <v>26.914999999999999</v>
      </c>
      <c r="I893" s="245">
        <v>26.914999999999999</v>
      </c>
      <c r="J893" s="245">
        <v>26.914999999999999</v>
      </c>
      <c r="K893" s="245">
        <v>26.914999999999999</v>
      </c>
      <c r="L893" s="245">
        <v>26.914999999999999</v>
      </c>
      <c r="M893" s="245">
        <v>26.914999999999999</v>
      </c>
      <c r="N893" s="245">
        <v>26.914999999999999</v>
      </c>
      <c r="O893" s="245">
        <v>26.914999999999999</v>
      </c>
      <c r="P893" s="245">
        <v>26.914999999999999</v>
      </c>
      <c r="Q893" s="245">
        <v>26.914999999999999</v>
      </c>
      <c r="R893" s="245">
        <v>26.914999999999999</v>
      </c>
      <c r="S893" s="245">
        <v>26.914999999999999</v>
      </c>
      <c r="T893" s="245">
        <v>26.914999999999999</v>
      </c>
      <c r="U893" s="245">
        <v>26.914999999999999</v>
      </c>
      <c r="V893" s="245">
        <v>26.914999999999999</v>
      </c>
      <c r="W893" s="245">
        <v>26.914999999999999</v>
      </c>
      <c r="X893" s="245">
        <v>26.914999999999999</v>
      </c>
      <c r="Y893" s="245">
        <v>26.914999999999999</v>
      </c>
      <c r="Z893" s="247">
        <f ca="1">[1]ExtEntry!$N93</f>
        <v>26.914999999999999</v>
      </c>
      <c r="AB893" s="277">
        <v>15</v>
      </c>
      <c r="AC893" s="277">
        <v>8</v>
      </c>
      <c r="AD893" s="277">
        <v>15</v>
      </c>
      <c r="AE893" s="277">
        <v>6</v>
      </c>
      <c r="AF893" s="277">
        <v>12</v>
      </c>
      <c r="AG893" s="277">
        <v>3</v>
      </c>
      <c r="AH893" s="277">
        <v>18</v>
      </c>
      <c r="AI893" s="277">
        <v>19</v>
      </c>
      <c r="AJ893" s="277">
        <v>18</v>
      </c>
      <c r="AK893" s="277">
        <v>8</v>
      </c>
      <c r="AL893" s="277">
        <v>2</v>
      </c>
      <c r="AM893" s="277">
        <v>8</v>
      </c>
      <c r="AN893" s="277">
        <v>11</v>
      </c>
      <c r="AO893" s="277">
        <v>9</v>
      </c>
      <c r="AP893" s="277">
        <v>6</v>
      </c>
      <c r="AQ893" s="277">
        <v>11</v>
      </c>
      <c r="AR893" s="277">
        <v>5</v>
      </c>
      <c r="AS893" s="277">
        <v>4</v>
      </c>
      <c r="AT893" s="277">
        <v>8</v>
      </c>
      <c r="AU893" s="277">
        <v>3</v>
      </c>
      <c r="AV893" s="277">
        <f t="shared" si="70"/>
        <v>3</v>
      </c>
      <c r="AX893" s="88" t="str">
        <f t="shared" ca="1" si="71"/>
        <v>THC</v>
      </c>
    </row>
    <row r="894" spans="1:70">
      <c r="A894" s="88" t="str">
        <f t="shared" ca="1" si="72"/>
        <v>X</v>
      </c>
      <c r="F894" s="348">
        <v>7.351</v>
      </c>
      <c r="G894" s="348">
        <v>7.4260000000000002</v>
      </c>
      <c r="H894" s="245">
        <v>7.4260000000000002</v>
      </c>
      <c r="I894" s="245">
        <v>7.4260000000000002</v>
      </c>
      <c r="J894" s="245">
        <v>7.4260000000000002</v>
      </c>
      <c r="K894" s="245">
        <v>7.4260000000000002</v>
      </c>
      <c r="L894" s="245">
        <v>7.4260000000000002</v>
      </c>
      <c r="M894" s="245">
        <v>7.4260000000000002</v>
      </c>
      <c r="N894" s="245">
        <v>7.4260000000000002</v>
      </c>
      <c r="O894" s="245">
        <v>7.4260000000000002</v>
      </c>
      <c r="P894" s="245">
        <v>7.4260000000000002</v>
      </c>
      <c r="Q894" s="245">
        <v>7.4260000000000002</v>
      </c>
      <c r="R894" s="245">
        <v>7.4260000000000002</v>
      </c>
      <c r="S894" s="245">
        <v>7.4260000000000002</v>
      </c>
      <c r="T894" s="245">
        <v>7.4260000000000002</v>
      </c>
      <c r="U894" s="245">
        <v>7.4260000000000002</v>
      </c>
      <c r="V894" s="245">
        <v>7.4260000000000002</v>
      </c>
      <c r="W894" s="245">
        <v>7.4260000000000002</v>
      </c>
      <c r="X894" s="245">
        <v>7.4260000000000002</v>
      </c>
      <c r="Y894" s="245">
        <v>7.4260000000000002</v>
      </c>
      <c r="Z894" s="247">
        <f ca="1">[1]ExtEntry!$N94</f>
        <v>10.435</v>
      </c>
      <c r="AB894" s="277">
        <v>1</v>
      </c>
      <c r="AC894" s="277">
        <v>1</v>
      </c>
      <c r="AD894" s="277">
        <v>1</v>
      </c>
      <c r="AE894" s="277">
        <v>1</v>
      </c>
      <c r="AF894" s="277">
        <v>1</v>
      </c>
      <c r="AG894" s="277">
        <v>1</v>
      </c>
      <c r="AH894" s="277">
        <v>1</v>
      </c>
      <c r="AI894" s="277">
        <v>1</v>
      </c>
      <c r="AJ894" s="277">
        <v>1</v>
      </c>
      <c r="AK894" s="277">
        <v>1</v>
      </c>
      <c r="AL894" s="277">
        <v>1</v>
      </c>
      <c r="AM894" s="277">
        <v>1</v>
      </c>
      <c r="AN894" s="277">
        <v>1</v>
      </c>
      <c r="AO894" s="277">
        <v>1</v>
      </c>
      <c r="AP894" s="277">
        <v>1</v>
      </c>
      <c r="AQ894" s="277">
        <v>1</v>
      </c>
      <c r="AR894" s="277">
        <v>1</v>
      </c>
      <c r="AS894" s="277">
        <v>1</v>
      </c>
      <c r="AT894" s="277">
        <v>1</v>
      </c>
      <c r="AU894" s="277">
        <v>1</v>
      </c>
      <c r="AV894" s="277">
        <f t="shared" si="70"/>
        <v>1</v>
      </c>
      <c r="AX894" s="88" t="str">
        <f t="shared" ca="1" si="71"/>
        <v>X</v>
      </c>
    </row>
    <row r="895" spans="1:70">
      <c r="A895" s="88" t="str">
        <f t="shared" ca="1" si="72"/>
        <v>JBEOAN</v>
      </c>
      <c r="F895" s="348">
        <v>508.4</v>
      </c>
      <c r="G895" s="245">
        <v>508.4</v>
      </c>
      <c r="H895" s="245">
        <v>508.4</v>
      </c>
      <c r="I895" s="245">
        <v>508.4</v>
      </c>
      <c r="J895" s="1207">
        <v>508.4</v>
      </c>
      <c r="K895" s="247">
        <v>508.4</v>
      </c>
      <c r="L895" s="1208">
        <v>508.4</v>
      </c>
      <c r="M895" s="243">
        <v>508.4</v>
      </c>
      <c r="N895" s="245">
        <v>508.4</v>
      </c>
      <c r="O895" s="1209">
        <v>508.4</v>
      </c>
      <c r="P895" s="1209">
        <v>508.4</v>
      </c>
      <c r="Q895" s="245">
        <v>508.4</v>
      </c>
      <c r="R895" s="249">
        <v>508.4</v>
      </c>
      <c r="S895" s="245">
        <v>508.4</v>
      </c>
      <c r="T895" s="245">
        <v>508.4</v>
      </c>
      <c r="U895" s="245">
        <v>508.4</v>
      </c>
      <c r="V895" s="245">
        <v>508.4</v>
      </c>
      <c r="W895" s="1210">
        <v>508.4</v>
      </c>
      <c r="X895" s="347">
        <v>508.4</v>
      </c>
      <c r="Y895" s="245">
        <v>508.4</v>
      </c>
      <c r="Z895" s="247">
        <f ca="1">[1]ExtEntry!$N95</f>
        <v>7.351</v>
      </c>
      <c r="AB895" s="277">
        <v>17</v>
      </c>
      <c r="AC895" s="277">
        <v>16</v>
      </c>
      <c r="AD895" s="277">
        <v>13</v>
      </c>
      <c r="AE895" s="277">
        <v>5</v>
      </c>
      <c r="AF895" s="277">
        <v>4</v>
      </c>
      <c r="AG895" s="277">
        <v>20</v>
      </c>
      <c r="AH895" s="277">
        <v>10</v>
      </c>
      <c r="AI895" s="277">
        <v>1</v>
      </c>
      <c r="AJ895" s="277">
        <v>12</v>
      </c>
      <c r="AK895" s="277">
        <v>20</v>
      </c>
      <c r="AL895" s="277">
        <v>16</v>
      </c>
      <c r="AM895" s="277">
        <v>3</v>
      </c>
      <c r="AN895" s="277">
        <v>9</v>
      </c>
      <c r="AO895" s="277">
        <v>19</v>
      </c>
      <c r="AP895" s="277">
        <v>4</v>
      </c>
      <c r="AQ895" s="277">
        <v>1</v>
      </c>
      <c r="AR895" s="277">
        <v>15</v>
      </c>
      <c r="AS895" s="277">
        <v>15</v>
      </c>
      <c r="AT895" s="277">
        <v>9</v>
      </c>
      <c r="AU895" s="277">
        <v>2</v>
      </c>
      <c r="AV895" s="277">
        <f t="shared" si="70"/>
        <v>2</v>
      </c>
      <c r="AX895" s="88" t="str">
        <f t="shared" ca="1" si="71"/>
        <v>JBEOAN</v>
      </c>
    </row>
    <row r="896" spans="1:70">
      <c r="A896" s="88" t="str">
        <f t="shared" si="72"/>
        <v>LOCK</v>
      </c>
      <c r="F896" s="348">
        <v>10.435</v>
      </c>
      <c r="G896" s="245">
        <v>7.3</v>
      </c>
      <c r="H896" s="245">
        <v>7.3</v>
      </c>
      <c r="I896" s="245">
        <v>7.3</v>
      </c>
      <c r="J896" s="245">
        <v>7.3</v>
      </c>
      <c r="K896" s="245">
        <v>7.3</v>
      </c>
      <c r="L896" s="245">
        <v>7.3</v>
      </c>
      <c r="M896" s="245">
        <v>7.3</v>
      </c>
      <c r="N896" s="245">
        <v>7.3</v>
      </c>
      <c r="O896" s="245">
        <v>7.3</v>
      </c>
      <c r="P896" s="245">
        <v>7.3</v>
      </c>
      <c r="Q896" s="245">
        <v>7.3</v>
      </c>
      <c r="R896" s="245">
        <v>7.3</v>
      </c>
      <c r="S896" s="245">
        <v>7.3</v>
      </c>
      <c r="T896" s="245">
        <v>7.3</v>
      </c>
      <c r="U896" s="245">
        <v>7.3</v>
      </c>
      <c r="V896" s="245">
        <v>7.3</v>
      </c>
      <c r="W896" s="245">
        <v>7.3</v>
      </c>
      <c r="X896" s="245">
        <v>7.3</v>
      </c>
      <c r="Y896" s="245">
        <v>7.3</v>
      </c>
      <c r="Z896" s="247">
        <f>[1]ExtEntry!$N96</f>
        <v>0</v>
      </c>
      <c r="AB896" s="277">
        <v>9</v>
      </c>
      <c r="AC896" s="277">
        <v>2</v>
      </c>
      <c r="AD896" s="277">
        <v>1</v>
      </c>
      <c r="AE896" s="277">
        <v>1</v>
      </c>
      <c r="AF896" s="277">
        <v>5</v>
      </c>
      <c r="AG896" s="277">
        <v>6</v>
      </c>
      <c r="AH896" s="277">
        <v>7</v>
      </c>
      <c r="AI896" s="277">
        <v>6</v>
      </c>
      <c r="AJ896" s="277">
        <v>7</v>
      </c>
      <c r="AK896" s="277">
        <v>2</v>
      </c>
      <c r="AL896" s="277">
        <v>6</v>
      </c>
      <c r="AM896" s="277">
        <v>3</v>
      </c>
      <c r="AN896" s="277">
        <v>6</v>
      </c>
      <c r="AO896" s="277">
        <v>10</v>
      </c>
      <c r="AP896" s="277">
        <v>4</v>
      </c>
      <c r="AQ896" s="277">
        <v>14</v>
      </c>
      <c r="AR896" s="277">
        <v>15</v>
      </c>
      <c r="AS896" s="277">
        <v>15</v>
      </c>
      <c r="AT896" s="277">
        <v>5</v>
      </c>
      <c r="AU896" s="277">
        <v>8</v>
      </c>
      <c r="AV896" s="277">
        <f t="shared" si="70"/>
        <v>8</v>
      </c>
      <c r="AX896" s="88" t="str">
        <f t="shared" si="71"/>
        <v>LOCK</v>
      </c>
    </row>
    <row r="897" spans="1:70">
      <c r="A897" s="88" t="str">
        <f t="shared" si="72"/>
        <v>Total</v>
      </c>
      <c r="AB897" s="277">
        <v>17</v>
      </c>
      <c r="AC897" s="277">
        <v>15</v>
      </c>
      <c r="AD897" s="277">
        <v>8</v>
      </c>
      <c r="AE897" s="277">
        <v>20</v>
      </c>
      <c r="AF897" s="277">
        <v>5</v>
      </c>
      <c r="AG897" s="277">
        <v>12</v>
      </c>
      <c r="AH897" s="277">
        <v>12</v>
      </c>
      <c r="AI897" s="277">
        <v>16</v>
      </c>
      <c r="AJ897" s="277">
        <v>14</v>
      </c>
      <c r="AK897" s="277">
        <v>3</v>
      </c>
      <c r="AL897" s="277">
        <v>4</v>
      </c>
      <c r="AM897" s="277">
        <v>19</v>
      </c>
      <c r="AN897" s="277">
        <v>12</v>
      </c>
      <c r="AO897" s="277">
        <v>14</v>
      </c>
      <c r="AP897" s="277">
        <v>4</v>
      </c>
      <c r="AQ897" s="277">
        <v>18</v>
      </c>
      <c r="AR897" s="277">
        <v>20</v>
      </c>
      <c r="AS897" s="277">
        <v>19</v>
      </c>
      <c r="AT897" s="277">
        <v>16</v>
      </c>
      <c r="AU897" s="277">
        <v>6</v>
      </c>
      <c r="AV897" s="277">
        <f t="shared" si="70"/>
        <v>6</v>
      </c>
      <c r="AX897" s="88" t="str">
        <f t="shared" si="71"/>
        <v>Total</v>
      </c>
    </row>
    <row r="898" spans="1:70">
      <c r="A898" s="88"/>
      <c r="AX898" s="88"/>
    </row>
    <row r="899" spans="1:70">
      <c r="A899" s="88"/>
      <c r="AX899" s="88"/>
    </row>
    <row r="900" spans="1:70" ht="26">
      <c r="A900" s="88"/>
      <c r="E900" s="1264"/>
      <c r="F900" s="112"/>
      <c r="G900" s="112"/>
      <c r="H900" s="112"/>
      <c r="I900" s="112"/>
      <c r="J900" s="112"/>
      <c r="K900" s="112"/>
      <c r="L900" s="112"/>
      <c r="M900" s="112"/>
      <c r="N900" s="112"/>
      <c r="O900" s="112"/>
      <c r="P900" s="112"/>
      <c r="Q900" s="112"/>
      <c r="R900" s="112"/>
      <c r="S900" s="112"/>
      <c r="T900" s="112"/>
      <c r="U900" s="112"/>
      <c r="V900" s="112"/>
      <c r="W900" s="112"/>
      <c r="X900" s="112"/>
      <c r="Y900" s="112"/>
      <c r="Z900" s="112"/>
      <c r="AX900" s="88"/>
      <c r="BQ900" t="s">
        <v>2205</v>
      </c>
      <c r="BR900" t="s">
        <v>1836</v>
      </c>
    </row>
    <row r="901" spans="1:70">
      <c r="A901" s="88"/>
      <c r="F901" s="117">
        <f t="shared" ref="F901:Z901" ca="1" si="73">F802</f>
        <v>45929</v>
      </c>
      <c r="G901" s="117">
        <f t="shared" ca="1" si="73"/>
        <v>45930</v>
      </c>
      <c r="H901" s="117">
        <f t="shared" ca="1" si="73"/>
        <v>45931</v>
      </c>
      <c r="I901" s="117">
        <f t="shared" ca="1" si="73"/>
        <v>45932</v>
      </c>
      <c r="J901" s="117">
        <f t="shared" ca="1" si="73"/>
        <v>45933</v>
      </c>
      <c r="K901" s="117">
        <f t="shared" ca="1" si="73"/>
        <v>45936</v>
      </c>
      <c r="L901" s="117">
        <f t="shared" ca="1" si="73"/>
        <v>45937</v>
      </c>
      <c r="M901" s="117">
        <f t="shared" ca="1" si="73"/>
        <v>45938</v>
      </c>
      <c r="N901" s="117">
        <f t="shared" ca="1" si="73"/>
        <v>45939</v>
      </c>
      <c r="O901" s="117">
        <f t="shared" ca="1" si="73"/>
        <v>45940</v>
      </c>
      <c r="P901" s="117">
        <f t="shared" ca="1" si="73"/>
        <v>45943</v>
      </c>
      <c r="Q901" s="117">
        <f t="shared" ca="1" si="73"/>
        <v>45944</v>
      </c>
      <c r="R901" s="117">
        <f t="shared" ca="1" si="73"/>
        <v>45945</v>
      </c>
      <c r="S901" s="117">
        <f t="shared" ca="1" si="73"/>
        <v>45946</v>
      </c>
      <c r="T901" s="117">
        <f t="shared" ca="1" si="73"/>
        <v>45947</v>
      </c>
      <c r="U901" s="117">
        <f t="shared" ca="1" si="73"/>
        <v>45950</v>
      </c>
      <c r="V901" s="117">
        <f t="shared" ca="1" si="73"/>
        <v>45951</v>
      </c>
      <c r="W901" s="117">
        <f t="shared" ca="1" si="73"/>
        <v>45952</v>
      </c>
      <c r="X901" s="117">
        <f t="shared" ca="1" si="73"/>
        <v>45953</v>
      </c>
      <c r="Y901" s="117">
        <f t="shared" ca="1" si="73"/>
        <v>45954</v>
      </c>
      <c r="Z901" s="117">
        <f t="shared" ca="1" si="73"/>
        <v>45956</v>
      </c>
      <c r="AB901" s="117">
        <f t="shared" ref="AB901:AV901" ca="1" si="74">F802</f>
        <v>45929</v>
      </c>
      <c r="AC901" s="117">
        <f t="shared" ca="1" si="74"/>
        <v>45930</v>
      </c>
      <c r="AD901" s="117">
        <f t="shared" ca="1" si="74"/>
        <v>45931</v>
      </c>
      <c r="AE901" s="117">
        <f t="shared" ca="1" si="74"/>
        <v>45932</v>
      </c>
      <c r="AF901" s="117">
        <f t="shared" ca="1" si="74"/>
        <v>45933</v>
      </c>
      <c r="AG901" s="117">
        <f t="shared" ca="1" si="74"/>
        <v>45936</v>
      </c>
      <c r="AH901" s="117">
        <f t="shared" ca="1" si="74"/>
        <v>45937</v>
      </c>
      <c r="AI901" s="117">
        <f t="shared" ca="1" si="74"/>
        <v>45938</v>
      </c>
      <c r="AJ901" s="117">
        <f t="shared" ca="1" si="74"/>
        <v>45939</v>
      </c>
      <c r="AK901" s="117">
        <f t="shared" ca="1" si="74"/>
        <v>45940</v>
      </c>
      <c r="AL901" s="117">
        <f t="shared" ca="1" si="74"/>
        <v>45943</v>
      </c>
      <c r="AM901" s="117">
        <f t="shared" ca="1" si="74"/>
        <v>45944</v>
      </c>
      <c r="AN901" s="117">
        <f t="shared" ca="1" si="74"/>
        <v>45945</v>
      </c>
      <c r="AO901" s="117">
        <f t="shared" ca="1" si="74"/>
        <v>45946</v>
      </c>
      <c r="AP901" s="117">
        <f t="shared" ca="1" si="74"/>
        <v>45947</v>
      </c>
      <c r="AQ901" s="117">
        <f t="shared" ca="1" si="74"/>
        <v>45950</v>
      </c>
      <c r="AR901" s="117">
        <f t="shared" ca="1" si="74"/>
        <v>45951</v>
      </c>
      <c r="AS901" s="117">
        <f t="shared" ca="1" si="74"/>
        <v>45952</v>
      </c>
      <c r="AT901" s="117">
        <f t="shared" ca="1" si="74"/>
        <v>45953</v>
      </c>
      <c r="AU901" s="117">
        <f t="shared" ca="1" si="74"/>
        <v>45954</v>
      </c>
      <c r="AV901" s="117">
        <f t="shared" ca="1" si="74"/>
        <v>45956</v>
      </c>
      <c r="AX901" s="88"/>
      <c r="BQ901" t="s">
        <v>195</v>
      </c>
      <c r="BR901" t="s">
        <v>702</v>
      </c>
    </row>
    <row r="902" spans="1:70">
      <c r="A902" s="88"/>
      <c r="F902" s="282" t="s">
        <v>393</v>
      </c>
      <c r="G902" s="282" t="s">
        <v>394</v>
      </c>
      <c r="H902" s="282" t="s">
        <v>395</v>
      </c>
      <c r="I902" s="282" t="s">
        <v>396</v>
      </c>
      <c r="J902" s="282" t="s">
        <v>397</v>
      </c>
      <c r="K902" s="282" t="s">
        <v>398</v>
      </c>
      <c r="L902" s="282" t="s">
        <v>399</v>
      </c>
      <c r="M902" s="282" t="s">
        <v>400</v>
      </c>
      <c r="N902" s="282" t="s">
        <v>401</v>
      </c>
      <c r="O902" s="282" t="s">
        <v>402</v>
      </c>
      <c r="P902" s="282" t="s">
        <v>403</v>
      </c>
      <c r="Q902" s="282" t="s">
        <v>404</v>
      </c>
      <c r="R902" s="282" t="s">
        <v>405</v>
      </c>
      <c r="S902" s="282" t="s">
        <v>406</v>
      </c>
      <c r="T902" s="282" t="s">
        <v>407</v>
      </c>
      <c r="U902" s="282" t="s">
        <v>408</v>
      </c>
      <c r="V902" s="282" t="s">
        <v>409</v>
      </c>
      <c r="W902" s="282" t="s">
        <v>410</v>
      </c>
      <c r="X902" s="282" t="s">
        <v>411</v>
      </c>
      <c r="Y902" s="282" t="s">
        <v>412</v>
      </c>
      <c r="Z902" s="282" t="s">
        <v>413</v>
      </c>
      <c r="AB902" s="281" t="s">
        <v>1351</v>
      </c>
      <c r="AC902" s="281" t="s">
        <v>1352</v>
      </c>
      <c r="AD902" s="281" t="s">
        <v>1353</v>
      </c>
      <c r="AE902" s="281" t="s">
        <v>1354</v>
      </c>
      <c r="AF902" s="281" t="s">
        <v>1355</v>
      </c>
      <c r="AG902" s="281" t="s">
        <v>1356</v>
      </c>
      <c r="AH902" s="281" t="s">
        <v>1357</v>
      </c>
      <c r="AI902" s="281" t="s">
        <v>1358</v>
      </c>
      <c r="AJ902" s="281" t="s">
        <v>1359</v>
      </c>
      <c r="AK902" s="281" t="s">
        <v>1360</v>
      </c>
      <c r="AL902" s="281" t="s">
        <v>1361</v>
      </c>
      <c r="AM902" s="281" t="s">
        <v>1362</v>
      </c>
      <c r="AN902" s="281" t="s">
        <v>1363</v>
      </c>
      <c r="AO902" s="281" t="s">
        <v>1364</v>
      </c>
      <c r="AP902" s="281" t="s">
        <v>1365</v>
      </c>
      <c r="AQ902" s="281" t="s">
        <v>1366</v>
      </c>
      <c r="AR902" s="281" t="s">
        <v>1367</v>
      </c>
      <c r="AS902" s="281" t="s">
        <v>1368</v>
      </c>
      <c r="AT902" s="281" t="s">
        <v>1369</v>
      </c>
      <c r="AU902" s="281" t="s">
        <v>1370</v>
      </c>
      <c r="AV902" s="281" t="s">
        <v>1392</v>
      </c>
      <c r="AX902" s="88"/>
      <c r="BQ902" t="s">
        <v>2207</v>
      </c>
      <c r="BR902" t="s">
        <v>2206</v>
      </c>
    </row>
    <row r="903" spans="1:70">
      <c r="A903" s="88" t="str">
        <f ca="1">A5</f>
        <v>AAPL</v>
      </c>
      <c r="F903" s="245">
        <v>260.10000000000002</v>
      </c>
      <c r="G903" s="245">
        <v>260.10000000000002</v>
      </c>
      <c r="H903" s="245">
        <v>260.10000000000002</v>
      </c>
      <c r="I903" s="245">
        <v>260.10000000000002</v>
      </c>
      <c r="J903" s="245">
        <v>260.10000000000002</v>
      </c>
      <c r="K903" s="245">
        <v>260.10000000000002</v>
      </c>
      <c r="L903" s="245">
        <v>260.10000000000002</v>
      </c>
      <c r="M903" s="245">
        <v>260.10000000000002</v>
      </c>
      <c r="N903" s="245">
        <v>260.10000000000002</v>
      </c>
      <c r="O903" s="245">
        <v>260.10000000000002</v>
      </c>
      <c r="P903" s="245">
        <v>260.10000000000002</v>
      </c>
      <c r="Q903" s="245">
        <v>260.10000000000002</v>
      </c>
      <c r="R903" s="245">
        <v>260.10000000000002</v>
      </c>
      <c r="S903" s="245">
        <v>260.10000000000002</v>
      </c>
      <c r="T903" s="245">
        <v>264.375</v>
      </c>
      <c r="U903" s="245">
        <v>265.29000000000002</v>
      </c>
      <c r="V903" s="245">
        <v>265.29000000000002</v>
      </c>
      <c r="W903" s="245">
        <v>265.29000000000002</v>
      </c>
      <c r="X903" s="245">
        <v>265.29000000000002</v>
      </c>
      <c r="Y903" s="245">
        <v>265.29000000000002</v>
      </c>
      <c r="Z903" s="247">
        <f ca="1">[1]ExtEntry!$O3</f>
        <v>265.29000000000002</v>
      </c>
      <c r="AB903" s="251">
        <v>73</v>
      </c>
      <c r="AC903" s="251">
        <v>71</v>
      </c>
      <c r="AD903" s="251">
        <v>67</v>
      </c>
      <c r="AE903" s="253">
        <v>68</v>
      </c>
      <c r="AF903" s="253">
        <v>70</v>
      </c>
      <c r="AG903" s="253">
        <v>74</v>
      </c>
      <c r="AH903" s="253">
        <v>84</v>
      </c>
      <c r="AI903" s="253">
        <v>77</v>
      </c>
      <c r="AJ903" s="253">
        <v>70</v>
      </c>
      <c r="AK903" s="253">
        <v>70</v>
      </c>
      <c r="AL903" s="253">
        <v>69</v>
      </c>
      <c r="AM903" s="253">
        <v>69</v>
      </c>
      <c r="AN903" s="253">
        <v>68</v>
      </c>
      <c r="AO903" s="277">
        <v>66</v>
      </c>
      <c r="AP903" s="277">
        <v>68</v>
      </c>
      <c r="AQ903" s="277">
        <v>62</v>
      </c>
      <c r="AR903" s="277">
        <v>59</v>
      </c>
      <c r="AS903" s="277">
        <v>56</v>
      </c>
      <c r="AT903" s="277">
        <v>53</v>
      </c>
      <c r="AU903" s="277">
        <v>58</v>
      </c>
      <c r="AV903" s="277">
        <f t="shared" ref="AV903:AV908" si="75">INT(100-100/(1+SUMIF(F605:Y605,"&gt;0",F605:Y605)/ABS(SUMIF(F605:Y605,"&lt;0",F605:Y605))))</f>
        <v>58</v>
      </c>
      <c r="AX903" s="88" t="str">
        <f t="shared" ca="1" si="71"/>
        <v>AAPL</v>
      </c>
      <c r="BQ903" t="s">
        <v>2208</v>
      </c>
      <c r="BR903" t="s">
        <v>2209</v>
      </c>
    </row>
    <row r="904" spans="1:70">
      <c r="A904" s="88" t="str">
        <f t="shared" ref="A904:A967" ca="1" si="76">A6</f>
        <v>ADEA</v>
      </c>
      <c r="F904" s="253">
        <v>17.46</v>
      </c>
      <c r="G904" s="253">
        <v>17.46</v>
      </c>
      <c r="H904" s="253">
        <v>17.46</v>
      </c>
      <c r="I904" s="253">
        <v>17.66</v>
      </c>
      <c r="J904" s="253">
        <v>17.84</v>
      </c>
      <c r="K904" s="253">
        <v>18.25</v>
      </c>
      <c r="L904" s="253">
        <v>18.25</v>
      </c>
      <c r="M904" s="253">
        <v>18.25</v>
      </c>
      <c r="N904" s="253">
        <v>18.25</v>
      </c>
      <c r="O904" s="253">
        <v>18.25</v>
      </c>
      <c r="P904" s="253">
        <v>18.25</v>
      </c>
      <c r="Q904" s="253">
        <v>18.25</v>
      </c>
      <c r="R904" s="253">
        <v>18.25</v>
      </c>
      <c r="S904" s="253">
        <v>18.25</v>
      </c>
      <c r="T904" s="253">
        <v>18.25</v>
      </c>
      <c r="U904" s="253">
        <v>18.25</v>
      </c>
      <c r="V904" s="253">
        <v>18.25</v>
      </c>
      <c r="W904" s="253">
        <v>18.25</v>
      </c>
      <c r="X904" s="253">
        <v>18.25</v>
      </c>
      <c r="Y904" s="253">
        <v>18.25</v>
      </c>
      <c r="Z904" s="247">
        <f ca="1">[1]ExtEntry!$O4</f>
        <v>18.25</v>
      </c>
      <c r="AB904" s="277">
        <v>73</v>
      </c>
      <c r="AC904" s="277">
        <v>73</v>
      </c>
      <c r="AD904" s="277">
        <v>73</v>
      </c>
      <c r="AE904" s="253">
        <v>73</v>
      </c>
      <c r="AF904" s="253">
        <v>74</v>
      </c>
      <c r="AG904" s="253">
        <v>59</v>
      </c>
      <c r="AH904" s="253">
        <v>55</v>
      </c>
      <c r="AI904" s="253">
        <v>48</v>
      </c>
      <c r="AJ904" s="253">
        <v>47</v>
      </c>
      <c r="AK904" s="253">
        <v>45</v>
      </c>
      <c r="AL904" s="253">
        <v>56</v>
      </c>
      <c r="AM904" s="253">
        <v>60</v>
      </c>
      <c r="AN904" s="253">
        <v>46</v>
      </c>
      <c r="AO904" s="277">
        <v>45</v>
      </c>
      <c r="AP904" s="277">
        <v>47</v>
      </c>
      <c r="AQ904" s="277">
        <v>47</v>
      </c>
      <c r="AR904" s="277">
        <v>46</v>
      </c>
      <c r="AS904" s="277">
        <v>45</v>
      </c>
      <c r="AT904" s="277">
        <v>46</v>
      </c>
      <c r="AU904" s="277">
        <v>48</v>
      </c>
      <c r="AV904" s="277">
        <f t="shared" si="75"/>
        <v>48</v>
      </c>
      <c r="AX904" s="88" t="str">
        <f t="shared" ca="1" si="71"/>
        <v>ADEA</v>
      </c>
    </row>
    <row r="905" spans="1:70">
      <c r="A905" s="88" t="str">
        <f t="shared" ca="1" si="76"/>
        <v>AET</v>
      </c>
      <c r="F905" s="245">
        <v>56.2</v>
      </c>
      <c r="G905" s="245">
        <v>56.2</v>
      </c>
      <c r="H905" s="245">
        <v>56.2</v>
      </c>
      <c r="I905" s="245">
        <v>56.2</v>
      </c>
      <c r="J905" s="245">
        <v>56.2</v>
      </c>
      <c r="K905" s="245">
        <v>56.2</v>
      </c>
      <c r="L905" s="245">
        <v>56.2</v>
      </c>
      <c r="M905" s="245">
        <v>56.2</v>
      </c>
      <c r="N905" s="245">
        <v>56.2</v>
      </c>
      <c r="O905" s="245">
        <v>56.2</v>
      </c>
      <c r="P905" s="245">
        <v>56.2</v>
      </c>
      <c r="Q905" s="245">
        <v>56.2</v>
      </c>
      <c r="R905" s="245">
        <v>56.2</v>
      </c>
      <c r="S905" s="245">
        <v>56.2</v>
      </c>
      <c r="T905" s="245">
        <v>56.2</v>
      </c>
      <c r="U905" s="245">
        <v>56.2</v>
      </c>
      <c r="V905" s="245">
        <v>56.2</v>
      </c>
      <c r="W905" s="245">
        <v>56.2</v>
      </c>
      <c r="X905" s="245">
        <v>56.2</v>
      </c>
      <c r="Y905" s="245">
        <v>56.2</v>
      </c>
      <c r="Z905" s="247">
        <f ca="1">[1]ExtEntry!$O5</f>
        <v>56.2</v>
      </c>
      <c r="AB905" s="277">
        <v>28</v>
      </c>
      <c r="AC905" s="277">
        <v>29</v>
      </c>
      <c r="AD905" s="277">
        <v>27</v>
      </c>
      <c r="AE905" s="253">
        <v>30</v>
      </c>
      <c r="AF905" s="253">
        <v>26</v>
      </c>
      <c r="AG905" s="253">
        <v>25</v>
      </c>
      <c r="AH905" s="253">
        <v>30</v>
      </c>
      <c r="AI905" s="253">
        <v>30</v>
      </c>
      <c r="AJ905" s="253">
        <v>28</v>
      </c>
      <c r="AK905" s="253">
        <v>35</v>
      </c>
      <c r="AL905" s="253">
        <v>35</v>
      </c>
      <c r="AM905" s="253">
        <v>36</v>
      </c>
      <c r="AN905" s="253">
        <v>30</v>
      </c>
      <c r="AO905" s="277">
        <v>36</v>
      </c>
      <c r="AP905" s="277">
        <v>39</v>
      </c>
      <c r="AQ905" s="277">
        <v>45</v>
      </c>
      <c r="AR905" s="277">
        <v>38</v>
      </c>
      <c r="AS905" s="277">
        <v>38</v>
      </c>
      <c r="AT905" s="277">
        <v>42</v>
      </c>
      <c r="AU905" s="277">
        <v>47</v>
      </c>
      <c r="AV905" s="277">
        <f t="shared" si="75"/>
        <v>47</v>
      </c>
      <c r="AX905" s="88" t="str">
        <f t="shared" ca="1" si="71"/>
        <v>AET</v>
      </c>
    </row>
    <row r="906" spans="1:70" hidden="1">
      <c r="A906" s="88" t="str">
        <f t="shared" ca="1" si="76"/>
        <v>AMZN</v>
      </c>
      <c r="F906" s="253">
        <v>242.52</v>
      </c>
      <c r="G906" s="253">
        <v>242.52</v>
      </c>
      <c r="H906" s="253">
        <v>242.52</v>
      </c>
      <c r="I906" s="253">
        <v>242.52</v>
      </c>
      <c r="J906" s="253">
        <v>242.52</v>
      </c>
      <c r="K906" s="253">
        <v>242.52</v>
      </c>
      <c r="L906" s="253">
        <v>242.52</v>
      </c>
      <c r="M906" s="253">
        <v>242.52</v>
      </c>
      <c r="N906" s="253">
        <v>242.52</v>
      </c>
      <c r="O906" s="253">
        <v>242.52</v>
      </c>
      <c r="P906" s="253">
        <v>242.52</v>
      </c>
      <c r="Q906" s="253">
        <v>242.52</v>
      </c>
      <c r="R906" s="253">
        <v>242.52</v>
      </c>
      <c r="S906" s="253">
        <v>242.52</v>
      </c>
      <c r="T906" s="253">
        <v>242.52</v>
      </c>
      <c r="U906" s="253">
        <v>242.52</v>
      </c>
      <c r="V906" s="253">
        <v>242.52</v>
      </c>
      <c r="W906" s="253">
        <v>242.52</v>
      </c>
      <c r="X906" s="253">
        <v>242.52</v>
      </c>
      <c r="Y906" s="253">
        <v>242.52</v>
      </c>
      <c r="Z906" s="247">
        <f ca="1">[1]ExtEntry!$O6</f>
        <v>242.52</v>
      </c>
      <c r="AB906" s="277">
        <v>58</v>
      </c>
      <c r="AC906" s="277">
        <v>54</v>
      </c>
      <c r="AD906" s="277">
        <v>55</v>
      </c>
      <c r="AE906" s="253">
        <v>48</v>
      </c>
      <c r="AF906" s="253">
        <v>41</v>
      </c>
      <c r="AG906" s="253">
        <v>39</v>
      </c>
      <c r="AH906" s="253">
        <v>51</v>
      </c>
      <c r="AI906" s="253">
        <v>54</v>
      </c>
      <c r="AJ906" s="253">
        <v>59</v>
      </c>
      <c r="AK906" s="253">
        <v>57</v>
      </c>
      <c r="AL906" s="253">
        <v>49</v>
      </c>
      <c r="AM906" s="253">
        <v>45</v>
      </c>
      <c r="AN906" s="253">
        <v>44</v>
      </c>
      <c r="AO906" s="277">
        <v>42</v>
      </c>
      <c r="AP906" s="277">
        <v>46</v>
      </c>
      <c r="AQ906" s="277">
        <v>55</v>
      </c>
      <c r="AR906" s="277">
        <v>58</v>
      </c>
      <c r="AS906" s="277">
        <v>54</v>
      </c>
      <c r="AT906" s="277">
        <v>59</v>
      </c>
      <c r="AU906" s="277">
        <v>60</v>
      </c>
      <c r="AV906" s="277">
        <f t="shared" si="75"/>
        <v>60</v>
      </c>
      <c r="AX906" s="88" t="str">
        <f t="shared" ca="1" si="71"/>
        <v>AMZN</v>
      </c>
    </row>
    <row r="907" spans="1:70" hidden="1">
      <c r="A907" s="88" t="str">
        <f t="shared" ca="1" si="76"/>
        <v>ALDNE</v>
      </c>
      <c r="F907" s="245">
        <v>1.76</v>
      </c>
      <c r="G907" s="245">
        <v>1.53</v>
      </c>
      <c r="H907" s="245">
        <v>1.53</v>
      </c>
      <c r="I907" s="245">
        <v>1.53</v>
      </c>
      <c r="J907" s="245">
        <v>1.53</v>
      </c>
      <c r="K907" s="245">
        <v>1.53</v>
      </c>
      <c r="L907" s="245">
        <v>1.53</v>
      </c>
      <c r="M907" s="245">
        <v>1.53</v>
      </c>
      <c r="N907" s="245">
        <v>1.53</v>
      </c>
      <c r="O907" s="245">
        <v>1.53</v>
      </c>
      <c r="P907" s="245">
        <v>1.53</v>
      </c>
      <c r="Q907" s="245">
        <v>1.53</v>
      </c>
      <c r="R907" s="245">
        <v>1.53</v>
      </c>
      <c r="S907" s="245">
        <v>1.53</v>
      </c>
      <c r="T907" s="245">
        <v>1.53</v>
      </c>
      <c r="U907" s="245">
        <v>1.53</v>
      </c>
      <c r="V907" s="245">
        <v>1.53</v>
      </c>
      <c r="W907" s="245">
        <v>1.53</v>
      </c>
      <c r="X907" s="245">
        <v>1.53</v>
      </c>
      <c r="Y907" s="245">
        <v>1.53</v>
      </c>
      <c r="Z907" s="247">
        <f ca="1">[1]ExtEntry!$O7</f>
        <v>1.53</v>
      </c>
      <c r="AB907" s="277">
        <v>44</v>
      </c>
      <c r="AC907" s="277">
        <v>40</v>
      </c>
      <c r="AD907" s="277">
        <v>45</v>
      </c>
      <c r="AE907" s="253">
        <v>40</v>
      </c>
      <c r="AF907" s="253">
        <v>43</v>
      </c>
      <c r="AG907" s="253">
        <v>40</v>
      </c>
      <c r="AH907" s="253">
        <v>37</v>
      </c>
      <c r="AI907" s="253">
        <v>40</v>
      </c>
      <c r="AJ907" s="253">
        <v>39</v>
      </c>
      <c r="AK907" s="253">
        <v>40</v>
      </c>
      <c r="AL907" s="253">
        <v>40</v>
      </c>
      <c r="AM907" s="253">
        <v>40</v>
      </c>
      <c r="AN907" s="253">
        <v>42</v>
      </c>
      <c r="AO907" s="277">
        <v>45</v>
      </c>
      <c r="AP907" s="277">
        <v>48</v>
      </c>
      <c r="AQ907" s="277">
        <v>44</v>
      </c>
      <c r="AR907" s="277">
        <v>69</v>
      </c>
      <c r="AS907" s="277">
        <v>72</v>
      </c>
      <c r="AT907" s="277">
        <v>67</v>
      </c>
      <c r="AU907" s="277">
        <v>61</v>
      </c>
      <c r="AV907" s="277">
        <f t="shared" si="75"/>
        <v>61</v>
      </c>
      <c r="AX907" s="88" t="str">
        <f t="shared" ca="1" si="71"/>
        <v>ALDNE</v>
      </c>
    </row>
    <row r="908" spans="1:70" hidden="1">
      <c r="A908" s="88" t="str">
        <f t="shared" ca="1" si="76"/>
        <v>ASML</v>
      </c>
      <c r="F908" s="253">
        <v>829.1</v>
      </c>
      <c r="G908" s="253">
        <v>830.5</v>
      </c>
      <c r="H908" s="253">
        <v>844.6</v>
      </c>
      <c r="I908" s="253">
        <v>888.4</v>
      </c>
      <c r="J908" s="253">
        <v>888.4</v>
      </c>
      <c r="K908" s="253">
        <v>905.1</v>
      </c>
      <c r="L908" s="253">
        <v>905.1</v>
      </c>
      <c r="M908" s="253">
        <v>905.1</v>
      </c>
      <c r="N908" s="253">
        <v>905.1</v>
      </c>
      <c r="O908" s="253">
        <v>905.1</v>
      </c>
      <c r="P908" s="253">
        <v>905.1</v>
      </c>
      <c r="Q908" s="253">
        <v>905.1</v>
      </c>
      <c r="R908" s="253">
        <v>905.1</v>
      </c>
      <c r="S908" s="253">
        <v>905.1</v>
      </c>
      <c r="T908" s="253">
        <v>905.1</v>
      </c>
      <c r="U908" s="253">
        <v>905.1</v>
      </c>
      <c r="V908" s="253">
        <v>905.1</v>
      </c>
      <c r="W908" s="253">
        <v>905.1</v>
      </c>
      <c r="X908" s="253">
        <v>905.1</v>
      </c>
      <c r="Y908" s="253">
        <v>905.1</v>
      </c>
      <c r="Z908" s="247">
        <f ca="1">[1]ExtEntry!$O8</f>
        <v>905.1</v>
      </c>
      <c r="AB908" s="277">
        <v>94</v>
      </c>
      <c r="AC908" s="277">
        <v>93</v>
      </c>
      <c r="AD908" s="277">
        <v>94</v>
      </c>
      <c r="AE908" s="253">
        <v>94</v>
      </c>
      <c r="AF908" s="253">
        <v>94</v>
      </c>
      <c r="AG908" s="253">
        <v>86</v>
      </c>
      <c r="AH908" s="253">
        <v>81</v>
      </c>
      <c r="AI908" s="253">
        <v>80</v>
      </c>
      <c r="AJ908" s="253">
        <v>77</v>
      </c>
      <c r="AK908" s="253">
        <v>77</v>
      </c>
      <c r="AL908" s="253">
        <v>73</v>
      </c>
      <c r="AM908" s="253">
        <v>76</v>
      </c>
      <c r="AN908" s="253">
        <v>70</v>
      </c>
      <c r="AO908" s="251">
        <v>70</v>
      </c>
      <c r="AP908" s="277">
        <v>72</v>
      </c>
      <c r="AQ908" s="277">
        <v>68</v>
      </c>
      <c r="AR908" s="277">
        <v>61</v>
      </c>
      <c r="AS908" s="277">
        <v>60</v>
      </c>
      <c r="AT908" s="277">
        <v>62</v>
      </c>
      <c r="AU908" s="277">
        <v>62</v>
      </c>
      <c r="AV908" s="277">
        <f t="shared" si="75"/>
        <v>62</v>
      </c>
      <c r="AX908" s="88" t="str">
        <f t="shared" ca="1" si="71"/>
        <v>ASML</v>
      </c>
    </row>
    <row r="909" spans="1:70" hidden="1">
      <c r="A909" s="88" t="str">
        <f t="shared" ca="1" si="76"/>
        <v>AZN</v>
      </c>
      <c r="F909" s="253">
        <v>374.23</v>
      </c>
      <c r="G909" s="253">
        <v>374.23</v>
      </c>
      <c r="H909" s="253">
        <v>374.23</v>
      </c>
      <c r="I909" s="253">
        <v>374.23</v>
      </c>
      <c r="J909" s="253">
        <v>374.23</v>
      </c>
      <c r="K909" s="253">
        <v>374.23</v>
      </c>
      <c r="L909" s="253">
        <v>374.23</v>
      </c>
      <c r="M909" s="253">
        <v>374.23</v>
      </c>
      <c r="N909" s="253">
        <v>374.23</v>
      </c>
      <c r="O909" s="253">
        <v>374.23</v>
      </c>
      <c r="P909" s="253">
        <v>374.23</v>
      </c>
      <c r="Q909" s="253">
        <v>374.23</v>
      </c>
      <c r="R909" s="253">
        <v>374.23</v>
      </c>
      <c r="S909" s="253">
        <v>374.23</v>
      </c>
      <c r="T909" s="253">
        <v>374.23</v>
      </c>
      <c r="U909" s="253">
        <v>374.23</v>
      </c>
      <c r="V909" s="253">
        <v>374.23</v>
      </c>
      <c r="W909" s="253">
        <v>374.23</v>
      </c>
      <c r="X909" s="253">
        <v>374.23</v>
      </c>
      <c r="Y909" s="253">
        <v>374.23</v>
      </c>
      <c r="Z909" s="247">
        <f ca="1">[1]ExtEntry!$O9</f>
        <v>86.57</v>
      </c>
      <c r="AB909" s="277">
        <v>29</v>
      </c>
      <c r="AC909" s="277">
        <v>33</v>
      </c>
      <c r="AD909" s="277">
        <v>48</v>
      </c>
      <c r="AE909" s="253">
        <v>47</v>
      </c>
      <c r="AF909" s="253">
        <v>51</v>
      </c>
      <c r="AG909" s="253">
        <v>52</v>
      </c>
      <c r="AH909" s="253">
        <v>52</v>
      </c>
      <c r="AI909" s="253">
        <v>51</v>
      </c>
      <c r="AJ909" s="253">
        <v>53</v>
      </c>
      <c r="AK909" s="253">
        <v>58</v>
      </c>
      <c r="AL909" s="253">
        <v>62</v>
      </c>
      <c r="AM909" s="253">
        <v>63</v>
      </c>
      <c r="AN909" s="253">
        <v>62</v>
      </c>
      <c r="AO909" s="277">
        <v>66</v>
      </c>
      <c r="AP909" s="277">
        <v>66</v>
      </c>
      <c r="AQ909" s="277">
        <v>62</v>
      </c>
      <c r="AR909" s="277">
        <v>67</v>
      </c>
      <c r="AS909" s="277">
        <v>69</v>
      </c>
      <c r="AT909" s="277">
        <v>76</v>
      </c>
      <c r="AU909" s="277">
        <v>75</v>
      </c>
      <c r="AV909" s="277">
        <f t="shared" ref="AV909:AV947" si="77">INT(100-100/(1+SUMIF(F612:Y612,"&gt;0",F612:Y612)/ABS(SUMIF(F612:Y612,"&lt;0",F612:Y612))))</f>
        <v>75</v>
      </c>
      <c r="AX909" s="88" t="str">
        <f t="shared" ca="1" si="71"/>
        <v>AZN</v>
      </c>
    </row>
    <row r="910" spans="1:70" hidden="1">
      <c r="A910" s="88" t="str">
        <f t="shared" ca="1" si="76"/>
        <v>BLDP</v>
      </c>
      <c r="F910" s="253">
        <v>82.41</v>
      </c>
      <c r="G910" s="253">
        <v>82.41</v>
      </c>
      <c r="H910" s="253">
        <v>84.61</v>
      </c>
      <c r="I910" s="253">
        <v>84.61</v>
      </c>
      <c r="J910" s="253">
        <v>85.5</v>
      </c>
      <c r="K910" s="253">
        <v>86.57</v>
      </c>
      <c r="L910" s="253">
        <v>86.57</v>
      </c>
      <c r="M910" s="253">
        <v>86.57</v>
      </c>
      <c r="N910" s="253">
        <v>86.57</v>
      </c>
      <c r="O910" s="253">
        <v>86.57</v>
      </c>
      <c r="P910" s="253">
        <v>86.57</v>
      </c>
      <c r="Q910" s="253">
        <v>86.57</v>
      </c>
      <c r="R910" s="253">
        <v>86.57</v>
      </c>
      <c r="S910" s="253">
        <v>86.57</v>
      </c>
      <c r="T910" s="253">
        <v>86.57</v>
      </c>
      <c r="U910" s="253">
        <v>86.57</v>
      </c>
      <c r="V910" s="253">
        <v>86.57</v>
      </c>
      <c r="W910" s="253">
        <v>86.57</v>
      </c>
      <c r="X910" s="253">
        <v>86.57</v>
      </c>
      <c r="Y910" s="253">
        <v>86.57</v>
      </c>
      <c r="Z910" s="247">
        <f ca="1">[1]ExtEntry!$O10</f>
        <v>4.0999999999999996</v>
      </c>
      <c r="AB910" s="277">
        <v>67</v>
      </c>
      <c r="AC910" s="277">
        <v>65</v>
      </c>
      <c r="AD910" s="277">
        <v>70</v>
      </c>
      <c r="AE910" s="253">
        <v>68</v>
      </c>
      <c r="AF910" s="253">
        <v>79</v>
      </c>
      <c r="AG910" s="253">
        <v>80</v>
      </c>
      <c r="AH910" s="253">
        <v>79</v>
      </c>
      <c r="AI910" s="253">
        <v>77</v>
      </c>
      <c r="AJ910" s="253">
        <v>76</v>
      </c>
      <c r="AK910" s="253">
        <v>78</v>
      </c>
      <c r="AL910" s="253">
        <v>81</v>
      </c>
      <c r="AM910" s="253">
        <v>75</v>
      </c>
      <c r="AN910" s="253">
        <v>71</v>
      </c>
      <c r="AO910" s="277">
        <v>69</v>
      </c>
      <c r="AP910" s="277">
        <v>68</v>
      </c>
      <c r="AQ910" s="277">
        <v>60</v>
      </c>
      <c r="AR910" s="277">
        <v>59</v>
      </c>
      <c r="AS910" s="277">
        <v>57</v>
      </c>
      <c r="AT910" s="277">
        <v>58</v>
      </c>
      <c r="AU910" s="277">
        <v>64</v>
      </c>
      <c r="AV910" s="277">
        <f t="shared" si="77"/>
        <v>64</v>
      </c>
      <c r="AX910" s="88" t="str">
        <f t="shared" ca="1" si="71"/>
        <v>BLDP</v>
      </c>
    </row>
    <row r="911" spans="1:70" hidden="1">
      <c r="A911" s="88" t="str">
        <f t="shared" ca="1" si="76"/>
        <v>BMRA</v>
      </c>
      <c r="F911" s="253">
        <v>3.17</v>
      </c>
      <c r="G911" s="253">
        <v>3.17</v>
      </c>
      <c r="H911" s="253">
        <v>3.17</v>
      </c>
      <c r="I911" s="253">
        <v>3.17</v>
      </c>
      <c r="J911" s="253">
        <v>3.6</v>
      </c>
      <c r="K911" s="253">
        <v>3.85</v>
      </c>
      <c r="L911" s="253">
        <v>3.85</v>
      </c>
      <c r="M911" s="253">
        <v>3.85</v>
      </c>
      <c r="N911" s="253">
        <v>3.85</v>
      </c>
      <c r="O911" s="253">
        <v>3.85</v>
      </c>
      <c r="P911" s="253">
        <v>4.0599999999999996</v>
      </c>
      <c r="Q911" s="253">
        <v>4.0999999999999996</v>
      </c>
      <c r="R911" s="253">
        <v>4.0999999999999996</v>
      </c>
      <c r="S911" s="253">
        <v>4.0999999999999996</v>
      </c>
      <c r="T911" s="253">
        <v>4.0999999999999996</v>
      </c>
      <c r="U911" s="253">
        <v>4.0999999999999996</v>
      </c>
      <c r="V911" s="253">
        <v>4.0999999999999996</v>
      </c>
      <c r="W911" s="253">
        <v>4.0999999999999996</v>
      </c>
      <c r="X911" s="253">
        <v>4.0999999999999996</v>
      </c>
      <c r="Y911" s="253">
        <v>4.0999999999999996</v>
      </c>
      <c r="Z911" s="247">
        <f ca="1">[1]ExtEntry!$O11</f>
        <v>10.16</v>
      </c>
      <c r="AB911" s="277">
        <v>41</v>
      </c>
      <c r="AC911" s="277">
        <v>46</v>
      </c>
      <c r="AD911" s="277">
        <v>55</v>
      </c>
      <c r="AE911" s="253">
        <v>52</v>
      </c>
      <c r="AF911" s="253">
        <v>43</v>
      </c>
      <c r="AG911" s="253">
        <v>39</v>
      </c>
      <c r="AH911" s="253">
        <v>41</v>
      </c>
      <c r="AI911" s="253">
        <v>44</v>
      </c>
      <c r="AJ911" s="253">
        <v>46</v>
      </c>
      <c r="AK911" s="253">
        <v>44</v>
      </c>
      <c r="AL911" s="253">
        <v>49</v>
      </c>
      <c r="AM911" s="253">
        <v>47</v>
      </c>
      <c r="AN911" s="253">
        <v>55</v>
      </c>
      <c r="AO911" s="277">
        <v>56</v>
      </c>
      <c r="AP911" s="277">
        <v>65</v>
      </c>
      <c r="AQ911" s="277">
        <v>70</v>
      </c>
      <c r="AR911" s="277">
        <v>56</v>
      </c>
      <c r="AS911" s="277">
        <v>45</v>
      </c>
      <c r="AT911" s="277">
        <v>47</v>
      </c>
      <c r="AU911" s="277">
        <v>49</v>
      </c>
      <c r="AV911" s="277">
        <f t="shared" si="77"/>
        <v>49</v>
      </c>
      <c r="AX911" s="88" t="str">
        <f t="shared" ca="1" si="71"/>
        <v>BMRA</v>
      </c>
    </row>
    <row r="912" spans="1:70" hidden="1">
      <c r="A912" s="88" t="str">
        <f t="shared" ca="1" si="76"/>
        <v>C</v>
      </c>
      <c r="F912" s="253">
        <v>10.16</v>
      </c>
      <c r="G912" s="253">
        <v>10.16</v>
      </c>
      <c r="H912" s="253">
        <v>10.16</v>
      </c>
      <c r="I912" s="253">
        <v>10.16</v>
      </c>
      <c r="J912" s="253">
        <v>10.16</v>
      </c>
      <c r="K912" s="253">
        <v>10.16</v>
      </c>
      <c r="L912" s="253">
        <v>10.16</v>
      </c>
      <c r="M912" s="253">
        <v>10.16</v>
      </c>
      <c r="N912" s="253">
        <v>10.16</v>
      </c>
      <c r="O912" s="253">
        <v>10.16</v>
      </c>
      <c r="P912" s="253">
        <v>10.16</v>
      </c>
      <c r="Q912" s="253">
        <v>10.16</v>
      </c>
      <c r="R912" s="253">
        <v>10.16</v>
      </c>
      <c r="S912" s="253">
        <v>10.16</v>
      </c>
      <c r="T912" s="253">
        <v>10.16</v>
      </c>
      <c r="U912" s="253">
        <v>10.16</v>
      </c>
      <c r="V912" s="253">
        <v>10.16</v>
      </c>
      <c r="W912" s="253">
        <v>10.16</v>
      </c>
      <c r="X912" s="253">
        <v>10.16</v>
      </c>
      <c r="Y912" s="253">
        <v>10.16</v>
      </c>
      <c r="Z912" s="247">
        <f ca="1">[1]ExtEntry!$O12</f>
        <v>105.59</v>
      </c>
      <c r="AB912" s="277">
        <v>83</v>
      </c>
      <c r="AC912" s="277">
        <v>75</v>
      </c>
      <c r="AD912" s="277">
        <v>63</v>
      </c>
      <c r="AE912" s="253">
        <v>54</v>
      </c>
      <c r="AF912" s="253">
        <v>53</v>
      </c>
      <c r="AG912" s="253">
        <v>49</v>
      </c>
      <c r="AH912" s="253">
        <v>46</v>
      </c>
      <c r="AI912" s="253">
        <v>38</v>
      </c>
      <c r="AJ912" s="253">
        <v>34</v>
      </c>
      <c r="AK912" s="253">
        <v>40</v>
      </c>
      <c r="AL912" s="253">
        <v>49</v>
      </c>
      <c r="AM912" s="253">
        <v>46</v>
      </c>
      <c r="AN912" s="253">
        <v>38</v>
      </c>
      <c r="AO912" s="277">
        <v>39</v>
      </c>
      <c r="AP912" s="277">
        <v>44</v>
      </c>
      <c r="AQ912" s="277">
        <v>40</v>
      </c>
      <c r="AR912" s="277">
        <v>38</v>
      </c>
      <c r="AS912" s="277">
        <v>37</v>
      </c>
      <c r="AT912" s="277">
        <v>37</v>
      </c>
      <c r="AU912" s="277">
        <v>39</v>
      </c>
      <c r="AV912" s="277">
        <f t="shared" si="77"/>
        <v>39</v>
      </c>
      <c r="AX912" s="88" t="str">
        <f t="shared" ca="1" si="71"/>
        <v>C</v>
      </c>
    </row>
    <row r="913" spans="1:50" hidden="1">
      <c r="A913" s="88" t="str">
        <f t="shared" ca="1" si="76"/>
        <v>CSCO</v>
      </c>
      <c r="F913" s="253">
        <v>105.59</v>
      </c>
      <c r="G913" s="253">
        <v>105.59</v>
      </c>
      <c r="H913" s="253">
        <v>105.59</v>
      </c>
      <c r="I913" s="253">
        <v>105.59</v>
      </c>
      <c r="J913" s="253">
        <v>105.59</v>
      </c>
      <c r="K913" s="253">
        <v>105.59</v>
      </c>
      <c r="L913" s="253">
        <v>105.59</v>
      </c>
      <c r="M913" s="253">
        <v>105.59</v>
      </c>
      <c r="N913" s="253">
        <v>105.59</v>
      </c>
      <c r="O913" s="253">
        <v>105.59</v>
      </c>
      <c r="P913" s="253">
        <v>105.59</v>
      </c>
      <c r="Q913" s="253">
        <v>105.59</v>
      </c>
      <c r="R913" s="253">
        <v>105.59</v>
      </c>
      <c r="S913" s="253">
        <v>105.59</v>
      </c>
      <c r="T913" s="253">
        <v>105.59</v>
      </c>
      <c r="U913" s="253">
        <v>105.59</v>
      </c>
      <c r="V913" s="253">
        <v>105.59</v>
      </c>
      <c r="W913" s="253">
        <v>105.59</v>
      </c>
      <c r="X913" s="253">
        <v>105.59</v>
      </c>
      <c r="Y913" s="253">
        <v>105.59</v>
      </c>
      <c r="Z913" s="247">
        <f ca="1">[1]ExtEntry!$O13</f>
        <v>72.55</v>
      </c>
      <c r="AB913" s="277">
        <v>46</v>
      </c>
      <c r="AC913" s="277">
        <v>51</v>
      </c>
      <c r="AD913" s="277">
        <v>53</v>
      </c>
      <c r="AE913" s="253">
        <v>49</v>
      </c>
      <c r="AF913" s="253">
        <v>49</v>
      </c>
      <c r="AG913" s="253">
        <v>47</v>
      </c>
      <c r="AH913" s="253">
        <v>50</v>
      </c>
      <c r="AI913" s="253">
        <v>50</v>
      </c>
      <c r="AJ913" s="253">
        <v>55</v>
      </c>
      <c r="AK913" s="253">
        <v>51</v>
      </c>
      <c r="AL913" s="253">
        <v>54</v>
      </c>
      <c r="AM913" s="253">
        <v>58</v>
      </c>
      <c r="AN913" s="253">
        <v>51</v>
      </c>
      <c r="AO913" s="277">
        <v>58</v>
      </c>
      <c r="AP913" s="277">
        <v>63</v>
      </c>
      <c r="AQ913" s="277">
        <v>68</v>
      </c>
      <c r="AR913" s="277">
        <v>69</v>
      </c>
      <c r="AS913" s="277">
        <v>70</v>
      </c>
      <c r="AT913" s="277">
        <v>66</v>
      </c>
      <c r="AU913" s="277">
        <v>72</v>
      </c>
      <c r="AV913" s="277">
        <f t="shared" si="77"/>
        <v>72</v>
      </c>
      <c r="AX913" s="88" t="str">
        <f t="shared" ca="1" si="71"/>
        <v>CSCO</v>
      </c>
    </row>
    <row r="914" spans="1:50" hidden="1">
      <c r="A914" s="88" t="str">
        <f t="shared" ca="1" si="76"/>
        <v>CVS</v>
      </c>
      <c r="F914" s="253">
        <v>72.55</v>
      </c>
      <c r="G914" s="253">
        <v>72.55</v>
      </c>
      <c r="H914" s="253">
        <v>72.55</v>
      </c>
      <c r="I914" s="253">
        <v>72.55</v>
      </c>
      <c r="J914" s="253">
        <v>72.55</v>
      </c>
      <c r="K914" s="253">
        <v>72.55</v>
      </c>
      <c r="L914" s="253">
        <v>72.55</v>
      </c>
      <c r="M914" s="253">
        <v>72.55</v>
      </c>
      <c r="N914" s="253">
        <v>72.55</v>
      </c>
      <c r="O914" s="253">
        <v>72.55</v>
      </c>
      <c r="P914" s="253">
        <v>72.55</v>
      </c>
      <c r="Q914" s="253">
        <v>72.55</v>
      </c>
      <c r="R914" s="253">
        <v>72.55</v>
      </c>
      <c r="S914" s="253">
        <v>72.55</v>
      </c>
      <c r="T914" s="253">
        <v>72.55</v>
      </c>
      <c r="U914" s="253">
        <v>72.55</v>
      </c>
      <c r="V914" s="253">
        <v>72.55</v>
      </c>
      <c r="W914" s="253">
        <v>72.55</v>
      </c>
      <c r="X914" s="253">
        <v>72.55</v>
      </c>
      <c r="Y914" s="253">
        <v>72.55</v>
      </c>
      <c r="Z914" s="247">
        <f ca="1">[1]ExtEntry!$O14</f>
        <v>83.52</v>
      </c>
      <c r="AB914" s="277">
        <v>47</v>
      </c>
      <c r="AC914" s="277">
        <v>48</v>
      </c>
      <c r="AD914" s="277">
        <v>53</v>
      </c>
      <c r="AE914" s="253">
        <v>54</v>
      </c>
      <c r="AF914" s="253">
        <v>65</v>
      </c>
      <c r="AG914" s="253">
        <v>63</v>
      </c>
      <c r="AH914" s="253">
        <v>56</v>
      </c>
      <c r="AI914" s="253">
        <v>53</v>
      </c>
      <c r="AJ914" s="253">
        <v>51</v>
      </c>
      <c r="AK914" s="253">
        <v>62</v>
      </c>
      <c r="AL914" s="253">
        <v>75</v>
      </c>
      <c r="AM914" s="253">
        <v>77</v>
      </c>
      <c r="AN914" s="253">
        <v>78</v>
      </c>
      <c r="AO914" s="277">
        <v>79</v>
      </c>
      <c r="AP914" s="277">
        <v>78</v>
      </c>
      <c r="AQ914" s="277">
        <v>78</v>
      </c>
      <c r="AR914" s="277">
        <v>70</v>
      </c>
      <c r="AS914" s="277">
        <v>66</v>
      </c>
      <c r="AT914" s="277">
        <v>74</v>
      </c>
      <c r="AU914" s="277">
        <v>73</v>
      </c>
      <c r="AV914" s="277">
        <f t="shared" si="77"/>
        <v>73</v>
      </c>
      <c r="AX914" s="88" t="str">
        <f t="shared" ca="1" si="71"/>
        <v>CVS</v>
      </c>
    </row>
    <row r="915" spans="1:50" hidden="1">
      <c r="A915" s="88" t="str">
        <f t="shared" ca="1" si="76"/>
        <v>DDD</v>
      </c>
      <c r="F915" s="253">
        <v>77.34</v>
      </c>
      <c r="G915" s="253">
        <v>77.34</v>
      </c>
      <c r="H915" s="253">
        <v>77.540000000000006</v>
      </c>
      <c r="I915" s="253">
        <v>77.760000000000005</v>
      </c>
      <c r="J915" s="253">
        <v>79.2</v>
      </c>
      <c r="K915" s="253">
        <v>79.2</v>
      </c>
      <c r="L915" s="253">
        <v>79.2</v>
      </c>
      <c r="M915" s="253">
        <v>79.2</v>
      </c>
      <c r="N915" s="253">
        <v>79.2</v>
      </c>
      <c r="O915" s="253">
        <v>79.674999999999997</v>
      </c>
      <c r="P915" s="253">
        <v>79.94</v>
      </c>
      <c r="Q915" s="253">
        <v>81.93</v>
      </c>
      <c r="R915" s="253">
        <v>81.93</v>
      </c>
      <c r="S915" s="253">
        <v>82.875</v>
      </c>
      <c r="T915" s="253">
        <v>82.875</v>
      </c>
      <c r="U915" s="253">
        <v>83.52</v>
      </c>
      <c r="V915" s="253">
        <v>83.52</v>
      </c>
      <c r="W915" s="253">
        <v>83.52</v>
      </c>
      <c r="X915" s="253">
        <v>83.52</v>
      </c>
      <c r="Y915" s="253">
        <v>83.52</v>
      </c>
      <c r="Z915" s="247">
        <f ca="1">[1]ExtEntry!$O15</f>
        <v>4.9991000000000003</v>
      </c>
      <c r="AB915" s="277">
        <v>69</v>
      </c>
      <c r="AC915" s="277">
        <v>69</v>
      </c>
      <c r="AD915" s="277">
        <v>74</v>
      </c>
      <c r="AE915" s="253">
        <v>75</v>
      </c>
      <c r="AF915" s="253">
        <v>76</v>
      </c>
      <c r="AG915" s="253">
        <v>78</v>
      </c>
      <c r="AH915" s="253">
        <v>79</v>
      </c>
      <c r="AI915" s="253">
        <v>75</v>
      </c>
      <c r="AJ915" s="253">
        <v>74</v>
      </c>
      <c r="AK915" s="253">
        <v>76</v>
      </c>
      <c r="AL915" s="253">
        <v>74</v>
      </c>
      <c r="AM915" s="253">
        <v>76</v>
      </c>
      <c r="AN915" s="253">
        <v>73</v>
      </c>
      <c r="AO915" s="277">
        <v>68</v>
      </c>
      <c r="AP915" s="277">
        <v>76</v>
      </c>
      <c r="AQ915" s="277">
        <v>67</v>
      </c>
      <c r="AR915" s="277">
        <v>56</v>
      </c>
      <c r="AS915" s="277">
        <v>48</v>
      </c>
      <c r="AT915" s="277">
        <v>49</v>
      </c>
      <c r="AU915" s="277">
        <v>47</v>
      </c>
      <c r="AV915" s="277">
        <f t="shared" si="77"/>
        <v>47</v>
      </c>
      <c r="AX915" s="88" t="str">
        <f t="shared" ref="AX915:AX978" ca="1" si="78">A915</f>
        <v>DDD</v>
      </c>
    </row>
    <row r="916" spans="1:50" hidden="1">
      <c r="A916" s="88" t="str">
        <f t="shared" ca="1" si="76"/>
        <v>DIS</v>
      </c>
      <c r="F916" s="253">
        <v>4.9991000000000003</v>
      </c>
      <c r="G916" s="253">
        <v>4.9991000000000003</v>
      </c>
      <c r="H916" s="253">
        <v>4.9991000000000003</v>
      </c>
      <c r="I916" s="253">
        <v>4.9991000000000003</v>
      </c>
      <c r="J916" s="253">
        <v>4.9991000000000003</v>
      </c>
      <c r="K916" s="253">
        <v>4.9991000000000003</v>
      </c>
      <c r="L916" s="253">
        <v>4.9991000000000003</v>
      </c>
      <c r="M916" s="253">
        <v>4.9991000000000003</v>
      </c>
      <c r="N916" s="253">
        <v>4.9991000000000003</v>
      </c>
      <c r="O916" s="253">
        <v>4.9991000000000003</v>
      </c>
      <c r="P916" s="253">
        <v>4.9991000000000003</v>
      </c>
      <c r="Q916" s="253">
        <v>4.9991000000000003</v>
      </c>
      <c r="R916" s="253">
        <v>4.9991000000000003</v>
      </c>
      <c r="S916" s="253">
        <v>4.9991000000000003</v>
      </c>
      <c r="T916" s="253">
        <v>4.9991000000000003</v>
      </c>
      <c r="U916" s="253">
        <v>4.9991000000000003</v>
      </c>
      <c r="V916" s="253">
        <v>4.9991000000000003</v>
      </c>
      <c r="W916" s="253">
        <v>4.9991000000000003</v>
      </c>
      <c r="X916" s="253">
        <v>4.9991000000000003</v>
      </c>
      <c r="Y916" s="253">
        <v>4.9991000000000003</v>
      </c>
      <c r="Z916" s="247">
        <f ca="1">[1]ExtEntry!$O16</f>
        <v>124.69</v>
      </c>
      <c r="AB916" s="277">
        <v>31</v>
      </c>
      <c r="AC916" s="277">
        <v>34</v>
      </c>
      <c r="AD916" s="277">
        <v>33</v>
      </c>
      <c r="AE916" s="253">
        <v>26</v>
      </c>
      <c r="AF916" s="253">
        <v>23</v>
      </c>
      <c r="AG916" s="253">
        <v>25</v>
      </c>
      <c r="AH916" s="253">
        <v>27</v>
      </c>
      <c r="AI916" s="253">
        <v>19</v>
      </c>
      <c r="AJ916" s="253">
        <v>19</v>
      </c>
      <c r="AK916" s="253">
        <v>25</v>
      </c>
      <c r="AL916" s="253">
        <v>29</v>
      </c>
      <c r="AM916" s="253">
        <v>34</v>
      </c>
      <c r="AN916" s="253">
        <v>32</v>
      </c>
      <c r="AO916" s="277">
        <v>38</v>
      </c>
      <c r="AP916" s="277">
        <v>45</v>
      </c>
      <c r="AQ916" s="277">
        <v>56</v>
      </c>
      <c r="AR916" s="277">
        <v>53</v>
      </c>
      <c r="AS916" s="277">
        <v>47</v>
      </c>
      <c r="AT916" s="277">
        <v>48</v>
      </c>
      <c r="AU916" s="277">
        <v>43</v>
      </c>
      <c r="AV916" s="277">
        <f t="shared" si="77"/>
        <v>43</v>
      </c>
      <c r="AX916" s="88" t="str">
        <f t="shared" ca="1" si="78"/>
        <v>DIS</v>
      </c>
    </row>
    <row r="917" spans="1:50" hidden="1">
      <c r="A917" s="88" t="str">
        <f t="shared" ca="1" si="76"/>
        <v>DSY</v>
      </c>
      <c r="F917" s="253">
        <v>124.69</v>
      </c>
      <c r="G917" s="253">
        <v>124.69</v>
      </c>
      <c r="H917" s="253">
        <v>124.69</v>
      </c>
      <c r="I917" s="253">
        <v>124.69</v>
      </c>
      <c r="J917" s="253">
        <v>124.69</v>
      </c>
      <c r="K917" s="253">
        <v>124.69</v>
      </c>
      <c r="L917" s="253">
        <v>124.69</v>
      </c>
      <c r="M917" s="253">
        <v>124.69</v>
      </c>
      <c r="N917" s="253">
        <v>124.69</v>
      </c>
      <c r="O917" s="253">
        <v>124.69</v>
      </c>
      <c r="P917" s="253">
        <v>124.69</v>
      </c>
      <c r="Q917" s="253">
        <v>124.69</v>
      </c>
      <c r="R917" s="253">
        <v>124.69</v>
      </c>
      <c r="S917" s="253">
        <v>124.69</v>
      </c>
      <c r="T917" s="253">
        <v>124.69</v>
      </c>
      <c r="U917" s="253">
        <v>124.69</v>
      </c>
      <c r="V917" s="253">
        <v>124.69</v>
      </c>
      <c r="W917" s="253">
        <v>124.69</v>
      </c>
      <c r="X917" s="253">
        <v>124.69</v>
      </c>
      <c r="Y917" s="253">
        <v>124.69</v>
      </c>
      <c r="Z917" s="247">
        <f ca="1">[1]ExtEntry!$O17</f>
        <v>41.17</v>
      </c>
      <c r="AB917" s="277">
        <v>58</v>
      </c>
      <c r="AC917" s="277">
        <v>58</v>
      </c>
      <c r="AD917" s="277">
        <v>58</v>
      </c>
      <c r="AE917" s="253">
        <v>63</v>
      </c>
      <c r="AF917" s="253">
        <v>58</v>
      </c>
      <c r="AG917" s="253">
        <v>53</v>
      </c>
      <c r="AH917" s="253">
        <v>54</v>
      </c>
      <c r="AI917" s="253">
        <v>56</v>
      </c>
      <c r="AJ917" s="253">
        <v>58</v>
      </c>
      <c r="AK917" s="253">
        <v>62</v>
      </c>
      <c r="AL917" s="253">
        <v>62</v>
      </c>
      <c r="AM917" s="253">
        <v>64</v>
      </c>
      <c r="AN917" s="253">
        <v>62</v>
      </c>
      <c r="AO917" s="277">
        <v>66</v>
      </c>
      <c r="AP917" s="277">
        <v>74</v>
      </c>
      <c r="AQ917" s="277">
        <v>76</v>
      </c>
      <c r="AR917" s="277">
        <v>74</v>
      </c>
      <c r="AS917" s="277">
        <v>73</v>
      </c>
      <c r="AT917" s="277">
        <v>43</v>
      </c>
      <c r="AU917" s="277">
        <v>41</v>
      </c>
      <c r="AV917" s="277">
        <f t="shared" si="77"/>
        <v>41</v>
      </c>
      <c r="AX917" s="88" t="str">
        <f t="shared" ca="1" si="78"/>
        <v>DSY</v>
      </c>
    </row>
    <row r="918" spans="1:50" hidden="1">
      <c r="A918" s="88" t="str">
        <f t="shared" ca="1" si="76"/>
        <v>DVA</v>
      </c>
      <c r="F918" s="253">
        <v>41.17</v>
      </c>
      <c r="G918" s="253">
        <v>41.17</v>
      </c>
      <c r="H918" s="253">
        <v>41.17</v>
      </c>
      <c r="I918" s="253">
        <v>41.17</v>
      </c>
      <c r="J918" s="253">
        <v>41.17</v>
      </c>
      <c r="K918" s="253">
        <v>41.17</v>
      </c>
      <c r="L918" s="253">
        <v>41.17</v>
      </c>
      <c r="M918" s="253">
        <v>41.17</v>
      </c>
      <c r="N918" s="253">
        <v>41.17</v>
      </c>
      <c r="O918" s="253">
        <v>41.17</v>
      </c>
      <c r="P918" s="253">
        <v>41.17</v>
      </c>
      <c r="Q918" s="253">
        <v>41.17</v>
      </c>
      <c r="R918" s="253">
        <v>41.17</v>
      </c>
      <c r="S918" s="253">
        <v>41.17</v>
      </c>
      <c r="T918" s="253">
        <v>41.17</v>
      </c>
      <c r="U918" s="253">
        <v>41.17</v>
      </c>
      <c r="V918" s="253">
        <v>41.17</v>
      </c>
      <c r="W918" s="253">
        <v>41.17</v>
      </c>
      <c r="X918" s="253">
        <v>41.17</v>
      </c>
      <c r="Y918" s="253">
        <v>41.17</v>
      </c>
      <c r="Z918" s="247">
        <f ca="1">[1]ExtEntry!$O18</f>
        <v>179.6</v>
      </c>
      <c r="AB918" s="277">
        <v>34</v>
      </c>
      <c r="AC918" s="277">
        <v>40</v>
      </c>
      <c r="AD918" s="277">
        <v>41</v>
      </c>
      <c r="AE918" s="253">
        <v>40</v>
      </c>
      <c r="AF918" s="253">
        <v>44</v>
      </c>
      <c r="AG918" s="253">
        <v>46</v>
      </c>
      <c r="AH918" s="253">
        <v>48</v>
      </c>
      <c r="AI918" s="253">
        <v>43</v>
      </c>
      <c r="AJ918" s="253">
        <v>41</v>
      </c>
      <c r="AK918" s="253">
        <v>42</v>
      </c>
      <c r="AL918" s="253">
        <v>51</v>
      </c>
      <c r="AM918" s="253">
        <v>53</v>
      </c>
      <c r="AN918" s="253">
        <v>47</v>
      </c>
      <c r="AO918" s="277">
        <v>49</v>
      </c>
      <c r="AP918" s="277">
        <v>53</v>
      </c>
      <c r="AQ918" s="277">
        <v>52</v>
      </c>
      <c r="AR918" s="277">
        <v>50</v>
      </c>
      <c r="AS918" s="277">
        <v>50</v>
      </c>
      <c r="AT918" s="277">
        <v>55</v>
      </c>
      <c r="AU918" s="277">
        <v>56</v>
      </c>
      <c r="AV918" s="277">
        <f t="shared" si="77"/>
        <v>56</v>
      </c>
      <c r="AX918" s="88" t="str">
        <f t="shared" ca="1" si="78"/>
        <v>DVA</v>
      </c>
    </row>
    <row r="919" spans="1:50" hidden="1">
      <c r="A919" s="88" t="str">
        <f t="shared" ca="1" si="76"/>
        <v>DXC</v>
      </c>
      <c r="F919" s="253">
        <v>179.6</v>
      </c>
      <c r="G919" s="253">
        <v>179.6</v>
      </c>
      <c r="H919" s="253">
        <v>179.6</v>
      </c>
      <c r="I919" s="253">
        <v>179.6</v>
      </c>
      <c r="J919" s="253">
        <v>179.6</v>
      </c>
      <c r="K919" s="253">
        <v>179.6</v>
      </c>
      <c r="L919" s="253">
        <v>179.6</v>
      </c>
      <c r="M919" s="253">
        <v>179.6</v>
      </c>
      <c r="N919" s="253">
        <v>179.6</v>
      </c>
      <c r="O919" s="253">
        <v>179.6</v>
      </c>
      <c r="P919" s="253">
        <v>179.6</v>
      </c>
      <c r="Q919" s="253">
        <v>179.6</v>
      </c>
      <c r="R919" s="253">
        <v>179.6</v>
      </c>
      <c r="S919" s="253">
        <v>179.6</v>
      </c>
      <c r="T919" s="253">
        <v>179.6</v>
      </c>
      <c r="U919" s="253">
        <v>179.6</v>
      </c>
      <c r="V919" s="253">
        <v>179.6</v>
      </c>
      <c r="W919" s="253">
        <v>179.6</v>
      </c>
      <c r="X919" s="253">
        <v>179.6</v>
      </c>
      <c r="Y919" s="253">
        <v>179.6</v>
      </c>
      <c r="Z919" s="247">
        <f ca="1">[1]ExtEntry!$O19</f>
        <v>24.83</v>
      </c>
      <c r="AB919" s="277">
        <v>38</v>
      </c>
      <c r="AC919" s="277">
        <v>38</v>
      </c>
      <c r="AD919" s="277">
        <v>38</v>
      </c>
      <c r="AE919" s="253">
        <v>37</v>
      </c>
      <c r="AF919" s="253">
        <v>40</v>
      </c>
      <c r="AG919" s="253">
        <v>39</v>
      </c>
      <c r="AH919" s="253">
        <v>41</v>
      </c>
      <c r="AI919" s="253">
        <v>40</v>
      </c>
      <c r="AJ919" s="253">
        <v>46</v>
      </c>
      <c r="AK919" s="253">
        <v>49</v>
      </c>
      <c r="AL919" s="253">
        <v>51</v>
      </c>
      <c r="AM919" s="253">
        <v>48</v>
      </c>
      <c r="AN919" s="253">
        <v>43</v>
      </c>
      <c r="AO919" s="277">
        <v>47</v>
      </c>
      <c r="AP919" s="277">
        <v>53</v>
      </c>
      <c r="AQ919" s="277">
        <v>52</v>
      </c>
      <c r="AR919" s="277">
        <v>59</v>
      </c>
      <c r="AS919" s="277">
        <v>57</v>
      </c>
      <c r="AT919" s="277">
        <v>68</v>
      </c>
      <c r="AU919" s="277">
        <v>62</v>
      </c>
      <c r="AV919" s="277">
        <f t="shared" si="77"/>
        <v>62</v>
      </c>
      <c r="AX919" s="88" t="str">
        <f t="shared" ca="1" si="78"/>
        <v>DXC</v>
      </c>
    </row>
    <row r="920" spans="1:50" hidden="1">
      <c r="A920" s="88" t="str">
        <f t="shared" ca="1" si="76"/>
        <v>EOAN</v>
      </c>
      <c r="F920" s="253">
        <v>24.83</v>
      </c>
      <c r="G920" s="253">
        <v>24.83</v>
      </c>
      <c r="H920" s="253">
        <v>24.83</v>
      </c>
      <c r="I920" s="253">
        <v>24.83</v>
      </c>
      <c r="J920" s="253">
        <v>24.83</v>
      </c>
      <c r="K920" s="253">
        <v>24.83</v>
      </c>
      <c r="L920" s="253">
        <v>24.83</v>
      </c>
      <c r="M920" s="253">
        <v>24.83</v>
      </c>
      <c r="N920" s="253">
        <v>24.83</v>
      </c>
      <c r="O920" s="253">
        <v>24.83</v>
      </c>
      <c r="P920" s="253">
        <v>24.83</v>
      </c>
      <c r="Q920" s="253">
        <v>24.83</v>
      </c>
      <c r="R920" s="253">
        <v>24.83</v>
      </c>
      <c r="S920" s="253">
        <v>24.83</v>
      </c>
      <c r="T920" s="253">
        <v>24.83</v>
      </c>
      <c r="U920" s="253">
        <v>24.83</v>
      </c>
      <c r="V920" s="253">
        <v>24.83</v>
      </c>
      <c r="W920" s="253">
        <v>24.83</v>
      </c>
      <c r="X920" s="253">
        <v>24.83</v>
      </c>
      <c r="Y920" s="253">
        <v>24.83</v>
      </c>
      <c r="Z920" s="247">
        <f ca="1">[1]ExtEntry!$O20</f>
        <v>16.55</v>
      </c>
      <c r="AB920" s="277">
        <v>79</v>
      </c>
      <c r="AC920" s="277">
        <v>82</v>
      </c>
      <c r="AD920" s="277">
        <v>82</v>
      </c>
      <c r="AE920" s="253">
        <v>74</v>
      </c>
      <c r="AF920" s="253">
        <v>73</v>
      </c>
      <c r="AG920" s="253">
        <v>75</v>
      </c>
      <c r="AH920" s="253">
        <v>76</v>
      </c>
      <c r="AI920" s="253">
        <v>77</v>
      </c>
      <c r="AJ920" s="253">
        <v>74</v>
      </c>
      <c r="AK920" s="253">
        <v>73</v>
      </c>
      <c r="AL920" s="253">
        <v>71</v>
      </c>
      <c r="AM920" s="253">
        <v>70</v>
      </c>
      <c r="AN920" s="253">
        <v>76</v>
      </c>
      <c r="AO920" s="277">
        <v>75</v>
      </c>
      <c r="AP920" s="277">
        <v>76</v>
      </c>
      <c r="AQ920" s="277">
        <v>73</v>
      </c>
      <c r="AR920" s="277">
        <v>62</v>
      </c>
      <c r="AS920" s="277">
        <v>54</v>
      </c>
      <c r="AT920" s="277">
        <v>46</v>
      </c>
      <c r="AU920" s="277">
        <v>45</v>
      </c>
      <c r="AV920" s="277">
        <f t="shared" si="77"/>
        <v>45</v>
      </c>
      <c r="AX920" s="88" t="str">
        <f t="shared" ca="1" si="78"/>
        <v>EOAN</v>
      </c>
    </row>
    <row r="921" spans="1:50" hidden="1">
      <c r="A921" s="88" t="str">
        <f t="shared" ca="1" si="76"/>
        <v>EPIX</v>
      </c>
      <c r="F921" s="253">
        <v>16.55</v>
      </c>
      <c r="G921" s="253">
        <v>16.515000000000001</v>
      </c>
      <c r="H921" s="253">
        <v>16.515000000000001</v>
      </c>
      <c r="I921" s="253">
        <v>16.515000000000001</v>
      </c>
      <c r="J921" s="253">
        <v>16.515000000000001</v>
      </c>
      <c r="K921" s="253">
        <v>16.515000000000001</v>
      </c>
      <c r="L921" s="253">
        <v>16.515000000000001</v>
      </c>
      <c r="M921" s="253">
        <v>16.515000000000001</v>
      </c>
      <c r="N921" s="253">
        <v>16.515000000000001</v>
      </c>
      <c r="O921" s="253">
        <v>16.515000000000001</v>
      </c>
      <c r="P921" s="253">
        <v>16.515000000000001</v>
      </c>
      <c r="Q921" s="253">
        <v>16.515000000000001</v>
      </c>
      <c r="R921" s="253">
        <v>16.515000000000001</v>
      </c>
      <c r="S921" s="253">
        <v>16.515000000000001</v>
      </c>
      <c r="T921" s="253">
        <v>16.515000000000001</v>
      </c>
      <c r="U921" s="253">
        <v>16.515000000000001</v>
      </c>
      <c r="V921" s="253">
        <v>16.515000000000001</v>
      </c>
      <c r="W921" s="253">
        <v>16.515000000000001</v>
      </c>
      <c r="X921" s="253">
        <v>16.515000000000001</v>
      </c>
      <c r="Y921" s="253">
        <v>16.515000000000001</v>
      </c>
      <c r="Z921" s="247">
        <f ca="1">[1]ExtEntry!$O21</f>
        <v>0.82499999999999996</v>
      </c>
      <c r="AB921" s="277">
        <v>18</v>
      </c>
      <c r="AC921" s="277">
        <v>18</v>
      </c>
      <c r="AD921" s="277">
        <v>28</v>
      </c>
      <c r="AE921" s="253">
        <v>35</v>
      </c>
      <c r="AF921" s="253">
        <v>31</v>
      </c>
      <c r="AG921" s="253">
        <v>30</v>
      </c>
      <c r="AH921" s="253">
        <v>38</v>
      </c>
      <c r="AI921" s="253">
        <v>37</v>
      </c>
      <c r="AJ921" s="253">
        <v>37</v>
      </c>
      <c r="AK921" s="253">
        <v>40</v>
      </c>
      <c r="AL921" s="253">
        <v>45</v>
      </c>
      <c r="AM921" s="253">
        <v>44</v>
      </c>
      <c r="AN921" s="253">
        <v>40</v>
      </c>
      <c r="AO921" s="277">
        <v>39</v>
      </c>
      <c r="AP921" s="277">
        <v>38</v>
      </c>
      <c r="AQ921" s="277">
        <v>35</v>
      </c>
      <c r="AR921" s="277">
        <v>41</v>
      </c>
      <c r="AS921" s="277">
        <v>44</v>
      </c>
      <c r="AT921" s="277">
        <v>45</v>
      </c>
      <c r="AU921" s="277">
        <v>44</v>
      </c>
      <c r="AV921" s="277">
        <f t="shared" si="77"/>
        <v>44</v>
      </c>
      <c r="AX921" s="88" t="str">
        <f t="shared" ca="1" si="78"/>
        <v>EPIX</v>
      </c>
    </row>
    <row r="922" spans="1:50" hidden="1">
      <c r="A922" s="88" t="str">
        <f t="shared" ca="1" si="76"/>
        <v>GM</v>
      </c>
      <c r="F922" s="253">
        <v>0.83779999999999999</v>
      </c>
      <c r="G922" s="253">
        <v>0.83779999999999999</v>
      </c>
      <c r="H922" s="253">
        <v>0.82499999999999996</v>
      </c>
      <c r="I922" s="253">
        <v>0.82499999999999996</v>
      </c>
      <c r="J922" s="253">
        <v>0.82499999999999996</v>
      </c>
      <c r="K922" s="253">
        <v>0.82499999999999996</v>
      </c>
      <c r="L922" s="253">
        <v>0.82499999999999996</v>
      </c>
      <c r="M922" s="253">
        <v>0.82499999999999996</v>
      </c>
      <c r="N922" s="253">
        <v>0.82499999999999996</v>
      </c>
      <c r="O922" s="253">
        <v>0.82499999999999996</v>
      </c>
      <c r="P922" s="253">
        <v>0.82499999999999996</v>
      </c>
      <c r="Q922" s="253">
        <v>0.82499999999999996</v>
      </c>
      <c r="R922" s="253">
        <v>0.82499999999999996</v>
      </c>
      <c r="S922" s="253">
        <v>0.82499999999999996</v>
      </c>
      <c r="T922" s="253">
        <v>0.82499999999999996</v>
      </c>
      <c r="U922" s="253">
        <v>0.82499999999999996</v>
      </c>
      <c r="V922" s="253">
        <v>0.82499999999999996</v>
      </c>
      <c r="W922" s="253">
        <v>0.82499999999999996</v>
      </c>
      <c r="X922" s="253">
        <v>0.82499999999999996</v>
      </c>
      <c r="Y922" s="253">
        <v>0.82499999999999996</v>
      </c>
      <c r="Z922" s="247">
        <f ca="1">[1]ExtEntry!$O22</f>
        <v>69.7</v>
      </c>
      <c r="AB922" s="277">
        <v>57</v>
      </c>
      <c r="AC922" s="277">
        <v>57</v>
      </c>
      <c r="AD922" s="277">
        <v>64</v>
      </c>
      <c r="AE922" s="253">
        <v>51</v>
      </c>
      <c r="AF922" s="253">
        <v>54</v>
      </c>
      <c r="AG922" s="253">
        <v>51</v>
      </c>
      <c r="AH922" s="253">
        <v>50</v>
      </c>
      <c r="AI922" s="253">
        <v>42</v>
      </c>
      <c r="AJ922" s="253">
        <v>41</v>
      </c>
      <c r="AK922" s="253">
        <v>42</v>
      </c>
      <c r="AL922" s="253">
        <v>46</v>
      </c>
      <c r="AM922" s="253">
        <v>51</v>
      </c>
      <c r="AN922" s="253">
        <v>48</v>
      </c>
      <c r="AO922" s="277">
        <v>52</v>
      </c>
      <c r="AP922" s="277">
        <v>52</v>
      </c>
      <c r="AQ922" s="277">
        <v>71</v>
      </c>
      <c r="AR922" s="277">
        <v>73</v>
      </c>
      <c r="AS922" s="277">
        <v>72</v>
      </c>
      <c r="AT922" s="277">
        <v>70</v>
      </c>
      <c r="AU922" s="277">
        <v>72</v>
      </c>
      <c r="AV922" s="277">
        <f t="shared" si="77"/>
        <v>72</v>
      </c>
      <c r="AX922" s="88" t="str">
        <f t="shared" ca="1" si="78"/>
        <v>GM</v>
      </c>
    </row>
    <row r="923" spans="1:50" hidden="1">
      <c r="A923" s="88" t="str">
        <f t="shared" ca="1" si="76"/>
        <v>HPE</v>
      </c>
      <c r="F923" s="253">
        <v>62.11</v>
      </c>
      <c r="G923" s="253">
        <v>62.14</v>
      </c>
      <c r="H923" s="253">
        <v>62.14</v>
      </c>
      <c r="I923" s="253">
        <v>62.14</v>
      </c>
      <c r="J923" s="253">
        <v>62.14</v>
      </c>
      <c r="K923" s="253">
        <v>62.14</v>
      </c>
      <c r="L923" s="253">
        <v>62.14</v>
      </c>
      <c r="M923" s="253">
        <v>62.14</v>
      </c>
      <c r="N923" s="253">
        <v>62.14</v>
      </c>
      <c r="O923" s="253">
        <v>62.14</v>
      </c>
      <c r="P923" s="253">
        <v>62.14</v>
      </c>
      <c r="Q923" s="253">
        <v>62.14</v>
      </c>
      <c r="R923" s="253">
        <v>62.14</v>
      </c>
      <c r="S923" s="253">
        <v>62.14</v>
      </c>
      <c r="T923" s="253">
        <v>62.14</v>
      </c>
      <c r="U923" s="253">
        <v>67.55</v>
      </c>
      <c r="V923" s="253">
        <v>67.584999999999994</v>
      </c>
      <c r="W923" s="253">
        <v>67.584999999999994</v>
      </c>
      <c r="X923" s="253">
        <v>68.48</v>
      </c>
      <c r="Y923" s="253">
        <v>69.7</v>
      </c>
      <c r="Z923" s="247">
        <f ca="1">[1]ExtEntry!$O23</f>
        <v>26.44</v>
      </c>
      <c r="AB923" s="277">
        <v>57</v>
      </c>
      <c r="AC923" s="277">
        <v>60</v>
      </c>
      <c r="AD923" s="277">
        <v>62</v>
      </c>
      <c r="AE923" s="253">
        <v>55</v>
      </c>
      <c r="AF923" s="253">
        <v>55</v>
      </c>
      <c r="AG923" s="253">
        <v>53</v>
      </c>
      <c r="AH923" s="253">
        <v>57</v>
      </c>
      <c r="AI923" s="253">
        <v>55</v>
      </c>
      <c r="AJ923" s="253">
        <v>58</v>
      </c>
      <c r="AK923" s="253">
        <v>60</v>
      </c>
      <c r="AL923" s="253">
        <v>60</v>
      </c>
      <c r="AM923" s="253">
        <v>66</v>
      </c>
      <c r="AN923" s="253">
        <v>44</v>
      </c>
      <c r="AO923" s="277">
        <v>48</v>
      </c>
      <c r="AP923" s="277">
        <v>49</v>
      </c>
      <c r="AQ923" s="277">
        <v>50</v>
      </c>
      <c r="AR923" s="277">
        <v>52</v>
      </c>
      <c r="AS923" s="277">
        <v>52</v>
      </c>
      <c r="AT923" s="277">
        <v>55</v>
      </c>
      <c r="AU923" s="277">
        <v>58</v>
      </c>
      <c r="AV923" s="277">
        <f t="shared" si="77"/>
        <v>58</v>
      </c>
      <c r="AX923" s="88" t="str">
        <f t="shared" ca="1" si="78"/>
        <v>HPE</v>
      </c>
    </row>
    <row r="924" spans="1:50" hidden="1">
      <c r="A924" s="88" t="str">
        <f t="shared" ca="1" si="76"/>
        <v>HPQ</v>
      </c>
      <c r="F924" s="253">
        <v>25.355899999999998</v>
      </c>
      <c r="G924" s="253">
        <v>25.355899999999998</v>
      </c>
      <c r="H924" s="253">
        <v>25.355899999999998</v>
      </c>
      <c r="I924" s="253">
        <v>25.355899999999998</v>
      </c>
      <c r="J924" s="253">
        <v>25.355899999999998</v>
      </c>
      <c r="K924" s="253">
        <v>25.92</v>
      </c>
      <c r="L924" s="253">
        <v>26.44</v>
      </c>
      <c r="M924" s="253">
        <v>26.44</v>
      </c>
      <c r="N924" s="253">
        <v>26.44</v>
      </c>
      <c r="O924" s="253">
        <v>26.44</v>
      </c>
      <c r="P924" s="253">
        <v>26.44</v>
      </c>
      <c r="Q924" s="253">
        <v>26.44</v>
      </c>
      <c r="R924" s="253">
        <v>26.44</v>
      </c>
      <c r="S924" s="253">
        <v>26.44</v>
      </c>
      <c r="T924" s="253">
        <v>26.44</v>
      </c>
      <c r="U924" s="253">
        <v>26.44</v>
      </c>
      <c r="V924" s="253">
        <v>26.44</v>
      </c>
      <c r="W924" s="253">
        <v>26.44</v>
      </c>
      <c r="X924" s="253">
        <v>26.44</v>
      </c>
      <c r="Y924" s="253">
        <v>26.44</v>
      </c>
      <c r="Z924" s="247">
        <f ca="1">[1]ExtEntry!$O24</f>
        <v>39.795000000000002</v>
      </c>
      <c r="AB924" s="277">
        <v>21</v>
      </c>
      <c r="AC924" s="277">
        <v>27</v>
      </c>
      <c r="AD924" s="277">
        <v>26</v>
      </c>
      <c r="AE924" s="253">
        <v>22</v>
      </c>
      <c r="AF924" s="253">
        <v>24</v>
      </c>
      <c r="AG924" s="253">
        <v>25</v>
      </c>
      <c r="AH924" s="253">
        <v>33</v>
      </c>
      <c r="AI924" s="253">
        <v>33</v>
      </c>
      <c r="AJ924" s="253">
        <v>35</v>
      </c>
      <c r="AK924" s="253">
        <v>52</v>
      </c>
      <c r="AL924" s="253">
        <v>60</v>
      </c>
      <c r="AM924" s="253">
        <v>62</v>
      </c>
      <c r="AN924" s="253">
        <v>50</v>
      </c>
      <c r="AO924" s="277">
        <v>52</v>
      </c>
      <c r="AP924" s="277">
        <v>54</v>
      </c>
      <c r="AQ924" s="277">
        <v>56</v>
      </c>
      <c r="AR924" s="277">
        <v>52</v>
      </c>
      <c r="AS924" s="277">
        <v>55</v>
      </c>
      <c r="AT924" s="277">
        <v>60</v>
      </c>
      <c r="AU924" s="277">
        <v>60</v>
      </c>
      <c r="AV924" s="277">
        <f t="shared" si="77"/>
        <v>60</v>
      </c>
      <c r="AX924" s="88" t="str">
        <f t="shared" ca="1" si="78"/>
        <v>HPQ</v>
      </c>
    </row>
    <row r="925" spans="1:50" hidden="1">
      <c r="A925" s="88" t="str">
        <f t="shared" ca="1" si="76"/>
        <v>IAG</v>
      </c>
      <c r="F925" s="253">
        <v>39.795000000000002</v>
      </c>
      <c r="G925" s="253">
        <v>39.795000000000002</v>
      </c>
      <c r="H925" s="253">
        <v>39.795000000000002</v>
      </c>
      <c r="I925" s="253">
        <v>39.795000000000002</v>
      </c>
      <c r="J925" s="253">
        <v>39.795000000000002</v>
      </c>
      <c r="K925" s="253">
        <v>39.795000000000002</v>
      </c>
      <c r="L925" s="253">
        <v>39.795000000000002</v>
      </c>
      <c r="M925" s="253">
        <v>39.795000000000002</v>
      </c>
      <c r="N925" s="253">
        <v>39.795000000000002</v>
      </c>
      <c r="O925" s="253">
        <v>39.795000000000002</v>
      </c>
      <c r="P925" s="253">
        <v>39.795000000000002</v>
      </c>
      <c r="Q925" s="253">
        <v>39.795000000000002</v>
      </c>
      <c r="R925" s="253">
        <v>39.795000000000002</v>
      </c>
      <c r="S925" s="253">
        <v>39.795000000000002</v>
      </c>
      <c r="T925" s="253">
        <v>39.795000000000002</v>
      </c>
      <c r="U925" s="253">
        <v>39.795000000000002</v>
      </c>
      <c r="V925" s="253">
        <v>39.795000000000002</v>
      </c>
      <c r="W925" s="253">
        <v>39.795000000000002</v>
      </c>
      <c r="X925" s="253">
        <v>39.795000000000002</v>
      </c>
      <c r="Y925" s="253">
        <v>39.795000000000002</v>
      </c>
      <c r="Z925" s="247">
        <f ca="1">[1]ExtEntry!$O25</f>
        <v>416</v>
      </c>
      <c r="AB925" s="277">
        <v>51</v>
      </c>
      <c r="AC925" s="277">
        <v>44</v>
      </c>
      <c r="AD925" s="277">
        <v>39</v>
      </c>
      <c r="AE925" s="253">
        <v>45</v>
      </c>
      <c r="AF925" s="253">
        <v>41</v>
      </c>
      <c r="AG925" s="253">
        <v>40</v>
      </c>
      <c r="AH925" s="253">
        <v>61</v>
      </c>
      <c r="AI925" s="253">
        <v>68</v>
      </c>
      <c r="AJ925" s="253">
        <v>64</v>
      </c>
      <c r="AK925" s="253">
        <v>62</v>
      </c>
      <c r="AL925" s="253">
        <v>60</v>
      </c>
      <c r="AM925" s="253">
        <v>63</v>
      </c>
      <c r="AN925" s="253">
        <v>65</v>
      </c>
      <c r="AO925" s="277">
        <v>53</v>
      </c>
      <c r="AP925" s="277">
        <v>56</v>
      </c>
      <c r="AQ925" s="277">
        <v>58</v>
      </c>
      <c r="AR925" s="277">
        <v>60</v>
      </c>
      <c r="AS925" s="277">
        <v>63</v>
      </c>
      <c r="AT925" s="277">
        <v>65</v>
      </c>
      <c r="AU925" s="277">
        <v>67</v>
      </c>
      <c r="AV925" s="277">
        <f t="shared" si="77"/>
        <v>67</v>
      </c>
      <c r="AX925" s="88" t="str">
        <f t="shared" ca="1" si="78"/>
        <v>IAG</v>
      </c>
    </row>
    <row r="926" spans="1:50" hidden="1">
      <c r="A926" s="88" t="str">
        <f t="shared" ca="1" si="76"/>
        <v>KR</v>
      </c>
      <c r="F926" s="253">
        <v>398.7</v>
      </c>
      <c r="G926" s="253">
        <v>398.7</v>
      </c>
      <c r="H926" s="253">
        <v>398.7</v>
      </c>
      <c r="I926" s="253">
        <v>398.7</v>
      </c>
      <c r="J926" s="253">
        <v>398.7</v>
      </c>
      <c r="K926" s="253">
        <v>398.7</v>
      </c>
      <c r="L926" s="253">
        <v>405</v>
      </c>
      <c r="M926" s="253">
        <v>416</v>
      </c>
      <c r="N926" s="253">
        <v>416</v>
      </c>
      <c r="O926" s="253">
        <v>416</v>
      </c>
      <c r="P926" s="253">
        <v>416</v>
      </c>
      <c r="Q926" s="253">
        <v>416</v>
      </c>
      <c r="R926" s="253">
        <v>416</v>
      </c>
      <c r="S926" s="253">
        <v>416</v>
      </c>
      <c r="T926" s="253">
        <v>416</v>
      </c>
      <c r="U926" s="253">
        <v>416</v>
      </c>
      <c r="V926" s="253">
        <v>416</v>
      </c>
      <c r="W926" s="253">
        <v>416</v>
      </c>
      <c r="X926" s="253">
        <v>416</v>
      </c>
      <c r="Y926" s="253">
        <v>416</v>
      </c>
      <c r="Z926" s="247">
        <f ca="1">[1]ExtEntry!$O26</f>
        <v>74.900000000000006</v>
      </c>
      <c r="AB926" s="277">
        <v>27</v>
      </c>
      <c r="AC926" s="277">
        <v>37</v>
      </c>
      <c r="AD926" s="277">
        <v>36</v>
      </c>
      <c r="AE926" s="253">
        <v>36</v>
      </c>
      <c r="AF926" s="253">
        <v>35</v>
      </c>
      <c r="AG926" s="253">
        <v>46</v>
      </c>
      <c r="AH926" s="253">
        <v>53</v>
      </c>
      <c r="AI926" s="253">
        <v>50</v>
      </c>
      <c r="AJ926" s="253">
        <v>44</v>
      </c>
      <c r="AK926" s="253">
        <v>44</v>
      </c>
      <c r="AL926" s="253">
        <v>55</v>
      </c>
      <c r="AM926" s="253">
        <v>57</v>
      </c>
      <c r="AN926" s="253">
        <v>61</v>
      </c>
      <c r="AO926" s="277">
        <v>64</v>
      </c>
      <c r="AP926" s="277">
        <v>66</v>
      </c>
      <c r="AQ926" s="277">
        <v>63</v>
      </c>
      <c r="AR926" s="277">
        <v>63</v>
      </c>
      <c r="AS926" s="277">
        <v>65</v>
      </c>
      <c r="AT926" s="277">
        <v>66</v>
      </c>
      <c r="AU926" s="277">
        <v>59</v>
      </c>
      <c r="AV926" s="277">
        <f t="shared" si="77"/>
        <v>59</v>
      </c>
      <c r="AX926" s="88" t="str">
        <f t="shared" ca="1" si="78"/>
        <v>KR</v>
      </c>
    </row>
    <row r="927" spans="1:50" hidden="1">
      <c r="A927" s="88" t="str">
        <f t="shared" ca="1" si="76"/>
        <v>LNSR</v>
      </c>
      <c r="F927" s="253">
        <v>74.900000000000006</v>
      </c>
      <c r="G927" s="253">
        <v>74.900000000000006</v>
      </c>
      <c r="H927" s="253">
        <v>74.900000000000006</v>
      </c>
      <c r="I927" s="253">
        <v>74.900000000000006</v>
      </c>
      <c r="J927" s="253">
        <v>74.900000000000006</v>
      </c>
      <c r="K927" s="253">
        <v>74.900000000000006</v>
      </c>
      <c r="L927" s="253">
        <v>74.900000000000006</v>
      </c>
      <c r="M927" s="253">
        <v>74.900000000000006</v>
      </c>
      <c r="N927" s="253">
        <v>74.900000000000006</v>
      </c>
      <c r="O927" s="253">
        <v>74.900000000000006</v>
      </c>
      <c r="P927" s="253">
        <v>74.900000000000006</v>
      </c>
      <c r="Q927" s="253">
        <v>74.900000000000006</v>
      </c>
      <c r="R927" s="253">
        <v>74.900000000000006</v>
      </c>
      <c r="S927" s="253">
        <v>74.900000000000006</v>
      </c>
      <c r="T927" s="253">
        <v>74.900000000000006</v>
      </c>
      <c r="U927" s="253">
        <v>74.900000000000006</v>
      </c>
      <c r="V927" s="253">
        <v>74.900000000000006</v>
      </c>
      <c r="W927" s="253">
        <v>74.900000000000006</v>
      </c>
      <c r="X927" s="253">
        <v>74.900000000000006</v>
      </c>
      <c r="Y927" s="253">
        <v>74.900000000000006</v>
      </c>
      <c r="Z927" s="247">
        <f ca="1">[1]ExtEntry!$O27</f>
        <v>17.309999999999999</v>
      </c>
      <c r="AB927" s="277">
        <v>35</v>
      </c>
      <c r="AC927" s="277">
        <v>38</v>
      </c>
      <c r="AD927" s="277">
        <v>41</v>
      </c>
      <c r="AE927" s="253">
        <v>42</v>
      </c>
      <c r="AF927" s="253">
        <v>35</v>
      </c>
      <c r="AG927" s="253">
        <v>37</v>
      </c>
      <c r="AH927" s="253">
        <v>40</v>
      </c>
      <c r="AI927" s="253">
        <v>38</v>
      </c>
      <c r="AJ927" s="253">
        <v>29</v>
      </c>
      <c r="AK927" s="253">
        <v>32</v>
      </c>
      <c r="AL927" s="253">
        <v>33</v>
      </c>
      <c r="AM927" s="253">
        <v>30</v>
      </c>
      <c r="AN927" s="253">
        <v>37</v>
      </c>
      <c r="AO927" s="277">
        <v>38</v>
      </c>
      <c r="AP927" s="277">
        <v>46</v>
      </c>
      <c r="AQ927" s="277">
        <v>43</v>
      </c>
      <c r="AR927" s="277">
        <v>46</v>
      </c>
      <c r="AS927" s="277">
        <v>50</v>
      </c>
      <c r="AT927" s="277">
        <v>47</v>
      </c>
      <c r="AU927" s="277">
        <v>42</v>
      </c>
      <c r="AV927" s="277">
        <f t="shared" si="77"/>
        <v>42</v>
      </c>
      <c r="AX927" s="88" t="str">
        <f t="shared" ca="1" si="78"/>
        <v>LNSR</v>
      </c>
    </row>
    <row r="928" spans="1:50" hidden="1">
      <c r="A928" s="88" t="str">
        <f t="shared" ca="1" si="76"/>
        <v>LUMN</v>
      </c>
      <c r="F928" s="253">
        <v>17.309999999999999</v>
      </c>
      <c r="G928" s="253">
        <v>17.309999999999999</v>
      </c>
      <c r="H928" s="253">
        <v>17.309999999999999</v>
      </c>
      <c r="I928" s="253">
        <v>17.309999999999999</v>
      </c>
      <c r="J928" s="253">
        <v>17.309999999999999</v>
      </c>
      <c r="K928" s="253">
        <v>17.309999999999999</v>
      </c>
      <c r="L928" s="253">
        <v>17.309999999999999</v>
      </c>
      <c r="M928" s="253">
        <v>17.309999999999999</v>
      </c>
      <c r="N928" s="253">
        <v>17.309999999999999</v>
      </c>
      <c r="O928" s="253">
        <v>17.309999999999999</v>
      </c>
      <c r="P928" s="253">
        <v>17.309999999999999</v>
      </c>
      <c r="Q928" s="253">
        <v>17.309999999999999</v>
      </c>
      <c r="R928" s="253">
        <v>17.309999999999999</v>
      </c>
      <c r="S928" s="253">
        <v>17.309999999999999</v>
      </c>
      <c r="T928" s="253">
        <v>17.309999999999999</v>
      </c>
      <c r="U928" s="253">
        <v>17.309999999999999</v>
      </c>
      <c r="V928" s="253">
        <v>17.309999999999999</v>
      </c>
      <c r="W928" s="253">
        <v>17.309999999999999</v>
      </c>
      <c r="X928" s="253">
        <v>17.309999999999999</v>
      </c>
      <c r="Y928" s="253">
        <v>17.309999999999999</v>
      </c>
      <c r="Z928" s="247">
        <f ca="1">[1]ExtEntry!$O28</f>
        <v>10.33</v>
      </c>
      <c r="AB928" s="277">
        <v>62</v>
      </c>
      <c r="AC928" s="277">
        <v>64</v>
      </c>
      <c r="AD928" s="277">
        <v>65</v>
      </c>
      <c r="AE928" s="253">
        <v>65</v>
      </c>
      <c r="AF928" s="253">
        <v>64</v>
      </c>
      <c r="AG928" s="253">
        <v>55</v>
      </c>
      <c r="AH928" s="253">
        <v>51</v>
      </c>
      <c r="AI928" s="253">
        <v>50</v>
      </c>
      <c r="AJ928" s="253">
        <v>48</v>
      </c>
      <c r="AK928" s="253">
        <v>52</v>
      </c>
      <c r="AL928" s="253">
        <v>56</v>
      </c>
      <c r="AM928" s="253">
        <v>64</v>
      </c>
      <c r="AN928" s="253">
        <v>58</v>
      </c>
      <c r="AO928" s="277">
        <v>57</v>
      </c>
      <c r="AP928" s="277">
        <v>61</v>
      </c>
      <c r="AQ928" s="277">
        <v>54</v>
      </c>
      <c r="AR928" s="277">
        <v>59</v>
      </c>
      <c r="AS928" s="277">
        <v>59</v>
      </c>
      <c r="AT928" s="277">
        <v>64</v>
      </c>
      <c r="AU928" s="277">
        <v>67</v>
      </c>
      <c r="AV928" s="277">
        <f t="shared" si="77"/>
        <v>67</v>
      </c>
      <c r="AX928" s="88" t="str">
        <f t="shared" ca="1" si="78"/>
        <v>LUMN</v>
      </c>
    </row>
    <row r="929" spans="1:50" hidden="1">
      <c r="A929" s="88" t="str">
        <f t="shared" ca="1" si="76"/>
        <v>MRNA</v>
      </c>
      <c r="F929" s="253">
        <v>10.33</v>
      </c>
      <c r="G929" s="253">
        <v>10.33</v>
      </c>
      <c r="H929" s="253">
        <v>10.33</v>
      </c>
      <c r="I929" s="253">
        <v>10.33</v>
      </c>
      <c r="J929" s="253">
        <v>10.33</v>
      </c>
      <c r="K929" s="253">
        <v>10.33</v>
      </c>
      <c r="L929" s="253">
        <v>10.33</v>
      </c>
      <c r="M929" s="253">
        <v>10.33</v>
      </c>
      <c r="N929" s="253">
        <v>10.33</v>
      </c>
      <c r="O929" s="253">
        <v>10.33</v>
      </c>
      <c r="P929" s="253">
        <v>10.33</v>
      </c>
      <c r="Q929" s="253">
        <v>10.33</v>
      </c>
      <c r="R929" s="253">
        <v>10.33</v>
      </c>
      <c r="S929" s="253">
        <v>10.33</v>
      </c>
      <c r="T929" s="253">
        <v>10.33</v>
      </c>
      <c r="U929" s="253">
        <v>10.33</v>
      </c>
      <c r="V929" s="253">
        <v>10.33</v>
      </c>
      <c r="W929" s="253">
        <v>10.33</v>
      </c>
      <c r="X929" s="253">
        <v>10.33</v>
      </c>
      <c r="Y929" s="253">
        <v>10.33</v>
      </c>
      <c r="Z929" s="247">
        <f ca="1">[1]ExtEntry!$O29</f>
        <v>57.69</v>
      </c>
      <c r="AB929" s="277">
        <v>52</v>
      </c>
      <c r="AC929" s="277">
        <v>53</v>
      </c>
      <c r="AD929" s="277">
        <v>60</v>
      </c>
      <c r="AE929" s="253">
        <v>61</v>
      </c>
      <c r="AF929" s="253">
        <v>63</v>
      </c>
      <c r="AG929" s="253">
        <v>64</v>
      </c>
      <c r="AH929" s="253">
        <v>66</v>
      </c>
      <c r="AI929" s="253">
        <v>62</v>
      </c>
      <c r="AJ929" s="253">
        <v>69</v>
      </c>
      <c r="AK929" s="253">
        <v>68</v>
      </c>
      <c r="AL929" s="253">
        <v>64</v>
      </c>
      <c r="AM929" s="253">
        <v>66</v>
      </c>
      <c r="AN929" s="253">
        <v>62</v>
      </c>
      <c r="AO929" s="277">
        <v>57</v>
      </c>
      <c r="AP929" s="277">
        <v>62</v>
      </c>
      <c r="AQ929" s="277">
        <v>57</v>
      </c>
      <c r="AR929" s="277">
        <v>58</v>
      </c>
      <c r="AS929" s="277">
        <v>55</v>
      </c>
      <c r="AT929" s="277">
        <v>58</v>
      </c>
      <c r="AU929" s="277">
        <v>60</v>
      </c>
      <c r="AV929" s="277">
        <f t="shared" si="77"/>
        <v>60</v>
      </c>
      <c r="AX929" s="88" t="str">
        <f t="shared" ca="1" si="78"/>
        <v>MRNA</v>
      </c>
    </row>
    <row r="930" spans="1:50" hidden="1">
      <c r="A930" s="88" t="str">
        <f t="shared" ca="1" si="76"/>
        <v>MSFT</v>
      </c>
      <c r="F930" s="253">
        <v>67.959800000000001</v>
      </c>
      <c r="G930" s="253">
        <v>67.959800000000001</v>
      </c>
      <c r="H930" s="253">
        <v>67.549899999999994</v>
      </c>
      <c r="I930" s="253">
        <v>63.69</v>
      </c>
      <c r="J930" s="253">
        <v>62.97</v>
      </c>
      <c r="K930" s="253">
        <v>60.65</v>
      </c>
      <c r="L930" s="253">
        <v>59.734200000000001</v>
      </c>
      <c r="M930" s="253">
        <v>59.734200000000001</v>
      </c>
      <c r="N930" s="253">
        <v>59.734200000000001</v>
      </c>
      <c r="O930" s="253">
        <v>58.96</v>
      </c>
      <c r="P930" s="253">
        <v>58.96</v>
      </c>
      <c r="Q930" s="253">
        <v>58.62</v>
      </c>
      <c r="R930" s="253">
        <v>58.45</v>
      </c>
      <c r="S930" s="253">
        <v>57.69</v>
      </c>
      <c r="T930" s="253">
        <v>57.69</v>
      </c>
      <c r="U930" s="253">
        <v>57.69</v>
      </c>
      <c r="V930" s="253">
        <v>57.69</v>
      </c>
      <c r="W930" s="253">
        <v>57.69</v>
      </c>
      <c r="X930" s="253">
        <v>57.69</v>
      </c>
      <c r="Y930" s="253">
        <v>57.69</v>
      </c>
      <c r="Z930" s="247">
        <f ca="1">[1]ExtEntry!$O30</f>
        <v>555.45000000000005</v>
      </c>
      <c r="AB930" s="277">
        <v>73</v>
      </c>
      <c r="AC930" s="277">
        <v>74</v>
      </c>
      <c r="AD930" s="277">
        <v>75</v>
      </c>
      <c r="AE930" s="253">
        <v>70</v>
      </c>
      <c r="AF930" s="253">
        <v>70</v>
      </c>
      <c r="AG930" s="253">
        <v>66</v>
      </c>
      <c r="AH930" s="253">
        <v>65</v>
      </c>
      <c r="AI930" s="253">
        <v>63</v>
      </c>
      <c r="AJ930" s="253">
        <v>56</v>
      </c>
      <c r="AK930" s="253">
        <v>57</v>
      </c>
      <c r="AL930" s="253">
        <v>53</v>
      </c>
      <c r="AM930" s="253">
        <v>57</v>
      </c>
      <c r="AN930" s="253">
        <v>57</v>
      </c>
      <c r="AO930" s="277">
        <v>52</v>
      </c>
      <c r="AP930" s="277">
        <v>46</v>
      </c>
      <c r="AQ930" s="277">
        <v>50</v>
      </c>
      <c r="AR930" s="277">
        <v>58</v>
      </c>
      <c r="AS930" s="277">
        <v>60</v>
      </c>
      <c r="AT930" s="277">
        <v>64</v>
      </c>
      <c r="AU930" s="277">
        <v>63</v>
      </c>
      <c r="AV930" s="277">
        <f t="shared" si="77"/>
        <v>63</v>
      </c>
      <c r="AX930" s="88" t="str">
        <f t="shared" ca="1" si="78"/>
        <v>MSFT</v>
      </c>
    </row>
    <row r="931" spans="1:50" hidden="1">
      <c r="A931" s="88" t="str">
        <f t="shared" ca="1" si="76"/>
        <v>NEE</v>
      </c>
      <c r="F931" s="253">
        <v>555.45000000000005</v>
      </c>
      <c r="G931" s="253">
        <v>555.45000000000005</v>
      </c>
      <c r="H931" s="253">
        <v>555.45000000000005</v>
      </c>
      <c r="I931" s="253">
        <v>555.45000000000005</v>
      </c>
      <c r="J931" s="253">
        <v>555.45000000000005</v>
      </c>
      <c r="K931" s="253">
        <v>555.45000000000005</v>
      </c>
      <c r="L931" s="253">
        <v>555.45000000000005</v>
      </c>
      <c r="M931" s="253">
        <v>555.45000000000005</v>
      </c>
      <c r="N931" s="253">
        <v>555.45000000000005</v>
      </c>
      <c r="O931" s="253">
        <v>555.45000000000005</v>
      </c>
      <c r="P931" s="253">
        <v>555.45000000000005</v>
      </c>
      <c r="Q931" s="253">
        <v>555.45000000000005</v>
      </c>
      <c r="R931" s="253">
        <v>555.45000000000005</v>
      </c>
      <c r="S931" s="253">
        <v>555.45000000000005</v>
      </c>
      <c r="T931" s="253">
        <v>555.45000000000005</v>
      </c>
      <c r="U931" s="253">
        <v>555.45000000000005</v>
      </c>
      <c r="V931" s="253">
        <v>555.45000000000005</v>
      </c>
      <c r="W931" s="253">
        <v>555.45000000000005</v>
      </c>
      <c r="X931" s="253">
        <v>555.45000000000005</v>
      </c>
      <c r="Y931" s="253">
        <v>555.45000000000005</v>
      </c>
      <c r="Z931" s="247">
        <f ca="1">[1]ExtEntry!$O31</f>
        <v>86.74</v>
      </c>
      <c r="AB931" s="277">
        <v>56</v>
      </c>
      <c r="AC931" s="277">
        <v>57</v>
      </c>
      <c r="AD931" s="277">
        <v>70</v>
      </c>
      <c r="AE931" s="253">
        <v>71</v>
      </c>
      <c r="AF931" s="253">
        <v>79</v>
      </c>
      <c r="AG931" s="253">
        <v>80</v>
      </c>
      <c r="AH931" s="253">
        <v>80</v>
      </c>
      <c r="AI931" s="253">
        <v>78</v>
      </c>
      <c r="AJ931" s="253">
        <v>76</v>
      </c>
      <c r="AK931" s="253">
        <v>77</v>
      </c>
      <c r="AL931" s="253">
        <v>78</v>
      </c>
      <c r="AM931" s="253">
        <v>87</v>
      </c>
      <c r="AN931" s="253">
        <v>83</v>
      </c>
      <c r="AO931" s="277">
        <v>80</v>
      </c>
      <c r="AP931" s="277">
        <v>80</v>
      </c>
      <c r="AQ931" s="277">
        <v>75</v>
      </c>
      <c r="AR931" s="277">
        <v>71</v>
      </c>
      <c r="AS931" s="277">
        <v>64</v>
      </c>
      <c r="AT931" s="277">
        <v>63</v>
      </c>
      <c r="AU931" s="277">
        <v>63</v>
      </c>
      <c r="AV931" s="277">
        <f t="shared" si="77"/>
        <v>63</v>
      </c>
      <c r="AX931" s="88" t="str">
        <f t="shared" ca="1" si="78"/>
        <v>NEE</v>
      </c>
    </row>
    <row r="932" spans="1:50" hidden="1">
      <c r="A932" s="88" t="str">
        <f t="shared" ca="1" si="76"/>
        <v>NEM</v>
      </c>
      <c r="F932" s="253">
        <v>86.1</v>
      </c>
      <c r="G932" s="253">
        <v>86.1</v>
      </c>
      <c r="H932" s="253">
        <v>86.1</v>
      </c>
      <c r="I932" s="253">
        <v>86.1</v>
      </c>
      <c r="J932" s="253">
        <v>86.1</v>
      </c>
      <c r="K932" s="253">
        <v>86</v>
      </c>
      <c r="L932" s="253">
        <v>86</v>
      </c>
      <c r="M932" s="253">
        <v>86</v>
      </c>
      <c r="N932" s="253">
        <v>86</v>
      </c>
      <c r="O932" s="253">
        <v>86</v>
      </c>
      <c r="P932" s="253">
        <v>86</v>
      </c>
      <c r="Q932" s="253">
        <v>86.48</v>
      </c>
      <c r="R932" s="253">
        <v>86.74</v>
      </c>
      <c r="S932" s="253">
        <v>86.74</v>
      </c>
      <c r="T932" s="253">
        <v>86.74</v>
      </c>
      <c r="U932" s="253">
        <v>86.74</v>
      </c>
      <c r="V932" s="253">
        <v>86.74</v>
      </c>
      <c r="W932" s="253">
        <v>86.74</v>
      </c>
      <c r="X932" s="253">
        <v>86.74</v>
      </c>
      <c r="Y932" s="253">
        <v>86.74</v>
      </c>
      <c r="Z932" s="247">
        <f ca="1">[1]ExtEntry!$O32</f>
        <v>98.578000000000003</v>
      </c>
      <c r="AB932" s="277">
        <v>77</v>
      </c>
      <c r="AC932" s="277">
        <v>75</v>
      </c>
      <c r="AD932" s="277">
        <v>79</v>
      </c>
      <c r="AE932" s="253">
        <v>80</v>
      </c>
      <c r="AF932" s="253">
        <v>82</v>
      </c>
      <c r="AG932" s="253">
        <v>76</v>
      </c>
      <c r="AH932" s="253">
        <v>75</v>
      </c>
      <c r="AI932" s="253">
        <v>64</v>
      </c>
      <c r="AJ932" s="253">
        <v>57</v>
      </c>
      <c r="AK932" s="253">
        <v>65</v>
      </c>
      <c r="AL932" s="253">
        <v>66</v>
      </c>
      <c r="AM932" s="253">
        <v>70</v>
      </c>
      <c r="AN932" s="253">
        <v>74</v>
      </c>
      <c r="AO932" s="277">
        <v>59</v>
      </c>
      <c r="AP932" s="277">
        <v>59</v>
      </c>
      <c r="AQ932" s="277">
        <v>48</v>
      </c>
      <c r="AR932" s="277">
        <v>47</v>
      </c>
      <c r="AS932" s="277">
        <v>49</v>
      </c>
      <c r="AT932" s="277">
        <v>51</v>
      </c>
      <c r="AU932" s="277">
        <v>44</v>
      </c>
      <c r="AV932" s="277">
        <f t="shared" si="77"/>
        <v>44</v>
      </c>
      <c r="AX932" s="88" t="str">
        <f t="shared" ca="1" si="78"/>
        <v>NEM</v>
      </c>
    </row>
    <row r="933" spans="1:50" hidden="1">
      <c r="A933" s="88" t="str">
        <f t="shared" ca="1" si="76"/>
        <v>NFLX</v>
      </c>
      <c r="F933" s="253">
        <v>87.93</v>
      </c>
      <c r="G933" s="253">
        <v>87.93</v>
      </c>
      <c r="H933" s="253">
        <v>87.93</v>
      </c>
      <c r="I933" s="253">
        <v>87.93</v>
      </c>
      <c r="J933" s="253">
        <v>87.93</v>
      </c>
      <c r="K933" s="253">
        <v>89.37</v>
      </c>
      <c r="L933" s="253">
        <v>89.37</v>
      </c>
      <c r="M933" s="253">
        <v>89.37</v>
      </c>
      <c r="N933" s="253">
        <v>89.37</v>
      </c>
      <c r="O933" s="253">
        <v>89.42</v>
      </c>
      <c r="P933" s="253">
        <v>91.236999999999995</v>
      </c>
      <c r="Q933" s="253">
        <v>93.93</v>
      </c>
      <c r="R933" s="253">
        <v>98.578000000000003</v>
      </c>
      <c r="S933" s="253">
        <v>98.578000000000003</v>
      </c>
      <c r="T933" s="253">
        <v>98.578000000000003</v>
      </c>
      <c r="U933" s="253">
        <v>98.578000000000003</v>
      </c>
      <c r="V933" s="253">
        <v>98.578000000000003</v>
      </c>
      <c r="W933" s="253">
        <v>98.578000000000003</v>
      </c>
      <c r="X933" s="253">
        <v>98.578000000000003</v>
      </c>
      <c r="Y933" s="253">
        <v>98.578000000000003</v>
      </c>
      <c r="Z933" s="247">
        <f ca="1">[1]ExtEntry!$O33</f>
        <v>1341.15</v>
      </c>
      <c r="AB933" s="277">
        <v>49</v>
      </c>
      <c r="AC933" s="277">
        <v>48</v>
      </c>
      <c r="AD933" s="277">
        <v>41</v>
      </c>
      <c r="AE933" s="253">
        <v>33</v>
      </c>
      <c r="AF933" s="253">
        <v>31</v>
      </c>
      <c r="AG933" s="253">
        <v>34</v>
      </c>
      <c r="AH933" s="253">
        <v>41</v>
      </c>
      <c r="AI933" s="253">
        <v>52</v>
      </c>
      <c r="AJ933" s="253">
        <v>58</v>
      </c>
      <c r="AK933" s="253">
        <v>57</v>
      </c>
      <c r="AL933" s="253">
        <v>53</v>
      </c>
      <c r="AM933" s="253">
        <v>52</v>
      </c>
      <c r="AN933" s="253">
        <v>52</v>
      </c>
      <c r="AO933" s="277">
        <v>51</v>
      </c>
      <c r="AP933" s="277">
        <v>55</v>
      </c>
      <c r="AQ933" s="277">
        <v>56</v>
      </c>
      <c r="AR933" s="277">
        <v>39</v>
      </c>
      <c r="AS933" s="277">
        <v>30</v>
      </c>
      <c r="AT933" s="277">
        <v>29</v>
      </c>
      <c r="AU933" s="277">
        <v>28</v>
      </c>
      <c r="AV933" s="277">
        <f t="shared" si="77"/>
        <v>28</v>
      </c>
      <c r="AX933" s="88" t="str">
        <f t="shared" ca="1" si="78"/>
        <v>NFLX</v>
      </c>
    </row>
    <row r="934" spans="1:50" hidden="1">
      <c r="A934" s="88" t="str">
        <f t="shared" ca="1" si="76"/>
        <v>NOTE</v>
      </c>
      <c r="F934" s="253">
        <v>1341.15</v>
      </c>
      <c r="G934" s="253">
        <v>1341.15</v>
      </c>
      <c r="H934" s="253">
        <v>1341.15</v>
      </c>
      <c r="I934" s="253">
        <v>1341.15</v>
      </c>
      <c r="J934" s="253">
        <v>1341.15</v>
      </c>
      <c r="K934" s="253">
        <v>1341.15</v>
      </c>
      <c r="L934" s="253">
        <v>1341.15</v>
      </c>
      <c r="M934" s="253">
        <v>1341.15</v>
      </c>
      <c r="N934" s="253">
        <v>1341.15</v>
      </c>
      <c r="O934" s="253">
        <v>1341.15</v>
      </c>
      <c r="P934" s="253">
        <v>1341.15</v>
      </c>
      <c r="Q934" s="253">
        <v>1341.15</v>
      </c>
      <c r="R934" s="253">
        <v>1341.15</v>
      </c>
      <c r="S934" s="253">
        <v>1341.15</v>
      </c>
      <c r="T934" s="253">
        <v>1341.15</v>
      </c>
      <c r="U934" s="253">
        <v>1341.15</v>
      </c>
      <c r="V934" s="253">
        <v>1341.15</v>
      </c>
      <c r="W934" s="253">
        <v>1341.15</v>
      </c>
      <c r="X934" s="253">
        <v>1341.15</v>
      </c>
      <c r="Y934" s="253">
        <v>1341.15</v>
      </c>
      <c r="Z934" s="247">
        <f ca="1">[1]ExtEntry!$O34</f>
        <v>24.36</v>
      </c>
      <c r="AB934" s="277">
        <v>37</v>
      </c>
      <c r="AC934" s="277">
        <v>37</v>
      </c>
      <c r="AD934" s="277">
        <v>42</v>
      </c>
      <c r="AE934" s="253">
        <v>53</v>
      </c>
      <c r="AF934" s="253">
        <v>51</v>
      </c>
      <c r="AG934" s="253">
        <v>45</v>
      </c>
      <c r="AH934" s="253">
        <v>43</v>
      </c>
      <c r="AI934" s="253">
        <v>38</v>
      </c>
      <c r="AJ934" s="253">
        <v>40</v>
      </c>
      <c r="AK934" s="253">
        <v>42</v>
      </c>
      <c r="AL934" s="253">
        <v>46</v>
      </c>
      <c r="AM934" s="253">
        <v>45</v>
      </c>
      <c r="AN934" s="253">
        <v>39</v>
      </c>
      <c r="AO934" s="277">
        <v>39</v>
      </c>
      <c r="AP934" s="277">
        <v>44</v>
      </c>
      <c r="AQ934" s="277">
        <v>37</v>
      </c>
      <c r="AR934" s="277">
        <v>36</v>
      </c>
      <c r="AS934" s="277">
        <v>34</v>
      </c>
      <c r="AT934" s="277">
        <v>40</v>
      </c>
      <c r="AU934" s="277">
        <v>40</v>
      </c>
      <c r="AV934" s="277">
        <f t="shared" si="77"/>
        <v>40</v>
      </c>
      <c r="AX934" s="88" t="str">
        <f t="shared" ca="1" si="78"/>
        <v>NOTE</v>
      </c>
    </row>
    <row r="935" spans="1:50" hidden="1">
      <c r="A935" s="88" t="str">
        <f t="shared" ca="1" si="76"/>
        <v>PAAS</v>
      </c>
      <c r="F935" s="253">
        <v>24.36</v>
      </c>
      <c r="G935" s="253">
        <v>24.36</v>
      </c>
      <c r="H935" s="253">
        <v>24.36</v>
      </c>
      <c r="I935" s="253">
        <v>24.36</v>
      </c>
      <c r="J935" s="253">
        <v>24.36</v>
      </c>
      <c r="K935" s="253">
        <v>24.36</v>
      </c>
      <c r="L935" s="253">
        <v>24.36</v>
      </c>
      <c r="M935" s="253">
        <v>24.36</v>
      </c>
      <c r="N935" s="253">
        <v>24.36</v>
      </c>
      <c r="O935" s="253">
        <v>24.36</v>
      </c>
      <c r="P935" s="253">
        <v>24.36</v>
      </c>
      <c r="Q935" s="253">
        <v>24.36</v>
      </c>
      <c r="R935" s="253">
        <v>24.36</v>
      </c>
      <c r="S935" s="253">
        <v>24.36</v>
      </c>
      <c r="T935" s="253">
        <v>24.36</v>
      </c>
      <c r="U935" s="253">
        <v>24.36</v>
      </c>
      <c r="V935" s="253">
        <v>24.36</v>
      </c>
      <c r="W935" s="253">
        <v>24.36</v>
      </c>
      <c r="X935" s="253">
        <v>24.36</v>
      </c>
      <c r="Y935" s="253">
        <v>24.36</v>
      </c>
      <c r="Z935" s="247">
        <f ca="1">[1]ExtEntry!$O35</f>
        <v>42.57</v>
      </c>
      <c r="AB935" s="277">
        <v>74</v>
      </c>
      <c r="AC935" s="277">
        <v>74</v>
      </c>
      <c r="AD935" s="277">
        <v>76</v>
      </c>
      <c r="AE935" s="253">
        <v>78</v>
      </c>
      <c r="AF935" s="253">
        <v>75</v>
      </c>
      <c r="AG935" s="253">
        <v>73</v>
      </c>
      <c r="AH935" s="253">
        <v>72</v>
      </c>
      <c r="AI935" s="253">
        <v>65</v>
      </c>
      <c r="AJ935" s="253">
        <v>60</v>
      </c>
      <c r="AK935" s="253">
        <v>64</v>
      </c>
      <c r="AL935" s="253">
        <v>58</v>
      </c>
      <c r="AM935" s="253">
        <v>65</v>
      </c>
      <c r="AN935" s="253">
        <v>67</v>
      </c>
      <c r="AO935" s="277">
        <v>54</v>
      </c>
      <c r="AP935" s="277">
        <v>53</v>
      </c>
      <c r="AQ935" s="277">
        <v>42</v>
      </c>
      <c r="AR935" s="277">
        <v>42</v>
      </c>
      <c r="AS935" s="277">
        <v>46</v>
      </c>
      <c r="AT935" s="277">
        <v>46</v>
      </c>
      <c r="AU935" s="277">
        <v>42</v>
      </c>
      <c r="AV935" s="277">
        <f t="shared" si="77"/>
        <v>42</v>
      </c>
      <c r="AX935" s="88" t="str">
        <f t="shared" ca="1" si="78"/>
        <v>PAAS</v>
      </c>
    </row>
    <row r="936" spans="1:50" hidden="1">
      <c r="A936" s="88" t="str">
        <f t="shared" ca="1" si="76"/>
        <v>PROF</v>
      </c>
      <c r="F936" s="253">
        <v>39.6</v>
      </c>
      <c r="G936" s="253">
        <v>39.6</v>
      </c>
      <c r="H936" s="253">
        <v>40.3399</v>
      </c>
      <c r="I936" s="253">
        <v>40.3399</v>
      </c>
      <c r="J936" s="253">
        <v>40.3399</v>
      </c>
      <c r="K936" s="253">
        <v>40.418999999999997</v>
      </c>
      <c r="L936" s="253">
        <v>40.64</v>
      </c>
      <c r="M936" s="253">
        <v>40.840000000000003</v>
      </c>
      <c r="N936" s="253">
        <v>40.840000000000003</v>
      </c>
      <c r="O936" s="253">
        <v>41.5</v>
      </c>
      <c r="P936" s="253">
        <v>41.5</v>
      </c>
      <c r="Q936" s="253">
        <v>41.5</v>
      </c>
      <c r="R936" s="253">
        <v>42.57</v>
      </c>
      <c r="S936" s="253">
        <v>42.57</v>
      </c>
      <c r="T936" s="253">
        <v>42.57</v>
      </c>
      <c r="U936" s="253">
        <v>42.57</v>
      </c>
      <c r="V936" s="253">
        <v>42.57</v>
      </c>
      <c r="W936" s="253">
        <v>42.57</v>
      </c>
      <c r="X936" s="253">
        <v>42.57</v>
      </c>
      <c r="Y936" s="253">
        <v>42.57</v>
      </c>
      <c r="Z936" s="247">
        <f ca="1">[1]ExtEntry!$O36</f>
        <v>9.17</v>
      </c>
      <c r="AB936" s="277">
        <v>70</v>
      </c>
      <c r="AC936" s="277">
        <v>66</v>
      </c>
      <c r="AD936" s="277">
        <v>69</v>
      </c>
      <c r="AE936" s="253">
        <v>72</v>
      </c>
      <c r="AF936" s="253">
        <v>75</v>
      </c>
      <c r="AG936" s="253">
        <v>79</v>
      </c>
      <c r="AH936" s="253">
        <v>84</v>
      </c>
      <c r="AI936" s="253">
        <v>82</v>
      </c>
      <c r="AJ936" s="253">
        <v>79</v>
      </c>
      <c r="AK936" s="253">
        <v>80</v>
      </c>
      <c r="AL936" s="253">
        <v>77</v>
      </c>
      <c r="AM936" s="253">
        <v>75</v>
      </c>
      <c r="AN936" s="253">
        <v>71</v>
      </c>
      <c r="AO936" s="277">
        <v>69</v>
      </c>
      <c r="AP936" s="277">
        <v>70</v>
      </c>
      <c r="AQ936" s="277">
        <v>70</v>
      </c>
      <c r="AR936" s="277">
        <v>58</v>
      </c>
      <c r="AS936" s="277">
        <v>49</v>
      </c>
      <c r="AT936" s="277">
        <v>51</v>
      </c>
      <c r="AU936" s="277">
        <v>52</v>
      </c>
      <c r="AV936" s="277">
        <f t="shared" si="77"/>
        <v>52</v>
      </c>
      <c r="AX936" s="88" t="str">
        <f t="shared" ca="1" si="78"/>
        <v>PROF</v>
      </c>
    </row>
    <row r="937" spans="1:50" hidden="1">
      <c r="A937" s="88" t="str">
        <f t="shared" ca="1" si="76"/>
        <v>POET</v>
      </c>
      <c r="F937" s="253">
        <v>9.17</v>
      </c>
      <c r="G937" s="253">
        <v>9.17</v>
      </c>
      <c r="H937" s="253">
        <v>9.17</v>
      </c>
      <c r="I937" s="253">
        <v>9.17</v>
      </c>
      <c r="J937" s="253">
        <v>9.17</v>
      </c>
      <c r="K937" s="253">
        <v>9.17</v>
      </c>
      <c r="L937" s="253">
        <v>9.17</v>
      </c>
      <c r="M937" s="253">
        <v>9.17</v>
      </c>
      <c r="N937" s="253">
        <v>9.17</v>
      </c>
      <c r="O937" s="253">
        <v>9.17</v>
      </c>
      <c r="P937" s="253">
        <v>9.17</v>
      </c>
      <c r="Q937" s="253">
        <v>9.17</v>
      </c>
      <c r="R937" s="253">
        <v>9.17</v>
      </c>
      <c r="S937" s="253">
        <v>9.17</v>
      </c>
      <c r="T937" s="253">
        <v>9.17</v>
      </c>
      <c r="U937" s="253">
        <v>9.17</v>
      </c>
      <c r="V937" s="253">
        <v>9.17</v>
      </c>
      <c r="W937" s="253">
        <v>9.17</v>
      </c>
      <c r="X937" s="253">
        <v>9.17</v>
      </c>
      <c r="Y937" s="253">
        <v>9.17</v>
      </c>
      <c r="Z937" s="247">
        <f ca="1">[1]ExtEntry!$O37</f>
        <v>9.41</v>
      </c>
      <c r="AB937" s="277">
        <v>45</v>
      </c>
      <c r="AC937" s="277">
        <v>47</v>
      </c>
      <c r="AD937" s="277">
        <v>55</v>
      </c>
      <c r="AE937" s="253">
        <v>60</v>
      </c>
      <c r="AF937" s="253">
        <v>55</v>
      </c>
      <c r="AG937" s="253">
        <v>67</v>
      </c>
      <c r="AH937" s="253">
        <v>72</v>
      </c>
      <c r="AI937" s="253">
        <v>70</v>
      </c>
      <c r="AJ937" s="253">
        <v>67</v>
      </c>
      <c r="AK937" s="253">
        <v>72</v>
      </c>
      <c r="AL937" s="253">
        <v>75</v>
      </c>
      <c r="AM937" s="253">
        <v>70</v>
      </c>
      <c r="AN937" s="253">
        <v>64</v>
      </c>
      <c r="AO937" s="277">
        <v>61</v>
      </c>
      <c r="AP937" s="277">
        <v>63</v>
      </c>
      <c r="AQ937" s="277">
        <v>63</v>
      </c>
      <c r="AR937" s="277">
        <v>60</v>
      </c>
      <c r="AS937" s="277">
        <v>59</v>
      </c>
      <c r="AT937" s="277">
        <v>58</v>
      </c>
      <c r="AU937" s="277">
        <v>64</v>
      </c>
      <c r="AV937" s="277">
        <f t="shared" si="77"/>
        <v>64</v>
      </c>
      <c r="AX937" s="88" t="str">
        <f t="shared" ca="1" si="78"/>
        <v>POET</v>
      </c>
    </row>
    <row r="938" spans="1:50" hidden="1">
      <c r="A938" s="88" t="str">
        <f t="shared" ca="1" si="76"/>
        <v>PW</v>
      </c>
      <c r="F938" s="253">
        <v>7.79</v>
      </c>
      <c r="G938" s="253">
        <v>7.79</v>
      </c>
      <c r="H938" s="253">
        <v>7.79</v>
      </c>
      <c r="I938" s="253">
        <v>7.79</v>
      </c>
      <c r="J938" s="253">
        <v>7.79</v>
      </c>
      <c r="K938" s="253">
        <v>8.1300000000000008</v>
      </c>
      <c r="L938" s="253">
        <v>9.2200000000000006</v>
      </c>
      <c r="M938" s="253">
        <v>9.41</v>
      </c>
      <c r="N938" s="253">
        <v>9.41</v>
      </c>
      <c r="O938" s="253">
        <v>9.41</v>
      </c>
      <c r="P938" s="253">
        <v>9.41</v>
      </c>
      <c r="Q938" s="253">
        <v>9.41</v>
      </c>
      <c r="R938" s="253">
        <v>9.41</v>
      </c>
      <c r="S938" s="253">
        <v>9.41</v>
      </c>
      <c r="T938" s="253">
        <v>9.41</v>
      </c>
      <c r="U938" s="253">
        <v>9.41</v>
      </c>
      <c r="V938" s="253">
        <v>9.41</v>
      </c>
      <c r="W938" s="253">
        <v>9.41</v>
      </c>
      <c r="X938" s="253">
        <v>9.41</v>
      </c>
      <c r="Y938" s="253">
        <v>9.41</v>
      </c>
      <c r="Z938" s="247">
        <f ca="1">[1]ExtEntry!$O38</f>
        <v>2.59</v>
      </c>
      <c r="AB938" s="277">
        <v>38</v>
      </c>
      <c r="AC938" s="277">
        <v>40</v>
      </c>
      <c r="AD938" s="277">
        <v>46</v>
      </c>
      <c r="AE938" s="253">
        <v>56</v>
      </c>
      <c r="AF938" s="253">
        <v>55</v>
      </c>
      <c r="AG938" s="253">
        <v>54</v>
      </c>
      <c r="AH938" s="253">
        <v>48</v>
      </c>
      <c r="AI938" s="253">
        <v>41</v>
      </c>
      <c r="AJ938" s="253">
        <v>37</v>
      </c>
      <c r="AK938" s="253">
        <v>35</v>
      </c>
      <c r="AL938" s="253">
        <v>33</v>
      </c>
      <c r="AM938" s="253">
        <v>37</v>
      </c>
      <c r="AN938" s="253">
        <v>39</v>
      </c>
      <c r="AO938" s="277">
        <v>37</v>
      </c>
      <c r="AP938" s="277">
        <v>37</v>
      </c>
      <c r="AQ938" s="277">
        <v>34</v>
      </c>
      <c r="AR938" s="277">
        <v>28</v>
      </c>
      <c r="AS938" s="277">
        <v>26</v>
      </c>
      <c r="AT938" s="277">
        <v>25</v>
      </c>
      <c r="AU938" s="277">
        <v>23</v>
      </c>
      <c r="AV938" s="277">
        <f t="shared" si="77"/>
        <v>23</v>
      </c>
      <c r="AX938" s="88" t="str">
        <f t="shared" ca="1" si="78"/>
        <v>PW</v>
      </c>
    </row>
    <row r="939" spans="1:50" hidden="1">
      <c r="A939" s="88" t="str">
        <f t="shared" ca="1" si="76"/>
        <v>RIGL</v>
      </c>
      <c r="F939" s="253">
        <v>2.75</v>
      </c>
      <c r="G939" s="253">
        <v>2.75</v>
      </c>
      <c r="H939" s="253">
        <v>2.75</v>
      </c>
      <c r="I939" s="253">
        <v>2.75</v>
      </c>
      <c r="J939" s="253">
        <v>2.75</v>
      </c>
      <c r="K939" s="253">
        <v>2.59</v>
      </c>
      <c r="L939" s="253">
        <v>2.59</v>
      </c>
      <c r="M939" s="253">
        <v>2.59</v>
      </c>
      <c r="N939" s="253">
        <v>2.59</v>
      </c>
      <c r="O939" s="253">
        <v>2.59</v>
      </c>
      <c r="P939" s="253">
        <v>2.59</v>
      </c>
      <c r="Q939" s="253">
        <v>2.59</v>
      </c>
      <c r="R939" s="253">
        <v>2.59</v>
      </c>
      <c r="S939" s="253">
        <v>2.59</v>
      </c>
      <c r="T939" s="253">
        <v>2.59</v>
      </c>
      <c r="U939" s="253">
        <v>2.59</v>
      </c>
      <c r="V939" s="253">
        <v>2.59</v>
      </c>
      <c r="W939" s="253">
        <v>2.59</v>
      </c>
      <c r="X939" s="253">
        <v>2.59</v>
      </c>
      <c r="Y939" s="253">
        <v>2.59</v>
      </c>
      <c r="Z939" s="247">
        <f ca="1">[1]ExtEntry!$O39</f>
        <v>43.7181</v>
      </c>
      <c r="AB939" s="277">
        <v>27</v>
      </c>
      <c r="AC939" s="277">
        <v>23</v>
      </c>
      <c r="AD939" s="277">
        <v>19</v>
      </c>
      <c r="AE939" s="253">
        <v>17</v>
      </c>
      <c r="AF939" s="253">
        <v>19</v>
      </c>
      <c r="AG939" s="253">
        <v>28</v>
      </c>
      <c r="AH939" s="253">
        <v>24</v>
      </c>
      <c r="AI939" s="253">
        <v>17</v>
      </c>
      <c r="AJ939" s="253">
        <v>16</v>
      </c>
      <c r="AK939" s="253">
        <v>15</v>
      </c>
      <c r="AL939" s="253">
        <v>19</v>
      </c>
      <c r="AM939" s="253">
        <v>26</v>
      </c>
      <c r="AN939" s="253">
        <v>21</v>
      </c>
      <c r="AO939" s="277">
        <v>21</v>
      </c>
      <c r="AP939" s="277">
        <v>31</v>
      </c>
      <c r="AQ939" s="277">
        <v>33</v>
      </c>
      <c r="AR939" s="277">
        <v>36</v>
      </c>
      <c r="AS939" s="277">
        <v>51</v>
      </c>
      <c r="AT939" s="277">
        <v>52</v>
      </c>
      <c r="AU939" s="277">
        <v>55</v>
      </c>
      <c r="AV939" s="277">
        <f t="shared" si="77"/>
        <v>55</v>
      </c>
      <c r="AX939" s="88" t="str">
        <f t="shared" ca="1" si="78"/>
        <v>RIGL</v>
      </c>
    </row>
    <row r="940" spans="1:50" hidden="1">
      <c r="A940" s="88" t="str">
        <f t="shared" ca="1" si="76"/>
        <v>RWE</v>
      </c>
      <c r="F940" s="253">
        <v>43.7181</v>
      </c>
      <c r="G940" s="253">
        <v>43.7181</v>
      </c>
      <c r="H940" s="253">
        <v>43.7181</v>
      </c>
      <c r="I940" s="253">
        <v>43.7181</v>
      </c>
      <c r="J940" s="253">
        <v>43.7181</v>
      </c>
      <c r="K940" s="253">
        <v>43.7181</v>
      </c>
      <c r="L940" s="253">
        <v>43.7181</v>
      </c>
      <c r="M940" s="253">
        <v>43.7181</v>
      </c>
      <c r="N940" s="253">
        <v>43.7181</v>
      </c>
      <c r="O940" s="253">
        <v>43.7181</v>
      </c>
      <c r="P940" s="253">
        <v>43.7181</v>
      </c>
      <c r="Q940" s="253">
        <v>43.7181</v>
      </c>
      <c r="R940" s="253">
        <v>43.7181</v>
      </c>
      <c r="S940" s="253">
        <v>43.7181</v>
      </c>
      <c r="T940" s="253">
        <v>43.7181</v>
      </c>
      <c r="U940" s="253">
        <v>43.7181</v>
      </c>
      <c r="V940" s="253">
        <v>43.7181</v>
      </c>
      <c r="W940" s="253">
        <v>43.7181</v>
      </c>
      <c r="X940" s="253">
        <v>43.7181</v>
      </c>
      <c r="Y940" s="253">
        <v>43.7181</v>
      </c>
      <c r="Z940" s="247">
        <f ca="1">[1]ExtEntry!$O40</f>
        <v>41.61</v>
      </c>
      <c r="AB940" s="277">
        <v>78</v>
      </c>
      <c r="AC940" s="277">
        <v>80</v>
      </c>
      <c r="AD940" s="277">
        <v>81</v>
      </c>
      <c r="AE940" s="253">
        <v>79</v>
      </c>
      <c r="AF940" s="253">
        <v>77</v>
      </c>
      <c r="AG940" s="253">
        <v>78</v>
      </c>
      <c r="AH940" s="253">
        <v>80</v>
      </c>
      <c r="AI940" s="253">
        <v>78</v>
      </c>
      <c r="AJ940" s="253">
        <v>78</v>
      </c>
      <c r="AK940" s="253">
        <v>79</v>
      </c>
      <c r="AL940" s="253">
        <v>75</v>
      </c>
      <c r="AM940" s="253">
        <v>81</v>
      </c>
      <c r="AN940" s="253">
        <v>87</v>
      </c>
      <c r="AO940" s="277">
        <v>84</v>
      </c>
      <c r="AP940" s="277">
        <v>82</v>
      </c>
      <c r="AQ940" s="277">
        <v>75</v>
      </c>
      <c r="AR940" s="277">
        <v>71</v>
      </c>
      <c r="AS940" s="277">
        <v>67</v>
      </c>
      <c r="AT940" s="277">
        <v>64</v>
      </c>
      <c r="AU940" s="277">
        <v>63</v>
      </c>
      <c r="AV940" s="277">
        <f t="shared" si="77"/>
        <v>63</v>
      </c>
      <c r="AX940" s="88" t="str">
        <f t="shared" ca="1" si="78"/>
        <v>RWE</v>
      </c>
    </row>
    <row r="941" spans="1:50" hidden="1">
      <c r="A941" s="88" t="str">
        <f t="shared" ca="1" si="76"/>
        <v>SAP</v>
      </c>
      <c r="F941" s="253">
        <v>38.1</v>
      </c>
      <c r="G941" s="253">
        <v>44.03</v>
      </c>
      <c r="H941" s="253">
        <v>44.03</v>
      </c>
      <c r="I941" s="253">
        <v>44.03</v>
      </c>
      <c r="J941" s="253">
        <v>44.03</v>
      </c>
      <c r="K941" s="253">
        <v>44.03</v>
      </c>
      <c r="L941" s="253">
        <v>44.03</v>
      </c>
      <c r="M941" s="253">
        <v>44.03</v>
      </c>
      <c r="N941" s="253">
        <v>44.03</v>
      </c>
      <c r="O941" s="253">
        <v>44.03</v>
      </c>
      <c r="P941" s="253">
        <v>44.03</v>
      </c>
      <c r="Q941" s="253">
        <v>44.03</v>
      </c>
      <c r="R941" s="253">
        <v>44.03</v>
      </c>
      <c r="S941" s="253">
        <v>44.03</v>
      </c>
      <c r="T941" s="253">
        <v>44.03</v>
      </c>
      <c r="U941" s="253">
        <v>44.03</v>
      </c>
      <c r="V941" s="253">
        <v>44.03</v>
      </c>
      <c r="W941" s="253">
        <v>44.03</v>
      </c>
      <c r="X941" s="253">
        <v>44.03</v>
      </c>
      <c r="Y941" s="253">
        <v>44.03</v>
      </c>
      <c r="Z941" s="247">
        <f ca="1">[1]ExtEntry!$O41</f>
        <v>283.5</v>
      </c>
      <c r="AB941" s="277">
        <v>39</v>
      </c>
      <c r="AC941" s="277">
        <v>38</v>
      </c>
      <c r="AD941" s="277">
        <v>35</v>
      </c>
      <c r="AE941" s="253">
        <v>40</v>
      </c>
      <c r="AF941" s="253">
        <v>37</v>
      </c>
      <c r="AG941" s="253">
        <v>40</v>
      </c>
      <c r="AH941" s="253">
        <v>46</v>
      </c>
      <c r="AI941" s="253">
        <v>50</v>
      </c>
      <c r="AJ941" s="253">
        <v>49</v>
      </c>
      <c r="AK941" s="253">
        <v>57</v>
      </c>
      <c r="AL941" s="253">
        <v>66</v>
      </c>
      <c r="AM941" s="253">
        <v>73</v>
      </c>
      <c r="AN941" s="253">
        <v>61</v>
      </c>
      <c r="AO941" s="277">
        <v>61</v>
      </c>
      <c r="AP941" s="277">
        <v>71</v>
      </c>
      <c r="AQ941" s="277">
        <v>78</v>
      </c>
      <c r="AR941" s="277">
        <v>70</v>
      </c>
      <c r="AS941" s="277">
        <v>63</v>
      </c>
      <c r="AT941" s="277">
        <v>71</v>
      </c>
      <c r="AU941" s="277">
        <v>60</v>
      </c>
      <c r="AV941" s="277">
        <f t="shared" si="77"/>
        <v>60</v>
      </c>
      <c r="AX941" s="88" t="str">
        <f t="shared" ca="1" si="78"/>
        <v>SAP</v>
      </c>
    </row>
    <row r="942" spans="1:50" hidden="1">
      <c r="A942" s="88" t="str">
        <f t="shared" ca="1" si="76"/>
        <v>SHECY</v>
      </c>
      <c r="F942" s="253">
        <v>283.5</v>
      </c>
      <c r="G942" s="253">
        <v>283.5</v>
      </c>
      <c r="H942" s="253">
        <v>283.5</v>
      </c>
      <c r="I942" s="253">
        <v>283.5</v>
      </c>
      <c r="J942" s="253">
        <v>283.5</v>
      </c>
      <c r="K942" s="253">
        <v>283.5</v>
      </c>
      <c r="L942" s="253">
        <v>283.5</v>
      </c>
      <c r="M942" s="253">
        <v>283.5</v>
      </c>
      <c r="N942" s="253">
        <v>283.5</v>
      </c>
      <c r="O942" s="253">
        <v>283.5</v>
      </c>
      <c r="P942" s="253">
        <v>283.5</v>
      </c>
      <c r="Q942" s="253">
        <v>283.5</v>
      </c>
      <c r="R942" s="253">
        <v>283.5</v>
      </c>
      <c r="S942" s="253">
        <v>283.5</v>
      </c>
      <c r="T942" s="253">
        <v>283.5</v>
      </c>
      <c r="U942" s="253">
        <v>283.5</v>
      </c>
      <c r="V942" s="253">
        <v>283.5</v>
      </c>
      <c r="W942" s="253">
        <v>283.5</v>
      </c>
      <c r="X942" s="253">
        <v>283.5</v>
      </c>
      <c r="Y942" s="253">
        <v>283.5</v>
      </c>
      <c r="Z942" s="247">
        <f ca="1">[1]ExtEntry!$O42</f>
        <v>20.102</v>
      </c>
      <c r="AB942" s="277">
        <v>66</v>
      </c>
      <c r="AC942" s="277">
        <v>68</v>
      </c>
      <c r="AD942" s="277">
        <v>70</v>
      </c>
      <c r="AE942" s="253">
        <v>76</v>
      </c>
      <c r="AF942" s="253">
        <v>78</v>
      </c>
      <c r="AG942" s="253">
        <v>75</v>
      </c>
      <c r="AH942" s="253">
        <v>69</v>
      </c>
      <c r="AI942" s="253">
        <v>67</v>
      </c>
      <c r="AJ942" s="253">
        <v>70</v>
      </c>
      <c r="AK942" s="253">
        <v>72</v>
      </c>
      <c r="AL942" s="253">
        <v>73</v>
      </c>
      <c r="AM942" s="253">
        <v>68</v>
      </c>
      <c r="AN942" s="253">
        <v>64</v>
      </c>
      <c r="AO942" s="277">
        <v>64</v>
      </c>
      <c r="AP942" s="277">
        <v>61</v>
      </c>
      <c r="AQ942" s="277">
        <v>58</v>
      </c>
      <c r="AR942" s="277">
        <v>56</v>
      </c>
      <c r="AS942" s="277">
        <v>54</v>
      </c>
      <c r="AT942" s="277">
        <v>57</v>
      </c>
      <c r="AU942" s="277">
        <v>48</v>
      </c>
      <c r="AV942" s="277">
        <f t="shared" si="77"/>
        <v>48</v>
      </c>
      <c r="AX942" s="88" t="str">
        <f t="shared" ca="1" si="78"/>
        <v>SHECY</v>
      </c>
    </row>
    <row r="943" spans="1:50" hidden="1">
      <c r="A943" s="88" t="str">
        <f t="shared" ca="1" si="76"/>
        <v>SSYS</v>
      </c>
      <c r="F943" s="253">
        <v>21.59</v>
      </c>
      <c r="G943" s="253">
        <v>21.59</v>
      </c>
      <c r="H943" s="253">
        <v>21.59</v>
      </c>
      <c r="I943" s="253">
        <v>21.59</v>
      </c>
      <c r="J943" s="253">
        <v>21.59</v>
      </c>
      <c r="K943" s="253">
        <v>21.59</v>
      </c>
      <c r="L943" s="253">
        <v>21.59</v>
      </c>
      <c r="M943" s="253">
        <v>21.59</v>
      </c>
      <c r="N943" s="253">
        <v>21.59</v>
      </c>
      <c r="O943" s="253">
        <v>20.77</v>
      </c>
      <c r="P943" s="253">
        <v>20.77</v>
      </c>
      <c r="Q943" s="253">
        <v>20.61</v>
      </c>
      <c r="R943" s="253">
        <v>20.61</v>
      </c>
      <c r="S943" s="253">
        <v>20.61</v>
      </c>
      <c r="T943" s="253">
        <v>20.102</v>
      </c>
      <c r="U943" s="253">
        <v>20.102</v>
      </c>
      <c r="V943" s="253">
        <v>20.102</v>
      </c>
      <c r="W943" s="253">
        <v>20.102</v>
      </c>
      <c r="X943" s="253">
        <v>20.102</v>
      </c>
      <c r="Y943" s="253">
        <v>20.102</v>
      </c>
      <c r="Z943" s="247">
        <f ca="1">[1]ExtEntry!$O43</f>
        <v>12.88</v>
      </c>
      <c r="AB943" s="277">
        <v>64</v>
      </c>
      <c r="AC943" s="277">
        <v>64</v>
      </c>
      <c r="AD943" s="277">
        <v>65</v>
      </c>
      <c r="AE943" s="253">
        <v>69</v>
      </c>
      <c r="AF943" s="253">
        <v>69</v>
      </c>
      <c r="AG943" s="253">
        <v>67</v>
      </c>
      <c r="AH943" s="253">
        <v>70</v>
      </c>
      <c r="AI943" s="253">
        <v>69</v>
      </c>
      <c r="AJ943" s="253">
        <v>68</v>
      </c>
      <c r="AK943" s="253">
        <v>70</v>
      </c>
      <c r="AL943" s="253">
        <v>70</v>
      </c>
      <c r="AM943" s="253">
        <v>73</v>
      </c>
      <c r="AN943" s="253">
        <v>72</v>
      </c>
      <c r="AO943" s="277">
        <v>62</v>
      </c>
      <c r="AP943" s="277">
        <v>67</v>
      </c>
      <c r="AQ943" s="277">
        <v>70</v>
      </c>
      <c r="AR943" s="277">
        <v>51</v>
      </c>
      <c r="AS943" s="277">
        <v>44</v>
      </c>
      <c r="AT943" s="277">
        <v>48</v>
      </c>
      <c r="AU943" s="277">
        <v>49</v>
      </c>
      <c r="AV943" s="277">
        <f t="shared" si="77"/>
        <v>49</v>
      </c>
      <c r="AX943" s="88" t="str">
        <f t="shared" ca="1" si="78"/>
        <v>SSYS</v>
      </c>
    </row>
    <row r="944" spans="1:50" hidden="1">
      <c r="A944" s="88" t="str">
        <f t="shared" ca="1" si="76"/>
        <v>TSLA</v>
      </c>
      <c r="F944" s="253">
        <v>12.88</v>
      </c>
      <c r="G944" s="253">
        <v>12.88</v>
      </c>
      <c r="H944" s="253">
        <v>12.88</v>
      </c>
      <c r="I944" s="253">
        <v>12.88</v>
      </c>
      <c r="J944" s="253">
        <v>12.88</v>
      </c>
      <c r="K944" s="253">
        <v>12.88</v>
      </c>
      <c r="L944" s="253">
        <v>12.88</v>
      </c>
      <c r="M944" s="253">
        <v>12.88</v>
      </c>
      <c r="N944" s="253">
        <v>12.88</v>
      </c>
      <c r="O944" s="253">
        <v>12.88</v>
      </c>
      <c r="P944" s="253">
        <v>12.88</v>
      </c>
      <c r="Q944" s="253">
        <v>12.88</v>
      </c>
      <c r="R944" s="253">
        <v>12.88</v>
      </c>
      <c r="S944" s="253">
        <v>12.88</v>
      </c>
      <c r="T944" s="253">
        <v>12.88</v>
      </c>
      <c r="U944" s="253">
        <v>12.88</v>
      </c>
      <c r="V944" s="253">
        <v>12.88</v>
      </c>
      <c r="W944" s="253">
        <v>12.88</v>
      </c>
      <c r="X944" s="253">
        <v>12.88</v>
      </c>
      <c r="Y944" s="253">
        <v>12.88</v>
      </c>
      <c r="Z944" s="247">
        <f ca="1">[1]ExtEntry!$O44</f>
        <v>488.53989999999999</v>
      </c>
      <c r="AB944" s="277">
        <v>80</v>
      </c>
      <c r="AC944" s="277">
        <v>80</v>
      </c>
      <c r="AD944" s="277">
        <v>81</v>
      </c>
      <c r="AE944" s="253">
        <v>73</v>
      </c>
      <c r="AF944" s="253">
        <v>72</v>
      </c>
      <c r="AG944" s="253">
        <v>67</v>
      </c>
      <c r="AH944" s="253">
        <v>67</v>
      </c>
      <c r="AI944" s="253">
        <v>64</v>
      </c>
      <c r="AJ944" s="253">
        <v>59</v>
      </c>
      <c r="AK944" s="253">
        <v>58</v>
      </c>
      <c r="AL944" s="253">
        <v>53</v>
      </c>
      <c r="AM944" s="253">
        <v>52</v>
      </c>
      <c r="AN944" s="253">
        <v>52</v>
      </c>
      <c r="AO944" s="277">
        <v>53</v>
      </c>
      <c r="AP944" s="277">
        <v>52</v>
      </c>
      <c r="AQ944" s="277">
        <v>49</v>
      </c>
      <c r="AR944" s="277">
        <v>51</v>
      </c>
      <c r="AS944" s="277">
        <v>45</v>
      </c>
      <c r="AT944" s="277">
        <v>53</v>
      </c>
      <c r="AU944" s="277">
        <v>44</v>
      </c>
      <c r="AV944" s="277">
        <f t="shared" si="77"/>
        <v>44</v>
      </c>
      <c r="AX944" s="88" t="str">
        <f t="shared" ca="1" si="78"/>
        <v>TSLA</v>
      </c>
    </row>
    <row r="945" spans="1:50" hidden="1">
      <c r="A945" s="88" t="str">
        <f t="shared" ca="1" si="76"/>
        <v>TSM</v>
      </c>
      <c r="F945" s="253">
        <v>488.53989999999999</v>
      </c>
      <c r="G945" s="253">
        <v>488.53989999999999</v>
      </c>
      <c r="H945" s="253">
        <v>488.53989999999999</v>
      </c>
      <c r="I945" s="253">
        <v>488.53989999999999</v>
      </c>
      <c r="J945" s="253">
        <v>488.53989999999999</v>
      </c>
      <c r="K945" s="253">
        <v>488.53989999999999</v>
      </c>
      <c r="L945" s="253">
        <v>488.53989999999999</v>
      </c>
      <c r="M945" s="253">
        <v>488.53989999999999</v>
      </c>
      <c r="N945" s="253">
        <v>488.53989999999999</v>
      </c>
      <c r="O945" s="253">
        <v>488.53989999999999</v>
      </c>
      <c r="P945" s="253">
        <v>488.53989999999999</v>
      </c>
      <c r="Q945" s="253">
        <v>488.53989999999999</v>
      </c>
      <c r="R945" s="253">
        <v>488.53989999999999</v>
      </c>
      <c r="S945" s="253">
        <v>488.53989999999999</v>
      </c>
      <c r="T945" s="253">
        <v>488.53989999999999</v>
      </c>
      <c r="U945" s="253">
        <v>488.53989999999999</v>
      </c>
      <c r="V945" s="253">
        <v>488.53989999999999</v>
      </c>
      <c r="W945" s="253">
        <v>488.53989999999999</v>
      </c>
      <c r="X945" s="253">
        <v>488.53989999999999</v>
      </c>
      <c r="Y945" s="253">
        <v>488.53989999999999</v>
      </c>
      <c r="Z945" s="247">
        <f ca="1">[1]ExtEntry!$O45</f>
        <v>311.36849999999998</v>
      </c>
      <c r="AB945" s="277">
        <v>76</v>
      </c>
      <c r="AC945" s="277">
        <v>77</v>
      </c>
      <c r="AD945" s="277">
        <v>78</v>
      </c>
      <c r="AE945" s="253">
        <v>77</v>
      </c>
      <c r="AF945" s="253">
        <v>77</v>
      </c>
      <c r="AG945" s="253">
        <v>69</v>
      </c>
      <c r="AH945" s="253">
        <v>69</v>
      </c>
      <c r="AI945" s="253">
        <v>67</v>
      </c>
      <c r="AJ945" s="253">
        <v>64</v>
      </c>
      <c r="AK945" s="253">
        <v>70</v>
      </c>
      <c r="AL945" s="253">
        <v>66</v>
      </c>
      <c r="AM945" s="253">
        <v>68</v>
      </c>
      <c r="AN945" s="253">
        <v>64</v>
      </c>
      <c r="AO945" s="277">
        <v>63</v>
      </c>
      <c r="AP945" s="277">
        <v>66</v>
      </c>
      <c r="AQ945" s="277">
        <v>61</v>
      </c>
      <c r="AR945" s="277">
        <v>55</v>
      </c>
      <c r="AS945" s="277">
        <v>53</v>
      </c>
      <c r="AT945" s="277">
        <v>56</v>
      </c>
      <c r="AU945" s="277">
        <v>59</v>
      </c>
      <c r="AV945" s="277">
        <f t="shared" si="77"/>
        <v>59</v>
      </c>
      <c r="AX945" s="88" t="str">
        <f t="shared" ca="1" si="78"/>
        <v>TSM</v>
      </c>
    </row>
    <row r="946" spans="1:50" hidden="1">
      <c r="A946" s="88" t="str">
        <f t="shared" ca="1" si="76"/>
        <v>UN0</v>
      </c>
      <c r="F946" s="253">
        <v>286</v>
      </c>
      <c r="G946" s="253">
        <v>286</v>
      </c>
      <c r="H946" s="253">
        <v>290.48</v>
      </c>
      <c r="I946" s="253">
        <v>296.72000000000003</v>
      </c>
      <c r="J946" s="253">
        <v>296.72000000000003</v>
      </c>
      <c r="K946" s="253">
        <v>307.3</v>
      </c>
      <c r="L946" s="253">
        <v>307.3</v>
      </c>
      <c r="M946" s="253">
        <v>307.3</v>
      </c>
      <c r="N946" s="253">
        <v>307.3</v>
      </c>
      <c r="O946" s="253">
        <v>307.3</v>
      </c>
      <c r="P946" s="253">
        <v>307.3</v>
      </c>
      <c r="Q946" s="253">
        <v>307.3</v>
      </c>
      <c r="R946" s="253">
        <v>311.36849999999998</v>
      </c>
      <c r="S946" s="253">
        <v>311.36849999999998</v>
      </c>
      <c r="T946" s="253">
        <v>311.36849999999998</v>
      </c>
      <c r="U946" s="253">
        <v>311.36849999999998</v>
      </c>
      <c r="V946" s="253">
        <v>311.36849999999998</v>
      </c>
      <c r="W946" s="253">
        <v>311.36849999999998</v>
      </c>
      <c r="X946" s="253">
        <v>311.36849999999998</v>
      </c>
      <c r="Y946" s="253">
        <v>311.36849999999998</v>
      </c>
      <c r="Z946" s="247">
        <f ca="1">[1]ExtEntry!$O46</f>
        <v>73.5</v>
      </c>
      <c r="AB946" s="277">
        <v>45</v>
      </c>
      <c r="AC946" s="277">
        <v>40</v>
      </c>
      <c r="AD946" s="277">
        <v>38</v>
      </c>
      <c r="AE946" s="253">
        <v>33</v>
      </c>
      <c r="AF946" s="253">
        <v>35</v>
      </c>
      <c r="AG946" s="253">
        <v>30</v>
      </c>
      <c r="AH946" s="253">
        <v>32</v>
      </c>
      <c r="AI946" s="253">
        <v>37</v>
      </c>
      <c r="AJ946" s="253">
        <v>30</v>
      </c>
      <c r="AK946" s="253">
        <v>32</v>
      </c>
      <c r="AL946" s="253">
        <v>31</v>
      </c>
      <c r="AM946" s="253">
        <v>32</v>
      </c>
      <c r="AN946" s="253">
        <v>30</v>
      </c>
      <c r="AO946" s="277">
        <v>35</v>
      </c>
      <c r="AP946" s="277">
        <v>51</v>
      </c>
      <c r="AQ946" s="277">
        <v>42</v>
      </c>
      <c r="AR946" s="277">
        <v>47</v>
      </c>
      <c r="AS946" s="277">
        <v>47</v>
      </c>
      <c r="AT946" s="277">
        <v>42</v>
      </c>
      <c r="AU946" s="277">
        <v>40</v>
      </c>
      <c r="AV946" s="277">
        <f t="shared" si="77"/>
        <v>40</v>
      </c>
      <c r="AX946" s="88" t="str">
        <f t="shared" ca="1" si="78"/>
        <v>UN0</v>
      </c>
    </row>
    <row r="947" spans="1:50" hidden="1">
      <c r="A947" s="88" t="str">
        <f t="shared" ca="1" si="76"/>
        <v>UNIT</v>
      </c>
      <c r="F947" s="253">
        <v>73.5</v>
      </c>
      <c r="G947" s="253">
        <v>73.5</v>
      </c>
      <c r="H947" s="253">
        <v>73.5</v>
      </c>
      <c r="I947" s="253">
        <v>73.5</v>
      </c>
      <c r="J947" s="253">
        <v>73.5</v>
      </c>
      <c r="K947" s="253">
        <v>73.5</v>
      </c>
      <c r="L947" s="253">
        <v>73.5</v>
      </c>
      <c r="M947" s="253">
        <v>73.5</v>
      </c>
      <c r="N947" s="253">
        <v>73.5</v>
      </c>
      <c r="O947" s="253">
        <v>73.5</v>
      </c>
      <c r="P947" s="253">
        <v>73.5</v>
      </c>
      <c r="Q947" s="253">
        <v>73.5</v>
      </c>
      <c r="R947" s="253">
        <v>73.5</v>
      </c>
      <c r="S947" s="253">
        <v>73.5</v>
      </c>
      <c r="T947" s="253">
        <v>73.5</v>
      </c>
      <c r="U947" s="253">
        <v>73.5</v>
      </c>
      <c r="V947" s="253">
        <v>73.5</v>
      </c>
      <c r="W947" s="253">
        <v>73.5</v>
      </c>
      <c r="X947" s="253">
        <v>73.5</v>
      </c>
      <c r="Y947" s="253">
        <v>73.5</v>
      </c>
      <c r="Z947" s="247">
        <f ca="1">[1]ExtEntry!$O47</f>
        <v>10.466100000000001</v>
      </c>
      <c r="AB947" s="277">
        <v>47</v>
      </c>
      <c r="AC947" s="277">
        <v>46</v>
      </c>
      <c r="AD947" s="277">
        <v>43</v>
      </c>
      <c r="AE947" s="253">
        <v>38</v>
      </c>
      <c r="AF947" s="253">
        <v>26</v>
      </c>
      <c r="AG947" s="253">
        <v>26</v>
      </c>
      <c r="AH947" s="253">
        <v>30</v>
      </c>
      <c r="AI947" s="253">
        <v>24</v>
      </c>
      <c r="AJ947" s="253">
        <v>24</v>
      </c>
      <c r="AK947" s="253">
        <v>23</v>
      </c>
      <c r="AL947" s="253">
        <v>23</v>
      </c>
      <c r="AM947" s="253">
        <v>30</v>
      </c>
      <c r="AN947" s="253">
        <v>23</v>
      </c>
      <c r="AO947" s="277">
        <v>28</v>
      </c>
      <c r="AP947" s="277">
        <v>33</v>
      </c>
      <c r="AQ947" s="277">
        <v>29</v>
      </c>
      <c r="AR947" s="277">
        <v>23</v>
      </c>
      <c r="AS947" s="277">
        <v>25</v>
      </c>
      <c r="AT947" s="277">
        <v>36</v>
      </c>
      <c r="AU947" s="277">
        <v>42</v>
      </c>
      <c r="AV947" s="277">
        <f t="shared" si="77"/>
        <v>42</v>
      </c>
      <c r="AX947" s="88" t="str">
        <f t="shared" ca="1" si="78"/>
        <v>UNIT</v>
      </c>
    </row>
    <row r="948" spans="1:50" hidden="1">
      <c r="A948" s="88" t="str">
        <f t="shared" ca="1" si="76"/>
        <v>AVGO</v>
      </c>
      <c r="F948" s="253">
        <v>10.466100000000001</v>
      </c>
      <c r="G948" s="253">
        <v>10.466100000000001</v>
      </c>
      <c r="H948" s="253">
        <v>10.466100000000001</v>
      </c>
      <c r="I948" s="253">
        <v>10.466100000000001</v>
      </c>
      <c r="J948" s="253">
        <v>10.466100000000001</v>
      </c>
      <c r="K948" s="253">
        <v>10.466100000000001</v>
      </c>
      <c r="L948" s="253">
        <v>10.466100000000001</v>
      </c>
      <c r="M948" s="253">
        <v>10.466100000000001</v>
      </c>
      <c r="N948" s="253">
        <v>10.466100000000001</v>
      </c>
      <c r="O948" s="253">
        <v>10.466100000000001</v>
      </c>
      <c r="P948" s="253">
        <v>10.466100000000001</v>
      </c>
      <c r="Q948" s="253">
        <v>10.466100000000001</v>
      </c>
      <c r="R948" s="253">
        <v>10.466100000000001</v>
      </c>
      <c r="S948" s="253">
        <v>10.466100000000001</v>
      </c>
      <c r="T948" s="253">
        <v>10.466100000000001</v>
      </c>
      <c r="U948" s="253">
        <v>10.466100000000001</v>
      </c>
      <c r="V948" s="253">
        <v>10.466100000000001</v>
      </c>
      <c r="W948" s="253">
        <v>10.466100000000001</v>
      </c>
      <c r="X948" s="253">
        <v>10.466100000000001</v>
      </c>
      <c r="Y948" s="253">
        <v>10.466100000000001</v>
      </c>
      <c r="Z948" s="247">
        <f ca="1">[1]ExtEntry!$O48</f>
        <v>374.23</v>
      </c>
      <c r="AB948" s="277">
        <v>61</v>
      </c>
      <c r="AC948" s="277" t="e">
        <v>#REF!</v>
      </c>
      <c r="AD948" s="277" t="e">
        <v>#REF!</v>
      </c>
      <c r="AE948" s="253" t="e">
        <v>#REF!</v>
      </c>
      <c r="AF948" s="253" t="e">
        <v>#REF!</v>
      </c>
      <c r="AG948" s="253" t="e">
        <v>#REF!</v>
      </c>
      <c r="AH948" s="253" t="e">
        <v>#REF!</v>
      </c>
      <c r="AI948" s="253" t="e">
        <v>#REF!</v>
      </c>
      <c r="AJ948" s="253" t="e">
        <v>#REF!</v>
      </c>
      <c r="AK948" s="253" t="e">
        <v>#REF!</v>
      </c>
      <c r="AL948" s="253" t="e">
        <v>#REF!</v>
      </c>
      <c r="AM948" s="253" t="e">
        <v>#REF!</v>
      </c>
      <c r="AN948" s="253" t="e">
        <v>#REF!</v>
      </c>
      <c r="AO948" s="277" t="e">
        <v>#REF!</v>
      </c>
      <c r="AP948" s="277" t="e">
        <v>#REF!</v>
      </c>
      <c r="AQ948" s="277" t="e">
        <v>#REF!</v>
      </c>
      <c r="AR948" s="277" t="e">
        <v>#REF!</v>
      </c>
      <c r="AS948" s="277" t="e">
        <v>#REF!</v>
      </c>
      <c r="AT948" s="277" t="e">
        <v>#REF!</v>
      </c>
      <c r="AU948" s="277" t="e">
        <v>#REF!</v>
      </c>
      <c r="AV948" s="277" t="e">
        <f>INT(100-100/(1+SUMIF(#REF!,"&gt;0",#REF!)/ABS(SUMIF(#REF!,"&lt;0",#REF!))))</f>
        <v>#REF!</v>
      </c>
      <c r="AX948" s="88" t="str">
        <f t="shared" ca="1" si="78"/>
        <v>AVGO</v>
      </c>
    </row>
    <row r="949" spans="1:50" hidden="1">
      <c r="A949" s="88" t="str">
        <f t="shared" ca="1" si="76"/>
        <v>VLVLY</v>
      </c>
      <c r="F949" s="253">
        <v>33.33</v>
      </c>
      <c r="G949" s="253">
        <v>33.33</v>
      </c>
      <c r="H949" s="253">
        <v>33.33</v>
      </c>
      <c r="I949" s="253">
        <v>33.33</v>
      </c>
      <c r="J949" s="253">
        <v>33.33</v>
      </c>
      <c r="K949" s="253">
        <v>33.33</v>
      </c>
      <c r="L949" s="253">
        <v>33.33</v>
      </c>
      <c r="M949" s="253">
        <v>33.33</v>
      </c>
      <c r="N949" s="253">
        <v>33.33</v>
      </c>
      <c r="O949" s="253">
        <v>33.33</v>
      </c>
      <c r="P949" s="253">
        <v>33.33</v>
      </c>
      <c r="Q949" s="253">
        <v>33.33</v>
      </c>
      <c r="R949" s="253">
        <v>33.33</v>
      </c>
      <c r="S949" s="253">
        <v>33.33</v>
      </c>
      <c r="T949" s="253">
        <v>33.33</v>
      </c>
      <c r="U949" s="253">
        <v>33.33</v>
      </c>
      <c r="V949" s="253">
        <v>33.33</v>
      </c>
      <c r="W949" s="253">
        <v>33.33</v>
      </c>
      <c r="X949" s="253">
        <v>33.33</v>
      </c>
      <c r="Y949" s="253">
        <v>33.33</v>
      </c>
      <c r="Z949" s="247">
        <f ca="1">[1]ExtEntry!$O49</f>
        <v>33.33</v>
      </c>
      <c r="AB949" s="277">
        <v>37</v>
      </c>
      <c r="AC949" s="277">
        <v>40</v>
      </c>
      <c r="AD949" s="277">
        <v>42</v>
      </c>
      <c r="AE949" s="253">
        <v>46</v>
      </c>
      <c r="AF949" s="253">
        <v>50</v>
      </c>
      <c r="AG949" s="253">
        <v>45</v>
      </c>
      <c r="AH949" s="253">
        <v>45</v>
      </c>
      <c r="AI949" s="253">
        <v>39</v>
      </c>
      <c r="AJ949" s="253">
        <v>37</v>
      </c>
      <c r="AK949" s="253">
        <v>38</v>
      </c>
      <c r="AL949" s="253">
        <v>36</v>
      </c>
      <c r="AM949" s="253">
        <v>35</v>
      </c>
      <c r="AN949" s="253">
        <v>38</v>
      </c>
      <c r="AO949" s="277">
        <v>32</v>
      </c>
      <c r="AP949" s="277">
        <v>37</v>
      </c>
      <c r="AQ949" s="277">
        <v>39</v>
      </c>
      <c r="AR949" s="277">
        <v>36</v>
      </c>
      <c r="AS949" s="277">
        <v>38</v>
      </c>
      <c r="AT949" s="277">
        <v>43</v>
      </c>
      <c r="AU949" s="277">
        <v>36</v>
      </c>
      <c r="AV949" s="277">
        <f t="shared" ref="AV949:AV996" si="79">INT(100-100/(1+SUMIF(F651:Y651,"&gt;0",F651:Y651)/ABS(SUMIF(F651:Y651,"&lt;0",F651:Y651))))</f>
        <v>36</v>
      </c>
      <c r="AX949" s="88" t="str">
        <f t="shared" ca="1" si="78"/>
        <v>VLVLY</v>
      </c>
    </row>
    <row r="950" spans="1:50" hidden="1">
      <c r="A950" s="88" t="str">
        <f t="shared" ca="1" si="76"/>
        <v>VONN</v>
      </c>
      <c r="F950" s="253">
        <v>69.5</v>
      </c>
      <c r="G950" s="253">
        <v>69.5</v>
      </c>
      <c r="H950" s="253">
        <v>69.5</v>
      </c>
      <c r="I950" s="253">
        <v>69.5</v>
      </c>
      <c r="J950" s="253">
        <v>69.5</v>
      </c>
      <c r="K950" s="253">
        <v>69.5</v>
      </c>
      <c r="L950" s="253">
        <v>69.5</v>
      </c>
      <c r="M950" s="253">
        <v>69.5</v>
      </c>
      <c r="N950" s="253">
        <v>69.5</v>
      </c>
      <c r="O950" s="253">
        <v>69.5</v>
      </c>
      <c r="P950" s="253">
        <v>69.5</v>
      </c>
      <c r="Q950" s="253">
        <v>69.5</v>
      </c>
      <c r="R950" s="253">
        <v>69.5</v>
      </c>
      <c r="S950" s="253">
        <v>69.5</v>
      </c>
      <c r="T950" s="253">
        <v>69.5</v>
      </c>
      <c r="U950" s="253">
        <v>69.5</v>
      </c>
      <c r="V950" s="253">
        <v>69.5</v>
      </c>
      <c r="W950" s="253">
        <v>69.5</v>
      </c>
      <c r="X950" s="253">
        <v>69.5</v>
      </c>
      <c r="Y950" s="253">
        <v>69.5</v>
      </c>
      <c r="Z950" s="247">
        <f ca="1">[1]ExtEntry!$O50</f>
        <v>69.5</v>
      </c>
      <c r="AB950" s="277">
        <v>58</v>
      </c>
      <c r="AC950" s="277">
        <v>56</v>
      </c>
      <c r="AD950" s="277">
        <v>48</v>
      </c>
      <c r="AE950" s="253">
        <v>47</v>
      </c>
      <c r="AF950" s="253">
        <v>48</v>
      </c>
      <c r="AG950" s="253">
        <v>48</v>
      </c>
      <c r="AH950" s="253">
        <v>51</v>
      </c>
      <c r="AI950" s="253">
        <v>56</v>
      </c>
      <c r="AJ950" s="253">
        <v>54</v>
      </c>
      <c r="AK950" s="253">
        <v>47</v>
      </c>
      <c r="AL950" s="253">
        <v>47</v>
      </c>
      <c r="AM950" s="253">
        <v>49</v>
      </c>
      <c r="AN950" s="253">
        <v>43</v>
      </c>
      <c r="AO950" s="277">
        <v>37</v>
      </c>
      <c r="AP950" s="277">
        <v>37</v>
      </c>
      <c r="AQ950" s="277">
        <v>35</v>
      </c>
      <c r="AR950" s="277">
        <v>44</v>
      </c>
      <c r="AS950" s="277">
        <v>57</v>
      </c>
      <c r="AT950" s="277">
        <v>65</v>
      </c>
      <c r="AU950" s="277">
        <v>65</v>
      </c>
      <c r="AV950" s="277">
        <f t="shared" si="79"/>
        <v>65</v>
      </c>
      <c r="AX950" s="88" t="str">
        <f t="shared" ca="1" si="78"/>
        <v>VONN</v>
      </c>
    </row>
    <row r="951" spans="1:50" hidden="1">
      <c r="A951" s="88" t="str">
        <f t="shared" ca="1" si="76"/>
        <v>VTRS</v>
      </c>
      <c r="F951" s="253">
        <v>13.55</v>
      </c>
      <c r="G951" s="253">
        <v>13.55</v>
      </c>
      <c r="H951" s="253">
        <v>13.55</v>
      </c>
      <c r="I951" s="253">
        <v>13.55</v>
      </c>
      <c r="J951" s="253">
        <v>13.55</v>
      </c>
      <c r="K951" s="253">
        <v>13.55</v>
      </c>
      <c r="L951" s="253">
        <v>13.55</v>
      </c>
      <c r="M951" s="253">
        <v>13.55</v>
      </c>
      <c r="N951" s="253">
        <v>13.55</v>
      </c>
      <c r="O951" s="253">
        <v>13.55</v>
      </c>
      <c r="P951" s="253">
        <v>13.55</v>
      </c>
      <c r="Q951" s="253">
        <v>13.55</v>
      </c>
      <c r="R951" s="253">
        <v>13.55</v>
      </c>
      <c r="S951" s="253">
        <v>13.55</v>
      </c>
      <c r="T951" s="253">
        <v>13.55</v>
      </c>
      <c r="U951" s="253">
        <v>13.55</v>
      </c>
      <c r="V951" s="253">
        <v>13.55</v>
      </c>
      <c r="W951" s="253">
        <v>13.55</v>
      </c>
      <c r="X951" s="253">
        <v>13.55</v>
      </c>
      <c r="Y951" s="253">
        <v>13.55</v>
      </c>
      <c r="Z951" s="247">
        <f ca="1">[1]ExtEntry!$O51</f>
        <v>13.55</v>
      </c>
      <c r="AB951" s="277">
        <v>20</v>
      </c>
      <c r="AC951" s="277">
        <v>29</v>
      </c>
      <c r="AD951" s="277">
        <v>34</v>
      </c>
      <c r="AE951" s="253">
        <v>37</v>
      </c>
      <c r="AF951" s="253">
        <v>39</v>
      </c>
      <c r="AG951" s="253">
        <v>40</v>
      </c>
      <c r="AH951" s="253">
        <v>41</v>
      </c>
      <c r="AI951" s="253">
        <v>43</v>
      </c>
      <c r="AJ951" s="253">
        <v>47</v>
      </c>
      <c r="AK951" s="253">
        <v>52</v>
      </c>
      <c r="AL951" s="253">
        <v>63</v>
      </c>
      <c r="AM951" s="253">
        <v>65</v>
      </c>
      <c r="AN951" s="253">
        <v>63</v>
      </c>
      <c r="AO951" s="277">
        <v>64</v>
      </c>
      <c r="AP951" s="277">
        <v>66</v>
      </c>
      <c r="AQ951" s="277">
        <v>70</v>
      </c>
      <c r="AR951" s="277">
        <v>78</v>
      </c>
      <c r="AS951" s="277">
        <v>77</v>
      </c>
      <c r="AT951" s="277">
        <v>83</v>
      </c>
      <c r="AU951" s="277">
        <v>83</v>
      </c>
      <c r="AV951" s="277">
        <f t="shared" si="79"/>
        <v>83</v>
      </c>
      <c r="AX951" s="88" t="str">
        <f t="shared" ca="1" si="78"/>
        <v>VTRS</v>
      </c>
    </row>
    <row r="952" spans="1:50" hidden="1">
      <c r="A952" s="88" t="str">
        <f t="shared" ca="1" si="76"/>
        <v>WBA</v>
      </c>
      <c r="F952" s="253">
        <v>13.249499999999999</v>
      </c>
      <c r="G952" s="253">
        <v>13.249499999999999</v>
      </c>
      <c r="H952" s="253">
        <v>13.249499999999999</v>
      </c>
      <c r="I952" s="253">
        <v>13.249499999999999</v>
      </c>
      <c r="J952" s="253">
        <v>13.249499999999999</v>
      </c>
      <c r="K952" s="253">
        <v>13.249499999999999</v>
      </c>
      <c r="L952" s="253">
        <v>13.249499999999999</v>
      </c>
      <c r="M952" s="253">
        <v>13.249499999999999</v>
      </c>
      <c r="N952" s="253">
        <v>13.249499999999999</v>
      </c>
      <c r="O952" s="253">
        <v>13.249499999999999</v>
      </c>
      <c r="P952" s="253">
        <v>13.249499999999999</v>
      </c>
      <c r="Q952" s="253">
        <v>13.249499999999999</v>
      </c>
      <c r="R952" s="253">
        <v>13.249499999999999</v>
      </c>
      <c r="S952" s="253">
        <v>13.249499999999999</v>
      </c>
      <c r="T952" s="253">
        <v>13.249499999999999</v>
      </c>
      <c r="U952" s="253">
        <v>13.249499999999999</v>
      </c>
      <c r="V952" s="253">
        <v>13.249499999999999</v>
      </c>
      <c r="W952" s="253">
        <v>13.249499999999999</v>
      </c>
      <c r="X952" s="253">
        <v>13.249499999999999</v>
      </c>
      <c r="Y952" s="253">
        <v>13.249499999999999</v>
      </c>
      <c r="Z952" s="247">
        <f ca="1">[1]ExtEntry!$O52</f>
        <v>13.249499999999999</v>
      </c>
      <c r="AB952" s="277" t="e">
        <v>#DIV/0!</v>
      </c>
      <c r="AC952" s="277" t="e">
        <v>#DIV/0!</v>
      </c>
      <c r="AD952" s="277" t="e">
        <v>#DIV/0!</v>
      </c>
      <c r="AE952" s="253" t="e">
        <v>#DIV/0!</v>
      </c>
      <c r="AF952" s="253" t="e">
        <v>#DIV/0!</v>
      </c>
      <c r="AG952" s="253" t="e">
        <v>#DIV/0!</v>
      </c>
      <c r="AH952" s="253" t="e">
        <v>#DIV/0!</v>
      </c>
      <c r="AI952" s="253" t="e">
        <v>#DIV/0!</v>
      </c>
      <c r="AJ952" s="253" t="e">
        <v>#DIV/0!</v>
      </c>
      <c r="AK952" s="253" t="e">
        <v>#DIV/0!</v>
      </c>
      <c r="AL952" s="253" t="e">
        <v>#DIV/0!</v>
      </c>
      <c r="AM952" s="253" t="e">
        <v>#DIV/0!</v>
      </c>
      <c r="AN952" s="253" t="e">
        <v>#DIV/0!</v>
      </c>
      <c r="AO952" s="277" t="e">
        <v>#DIV/0!</v>
      </c>
      <c r="AP952" s="277" t="e">
        <v>#DIV/0!</v>
      </c>
      <c r="AQ952" s="277" t="e">
        <v>#DIV/0!</v>
      </c>
      <c r="AR952" s="277" t="e">
        <v>#DIV/0!</v>
      </c>
      <c r="AS952" s="277" t="e">
        <v>#DIV/0!</v>
      </c>
      <c r="AT952" s="277" t="e">
        <v>#DIV/0!</v>
      </c>
      <c r="AU952" s="277" t="e">
        <v>#DIV/0!</v>
      </c>
      <c r="AV952" s="277" t="e">
        <f t="shared" si="79"/>
        <v>#DIV/0!</v>
      </c>
      <c r="AX952" s="88" t="str">
        <f t="shared" ca="1" si="78"/>
        <v>WBA</v>
      </c>
    </row>
    <row r="953" spans="1:50" hidden="1">
      <c r="A953" s="88" t="str">
        <f t="shared" ca="1" si="76"/>
        <v>XOM</v>
      </c>
      <c r="F953" s="253">
        <v>126.34</v>
      </c>
      <c r="G953" s="253">
        <v>126.34</v>
      </c>
      <c r="H953" s="253">
        <v>126.34</v>
      </c>
      <c r="I953" s="253">
        <v>126.34</v>
      </c>
      <c r="J953" s="253">
        <v>126.34</v>
      </c>
      <c r="K953" s="253">
        <v>126.34</v>
      </c>
      <c r="L953" s="253">
        <v>124.26</v>
      </c>
      <c r="M953" s="253">
        <v>124.26</v>
      </c>
      <c r="N953" s="253">
        <v>124.26</v>
      </c>
      <c r="O953" s="253">
        <v>124.26</v>
      </c>
      <c r="P953" s="253">
        <v>124.26</v>
      </c>
      <c r="Q953" s="253">
        <v>123.21</v>
      </c>
      <c r="R953" s="253">
        <v>123.21</v>
      </c>
      <c r="S953" s="253">
        <v>123.21</v>
      </c>
      <c r="T953" s="253">
        <v>123.21</v>
      </c>
      <c r="U953" s="253">
        <v>123.21</v>
      </c>
      <c r="V953" s="253">
        <v>123.21</v>
      </c>
      <c r="W953" s="253">
        <v>123.21</v>
      </c>
      <c r="X953" s="253">
        <v>123.21</v>
      </c>
      <c r="Y953" s="253">
        <v>123.21</v>
      </c>
      <c r="Z953" s="247">
        <f ca="1">[1]ExtEntry!$O53</f>
        <v>123.21</v>
      </c>
      <c r="AB953" s="277">
        <v>47</v>
      </c>
      <c r="AC953" s="277">
        <v>49</v>
      </c>
      <c r="AD953" s="277">
        <v>54</v>
      </c>
      <c r="AE953" s="253">
        <v>51</v>
      </c>
      <c r="AF953" s="253">
        <v>54</v>
      </c>
      <c r="AG953" s="253">
        <v>52</v>
      </c>
      <c r="AH953" s="253">
        <v>47</v>
      </c>
      <c r="AI953" s="253">
        <v>45</v>
      </c>
      <c r="AJ953" s="253">
        <v>43</v>
      </c>
      <c r="AK953" s="253">
        <v>46</v>
      </c>
      <c r="AL953" s="253">
        <v>46</v>
      </c>
      <c r="AM953" s="253">
        <v>39</v>
      </c>
      <c r="AN953" s="253">
        <v>40</v>
      </c>
      <c r="AO953" s="277">
        <v>46</v>
      </c>
      <c r="AP953" s="277">
        <v>49</v>
      </c>
      <c r="AQ953" s="277">
        <v>52</v>
      </c>
      <c r="AR953" s="277">
        <v>52</v>
      </c>
      <c r="AS953" s="277">
        <v>55</v>
      </c>
      <c r="AT953" s="277">
        <v>55</v>
      </c>
      <c r="AU953" s="277">
        <v>51</v>
      </c>
      <c r="AV953" s="277">
        <f t="shared" si="79"/>
        <v>51</v>
      </c>
      <c r="AX953" s="88" t="str">
        <f t="shared" ca="1" si="78"/>
        <v>XOM</v>
      </c>
    </row>
    <row r="954" spans="1:50" hidden="1">
      <c r="A954" s="88" t="str">
        <f t="shared" ca="1" si="76"/>
        <v>XPER</v>
      </c>
      <c r="F954" s="253">
        <v>11.074999999999999</v>
      </c>
      <c r="G954" s="253">
        <v>11.074999999999999</v>
      </c>
      <c r="H954" s="253">
        <v>11.074999999999999</v>
      </c>
      <c r="I954" s="253">
        <v>11.074999999999999</v>
      </c>
      <c r="J954" s="253">
        <v>11.074999999999999</v>
      </c>
      <c r="K954" s="253">
        <v>11.074999999999999</v>
      </c>
      <c r="L954" s="253">
        <v>11.074999999999999</v>
      </c>
      <c r="M954" s="253">
        <v>11.074999999999999</v>
      </c>
      <c r="N954" s="253">
        <v>11.074999999999999</v>
      </c>
      <c r="O954" s="253">
        <v>11.074999999999999</v>
      </c>
      <c r="P954" s="253">
        <v>11.074999999999999</v>
      </c>
      <c r="Q954" s="253">
        <v>11.074999999999999</v>
      </c>
      <c r="R954" s="253">
        <v>11.074999999999999</v>
      </c>
      <c r="S954" s="253">
        <v>11.074999999999999</v>
      </c>
      <c r="T954" s="253">
        <v>11.074999999999999</v>
      </c>
      <c r="U954" s="253">
        <v>11.074999999999999</v>
      </c>
      <c r="V954" s="253">
        <v>11.074999999999999</v>
      </c>
      <c r="W954" s="253">
        <v>11.074999999999999</v>
      </c>
      <c r="X954" s="253">
        <v>11.074999999999999</v>
      </c>
      <c r="Y954" s="253">
        <v>11.074999999999999</v>
      </c>
      <c r="Z954" s="247">
        <f ca="1">[1]ExtEntry!$O54</f>
        <v>11.074999999999999</v>
      </c>
      <c r="AB954" s="277">
        <v>66</v>
      </c>
      <c r="AC954" s="277">
        <v>59</v>
      </c>
      <c r="AD954" s="277">
        <v>61</v>
      </c>
      <c r="AE954" s="253">
        <v>62</v>
      </c>
      <c r="AF954" s="253">
        <v>64</v>
      </c>
      <c r="AG954" s="253">
        <v>59</v>
      </c>
      <c r="AH954" s="253">
        <v>62</v>
      </c>
      <c r="AI954" s="253">
        <v>61</v>
      </c>
      <c r="AJ954" s="253">
        <v>63</v>
      </c>
      <c r="AK954" s="253">
        <v>67</v>
      </c>
      <c r="AL954" s="253">
        <v>72</v>
      </c>
      <c r="AM954" s="253">
        <v>73</v>
      </c>
      <c r="AN954" s="253">
        <v>70</v>
      </c>
      <c r="AO954" s="277">
        <v>68</v>
      </c>
      <c r="AP954" s="277">
        <v>69</v>
      </c>
      <c r="AQ954" s="277">
        <v>66</v>
      </c>
      <c r="AR954" s="277">
        <v>65</v>
      </c>
      <c r="AS954" s="277">
        <v>57</v>
      </c>
      <c r="AT954" s="277">
        <v>58</v>
      </c>
      <c r="AU954" s="277">
        <v>57</v>
      </c>
      <c r="AV954" s="277">
        <f t="shared" si="79"/>
        <v>57</v>
      </c>
      <c r="AX954" s="88" t="str">
        <f t="shared" ca="1" si="78"/>
        <v>XPER</v>
      </c>
    </row>
    <row r="955" spans="1:50" hidden="1">
      <c r="A955" s="88" t="str">
        <f t="shared" ca="1" si="76"/>
        <v>MVEALDNE</v>
      </c>
      <c r="F955" s="253">
        <v>1.76</v>
      </c>
      <c r="G955" s="253">
        <v>1.53</v>
      </c>
      <c r="H955" s="253">
        <v>1.53</v>
      </c>
      <c r="I955" s="253">
        <v>1.53</v>
      </c>
      <c r="J955" s="253">
        <v>1.53</v>
      </c>
      <c r="K955" s="253">
        <v>1.53</v>
      </c>
      <c r="L955" s="253">
        <v>1.53</v>
      </c>
      <c r="M955" s="253">
        <v>1.53</v>
      </c>
      <c r="N955" s="253">
        <v>1.53</v>
      </c>
      <c r="O955" s="253">
        <v>1.53</v>
      </c>
      <c r="P955" s="253">
        <v>1.53</v>
      </c>
      <c r="Q955" s="253">
        <v>1.53</v>
      </c>
      <c r="R955" s="253">
        <v>1.53</v>
      </c>
      <c r="S955" s="253">
        <v>1.53</v>
      </c>
      <c r="T955" s="253">
        <v>1.53</v>
      </c>
      <c r="U955" s="253">
        <v>1.53</v>
      </c>
      <c r="V955" s="253">
        <v>1.53</v>
      </c>
      <c r="W955" s="253">
        <v>1.53</v>
      </c>
      <c r="X955" s="253">
        <v>1.53</v>
      </c>
      <c r="Y955" s="253">
        <v>1.53</v>
      </c>
      <c r="Z955" s="247">
        <f ca="1">[1]ExtEntry!$O55</f>
        <v>1.53</v>
      </c>
      <c r="AB955" s="277">
        <v>44</v>
      </c>
      <c r="AC955" s="277">
        <v>40</v>
      </c>
      <c r="AD955" s="277">
        <v>45</v>
      </c>
      <c r="AE955" s="253">
        <v>40</v>
      </c>
      <c r="AF955" s="253">
        <v>43</v>
      </c>
      <c r="AG955" s="253">
        <v>40</v>
      </c>
      <c r="AH955" s="253">
        <v>37</v>
      </c>
      <c r="AI955" s="253">
        <v>40</v>
      </c>
      <c r="AJ955" s="253">
        <v>39</v>
      </c>
      <c r="AK955" s="253">
        <v>40</v>
      </c>
      <c r="AL955" s="253">
        <v>40</v>
      </c>
      <c r="AM955" s="253">
        <v>40</v>
      </c>
      <c r="AN955" s="253">
        <v>42</v>
      </c>
      <c r="AO955" s="277">
        <v>45</v>
      </c>
      <c r="AP955" s="277">
        <v>48</v>
      </c>
      <c r="AQ955" s="277">
        <v>44</v>
      </c>
      <c r="AR955" s="277">
        <v>69</v>
      </c>
      <c r="AS955" s="277">
        <v>72</v>
      </c>
      <c r="AT955" s="277">
        <v>67</v>
      </c>
      <c r="AU955" s="277">
        <v>61</v>
      </c>
      <c r="AV955" s="277">
        <f t="shared" si="79"/>
        <v>61</v>
      </c>
      <c r="AX955" s="88" t="str">
        <f t="shared" ca="1" si="78"/>
        <v>MVEALDNE</v>
      </c>
    </row>
    <row r="956" spans="1:50" hidden="1">
      <c r="A956" s="88" t="str">
        <f t="shared" ca="1" si="76"/>
        <v>MVEDDD</v>
      </c>
      <c r="F956" s="253">
        <v>4.9991000000000003</v>
      </c>
      <c r="G956" s="253">
        <v>4.9991000000000003</v>
      </c>
      <c r="H956" s="253">
        <v>4.9991000000000003</v>
      </c>
      <c r="I956" s="253">
        <v>4.9991000000000003</v>
      </c>
      <c r="J956" s="253">
        <v>4.9991000000000003</v>
      </c>
      <c r="K956" s="253">
        <v>4.9991000000000003</v>
      </c>
      <c r="L956" s="253">
        <v>4.9991000000000003</v>
      </c>
      <c r="M956" s="253">
        <v>4.9991000000000003</v>
      </c>
      <c r="N956" s="253">
        <v>4.9991000000000003</v>
      </c>
      <c r="O956" s="253">
        <v>4.9991000000000003</v>
      </c>
      <c r="P956" s="253">
        <v>4.9991000000000003</v>
      </c>
      <c r="Q956" s="253">
        <v>4.9991000000000003</v>
      </c>
      <c r="R956" s="253">
        <v>4.9991000000000003</v>
      </c>
      <c r="S956" s="253">
        <v>4.9991000000000003</v>
      </c>
      <c r="T956" s="253">
        <v>4.9991000000000003</v>
      </c>
      <c r="U956" s="253">
        <v>4.9991000000000003</v>
      </c>
      <c r="V956" s="253">
        <v>4.9991000000000003</v>
      </c>
      <c r="W956" s="253">
        <v>4.9991000000000003</v>
      </c>
      <c r="X956" s="253">
        <v>4.9991000000000003</v>
      </c>
      <c r="Y956" s="253">
        <v>4.9991000000000003</v>
      </c>
      <c r="Z956" s="247">
        <f ca="1">[1]ExtEntry!$O56</f>
        <v>4.9991000000000003</v>
      </c>
      <c r="AB956" s="277">
        <v>69</v>
      </c>
      <c r="AC956" s="277">
        <v>69</v>
      </c>
      <c r="AD956" s="277">
        <v>74</v>
      </c>
      <c r="AE956" s="253">
        <v>75</v>
      </c>
      <c r="AF956" s="253">
        <v>76</v>
      </c>
      <c r="AG956" s="253">
        <v>78</v>
      </c>
      <c r="AH956" s="253">
        <v>79</v>
      </c>
      <c r="AI956" s="253">
        <v>75</v>
      </c>
      <c r="AJ956" s="253">
        <v>74</v>
      </c>
      <c r="AK956" s="253">
        <v>76</v>
      </c>
      <c r="AL956" s="253">
        <v>74</v>
      </c>
      <c r="AM956" s="253">
        <v>76</v>
      </c>
      <c r="AN956" s="253">
        <v>73</v>
      </c>
      <c r="AO956" s="277">
        <v>68</v>
      </c>
      <c r="AP956" s="277">
        <v>76</v>
      </c>
      <c r="AQ956" s="277">
        <v>67</v>
      </c>
      <c r="AR956" s="277">
        <v>56</v>
      </c>
      <c r="AS956" s="277">
        <v>48</v>
      </c>
      <c r="AT956" s="277">
        <v>49</v>
      </c>
      <c r="AU956" s="277">
        <v>47</v>
      </c>
      <c r="AV956" s="277">
        <f t="shared" si="79"/>
        <v>47</v>
      </c>
      <c r="AX956" s="88" t="str">
        <f t="shared" ca="1" si="78"/>
        <v>MVEDDD</v>
      </c>
    </row>
    <row r="957" spans="1:50" hidden="1">
      <c r="A957" s="88" t="str">
        <f t="shared" ca="1" si="76"/>
        <v>MVEDSY</v>
      </c>
      <c r="F957" s="253">
        <v>41.17</v>
      </c>
      <c r="G957" s="253">
        <v>7.33</v>
      </c>
      <c r="H957" s="253">
        <v>7.33</v>
      </c>
      <c r="I957" s="253">
        <v>7.33</v>
      </c>
      <c r="J957" s="253">
        <v>7.33</v>
      </c>
      <c r="K957" s="253">
        <v>7.33</v>
      </c>
      <c r="L957" s="253">
        <v>41.17</v>
      </c>
      <c r="M957" s="253">
        <v>41.17</v>
      </c>
      <c r="N957" s="253">
        <v>41.17</v>
      </c>
      <c r="O957" s="253">
        <v>41.17</v>
      </c>
      <c r="P957" s="253">
        <v>41.17</v>
      </c>
      <c r="Q957" s="253">
        <v>41.17</v>
      </c>
      <c r="R957" s="253">
        <v>41.17</v>
      </c>
      <c r="S957" s="253">
        <v>41.17</v>
      </c>
      <c r="T957" s="253">
        <v>41.17</v>
      </c>
      <c r="U957" s="253">
        <v>41.17</v>
      </c>
      <c r="V957" s="253">
        <v>41.17</v>
      </c>
      <c r="W957" s="253">
        <v>41.17</v>
      </c>
      <c r="X957" s="253">
        <v>41.17</v>
      </c>
      <c r="Y957" s="253">
        <v>41.17</v>
      </c>
      <c r="Z957" s="247">
        <f ca="1">[1]ExtEntry!$O57</f>
        <v>41.17</v>
      </c>
      <c r="AB957" s="277">
        <v>58</v>
      </c>
      <c r="AC957" s="277">
        <v>56</v>
      </c>
      <c r="AD957" s="277">
        <v>56</v>
      </c>
      <c r="AE957" s="253">
        <v>56</v>
      </c>
      <c r="AF957" s="253">
        <v>51</v>
      </c>
      <c r="AG957" s="253">
        <v>44</v>
      </c>
      <c r="AH957" s="253">
        <v>46</v>
      </c>
      <c r="AI957" s="253">
        <v>48</v>
      </c>
      <c r="AJ957" s="253">
        <v>50</v>
      </c>
      <c r="AK957" s="253">
        <v>56</v>
      </c>
      <c r="AL957" s="253">
        <v>56</v>
      </c>
      <c r="AM957" s="253">
        <v>58</v>
      </c>
      <c r="AN957" s="253">
        <v>56</v>
      </c>
      <c r="AO957" s="277">
        <v>61</v>
      </c>
      <c r="AP957" s="277">
        <v>71</v>
      </c>
      <c r="AQ957" s="277">
        <v>73</v>
      </c>
      <c r="AR957" s="277">
        <v>71</v>
      </c>
      <c r="AS957" s="277">
        <v>71</v>
      </c>
      <c r="AT957" s="277">
        <v>37</v>
      </c>
      <c r="AU957" s="277">
        <v>35</v>
      </c>
      <c r="AV957" s="277">
        <f t="shared" si="79"/>
        <v>35</v>
      </c>
      <c r="AX957" s="88" t="str">
        <f t="shared" ca="1" si="78"/>
        <v>MVEDSY</v>
      </c>
    </row>
    <row r="958" spans="1:50" hidden="1">
      <c r="A958" s="88" t="str">
        <f t="shared" ca="1" si="76"/>
        <v>MVEEOAN</v>
      </c>
      <c r="F958" s="253">
        <v>16.55</v>
      </c>
      <c r="G958" s="253">
        <v>16.515000000000001</v>
      </c>
      <c r="H958" s="253">
        <v>16.515000000000001</v>
      </c>
      <c r="I958" s="253">
        <v>16.515000000000001</v>
      </c>
      <c r="J958" s="253">
        <v>16.515000000000001</v>
      </c>
      <c r="K958" s="253">
        <v>16.515000000000001</v>
      </c>
      <c r="L958" s="253">
        <v>16.515000000000001</v>
      </c>
      <c r="M958" s="253">
        <v>16.515000000000001</v>
      </c>
      <c r="N958" s="253">
        <v>16.515000000000001</v>
      </c>
      <c r="O958" s="253">
        <v>16.515000000000001</v>
      </c>
      <c r="P958" s="253">
        <v>16.515000000000001</v>
      </c>
      <c r="Q958" s="253">
        <v>16.515000000000001</v>
      </c>
      <c r="R958" s="253">
        <v>16.515000000000001</v>
      </c>
      <c r="S958" s="253">
        <v>16.515000000000001</v>
      </c>
      <c r="T958" s="253">
        <v>16.515000000000001</v>
      </c>
      <c r="U958" s="253">
        <v>16.515000000000001</v>
      </c>
      <c r="V958" s="253">
        <v>16.515000000000001</v>
      </c>
      <c r="W958" s="253">
        <v>16.515000000000001</v>
      </c>
      <c r="X958" s="253">
        <v>16.515000000000001</v>
      </c>
      <c r="Y958" s="253">
        <v>16.515000000000001</v>
      </c>
      <c r="Z958" s="247">
        <f ca="1">[1]ExtEntry!$O58</f>
        <v>16.55</v>
      </c>
      <c r="AB958" s="277">
        <v>79</v>
      </c>
      <c r="AC958" s="277">
        <v>82</v>
      </c>
      <c r="AD958" s="277">
        <v>82</v>
      </c>
      <c r="AE958" s="253">
        <v>74</v>
      </c>
      <c r="AF958" s="253">
        <v>73</v>
      </c>
      <c r="AG958" s="253">
        <v>75</v>
      </c>
      <c r="AH958" s="253">
        <v>76</v>
      </c>
      <c r="AI958" s="253">
        <v>77</v>
      </c>
      <c r="AJ958" s="253">
        <v>74</v>
      </c>
      <c r="AK958" s="253">
        <v>73</v>
      </c>
      <c r="AL958" s="253">
        <v>71</v>
      </c>
      <c r="AM958" s="253">
        <v>70</v>
      </c>
      <c r="AN958" s="253">
        <v>76</v>
      </c>
      <c r="AO958" s="277">
        <v>75</v>
      </c>
      <c r="AP958" s="277">
        <v>76</v>
      </c>
      <c r="AQ958" s="277">
        <v>73</v>
      </c>
      <c r="AR958" s="277">
        <v>62</v>
      </c>
      <c r="AS958" s="277">
        <v>54</v>
      </c>
      <c r="AT958" s="277">
        <v>46</v>
      </c>
      <c r="AU958" s="277">
        <v>45</v>
      </c>
      <c r="AV958" s="277">
        <f t="shared" si="79"/>
        <v>45</v>
      </c>
      <c r="AX958" s="88" t="str">
        <f t="shared" ca="1" si="78"/>
        <v>MVEEOAN</v>
      </c>
    </row>
    <row r="959" spans="1:50" hidden="1">
      <c r="A959" s="88" t="str">
        <f t="shared" ca="1" si="76"/>
        <v>MVEENI</v>
      </c>
      <c r="F959" s="253">
        <v>15.39</v>
      </c>
      <c r="G959" s="253">
        <v>15.39</v>
      </c>
      <c r="H959" s="253">
        <v>15.39</v>
      </c>
      <c r="I959" s="253">
        <v>15.39</v>
      </c>
      <c r="J959" s="253">
        <v>15.39</v>
      </c>
      <c r="K959" s="253">
        <v>15.39</v>
      </c>
      <c r="L959" s="253">
        <v>15.39</v>
      </c>
      <c r="M959" s="253">
        <v>15.534000000000001</v>
      </c>
      <c r="N959" s="253">
        <v>15.53</v>
      </c>
      <c r="O959" s="253">
        <v>15.53</v>
      </c>
      <c r="P959" s="253">
        <v>15.53</v>
      </c>
      <c r="Q959" s="253">
        <v>15.53</v>
      </c>
      <c r="R959" s="253">
        <v>15.53</v>
      </c>
      <c r="S959" s="253">
        <v>15.53</v>
      </c>
      <c r="T959" s="253">
        <v>15.53</v>
      </c>
      <c r="U959" s="253">
        <v>15.53</v>
      </c>
      <c r="V959" s="253">
        <v>15.53</v>
      </c>
      <c r="W959" s="253">
        <v>15.53</v>
      </c>
      <c r="X959" s="253">
        <v>15.63</v>
      </c>
      <c r="Y959" s="253">
        <v>16.032</v>
      </c>
      <c r="Z959" s="247">
        <f ca="1">[1]ExtEntry!$O59</f>
        <v>16.032</v>
      </c>
      <c r="AB959" s="277">
        <v>59</v>
      </c>
      <c r="AC959" s="277">
        <v>60</v>
      </c>
      <c r="AD959" s="277">
        <v>62</v>
      </c>
      <c r="AE959" s="253">
        <v>60</v>
      </c>
      <c r="AF959" s="253">
        <v>59</v>
      </c>
      <c r="AG959" s="253">
        <v>56</v>
      </c>
      <c r="AH959" s="253">
        <v>58</v>
      </c>
      <c r="AI959" s="253">
        <v>60</v>
      </c>
      <c r="AJ959" s="253">
        <v>57</v>
      </c>
      <c r="AK959" s="253">
        <v>58</v>
      </c>
      <c r="AL959" s="253">
        <v>52</v>
      </c>
      <c r="AM959" s="253">
        <v>51</v>
      </c>
      <c r="AN959" s="253">
        <v>51</v>
      </c>
      <c r="AO959" s="277">
        <v>54</v>
      </c>
      <c r="AP959" s="277">
        <v>58</v>
      </c>
      <c r="AQ959" s="277">
        <v>57</v>
      </c>
      <c r="AR959" s="277">
        <v>56</v>
      </c>
      <c r="AS959" s="277">
        <v>56</v>
      </c>
      <c r="AT959" s="277">
        <v>62</v>
      </c>
      <c r="AU959" s="277">
        <v>63</v>
      </c>
      <c r="AV959" s="277">
        <f t="shared" si="79"/>
        <v>63</v>
      </c>
      <c r="AX959" s="88" t="str">
        <f t="shared" ca="1" si="78"/>
        <v>MVEENI</v>
      </c>
    </row>
    <row r="960" spans="1:50" hidden="1">
      <c r="A960" s="88" t="str">
        <f t="shared" ca="1" si="76"/>
        <v>MVEEPIX</v>
      </c>
      <c r="F960" s="253">
        <v>0.83779999999999999</v>
      </c>
      <c r="G960" s="253">
        <v>0.83779999999999999</v>
      </c>
      <c r="H960" s="253">
        <v>0.82499999999999996</v>
      </c>
      <c r="I960" s="253">
        <v>0.82499999999999996</v>
      </c>
      <c r="J960" s="253">
        <v>0.82499999999999996</v>
      </c>
      <c r="K960" s="253">
        <v>0.82499999999999996</v>
      </c>
      <c r="L960" s="253">
        <v>0.82499999999999996</v>
      </c>
      <c r="M960" s="253">
        <v>0.82499999999999996</v>
      </c>
      <c r="N960" s="253">
        <v>0.82499999999999996</v>
      </c>
      <c r="O960" s="253">
        <v>0.82499999999999996</v>
      </c>
      <c r="P960" s="253">
        <v>0.82499999999999996</v>
      </c>
      <c r="Q960" s="253">
        <v>0.82499999999999996</v>
      </c>
      <c r="R960" s="253">
        <v>0.82499999999999996</v>
      </c>
      <c r="S960" s="253">
        <v>0.82499999999999996</v>
      </c>
      <c r="T960" s="253">
        <v>0.82499999999999996</v>
      </c>
      <c r="U960" s="253">
        <v>0.82499999999999996</v>
      </c>
      <c r="V960" s="253">
        <v>0.82499999999999996</v>
      </c>
      <c r="W960" s="253">
        <v>0.82499999999999996</v>
      </c>
      <c r="X960" s="253">
        <v>0.82499999999999996</v>
      </c>
      <c r="Y960" s="253">
        <v>0.82499999999999996</v>
      </c>
      <c r="Z960" s="247">
        <f ca="1">[1]ExtEntry!$O60</f>
        <v>0.82499999999999996</v>
      </c>
      <c r="AB960" s="277">
        <v>18</v>
      </c>
      <c r="AC960" s="277">
        <v>18</v>
      </c>
      <c r="AD960" s="277">
        <v>28</v>
      </c>
      <c r="AE960" s="253">
        <v>35</v>
      </c>
      <c r="AF960" s="253">
        <v>31</v>
      </c>
      <c r="AG960" s="253">
        <v>30</v>
      </c>
      <c r="AH960" s="253">
        <v>38</v>
      </c>
      <c r="AI960" s="253">
        <v>37</v>
      </c>
      <c r="AJ960" s="253">
        <v>37</v>
      </c>
      <c r="AK960" s="253">
        <v>40</v>
      </c>
      <c r="AL960" s="253">
        <v>45</v>
      </c>
      <c r="AM960" s="253">
        <v>44</v>
      </c>
      <c r="AN960" s="253">
        <v>40</v>
      </c>
      <c r="AO960" s="277">
        <v>39</v>
      </c>
      <c r="AP960" s="277">
        <v>38</v>
      </c>
      <c r="AQ960" s="277">
        <v>35</v>
      </c>
      <c r="AR960" s="277">
        <v>41</v>
      </c>
      <c r="AS960" s="277">
        <v>44</v>
      </c>
      <c r="AT960" s="277">
        <v>45</v>
      </c>
      <c r="AU960" s="277">
        <v>44</v>
      </c>
      <c r="AV960" s="277">
        <f t="shared" si="79"/>
        <v>44</v>
      </c>
      <c r="AX960" s="88" t="str">
        <f t="shared" ca="1" si="78"/>
        <v>MVEEPIX</v>
      </c>
    </row>
    <row r="961" spans="1:50" hidden="1">
      <c r="A961" s="88" t="str">
        <f t="shared" ca="1" si="76"/>
        <v>MVEGLE</v>
      </c>
      <c r="F961" s="253">
        <v>59.42</v>
      </c>
      <c r="G961" s="253">
        <v>59.42</v>
      </c>
      <c r="H961" s="253">
        <v>59.42</v>
      </c>
      <c r="I961" s="253">
        <v>59.42</v>
      </c>
      <c r="J961" s="253">
        <v>59.42</v>
      </c>
      <c r="K961" s="253">
        <v>59.42</v>
      </c>
      <c r="L961" s="253">
        <v>59.42</v>
      </c>
      <c r="M961" s="253">
        <v>59.42</v>
      </c>
      <c r="N961" s="253">
        <v>59.42</v>
      </c>
      <c r="O961" s="253">
        <v>59.42</v>
      </c>
      <c r="P961" s="253">
        <v>59.42</v>
      </c>
      <c r="Q961" s="253">
        <v>59.42</v>
      </c>
      <c r="R961" s="253">
        <v>59.42</v>
      </c>
      <c r="S961" s="253">
        <v>59.42</v>
      </c>
      <c r="T961" s="253">
        <v>59.42</v>
      </c>
      <c r="U961" s="253">
        <v>59.42</v>
      </c>
      <c r="V961" s="253">
        <v>59.42</v>
      </c>
      <c r="W961" s="253">
        <v>59.42</v>
      </c>
      <c r="X961" s="253">
        <v>59.42</v>
      </c>
      <c r="Y961" s="253">
        <v>59.42</v>
      </c>
      <c r="Z961" s="247">
        <f ca="1">[1]ExtEntry!$O61</f>
        <v>59.42</v>
      </c>
      <c r="AB961" s="277">
        <v>69</v>
      </c>
      <c r="AC961" s="277">
        <v>68</v>
      </c>
      <c r="AD961" s="277">
        <v>68</v>
      </c>
      <c r="AE961" s="253">
        <v>68</v>
      </c>
      <c r="AF961" s="253">
        <v>66</v>
      </c>
      <c r="AG961" s="253">
        <v>64</v>
      </c>
      <c r="AH961" s="253">
        <v>63</v>
      </c>
      <c r="AI961" s="253">
        <v>58</v>
      </c>
      <c r="AJ961" s="253">
        <v>59</v>
      </c>
      <c r="AK961" s="253">
        <v>53</v>
      </c>
      <c r="AL961" s="253">
        <v>51</v>
      </c>
      <c r="AM961" s="253">
        <v>64</v>
      </c>
      <c r="AN961" s="253">
        <v>65</v>
      </c>
      <c r="AO961" s="277">
        <v>48</v>
      </c>
      <c r="AP961" s="277">
        <v>43</v>
      </c>
      <c r="AQ961" s="277">
        <v>46</v>
      </c>
      <c r="AR961" s="277">
        <v>47</v>
      </c>
      <c r="AS961" s="277">
        <v>44</v>
      </c>
      <c r="AT961" s="277">
        <v>50</v>
      </c>
      <c r="AU961" s="277">
        <v>47</v>
      </c>
      <c r="AV961" s="277">
        <f t="shared" si="79"/>
        <v>47</v>
      </c>
      <c r="AX961" s="88" t="str">
        <f t="shared" ca="1" si="78"/>
        <v>MVEGLE</v>
      </c>
    </row>
    <row r="962" spans="1:50" hidden="1">
      <c r="A962" s="88" t="str">
        <f t="shared" ca="1" si="76"/>
        <v>MVEORA</v>
      </c>
      <c r="F962" s="253">
        <v>14.56</v>
      </c>
      <c r="G962" s="253">
        <v>49.33</v>
      </c>
      <c r="H962" s="253">
        <v>14.56</v>
      </c>
      <c r="I962" s="253">
        <v>14.56</v>
      </c>
      <c r="J962" s="253">
        <v>14.56</v>
      </c>
      <c r="K962" s="253">
        <v>14.56</v>
      </c>
      <c r="L962" s="253">
        <v>14.56</v>
      </c>
      <c r="M962" s="253">
        <v>14.56</v>
      </c>
      <c r="N962" s="253">
        <v>14.56</v>
      </c>
      <c r="O962" s="253">
        <v>14.56</v>
      </c>
      <c r="P962" s="253">
        <v>14.56</v>
      </c>
      <c r="Q962" s="253">
        <v>14.56</v>
      </c>
      <c r="R962" s="253">
        <v>14.56</v>
      </c>
      <c r="S962" s="253">
        <v>14.56</v>
      </c>
      <c r="T962" s="253">
        <v>14.56</v>
      </c>
      <c r="U962" s="253">
        <v>14.56</v>
      </c>
      <c r="V962" s="253">
        <v>14.56</v>
      </c>
      <c r="W962" s="253">
        <v>14.56</v>
      </c>
      <c r="X962" s="253">
        <v>14.56</v>
      </c>
      <c r="Y962" s="253">
        <v>14.56</v>
      </c>
      <c r="Z962" s="247">
        <f ca="1">[1]ExtEntry!$O62</f>
        <v>14.56</v>
      </c>
      <c r="AB962" s="277">
        <v>49</v>
      </c>
      <c r="AC962" s="277">
        <v>57</v>
      </c>
      <c r="AD962" s="277">
        <v>50</v>
      </c>
      <c r="AE962" s="253">
        <v>46</v>
      </c>
      <c r="AF962" s="253">
        <v>43</v>
      </c>
      <c r="AG962" s="253">
        <v>39</v>
      </c>
      <c r="AH962" s="253">
        <v>43</v>
      </c>
      <c r="AI962" s="253">
        <v>43</v>
      </c>
      <c r="AJ962" s="253">
        <v>44</v>
      </c>
      <c r="AK962" s="253">
        <v>40</v>
      </c>
      <c r="AL962" s="253">
        <v>46</v>
      </c>
      <c r="AM962" s="253">
        <v>58</v>
      </c>
      <c r="AN962" s="253">
        <v>61</v>
      </c>
      <c r="AO962" s="277">
        <v>63</v>
      </c>
      <c r="AP962" s="277">
        <v>58</v>
      </c>
      <c r="AQ962" s="277">
        <v>57</v>
      </c>
      <c r="AR962" s="277">
        <v>58</v>
      </c>
      <c r="AS962" s="277">
        <v>60</v>
      </c>
      <c r="AT962" s="277">
        <v>59</v>
      </c>
      <c r="AU962" s="277">
        <v>52</v>
      </c>
      <c r="AV962" s="277">
        <f t="shared" si="79"/>
        <v>52</v>
      </c>
      <c r="AX962" s="88" t="str">
        <f t="shared" ca="1" si="78"/>
        <v>MVEORA</v>
      </c>
    </row>
    <row r="963" spans="1:50" hidden="1">
      <c r="A963" s="88" t="str">
        <f t="shared" ca="1" si="76"/>
        <v>MVERWE</v>
      </c>
      <c r="F963" s="253">
        <v>38.1</v>
      </c>
      <c r="G963" s="253">
        <v>44.03</v>
      </c>
      <c r="H963" s="253">
        <v>44.03</v>
      </c>
      <c r="I963" s="253">
        <v>44.03</v>
      </c>
      <c r="J963" s="253">
        <v>44.03</v>
      </c>
      <c r="K963" s="253">
        <v>44.03</v>
      </c>
      <c r="L963" s="253">
        <v>44.03</v>
      </c>
      <c r="M963" s="253">
        <v>44.03</v>
      </c>
      <c r="N963" s="253">
        <v>44.03</v>
      </c>
      <c r="O963" s="253">
        <v>44.03</v>
      </c>
      <c r="P963" s="253">
        <v>44.03</v>
      </c>
      <c r="Q963" s="253">
        <v>44.03</v>
      </c>
      <c r="R963" s="253">
        <v>44.03</v>
      </c>
      <c r="S963" s="253">
        <v>44.03</v>
      </c>
      <c r="T963" s="253">
        <v>44.03</v>
      </c>
      <c r="U963" s="253">
        <v>44.03</v>
      </c>
      <c r="V963" s="253">
        <v>44.03</v>
      </c>
      <c r="W963" s="253">
        <v>44.03</v>
      </c>
      <c r="X963" s="253">
        <v>44.03</v>
      </c>
      <c r="Y963" s="253">
        <v>44.03</v>
      </c>
      <c r="Z963" s="247">
        <f ca="1">[1]ExtEntry!$O63</f>
        <v>41.61</v>
      </c>
      <c r="AB963" s="277">
        <v>78</v>
      </c>
      <c r="AC963" s="277">
        <v>80</v>
      </c>
      <c r="AD963" s="277">
        <v>81</v>
      </c>
      <c r="AE963" s="253">
        <v>79</v>
      </c>
      <c r="AF963" s="253">
        <v>77</v>
      </c>
      <c r="AG963" s="253">
        <v>78</v>
      </c>
      <c r="AH963" s="253">
        <v>80</v>
      </c>
      <c r="AI963" s="253">
        <v>78</v>
      </c>
      <c r="AJ963" s="253">
        <v>78</v>
      </c>
      <c r="AK963" s="253">
        <v>79</v>
      </c>
      <c r="AL963" s="253">
        <v>75</v>
      </c>
      <c r="AM963" s="253">
        <v>81</v>
      </c>
      <c r="AN963" s="253">
        <v>87</v>
      </c>
      <c r="AO963" s="277">
        <v>84</v>
      </c>
      <c r="AP963" s="277">
        <v>82</v>
      </c>
      <c r="AQ963" s="277">
        <v>75</v>
      </c>
      <c r="AR963" s="277">
        <v>71</v>
      </c>
      <c r="AS963" s="277">
        <v>67</v>
      </c>
      <c r="AT963" s="277">
        <v>64</v>
      </c>
      <c r="AU963" s="277">
        <v>63</v>
      </c>
      <c r="AV963" s="277">
        <f t="shared" si="79"/>
        <v>63</v>
      </c>
      <c r="AX963" s="88" t="str">
        <f t="shared" ca="1" si="78"/>
        <v>MVERWE</v>
      </c>
    </row>
    <row r="964" spans="1:50" hidden="1">
      <c r="A964" s="88" t="str">
        <f t="shared" ca="1" si="76"/>
        <v>MVESAP</v>
      </c>
      <c r="F964" s="253">
        <v>283.5</v>
      </c>
      <c r="G964" s="253">
        <v>283.5</v>
      </c>
      <c r="H964" s="253">
        <v>283.5</v>
      </c>
      <c r="I964" s="253">
        <v>283.5</v>
      </c>
      <c r="J964" s="253">
        <v>283.5</v>
      </c>
      <c r="K964" s="253">
        <v>283.5</v>
      </c>
      <c r="L964" s="253">
        <v>283.5</v>
      </c>
      <c r="M964" s="253">
        <v>283.5</v>
      </c>
      <c r="N964" s="253">
        <v>283.5</v>
      </c>
      <c r="O964" s="253">
        <v>283.5</v>
      </c>
      <c r="P964" s="253">
        <v>283.5</v>
      </c>
      <c r="Q964" s="253">
        <v>283.5</v>
      </c>
      <c r="R964" s="253">
        <v>283.5</v>
      </c>
      <c r="S964" s="253">
        <v>283.5</v>
      </c>
      <c r="T964" s="253">
        <v>283.5</v>
      </c>
      <c r="U964" s="253">
        <v>283.5</v>
      </c>
      <c r="V964" s="253">
        <v>283.5</v>
      </c>
      <c r="W964" s="253">
        <v>283.5</v>
      </c>
      <c r="X964" s="253">
        <v>283.5</v>
      </c>
      <c r="Y964" s="253">
        <v>283.5</v>
      </c>
      <c r="Z964" s="247">
        <f ca="1">[1]ExtEntry!$O64</f>
        <v>283.5</v>
      </c>
      <c r="AB964" s="277">
        <v>39</v>
      </c>
      <c r="AC964" s="277">
        <v>38</v>
      </c>
      <c r="AD964" s="277">
        <v>35</v>
      </c>
      <c r="AE964" s="253">
        <v>40</v>
      </c>
      <c r="AF964" s="253">
        <v>37</v>
      </c>
      <c r="AG964" s="253">
        <v>40</v>
      </c>
      <c r="AH964" s="253">
        <v>46</v>
      </c>
      <c r="AI964" s="253">
        <v>50</v>
      </c>
      <c r="AJ964" s="253">
        <v>49</v>
      </c>
      <c r="AK964" s="253">
        <v>57</v>
      </c>
      <c r="AL964" s="253">
        <v>66</v>
      </c>
      <c r="AM964" s="253">
        <v>73</v>
      </c>
      <c r="AN964" s="253">
        <v>61</v>
      </c>
      <c r="AO964" s="277">
        <v>61</v>
      </c>
      <c r="AP964" s="277">
        <v>71</v>
      </c>
      <c r="AQ964" s="277">
        <v>78</v>
      </c>
      <c r="AR964" s="277">
        <v>70</v>
      </c>
      <c r="AS964" s="277">
        <v>63</v>
      </c>
      <c r="AT964" s="277">
        <v>71</v>
      </c>
      <c r="AU964" s="277">
        <v>60</v>
      </c>
      <c r="AV964" s="277">
        <f t="shared" si="79"/>
        <v>60</v>
      </c>
      <c r="AX964" s="88" t="str">
        <f t="shared" ca="1" si="78"/>
        <v>MVESAP</v>
      </c>
    </row>
    <row r="965" spans="1:50" hidden="1">
      <c r="A965" s="88" t="str">
        <f t="shared" ca="1" si="76"/>
        <v>MVEUN0</v>
      </c>
      <c r="F965" s="253">
        <v>73.5</v>
      </c>
      <c r="G965" s="253">
        <v>73.5</v>
      </c>
      <c r="H965" s="253">
        <v>73.5</v>
      </c>
      <c r="I965" s="253">
        <v>73.5</v>
      </c>
      <c r="J965" s="253">
        <v>73.5</v>
      </c>
      <c r="K965" s="253">
        <v>73.5</v>
      </c>
      <c r="L965" s="253">
        <v>73.5</v>
      </c>
      <c r="M965" s="253">
        <v>73.5</v>
      </c>
      <c r="N965" s="253">
        <v>73.5</v>
      </c>
      <c r="O965" s="253">
        <v>73.5</v>
      </c>
      <c r="P965" s="253">
        <v>73.5</v>
      </c>
      <c r="Q965" s="253">
        <v>73.5</v>
      </c>
      <c r="R965" s="253">
        <v>73.5</v>
      </c>
      <c r="S965" s="253">
        <v>73.5</v>
      </c>
      <c r="T965" s="253">
        <v>73.5</v>
      </c>
      <c r="U965" s="253">
        <v>73.5</v>
      </c>
      <c r="V965" s="253">
        <v>73.5</v>
      </c>
      <c r="W965" s="253">
        <v>73.5</v>
      </c>
      <c r="X965" s="253">
        <v>73.5</v>
      </c>
      <c r="Y965" s="253">
        <v>73.5</v>
      </c>
      <c r="Z965" s="247">
        <f ca="1">[1]ExtEntry!$O65</f>
        <v>73.5</v>
      </c>
      <c r="AB965" s="277">
        <v>45</v>
      </c>
      <c r="AC965" s="277">
        <v>40</v>
      </c>
      <c r="AD965" s="277">
        <v>38</v>
      </c>
      <c r="AE965" s="253">
        <v>33</v>
      </c>
      <c r="AF965" s="253">
        <v>35</v>
      </c>
      <c r="AG965" s="253">
        <v>30</v>
      </c>
      <c r="AH965" s="253">
        <v>32</v>
      </c>
      <c r="AI965" s="253">
        <v>37</v>
      </c>
      <c r="AJ965" s="253">
        <v>30</v>
      </c>
      <c r="AK965" s="253">
        <v>32</v>
      </c>
      <c r="AL965" s="253">
        <v>31</v>
      </c>
      <c r="AM965" s="253">
        <v>32</v>
      </c>
      <c r="AN965" s="253">
        <v>30</v>
      </c>
      <c r="AO965" s="277">
        <v>35</v>
      </c>
      <c r="AP965" s="277">
        <v>51</v>
      </c>
      <c r="AQ965" s="277">
        <v>42</v>
      </c>
      <c r="AR965" s="277">
        <v>47</v>
      </c>
      <c r="AS965" s="277">
        <v>47</v>
      </c>
      <c r="AT965" s="277">
        <v>42</v>
      </c>
      <c r="AU965" s="277">
        <v>40</v>
      </c>
      <c r="AV965" s="277">
        <f t="shared" si="79"/>
        <v>40</v>
      </c>
      <c r="AX965" s="88" t="str">
        <f t="shared" ca="1" si="78"/>
        <v>MVEUN0</v>
      </c>
    </row>
    <row r="966" spans="1:50" hidden="1">
      <c r="A966" s="88" t="str">
        <f t="shared" ca="1" si="76"/>
        <v>SAFAAPL</v>
      </c>
      <c r="F966" s="253">
        <v>260.10000000000002</v>
      </c>
      <c r="G966" s="253">
        <v>260.10000000000002</v>
      </c>
      <c r="H966" s="253">
        <v>260.10000000000002</v>
      </c>
      <c r="I966" s="253">
        <v>260.10000000000002</v>
      </c>
      <c r="J966" s="253">
        <v>260.10000000000002</v>
      </c>
      <c r="K966" s="253">
        <v>260.10000000000002</v>
      </c>
      <c r="L966" s="253">
        <v>260.10000000000002</v>
      </c>
      <c r="M966" s="253">
        <v>260.10000000000002</v>
      </c>
      <c r="N966" s="253">
        <v>260.10000000000002</v>
      </c>
      <c r="O966" s="253">
        <v>260.10000000000002</v>
      </c>
      <c r="P966" s="253">
        <v>260.10000000000002</v>
      </c>
      <c r="Q966" s="253">
        <v>260.10000000000002</v>
      </c>
      <c r="R966" s="253">
        <v>260.10000000000002</v>
      </c>
      <c r="S966" s="253">
        <v>260.10000000000002</v>
      </c>
      <c r="T966" s="253">
        <v>264.375</v>
      </c>
      <c r="U966" s="253">
        <v>265.29000000000002</v>
      </c>
      <c r="V966" s="253">
        <v>265.29000000000002</v>
      </c>
      <c r="W966" s="253">
        <v>265.29000000000002</v>
      </c>
      <c r="X966" s="253">
        <v>265.29000000000002</v>
      </c>
      <c r="Y966" s="253">
        <v>265.29000000000002</v>
      </c>
      <c r="Z966" s="247">
        <f ca="1">[1]ExtEntry!$O66</f>
        <v>265.29000000000002</v>
      </c>
      <c r="AB966" s="277">
        <v>73</v>
      </c>
      <c r="AC966" s="277">
        <v>71</v>
      </c>
      <c r="AD966" s="277">
        <v>67</v>
      </c>
      <c r="AE966" s="253">
        <v>68</v>
      </c>
      <c r="AF966" s="253">
        <v>70</v>
      </c>
      <c r="AG966" s="253">
        <v>74</v>
      </c>
      <c r="AH966" s="253">
        <v>84</v>
      </c>
      <c r="AI966" s="253">
        <v>77</v>
      </c>
      <c r="AJ966" s="253">
        <v>70</v>
      </c>
      <c r="AK966" s="253">
        <v>70</v>
      </c>
      <c r="AL966" s="253">
        <v>69</v>
      </c>
      <c r="AM966" s="253">
        <v>69</v>
      </c>
      <c r="AN966" s="253">
        <v>68</v>
      </c>
      <c r="AO966" s="277">
        <v>66</v>
      </c>
      <c r="AP966" s="277">
        <v>68</v>
      </c>
      <c r="AQ966" s="277">
        <v>62</v>
      </c>
      <c r="AR966" s="277">
        <v>59</v>
      </c>
      <c r="AS966" s="277">
        <v>56</v>
      </c>
      <c r="AT966" s="277">
        <v>53</v>
      </c>
      <c r="AU966" s="277">
        <v>58</v>
      </c>
      <c r="AV966" s="277">
        <f t="shared" si="79"/>
        <v>58</v>
      </c>
      <c r="AX966" s="88" t="str">
        <f t="shared" ca="1" si="78"/>
        <v>SAFAAPL</v>
      </c>
    </row>
    <row r="967" spans="1:50" hidden="1">
      <c r="A967" s="88" t="str">
        <f t="shared" ca="1" si="76"/>
        <v>SAFAMZN</v>
      </c>
      <c r="F967" s="253">
        <v>242.52</v>
      </c>
      <c r="G967" s="253">
        <v>242.52</v>
      </c>
      <c r="H967" s="253">
        <v>242.52</v>
      </c>
      <c r="I967" s="253">
        <v>242.52</v>
      </c>
      <c r="J967" s="253">
        <v>242.52</v>
      </c>
      <c r="K967" s="253">
        <v>242.52</v>
      </c>
      <c r="L967" s="253">
        <v>242.52</v>
      </c>
      <c r="M967" s="253">
        <v>242.52</v>
      </c>
      <c r="N967" s="253">
        <v>242.52</v>
      </c>
      <c r="O967" s="253">
        <v>242.52</v>
      </c>
      <c r="P967" s="253">
        <v>242.52</v>
      </c>
      <c r="Q967" s="253">
        <v>242.52</v>
      </c>
      <c r="R967" s="253">
        <v>242.52</v>
      </c>
      <c r="S967" s="253">
        <v>242.52</v>
      </c>
      <c r="T967" s="253">
        <v>242.52</v>
      </c>
      <c r="U967" s="253">
        <v>242.52</v>
      </c>
      <c r="V967" s="253">
        <v>242.52</v>
      </c>
      <c r="W967" s="253">
        <v>242.52</v>
      </c>
      <c r="X967" s="253">
        <v>242.52</v>
      </c>
      <c r="Y967" s="253">
        <v>242.52</v>
      </c>
      <c r="Z967" s="247">
        <f ca="1">[1]ExtEntry!$O67</f>
        <v>242.52</v>
      </c>
      <c r="AB967" s="277">
        <v>58</v>
      </c>
      <c r="AC967" s="277">
        <v>54</v>
      </c>
      <c r="AD967" s="277">
        <v>55</v>
      </c>
      <c r="AE967" s="253">
        <v>48</v>
      </c>
      <c r="AF967" s="253">
        <v>41</v>
      </c>
      <c r="AG967" s="253">
        <v>39</v>
      </c>
      <c r="AH967" s="253">
        <v>51</v>
      </c>
      <c r="AI967" s="253">
        <v>54</v>
      </c>
      <c r="AJ967" s="253">
        <v>59</v>
      </c>
      <c r="AK967" s="253">
        <v>57</v>
      </c>
      <c r="AL967" s="253">
        <v>49</v>
      </c>
      <c r="AM967" s="253">
        <v>45</v>
      </c>
      <c r="AN967" s="253">
        <v>44</v>
      </c>
      <c r="AO967" s="277">
        <v>42</v>
      </c>
      <c r="AP967" s="277">
        <v>46</v>
      </c>
      <c r="AQ967" s="277">
        <v>55</v>
      </c>
      <c r="AR967" s="277">
        <v>58</v>
      </c>
      <c r="AS967" s="277">
        <v>54</v>
      </c>
      <c r="AT967" s="277">
        <v>59</v>
      </c>
      <c r="AU967" s="277">
        <v>60</v>
      </c>
      <c r="AV967" s="277">
        <f t="shared" si="79"/>
        <v>60</v>
      </c>
      <c r="AX967" s="88" t="str">
        <f t="shared" ca="1" si="78"/>
        <v>SAFAMZN</v>
      </c>
    </row>
    <row r="968" spans="1:50" hidden="1">
      <c r="A968" s="88" t="str">
        <f t="shared" ref="A968:A995" ca="1" si="80">A70</f>
        <v>SAFASML</v>
      </c>
      <c r="F968" s="253">
        <v>829.1</v>
      </c>
      <c r="G968" s="253">
        <v>977.48</v>
      </c>
      <c r="H968" s="253">
        <v>1005.36</v>
      </c>
      <c r="I968" s="253">
        <v>1040.23</v>
      </c>
      <c r="J968" s="253">
        <v>1040.23</v>
      </c>
      <c r="K968" s="253">
        <v>905.1</v>
      </c>
      <c r="L968" s="253">
        <v>905.1</v>
      </c>
      <c r="M968" s="253">
        <v>905.1</v>
      </c>
      <c r="N968" s="253">
        <v>905.1</v>
      </c>
      <c r="O968" s="253">
        <v>905.1</v>
      </c>
      <c r="P968" s="253">
        <v>905.1</v>
      </c>
      <c r="Q968" s="253">
        <v>905.1</v>
      </c>
      <c r="R968" s="253">
        <v>905.1</v>
      </c>
      <c r="S968" s="253">
        <v>905.1</v>
      </c>
      <c r="T968" s="253">
        <v>905.1</v>
      </c>
      <c r="U968" s="253">
        <v>905.1</v>
      </c>
      <c r="V968" s="253">
        <v>905.1</v>
      </c>
      <c r="W968" s="253">
        <v>905.1</v>
      </c>
      <c r="X968" s="253">
        <v>905.1</v>
      </c>
      <c r="Y968" s="253">
        <v>905.1</v>
      </c>
      <c r="Z968" s="247">
        <f ca="1">[1]ExtEntry!$O68</f>
        <v>905.1</v>
      </c>
      <c r="AB968" s="277">
        <v>94</v>
      </c>
      <c r="AC968" s="277">
        <v>94</v>
      </c>
      <c r="AD968" s="277">
        <v>94</v>
      </c>
      <c r="AE968" s="253">
        <v>94</v>
      </c>
      <c r="AF968" s="253">
        <v>94</v>
      </c>
      <c r="AG968" s="253">
        <v>87</v>
      </c>
      <c r="AH968" s="253">
        <v>81</v>
      </c>
      <c r="AI968" s="253">
        <v>81</v>
      </c>
      <c r="AJ968" s="253">
        <v>78</v>
      </c>
      <c r="AK968" s="253">
        <v>78</v>
      </c>
      <c r="AL968" s="253">
        <v>75</v>
      </c>
      <c r="AM968" s="253">
        <v>77</v>
      </c>
      <c r="AN968" s="253">
        <v>72</v>
      </c>
      <c r="AO968" s="277">
        <v>71</v>
      </c>
      <c r="AP968" s="277">
        <v>74</v>
      </c>
      <c r="AQ968" s="277">
        <v>70</v>
      </c>
      <c r="AR968" s="277">
        <v>64</v>
      </c>
      <c r="AS968" s="277">
        <v>62</v>
      </c>
      <c r="AT968" s="277">
        <v>64</v>
      </c>
      <c r="AU968" s="277">
        <v>64</v>
      </c>
      <c r="AV968" s="277">
        <f t="shared" si="79"/>
        <v>64</v>
      </c>
      <c r="AX968" s="88" t="str">
        <f t="shared" ca="1" si="78"/>
        <v>SAFASML</v>
      </c>
    </row>
    <row r="969" spans="1:50" hidden="1">
      <c r="A969" s="88" t="str">
        <f t="shared" ca="1" si="80"/>
        <v>SAFDDD</v>
      </c>
      <c r="F969" s="253">
        <v>4.9991000000000003</v>
      </c>
      <c r="G969" s="253">
        <v>4.9991000000000003</v>
      </c>
      <c r="H969" s="253">
        <v>4.9991000000000003</v>
      </c>
      <c r="I969" s="253">
        <v>4.9991000000000003</v>
      </c>
      <c r="J969" s="253">
        <v>4.9991000000000003</v>
      </c>
      <c r="K969" s="253">
        <v>4.9991000000000003</v>
      </c>
      <c r="L969" s="253">
        <v>4.9991000000000003</v>
      </c>
      <c r="M969" s="253">
        <v>4.9991000000000003</v>
      </c>
      <c r="N969" s="253">
        <v>4.9991000000000003</v>
      </c>
      <c r="O969" s="253">
        <v>4.9991000000000003</v>
      </c>
      <c r="P969" s="253">
        <v>4.9991000000000003</v>
      </c>
      <c r="Q969" s="253">
        <v>4.9991000000000003</v>
      </c>
      <c r="R969" s="253">
        <v>4.9991000000000003</v>
      </c>
      <c r="S969" s="253">
        <v>4.9991000000000003</v>
      </c>
      <c r="T969" s="253">
        <v>4.9991000000000003</v>
      </c>
      <c r="U969" s="253">
        <v>4.9991000000000003</v>
      </c>
      <c r="V969" s="253">
        <v>4.9991000000000003</v>
      </c>
      <c r="W969" s="253">
        <v>4.9991000000000003</v>
      </c>
      <c r="X969" s="253">
        <v>4.9991000000000003</v>
      </c>
      <c r="Y969" s="253">
        <v>4.9991000000000003</v>
      </c>
      <c r="Z969" s="247">
        <f ca="1">[1]ExtEntry!$O69</f>
        <v>4.9991000000000003</v>
      </c>
      <c r="AB969" s="277">
        <v>69</v>
      </c>
      <c r="AC969" s="277">
        <v>69</v>
      </c>
      <c r="AD969" s="277">
        <v>74</v>
      </c>
      <c r="AE969" s="253">
        <v>75</v>
      </c>
      <c r="AF969" s="253">
        <v>76</v>
      </c>
      <c r="AG969" s="253">
        <v>78</v>
      </c>
      <c r="AH969" s="253">
        <v>79</v>
      </c>
      <c r="AI969" s="253">
        <v>75</v>
      </c>
      <c r="AJ969" s="253">
        <v>74</v>
      </c>
      <c r="AK969" s="253">
        <v>76</v>
      </c>
      <c r="AL969" s="253">
        <v>74</v>
      </c>
      <c r="AM969" s="253">
        <v>76</v>
      </c>
      <c r="AN969" s="253">
        <v>73</v>
      </c>
      <c r="AO969" s="277">
        <v>68</v>
      </c>
      <c r="AP969" s="277">
        <v>76</v>
      </c>
      <c r="AQ969" s="277">
        <v>67</v>
      </c>
      <c r="AR969" s="277">
        <v>56</v>
      </c>
      <c r="AS969" s="277">
        <v>48</v>
      </c>
      <c r="AT969" s="277">
        <v>49</v>
      </c>
      <c r="AU969" s="277">
        <v>47</v>
      </c>
      <c r="AV969" s="277">
        <f t="shared" si="79"/>
        <v>47</v>
      </c>
      <c r="AX969" s="88" t="str">
        <f t="shared" ca="1" si="78"/>
        <v>SAFDDD</v>
      </c>
    </row>
    <row r="970" spans="1:50" hidden="1">
      <c r="A970" s="88" t="str">
        <f t="shared" ca="1" si="80"/>
        <v>SAFDIS</v>
      </c>
      <c r="F970" s="253">
        <v>124.69</v>
      </c>
      <c r="G970" s="253">
        <v>124.69</v>
      </c>
      <c r="H970" s="253">
        <v>124.69</v>
      </c>
      <c r="I970" s="253">
        <v>124.69</v>
      </c>
      <c r="J970" s="253">
        <v>124.69</v>
      </c>
      <c r="K970" s="253">
        <v>124.69</v>
      </c>
      <c r="L970" s="253">
        <v>124.69</v>
      </c>
      <c r="M970" s="253">
        <v>124.69</v>
      </c>
      <c r="N970" s="253">
        <v>124.69</v>
      </c>
      <c r="O970" s="253">
        <v>124.69</v>
      </c>
      <c r="P970" s="253">
        <v>124.69</v>
      </c>
      <c r="Q970" s="253">
        <v>124.69</v>
      </c>
      <c r="R970" s="253">
        <v>124.69</v>
      </c>
      <c r="S970" s="253">
        <v>124.69</v>
      </c>
      <c r="T970" s="253">
        <v>124.69</v>
      </c>
      <c r="U970" s="253">
        <v>124.69</v>
      </c>
      <c r="V970" s="253">
        <v>124.69</v>
      </c>
      <c r="W970" s="253">
        <v>124.69</v>
      </c>
      <c r="X970" s="253">
        <v>124.69</v>
      </c>
      <c r="Y970" s="253">
        <v>124.69</v>
      </c>
      <c r="Z970" s="247">
        <f ca="1">[1]ExtEntry!$O70</f>
        <v>124.69</v>
      </c>
      <c r="AB970" s="277">
        <v>31</v>
      </c>
      <c r="AC970" s="277">
        <v>34</v>
      </c>
      <c r="AD970" s="277">
        <v>33</v>
      </c>
      <c r="AE970" s="253">
        <v>26</v>
      </c>
      <c r="AF970" s="253">
        <v>23</v>
      </c>
      <c r="AG970" s="253">
        <v>25</v>
      </c>
      <c r="AH970" s="253">
        <v>27</v>
      </c>
      <c r="AI970" s="253">
        <v>19</v>
      </c>
      <c r="AJ970" s="253">
        <v>19</v>
      </c>
      <c r="AK970" s="253">
        <v>25</v>
      </c>
      <c r="AL970" s="253">
        <v>29</v>
      </c>
      <c r="AM970" s="253">
        <v>34</v>
      </c>
      <c r="AN970" s="253">
        <v>32</v>
      </c>
      <c r="AO970" s="277">
        <v>38</v>
      </c>
      <c r="AP970" s="277">
        <v>45</v>
      </c>
      <c r="AQ970" s="277">
        <v>56</v>
      </c>
      <c r="AR970" s="277">
        <v>53</v>
      </c>
      <c r="AS970" s="277">
        <v>47</v>
      </c>
      <c r="AT970" s="277">
        <v>48</v>
      </c>
      <c r="AU970" s="277">
        <v>43</v>
      </c>
      <c r="AV970" s="277">
        <f t="shared" si="79"/>
        <v>43</v>
      </c>
      <c r="AX970" s="88" t="str">
        <f t="shared" ca="1" si="78"/>
        <v>SAFDIS</v>
      </c>
    </row>
    <row r="971" spans="1:50" hidden="1">
      <c r="A971" s="88" t="str">
        <f t="shared" ca="1" si="80"/>
        <v>SAFGM</v>
      </c>
      <c r="F971" s="253">
        <v>62.11</v>
      </c>
      <c r="G971" s="253">
        <v>62.14</v>
      </c>
      <c r="H971" s="253">
        <v>62.14</v>
      </c>
      <c r="I971" s="253">
        <v>62.14</v>
      </c>
      <c r="J971" s="253">
        <v>62.14</v>
      </c>
      <c r="K971" s="253">
        <v>62.14</v>
      </c>
      <c r="L971" s="253">
        <v>62.14</v>
      </c>
      <c r="M971" s="253">
        <v>62.14</v>
      </c>
      <c r="N971" s="253">
        <v>62.14</v>
      </c>
      <c r="O971" s="253">
        <v>62.14</v>
      </c>
      <c r="P971" s="253">
        <v>62.14</v>
      </c>
      <c r="Q971" s="253">
        <v>62.14</v>
      </c>
      <c r="R971" s="253">
        <v>62.14</v>
      </c>
      <c r="S971" s="253">
        <v>62.14</v>
      </c>
      <c r="T971" s="253">
        <v>62.14</v>
      </c>
      <c r="U971" s="253">
        <v>67.55</v>
      </c>
      <c r="V971" s="253">
        <v>67.584999999999994</v>
      </c>
      <c r="W971" s="253">
        <v>67.584999999999994</v>
      </c>
      <c r="X971" s="253">
        <v>68.48</v>
      </c>
      <c r="Y971" s="253">
        <v>69.7</v>
      </c>
      <c r="Z971" s="247">
        <f ca="1">[1]ExtEntry!$O71</f>
        <v>69.7</v>
      </c>
      <c r="AB971" s="277">
        <v>57</v>
      </c>
      <c r="AC971" s="277">
        <v>57</v>
      </c>
      <c r="AD971" s="277">
        <v>64</v>
      </c>
      <c r="AE971" s="253">
        <v>51</v>
      </c>
      <c r="AF971" s="253">
        <v>54</v>
      </c>
      <c r="AG971" s="253">
        <v>51</v>
      </c>
      <c r="AH971" s="253">
        <v>50</v>
      </c>
      <c r="AI971" s="253">
        <v>42</v>
      </c>
      <c r="AJ971" s="253">
        <v>41</v>
      </c>
      <c r="AK971" s="253">
        <v>42</v>
      </c>
      <c r="AL971" s="253">
        <v>46</v>
      </c>
      <c r="AM971" s="253">
        <v>51</v>
      </c>
      <c r="AN971" s="253">
        <v>48</v>
      </c>
      <c r="AO971" s="277">
        <v>52</v>
      </c>
      <c r="AP971" s="277">
        <v>52</v>
      </c>
      <c r="AQ971" s="277">
        <v>71</v>
      </c>
      <c r="AR971" s="277">
        <v>73</v>
      </c>
      <c r="AS971" s="277">
        <v>72</v>
      </c>
      <c r="AT971" s="277">
        <v>70</v>
      </c>
      <c r="AU971" s="277">
        <v>72</v>
      </c>
      <c r="AV971" s="277">
        <f t="shared" si="79"/>
        <v>72</v>
      </c>
      <c r="AX971" s="88" t="str">
        <f t="shared" ca="1" si="78"/>
        <v>SAFGM</v>
      </c>
    </row>
    <row r="972" spans="1:50" hidden="1">
      <c r="A972" s="88" t="str">
        <f t="shared" ca="1" si="80"/>
        <v>SAFIAG</v>
      </c>
      <c r="F972" s="253">
        <v>398.7</v>
      </c>
      <c r="G972" s="253">
        <v>398.7</v>
      </c>
      <c r="H972" s="253">
        <v>398.7</v>
      </c>
      <c r="I972" s="253">
        <v>398.7</v>
      </c>
      <c r="J972" s="253">
        <v>398.7</v>
      </c>
      <c r="K972" s="253">
        <v>398.7</v>
      </c>
      <c r="L972" s="253">
        <v>405</v>
      </c>
      <c r="M972" s="253">
        <v>416</v>
      </c>
      <c r="N972" s="253">
        <v>416</v>
      </c>
      <c r="O972" s="253">
        <v>416</v>
      </c>
      <c r="P972" s="253">
        <v>416</v>
      </c>
      <c r="Q972" s="253">
        <v>416</v>
      </c>
      <c r="R972" s="253">
        <v>416</v>
      </c>
      <c r="S972" s="253">
        <v>416</v>
      </c>
      <c r="T972" s="253">
        <v>416</v>
      </c>
      <c r="U972" s="253">
        <v>416</v>
      </c>
      <c r="V972" s="253">
        <v>416</v>
      </c>
      <c r="W972" s="253">
        <v>416</v>
      </c>
      <c r="X972" s="253">
        <v>416</v>
      </c>
      <c r="Y972" s="253">
        <v>416</v>
      </c>
      <c r="Z972" s="247">
        <f ca="1">[1]ExtEntry!$O72</f>
        <v>416</v>
      </c>
      <c r="AB972" s="277">
        <v>51</v>
      </c>
      <c r="AC972" s="277">
        <v>44</v>
      </c>
      <c r="AD972" s="277">
        <v>39</v>
      </c>
      <c r="AE972" s="253">
        <v>45</v>
      </c>
      <c r="AF972" s="253">
        <v>41</v>
      </c>
      <c r="AG972" s="253">
        <v>40</v>
      </c>
      <c r="AH972" s="253">
        <v>61</v>
      </c>
      <c r="AI972" s="253">
        <v>68</v>
      </c>
      <c r="AJ972" s="253">
        <v>64</v>
      </c>
      <c r="AK972" s="253">
        <v>62</v>
      </c>
      <c r="AL972" s="253">
        <v>60</v>
      </c>
      <c r="AM972" s="253">
        <v>63</v>
      </c>
      <c r="AN972" s="253">
        <v>65</v>
      </c>
      <c r="AO972" s="277">
        <v>53</v>
      </c>
      <c r="AP972" s="277">
        <v>56</v>
      </c>
      <c r="AQ972" s="277">
        <v>58</v>
      </c>
      <c r="AR972" s="277">
        <v>60</v>
      </c>
      <c r="AS972" s="277">
        <v>63</v>
      </c>
      <c r="AT972" s="277">
        <v>65</v>
      </c>
      <c r="AU972" s="277">
        <v>67</v>
      </c>
      <c r="AV972" s="277">
        <f t="shared" si="79"/>
        <v>67</v>
      </c>
      <c r="AX972" s="88" t="str">
        <f t="shared" ca="1" si="78"/>
        <v>SAFIAG</v>
      </c>
    </row>
    <row r="973" spans="1:50" hidden="1">
      <c r="A973" s="88" t="str">
        <f t="shared" ca="1" si="80"/>
        <v>SAFMRNA</v>
      </c>
      <c r="F973" s="253">
        <v>67.959800000000001</v>
      </c>
      <c r="G973" s="253">
        <v>67.959800000000001</v>
      </c>
      <c r="H973" s="253">
        <v>67.549899999999994</v>
      </c>
      <c r="I973" s="253">
        <v>63.69</v>
      </c>
      <c r="J973" s="253">
        <v>62.97</v>
      </c>
      <c r="K973" s="253">
        <v>60.65</v>
      </c>
      <c r="L973" s="253">
        <v>59.734200000000001</v>
      </c>
      <c r="M973" s="253">
        <v>59.734200000000001</v>
      </c>
      <c r="N973" s="253">
        <v>59.734200000000001</v>
      </c>
      <c r="O973" s="253">
        <v>58.96</v>
      </c>
      <c r="P973" s="253">
        <v>58.96</v>
      </c>
      <c r="Q973" s="253">
        <v>58.62</v>
      </c>
      <c r="R973" s="253">
        <v>58.45</v>
      </c>
      <c r="S973" s="253">
        <v>57.69</v>
      </c>
      <c r="T973" s="253">
        <v>57.69</v>
      </c>
      <c r="U973" s="253">
        <v>57.69</v>
      </c>
      <c r="V973" s="253">
        <v>57.69</v>
      </c>
      <c r="W973" s="253">
        <v>57.69</v>
      </c>
      <c r="X973" s="253">
        <v>57.69</v>
      </c>
      <c r="Y973" s="253">
        <v>57.69</v>
      </c>
      <c r="Z973" s="247">
        <f ca="1">[1]ExtEntry!$O73</f>
        <v>57.69</v>
      </c>
      <c r="AB973" s="277">
        <v>52</v>
      </c>
      <c r="AC973" s="277">
        <v>53</v>
      </c>
      <c r="AD973" s="277">
        <v>60</v>
      </c>
      <c r="AE973" s="253">
        <v>61</v>
      </c>
      <c r="AF973" s="253">
        <v>63</v>
      </c>
      <c r="AG973" s="253">
        <v>64</v>
      </c>
      <c r="AH973" s="253">
        <v>66</v>
      </c>
      <c r="AI973" s="253">
        <v>62</v>
      </c>
      <c r="AJ973" s="253">
        <v>69</v>
      </c>
      <c r="AK973" s="253">
        <v>68</v>
      </c>
      <c r="AL973" s="253">
        <v>64</v>
      </c>
      <c r="AM973" s="253">
        <v>66</v>
      </c>
      <c r="AN973" s="253">
        <v>62</v>
      </c>
      <c r="AO973" s="277">
        <v>57</v>
      </c>
      <c r="AP973" s="277">
        <v>62</v>
      </c>
      <c r="AQ973" s="277">
        <v>57</v>
      </c>
      <c r="AR973" s="277">
        <v>58</v>
      </c>
      <c r="AS973" s="277">
        <v>55</v>
      </c>
      <c r="AT973" s="277">
        <v>58</v>
      </c>
      <c r="AU973" s="277">
        <v>60</v>
      </c>
      <c r="AV973" s="277">
        <f t="shared" si="79"/>
        <v>60</v>
      </c>
      <c r="AX973" s="88" t="str">
        <f t="shared" ca="1" si="78"/>
        <v>SAFMRNA</v>
      </c>
    </row>
    <row r="974" spans="1:50" hidden="1">
      <c r="A974" s="88" t="str">
        <f t="shared" ca="1" si="80"/>
        <v>BLNK</v>
      </c>
      <c r="F974" s="253">
        <v>2.3199999999999998</v>
      </c>
      <c r="G974" s="253">
        <v>2.3199999999999998</v>
      </c>
      <c r="H974" s="253">
        <v>2.3199999999999998</v>
      </c>
      <c r="I974" s="253">
        <v>2.3199999999999998</v>
      </c>
      <c r="J974" s="253">
        <v>2.3199999999999998</v>
      </c>
      <c r="K974" s="253">
        <v>2.6499000000000001</v>
      </c>
      <c r="L974" s="253">
        <v>2.6499000000000001</v>
      </c>
      <c r="M974" s="253">
        <v>2.6499000000000001</v>
      </c>
      <c r="N974" s="253">
        <v>2.6499000000000001</v>
      </c>
      <c r="O974" s="253">
        <v>2.6499000000000001</v>
      </c>
      <c r="P974" s="253">
        <v>2.6499000000000001</v>
      </c>
      <c r="Q974" s="253">
        <v>2.6499000000000001</v>
      </c>
      <c r="R974" s="253">
        <v>2.6499000000000001</v>
      </c>
      <c r="S974" s="253">
        <v>2.6499000000000001</v>
      </c>
      <c r="T974" s="253">
        <v>2.6499000000000001</v>
      </c>
      <c r="U974" s="253">
        <v>2.6499000000000001</v>
      </c>
      <c r="V974" s="253">
        <v>2.6499000000000001</v>
      </c>
      <c r="W974" s="253">
        <v>2.6499000000000001</v>
      </c>
      <c r="X974" s="253">
        <v>2.6499000000000001</v>
      </c>
      <c r="Y974" s="253">
        <v>2.6499000000000001</v>
      </c>
      <c r="Z974" s="247">
        <f ca="1">[1]ExtEntry!$O74</f>
        <v>2.6499000000000001</v>
      </c>
      <c r="AB974" s="277">
        <v>80</v>
      </c>
      <c r="AC974" s="277">
        <v>72</v>
      </c>
      <c r="AD974" s="277">
        <v>76</v>
      </c>
      <c r="AE974" s="253">
        <v>77</v>
      </c>
      <c r="AF974" s="253">
        <v>80</v>
      </c>
      <c r="AG974" s="253">
        <v>73</v>
      </c>
      <c r="AH974" s="253">
        <v>70</v>
      </c>
      <c r="AI974" s="253">
        <v>65</v>
      </c>
      <c r="AJ974" s="253">
        <v>60</v>
      </c>
      <c r="AK974" s="253">
        <v>65</v>
      </c>
      <c r="AL974" s="253">
        <v>66</v>
      </c>
      <c r="AM974" s="253">
        <v>63</v>
      </c>
      <c r="AN974" s="253">
        <v>54</v>
      </c>
      <c r="AO974" s="277">
        <v>49</v>
      </c>
      <c r="AP974" s="277">
        <v>49</v>
      </c>
      <c r="AQ974" s="277">
        <v>44</v>
      </c>
      <c r="AR974" s="277">
        <v>45</v>
      </c>
      <c r="AS974" s="277">
        <v>46</v>
      </c>
      <c r="AT974" s="277">
        <v>47</v>
      </c>
      <c r="AU974" s="277">
        <v>51</v>
      </c>
      <c r="AV974" s="277">
        <f t="shared" si="79"/>
        <v>51</v>
      </c>
      <c r="AX974" s="88" t="str">
        <f t="shared" ca="1" si="78"/>
        <v>BLNK</v>
      </c>
    </row>
    <row r="975" spans="1:50" hidden="1">
      <c r="A975" s="88" t="str">
        <f t="shared" ca="1" si="80"/>
        <v>ENI</v>
      </c>
      <c r="F975" s="253">
        <v>15.39</v>
      </c>
      <c r="G975" s="253">
        <v>15.39</v>
      </c>
      <c r="H975" s="253">
        <v>15.39</v>
      </c>
      <c r="I975" s="253">
        <v>15.39</v>
      </c>
      <c r="J975" s="253">
        <v>15.39</v>
      </c>
      <c r="K975" s="253">
        <v>15.39</v>
      </c>
      <c r="L975" s="253">
        <v>15.39</v>
      </c>
      <c r="M975" s="253">
        <v>15.534000000000001</v>
      </c>
      <c r="N975" s="253">
        <v>15.53</v>
      </c>
      <c r="O975" s="253">
        <v>15.53</v>
      </c>
      <c r="P975" s="253">
        <v>15.53</v>
      </c>
      <c r="Q975" s="253">
        <v>15.53</v>
      </c>
      <c r="R975" s="253">
        <v>15.53</v>
      </c>
      <c r="S975" s="253">
        <v>15.53</v>
      </c>
      <c r="T975" s="253">
        <v>15.53</v>
      </c>
      <c r="U975" s="253">
        <v>15.53</v>
      </c>
      <c r="V975" s="253">
        <v>15.53</v>
      </c>
      <c r="W975" s="253">
        <v>15.53</v>
      </c>
      <c r="X975" s="253">
        <v>15.63</v>
      </c>
      <c r="Y975" s="253">
        <v>16.032</v>
      </c>
      <c r="Z975" s="247">
        <f ca="1">[1]ExtEntry!$O75</f>
        <v>16.032</v>
      </c>
      <c r="AB975" s="277">
        <v>59</v>
      </c>
      <c r="AC975" s="277">
        <v>60</v>
      </c>
      <c r="AD975" s="277">
        <v>62</v>
      </c>
      <c r="AE975" s="253">
        <v>60</v>
      </c>
      <c r="AF975" s="253">
        <v>59</v>
      </c>
      <c r="AG975" s="253">
        <v>56</v>
      </c>
      <c r="AH975" s="253">
        <v>58</v>
      </c>
      <c r="AI975" s="253">
        <v>60</v>
      </c>
      <c r="AJ975" s="253">
        <v>57</v>
      </c>
      <c r="AK975" s="253">
        <v>58</v>
      </c>
      <c r="AL975" s="253">
        <v>52</v>
      </c>
      <c r="AM975" s="253">
        <v>51</v>
      </c>
      <c r="AN975" s="253">
        <v>51</v>
      </c>
      <c r="AO975" s="277">
        <v>54</v>
      </c>
      <c r="AP975" s="277">
        <v>58</v>
      </c>
      <c r="AQ975" s="277">
        <v>57</v>
      </c>
      <c r="AR975" s="277">
        <v>56</v>
      </c>
      <c r="AS975" s="277">
        <v>56</v>
      </c>
      <c r="AT975" s="277">
        <v>62</v>
      </c>
      <c r="AU975" s="277">
        <v>63</v>
      </c>
      <c r="AV975" s="277">
        <f t="shared" si="79"/>
        <v>63</v>
      </c>
      <c r="AX975" s="88" t="str">
        <f t="shared" ca="1" si="78"/>
        <v>ENI</v>
      </c>
    </row>
    <row r="976" spans="1:50" hidden="1">
      <c r="A976" s="88" t="str">
        <f t="shared" ca="1" si="80"/>
        <v>EZJ</v>
      </c>
      <c r="F976" s="253">
        <v>594</v>
      </c>
      <c r="G976" s="253">
        <v>594</v>
      </c>
      <c r="H976" s="253">
        <v>594</v>
      </c>
      <c r="I976" s="253">
        <v>594</v>
      </c>
      <c r="J976" s="253">
        <v>594</v>
      </c>
      <c r="K976" s="253">
        <v>594</v>
      </c>
      <c r="L976" s="253">
        <v>594</v>
      </c>
      <c r="M976" s="253">
        <v>594</v>
      </c>
      <c r="N976" s="253">
        <v>594</v>
      </c>
      <c r="O976" s="253">
        <v>594</v>
      </c>
      <c r="P976" s="253">
        <v>594</v>
      </c>
      <c r="Q976" s="253">
        <v>594</v>
      </c>
      <c r="R976" s="253">
        <v>594</v>
      </c>
      <c r="S976" s="253">
        <v>594</v>
      </c>
      <c r="T976" s="253">
        <v>594</v>
      </c>
      <c r="U976" s="253">
        <v>594</v>
      </c>
      <c r="V976" s="253">
        <v>594</v>
      </c>
      <c r="W976" s="253">
        <v>594</v>
      </c>
      <c r="X976" s="253">
        <v>594</v>
      </c>
      <c r="Y976" s="253">
        <v>594</v>
      </c>
      <c r="Z976" s="247">
        <f ca="1">[1]ExtEntry!$O76</f>
        <v>594</v>
      </c>
      <c r="AB976" s="277">
        <v>51</v>
      </c>
      <c r="AC976" s="277">
        <v>48</v>
      </c>
      <c r="AD976" s="277">
        <v>54</v>
      </c>
      <c r="AE976" s="253">
        <v>54</v>
      </c>
      <c r="AF976" s="253">
        <v>58</v>
      </c>
      <c r="AG976" s="253">
        <v>55</v>
      </c>
      <c r="AH976" s="253">
        <v>63</v>
      </c>
      <c r="AI976" s="253">
        <v>62</v>
      </c>
      <c r="AJ976" s="253">
        <v>60</v>
      </c>
      <c r="AK976" s="253">
        <v>57</v>
      </c>
      <c r="AL976" s="253">
        <v>69</v>
      </c>
      <c r="AM976" s="253">
        <v>66</v>
      </c>
      <c r="AN976" s="253">
        <v>71</v>
      </c>
      <c r="AO976" s="277">
        <v>69</v>
      </c>
      <c r="AP976" s="277">
        <v>67</v>
      </c>
      <c r="AQ976" s="277">
        <v>67</v>
      </c>
      <c r="AR976" s="277">
        <v>68</v>
      </c>
      <c r="AS976" s="277">
        <v>73</v>
      </c>
      <c r="AT976" s="277">
        <v>67</v>
      </c>
      <c r="AU976" s="277">
        <v>67</v>
      </c>
      <c r="AV976" s="277">
        <f t="shared" si="79"/>
        <v>67</v>
      </c>
      <c r="AX976" s="88" t="str">
        <f t="shared" ca="1" si="78"/>
        <v>EZJ</v>
      </c>
    </row>
    <row r="977" spans="1:70" hidden="1">
      <c r="A977" s="88" t="str">
        <f t="shared" ca="1" si="80"/>
        <v>F</v>
      </c>
      <c r="F977" s="253">
        <v>12.315</v>
      </c>
      <c r="G977" s="253">
        <v>12.315</v>
      </c>
      <c r="H977" s="253">
        <v>12.315</v>
      </c>
      <c r="I977" s="253">
        <v>12.43</v>
      </c>
      <c r="J977" s="253">
        <v>12.67</v>
      </c>
      <c r="K977" s="253">
        <v>12.8</v>
      </c>
      <c r="L977" s="253">
        <v>12.8</v>
      </c>
      <c r="M977" s="253">
        <v>12.8</v>
      </c>
      <c r="N977" s="253">
        <v>12.8</v>
      </c>
      <c r="O977" s="253">
        <v>12.8</v>
      </c>
      <c r="P977" s="253">
        <v>12.8</v>
      </c>
      <c r="Q977" s="253">
        <v>12.8</v>
      </c>
      <c r="R977" s="253">
        <v>12.8</v>
      </c>
      <c r="S977" s="253">
        <v>12.8</v>
      </c>
      <c r="T977" s="253">
        <v>12.8</v>
      </c>
      <c r="U977" s="253">
        <v>12.8</v>
      </c>
      <c r="V977" s="253">
        <v>12.8</v>
      </c>
      <c r="W977" s="253">
        <v>12.8</v>
      </c>
      <c r="X977" s="253">
        <v>12.8</v>
      </c>
      <c r="Y977" s="253">
        <v>13.97</v>
      </c>
      <c r="Z977" s="247">
        <f ca="1">[1]ExtEntry!$O77</f>
        <v>13.97</v>
      </c>
      <c r="AB977" s="277">
        <v>46</v>
      </c>
      <c r="AC977" s="277">
        <v>45</v>
      </c>
      <c r="AD977" s="277">
        <v>54</v>
      </c>
      <c r="AE977" s="253">
        <v>52</v>
      </c>
      <c r="AF977" s="253">
        <v>61</v>
      </c>
      <c r="AG977" s="253">
        <v>50</v>
      </c>
      <c r="AH977" s="253">
        <v>49</v>
      </c>
      <c r="AI977" s="253">
        <v>40</v>
      </c>
      <c r="AJ977" s="253">
        <v>38</v>
      </c>
      <c r="AK977" s="253">
        <v>41</v>
      </c>
      <c r="AL977" s="253">
        <v>43</v>
      </c>
      <c r="AM977" s="253">
        <v>45</v>
      </c>
      <c r="AN977" s="253">
        <v>43</v>
      </c>
      <c r="AO977" s="277">
        <v>47</v>
      </c>
      <c r="AP977" s="277">
        <v>50</v>
      </c>
      <c r="AQ977" s="277">
        <v>57</v>
      </c>
      <c r="AR977" s="277">
        <v>55</v>
      </c>
      <c r="AS977" s="277">
        <v>55</v>
      </c>
      <c r="AT977" s="277">
        <v>54</v>
      </c>
      <c r="AU977" s="277">
        <v>63</v>
      </c>
      <c r="AV977" s="277">
        <f t="shared" si="79"/>
        <v>63</v>
      </c>
      <c r="AX977" s="88" t="str">
        <f t="shared" ca="1" si="78"/>
        <v>F</v>
      </c>
    </row>
    <row r="978" spans="1:70" hidden="1">
      <c r="A978" s="88" t="str">
        <f t="shared" ca="1" si="80"/>
        <v>GLE</v>
      </c>
      <c r="F978" s="253">
        <v>59.42</v>
      </c>
      <c r="G978" s="253">
        <v>59.42</v>
      </c>
      <c r="H978" s="253">
        <v>59.42</v>
      </c>
      <c r="I978" s="253">
        <v>59.42</v>
      </c>
      <c r="J978" s="253">
        <v>59.42</v>
      </c>
      <c r="K978" s="253">
        <v>59.42</v>
      </c>
      <c r="L978" s="253">
        <v>59.42</v>
      </c>
      <c r="M978" s="253">
        <v>59.42</v>
      </c>
      <c r="N978" s="253">
        <v>59.42</v>
      </c>
      <c r="O978" s="253">
        <v>59.42</v>
      </c>
      <c r="P978" s="253">
        <v>59.42</v>
      </c>
      <c r="Q978" s="253">
        <v>59.42</v>
      </c>
      <c r="R978" s="253">
        <v>59.42</v>
      </c>
      <c r="S978" s="253">
        <v>59.42</v>
      </c>
      <c r="T978" s="253">
        <v>59.42</v>
      </c>
      <c r="U978" s="253">
        <v>59.42</v>
      </c>
      <c r="V978" s="253">
        <v>59.42</v>
      </c>
      <c r="W978" s="253">
        <v>59.42</v>
      </c>
      <c r="X978" s="253">
        <v>59.42</v>
      </c>
      <c r="Y978" s="253">
        <v>59.42</v>
      </c>
      <c r="Z978" s="247">
        <f ca="1">[1]ExtEntry!$O78</f>
        <v>59.42</v>
      </c>
      <c r="AB978" s="277">
        <v>69</v>
      </c>
      <c r="AC978" s="277">
        <v>68</v>
      </c>
      <c r="AD978" s="277">
        <v>68</v>
      </c>
      <c r="AE978" s="253">
        <v>68</v>
      </c>
      <c r="AF978" s="253">
        <v>66</v>
      </c>
      <c r="AG978" s="253">
        <v>64</v>
      </c>
      <c r="AH978" s="253">
        <v>63</v>
      </c>
      <c r="AI978" s="253">
        <v>58</v>
      </c>
      <c r="AJ978" s="253">
        <v>59</v>
      </c>
      <c r="AK978" s="253">
        <v>53</v>
      </c>
      <c r="AL978" s="253">
        <v>51</v>
      </c>
      <c r="AM978" s="253">
        <v>64</v>
      </c>
      <c r="AN978" s="253">
        <v>65</v>
      </c>
      <c r="AO978" s="277">
        <v>48</v>
      </c>
      <c r="AP978" s="277">
        <v>43</v>
      </c>
      <c r="AQ978" s="277">
        <v>46</v>
      </c>
      <c r="AR978" s="277">
        <v>47</v>
      </c>
      <c r="AS978" s="277">
        <v>44</v>
      </c>
      <c r="AT978" s="277">
        <v>50</v>
      </c>
      <c r="AU978" s="277">
        <v>47</v>
      </c>
      <c r="AV978" s="277">
        <f t="shared" si="79"/>
        <v>47</v>
      </c>
      <c r="AX978" s="88" t="str">
        <f t="shared" ca="1" si="78"/>
        <v>GLE</v>
      </c>
    </row>
    <row r="979" spans="1:70" hidden="1">
      <c r="A979" s="88" t="str">
        <f t="shared" ca="1" si="80"/>
        <v>GNRC</v>
      </c>
      <c r="F979" s="253">
        <v>203.2499</v>
      </c>
      <c r="G979" s="253">
        <v>203.2499</v>
      </c>
      <c r="H979" s="253">
        <v>203.2499</v>
      </c>
      <c r="I979" s="253">
        <v>203.2499</v>
      </c>
      <c r="J979" s="253">
        <v>203.2499</v>
      </c>
      <c r="K979" s="253">
        <v>203.2499</v>
      </c>
      <c r="L979" s="253">
        <v>203.2499</v>
      </c>
      <c r="M979" s="253">
        <v>203.2499</v>
      </c>
      <c r="N979" s="253">
        <v>203.2499</v>
      </c>
      <c r="O979" s="253">
        <v>203.2499</v>
      </c>
      <c r="P979" s="253">
        <v>203.2499</v>
      </c>
      <c r="Q979" s="253">
        <v>203.2499</v>
      </c>
      <c r="R979" s="253">
        <v>203.2499</v>
      </c>
      <c r="S979" s="253">
        <v>203.2499</v>
      </c>
      <c r="T979" s="253">
        <v>203.2499</v>
      </c>
      <c r="U979" s="253">
        <v>203.2499</v>
      </c>
      <c r="V979" s="253">
        <v>203.2499</v>
      </c>
      <c r="W979" s="253">
        <v>203.2499</v>
      </c>
      <c r="X979" s="253">
        <v>203.2499</v>
      </c>
      <c r="Y979" s="253">
        <v>203.2499</v>
      </c>
      <c r="Z979" s="247">
        <f ca="1">[1]ExtEntry!$O79</f>
        <v>203.2499</v>
      </c>
      <c r="AB979" s="277">
        <v>35</v>
      </c>
      <c r="AC979" s="277">
        <v>39</v>
      </c>
      <c r="AD979" s="277">
        <v>42</v>
      </c>
      <c r="AE979" s="253">
        <v>41</v>
      </c>
      <c r="AF979" s="253">
        <v>36</v>
      </c>
      <c r="AG979" s="253">
        <v>40</v>
      </c>
      <c r="AH979" s="253">
        <v>41</v>
      </c>
      <c r="AI979" s="253">
        <v>38</v>
      </c>
      <c r="AJ979" s="253">
        <v>41</v>
      </c>
      <c r="AK979" s="253">
        <v>43</v>
      </c>
      <c r="AL979" s="253">
        <v>50</v>
      </c>
      <c r="AM979" s="253">
        <v>57</v>
      </c>
      <c r="AN979" s="253">
        <v>57</v>
      </c>
      <c r="AO979" s="277">
        <v>56</v>
      </c>
      <c r="AP979" s="277">
        <v>60</v>
      </c>
      <c r="AQ979" s="277">
        <v>57</v>
      </c>
      <c r="AR979" s="277">
        <v>65</v>
      </c>
      <c r="AS979" s="277">
        <v>57</v>
      </c>
      <c r="AT979" s="277">
        <v>62</v>
      </c>
      <c r="AU979" s="277">
        <v>62</v>
      </c>
      <c r="AV979" s="277">
        <f t="shared" si="79"/>
        <v>62</v>
      </c>
      <c r="AX979" s="88" t="str">
        <f t="shared" ref="AX979:AX996" ca="1" si="81">A979</f>
        <v>GNRC</v>
      </c>
    </row>
    <row r="980" spans="1:70" hidden="1">
      <c r="A980" s="88" t="str">
        <f t="shared" ca="1" si="80"/>
        <v>GS</v>
      </c>
      <c r="F980" s="253">
        <v>825.25</v>
      </c>
      <c r="G980" s="253">
        <v>825.25</v>
      </c>
      <c r="H980" s="253">
        <v>825.25</v>
      </c>
      <c r="I980" s="253">
        <v>825.25</v>
      </c>
      <c r="J980" s="253">
        <v>825.25</v>
      </c>
      <c r="K980" s="253">
        <v>825.25</v>
      </c>
      <c r="L980" s="253">
        <v>825.25</v>
      </c>
      <c r="M980" s="253">
        <v>825.25</v>
      </c>
      <c r="N980" s="253">
        <v>825.25</v>
      </c>
      <c r="O980" s="253">
        <v>825.25</v>
      </c>
      <c r="P980" s="253">
        <v>825.25</v>
      </c>
      <c r="Q980" s="253">
        <v>825.25</v>
      </c>
      <c r="R980" s="253">
        <v>825.25</v>
      </c>
      <c r="S980" s="253">
        <v>825.25</v>
      </c>
      <c r="T980" s="253">
        <v>825.25</v>
      </c>
      <c r="U980" s="253">
        <v>825.25</v>
      </c>
      <c r="V980" s="253">
        <v>825.25</v>
      </c>
      <c r="W980" s="253">
        <v>825.25</v>
      </c>
      <c r="X980" s="253">
        <v>825.25</v>
      </c>
      <c r="Y980" s="253">
        <v>825.25</v>
      </c>
      <c r="Z980" s="247">
        <f ca="1">[1]ExtEntry!$O80</f>
        <v>825.25</v>
      </c>
      <c r="AB980" s="277">
        <v>80</v>
      </c>
      <c r="AC980" s="277">
        <v>78</v>
      </c>
      <c r="AD980" s="277">
        <v>73</v>
      </c>
      <c r="AE980" s="253">
        <v>66</v>
      </c>
      <c r="AF980" s="253">
        <v>67</v>
      </c>
      <c r="AG980" s="253">
        <v>58</v>
      </c>
      <c r="AH980" s="253">
        <v>51</v>
      </c>
      <c r="AI980" s="253">
        <v>46</v>
      </c>
      <c r="AJ980" s="253">
        <v>49</v>
      </c>
      <c r="AK980" s="253">
        <v>54</v>
      </c>
      <c r="AL980" s="253">
        <v>46</v>
      </c>
      <c r="AM980" s="253">
        <v>44</v>
      </c>
      <c r="AN980" s="253">
        <v>37</v>
      </c>
      <c r="AO980" s="277">
        <v>35</v>
      </c>
      <c r="AP980" s="277">
        <v>40</v>
      </c>
      <c r="AQ980" s="277">
        <v>39</v>
      </c>
      <c r="AR980" s="277">
        <v>35</v>
      </c>
      <c r="AS980" s="277">
        <v>35</v>
      </c>
      <c r="AT980" s="277">
        <v>37</v>
      </c>
      <c r="AU980" s="277">
        <v>44</v>
      </c>
      <c r="AV980" s="277">
        <f t="shared" si="79"/>
        <v>44</v>
      </c>
      <c r="AX980" s="88" t="str">
        <f t="shared" ca="1" si="81"/>
        <v>GS</v>
      </c>
    </row>
    <row r="981" spans="1:70" hidden="1">
      <c r="A981" s="88" t="str">
        <f t="shared" ca="1" si="80"/>
        <v>LAZR</v>
      </c>
      <c r="F981" s="253">
        <v>18.600000000000001</v>
      </c>
      <c r="G981" s="253">
        <v>18.600000000000001</v>
      </c>
      <c r="H981" s="253">
        <v>18.600000000000001</v>
      </c>
      <c r="I981" s="253">
        <v>18.600000000000001</v>
      </c>
      <c r="J981" s="253">
        <v>18.600000000000001</v>
      </c>
      <c r="K981" s="253">
        <v>18.600000000000001</v>
      </c>
      <c r="L981" s="253">
        <v>18.600000000000001</v>
      </c>
      <c r="M981" s="253">
        <v>18.600000000000001</v>
      </c>
      <c r="N981" s="253">
        <v>18.600000000000001</v>
      </c>
      <c r="O981" s="253">
        <v>18.600000000000001</v>
      </c>
      <c r="P981" s="253">
        <v>18.600000000000001</v>
      </c>
      <c r="Q981" s="253">
        <v>18.600000000000001</v>
      </c>
      <c r="R981" s="253">
        <v>18.600000000000001</v>
      </c>
      <c r="S981" s="253">
        <v>18.600000000000001</v>
      </c>
      <c r="T981" s="253">
        <v>18.600000000000001</v>
      </c>
      <c r="U981" s="253">
        <v>18.600000000000001</v>
      </c>
      <c r="V981" s="253">
        <v>18.600000000000001</v>
      </c>
      <c r="W981" s="253">
        <v>18.600000000000001</v>
      </c>
      <c r="X981" s="253">
        <v>18.600000000000001</v>
      </c>
      <c r="Y981" s="253">
        <v>18.600000000000001</v>
      </c>
      <c r="Z981" s="247">
        <f ca="1">[1]ExtEntry!$O81</f>
        <v>18.600000000000001</v>
      </c>
      <c r="AB981" s="277">
        <v>59</v>
      </c>
      <c r="AC981" s="277">
        <v>54</v>
      </c>
      <c r="AD981" s="277">
        <v>55</v>
      </c>
      <c r="AE981" s="253">
        <v>59</v>
      </c>
      <c r="AF981" s="253">
        <v>64</v>
      </c>
      <c r="AG981" s="253">
        <v>58</v>
      </c>
      <c r="AH981" s="253">
        <v>62</v>
      </c>
      <c r="AI981" s="253">
        <v>58</v>
      </c>
      <c r="AJ981" s="253">
        <v>53</v>
      </c>
      <c r="AK981" s="253">
        <v>52</v>
      </c>
      <c r="AL981" s="253">
        <v>46</v>
      </c>
      <c r="AM981" s="253">
        <v>45</v>
      </c>
      <c r="AN981" s="253">
        <v>44</v>
      </c>
      <c r="AO981" s="277">
        <v>46</v>
      </c>
      <c r="AP981" s="277">
        <v>48</v>
      </c>
      <c r="AQ981" s="277">
        <v>47</v>
      </c>
      <c r="AR981" s="277">
        <v>42</v>
      </c>
      <c r="AS981" s="277">
        <v>42</v>
      </c>
      <c r="AT981" s="277">
        <v>43</v>
      </c>
      <c r="AU981" s="277">
        <v>56</v>
      </c>
      <c r="AV981" s="277">
        <f t="shared" si="79"/>
        <v>56</v>
      </c>
      <c r="AX981" s="88" t="str">
        <f t="shared" ca="1" si="81"/>
        <v>LAZR</v>
      </c>
    </row>
    <row r="982" spans="1:70" hidden="1">
      <c r="A982" s="88" t="str">
        <f t="shared" ca="1" si="80"/>
        <v>LUV</v>
      </c>
      <c r="F982" s="253">
        <v>37.96</v>
      </c>
      <c r="G982" s="253">
        <v>37.96</v>
      </c>
      <c r="H982" s="253">
        <v>37.96</v>
      </c>
      <c r="I982" s="253">
        <v>37.96</v>
      </c>
      <c r="J982" s="253">
        <v>37.96</v>
      </c>
      <c r="K982" s="253">
        <v>37.96</v>
      </c>
      <c r="L982" s="253">
        <v>37.96</v>
      </c>
      <c r="M982" s="253">
        <v>37.96</v>
      </c>
      <c r="N982" s="253">
        <v>37.96</v>
      </c>
      <c r="O982" s="253">
        <v>37.96</v>
      </c>
      <c r="P982" s="253">
        <v>37.96</v>
      </c>
      <c r="Q982" s="253">
        <v>37.96</v>
      </c>
      <c r="R982" s="253">
        <v>37.96</v>
      </c>
      <c r="S982" s="253">
        <v>37.96</v>
      </c>
      <c r="T982" s="253">
        <v>37.96</v>
      </c>
      <c r="U982" s="253">
        <v>37.96</v>
      </c>
      <c r="V982" s="253">
        <v>37.96</v>
      </c>
      <c r="W982" s="253">
        <v>37.96</v>
      </c>
      <c r="X982" s="253">
        <v>37.96</v>
      </c>
      <c r="Y982" s="253">
        <v>37.96</v>
      </c>
      <c r="Z982" s="247">
        <f ca="1">[1]ExtEntry!$O82</f>
        <v>37.96</v>
      </c>
      <c r="AB982" s="277">
        <v>52</v>
      </c>
      <c r="AC982" s="277">
        <v>44</v>
      </c>
      <c r="AD982" s="277">
        <v>45</v>
      </c>
      <c r="AE982" s="253">
        <v>52</v>
      </c>
      <c r="AF982" s="253">
        <v>51</v>
      </c>
      <c r="AG982" s="253">
        <v>55</v>
      </c>
      <c r="AH982" s="253">
        <v>55</v>
      </c>
      <c r="AI982" s="253">
        <v>45</v>
      </c>
      <c r="AJ982" s="253">
        <v>41</v>
      </c>
      <c r="AK982" s="253">
        <v>45</v>
      </c>
      <c r="AL982" s="253">
        <v>55</v>
      </c>
      <c r="AM982" s="253">
        <v>56</v>
      </c>
      <c r="AN982" s="253">
        <v>54</v>
      </c>
      <c r="AO982" s="277">
        <v>53</v>
      </c>
      <c r="AP982" s="277">
        <v>56</v>
      </c>
      <c r="AQ982" s="277">
        <v>59</v>
      </c>
      <c r="AR982" s="277">
        <v>50</v>
      </c>
      <c r="AS982" s="277">
        <v>47</v>
      </c>
      <c r="AT982" s="277">
        <v>43</v>
      </c>
      <c r="AU982" s="277">
        <v>43</v>
      </c>
      <c r="AV982" s="277">
        <f t="shared" si="79"/>
        <v>43</v>
      </c>
      <c r="AX982" s="88" t="str">
        <f t="shared" ca="1" si="81"/>
        <v>LUV</v>
      </c>
    </row>
    <row r="983" spans="1:70" hidden="1">
      <c r="A983" s="88" t="str">
        <f t="shared" ca="1" si="80"/>
        <v>MA</v>
      </c>
      <c r="F983" s="253">
        <v>601.77</v>
      </c>
      <c r="G983" s="253">
        <v>601.77</v>
      </c>
      <c r="H983" s="253">
        <v>601.77</v>
      </c>
      <c r="I983" s="253">
        <v>601.77</v>
      </c>
      <c r="J983" s="253">
        <v>601.77</v>
      </c>
      <c r="K983" s="253">
        <v>601.77</v>
      </c>
      <c r="L983" s="253">
        <v>601.77</v>
      </c>
      <c r="M983" s="253">
        <v>601.77</v>
      </c>
      <c r="N983" s="253">
        <v>601.77</v>
      </c>
      <c r="O983" s="253">
        <v>601.77</v>
      </c>
      <c r="P983" s="253">
        <v>601.77</v>
      </c>
      <c r="Q983" s="253">
        <v>601.77</v>
      </c>
      <c r="R983" s="253">
        <v>601.77</v>
      </c>
      <c r="S983" s="253">
        <v>601.77</v>
      </c>
      <c r="T983" s="253">
        <v>601.77</v>
      </c>
      <c r="U983" s="253">
        <v>601.77</v>
      </c>
      <c r="V983" s="253">
        <v>601.77</v>
      </c>
      <c r="W983" s="253">
        <v>601.77</v>
      </c>
      <c r="X983" s="253">
        <v>601.77</v>
      </c>
      <c r="Y983" s="253">
        <v>601.77</v>
      </c>
      <c r="Z983" s="247">
        <f ca="1">[1]ExtEntry!$O83</f>
        <v>601.77</v>
      </c>
      <c r="AB983" s="277">
        <v>36</v>
      </c>
      <c r="AC983" s="277">
        <v>37</v>
      </c>
      <c r="AD983" s="277">
        <v>39</v>
      </c>
      <c r="AE983" s="253">
        <v>40</v>
      </c>
      <c r="AF983" s="253">
        <v>41</v>
      </c>
      <c r="AG983" s="253">
        <v>43</v>
      </c>
      <c r="AH983" s="253">
        <v>43</v>
      </c>
      <c r="AI983" s="253">
        <v>31</v>
      </c>
      <c r="AJ983" s="253">
        <v>30</v>
      </c>
      <c r="AK983" s="253">
        <v>27</v>
      </c>
      <c r="AL983" s="253">
        <v>32</v>
      </c>
      <c r="AM983" s="253">
        <v>28</v>
      </c>
      <c r="AN983" s="253">
        <v>28</v>
      </c>
      <c r="AO983" s="277">
        <v>36</v>
      </c>
      <c r="AP983" s="277">
        <v>40</v>
      </c>
      <c r="AQ983" s="277">
        <v>43</v>
      </c>
      <c r="AR983" s="277">
        <v>49</v>
      </c>
      <c r="AS983" s="277">
        <v>49</v>
      </c>
      <c r="AT983" s="277">
        <v>52</v>
      </c>
      <c r="AU983" s="277">
        <v>53</v>
      </c>
      <c r="AV983" s="277">
        <f t="shared" si="79"/>
        <v>53</v>
      </c>
      <c r="AX983" s="88" t="str">
        <f t="shared" ca="1" si="81"/>
        <v>MA</v>
      </c>
      <c r="BQ983" t="s">
        <v>190</v>
      </c>
      <c r="BR983" t="s">
        <v>178</v>
      </c>
    </row>
    <row r="984" spans="1:70" hidden="1">
      <c r="A984" s="88" t="str">
        <f t="shared" ca="1" si="80"/>
        <v>NVAX</v>
      </c>
      <c r="F984" s="253">
        <v>15.22</v>
      </c>
      <c r="G984" s="253">
        <v>15.22</v>
      </c>
      <c r="H984" s="253">
        <v>15.22</v>
      </c>
      <c r="I984" s="253">
        <v>15.22</v>
      </c>
      <c r="J984" s="253">
        <v>15.09</v>
      </c>
      <c r="K984" s="253">
        <v>13.772500000000001</v>
      </c>
      <c r="L984" s="253">
        <v>13.61</v>
      </c>
      <c r="M984" s="253">
        <v>13.35</v>
      </c>
      <c r="N984" s="253">
        <v>13.3398</v>
      </c>
      <c r="O984" s="253">
        <v>13.3398</v>
      </c>
      <c r="P984" s="253">
        <v>13.3398</v>
      </c>
      <c r="Q984" s="253">
        <v>12.86</v>
      </c>
      <c r="R984" s="253">
        <v>11.55</v>
      </c>
      <c r="S984" s="253">
        <v>11.55</v>
      </c>
      <c r="T984" s="253">
        <v>11.55</v>
      </c>
      <c r="U984" s="253">
        <v>11.55</v>
      </c>
      <c r="V984" s="253">
        <v>11.55</v>
      </c>
      <c r="W984" s="253">
        <v>11.55</v>
      </c>
      <c r="X984" s="253">
        <v>11.55</v>
      </c>
      <c r="Y984" s="253">
        <v>11.55</v>
      </c>
      <c r="Z984" s="247">
        <f ca="1">[1]ExtEntry!$O84</f>
        <v>11.55</v>
      </c>
      <c r="AB984" s="277">
        <v>68</v>
      </c>
      <c r="AC984" s="277">
        <v>69</v>
      </c>
      <c r="AD984" s="277">
        <v>77</v>
      </c>
      <c r="AE984" s="253">
        <v>75</v>
      </c>
      <c r="AF984" s="253">
        <v>77</v>
      </c>
      <c r="AG984" s="253">
        <v>76</v>
      </c>
      <c r="AH984" s="253">
        <v>70</v>
      </c>
      <c r="AI984" s="253">
        <v>63</v>
      </c>
      <c r="AJ984" s="253">
        <v>63</v>
      </c>
      <c r="AK984" s="253">
        <v>64</v>
      </c>
      <c r="AL984" s="253">
        <v>66</v>
      </c>
      <c r="AM984" s="253">
        <v>63</v>
      </c>
      <c r="AN984" s="253">
        <v>56</v>
      </c>
      <c r="AO984" s="277">
        <v>49</v>
      </c>
      <c r="AP984" s="277">
        <v>54</v>
      </c>
      <c r="AQ984" s="277">
        <v>51</v>
      </c>
      <c r="AR984" s="277">
        <v>52</v>
      </c>
      <c r="AS984" s="277">
        <v>51</v>
      </c>
      <c r="AT984" s="277">
        <v>53</v>
      </c>
      <c r="AU984" s="277">
        <v>52</v>
      </c>
      <c r="AV984" s="277">
        <f t="shared" si="79"/>
        <v>52</v>
      </c>
      <c r="AX984" s="88" t="str">
        <f t="shared" ca="1" si="81"/>
        <v>NVAX</v>
      </c>
      <c r="BQ984" t="s">
        <v>191</v>
      </c>
      <c r="BR984" t="s">
        <v>2202</v>
      </c>
    </row>
    <row r="985" spans="1:70" hidden="1">
      <c r="A985" s="88" t="str">
        <f t="shared" ca="1" si="80"/>
        <v>NVS</v>
      </c>
      <c r="F985" s="253">
        <v>130.46</v>
      </c>
      <c r="G985" s="253">
        <v>130.46</v>
      </c>
      <c r="H985" s="253">
        <v>131.9599</v>
      </c>
      <c r="I985" s="253">
        <v>131.9599</v>
      </c>
      <c r="J985" s="253">
        <v>133.37</v>
      </c>
      <c r="K985" s="253">
        <v>133.55000000000001</v>
      </c>
      <c r="L985" s="253">
        <v>133.55000000000001</v>
      </c>
      <c r="M985" s="253">
        <v>133.55000000000001</v>
      </c>
      <c r="N985" s="253">
        <v>133.55000000000001</v>
      </c>
      <c r="O985" s="253">
        <v>133.55000000000001</v>
      </c>
      <c r="P985" s="253">
        <v>133.55000000000001</v>
      </c>
      <c r="Q985" s="253">
        <v>133.55000000000001</v>
      </c>
      <c r="R985" s="253">
        <v>133.55000000000001</v>
      </c>
      <c r="S985" s="253">
        <v>133.55000000000001</v>
      </c>
      <c r="T985" s="253">
        <v>133.55000000000001</v>
      </c>
      <c r="U985" s="253">
        <v>133.55000000000001</v>
      </c>
      <c r="V985" s="253">
        <v>133.55000000000001</v>
      </c>
      <c r="W985" s="253">
        <v>133.55000000000001</v>
      </c>
      <c r="X985" s="253">
        <v>133.55000000000001</v>
      </c>
      <c r="Y985" s="253">
        <v>133.55000000000001</v>
      </c>
      <c r="Z985" s="247">
        <f ca="1">[1]ExtEntry!$O85</f>
        <v>133.55000000000001</v>
      </c>
      <c r="AB985" s="277">
        <v>41</v>
      </c>
      <c r="AC985" s="277">
        <v>49</v>
      </c>
      <c r="AD985" s="277">
        <v>53</v>
      </c>
      <c r="AE985" s="253">
        <v>51</v>
      </c>
      <c r="AF985" s="253">
        <v>56</v>
      </c>
      <c r="AG985" s="253">
        <v>56</v>
      </c>
      <c r="AH985" s="253">
        <v>60</v>
      </c>
      <c r="AI985" s="253">
        <v>56</v>
      </c>
      <c r="AJ985" s="253">
        <v>61</v>
      </c>
      <c r="AK985" s="253">
        <v>64</v>
      </c>
      <c r="AL985" s="253">
        <v>68</v>
      </c>
      <c r="AM985" s="253">
        <v>69</v>
      </c>
      <c r="AN985" s="253">
        <v>70</v>
      </c>
      <c r="AO985" s="277">
        <v>70</v>
      </c>
      <c r="AP985" s="277">
        <v>70</v>
      </c>
      <c r="AQ985" s="277">
        <v>68</v>
      </c>
      <c r="AR985" s="277">
        <v>70</v>
      </c>
      <c r="AS985" s="277">
        <v>69</v>
      </c>
      <c r="AT985" s="277">
        <v>72</v>
      </c>
      <c r="AU985" s="277">
        <v>66</v>
      </c>
      <c r="AV985" s="277">
        <f t="shared" si="79"/>
        <v>66</v>
      </c>
      <c r="AX985" s="88" t="str">
        <f t="shared" ca="1" si="81"/>
        <v>NVS</v>
      </c>
      <c r="BQ985" t="s">
        <v>139</v>
      </c>
      <c r="BR985" t="s">
        <v>2203</v>
      </c>
    </row>
    <row r="986" spans="1:70" hidden="1">
      <c r="A986" s="88" t="str">
        <f t="shared" ca="1" si="80"/>
        <v>ORA</v>
      </c>
      <c r="F986" s="253">
        <v>14.56</v>
      </c>
      <c r="G986" s="253">
        <v>14.56</v>
      </c>
      <c r="H986" s="253">
        <v>14.56</v>
      </c>
      <c r="I986" s="253">
        <v>14.56</v>
      </c>
      <c r="J986" s="253">
        <v>14.56</v>
      </c>
      <c r="K986" s="253">
        <v>14.56</v>
      </c>
      <c r="L986" s="253">
        <v>14.56</v>
      </c>
      <c r="M986" s="253">
        <v>14.56</v>
      </c>
      <c r="N986" s="253">
        <v>14.56</v>
      </c>
      <c r="O986" s="253">
        <v>14.56</v>
      </c>
      <c r="P986" s="253">
        <v>14.56</v>
      </c>
      <c r="Q986" s="253">
        <v>14.56</v>
      </c>
      <c r="R986" s="253">
        <v>14.56</v>
      </c>
      <c r="S986" s="253">
        <v>14.56</v>
      </c>
      <c r="T986" s="253">
        <v>14.56</v>
      </c>
      <c r="U986" s="253">
        <v>14.56</v>
      </c>
      <c r="V986" s="253">
        <v>14.56</v>
      </c>
      <c r="W986" s="253">
        <v>14.56</v>
      </c>
      <c r="X986" s="253">
        <v>14.56</v>
      </c>
      <c r="Y986" s="253">
        <v>14.56</v>
      </c>
      <c r="Z986" s="247">
        <f ca="1">[1]ExtEntry!$O86</f>
        <v>14.56</v>
      </c>
      <c r="AB986" s="277">
        <v>49</v>
      </c>
      <c r="AC986" s="277">
        <v>60</v>
      </c>
      <c r="AD986" s="277">
        <v>53</v>
      </c>
      <c r="AE986" s="253">
        <v>49</v>
      </c>
      <c r="AF986" s="253">
        <v>46</v>
      </c>
      <c r="AG986" s="253">
        <v>43</v>
      </c>
      <c r="AH986" s="253">
        <v>46</v>
      </c>
      <c r="AI986" s="253">
        <v>46</v>
      </c>
      <c r="AJ986" s="253">
        <v>47</v>
      </c>
      <c r="AK986" s="253">
        <v>43</v>
      </c>
      <c r="AL986" s="253">
        <v>48</v>
      </c>
      <c r="AM986" s="253">
        <v>60</v>
      </c>
      <c r="AN986" s="253">
        <v>63</v>
      </c>
      <c r="AO986" s="277">
        <v>65</v>
      </c>
      <c r="AP986" s="277">
        <v>60</v>
      </c>
      <c r="AQ986" s="277">
        <v>59</v>
      </c>
      <c r="AR986" s="277">
        <v>60</v>
      </c>
      <c r="AS986" s="277">
        <v>62</v>
      </c>
      <c r="AT986" s="277">
        <v>61</v>
      </c>
      <c r="AU986" s="277">
        <v>54</v>
      </c>
      <c r="AV986" s="277">
        <f t="shared" si="79"/>
        <v>54</v>
      </c>
      <c r="AX986" s="88" t="str">
        <f t="shared" ca="1" si="81"/>
        <v>ORA</v>
      </c>
      <c r="BQ986" t="s">
        <v>192</v>
      </c>
      <c r="BR986" t="s">
        <v>1894</v>
      </c>
    </row>
    <row r="987" spans="1:70" hidden="1">
      <c r="A987" s="88" t="str">
        <f t="shared" ca="1" si="80"/>
        <v>OXY</v>
      </c>
      <c r="F987" s="253">
        <v>56.49</v>
      </c>
      <c r="G987" s="253">
        <v>56.49</v>
      </c>
      <c r="H987" s="253">
        <v>56.49</v>
      </c>
      <c r="I987" s="253">
        <v>56.49</v>
      </c>
      <c r="J987" s="253">
        <v>56.49</v>
      </c>
      <c r="K987" s="253">
        <v>56.49</v>
      </c>
      <c r="L987" s="253">
        <v>55.24</v>
      </c>
      <c r="M987" s="253">
        <v>55.24</v>
      </c>
      <c r="N987" s="253">
        <v>55.24</v>
      </c>
      <c r="O987" s="253">
        <v>54.4</v>
      </c>
      <c r="P987" s="253">
        <v>54.4</v>
      </c>
      <c r="Q987" s="253">
        <v>53.2</v>
      </c>
      <c r="R987" s="253">
        <v>53.2</v>
      </c>
      <c r="S987" s="253">
        <v>53.2</v>
      </c>
      <c r="T987" s="253">
        <v>53.2</v>
      </c>
      <c r="U987" s="253">
        <v>53.2</v>
      </c>
      <c r="V987" s="253">
        <v>53.2</v>
      </c>
      <c r="W987" s="253">
        <v>53.2</v>
      </c>
      <c r="X987" s="253">
        <v>53.2</v>
      </c>
      <c r="Y987" s="253">
        <v>53.2</v>
      </c>
      <c r="Z987" s="247">
        <f ca="1">[1]ExtEntry!$O87</f>
        <v>53.2</v>
      </c>
      <c r="AB987" s="277">
        <v>46</v>
      </c>
      <c r="AC987" s="277">
        <v>48</v>
      </c>
      <c r="AD987" s="277">
        <v>57</v>
      </c>
      <c r="AE987" s="253">
        <v>43</v>
      </c>
      <c r="AF987" s="253">
        <v>47</v>
      </c>
      <c r="AG987" s="253">
        <v>47</v>
      </c>
      <c r="AH987" s="253">
        <v>41</v>
      </c>
      <c r="AI987" s="253">
        <v>40</v>
      </c>
      <c r="AJ987" s="253">
        <v>40</v>
      </c>
      <c r="AK987" s="253">
        <v>41</v>
      </c>
      <c r="AL987" s="253">
        <v>41</v>
      </c>
      <c r="AM987" s="253">
        <v>30</v>
      </c>
      <c r="AN987" s="253">
        <v>27</v>
      </c>
      <c r="AO987" s="277">
        <v>30</v>
      </c>
      <c r="AP987" s="277">
        <v>34</v>
      </c>
      <c r="AQ987" s="277">
        <v>34</v>
      </c>
      <c r="AR987" s="277">
        <v>35</v>
      </c>
      <c r="AS987" s="277">
        <v>37</v>
      </c>
      <c r="AT987" s="277">
        <v>42</v>
      </c>
      <c r="AU987" s="277">
        <v>39</v>
      </c>
      <c r="AV987" s="277">
        <f t="shared" si="79"/>
        <v>39</v>
      </c>
      <c r="AX987" s="88" t="str">
        <f t="shared" ca="1" si="81"/>
        <v>OXY</v>
      </c>
      <c r="BQ987" t="s">
        <v>193</v>
      </c>
      <c r="BR987" t="s">
        <v>2204</v>
      </c>
    </row>
    <row r="988" spans="1:70" hidden="1">
      <c r="A988" s="88" t="str">
        <f t="shared" ca="1" si="80"/>
        <v>PFE</v>
      </c>
      <c r="F988" s="253">
        <v>30.43</v>
      </c>
      <c r="G988" s="253">
        <v>30.43</v>
      </c>
      <c r="H988" s="253">
        <v>30.43</v>
      </c>
      <c r="I988" s="253">
        <v>30.43</v>
      </c>
      <c r="J988" s="253">
        <v>30.43</v>
      </c>
      <c r="K988" s="253">
        <v>30.43</v>
      </c>
      <c r="L988" s="253">
        <v>30.43</v>
      </c>
      <c r="M988" s="253">
        <v>30.43</v>
      </c>
      <c r="N988" s="253">
        <v>30.08</v>
      </c>
      <c r="O988" s="253">
        <v>29.82</v>
      </c>
      <c r="P988" s="253">
        <v>29.82</v>
      </c>
      <c r="Q988" s="253">
        <v>29.82</v>
      </c>
      <c r="R988" s="253">
        <v>29.82</v>
      </c>
      <c r="S988" s="253">
        <v>29.53</v>
      </c>
      <c r="T988" s="253">
        <v>29.22</v>
      </c>
      <c r="U988" s="253">
        <v>29.22</v>
      </c>
      <c r="V988" s="253">
        <v>29.17</v>
      </c>
      <c r="W988" s="253">
        <v>29.17</v>
      </c>
      <c r="X988" s="253">
        <v>29.17</v>
      </c>
      <c r="Y988" s="253">
        <v>29.17</v>
      </c>
      <c r="Z988" s="247">
        <f ca="1">[1]ExtEntry!$O88</f>
        <v>29.17</v>
      </c>
      <c r="AB988" s="277">
        <v>29</v>
      </c>
      <c r="AC988" s="277">
        <v>50</v>
      </c>
      <c r="AD988" s="277">
        <v>63</v>
      </c>
      <c r="AE988" s="253">
        <v>65</v>
      </c>
      <c r="AF988" s="253">
        <v>69</v>
      </c>
      <c r="AG988" s="253">
        <v>67</v>
      </c>
      <c r="AH988" s="253">
        <v>62</v>
      </c>
      <c r="AI988" s="253">
        <v>57</v>
      </c>
      <c r="AJ988" s="253">
        <v>62</v>
      </c>
      <c r="AK988" s="253">
        <v>61</v>
      </c>
      <c r="AL988" s="253">
        <v>59</v>
      </c>
      <c r="AM988" s="253">
        <v>58</v>
      </c>
      <c r="AN988" s="253">
        <v>56</v>
      </c>
      <c r="AO988" s="277">
        <v>59</v>
      </c>
      <c r="AP988" s="277">
        <v>61</v>
      </c>
      <c r="AQ988" s="277">
        <v>60</v>
      </c>
      <c r="AR988" s="277">
        <v>59</v>
      </c>
      <c r="AS988" s="277">
        <v>58</v>
      </c>
      <c r="AT988" s="277">
        <v>62</v>
      </c>
      <c r="AU988" s="277">
        <v>62</v>
      </c>
      <c r="AV988" s="277">
        <f t="shared" si="79"/>
        <v>62</v>
      </c>
      <c r="AX988" s="88" t="str">
        <f t="shared" ca="1" si="81"/>
        <v>PFE</v>
      </c>
      <c r="BQ988" t="s">
        <v>2205</v>
      </c>
      <c r="BR988" t="s">
        <v>1836</v>
      </c>
    </row>
    <row r="989" spans="1:70" hidden="1">
      <c r="A989" s="88" t="str">
        <f t="shared" ca="1" si="80"/>
        <v>RIG</v>
      </c>
      <c r="F989" s="253">
        <v>4.74</v>
      </c>
      <c r="G989" s="253">
        <v>4.74</v>
      </c>
      <c r="H989" s="253">
        <v>4.74</v>
      </c>
      <c r="I989" s="253">
        <v>4.74</v>
      </c>
      <c r="J989" s="253">
        <v>4.74</v>
      </c>
      <c r="K989" s="253">
        <v>4.74</v>
      </c>
      <c r="L989" s="253">
        <v>4.74</v>
      </c>
      <c r="M989" s="253">
        <v>4.74</v>
      </c>
      <c r="N989" s="253">
        <v>4.74</v>
      </c>
      <c r="O989" s="253">
        <v>4.74</v>
      </c>
      <c r="P989" s="253">
        <v>4.74</v>
      </c>
      <c r="Q989" s="253">
        <v>4.74</v>
      </c>
      <c r="R989" s="253">
        <v>4.74</v>
      </c>
      <c r="S989" s="253">
        <v>4.74</v>
      </c>
      <c r="T989" s="253">
        <v>4.74</v>
      </c>
      <c r="U989" s="253">
        <v>4.74</v>
      </c>
      <c r="V989" s="253">
        <v>4.74</v>
      </c>
      <c r="W989" s="253">
        <v>4.74</v>
      </c>
      <c r="X989" s="253">
        <v>4.74</v>
      </c>
      <c r="Y989" s="253">
        <v>4.74</v>
      </c>
      <c r="Z989" s="247">
        <f ca="1">[1]ExtEntry!$O89</f>
        <v>4.74</v>
      </c>
      <c r="AB989" s="277">
        <v>49</v>
      </c>
      <c r="AC989" s="277">
        <v>51</v>
      </c>
      <c r="AD989" s="277">
        <v>56</v>
      </c>
      <c r="AE989" s="253">
        <v>55</v>
      </c>
      <c r="AF989" s="253">
        <v>54</v>
      </c>
      <c r="AG989" s="253">
        <v>56</v>
      </c>
      <c r="AH989" s="253">
        <v>52</v>
      </c>
      <c r="AI989" s="253">
        <v>49</v>
      </c>
      <c r="AJ989" s="253">
        <v>47</v>
      </c>
      <c r="AK989" s="253">
        <v>47</v>
      </c>
      <c r="AL989" s="253">
        <v>45</v>
      </c>
      <c r="AM989" s="253">
        <v>45</v>
      </c>
      <c r="AN989" s="253">
        <v>42</v>
      </c>
      <c r="AO989" s="277">
        <v>46</v>
      </c>
      <c r="AP989" s="277">
        <v>50</v>
      </c>
      <c r="AQ989" s="277">
        <v>48</v>
      </c>
      <c r="AR989" s="277">
        <v>47</v>
      </c>
      <c r="AS989" s="277">
        <v>48</v>
      </c>
      <c r="AT989" s="277">
        <v>74</v>
      </c>
      <c r="AU989" s="277">
        <v>74</v>
      </c>
      <c r="AV989" s="277">
        <f t="shared" si="79"/>
        <v>74</v>
      </c>
      <c r="AX989" s="88" t="str">
        <f t="shared" ca="1" si="81"/>
        <v>RIG</v>
      </c>
      <c r="BQ989" t="s">
        <v>195</v>
      </c>
      <c r="BR989" t="s">
        <v>702</v>
      </c>
    </row>
    <row r="990" spans="1:70">
      <c r="A990" s="88" t="str">
        <f t="shared" ca="1" si="80"/>
        <v>RRC</v>
      </c>
      <c r="F990" s="253">
        <v>43.5</v>
      </c>
      <c r="G990" s="253">
        <v>43.5</v>
      </c>
      <c r="H990" s="253">
        <v>43.5</v>
      </c>
      <c r="I990" s="253">
        <v>43.5</v>
      </c>
      <c r="J990" s="253">
        <v>43.5</v>
      </c>
      <c r="K990" s="253">
        <v>43.5</v>
      </c>
      <c r="L990" s="253">
        <v>43.5</v>
      </c>
      <c r="M990" s="253">
        <v>43.5</v>
      </c>
      <c r="N990" s="253">
        <v>43.5</v>
      </c>
      <c r="O990" s="253">
        <v>43.5</v>
      </c>
      <c r="P990" s="253">
        <v>43.5</v>
      </c>
      <c r="Q990" s="253">
        <v>43.5</v>
      </c>
      <c r="R990" s="253">
        <v>43.5</v>
      </c>
      <c r="S990" s="253">
        <v>43.5</v>
      </c>
      <c r="T990" s="253">
        <v>43.5</v>
      </c>
      <c r="U990" s="253">
        <v>43.5</v>
      </c>
      <c r="V990" s="253">
        <v>43.5</v>
      </c>
      <c r="W990" s="253">
        <v>43.5</v>
      </c>
      <c r="X990" s="253">
        <v>43.5</v>
      </c>
      <c r="Y990" s="253">
        <v>43.5</v>
      </c>
      <c r="Z990" s="247">
        <f ca="1">[1]ExtEntry!$O90</f>
        <v>43.5</v>
      </c>
      <c r="AB990" s="277">
        <v>63</v>
      </c>
      <c r="AC990" s="277">
        <v>63</v>
      </c>
      <c r="AD990" s="277">
        <v>72</v>
      </c>
      <c r="AE990" s="253">
        <v>63</v>
      </c>
      <c r="AF990" s="253">
        <v>65</v>
      </c>
      <c r="AG990" s="253">
        <v>66</v>
      </c>
      <c r="AH990" s="253">
        <v>65</v>
      </c>
      <c r="AI990" s="253">
        <v>58</v>
      </c>
      <c r="AJ990" s="253">
        <v>53</v>
      </c>
      <c r="AK990" s="253">
        <v>56</v>
      </c>
      <c r="AL990" s="253">
        <v>53</v>
      </c>
      <c r="AM990" s="253">
        <v>54</v>
      </c>
      <c r="AN990" s="253">
        <v>50</v>
      </c>
      <c r="AO990" s="277">
        <v>54</v>
      </c>
      <c r="AP990" s="277">
        <v>60</v>
      </c>
      <c r="AQ990" s="277">
        <v>59</v>
      </c>
      <c r="AR990" s="277">
        <v>54</v>
      </c>
      <c r="AS990" s="277">
        <v>49</v>
      </c>
      <c r="AT990" s="277">
        <v>51</v>
      </c>
      <c r="AU990" s="277">
        <v>51</v>
      </c>
      <c r="AV990" s="277">
        <f t="shared" si="79"/>
        <v>51</v>
      </c>
      <c r="AX990" s="88" t="str">
        <f t="shared" ca="1" si="81"/>
        <v>RRC</v>
      </c>
      <c r="BQ990" t="s">
        <v>2207</v>
      </c>
      <c r="BR990" t="s">
        <v>2206</v>
      </c>
    </row>
    <row r="991" spans="1:70">
      <c r="A991" s="88" t="str">
        <f t="shared" ca="1" si="80"/>
        <v>XYZ</v>
      </c>
      <c r="F991" s="245">
        <v>99.26</v>
      </c>
      <c r="G991" s="245">
        <v>99.26</v>
      </c>
      <c r="H991" s="245">
        <v>99.26</v>
      </c>
      <c r="I991" s="245">
        <v>99.26</v>
      </c>
      <c r="J991" s="245">
        <v>99.26</v>
      </c>
      <c r="K991" s="245">
        <v>99.26</v>
      </c>
      <c r="L991" s="245">
        <v>99.26</v>
      </c>
      <c r="M991" s="245">
        <v>99.26</v>
      </c>
      <c r="N991" s="245">
        <v>99.26</v>
      </c>
      <c r="O991" s="245">
        <v>99.26</v>
      </c>
      <c r="P991" s="245">
        <v>99.26</v>
      </c>
      <c r="Q991" s="245">
        <v>99.26</v>
      </c>
      <c r="R991" s="245">
        <v>99.26</v>
      </c>
      <c r="S991" s="245">
        <v>99.26</v>
      </c>
      <c r="T991" s="245">
        <v>99.26</v>
      </c>
      <c r="U991" s="245">
        <v>99.26</v>
      </c>
      <c r="V991" s="245">
        <v>99.26</v>
      </c>
      <c r="W991" s="245">
        <v>99.26</v>
      </c>
      <c r="X991" s="245">
        <v>99.26</v>
      </c>
      <c r="Y991" s="245">
        <v>99.26</v>
      </c>
      <c r="Z991" s="247">
        <f ca="1">[1]ExtEntry!$O91</f>
        <v>99.26</v>
      </c>
      <c r="AB991" s="277">
        <v>46</v>
      </c>
      <c r="AC991" s="277">
        <v>41</v>
      </c>
      <c r="AD991" s="277">
        <v>45</v>
      </c>
      <c r="AE991" s="253">
        <v>52</v>
      </c>
      <c r="AF991" s="253">
        <v>51</v>
      </c>
      <c r="AG991" s="253">
        <v>54</v>
      </c>
      <c r="AH991" s="253">
        <v>61</v>
      </c>
      <c r="AI991" s="253">
        <v>60</v>
      </c>
      <c r="AJ991" s="253">
        <v>63</v>
      </c>
      <c r="AK991" s="253">
        <v>61</v>
      </c>
      <c r="AL991" s="253">
        <v>60</v>
      </c>
      <c r="AM991" s="253">
        <v>57</v>
      </c>
      <c r="AN991" s="253">
        <v>50</v>
      </c>
      <c r="AO991" s="277">
        <v>52</v>
      </c>
      <c r="AP991" s="277">
        <v>56</v>
      </c>
      <c r="AQ991" s="277">
        <v>61</v>
      </c>
      <c r="AR991" s="277">
        <v>59</v>
      </c>
      <c r="AS991" s="277">
        <v>55</v>
      </c>
      <c r="AT991" s="277">
        <v>65</v>
      </c>
      <c r="AU991" s="277">
        <v>66</v>
      </c>
      <c r="AV991" s="277">
        <f t="shared" si="79"/>
        <v>66</v>
      </c>
      <c r="AX991" s="88" t="str">
        <f t="shared" ca="1" si="81"/>
        <v>XYZ</v>
      </c>
      <c r="BQ991" t="s">
        <v>2208</v>
      </c>
      <c r="BR991" t="s">
        <v>2209</v>
      </c>
    </row>
    <row r="992" spans="1:70">
      <c r="A992" s="88" t="str">
        <f t="shared" ca="1" si="80"/>
        <v>THC</v>
      </c>
      <c r="F992" s="253">
        <v>202.71</v>
      </c>
      <c r="G992" s="253">
        <v>204.49</v>
      </c>
      <c r="H992" s="253">
        <v>204.49</v>
      </c>
      <c r="I992" s="253">
        <v>204.49</v>
      </c>
      <c r="J992" s="253">
        <v>205.99</v>
      </c>
      <c r="K992" s="253">
        <v>207.14</v>
      </c>
      <c r="L992" s="253">
        <v>207.14</v>
      </c>
      <c r="M992" s="253">
        <v>207.14</v>
      </c>
      <c r="N992" s="253">
        <v>207.14</v>
      </c>
      <c r="O992" s="253">
        <v>207.14</v>
      </c>
      <c r="P992" s="253">
        <v>207.14</v>
      </c>
      <c r="Q992" s="253">
        <v>207.14</v>
      </c>
      <c r="R992" s="253">
        <v>207.14</v>
      </c>
      <c r="S992" s="253">
        <v>207.14</v>
      </c>
      <c r="T992" s="253">
        <v>207.14</v>
      </c>
      <c r="U992" s="253">
        <v>207.14</v>
      </c>
      <c r="V992" s="253">
        <v>207.14</v>
      </c>
      <c r="W992" s="253">
        <v>207.14</v>
      </c>
      <c r="X992" s="253">
        <v>208.25</v>
      </c>
      <c r="Y992" s="253">
        <v>217.42500000000001</v>
      </c>
      <c r="Z992" s="247">
        <f ca="1">[1]ExtEntry!$O92</f>
        <v>217.42500000000001</v>
      </c>
      <c r="AB992" s="277">
        <v>56</v>
      </c>
      <c r="AC992" s="277">
        <v>57</v>
      </c>
      <c r="AD992" s="277">
        <v>54</v>
      </c>
      <c r="AE992" s="253">
        <v>51</v>
      </c>
      <c r="AF992" s="253">
        <v>54</v>
      </c>
      <c r="AG992" s="253">
        <v>55</v>
      </c>
      <c r="AH992" s="253">
        <v>55</v>
      </c>
      <c r="AI992" s="253">
        <v>49</v>
      </c>
      <c r="AJ992" s="253">
        <v>45</v>
      </c>
      <c r="AK992" s="253">
        <v>47</v>
      </c>
      <c r="AL992" s="253">
        <v>58</v>
      </c>
      <c r="AM992" s="253">
        <v>63</v>
      </c>
      <c r="AN992" s="253">
        <v>58</v>
      </c>
      <c r="AO992" s="277">
        <v>59</v>
      </c>
      <c r="AP992" s="277">
        <v>61</v>
      </c>
      <c r="AQ992" s="277">
        <v>59</v>
      </c>
      <c r="AR992" s="277">
        <v>62</v>
      </c>
      <c r="AS992" s="277">
        <v>62</v>
      </c>
      <c r="AT992" s="277">
        <v>63</v>
      </c>
      <c r="AU992" s="277">
        <v>62</v>
      </c>
      <c r="AV992" s="277">
        <f t="shared" si="79"/>
        <v>62</v>
      </c>
      <c r="AX992" s="88" t="str">
        <f t="shared" ca="1" si="81"/>
        <v>THC</v>
      </c>
      <c r="BQ992" t="s">
        <v>2210</v>
      </c>
      <c r="BR992" t="s">
        <v>662</v>
      </c>
    </row>
    <row r="993" spans="1:70">
      <c r="A993" s="88" t="str">
        <f t="shared" ca="1" si="80"/>
        <v>X</v>
      </c>
      <c r="F993" s="245">
        <v>54.91</v>
      </c>
      <c r="G993" s="245">
        <v>54.91</v>
      </c>
      <c r="H993" s="245">
        <v>54.91</v>
      </c>
      <c r="I993" s="245">
        <v>54.91</v>
      </c>
      <c r="J993" s="245">
        <v>54.91</v>
      </c>
      <c r="K993" s="245">
        <v>54.91</v>
      </c>
      <c r="L993" s="245">
        <v>54.91</v>
      </c>
      <c r="M993" s="245">
        <v>54.91</v>
      </c>
      <c r="N993" s="245">
        <v>54.91</v>
      </c>
      <c r="O993" s="245">
        <v>54.91</v>
      </c>
      <c r="P993" s="245">
        <v>54.91</v>
      </c>
      <c r="Q993" s="245">
        <v>54.91</v>
      </c>
      <c r="R993" s="245">
        <v>54.91</v>
      </c>
      <c r="S993" s="245">
        <v>54.91</v>
      </c>
      <c r="T993" s="245">
        <v>54.91</v>
      </c>
      <c r="U993" s="245">
        <v>54.91</v>
      </c>
      <c r="V993" s="245">
        <v>54.91</v>
      </c>
      <c r="W993" s="245">
        <v>54.91</v>
      </c>
      <c r="X993" s="245">
        <v>54.91</v>
      </c>
      <c r="Y993" s="245">
        <v>54.91</v>
      </c>
      <c r="Z993" s="247">
        <f ca="1">[1]ExtEntry!$O93</f>
        <v>54.91</v>
      </c>
      <c r="AB993" s="277" t="e">
        <v>#DIV/0!</v>
      </c>
      <c r="AC993" s="277" t="e">
        <v>#DIV/0!</v>
      </c>
      <c r="AD993" s="277" t="e">
        <v>#DIV/0!</v>
      </c>
      <c r="AE993" s="253" t="e">
        <v>#DIV/0!</v>
      </c>
      <c r="AF993" s="253" t="e">
        <v>#DIV/0!</v>
      </c>
      <c r="AG993" s="253" t="e">
        <v>#DIV/0!</v>
      </c>
      <c r="AH993" s="253" t="e">
        <v>#DIV/0!</v>
      </c>
      <c r="AI993" s="253" t="e">
        <v>#DIV/0!</v>
      </c>
      <c r="AJ993" s="253" t="e">
        <v>#DIV/0!</v>
      </c>
      <c r="AK993" s="253" t="e">
        <v>#DIV/0!</v>
      </c>
      <c r="AL993" s="253" t="e">
        <v>#DIV/0!</v>
      </c>
      <c r="AM993" s="253" t="e">
        <v>#DIV/0!</v>
      </c>
      <c r="AN993" s="253" t="e">
        <v>#DIV/0!</v>
      </c>
      <c r="AO993" s="277" t="e">
        <v>#DIV/0!</v>
      </c>
      <c r="AP993" s="277" t="e">
        <v>#DIV/0!</v>
      </c>
      <c r="AQ993" s="277" t="e">
        <v>#DIV/0!</v>
      </c>
      <c r="AR993" s="277" t="e">
        <v>#DIV/0!</v>
      </c>
      <c r="AS993" s="277" t="e">
        <v>#DIV/0!</v>
      </c>
      <c r="AT993" s="277" t="e">
        <v>#DIV/0!</v>
      </c>
      <c r="AU993" s="277" t="e">
        <v>#DIV/0!</v>
      </c>
      <c r="AV993" s="277" t="e">
        <f t="shared" si="79"/>
        <v>#DIV/0!</v>
      </c>
      <c r="AX993" s="88" t="str">
        <f t="shared" ca="1" si="81"/>
        <v>X</v>
      </c>
      <c r="BQ993" t="s">
        <v>199</v>
      </c>
      <c r="BR993" t="s">
        <v>2211</v>
      </c>
    </row>
    <row r="994" spans="1:70">
      <c r="A994" s="88" t="str">
        <f t="shared" ca="1" si="80"/>
        <v>JBEOAN</v>
      </c>
      <c r="F994" s="349">
        <v>10.492000000000001</v>
      </c>
      <c r="G994" s="349">
        <v>10.49</v>
      </c>
      <c r="H994" s="245">
        <v>10.49</v>
      </c>
      <c r="I994" s="245">
        <v>10.49</v>
      </c>
      <c r="J994" s="245">
        <v>10.49</v>
      </c>
      <c r="K994" s="245">
        <v>10.5</v>
      </c>
      <c r="L994" s="245">
        <v>10.5</v>
      </c>
      <c r="M994" s="245">
        <v>10.55</v>
      </c>
      <c r="N994" s="245">
        <v>10.55</v>
      </c>
      <c r="O994" s="245">
        <v>10.56</v>
      </c>
      <c r="P994" s="245">
        <v>10.56</v>
      </c>
      <c r="Q994" s="245">
        <v>10.56</v>
      </c>
      <c r="R994" s="245">
        <v>10.56</v>
      </c>
      <c r="S994" s="245">
        <v>10.56</v>
      </c>
      <c r="T994" s="245">
        <v>10.56</v>
      </c>
      <c r="U994" s="245">
        <v>10.56</v>
      </c>
      <c r="V994" s="245">
        <v>10.56</v>
      </c>
      <c r="W994" s="245">
        <v>10.56</v>
      </c>
      <c r="X994" s="245">
        <v>10.56</v>
      </c>
      <c r="Y994" s="245">
        <v>10.587999999999999</v>
      </c>
      <c r="Z994" s="247">
        <f ca="1">[1]ExtEntry!$O94</f>
        <v>16.55</v>
      </c>
      <c r="AB994" s="277">
        <v>79</v>
      </c>
      <c r="AC994" s="277">
        <v>62</v>
      </c>
      <c r="AD994" s="277">
        <v>60</v>
      </c>
      <c r="AE994" s="277">
        <v>60</v>
      </c>
      <c r="AF994" s="277">
        <v>59</v>
      </c>
      <c r="AG994" s="277">
        <v>53</v>
      </c>
      <c r="AH994" s="277">
        <v>50</v>
      </c>
      <c r="AI994" s="277">
        <v>53</v>
      </c>
      <c r="AJ994" s="277">
        <v>56</v>
      </c>
      <c r="AK994" s="277">
        <v>45</v>
      </c>
      <c r="AL994" s="277">
        <v>41</v>
      </c>
      <c r="AM994" s="277">
        <v>47</v>
      </c>
      <c r="AN994" s="277">
        <v>42</v>
      </c>
      <c r="AO994" s="277">
        <v>38</v>
      </c>
      <c r="AP994" s="277">
        <v>42</v>
      </c>
      <c r="AQ994" s="277">
        <v>48</v>
      </c>
      <c r="AR994" s="277">
        <v>45</v>
      </c>
      <c r="AS994" s="277">
        <v>45</v>
      </c>
      <c r="AT994" s="277">
        <v>49</v>
      </c>
      <c r="AU994" s="277">
        <v>52</v>
      </c>
      <c r="AV994" s="277">
        <f t="shared" si="79"/>
        <v>52</v>
      </c>
      <c r="AX994" s="88" t="str">
        <f t="shared" ca="1" si="81"/>
        <v>JBEOAN</v>
      </c>
      <c r="BQ994" t="s">
        <v>2212</v>
      </c>
      <c r="BR994" t="s">
        <v>177</v>
      </c>
    </row>
    <row r="995" spans="1:70">
      <c r="A995" s="88" t="str">
        <f t="shared" si="80"/>
        <v>LOCK</v>
      </c>
      <c r="F995" s="349">
        <v>829.1</v>
      </c>
      <c r="G995" s="245">
        <v>830.5</v>
      </c>
      <c r="H995" s="245">
        <v>844.6</v>
      </c>
      <c r="I995" s="245">
        <v>888.4</v>
      </c>
      <c r="J995" s="1207">
        <v>888.4</v>
      </c>
      <c r="K995" s="247">
        <v>905.1</v>
      </c>
      <c r="L995" s="1208">
        <v>905.1</v>
      </c>
      <c r="M995" s="243">
        <v>905.1</v>
      </c>
      <c r="N995" s="245">
        <v>905.1</v>
      </c>
      <c r="O995" s="1209">
        <v>905.1</v>
      </c>
      <c r="P995" s="1209">
        <v>905.1</v>
      </c>
      <c r="Q995" s="245">
        <v>905.1</v>
      </c>
      <c r="R995" s="249">
        <v>905.1</v>
      </c>
      <c r="S995" s="245">
        <v>905.1</v>
      </c>
      <c r="T995" s="245">
        <v>905.1</v>
      </c>
      <c r="U995" s="245">
        <v>905.1</v>
      </c>
      <c r="V995" s="245">
        <v>905.1</v>
      </c>
      <c r="W995" s="1210">
        <v>905.1</v>
      </c>
      <c r="X995" s="347">
        <v>905.1</v>
      </c>
      <c r="Y995" s="245">
        <v>905.1</v>
      </c>
      <c r="Z995" s="247">
        <f ca="1">[1]ExtEntry!$O95</f>
        <v>10.61</v>
      </c>
      <c r="AB995" s="277">
        <v>65</v>
      </c>
      <c r="AC995" s="277" t="e">
        <v>#DIV/0!</v>
      </c>
      <c r="AD995" s="277" t="e">
        <v>#DIV/0!</v>
      </c>
      <c r="AE995" s="277" t="e">
        <v>#DIV/0!</v>
      </c>
      <c r="AF995" s="277" t="e">
        <v>#DIV/0!</v>
      </c>
      <c r="AG995" s="277">
        <v>74</v>
      </c>
      <c r="AH995" s="277">
        <v>59</v>
      </c>
      <c r="AI995" s="277">
        <v>58</v>
      </c>
      <c r="AJ995" s="277">
        <v>55</v>
      </c>
      <c r="AK995" s="277">
        <v>63</v>
      </c>
      <c r="AL995" s="277">
        <v>64</v>
      </c>
      <c r="AM995" s="277">
        <v>69</v>
      </c>
      <c r="AN995" s="277">
        <v>70</v>
      </c>
      <c r="AO995" s="277">
        <v>69</v>
      </c>
      <c r="AP995" s="277">
        <v>73</v>
      </c>
      <c r="AQ995" s="277">
        <v>70</v>
      </c>
      <c r="AR995" s="277">
        <v>64</v>
      </c>
      <c r="AS995" s="277">
        <v>59</v>
      </c>
      <c r="AT995" s="277">
        <v>61</v>
      </c>
      <c r="AU995" s="277">
        <v>62</v>
      </c>
      <c r="AV995" s="277">
        <f t="shared" si="79"/>
        <v>62</v>
      </c>
      <c r="AX995" s="88" t="str">
        <f t="shared" si="81"/>
        <v>LOCK</v>
      </c>
      <c r="BQ995" t="s">
        <v>179</v>
      </c>
      <c r="BR995" t="s">
        <v>2213</v>
      </c>
    </row>
    <row r="996" spans="1:70">
      <c r="A996" s="88" t="str">
        <f>A98</f>
        <v>Total</v>
      </c>
      <c r="F996" s="349">
        <v>16.059999999999999</v>
      </c>
      <c r="G996" s="245">
        <v>16.515000000000001</v>
      </c>
      <c r="H996" s="245">
        <v>16.515000000000001</v>
      </c>
      <c r="I996" s="245">
        <v>16.515000000000001</v>
      </c>
      <c r="J996" s="1207">
        <v>16.515000000000001</v>
      </c>
      <c r="K996" s="247">
        <v>16.515000000000001</v>
      </c>
      <c r="L996" s="1208">
        <v>16.515000000000001</v>
      </c>
      <c r="M996" s="243">
        <v>16.515000000000001</v>
      </c>
      <c r="N996" s="245">
        <v>16.515000000000001</v>
      </c>
      <c r="O996" s="1209">
        <v>16.515000000000001</v>
      </c>
      <c r="P996" s="1209">
        <v>16.515000000000001</v>
      </c>
      <c r="Q996" s="245">
        <v>16.515000000000001</v>
      </c>
      <c r="R996" s="249">
        <v>16.515000000000001</v>
      </c>
      <c r="S996" s="245">
        <v>16.515000000000001</v>
      </c>
      <c r="T996" s="245">
        <v>16.515000000000001</v>
      </c>
      <c r="U996" s="245">
        <v>16.515000000000001</v>
      </c>
      <c r="V996" s="245">
        <v>16.515000000000001</v>
      </c>
      <c r="W996" s="1210">
        <v>16.515000000000001</v>
      </c>
      <c r="X996" s="347">
        <v>16.515000000000001</v>
      </c>
      <c r="Y996" s="245">
        <v>16.515000000000001</v>
      </c>
      <c r="Z996" s="247">
        <f>[1]ExtEntry!$O96</f>
        <v>0</v>
      </c>
      <c r="AB996" s="277">
        <v>79</v>
      </c>
      <c r="AC996" s="277">
        <v>82</v>
      </c>
      <c r="AD996" s="277">
        <v>82</v>
      </c>
      <c r="AE996" s="277">
        <v>74</v>
      </c>
      <c r="AF996" s="277">
        <v>73</v>
      </c>
      <c r="AG996" s="277">
        <v>75</v>
      </c>
      <c r="AH996" s="277">
        <v>76</v>
      </c>
      <c r="AI996" s="277">
        <v>77</v>
      </c>
      <c r="AJ996" s="277">
        <v>74</v>
      </c>
      <c r="AK996" s="277">
        <v>73</v>
      </c>
      <c r="AL996" s="277">
        <v>71</v>
      </c>
      <c r="AM996" s="277">
        <v>70</v>
      </c>
      <c r="AN996" s="277">
        <v>76</v>
      </c>
      <c r="AO996" s="277">
        <v>75</v>
      </c>
      <c r="AP996" s="277">
        <v>76</v>
      </c>
      <c r="AQ996" s="277">
        <v>73</v>
      </c>
      <c r="AR996" s="277">
        <v>62</v>
      </c>
      <c r="AS996" s="277">
        <v>54</v>
      </c>
      <c r="AT996" s="277">
        <v>46</v>
      </c>
      <c r="AU996" s="277">
        <v>45</v>
      </c>
      <c r="AV996" s="277">
        <f t="shared" si="79"/>
        <v>45</v>
      </c>
      <c r="AX996" s="88" t="str">
        <f t="shared" si="81"/>
        <v>Total</v>
      </c>
      <c r="BQ996" t="s">
        <v>1016</v>
      </c>
      <c r="BR996" t="s">
        <v>2214</v>
      </c>
    </row>
    <row r="997" spans="1:70">
      <c r="A997" s="88"/>
      <c r="AX997" s="88"/>
      <c r="BR997" t="s">
        <v>2215</v>
      </c>
    </row>
    <row r="998" spans="1:70">
      <c r="A998" s="88"/>
      <c r="AX998" s="88"/>
      <c r="BR998" t="s">
        <v>2147</v>
      </c>
    </row>
    <row r="999" spans="1:70" ht="26">
      <c r="A999" s="88"/>
      <c r="E999" s="1264"/>
      <c r="F999" s="112"/>
      <c r="G999" s="112"/>
      <c r="H999" s="112"/>
      <c r="I999" s="112"/>
      <c r="J999" s="112"/>
      <c r="K999" s="112"/>
      <c r="L999" s="112"/>
      <c r="M999" s="112"/>
      <c r="N999" s="112"/>
      <c r="O999" s="112"/>
      <c r="P999" s="112"/>
      <c r="Q999" s="112"/>
      <c r="R999" s="112"/>
      <c r="S999" s="112"/>
      <c r="T999" s="112"/>
      <c r="U999" s="112"/>
      <c r="V999" s="112"/>
      <c r="W999" s="112"/>
      <c r="X999" s="112"/>
      <c r="Y999" s="112"/>
      <c r="Z999" s="112"/>
      <c r="AX999" s="88"/>
    </row>
    <row r="1000" spans="1:70">
      <c r="A1000" s="88"/>
      <c r="F1000" s="117">
        <f t="shared" ref="F1000:Z1000" ca="1" si="82">F901</f>
        <v>45929</v>
      </c>
      <c r="G1000" s="117">
        <f t="shared" ca="1" si="82"/>
        <v>45930</v>
      </c>
      <c r="H1000" s="117">
        <f t="shared" ca="1" si="82"/>
        <v>45931</v>
      </c>
      <c r="I1000" s="117">
        <f t="shared" ca="1" si="82"/>
        <v>45932</v>
      </c>
      <c r="J1000" s="117">
        <f t="shared" ca="1" si="82"/>
        <v>45933</v>
      </c>
      <c r="K1000" s="117">
        <f t="shared" ca="1" si="82"/>
        <v>45936</v>
      </c>
      <c r="L1000" s="117">
        <f t="shared" ca="1" si="82"/>
        <v>45937</v>
      </c>
      <c r="M1000" s="117">
        <f t="shared" ca="1" si="82"/>
        <v>45938</v>
      </c>
      <c r="N1000" s="117">
        <f t="shared" ca="1" si="82"/>
        <v>45939</v>
      </c>
      <c r="O1000" s="117">
        <f t="shared" ca="1" si="82"/>
        <v>45940</v>
      </c>
      <c r="P1000" s="117">
        <f t="shared" ca="1" si="82"/>
        <v>45943</v>
      </c>
      <c r="Q1000" s="117">
        <f t="shared" ca="1" si="82"/>
        <v>45944</v>
      </c>
      <c r="R1000" s="117">
        <f t="shared" ca="1" si="82"/>
        <v>45945</v>
      </c>
      <c r="S1000" s="117">
        <f t="shared" ca="1" si="82"/>
        <v>45946</v>
      </c>
      <c r="T1000" s="117">
        <f t="shared" ca="1" si="82"/>
        <v>45947</v>
      </c>
      <c r="U1000" s="117">
        <f t="shared" ca="1" si="82"/>
        <v>45950</v>
      </c>
      <c r="V1000" s="117">
        <f t="shared" ca="1" si="82"/>
        <v>45951</v>
      </c>
      <c r="W1000" s="117">
        <f t="shared" ca="1" si="82"/>
        <v>45952</v>
      </c>
      <c r="X1000" s="117">
        <f t="shared" ca="1" si="82"/>
        <v>45953</v>
      </c>
      <c r="Y1000" s="117">
        <f t="shared" ca="1" si="82"/>
        <v>45954</v>
      </c>
      <c r="Z1000" s="117">
        <f t="shared" ca="1" si="82"/>
        <v>45956</v>
      </c>
      <c r="AB1000" s="117">
        <f t="shared" ref="AB1000:AV1000" ca="1" si="83">F901</f>
        <v>45929</v>
      </c>
      <c r="AC1000" s="117">
        <f t="shared" ca="1" si="83"/>
        <v>45930</v>
      </c>
      <c r="AD1000" s="117">
        <f t="shared" ca="1" si="83"/>
        <v>45931</v>
      </c>
      <c r="AE1000" s="117">
        <f t="shared" ca="1" si="83"/>
        <v>45932</v>
      </c>
      <c r="AF1000" s="117">
        <f t="shared" ca="1" si="83"/>
        <v>45933</v>
      </c>
      <c r="AG1000" s="117">
        <f t="shared" ca="1" si="83"/>
        <v>45936</v>
      </c>
      <c r="AH1000" s="117">
        <f t="shared" ca="1" si="83"/>
        <v>45937</v>
      </c>
      <c r="AI1000" s="117">
        <f t="shared" ca="1" si="83"/>
        <v>45938</v>
      </c>
      <c r="AJ1000" s="117">
        <f t="shared" ca="1" si="83"/>
        <v>45939</v>
      </c>
      <c r="AK1000" s="117">
        <f t="shared" ca="1" si="83"/>
        <v>45940</v>
      </c>
      <c r="AL1000" s="117">
        <f t="shared" ca="1" si="83"/>
        <v>45943</v>
      </c>
      <c r="AM1000" s="117">
        <f t="shared" ca="1" si="83"/>
        <v>45944</v>
      </c>
      <c r="AN1000" s="117">
        <f t="shared" ca="1" si="83"/>
        <v>45945</v>
      </c>
      <c r="AO1000" s="117">
        <f t="shared" ca="1" si="83"/>
        <v>45946</v>
      </c>
      <c r="AP1000" s="117">
        <f t="shared" ca="1" si="83"/>
        <v>45947</v>
      </c>
      <c r="AQ1000" s="117">
        <f t="shared" ca="1" si="83"/>
        <v>45950</v>
      </c>
      <c r="AR1000" s="117">
        <f t="shared" ca="1" si="83"/>
        <v>45951</v>
      </c>
      <c r="AS1000" s="117">
        <f t="shared" ca="1" si="83"/>
        <v>45952</v>
      </c>
      <c r="AT1000" s="117">
        <f t="shared" ca="1" si="83"/>
        <v>45953</v>
      </c>
      <c r="AU1000" s="117">
        <f t="shared" ca="1" si="83"/>
        <v>45954</v>
      </c>
      <c r="AV1000" s="117">
        <f t="shared" ca="1" si="83"/>
        <v>45956</v>
      </c>
      <c r="AX1000" s="88"/>
    </row>
    <row r="1001" spans="1:70">
      <c r="A1001" s="88"/>
      <c r="F1001" s="282" t="s">
        <v>414</v>
      </c>
      <c r="G1001" s="282" t="s">
        <v>415</v>
      </c>
      <c r="H1001" s="282" t="s">
        <v>416</v>
      </c>
      <c r="I1001" s="282" t="s">
        <v>417</v>
      </c>
      <c r="J1001" s="282" t="s">
        <v>418</v>
      </c>
      <c r="K1001" s="282" t="s">
        <v>419</v>
      </c>
      <c r="L1001" s="282" t="s">
        <v>420</v>
      </c>
      <c r="M1001" s="282" t="s">
        <v>421</v>
      </c>
      <c r="N1001" s="282" t="s">
        <v>422</v>
      </c>
      <c r="O1001" s="282" t="s">
        <v>423</v>
      </c>
      <c r="P1001" s="282" t="s">
        <v>424</v>
      </c>
      <c r="Q1001" s="282" t="s">
        <v>425</v>
      </c>
      <c r="R1001" s="282" t="s">
        <v>426</v>
      </c>
      <c r="S1001" s="282" t="s">
        <v>427</v>
      </c>
      <c r="T1001" s="282" t="s">
        <v>428</v>
      </c>
      <c r="U1001" s="282" t="s">
        <v>429</v>
      </c>
      <c r="V1001" s="282" t="s">
        <v>430</v>
      </c>
      <c r="W1001" s="282" t="s">
        <v>431</v>
      </c>
      <c r="X1001" s="282" t="s">
        <v>432</v>
      </c>
      <c r="Y1001" s="282" t="s">
        <v>433</v>
      </c>
      <c r="Z1001" s="282" t="s">
        <v>434</v>
      </c>
      <c r="AB1001" s="281" t="s">
        <v>1371</v>
      </c>
      <c r="AC1001" s="281" t="s">
        <v>1372</v>
      </c>
      <c r="AD1001" s="281" t="s">
        <v>1373</v>
      </c>
      <c r="AE1001" s="281" t="s">
        <v>1374</v>
      </c>
      <c r="AF1001" s="281" t="s">
        <v>1375</v>
      </c>
      <c r="AG1001" s="281" t="s">
        <v>1376</v>
      </c>
      <c r="AH1001" s="281" t="s">
        <v>1377</v>
      </c>
      <c r="AI1001" s="281" t="s">
        <v>1378</v>
      </c>
      <c r="AJ1001" s="281" t="s">
        <v>1379</v>
      </c>
      <c r="AK1001" s="281" t="s">
        <v>1380</v>
      </c>
      <c r="AL1001" s="281" t="s">
        <v>1381</v>
      </c>
      <c r="AM1001" s="281" t="s">
        <v>1382</v>
      </c>
      <c r="AN1001" s="281" t="s">
        <v>1383</v>
      </c>
      <c r="AO1001" s="281" t="s">
        <v>1384</v>
      </c>
      <c r="AP1001" s="281" t="s">
        <v>1385</v>
      </c>
      <c r="AQ1001" s="281" t="s">
        <v>1386</v>
      </c>
      <c r="AR1001" s="281" t="s">
        <v>1387</v>
      </c>
      <c r="AS1001" s="281" t="s">
        <v>1388</v>
      </c>
      <c r="AT1001" s="281" t="s">
        <v>1389</v>
      </c>
      <c r="AU1001" s="281" t="s">
        <v>1390</v>
      </c>
      <c r="AV1001" s="281" t="s">
        <v>1391</v>
      </c>
      <c r="AX1001" s="88"/>
    </row>
    <row r="1002" spans="1:70">
      <c r="A1002" s="88" t="str">
        <f ca="1">A5</f>
        <v>AAPL</v>
      </c>
      <c r="C1002" s="1" cm="1">
        <f t="array" ref="C1002:C1095">_xlfn.SEQUENCE(94,,3,1)</f>
        <v>3</v>
      </c>
      <c r="F1002" s="249">
        <v>19564207</v>
      </c>
      <c r="G1002" s="249">
        <v>37658524</v>
      </c>
      <c r="H1002" s="249">
        <v>48661066</v>
      </c>
      <c r="I1002" s="249">
        <v>42553706</v>
      </c>
      <c r="J1002" s="249">
        <v>49101306</v>
      </c>
      <c r="K1002" s="249">
        <v>31925240</v>
      </c>
      <c r="L1002" s="249">
        <v>36466160</v>
      </c>
      <c r="M1002" s="249">
        <v>38271159</v>
      </c>
      <c r="N1002" s="249">
        <v>60656</v>
      </c>
      <c r="O1002" s="249">
        <v>35970054</v>
      </c>
      <c r="P1002" s="249">
        <v>33863532</v>
      </c>
      <c r="Q1002" s="249">
        <v>21436671</v>
      </c>
      <c r="R1002" s="249">
        <v>39640513</v>
      </c>
      <c r="S1002" s="249">
        <v>49146961</v>
      </c>
      <c r="T1002" s="249">
        <v>90216104</v>
      </c>
      <c r="U1002" s="249">
        <v>46613165</v>
      </c>
      <c r="V1002" s="249">
        <v>42920813</v>
      </c>
      <c r="W1002" s="249">
        <v>42922516</v>
      </c>
      <c r="X1002" s="249">
        <v>32635133</v>
      </c>
      <c r="Y1002" s="249">
        <v>38135771</v>
      </c>
      <c r="Z1002" s="249">
        <f ca="1">[1]ExtEntry!$P3</f>
        <v>38253717</v>
      </c>
      <c r="AB1002" s="251">
        <v>83</v>
      </c>
      <c r="AC1002" s="251">
        <v>82</v>
      </c>
      <c r="AD1002" s="251">
        <v>81</v>
      </c>
      <c r="AE1002" s="253">
        <v>80</v>
      </c>
      <c r="AF1002" s="253">
        <v>79</v>
      </c>
      <c r="AG1002" s="253">
        <v>78</v>
      </c>
      <c r="AH1002" s="253">
        <v>81</v>
      </c>
      <c r="AI1002" s="253">
        <v>68</v>
      </c>
      <c r="AJ1002" s="253">
        <v>53</v>
      </c>
      <c r="AK1002" s="253">
        <v>44</v>
      </c>
      <c r="AL1002" s="253">
        <v>46</v>
      </c>
      <c r="AM1002" s="253">
        <v>54</v>
      </c>
      <c r="AN1002" s="253">
        <v>40</v>
      </c>
      <c r="AO1002" s="277">
        <v>53</v>
      </c>
      <c r="AP1002" s="277">
        <v>70</v>
      </c>
      <c r="AQ1002" s="277">
        <v>70</v>
      </c>
      <c r="AR1002" s="277">
        <v>61</v>
      </c>
      <c r="AS1002" s="277">
        <v>53</v>
      </c>
      <c r="AT1002" s="277">
        <v>54</v>
      </c>
      <c r="AU1002" s="277">
        <v>57</v>
      </c>
      <c r="AV1002" s="277">
        <f t="shared" ref="AV1002:AV1007" si="84">INT(100-100/(1+(19*SUMIF(L605:Y605,"&gt;0",L605:Y605)+IF(Y605&gt;0,Y605,0))/ABS(19*SUMIF(L605:Y605,"&lt;0",L605:Y605)+IF(Y605&lt;0,Y605,0))))</f>
        <v>57</v>
      </c>
      <c r="AX1002" s="88" t="str">
        <f ca="1">A5</f>
        <v>AAPL</v>
      </c>
    </row>
    <row r="1003" spans="1:70">
      <c r="A1003" s="88" t="str">
        <f t="shared" ref="A1003:A1066" ca="1" si="85">A6</f>
        <v>ADEA</v>
      </c>
      <c r="C1003" s="1">
        <v>4</v>
      </c>
      <c r="F1003" s="257">
        <v>106937</v>
      </c>
      <c r="G1003" s="257">
        <v>627458</v>
      </c>
      <c r="H1003" s="257">
        <v>530960</v>
      </c>
      <c r="I1003" s="257">
        <v>877627</v>
      </c>
      <c r="J1003" s="257">
        <v>668704</v>
      </c>
      <c r="K1003" s="257">
        <v>977692</v>
      </c>
      <c r="L1003" s="257">
        <v>499251</v>
      </c>
      <c r="M1003" s="257">
        <v>625424</v>
      </c>
      <c r="N1003" s="257">
        <v>625524</v>
      </c>
      <c r="O1003" s="257">
        <v>436362</v>
      </c>
      <c r="P1003" s="257">
        <v>750801</v>
      </c>
      <c r="Q1003" s="257">
        <v>360676</v>
      </c>
      <c r="R1003" s="257">
        <v>449614</v>
      </c>
      <c r="S1003" s="257">
        <v>562960</v>
      </c>
      <c r="T1003" s="257">
        <v>327283</v>
      </c>
      <c r="U1003" s="257">
        <v>304282</v>
      </c>
      <c r="V1003" s="257">
        <v>406197</v>
      </c>
      <c r="W1003" s="257">
        <v>406197</v>
      </c>
      <c r="X1003" s="257">
        <v>316994</v>
      </c>
      <c r="Y1003" s="257">
        <v>386477</v>
      </c>
      <c r="Z1003" s="249">
        <f ca="1">[1]ExtEntry!$P4</f>
        <v>386557</v>
      </c>
      <c r="AB1003" s="277">
        <v>76</v>
      </c>
      <c r="AC1003" s="277">
        <v>71</v>
      </c>
      <c r="AD1003" s="277">
        <v>75</v>
      </c>
      <c r="AE1003" s="253">
        <v>76</v>
      </c>
      <c r="AF1003" s="253">
        <v>79</v>
      </c>
      <c r="AG1003" s="253">
        <v>56</v>
      </c>
      <c r="AH1003" s="253">
        <v>33</v>
      </c>
      <c r="AI1003" s="253">
        <v>31</v>
      </c>
      <c r="AJ1003" s="253">
        <v>28</v>
      </c>
      <c r="AK1003" s="253">
        <v>26</v>
      </c>
      <c r="AL1003" s="253">
        <v>44</v>
      </c>
      <c r="AM1003" s="253">
        <v>51</v>
      </c>
      <c r="AN1003" s="253">
        <v>46</v>
      </c>
      <c r="AO1003" s="277">
        <v>43</v>
      </c>
      <c r="AP1003" s="277">
        <v>48</v>
      </c>
      <c r="AQ1003" s="277">
        <v>50</v>
      </c>
      <c r="AR1003" s="277">
        <v>44</v>
      </c>
      <c r="AS1003" s="277">
        <v>40</v>
      </c>
      <c r="AT1003" s="277">
        <v>40</v>
      </c>
      <c r="AU1003" s="277">
        <v>54</v>
      </c>
      <c r="AV1003" s="277">
        <f t="shared" si="84"/>
        <v>54</v>
      </c>
      <c r="AX1003" s="88" t="str">
        <f t="shared" ref="AX1003:AX1066" ca="1" si="86">A6</f>
        <v>ADEA</v>
      </c>
    </row>
    <row r="1004" spans="1:70">
      <c r="A1004" s="88" t="str">
        <f t="shared" ca="1" si="85"/>
        <v>AET</v>
      </c>
      <c r="C1004" s="1">
        <v>5</v>
      </c>
      <c r="F1004" s="249">
        <v>348178</v>
      </c>
      <c r="G1004" s="249">
        <v>289243</v>
      </c>
      <c r="H1004" s="249">
        <v>383203</v>
      </c>
      <c r="I1004" s="249">
        <v>414683</v>
      </c>
      <c r="J1004" s="249">
        <v>360955</v>
      </c>
      <c r="K1004" s="249">
        <v>781784</v>
      </c>
      <c r="L1004" s="249">
        <v>495083</v>
      </c>
      <c r="M1004" s="249">
        <v>1360777</v>
      </c>
      <c r="N1004" s="249">
        <v>99262</v>
      </c>
      <c r="O1004" s="249">
        <v>1194976</v>
      </c>
      <c r="P1004" s="249">
        <v>1683197</v>
      </c>
      <c r="Q1004" s="249">
        <v>1194038</v>
      </c>
      <c r="R1004" s="249">
        <v>910393</v>
      </c>
      <c r="S1004" s="249">
        <v>1016534</v>
      </c>
      <c r="T1004" s="249">
        <v>465782</v>
      </c>
      <c r="U1004" s="249">
        <v>1039926</v>
      </c>
      <c r="V1004" s="249">
        <v>635027</v>
      </c>
      <c r="W1004" s="249">
        <v>635027</v>
      </c>
      <c r="X1004" s="249">
        <v>523454</v>
      </c>
      <c r="Y1004" s="249">
        <v>285833</v>
      </c>
      <c r="Z1004" s="249">
        <f ca="1">[1]ExtEntry!$P5</f>
        <v>285833</v>
      </c>
      <c r="AB1004" s="277">
        <v>36</v>
      </c>
      <c r="AC1004" s="277">
        <v>39</v>
      </c>
      <c r="AD1004" s="277">
        <v>31</v>
      </c>
      <c r="AE1004" s="253">
        <v>36</v>
      </c>
      <c r="AF1004" s="253">
        <v>34</v>
      </c>
      <c r="AG1004" s="253">
        <v>34</v>
      </c>
      <c r="AH1004" s="253">
        <v>29</v>
      </c>
      <c r="AI1004" s="253">
        <v>30</v>
      </c>
      <c r="AJ1004" s="253">
        <v>32</v>
      </c>
      <c r="AK1004" s="253">
        <v>45</v>
      </c>
      <c r="AL1004" s="253">
        <v>31</v>
      </c>
      <c r="AM1004" s="253">
        <v>25</v>
      </c>
      <c r="AN1004" s="253">
        <v>21</v>
      </c>
      <c r="AO1004" s="277">
        <v>29</v>
      </c>
      <c r="AP1004" s="277">
        <v>33</v>
      </c>
      <c r="AQ1004" s="277">
        <v>36</v>
      </c>
      <c r="AR1004" s="277">
        <v>46</v>
      </c>
      <c r="AS1004" s="277">
        <v>45</v>
      </c>
      <c r="AT1004" s="277">
        <v>55</v>
      </c>
      <c r="AU1004" s="277">
        <v>66</v>
      </c>
      <c r="AV1004" s="277">
        <f t="shared" si="84"/>
        <v>66</v>
      </c>
      <c r="AX1004" s="88" t="str">
        <f t="shared" ca="1" si="86"/>
        <v>AET</v>
      </c>
    </row>
    <row r="1005" spans="1:70">
      <c r="A1005" s="88" t="str">
        <f t="shared" ca="1" si="85"/>
        <v>AMZN</v>
      </c>
      <c r="C1005" s="1">
        <v>6</v>
      </c>
      <c r="F1005" s="257">
        <v>20263122</v>
      </c>
      <c r="G1005" s="257">
        <v>48251037</v>
      </c>
      <c r="H1005" s="257">
        <v>43852797</v>
      </c>
      <c r="I1005" s="257">
        <v>41156167</v>
      </c>
      <c r="J1005" s="257">
        <v>43551661</v>
      </c>
      <c r="K1005" s="257">
        <v>31155886</v>
      </c>
      <c r="L1005" s="257">
        <v>46599754</v>
      </c>
      <c r="M1005" s="257">
        <v>46322512</v>
      </c>
      <c r="N1005" s="257">
        <v>114244</v>
      </c>
      <c r="O1005" s="257">
        <v>37230868</v>
      </c>
      <c r="P1005" s="257">
        <v>44484935</v>
      </c>
      <c r="Q1005" s="257">
        <v>36401719</v>
      </c>
      <c r="R1005" s="257">
        <v>42173673</v>
      </c>
      <c r="S1005" s="257">
        <v>45986944</v>
      </c>
      <c r="T1005" s="257">
        <v>37990094</v>
      </c>
      <c r="U1005" s="257">
        <v>48555837</v>
      </c>
      <c r="V1005" s="257">
        <v>43584721</v>
      </c>
      <c r="W1005" s="257">
        <v>43592700</v>
      </c>
      <c r="X1005" s="257">
        <v>31406990</v>
      </c>
      <c r="Y1005" s="257">
        <v>38542660</v>
      </c>
      <c r="Z1005" s="249">
        <f ca="1">[1]ExtEntry!$P6</f>
        <v>38685053</v>
      </c>
      <c r="AB1005" s="277">
        <v>49</v>
      </c>
      <c r="AC1005" s="277">
        <v>45</v>
      </c>
      <c r="AD1005" s="277">
        <v>50</v>
      </c>
      <c r="AE1005" s="253">
        <v>44</v>
      </c>
      <c r="AF1005" s="253">
        <v>32</v>
      </c>
      <c r="AG1005" s="253">
        <v>28</v>
      </c>
      <c r="AH1005" s="253">
        <v>37</v>
      </c>
      <c r="AI1005" s="253">
        <v>41</v>
      </c>
      <c r="AJ1005" s="253">
        <v>45</v>
      </c>
      <c r="AK1005" s="253">
        <v>55</v>
      </c>
      <c r="AL1005" s="253">
        <v>61</v>
      </c>
      <c r="AM1005" s="253">
        <v>59</v>
      </c>
      <c r="AN1005" s="253">
        <v>61</v>
      </c>
      <c r="AO1005" s="277">
        <v>56</v>
      </c>
      <c r="AP1005" s="277">
        <v>60</v>
      </c>
      <c r="AQ1005" s="277">
        <v>70</v>
      </c>
      <c r="AR1005" s="277">
        <v>61</v>
      </c>
      <c r="AS1005" s="277">
        <v>54</v>
      </c>
      <c r="AT1005" s="277">
        <v>61</v>
      </c>
      <c r="AU1005" s="277">
        <v>63</v>
      </c>
      <c r="AV1005" s="277">
        <f t="shared" si="84"/>
        <v>63</v>
      </c>
      <c r="AX1005" s="88" t="str">
        <f t="shared" ca="1" si="86"/>
        <v>AMZN</v>
      </c>
    </row>
    <row r="1006" spans="1:70">
      <c r="A1006" s="88" t="str">
        <f t="shared" ca="1" si="85"/>
        <v>ALDNE</v>
      </c>
      <c r="C1006" s="1">
        <v>7</v>
      </c>
      <c r="F1006" s="249">
        <v>1127</v>
      </c>
      <c r="G1006" s="249">
        <v>4245</v>
      </c>
      <c r="H1006" s="249">
        <v>3099</v>
      </c>
      <c r="I1006" s="249">
        <v>4727</v>
      </c>
      <c r="J1006" s="249">
        <v>4930</v>
      </c>
      <c r="K1006" s="249">
        <v>1228</v>
      </c>
      <c r="L1006" s="249">
        <v>2140</v>
      </c>
      <c r="M1006" s="249">
        <v>872</v>
      </c>
      <c r="N1006" s="249">
        <v>744</v>
      </c>
      <c r="O1006" s="249">
        <v>1821</v>
      </c>
      <c r="P1006" s="249">
        <v>563</v>
      </c>
      <c r="Q1006" s="249">
        <v>3791</v>
      </c>
      <c r="R1006" s="249">
        <v>1032</v>
      </c>
      <c r="S1006" s="249">
        <v>1198</v>
      </c>
      <c r="T1006" s="249">
        <v>5482</v>
      </c>
      <c r="U1006" s="249">
        <v>35320</v>
      </c>
      <c r="V1006" s="249">
        <v>5796</v>
      </c>
      <c r="W1006" s="249">
        <v>5796</v>
      </c>
      <c r="X1006" s="249">
        <v>2266</v>
      </c>
      <c r="Y1006" s="249">
        <v>10516</v>
      </c>
      <c r="Z1006" s="249">
        <f ca="1">[1]ExtEntry!$P7</f>
        <v>10516</v>
      </c>
      <c r="AB1006" s="277">
        <v>39</v>
      </c>
      <c r="AC1006" s="277">
        <v>41</v>
      </c>
      <c r="AD1006" s="277">
        <v>44</v>
      </c>
      <c r="AE1006" s="253">
        <v>42</v>
      </c>
      <c r="AF1006" s="253">
        <v>42</v>
      </c>
      <c r="AG1006" s="253">
        <v>42</v>
      </c>
      <c r="AH1006" s="253">
        <v>43</v>
      </c>
      <c r="AI1006" s="253">
        <v>47</v>
      </c>
      <c r="AJ1006" s="253">
        <v>51</v>
      </c>
      <c r="AK1006" s="253">
        <v>45</v>
      </c>
      <c r="AL1006" s="253">
        <v>75</v>
      </c>
      <c r="AM1006" s="253">
        <v>75</v>
      </c>
      <c r="AN1006" s="253">
        <v>65</v>
      </c>
      <c r="AO1006" s="277">
        <v>64</v>
      </c>
      <c r="AP1006" s="277">
        <v>24</v>
      </c>
      <c r="AQ1006" s="277">
        <v>32</v>
      </c>
      <c r="AR1006" s="277">
        <v>31</v>
      </c>
      <c r="AS1006" s="277">
        <v>44</v>
      </c>
      <c r="AT1006" s="277">
        <v>44</v>
      </c>
      <c r="AU1006" s="277">
        <v>37</v>
      </c>
      <c r="AV1006" s="277">
        <f t="shared" si="84"/>
        <v>37</v>
      </c>
      <c r="AX1006" s="88" t="str">
        <f t="shared" ca="1" si="86"/>
        <v>ALDNE</v>
      </c>
    </row>
    <row r="1007" spans="1:70">
      <c r="A1007" s="88" t="str">
        <f t="shared" ca="1" si="85"/>
        <v>ASML</v>
      </c>
      <c r="C1007" s="1">
        <v>8</v>
      </c>
      <c r="F1007" s="257">
        <v>531762</v>
      </c>
      <c r="G1007" s="257">
        <v>571504</v>
      </c>
      <c r="H1007" s="257">
        <v>788894</v>
      </c>
      <c r="I1007" s="257">
        <v>965416</v>
      </c>
      <c r="J1007" s="257">
        <v>656013</v>
      </c>
      <c r="K1007" s="257">
        <v>622890</v>
      </c>
      <c r="L1007" s="257">
        <v>1055860</v>
      </c>
      <c r="M1007" s="257">
        <v>728171</v>
      </c>
      <c r="N1007" s="257">
        <v>174195</v>
      </c>
      <c r="O1007" s="257">
        <v>777896</v>
      </c>
      <c r="P1007" s="257">
        <v>706297</v>
      </c>
      <c r="Q1007" s="257">
        <v>1192298</v>
      </c>
      <c r="R1007" s="257">
        <v>703225</v>
      </c>
      <c r="S1007" s="257">
        <v>859995</v>
      </c>
      <c r="T1007" s="257">
        <v>530812</v>
      </c>
      <c r="U1007" s="257">
        <v>450669</v>
      </c>
      <c r="V1007" s="257">
        <v>537993</v>
      </c>
      <c r="W1007" s="257">
        <v>537993</v>
      </c>
      <c r="X1007" s="257">
        <v>746164</v>
      </c>
      <c r="Y1007" s="257">
        <v>500510</v>
      </c>
      <c r="Z1007" s="249">
        <f ca="1">[1]ExtEntry!$P8</f>
        <v>500510</v>
      </c>
      <c r="AB1007" s="277">
        <v>93</v>
      </c>
      <c r="AC1007" s="277">
        <v>93</v>
      </c>
      <c r="AD1007" s="277">
        <v>94</v>
      </c>
      <c r="AE1007" s="253">
        <v>94</v>
      </c>
      <c r="AF1007" s="253">
        <v>92</v>
      </c>
      <c r="AG1007" s="253">
        <v>81</v>
      </c>
      <c r="AH1007" s="253">
        <v>62</v>
      </c>
      <c r="AI1007" s="253">
        <v>62</v>
      </c>
      <c r="AJ1007" s="253">
        <v>59</v>
      </c>
      <c r="AK1007" s="253">
        <v>62</v>
      </c>
      <c r="AL1007" s="253">
        <v>61</v>
      </c>
      <c r="AM1007" s="253">
        <v>70</v>
      </c>
      <c r="AN1007" s="253">
        <v>70</v>
      </c>
      <c r="AO1007" s="253">
        <v>69</v>
      </c>
      <c r="AP1007" s="277">
        <v>71</v>
      </c>
      <c r="AQ1007" s="277">
        <v>67</v>
      </c>
      <c r="AR1007" s="277">
        <v>59</v>
      </c>
      <c r="AS1007" s="277">
        <v>45</v>
      </c>
      <c r="AT1007" s="277">
        <v>50</v>
      </c>
      <c r="AU1007" s="277">
        <v>57</v>
      </c>
      <c r="AV1007" s="277">
        <f t="shared" si="84"/>
        <v>57</v>
      </c>
      <c r="AX1007" s="88" t="str">
        <f t="shared" ca="1" si="86"/>
        <v>ASML</v>
      </c>
    </row>
    <row r="1008" spans="1:70">
      <c r="A1008" s="88" t="str">
        <f t="shared" ca="1" si="85"/>
        <v>AZN</v>
      </c>
      <c r="C1008" s="1">
        <v>9</v>
      </c>
      <c r="F1008" s="257">
        <v>577236</v>
      </c>
      <c r="G1008" s="257">
        <v>20063939</v>
      </c>
      <c r="H1008" s="257">
        <v>21085627</v>
      </c>
      <c r="I1008" s="257">
        <v>19866518</v>
      </c>
      <c r="J1008" s="257">
        <v>14717825</v>
      </c>
      <c r="K1008" s="257">
        <v>18065182</v>
      </c>
      <c r="L1008" s="257">
        <v>21445398</v>
      </c>
      <c r="M1008" s="257">
        <v>17619703</v>
      </c>
      <c r="N1008" s="257">
        <v>88919</v>
      </c>
      <c r="O1008" s="257">
        <v>43258450</v>
      </c>
      <c r="P1008" s="257">
        <v>20820936</v>
      </c>
      <c r="Q1008" s="257">
        <v>14284469</v>
      </c>
      <c r="R1008" s="257">
        <v>19949439</v>
      </c>
      <c r="S1008" s="257">
        <v>20937936</v>
      </c>
      <c r="T1008" s="257">
        <v>15605119</v>
      </c>
      <c r="U1008" s="257">
        <v>15059503</v>
      </c>
      <c r="V1008" s="257">
        <v>18635672</v>
      </c>
      <c r="W1008" s="257">
        <v>18636820</v>
      </c>
      <c r="X1008" s="257">
        <v>12771711</v>
      </c>
      <c r="Y1008" s="257">
        <v>16109846</v>
      </c>
      <c r="Z1008" s="249">
        <f ca="1">[1]ExtEntry!$P9</f>
        <v>2380453</v>
      </c>
      <c r="AB1008" s="277">
        <v>14</v>
      </c>
      <c r="AC1008" s="277">
        <v>27</v>
      </c>
      <c r="AD1008" s="277">
        <v>54</v>
      </c>
      <c r="AE1008" s="253">
        <v>57</v>
      </c>
      <c r="AF1008" s="253">
        <v>64</v>
      </c>
      <c r="AG1008" s="253">
        <v>66</v>
      </c>
      <c r="AH1008" s="253">
        <v>67</v>
      </c>
      <c r="AI1008" s="253">
        <v>68</v>
      </c>
      <c r="AJ1008" s="253">
        <v>70</v>
      </c>
      <c r="AK1008" s="253">
        <v>68</v>
      </c>
      <c r="AL1008" s="253">
        <v>75</v>
      </c>
      <c r="AM1008" s="253">
        <v>77</v>
      </c>
      <c r="AN1008" s="253">
        <v>80</v>
      </c>
      <c r="AO1008" s="277">
        <v>81</v>
      </c>
      <c r="AP1008" s="277">
        <v>77</v>
      </c>
      <c r="AQ1008" s="277">
        <v>70</v>
      </c>
      <c r="AR1008" s="277">
        <v>45</v>
      </c>
      <c r="AS1008" s="277">
        <v>50</v>
      </c>
      <c r="AT1008" s="277">
        <v>36</v>
      </c>
      <c r="AU1008" s="277">
        <v>32</v>
      </c>
      <c r="AV1008" s="277">
        <f t="shared" ref="AV1008:AV1046" si="87">INT(100-100/(1+(19*SUMIF(L612:Y612,"&gt;0",L612:Y612)+IF(Y612&gt;0,Y612,0))/ABS(19*SUMIF(L612:Y612,"&lt;0",L612:Y612)+IF(Y612&lt;0,Y612,0))))</f>
        <v>32</v>
      </c>
      <c r="AX1008" s="88" t="str">
        <f t="shared" ca="1" si="86"/>
        <v>AZN</v>
      </c>
    </row>
    <row r="1009" spans="1:50" hidden="1">
      <c r="A1009" s="88" t="str">
        <f t="shared" ca="1" si="85"/>
        <v>BLDP</v>
      </c>
      <c r="C1009" s="1">
        <v>10</v>
      </c>
      <c r="F1009" s="257">
        <v>5266909</v>
      </c>
      <c r="G1009" s="257">
        <v>7682156</v>
      </c>
      <c r="H1009" s="257">
        <v>14448911</v>
      </c>
      <c r="I1009" s="257">
        <v>5450654</v>
      </c>
      <c r="J1009" s="257">
        <v>5868853</v>
      </c>
      <c r="K1009" s="257">
        <v>3492697</v>
      </c>
      <c r="L1009" s="257">
        <v>6621065</v>
      </c>
      <c r="M1009" s="257">
        <v>9093256</v>
      </c>
      <c r="N1009" s="257">
        <v>4078</v>
      </c>
      <c r="O1009" s="257">
        <v>5966674</v>
      </c>
      <c r="P1009" s="257">
        <v>4852541</v>
      </c>
      <c r="Q1009" s="257">
        <v>3341398</v>
      </c>
      <c r="R1009" s="257">
        <v>4325717</v>
      </c>
      <c r="S1009" s="257">
        <v>3125960</v>
      </c>
      <c r="T1009" s="257">
        <v>5015947</v>
      </c>
      <c r="U1009" s="257">
        <v>5616576</v>
      </c>
      <c r="V1009" s="257">
        <v>3263470</v>
      </c>
      <c r="W1009" s="257">
        <v>3263470</v>
      </c>
      <c r="X1009" s="257">
        <v>2149549</v>
      </c>
      <c r="Y1009" s="257">
        <v>2380327</v>
      </c>
      <c r="Z1009" s="249">
        <f ca="1">[1]ExtEntry!$P10</f>
        <v>5611005</v>
      </c>
      <c r="AB1009" s="277">
        <v>73</v>
      </c>
      <c r="AC1009" s="277">
        <v>68</v>
      </c>
      <c r="AD1009" s="277">
        <v>74</v>
      </c>
      <c r="AE1009" s="253">
        <v>67</v>
      </c>
      <c r="AF1009" s="253">
        <v>78</v>
      </c>
      <c r="AG1009" s="253">
        <v>76</v>
      </c>
      <c r="AH1009" s="253">
        <v>74</v>
      </c>
      <c r="AI1009" s="253">
        <v>71</v>
      </c>
      <c r="AJ1009" s="253">
        <v>68</v>
      </c>
      <c r="AK1009" s="253">
        <v>72</v>
      </c>
      <c r="AL1009" s="253">
        <v>78</v>
      </c>
      <c r="AM1009" s="253">
        <v>69</v>
      </c>
      <c r="AN1009" s="253">
        <v>69</v>
      </c>
      <c r="AO1009" s="277">
        <v>73</v>
      </c>
      <c r="AP1009" s="277">
        <v>75</v>
      </c>
      <c r="AQ1009" s="277">
        <v>66</v>
      </c>
      <c r="AR1009" s="277">
        <v>61</v>
      </c>
      <c r="AS1009" s="277">
        <v>62</v>
      </c>
      <c r="AT1009" s="277">
        <v>46</v>
      </c>
      <c r="AU1009" s="277">
        <v>52</v>
      </c>
      <c r="AV1009" s="277">
        <f t="shared" si="87"/>
        <v>52</v>
      </c>
      <c r="AX1009" s="88" t="str">
        <f t="shared" ca="1" si="86"/>
        <v>BLDP</v>
      </c>
    </row>
    <row r="1010" spans="1:50" hidden="1">
      <c r="A1010" s="88" t="str">
        <f t="shared" ca="1" si="85"/>
        <v>BMRA</v>
      </c>
      <c r="C1010" s="1">
        <v>11</v>
      </c>
      <c r="F1010" s="257"/>
      <c r="G1010" s="257">
        <v>6767938</v>
      </c>
      <c r="H1010" s="257">
        <v>9072417</v>
      </c>
      <c r="I1010" s="257">
        <v>5785338</v>
      </c>
      <c r="J1010" s="257">
        <v>19200068</v>
      </c>
      <c r="K1010" s="257">
        <v>12558490</v>
      </c>
      <c r="L1010" s="257">
        <v>8372278</v>
      </c>
      <c r="M1010" s="257">
        <v>8295329</v>
      </c>
      <c r="N1010" s="257">
        <v>19113</v>
      </c>
      <c r="O1010" s="257">
        <v>7696123</v>
      </c>
      <c r="P1010" s="257">
        <v>14190732</v>
      </c>
      <c r="Q1010" s="257">
        <v>8619316</v>
      </c>
      <c r="R1010" s="257">
        <v>7238360</v>
      </c>
      <c r="S1010" s="257">
        <v>7519709</v>
      </c>
      <c r="T1010" s="257">
        <v>6469857</v>
      </c>
      <c r="U1010" s="257">
        <v>6690200</v>
      </c>
      <c r="V1010" s="257">
        <v>8904594</v>
      </c>
      <c r="W1010" s="257">
        <v>8904602</v>
      </c>
      <c r="X1010" s="257">
        <v>5301092</v>
      </c>
      <c r="Y1010" s="257">
        <v>5607269</v>
      </c>
      <c r="Z1010" s="249">
        <f ca="1">[1]ExtEntry!$P11</f>
        <v>25021</v>
      </c>
      <c r="AB1010" s="277">
        <v>45</v>
      </c>
      <c r="AC1010" s="277">
        <v>38</v>
      </c>
      <c r="AD1010" s="277">
        <v>32</v>
      </c>
      <c r="AE1010" s="253">
        <v>23</v>
      </c>
      <c r="AF1010" s="253">
        <v>28</v>
      </c>
      <c r="AG1010" s="253">
        <v>23</v>
      </c>
      <c r="AH1010" s="253">
        <v>28</v>
      </c>
      <c r="AI1010" s="253">
        <v>39</v>
      </c>
      <c r="AJ1010" s="253">
        <v>49</v>
      </c>
      <c r="AK1010" s="253">
        <v>53</v>
      </c>
      <c r="AL1010" s="253">
        <v>59</v>
      </c>
      <c r="AM1010" s="253">
        <v>52</v>
      </c>
      <c r="AN1010" s="253">
        <v>73</v>
      </c>
      <c r="AO1010" s="277">
        <v>69</v>
      </c>
      <c r="AP1010" s="277">
        <v>74</v>
      </c>
      <c r="AQ1010" s="277">
        <v>78</v>
      </c>
      <c r="AR1010" s="277">
        <v>59</v>
      </c>
      <c r="AS1010" s="277">
        <v>51</v>
      </c>
      <c r="AT1010" s="277">
        <v>49</v>
      </c>
      <c r="AU1010" s="277">
        <v>53</v>
      </c>
      <c r="AV1010" s="277">
        <f t="shared" si="87"/>
        <v>53</v>
      </c>
      <c r="AX1010" s="88" t="str">
        <f t="shared" ca="1" si="86"/>
        <v>BMRA</v>
      </c>
    </row>
    <row r="1011" spans="1:50" hidden="1">
      <c r="A1011" s="88" t="str">
        <f t="shared" ca="1" si="85"/>
        <v>C</v>
      </c>
      <c r="C1011" s="1">
        <v>12</v>
      </c>
      <c r="F1011" s="257">
        <v>17212</v>
      </c>
      <c r="G1011" s="257">
        <v>18431</v>
      </c>
      <c r="H1011" s="257">
        <v>37867</v>
      </c>
      <c r="I1011" s="257">
        <v>32747</v>
      </c>
      <c r="J1011" s="257">
        <v>46627</v>
      </c>
      <c r="K1011" s="257">
        <v>25420</v>
      </c>
      <c r="L1011" s="257">
        <v>27196</v>
      </c>
      <c r="M1011" s="257">
        <v>34375</v>
      </c>
      <c r="N1011" s="257">
        <v>34375</v>
      </c>
      <c r="O1011" s="257">
        <v>24795</v>
      </c>
      <c r="P1011" s="257">
        <v>55903</v>
      </c>
      <c r="Q1011" s="257">
        <v>16856</v>
      </c>
      <c r="R1011" s="257">
        <v>4092138</v>
      </c>
      <c r="S1011" s="257">
        <v>119957</v>
      </c>
      <c r="T1011" s="257">
        <v>124989</v>
      </c>
      <c r="U1011" s="257">
        <v>43060</v>
      </c>
      <c r="V1011" s="257">
        <v>84636</v>
      </c>
      <c r="W1011" s="257">
        <v>85227</v>
      </c>
      <c r="X1011" s="257">
        <v>19575</v>
      </c>
      <c r="Y1011" s="257">
        <v>24807</v>
      </c>
      <c r="Z1011" s="249">
        <f ca="1">[1]ExtEntry!$P12</f>
        <v>11870689</v>
      </c>
      <c r="AB1011" s="277">
        <v>78</v>
      </c>
      <c r="AC1011" s="277">
        <v>61</v>
      </c>
      <c r="AD1011" s="277">
        <v>44</v>
      </c>
      <c r="AE1011" s="253">
        <v>38</v>
      </c>
      <c r="AF1011" s="253">
        <v>38</v>
      </c>
      <c r="AG1011" s="253">
        <v>33</v>
      </c>
      <c r="AH1011" s="253">
        <v>26</v>
      </c>
      <c r="AI1011" s="253">
        <v>23</v>
      </c>
      <c r="AJ1011" s="253">
        <v>20</v>
      </c>
      <c r="AK1011" s="253">
        <v>28</v>
      </c>
      <c r="AL1011" s="253">
        <v>44</v>
      </c>
      <c r="AM1011" s="253">
        <v>45</v>
      </c>
      <c r="AN1011" s="253">
        <v>36</v>
      </c>
      <c r="AO1011" s="277">
        <v>35</v>
      </c>
      <c r="AP1011" s="277">
        <v>42</v>
      </c>
      <c r="AQ1011" s="277">
        <v>43</v>
      </c>
      <c r="AR1011" s="277">
        <v>44</v>
      </c>
      <c r="AS1011" s="277">
        <v>43</v>
      </c>
      <c r="AT1011" s="277">
        <v>43</v>
      </c>
      <c r="AU1011" s="277">
        <v>49</v>
      </c>
      <c r="AV1011" s="277">
        <f t="shared" si="87"/>
        <v>49</v>
      </c>
      <c r="AX1011" s="88" t="str">
        <f t="shared" ca="1" si="86"/>
        <v>C</v>
      </c>
    </row>
    <row r="1012" spans="1:50" hidden="1">
      <c r="A1012" s="88" t="str">
        <f t="shared" ca="1" si="85"/>
        <v>CSCO</v>
      </c>
      <c r="C1012" s="1">
        <v>13</v>
      </c>
      <c r="F1012" s="257">
        <v>4779260</v>
      </c>
      <c r="G1012" s="257">
        <v>17760534</v>
      </c>
      <c r="H1012" s="257">
        <v>13613038</v>
      </c>
      <c r="I1012" s="257">
        <v>14507435</v>
      </c>
      <c r="J1012" s="257">
        <v>13861963</v>
      </c>
      <c r="K1012" s="257">
        <v>8518307</v>
      </c>
      <c r="L1012" s="257">
        <v>8490942</v>
      </c>
      <c r="M1012" s="257">
        <v>11295600</v>
      </c>
      <c r="N1012" s="257">
        <v>4254</v>
      </c>
      <c r="O1012" s="257">
        <v>18040917</v>
      </c>
      <c r="P1012" s="257">
        <v>32402920</v>
      </c>
      <c r="Q1012" s="257">
        <v>12378137</v>
      </c>
      <c r="R1012" s="257">
        <v>20069028</v>
      </c>
      <c r="S1012" s="257">
        <v>14007810</v>
      </c>
      <c r="T1012" s="257">
        <v>11168221</v>
      </c>
      <c r="U1012" s="257">
        <v>9095456</v>
      </c>
      <c r="V1012" s="257">
        <v>14138893</v>
      </c>
      <c r="W1012" s="257">
        <v>14138896</v>
      </c>
      <c r="X1012" s="257">
        <v>8185643</v>
      </c>
      <c r="Y1012" s="257">
        <v>11738453</v>
      </c>
      <c r="Z1012" s="249">
        <f ca="1">[1]ExtEntry!$P13</f>
        <v>13075554</v>
      </c>
      <c r="AB1012" s="277">
        <v>36</v>
      </c>
      <c r="AC1012" s="277">
        <v>44</v>
      </c>
      <c r="AD1012" s="277">
        <v>55</v>
      </c>
      <c r="AE1012" s="253">
        <v>49</v>
      </c>
      <c r="AF1012" s="253">
        <v>46</v>
      </c>
      <c r="AG1012" s="253">
        <v>47</v>
      </c>
      <c r="AH1012" s="253">
        <v>51</v>
      </c>
      <c r="AI1012" s="253">
        <v>51</v>
      </c>
      <c r="AJ1012" s="253">
        <v>52</v>
      </c>
      <c r="AK1012" s="253">
        <v>54</v>
      </c>
      <c r="AL1012" s="253">
        <v>64</v>
      </c>
      <c r="AM1012" s="253">
        <v>69</v>
      </c>
      <c r="AN1012" s="253">
        <v>63</v>
      </c>
      <c r="AO1012" s="277">
        <v>73</v>
      </c>
      <c r="AP1012" s="277">
        <v>74</v>
      </c>
      <c r="AQ1012" s="277">
        <v>71</v>
      </c>
      <c r="AR1012" s="277">
        <v>70</v>
      </c>
      <c r="AS1012" s="277">
        <v>73</v>
      </c>
      <c r="AT1012" s="277">
        <v>69</v>
      </c>
      <c r="AU1012" s="277">
        <v>71</v>
      </c>
      <c r="AV1012" s="277">
        <f t="shared" si="87"/>
        <v>71</v>
      </c>
      <c r="AX1012" s="88" t="str">
        <f t="shared" ca="1" si="86"/>
        <v>CSCO</v>
      </c>
    </row>
    <row r="1013" spans="1:50" hidden="1">
      <c r="A1013" s="88" t="str">
        <f t="shared" ca="1" si="85"/>
        <v>CVS</v>
      </c>
      <c r="C1013" s="1">
        <v>14</v>
      </c>
      <c r="F1013" s="257">
        <v>4988561</v>
      </c>
      <c r="G1013" s="257">
        <v>20488407</v>
      </c>
      <c r="H1013" s="257">
        <v>15527633</v>
      </c>
      <c r="I1013" s="257">
        <v>15688790</v>
      </c>
      <c r="J1013" s="257">
        <v>11098449</v>
      </c>
      <c r="K1013" s="257">
        <v>16490109</v>
      </c>
      <c r="L1013" s="257">
        <v>34238014</v>
      </c>
      <c r="M1013" s="257">
        <v>21204672</v>
      </c>
      <c r="N1013" s="257">
        <v>5783</v>
      </c>
      <c r="O1013" s="257">
        <v>14086099</v>
      </c>
      <c r="P1013" s="257">
        <v>14232106</v>
      </c>
      <c r="Q1013" s="257">
        <v>9555519</v>
      </c>
      <c r="R1013" s="257">
        <v>13935473</v>
      </c>
      <c r="S1013" s="257">
        <v>16286931</v>
      </c>
      <c r="T1013" s="257">
        <v>12135985</v>
      </c>
      <c r="U1013" s="257">
        <v>15700192</v>
      </c>
      <c r="V1013" s="257">
        <v>14952518</v>
      </c>
      <c r="W1013" s="257">
        <v>14953367</v>
      </c>
      <c r="X1013" s="257">
        <v>14577378</v>
      </c>
      <c r="Y1013" s="257">
        <v>13068760</v>
      </c>
      <c r="Z1013" s="249">
        <f ca="1">[1]ExtEntry!$P14</f>
        <v>5642460</v>
      </c>
      <c r="AB1013" s="277">
        <v>48</v>
      </c>
      <c r="AC1013" s="277">
        <v>44</v>
      </c>
      <c r="AD1013" s="277">
        <v>50</v>
      </c>
      <c r="AE1013" s="253">
        <v>62</v>
      </c>
      <c r="AF1013" s="253">
        <v>73</v>
      </c>
      <c r="AG1013" s="253">
        <v>74</v>
      </c>
      <c r="AH1013" s="253">
        <v>71</v>
      </c>
      <c r="AI1013" s="253">
        <v>68</v>
      </c>
      <c r="AJ1013" s="253">
        <v>64</v>
      </c>
      <c r="AK1013" s="253">
        <v>66</v>
      </c>
      <c r="AL1013" s="253">
        <v>66</v>
      </c>
      <c r="AM1013" s="253">
        <v>72</v>
      </c>
      <c r="AN1013" s="253">
        <v>89</v>
      </c>
      <c r="AO1013" s="277">
        <v>89</v>
      </c>
      <c r="AP1013" s="277">
        <v>90</v>
      </c>
      <c r="AQ1013" s="277">
        <v>92</v>
      </c>
      <c r="AR1013" s="277">
        <v>79</v>
      </c>
      <c r="AS1013" s="277">
        <v>69</v>
      </c>
      <c r="AT1013" s="277">
        <v>67</v>
      </c>
      <c r="AU1013" s="277">
        <v>69</v>
      </c>
      <c r="AV1013" s="277">
        <f t="shared" si="87"/>
        <v>69</v>
      </c>
      <c r="AX1013" s="88" t="str">
        <f t="shared" ca="1" si="86"/>
        <v>CVS</v>
      </c>
    </row>
    <row r="1014" spans="1:50" hidden="1">
      <c r="A1014" s="88" t="str">
        <f t="shared" ca="1" si="85"/>
        <v>DDD</v>
      </c>
      <c r="C1014" s="1">
        <v>15</v>
      </c>
      <c r="F1014" s="257">
        <v>2819486</v>
      </c>
      <c r="G1014" s="257">
        <v>7293848</v>
      </c>
      <c r="H1014" s="257">
        <v>11094317</v>
      </c>
      <c r="I1014" s="257">
        <v>4905436</v>
      </c>
      <c r="J1014" s="257">
        <v>7084537</v>
      </c>
      <c r="K1014" s="257">
        <v>4606482</v>
      </c>
      <c r="L1014" s="257">
        <v>5062433</v>
      </c>
      <c r="M1014" s="257">
        <v>5954467</v>
      </c>
      <c r="N1014" s="257">
        <v>118</v>
      </c>
      <c r="O1014" s="257">
        <v>6489917</v>
      </c>
      <c r="P1014" s="257">
        <v>9190922</v>
      </c>
      <c r="Q1014" s="257">
        <v>4329026</v>
      </c>
      <c r="R1014" s="257">
        <v>6750372</v>
      </c>
      <c r="S1014" s="257">
        <v>6951683</v>
      </c>
      <c r="T1014" s="257">
        <v>5694777</v>
      </c>
      <c r="U1014" s="257">
        <v>6187176</v>
      </c>
      <c r="V1014" s="257">
        <v>6356628</v>
      </c>
      <c r="W1014" s="257">
        <v>6357084</v>
      </c>
      <c r="X1014" s="257">
        <v>5992296</v>
      </c>
      <c r="Y1014" s="257">
        <v>5636202</v>
      </c>
      <c r="Z1014" s="249">
        <f ca="1">[1]ExtEntry!$P15</f>
        <v>3333984</v>
      </c>
      <c r="AB1014" s="277">
        <v>81</v>
      </c>
      <c r="AC1014" s="277">
        <v>75</v>
      </c>
      <c r="AD1014" s="277">
        <v>75</v>
      </c>
      <c r="AE1014" s="253">
        <v>76</v>
      </c>
      <c r="AF1014" s="253">
        <v>77</v>
      </c>
      <c r="AG1014" s="253">
        <v>75</v>
      </c>
      <c r="AH1014" s="253">
        <v>73</v>
      </c>
      <c r="AI1014" s="253">
        <v>71</v>
      </c>
      <c r="AJ1014" s="253">
        <v>69</v>
      </c>
      <c r="AK1014" s="253">
        <v>76</v>
      </c>
      <c r="AL1014" s="253">
        <v>68</v>
      </c>
      <c r="AM1014" s="253">
        <v>70</v>
      </c>
      <c r="AN1014" s="253">
        <v>70</v>
      </c>
      <c r="AO1014" s="277">
        <v>56</v>
      </c>
      <c r="AP1014" s="277">
        <v>77</v>
      </c>
      <c r="AQ1014" s="277">
        <v>64</v>
      </c>
      <c r="AR1014" s="277">
        <v>55</v>
      </c>
      <c r="AS1014" s="277">
        <v>46</v>
      </c>
      <c r="AT1014" s="277">
        <v>45</v>
      </c>
      <c r="AU1014" s="277">
        <v>46</v>
      </c>
      <c r="AV1014" s="277">
        <f t="shared" si="87"/>
        <v>46</v>
      </c>
      <c r="AX1014" s="88" t="str">
        <f t="shared" ca="1" si="86"/>
        <v>DDD</v>
      </c>
    </row>
    <row r="1015" spans="1:50" hidden="1">
      <c r="A1015" s="88" t="str">
        <f t="shared" ca="1" si="85"/>
        <v>DIS</v>
      </c>
      <c r="C1015" s="1">
        <v>16</v>
      </c>
      <c r="F1015" s="257">
        <v>4419324</v>
      </c>
      <c r="G1015" s="257">
        <v>4860476</v>
      </c>
      <c r="H1015" s="257">
        <v>3099880</v>
      </c>
      <c r="I1015" s="257">
        <v>4917670</v>
      </c>
      <c r="J1015" s="257">
        <v>5742994</v>
      </c>
      <c r="K1015" s="257">
        <v>8411642</v>
      </c>
      <c r="L1015" s="257">
        <v>4160292</v>
      </c>
      <c r="M1015" s="257">
        <v>4235877</v>
      </c>
      <c r="N1015" s="257">
        <v>642</v>
      </c>
      <c r="O1015" s="257">
        <v>3929814</v>
      </c>
      <c r="P1015" s="257">
        <v>2743317</v>
      </c>
      <c r="Q1015" s="257">
        <v>2866750</v>
      </c>
      <c r="R1015" s="257">
        <v>4907524</v>
      </c>
      <c r="S1015" s="257">
        <v>3756199</v>
      </c>
      <c r="T1015" s="257">
        <v>7265638</v>
      </c>
      <c r="U1015" s="257">
        <v>5877521</v>
      </c>
      <c r="V1015" s="257">
        <v>4894243</v>
      </c>
      <c r="W1015" s="257">
        <v>4894281</v>
      </c>
      <c r="X1015" s="257">
        <v>2812934</v>
      </c>
      <c r="Y1015" s="257">
        <v>3306967</v>
      </c>
      <c r="Z1015" s="249">
        <f ca="1">[1]ExtEntry!$P16</f>
        <v>6235183</v>
      </c>
      <c r="AB1015" s="277">
        <v>33</v>
      </c>
      <c r="AC1015" s="277">
        <v>23</v>
      </c>
      <c r="AD1015" s="277">
        <v>22</v>
      </c>
      <c r="AE1015" s="253">
        <v>21</v>
      </c>
      <c r="AF1015" s="253">
        <v>24</v>
      </c>
      <c r="AG1015" s="253">
        <v>24</v>
      </c>
      <c r="AH1015" s="253">
        <v>26</v>
      </c>
      <c r="AI1015" s="253">
        <v>26</v>
      </c>
      <c r="AJ1015" s="253">
        <v>27</v>
      </c>
      <c r="AK1015" s="253">
        <v>39</v>
      </c>
      <c r="AL1015" s="253">
        <v>46</v>
      </c>
      <c r="AM1015" s="253">
        <v>44</v>
      </c>
      <c r="AN1015" s="253">
        <v>38</v>
      </c>
      <c r="AO1015" s="277">
        <v>40</v>
      </c>
      <c r="AP1015" s="277">
        <v>43</v>
      </c>
      <c r="AQ1015" s="277">
        <v>53</v>
      </c>
      <c r="AR1015" s="277">
        <v>54</v>
      </c>
      <c r="AS1015" s="277">
        <v>52</v>
      </c>
      <c r="AT1015" s="277">
        <v>51</v>
      </c>
      <c r="AU1015" s="277">
        <v>47</v>
      </c>
      <c r="AV1015" s="277">
        <f t="shared" si="87"/>
        <v>47</v>
      </c>
      <c r="AX1015" s="88" t="str">
        <f t="shared" ca="1" si="86"/>
        <v>DIS</v>
      </c>
    </row>
    <row r="1016" spans="1:50" hidden="1">
      <c r="A1016" s="88" t="str">
        <f t="shared" ca="1" si="85"/>
        <v>DSY</v>
      </c>
      <c r="C1016" s="1">
        <v>17</v>
      </c>
      <c r="F1016" s="257">
        <v>3292425</v>
      </c>
      <c r="G1016" s="257">
        <v>9296484</v>
      </c>
      <c r="H1016" s="257">
        <v>9673683</v>
      </c>
      <c r="I1016" s="257">
        <v>8681888</v>
      </c>
      <c r="J1016" s="257">
        <v>7147696</v>
      </c>
      <c r="K1016" s="257">
        <v>5407659</v>
      </c>
      <c r="L1016" s="257">
        <v>7069598</v>
      </c>
      <c r="M1016" s="257">
        <v>6496074</v>
      </c>
      <c r="N1016" s="257">
        <v>6874</v>
      </c>
      <c r="O1016" s="257">
        <v>7089569</v>
      </c>
      <c r="P1016" s="257">
        <v>7487217</v>
      </c>
      <c r="Q1016" s="257">
        <v>4461070</v>
      </c>
      <c r="R1016" s="257">
        <v>7497362</v>
      </c>
      <c r="S1016" s="257">
        <v>10090543</v>
      </c>
      <c r="T1016" s="257">
        <v>7852558</v>
      </c>
      <c r="U1016" s="257">
        <v>7895984</v>
      </c>
      <c r="V1016" s="257">
        <v>7089159</v>
      </c>
      <c r="W1016" s="257">
        <v>7089234</v>
      </c>
      <c r="X1016" s="257">
        <v>6941871</v>
      </c>
      <c r="Y1016" s="257">
        <v>6225525</v>
      </c>
      <c r="Z1016" s="249">
        <f ca="1">[1]ExtEntry!$P17</f>
        <v>3353364</v>
      </c>
      <c r="AB1016" s="277">
        <v>51</v>
      </c>
      <c r="AC1016" s="277">
        <v>55</v>
      </c>
      <c r="AD1016" s="277">
        <v>51</v>
      </c>
      <c r="AE1016" s="253">
        <v>64</v>
      </c>
      <c r="AF1016" s="253">
        <v>68</v>
      </c>
      <c r="AG1016" s="253">
        <v>63</v>
      </c>
      <c r="AH1016" s="253">
        <v>49</v>
      </c>
      <c r="AI1016" s="253">
        <v>58</v>
      </c>
      <c r="AJ1016" s="253">
        <v>72</v>
      </c>
      <c r="AK1016" s="253">
        <v>73</v>
      </c>
      <c r="AL1016" s="253">
        <v>64</v>
      </c>
      <c r="AM1016" s="253">
        <v>71</v>
      </c>
      <c r="AN1016" s="253">
        <v>72</v>
      </c>
      <c r="AO1016" s="277">
        <v>73</v>
      </c>
      <c r="AP1016" s="277">
        <v>74</v>
      </c>
      <c r="AQ1016" s="277">
        <v>76</v>
      </c>
      <c r="AR1016" s="277">
        <v>74</v>
      </c>
      <c r="AS1016" s="277">
        <v>66</v>
      </c>
      <c r="AT1016" s="277">
        <v>34</v>
      </c>
      <c r="AU1016" s="277">
        <v>34</v>
      </c>
      <c r="AV1016" s="277">
        <f t="shared" si="87"/>
        <v>34</v>
      </c>
      <c r="AX1016" s="88" t="str">
        <f t="shared" ca="1" si="86"/>
        <v>DSY</v>
      </c>
    </row>
    <row r="1017" spans="1:50" hidden="1">
      <c r="A1017" s="88" t="str">
        <f t="shared" ca="1" si="85"/>
        <v>DVA</v>
      </c>
      <c r="C1017" s="1">
        <v>18</v>
      </c>
      <c r="F1017" s="257">
        <v>1293187</v>
      </c>
      <c r="G1017" s="257">
        <v>1575543</v>
      </c>
      <c r="H1017" s="257">
        <v>1453671</v>
      </c>
      <c r="I1017" s="257">
        <v>1626973</v>
      </c>
      <c r="J1017" s="257">
        <v>1375040</v>
      </c>
      <c r="K1017" s="257">
        <v>1398926</v>
      </c>
      <c r="L1017" s="257">
        <v>1144056</v>
      </c>
      <c r="M1017" s="257">
        <v>1166740</v>
      </c>
      <c r="N1017" s="257">
        <v>117912</v>
      </c>
      <c r="O1017" s="257">
        <v>1236266</v>
      </c>
      <c r="P1017" s="257">
        <v>2088831</v>
      </c>
      <c r="Q1017" s="257">
        <v>1779477</v>
      </c>
      <c r="R1017" s="257">
        <v>1427587</v>
      </c>
      <c r="S1017" s="257">
        <v>1746130</v>
      </c>
      <c r="T1017" s="257">
        <v>1058138</v>
      </c>
      <c r="U1017" s="257">
        <v>1430986</v>
      </c>
      <c r="V1017" s="257">
        <v>1885559</v>
      </c>
      <c r="W1017" s="257">
        <v>1885559</v>
      </c>
      <c r="X1017" s="257">
        <v>7762453</v>
      </c>
      <c r="Y1017" s="257">
        <v>3353364</v>
      </c>
      <c r="Z1017" s="249">
        <f ca="1">[1]ExtEntry!$P18</f>
        <v>699259</v>
      </c>
      <c r="AB1017" s="277">
        <v>46</v>
      </c>
      <c r="AC1017" s="277">
        <v>50</v>
      </c>
      <c r="AD1017" s="277">
        <v>50</v>
      </c>
      <c r="AE1017" s="253">
        <v>50</v>
      </c>
      <c r="AF1017" s="253">
        <v>54</v>
      </c>
      <c r="AG1017" s="253">
        <v>65</v>
      </c>
      <c r="AH1017" s="253">
        <v>49</v>
      </c>
      <c r="AI1017" s="253">
        <v>45</v>
      </c>
      <c r="AJ1017" s="253">
        <v>42</v>
      </c>
      <c r="AK1017" s="253">
        <v>40</v>
      </c>
      <c r="AL1017" s="253">
        <v>43</v>
      </c>
      <c r="AM1017" s="253">
        <v>41</v>
      </c>
      <c r="AN1017" s="253">
        <v>47</v>
      </c>
      <c r="AO1017" s="277">
        <v>47</v>
      </c>
      <c r="AP1017" s="277">
        <v>55</v>
      </c>
      <c r="AQ1017" s="277">
        <v>50</v>
      </c>
      <c r="AR1017" s="277">
        <v>52</v>
      </c>
      <c r="AS1017" s="277">
        <v>56</v>
      </c>
      <c r="AT1017" s="277">
        <v>55</v>
      </c>
      <c r="AU1017" s="277">
        <v>51</v>
      </c>
      <c r="AV1017" s="277">
        <f t="shared" si="87"/>
        <v>51</v>
      </c>
      <c r="AX1017" s="88" t="str">
        <f t="shared" ca="1" si="86"/>
        <v>DVA</v>
      </c>
    </row>
    <row r="1018" spans="1:50" hidden="1">
      <c r="A1018" s="88" t="str">
        <f t="shared" ca="1" si="85"/>
        <v>DXC</v>
      </c>
      <c r="C1018" s="1">
        <v>19</v>
      </c>
      <c r="F1018" s="257">
        <v>121102</v>
      </c>
      <c r="G1018" s="257">
        <v>642210</v>
      </c>
      <c r="H1018" s="257">
        <v>738744</v>
      </c>
      <c r="I1018" s="257">
        <v>681228</v>
      </c>
      <c r="J1018" s="257">
        <v>777375</v>
      </c>
      <c r="K1018" s="257">
        <v>659336</v>
      </c>
      <c r="L1018" s="257">
        <v>660741</v>
      </c>
      <c r="M1018" s="257">
        <v>686690</v>
      </c>
      <c r="N1018" s="257">
        <v>686694</v>
      </c>
      <c r="O1018" s="257">
        <v>454746</v>
      </c>
      <c r="P1018" s="257">
        <v>737291</v>
      </c>
      <c r="Q1018" s="257">
        <v>485677</v>
      </c>
      <c r="R1018" s="257">
        <v>542155</v>
      </c>
      <c r="S1018" s="257">
        <v>391327</v>
      </c>
      <c r="T1018" s="257">
        <v>486972</v>
      </c>
      <c r="U1018" s="257">
        <v>372538</v>
      </c>
      <c r="V1018" s="257">
        <v>606931</v>
      </c>
      <c r="W1018" s="257">
        <v>606931</v>
      </c>
      <c r="X1018" s="257">
        <v>537022</v>
      </c>
      <c r="Y1018" s="257">
        <v>699184</v>
      </c>
      <c r="Z1018" s="249">
        <f ca="1">[1]ExtEntry!$P19</f>
        <v>1384401</v>
      </c>
      <c r="AB1018" s="277">
        <v>40</v>
      </c>
      <c r="AC1018" s="277">
        <v>37</v>
      </c>
      <c r="AD1018" s="277">
        <v>43</v>
      </c>
      <c r="AE1018" s="253">
        <v>41</v>
      </c>
      <c r="AF1018" s="253">
        <v>44</v>
      </c>
      <c r="AG1018" s="253">
        <v>40</v>
      </c>
      <c r="AH1018" s="253">
        <v>37</v>
      </c>
      <c r="AI1018" s="253">
        <v>44</v>
      </c>
      <c r="AJ1018" s="253">
        <v>52</v>
      </c>
      <c r="AK1018" s="253">
        <v>52</v>
      </c>
      <c r="AL1018" s="253">
        <v>62</v>
      </c>
      <c r="AM1018" s="253">
        <v>55</v>
      </c>
      <c r="AN1018" s="253">
        <v>62</v>
      </c>
      <c r="AO1018" s="277">
        <v>52</v>
      </c>
      <c r="AP1018" s="277">
        <v>60</v>
      </c>
      <c r="AQ1018" s="277">
        <v>64</v>
      </c>
      <c r="AR1018" s="277">
        <v>62</v>
      </c>
      <c r="AS1018" s="277">
        <v>67</v>
      </c>
      <c r="AT1018" s="277">
        <v>66</v>
      </c>
      <c r="AU1018" s="277">
        <v>78</v>
      </c>
      <c r="AV1018" s="277">
        <f t="shared" si="87"/>
        <v>78</v>
      </c>
      <c r="AX1018" s="88" t="str">
        <f t="shared" ca="1" si="86"/>
        <v>DXC</v>
      </c>
    </row>
    <row r="1019" spans="1:50" hidden="1">
      <c r="A1019" s="88" t="str">
        <f t="shared" ca="1" si="85"/>
        <v>EOAN</v>
      </c>
      <c r="C1019" s="1">
        <v>20</v>
      </c>
      <c r="F1019" s="257">
        <v>1025608</v>
      </c>
      <c r="G1019" s="257">
        <v>1468384</v>
      </c>
      <c r="H1019" s="257">
        <v>1826598</v>
      </c>
      <c r="I1019" s="257">
        <v>1690636</v>
      </c>
      <c r="J1019" s="257">
        <v>2491236</v>
      </c>
      <c r="K1019" s="257">
        <v>2048828</v>
      </c>
      <c r="L1019" s="257">
        <v>1342324</v>
      </c>
      <c r="M1019" s="257">
        <v>1279794</v>
      </c>
      <c r="N1019" s="257">
        <v>2</v>
      </c>
      <c r="O1019" s="257">
        <v>1282891</v>
      </c>
      <c r="P1019" s="257">
        <v>1370809</v>
      </c>
      <c r="Q1019" s="257">
        <v>856347</v>
      </c>
      <c r="R1019" s="257">
        <v>2149776</v>
      </c>
      <c r="S1019" s="257">
        <v>1136953</v>
      </c>
      <c r="T1019" s="257">
        <v>1401813</v>
      </c>
      <c r="U1019" s="257">
        <v>1469628</v>
      </c>
      <c r="V1019" s="257">
        <v>1667277</v>
      </c>
      <c r="W1019" s="257">
        <v>1667277</v>
      </c>
      <c r="X1019" s="257">
        <v>1687766</v>
      </c>
      <c r="Y1019" s="257">
        <v>1384247</v>
      </c>
      <c r="Z1019" s="249">
        <f ca="1">[1]ExtEntry!$P20</f>
        <v>3565315</v>
      </c>
      <c r="AB1019" s="277">
        <v>79</v>
      </c>
      <c r="AC1019" s="277">
        <v>81</v>
      </c>
      <c r="AD1019" s="277">
        <v>79</v>
      </c>
      <c r="AE1019" s="253">
        <v>65</v>
      </c>
      <c r="AF1019" s="253">
        <v>63</v>
      </c>
      <c r="AG1019" s="253">
        <v>71</v>
      </c>
      <c r="AH1019" s="253">
        <v>80</v>
      </c>
      <c r="AI1019" s="253">
        <v>78</v>
      </c>
      <c r="AJ1019" s="253">
        <v>77</v>
      </c>
      <c r="AK1019" s="253">
        <v>79</v>
      </c>
      <c r="AL1019" s="253">
        <v>80</v>
      </c>
      <c r="AM1019" s="253">
        <v>69</v>
      </c>
      <c r="AN1019" s="253">
        <v>65</v>
      </c>
      <c r="AO1019" s="277">
        <v>63</v>
      </c>
      <c r="AP1019" s="277">
        <v>70</v>
      </c>
      <c r="AQ1019" s="277">
        <v>67</v>
      </c>
      <c r="AR1019" s="277">
        <v>52</v>
      </c>
      <c r="AS1019" s="277">
        <v>50</v>
      </c>
      <c r="AT1019" s="277">
        <v>41</v>
      </c>
      <c r="AU1019" s="277">
        <v>43</v>
      </c>
      <c r="AV1019" s="277">
        <f t="shared" si="87"/>
        <v>43</v>
      </c>
      <c r="AX1019" s="88" t="str">
        <f t="shared" ca="1" si="86"/>
        <v>EOAN</v>
      </c>
    </row>
    <row r="1020" spans="1:50" hidden="1">
      <c r="A1020" s="88" t="str">
        <f t="shared" ca="1" si="85"/>
        <v>EPIX</v>
      </c>
      <c r="C1020" s="1">
        <v>21</v>
      </c>
      <c r="F1020" s="257">
        <v>2035300</v>
      </c>
      <c r="G1020" s="257">
        <v>7992</v>
      </c>
      <c r="H1020" s="257">
        <v>1570</v>
      </c>
      <c r="I1020" s="257">
        <v>7712</v>
      </c>
      <c r="J1020" s="257">
        <v>9505</v>
      </c>
      <c r="K1020" s="257">
        <v>1817</v>
      </c>
      <c r="L1020" s="257">
        <v>5522</v>
      </c>
      <c r="M1020" s="257">
        <v>11369</v>
      </c>
      <c r="N1020" s="257">
        <v>2496</v>
      </c>
      <c r="O1020" s="257">
        <v>5181</v>
      </c>
      <c r="P1020" s="257">
        <v>3070</v>
      </c>
      <c r="Q1020" s="257">
        <v>5816</v>
      </c>
      <c r="R1020" s="257">
        <v>7915</v>
      </c>
      <c r="S1020" s="257">
        <v>4869</v>
      </c>
      <c r="T1020" s="257">
        <v>8743</v>
      </c>
      <c r="U1020" s="257">
        <v>12133</v>
      </c>
      <c r="V1020" s="257">
        <v>9346</v>
      </c>
      <c r="W1020" s="257">
        <v>9346</v>
      </c>
      <c r="X1020" s="257">
        <v>6458</v>
      </c>
      <c r="Y1020" s="257">
        <v>4204</v>
      </c>
      <c r="Z1020" s="249">
        <f ca="1">[1]ExtEntry!$P21</f>
        <v>5945141</v>
      </c>
      <c r="AB1020" s="277">
        <v>23</v>
      </c>
      <c r="AC1020" s="277">
        <v>22</v>
      </c>
      <c r="AD1020" s="277">
        <v>38</v>
      </c>
      <c r="AE1020" s="253">
        <v>51</v>
      </c>
      <c r="AF1020" s="253">
        <v>50</v>
      </c>
      <c r="AG1020" s="253">
        <v>51</v>
      </c>
      <c r="AH1020" s="253">
        <v>43</v>
      </c>
      <c r="AI1020" s="253">
        <v>40</v>
      </c>
      <c r="AJ1020" s="253">
        <v>38</v>
      </c>
      <c r="AK1020" s="253">
        <v>35</v>
      </c>
      <c r="AL1020" s="253">
        <v>41</v>
      </c>
      <c r="AM1020" s="253">
        <v>44</v>
      </c>
      <c r="AN1020" s="253">
        <v>45</v>
      </c>
      <c r="AO1020" s="277">
        <v>44</v>
      </c>
      <c r="AP1020" s="277">
        <v>52</v>
      </c>
      <c r="AQ1020" s="277">
        <v>54</v>
      </c>
      <c r="AR1020" s="277">
        <v>35</v>
      </c>
      <c r="AS1020" s="277">
        <v>3</v>
      </c>
      <c r="AT1020" s="277">
        <v>6</v>
      </c>
      <c r="AU1020" s="277">
        <v>0</v>
      </c>
      <c r="AV1020" s="277">
        <f t="shared" si="87"/>
        <v>0</v>
      </c>
      <c r="AX1020" s="88" t="str">
        <f t="shared" ca="1" si="86"/>
        <v>EPIX</v>
      </c>
    </row>
    <row r="1021" spans="1:50" hidden="1">
      <c r="A1021" s="88" t="str">
        <f t="shared" ca="1" si="85"/>
        <v>GM</v>
      </c>
      <c r="C1021" s="1">
        <v>22</v>
      </c>
      <c r="F1021" s="257">
        <v>1525939</v>
      </c>
      <c r="G1021" s="257">
        <v>4883813</v>
      </c>
      <c r="H1021" s="257">
        <v>2577453</v>
      </c>
      <c r="I1021" s="257">
        <v>4100143</v>
      </c>
      <c r="J1021" s="257">
        <v>2712634</v>
      </c>
      <c r="K1021" s="257">
        <v>3055823</v>
      </c>
      <c r="L1021" s="257">
        <v>5905826</v>
      </c>
      <c r="M1021" s="257">
        <v>5945141</v>
      </c>
      <c r="N1021" s="257">
        <v>5945141</v>
      </c>
      <c r="O1021" s="257">
        <v>5945141</v>
      </c>
      <c r="P1021" s="257">
        <v>5945141</v>
      </c>
      <c r="Q1021" s="257">
        <v>5945141</v>
      </c>
      <c r="R1021" s="257">
        <v>5945141</v>
      </c>
      <c r="S1021" s="257">
        <v>5945141</v>
      </c>
      <c r="T1021" s="257">
        <v>5945141</v>
      </c>
      <c r="U1021" s="257">
        <v>5945141</v>
      </c>
      <c r="V1021" s="257">
        <v>5945141</v>
      </c>
      <c r="W1021" s="257">
        <v>5945141</v>
      </c>
      <c r="X1021" s="257">
        <v>5945141</v>
      </c>
      <c r="Y1021" s="257">
        <v>5945141</v>
      </c>
      <c r="Z1021" s="249">
        <f ca="1">[1]ExtEntry!$P22</f>
        <v>12570973</v>
      </c>
      <c r="AB1021" s="277">
        <v>69</v>
      </c>
      <c r="AC1021" s="277">
        <v>61</v>
      </c>
      <c r="AD1021" s="277">
        <v>65</v>
      </c>
      <c r="AE1021" s="253">
        <v>48</v>
      </c>
      <c r="AF1021" s="253">
        <v>51</v>
      </c>
      <c r="AG1021" s="253">
        <v>48</v>
      </c>
      <c r="AH1021" s="253">
        <v>40</v>
      </c>
      <c r="AI1021" s="253">
        <v>40</v>
      </c>
      <c r="AJ1021" s="253">
        <v>39</v>
      </c>
      <c r="AK1021" s="253">
        <v>42</v>
      </c>
      <c r="AL1021" s="253">
        <v>51</v>
      </c>
      <c r="AM1021" s="253">
        <v>48</v>
      </c>
      <c r="AN1021" s="253">
        <v>42</v>
      </c>
      <c r="AO1021" s="277">
        <v>45</v>
      </c>
      <c r="AP1021" s="277">
        <v>45</v>
      </c>
      <c r="AQ1021" s="277">
        <v>71</v>
      </c>
      <c r="AR1021" s="277">
        <v>71</v>
      </c>
      <c r="AS1021" s="277">
        <v>80</v>
      </c>
      <c r="AT1021" s="277">
        <v>77</v>
      </c>
      <c r="AU1021" s="277">
        <v>84</v>
      </c>
      <c r="AV1021" s="277">
        <f t="shared" si="87"/>
        <v>84</v>
      </c>
      <c r="AX1021" s="88" t="str">
        <f t="shared" ca="1" si="86"/>
        <v>GM</v>
      </c>
    </row>
    <row r="1022" spans="1:50" hidden="1">
      <c r="A1022" s="88" t="str">
        <f t="shared" ca="1" si="85"/>
        <v>HPE</v>
      </c>
      <c r="C1022" s="1">
        <v>23</v>
      </c>
      <c r="F1022" s="257">
        <v>3075679</v>
      </c>
      <c r="G1022" s="257">
        <v>6963433</v>
      </c>
      <c r="H1022" s="257">
        <v>8092184</v>
      </c>
      <c r="I1022" s="257">
        <v>9611507</v>
      </c>
      <c r="J1022" s="257">
        <v>13029466</v>
      </c>
      <c r="K1022" s="257">
        <v>10686034</v>
      </c>
      <c r="L1022" s="257">
        <v>5429536</v>
      </c>
      <c r="M1022" s="257">
        <v>5440802</v>
      </c>
      <c r="N1022" s="257">
        <v>248</v>
      </c>
      <c r="O1022" s="257">
        <v>3943944</v>
      </c>
      <c r="P1022" s="257">
        <v>8198548</v>
      </c>
      <c r="Q1022" s="257">
        <v>5423339</v>
      </c>
      <c r="R1022" s="257">
        <v>6028033</v>
      </c>
      <c r="S1022" s="257">
        <v>7956170</v>
      </c>
      <c r="T1022" s="257">
        <v>10157068</v>
      </c>
      <c r="U1022" s="257">
        <v>43520902</v>
      </c>
      <c r="V1022" s="257">
        <v>18785216</v>
      </c>
      <c r="W1022" s="257">
        <v>18785740</v>
      </c>
      <c r="X1022" s="257">
        <v>12642465</v>
      </c>
      <c r="Y1022" s="257">
        <v>12552438</v>
      </c>
      <c r="Z1022" s="249">
        <f ca="1">[1]ExtEntry!$P23</f>
        <v>19914346</v>
      </c>
      <c r="AB1022" s="277">
        <v>42</v>
      </c>
      <c r="AC1022" s="277">
        <v>42</v>
      </c>
      <c r="AD1022" s="277">
        <v>48</v>
      </c>
      <c r="AE1022" s="253">
        <v>42</v>
      </c>
      <c r="AF1022" s="253">
        <v>40</v>
      </c>
      <c r="AG1022" s="253">
        <v>46</v>
      </c>
      <c r="AH1022" s="253">
        <v>53</v>
      </c>
      <c r="AI1022" s="253">
        <v>57</v>
      </c>
      <c r="AJ1022" s="253">
        <v>62</v>
      </c>
      <c r="AK1022" s="253">
        <v>64</v>
      </c>
      <c r="AL1022" s="253">
        <v>72</v>
      </c>
      <c r="AM1022" s="253">
        <v>78</v>
      </c>
      <c r="AN1022" s="253">
        <v>51</v>
      </c>
      <c r="AO1022" s="277">
        <v>57</v>
      </c>
      <c r="AP1022" s="277">
        <v>55</v>
      </c>
      <c r="AQ1022" s="277">
        <v>55</v>
      </c>
      <c r="AR1022" s="277">
        <v>51</v>
      </c>
      <c r="AS1022" s="277">
        <v>53</v>
      </c>
      <c r="AT1022" s="277">
        <v>54</v>
      </c>
      <c r="AU1022" s="277">
        <v>55</v>
      </c>
      <c r="AV1022" s="277">
        <f t="shared" si="87"/>
        <v>55</v>
      </c>
      <c r="AX1022" s="88" t="str">
        <f t="shared" ca="1" si="86"/>
        <v>HPE</v>
      </c>
    </row>
    <row r="1023" spans="1:50" hidden="1">
      <c r="A1023" s="88" t="str">
        <f t="shared" ca="1" si="85"/>
        <v>HPQ</v>
      </c>
      <c r="C1023" s="1">
        <v>24</v>
      </c>
      <c r="F1023" s="257">
        <v>6081420</v>
      </c>
      <c r="G1023" s="257">
        <v>22895369</v>
      </c>
      <c r="H1023" s="257">
        <v>27900350</v>
      </c>
      <c r="I1023" s="257">
        <v>17599006</v>
      </c>
      <c r="J1023" s="257">
        <v>20800025</v>
      </c>
      <c r="K1023" s="257">
        <v>21948915</v>
      </c>
      <c r="L1023" s="257">
        <v>29022282</v>
      </c>
      <c r="M1023" s="257">
        <v>20273245</v>
      </c>
      <c r="N1023" s="257">
        <v>1203</v>
      </c>
      <c r="O1023" s="257">
        <v>35155317</v>
      </c>
      <c r="P1023" s="257">
        <v>34412824</v>
      </c>
      <c r="Q1023" s="257">
        <v>36773333</v>
      </c>
      <c r="R1023" s="257">
        <v>78856890</v>
      </c>
      <c r="S1023" s="257">
        <v>65685507</v>
      </c>
      <c r="T1023" s="257">
        <v>60111869</v>
      </c>
      <c r="U1023" s="257">
        <v>81266299</v>
      </c>
      <c r="V1023" s="257">
        <v>50448518</v>
      </c>
      <c r="W1023" s="257">
        <v>50448477</v>
      </c>
      <c r="X1023" s="257">
        <v>30703225</v>
      </c>
      <c r="Y1023" s="257">
        <v>19993319</v>
      </c>
      <c r="Z1023" s="249">
        <f ca="1">[1]ExtEntry!$P24</f>
        <v>8626493</v>
      </c>
      <c r="AB1023" s="277">
        <v>23</v>
      </c>
      <c r="AC1023" s="277">
        <v>30</v>
      </c>
      <c r="AD1023" s="277">
        <v>29</v>
      </c>
      <c r="AE1023" s="253">
        <v>26</v>
      </c>
      <c r="AF1023" s="253">
        <v>30</v>
      </c>
      <c r="AG1023" s="253">
        <v>30</v>
      </c>
      <c r="AH1023" s="253">
        <v>33</v>
      </c>
      <c r="AI1023" s="253">
        <v>33</v>
      </c>
      <c r="AJ1023" s="253">
        <v>33</v>
      </c>
      <c r="AK1023" s="253">
        <v>53</v>
      </c>
      <c r="AL1023" s="253">
        <v>59</v>
      </c>
      <c r="AM1023" s="253">
        <v>70</v>
      </c>
      <c r="AN1023" s="253">
        <v>61</v>
      </c>
      <c r="AO1023" s="277">
        <v>64</v>
      </c>
      <c r="AP1023" s="277">
        <v>66</v>
      </c>
      <c r="AQ1023" s="277">
        <v>66</v>
      </c>
      <c r="AR1023" s="277">
        <v>66</v>
      </c>
      <c r="AS1023" s="277">
        <v>64</v>
      </c>
      <c r="AT1023" s="277">
        <v>64</v>
      </c>
      <c r="AU1023" s="277">
        <v>63</v>
      </c>
      <c r="AV1023" s="277">
        <f t="shared" si="87"/>
        <v>63</v>
      </c>
      <c r="AX1023" s="88" t="str">
        <f t="shared" ca="1" si="86"/>
        <v>HPQ</v>
      </c>
    </row>
    <row r="1024" spans="1:50" hidden="1">
      <c r="A1024" s="88" t="str">
        <f t="shared" ca="1" si="85"/>
        <v>IAG</v>
      </c>
      <c r="C1024" s="1">
        <v>25</v>
      </c>
      <c r="F1024" s="257">
        <v>2898166</v>
      </c>
      <c r="G1024" s="257">
        <v>7985453</v>
      </c>
      <c r="H1024" s="257">
        <v>14390314</v>
      </c>
      <c r="I1024" s="257">
        <v>10973362</v>
      </c>
      <c r="J1024" s="257">
        <v>10517495</v>
      </c>
      <c r="K1024" s="257">
        <v>14472822</v>
      </c>
      <c r="L1024" s="257">
        <v>20462556</v>
      </c>
      <c r="M1024" s="257">
        <v>10128084</v>
      </c>
      <c r="N1024" s="257">
        <v>722</v>
      </c>
      <c r="O1024" s="257">
        <v>13789040</v>
      </c>
      <c r="P1024" s="257">
        <v>20835127</v>
      </c>
      <c r="Q1024" s="257">
        <v>14127180</v>
      </c>
      <c r="R1024" s="257">
        <v>24744489</v>
      </c>
      <c r="S1024" s="257">
        <v>10955846</v>
      </c>
      <c r="T1024" s="257">
        <v>7029899</v>
      </c>
      <c r="U1024" s="257">
        <v>8058821</v>
      </c>
      <c r="V1024" s="257">
        <v>8806728</v>
      </c>
      <c r="W1024" s="257">
        <v>8806728</v>
      </c>
      <c r="X1024" s="257">
        <v>11798705</v>
      </c>
      <c r="Y1024" s="257">
        <v>8625885</v>
      </c>
      <c r="Z1024" s="249">
        <f ca="1">[1]ExtEntry!$P25</f>
        <v>14720617</v>
      </c>
      <c r="AB1024" s="277">
        <v>49</v>
      </c>
      <c r="AC1024" s="277">
        <v>52</v>
      </c>
      <c r="AD1024" s="277">
        <v>42</v>
      </c>
      <c r="AE1024" s="253">
        <v>47</v>
      </c>
      <c r="AF1024" s="253">
        <v>43</v>
      </c>
      <c r="AG1024" s="253">
        <v>50</v>
      </c>
      <c r="AH1024" s="253">
        <v>65</v>
      </c>
      <c r="AI1024" s="253">
        <v>73</v>
      </c>
      <c r="AJ1024" s="253">
        <v>67</v>
      </c>
      <c r="AK1024" s="253">
        <v>74</v>
      </c>
      <c r="AL1024" s="253">
        <v>72</v>
      </c>
      <c r="AM1024" s="253">
        <v>70</v>
      </c>
      <c r="AN1024" s="253">
        <v>71</v>
      </c>
      <c r="AO1024" s="277">
        <v>55</v>
      </c>
      <c r="AP1024" s="277">
        <v>57</v>
      </c>
      <c r="AQ1024" s="277">
        <v>54</v>
      </c>
      <c r="AR1024" s="277">
        <v>65</v>
      </c>
      <c r="AS1024" s="277">
        <v>66</v>
      </c>
      <c r="AT1024" s="277">
        <v>67</v>
      </c>
      <c r="AU1024" s="277">
        <v>69</v>
      </c>
      <c r="AV1024" s="277">
        <f t="shared" si="87"/>
        <v>69</v>
      </c>
      <c r="AX1024" s="88" t="str">
        <f t="shared" ca="1" si="86"/>
        <v>IAG</v>
      </c>
    </row>
    <row r="1025" spans="1:50" hidden="1">
      <c r="A1025" s="88" t="str">
        <f t="shared" ca="1" si="85"/>
        <v>KR</v>
      </c>
      <c r="C1025" s="1">
        <v>26</v>
      </c>
      <c r="F1025" s="257">
        <v>10873416</v>
      </c>
      <c r="G1025" s="257">
        <v>10887007</v>
      </c>
      <c r="H1025" s="257">
        <v>14955664</v>
      </c>
      <c r="I1025" s="257">
        <v>10404912</v>
      </c>
      <c r="J1025" s="257">
        <v>8000175</v>
      </c>
      <c r="K1025" s="257">
        <v>14884576</v>
      </c>
      <c r="L1025" s="257">
        <v>27636638</v>
      </c>
      <c r="M1025" s="257">
        <v>26579992</v>
      </c>
      <c r="N1025" s="257">
        <v>3644412</v>
      </c>
      <c r="O1025" s="257">
        <v>8302293</v>
      </c>
      <c r="P1025" s="257">
        <v>11820099</v>
      </c>
      <c r="Q1025" s="257">
        <v>13565027</v>
      </c>
      <c r="R1025" s="257">
        <v>9228094</v>
      </c>
      <c r="S1025" s="257">
        <v>12861926</v>
      </c>
      <c r="T1025" s="257">
        <v>8774463</v>
      </c>
      <c r="U1025" s="257">
        <v>7465571</v>
      </c>
      <c r="V1025" s="257">
        <v>12700368</v>
      </c>
      <c r="W1025" s="257">
        <v>12700368</v>
      </c>
      <c r="X1025" s="257">
        <v>9874009</v>
      </c>
      <c r="Y1025" s="257">
        <v>14720617</v>
      </c>
      <c r="Z1025" s="249">
        <f ca="1">[1]ExtEntry!$P26</f>
        <v>6073245</v>
      </c>
      <c r="AB1025" s="277">
        <v>36</v>
      </c>
      <c r="AC1025" s="277">
        <v>42</v>
      </c>
      <c r="AD1025" s="277">
        <v>30</v>
      </c>
      <c r="AE1025" s="253">
        <v>32</v>
      </c>
      <c r="AF1025" s="253">
        <v>35</v>
      </c>
      <c r="AG1025" s="253">
        <v>54</v>
      </c>
      <c r="AH1025" s="253">
        <v>67</v>
      </c>
      <c r="AI1025" s="253">
        <v>65</v>
      </c>
      <c r="AJ1025" s="253">
        <v>64</v>
      </c>
      <c r="AK1025" s="253">
        <v>66</v>
      </c>
      <c r="AL1025" s="253">
        <v>70</v>
      </c>
      <c r="AM1025" s="253">
        <v>69</v>
      </c>
      <c r="AN1025" s="253">
        <v>68</v>
      </c>
      <c r="AO1025" s="277">
        <v>68</v>
      </c>
      <c r="AP1025" s="277">
        <v>67</v>
      </c>
      <c r="AQ1025" s="277">
        <v>54</v>
      </c>
      <c r="AR1025" s="277">
        <v>63</v>
      </c>
      <c r="AS1025" s="277">
        <v>68</v>
      </c>
      <c r="AT1025" s="277">
        <v>68</v>
      </c>
      <c r="AU1025" s="277">
        <v>51</v>
      </c>
      <c r="AV1025" s="277">
        <f t="shared" si="87"/>
        <v>51</v>
      </c>
      <c r="AX1025" s="88" t="str">
        <f t="shared" ca="1" si="86"/>
        <v>KR</v>
      </c>
    </row>
    <row r="1026" spans="1:50" hidden="1">
      <c r="A1026" s="88" t="str">
        <f t="shared" ca="1" si="85"/>
        <v>LNSR</v>
      </c>
      <c r="C1026" s="1">
        <v>27</v>
      </c>
      <c r="F1026" s="257">
        <v>2300103</v>
      </c>
      <c r="G1026" s="257">
        <v>7564586</v>
      </c>
      <c r="H1026" s="257">
        <v>7838044</v>
      </c>
      <c r="I1026" s="257">
        <v>4430148</v>
      </c>
      <c r="J1026" s="257">
        <v>4201483</v>
      </c>
      <c r="K1026" s="257">
        <v>6765141</v>
      </c>
      <c r="L1026" s="257">
        <v>7286475</v>
      </c>
      <c r="M1026" s="257">
        <v>5810121</v>
      </c>
      <c r="N1026" s="257">
        <v>70</v>
      </c>
      <c r="O1026" s="257">
        <v>6362621</v>
      </c>
      <c r="P1026" s="257">
        <v>5924743</v>
      </c>
      <c r="Q1026" s="257">
        <v>3666668</v>
      </c>
      <c r="R1026" s="257">
        <v>4651473</v>
      </c>
      <c r="S1026" s="257">
        <v>5495028</v>
      </c>
      <c r="T1026" s="257">
        <v>4219077</v>
      </c>
      <c r="U1026" s="257">
        <v>5950162</v>
      </c>
      <c r="V1026" s="257">
        <v>6625625</v>
      </c>
      <c r="W1026" s="257">
        <v>6625640</v>
      </c>
      <c r="X1026" s="257">
        <v>5056900</v>
      </c>
      <c r="Y1026" s="257">
        <v>6067449</v>
      </c>
      <c r="Z1026" s="249">
        <f ca="1">[1]ExtEntry!$P27</f>
        <v>46780</v>
      </c>
      <c r="AB1026" s="277">
        <v>36</v>
      </c>
      <c r="AC1026" s="277">
        <v>40</v>
      </c>
      <c r="AD1026" s="277">
        <v>28</v>
      </c>
      <c r="AE1026" s="253">
        <v>35</v>
      </c>
      <c r="AF1026" s="253">
        <v>33</v>
      </c>
      <c r="AG1026" s="253">
        <v>32</v>
      </c>
      <c r="AH1026" s="253">
        <v>41</v>
      </c>
      <c r="AI1026" s="253">
        <v>37</v>
      </c>
      <c r="AJ1026" s="253">
        <v>35</v>
      </c>
      <c r="AK1026" s="253">
        <v>32</v>
      </c>
      <c r="AL1026" s="253">
        <v>36</v>
      </c>
      <c r="AM1026" s="253">
        <v>36</v>
      </c>
      <c r="AN1026" s="253">
        <v>44</v>
      </c>
      <c r="AO1026" s="277">
        <v>37</v>
      </c>
      <c r="AP1026" s="277">
        <v>53</v>
      </c>
      <c r="AQ1026" s="277">
        <v>50</v>
      </c>
      <c r="AR1026" s="277">
        <v>51</v>
      </c>
      <c r="AS1026" s="277">
        <v>46</v>
      </c>
      <c r="AT1026" s="277">
        <v>46</v>
      </c>
      <c r="AU1026" s="277">
        <v>46</v>
      </c>
      <c r="AV1026" s="277">
        <f t="shared" si="87"/>
        <v>46</v>
      </c>
      <c r="AX1026" s="88" t="str">
        <f t="shared" ca="1" si="86"/>
        <v>LNSR</v>
      </c>
    </row>
    <row r="1027" spans="1:50" hidden="1">
      <c r="A1027" s="88" t="str">
        <f t="shared" ca="1" si="85"/>
        <v>LUMN</v>
      </c>
      <c r="C1027" s="1">
        <v>28</v>
      </c>
      <c r="F1027" s="257">
        <v>8947</v>
      </c>
      <c r="G1027" s="257">
        <v>18034</v>
      </c>
      <c r="H1027" s="257">
        <v>39488</v>
      </c>
      <c r="I1027" s="257">
        <v>38155</v>
      </c>
      <c r="J1027" s="257">
        <v>35479</v>
      </c>
      <c r="K1027" s="257">
        <v>39773</v>
      </c>
      <c r="L1027" s="257">
        <v>15027</v>
      </c>
      <c r="M1027" s="257">
        <v>80855</v>
      </c>
      <c r="N1027" s="257">
        <v>80855</v>
      </c>
      <c r="O1027" s="257">
        <v>31783</v>
      </c>
      <c r="P1027" s="257">
        <v>53653</v>
      </c>
      <c r="Q1027" s="257">
        <v>38277</v>
      </c>
      <c r="R1027" s="257">
        <v>33668</v>
      </c>
      <c r="S1027" s="257">
        <v>36008</v>
      </c>
      <c r="T1027" s="257">
        <v>57996</v>
      </c>
      <c r="U1027" s="257">
        <v>61649</v>
      </c>
      <c r="V1027" s="257">
        <v>66233</v>
      </c>
      <c r="W1027" s="257">
        <v>66233</v>
      </c>
      <c r="X1027" s="257">
        <v>34351</v>
      </c>
      <c r="Y1027" s="257">
        <v>46780</v>
      </c>
      <c r="Z1027" s="249">
        <f ca="1">[1]ExtEntry!$P28</f>
        <v>24351182</v>
      </c>
      <c r="AB1027" s="277">
        <v>41</v>
      </c>
      <c r="AC1027" s="277">
        <v>47</v>
      </c>
      <c r="AD1027" s="277">
        <v>47</v>
      </c>
      <c r="AE1027" s="253">
        <v>56</v>
      </c>
      <c r="AF1027" s="253">
        <v>62</v>
      </c>
      <c r="AG1027" s="253">
        <v>63</v>
      </c>
      <c r="AH1027" s="253">
        <v>63</v>
      </c>
      <c r="AI1027" s="253">
        <v>60</v>
      </c>
      <c r="AJ1027" s="253">
        <v>57</v>
      </c>
      <c r="AK1027" s="253">
        <v>50</v>
      </c>
      <c r="AL1027" s="253">
        <v>61</v>
      </c>
      <c r="AM1027" s="253">
        <v>69</v>
      </c>
      <c r="AN1027" s="253">
        <v>58</v>
      </c>
      <c r="AO1027" s="277">
        <v>56</v>
      </c>
      <c r="AP1027" s="277">
        <v>62</v>
      </c>
      <c r="AQ1027" s="277">
        <v>59</v>
      </c>
      <c r="AR1027" s="277">
        <v>57</v>
      </c>
      <c r="AS1027" s="277">
        <v>48</v>
      </c>
      <c r="AT1027" s="277">
        <v>59</v>
      </c>
      <c r="AU1027" s="277">
        <v>67</v>
      </c>
      <c r="AV1027" s="277">
        <f t="shared" si="87"/>
        <v>67</v>
      </c>
      <c r="AX1027" s="88" t="str">
        <f t="shared" ca="1" si="86"/>
        <v>LUMN</v>
      </c>
    </row>
    <row r="1028" spans="1:50" hidden="1">
      <c r="A1028" s="88" t="str">
        <f t="shared" ca="1" si="85"/>
        <v>MRNA</v>
      </c>
      <c r="C1028" s="1">
        <v>29</v>
      </c>
      <c r="F1028" s="257">
        <v>4810282</v>
      </c>
      <c r="G1028" s="257">
        <v>15497364</v>
      </c>
      <c r="H1028" s="257">
        <v>12311771</v>
      </c>
      <c r="I1028" s="257">
        <v>15587810</v>
      </c>
      <c r="J1028" s="257">
        <v>12786580</v>
      </c>
      <c r="K1028" s="257">
        <v>15037963</v>
      </c>
      <c r="L1028" s="257">
        <v>8740507</v>
      </c>
      <c r="M1028" s="257">
        <v>9990112</v>
      </c>
      <c r="N1028" s="257">
        <v>5412</v>
      </c>
      <c r="O1028" s="257">
        <v>9424475</v>
      </c>
      <c r="P1028" s="257">
        <v>10913582</v>
      </c>
      <c r="Q1028" s="257">
        <v>9828245</v>
      </c>
      <c r="R1028" s="257">
        <v>9487455</v>
      </c>
      <c r="S1028" s="257">
        <v>9435985</v>
      </c>
      <c r="T1028" s="257">
        <v>8436961</v>
      </c>
      <c r="U1028" s="257">
        <v>10116861</v>
      </c>
      <c r="V1028" s="257">
        <v>12508438</v>
      </c>
      <c r="W1028" s="257">
        <v>12509266</v>
      </c>
      <c r="X1028" s="257">
        <v>24052730</v>
      </c>
      <c r="Y1028" s="257">
        <v>24250718</v>
      </c>
      <c r="Z1028" s="249">
        <f ca="1">[1]ExtEntry!$P29</f>
        <v>6494118</v>
      </c>
      <c r="AB1028" s="277">
        <v>55</v>
      </c>
      <c r="AC1028" s="277">
        <v>53</v>
      </c>
      <c r="AD1028" s="277">
        <v>72</v>
      </c>
      <c r="AE1028" s="253">
        <v>74</v>
      </c>
      <c r="AF1028" s="253">
        <v>73</v>
      </c>
      <c r="AG1028" s="253">
        <v>68</v>
      </c>
      <c r="AH1028" s="253">
        <v>69</v>
      </c>
      <c r="AI1028" s="253">
        <v>67</v>
      </c>
      <c r="AJ1028" s="253">
        <v>66</v>
      </c>
      <c r="AK1028" s="253">
        <v>57</v>
      </c>
      <c r="AL1028" s="253">
        <v>59</v>
      </c>
      <c r="AM1028" s="253">
        <v>66</v>
      </c>
      <c r="AN1028" s="253">
        <v>71</v>
      </c>
      <c r="AO1028" s="277">
        <v>63</v>
      </c>
      <c r="AP1028" s="277">
        <v>66</v>
      </c>
      <c r="AQ1028" s="277">
        <v>65</v>
      </c>
      <c r="AR1028" s="277">
        <v>53</v>
      </c>
      <c r="AS1028" s="277">
        <v>44</v>
      </c>
      <c r="AT1028" s="277">
        <v>40</v>
      </c>
      <c r="AU1028" s="277">
        <v>45</v>
      </c>
      <c r="AV1028" s="277">
        <f t="shared" si="87"/>
        <v>45</v>
      </c>
      <c r="AX1028" s="88" t="str">
        <f t="shared" ca="1" si="86"/>
        <v>MRNA</v>
      </c>
    </row>
    <row r="1029" spans="1:50" hidden="1">
      <c r="A1029" s="88" t="str">
        <f t="shared" ca="1" si="85"/>
        <v>MSFT</v>
      </c>
      <c r="C1029" s="1">
        <v>30</v>
      </c>
      <c r="F1029" s="257">
        <v>3940400</v>
      </c>
      <c r="G1029" s="257">
        <v>9609167</v>
      </c>
      <c r="H1029" s="257">
        <v>17565296</v>
      </c>
      <c r="I1029" s="257">
        <v>10045246</v>
      </c>
      <c r="J1029" s="257">
        <v>8116467</v>
      </c>
      <c r="K1029" s="257">
        <v>6067239</v>
      </c>
      <c r="L1029" s="257">
        <v>12296769</v>
      </c>
      <c r="M1029" s="257">
        <v>6844784</v>
      </c>
      <c r="N1029" s="257">
        <v>8876</v>
      </c>
      <c r="O1029" s="257">
        <v>8450075</v>
      </c>
      <c r="P1029" s="257">
        <v>6991828</v>
      </c>
      <c r="Q1029" s="257">
        <v>6350539</v>
      </c>
      <c r="R1029" s="257">
        <v>7845862</v>
      </c>
      <c r="S1029" s="257">
        <v>10115868</v>
      </c>
      <c r="T1029" s="257">
        <v>11486556</v>
      </c>
      <c r="U1029" s="257">
        <v>6124518</v>
      </c>
      <c r="V1029" s="257">
        <v>7168288</v>
      </c>
      <c r="W1029" s="257">
        <v>7210959</v>
      </c>
      <c r="X1029" s="257">
        <v>8709351</v>
      </c>
      <c r="Y1029" s="257">
        <v>6477352</v>
      </c>
      <c r="Z1029" s="249">
        <f ca="1">[1]ExtEntry!$P30</f>
        <v>15532360</v>
      </c>
      <c r="AB1029" s="277">
        <v>70</v>
      </c>
      <c r="AC1029" s="277">
        <v>71</v>
      </c>
      <c r="AD1029" s="277">
        <v>67</v>
      </c>
      <c r="AE1029" s="253">
        <v>61</v>
      </c>
      <c r="AF1029" s="253">
        <v>59</v>
      </c>
      <c r="AG1029" s="253">
        <v>61</v>
      </c>
      <c r="AH1029" s="253">
        <v>63</v>
      </c>
      <c r="AI1029" s="253">
        <v>53</v>
      </c>
      <c r="AJ1029" s="253">
        <v>39</v>
      </c>
      <c r="AK1029" s="253">
        <v>47</v>
      </c>
      <c r="AL1029" s="253">
        <v>53</v>
      </c>
      <c r="AM1029" s="253">
        <v>50</v>
      </c>
      <c r="AN1029" s="253">
        <v>52</v>
      </c>
      <c r="AO1029" s="277">
        <v>48</v>
      </c>
      <c r="AP1029" s="277">
        <v>48</v>
      </c>
      <c r="AQ1029" s="277">
        <v>44</v>
      </c>
      <c r="AR1029" s="277">
        <v>46</v>
      </c>
      <c r="AS1029" s="277">
        <v>57</v>
      </c>
      <c r="AT1029" s="277">
        <v>55</v>
      </c>
      <c r="AU1029" s="277">
        <v>69</v>
      </c>
      <c r="AV1029" s="277">
        <f t="shared" si="87"/>
        <v>69</v>
      </c>
      <c r="AX1029" s="88" t="str">
        <f t="shared" ca="1" si="86"/>
        <v>MSFT</v>
      </c>
    </row>
    <row r="1030" spans="1:50" hidden="1">
      <c r="A1030" s="88" t="str">
        <f t="shared" ca="1" si="85"/>
        <v>NEE</v>
      </c>
      <c r="C1030" s="1">
        <v>31</v>
      </c>
      <c r="F1030" s="257">
        <v>7642754</v>
      </c>
      <c r="G1030" s="257">
        <v>19699974</v>
      </c>
      <c r="H1030" s="257">
        <v>22610101</v>
      </c>
      <c r="I1030" s="257">
        <v>21178310</v>
      </c>
      <c r="J1030" s="257">
        <v>15099786</v>
      </c>
      <c r="K1030" s="257">
        <v>14602962</v>
      </c>
      <c r="L1030" s="257">
        <v>13345569</v>
      </c>
      <c r="M1030" s="257">
        <v>18324730</v>
      </c>
      <c r="N1030" s="257">
        <v>30067</v>
      </c>
      <c r="O1030" s="257">
        <v>14192577</v>
      </c>
      <c r="P1030" s="257">
        <v>13515274</v>
      </c>
      <c r="Q1030" s="257">
        <v>9083441</v>
      </c>
      <c r="R1030" s="257">
        <v>15305950</v>
      </c>
      <c r="S1030" s="257">
        <v>19867765</v>
      </c>
      <c r="T1030" s="257">
        <v>14645576</v>
      </c>
      <c r="U1030" s="257">
        <v>15566026</v>
      </c>
      <c r="V1030" s="257">
        <v>18170937</v>
      </c>
      <c r="W1030" s="257">
        <v>18171642</v>
      </c>
      <c r="X1030" s="257">
        <v>13976747</v>
      </c>
      <c r="Y1030" s="257">
        <v>15475966</v>
      </c>
      <c r="Z1030" s="249">
        <f ca="1">[1]ExtEntry!$P31</f>
        <v>6249998</v>
      </c>
      <c r="AB1030" s="277">
        <v>75</v>
      </c>
      <c r="AC1030" s="277">
        <v>68</v>
      </c>
      <c r="AD1030" s="277">
        <v>76</v>
      </c>
      <c r="AE1030" s="253">
        <v>72</v>
      </c>
      <c r="AF1030" s="253">
        <v>77</v>
      </c>
      <c r="AG1030" s="253">
        <v>88</v>
      </c>
      <c r="AH1030" s="253">
        <v>88</v>
      </c>
      <c r="AI1030" s="253">
        <v>86</v>
      </c>
      <c r="AJ1030" s="253">
        <v>84</v>
      </c>
      <c r="AK1030" s="253">
        <v>83</v>
      </c>
      <c r="AL1030" s="253">
        <v>84</v>
      </c>
      <c r="AM1030" s="253">
        <v>84</v>
      </c>
      <c r="AN1030" s="253">
        <v>78</v>
      </c>
      <c r="AO1030" s="277">
        <v>73</v>
      </c>
      <c r="AP1030" s="277">
        <v>75</v>
      </c>
      <c r="AQ1030" s="277">
        <v>75</v>
      </c>
      <c r="AR1030" s="277">
        <v>59</v>
      </c>
      <c r="AS1030" s="277">
        <v>56</v>
      </c>
      <c r="AT1030" s="277">
        <v>50</v>
      </c>
      <c r="AU1030" s="277">
        <v>50</v>
      </c>
      <c r="AV1030" s="277">
        <f t="shared" si="87"/>
        <v>50</v>
      </c>
      <c r="AX1030" s="88" t="str">
        <f t="shared" ca="1" si="86"/>
        <v>NEE</v>
      </c>
    </row>
    <row r="1031" spans="1:50" hidden="1">
      <c r="A1031" s="88" t="str">
        <f t="shared" ca="1" si="85"/>
        <v>NEM</v>
      </c>
      <c r="C1031" s="1">
        <v>32</v>
      </c>
      <c r="F1031" s="257">
        <v>3354538</v>
      </c>
      <c r="G1031" s="257">
        <v>9391651</v>
      </c>
      <c r="H1031" s="257">
        <v>15042251</v>
      </c>
      <c r="I1031" s="257">
        <v>9263838</v>
      </c>
      <c r="J1031" s="257">
        <v>12106406</v>
      </c>
      <c r="K1031" s="257">
        <v>16108735</v>
      </c>
      <c r="L1031" s="257">
        <v>13772952</v>
      </c>
      <c r="M1031" s="257">
        <v>7484343</v>
      </c>
      <c r="N1031" s="257">
        <v>2520</v>
      </c>
      <c r="O1031" s="257">
        <v>8375770</v>
      </c>
      <c r="P1031" s="257">
        <v>8549045</v>
      </c>
      <c r="Q1031" s="257">
        <v>6543723</v>
      </c>
      <c r="R1031" s="257">
        <v>8324656</v>
      </c>
      <c r="S1031" s="257">
        <v>9142163</v>
      </c>
      <c r="T1031" s="257">
        <v>5223343</v>
      </c>
      <c r="U1031" s="257">
        <v>7279565</v>
      </c>
      <c r="V1031" s="257">
        <v>9204708</v>
      </c>
      <c r="W1031" s="257">
        <v>9204711</v>
      </c>
      <c r="X1031" s="257">
        <v>5627058</v>
      </c>
      <c r="Y1031" s="257">
        <v>6243997</v>
      </c>
      <c r="Z1031" s="249">
        <f ca="1">[1]ExtEntry!$P32</f>
        <v>21379072</v>
      </c>
      <c r="AB1031" s="277">
        <v>78</v>
      </c>
      <c r="AC1031" s="277">
        <v>75</v>
      </c>
      <c r="AD1031" s="277">
        <v>79</v>
      </c>
      <c r="AE1031" s="253">
        <v>84</v>
      </c>
      <c r="AF1031" s="253">
        <v>84</v>
      </c>
      <c r="AG1031" s="253">
        <v>78</v>
      </c>
      <c r="AH1031" s="253">
        <v>82</v>
      </c>
      <c r="AI1031" s="253">
        <v>63</v>
      </c>
      <c r="AJ1031" s="253">
        <v>45</v>
      </c>
      <c r="AK1031" s="253">
        <v>53</v>
      </c>
      <c r="AL1031" s="253">
        <v>53</v>
      </c>
      <c r="AM1031" s="253">
        <v>63</v>
      </c>
      <c r="AN1031" s="253">
        <v>69</v>
      </c>
      <c r="AO1031" s="277">
        <v>51</v>
      </c>
      <c r="AP1031" s="277">
        <v>57</v>
      </c>
      <c r="AQ1031" s="277">
        <v>46</v>
      </c>
      <c r="AR1031" s="277">
        <v>45</v>
      </c>
      <c r="AS1031" s="277">
        <v>46</v>
      </c>
      <c r="AT1031" s="277">
        <v>47</v>
      </c>
      <c r="AU1031" s="277">
        <v>43</v>
      </c>
      <c r="AV1031" s="277">
        <f t="shared" si="87"/>
        <v>43</v>
      </c>
      <c r="AX1031" s="88" t="str">
        <f t="shared" ca="1" si="86"/>
        <v>NEM</v>
      </c>
    </row>
    <row r="1032" spans="1:50" hidden="1">
      <c r="A1032" s="88" t="str">
        <f t="shared" ca="1" si="85"/>
        <v>NFLX</v>
      </c>
      <c r="C1032" s="1">
        <v>33</v>
      </c>
      <c r="F1032" s="257">
        <v>7754436</v>
      </c>
      <c r="G1032" s="257">
        <v>13154393</v>
      </c>
      <c r="H1032" s="257">
        <v>11295179</v>
      </c>
      <c r="I1032" s="257">
        <v>12111740</v>
      </c>
      <c r="J1032" s="257">
        <v>7788545</v>
      </c>
      <c r="K1032" s="257">
        <v>9037609</v>
      </c>
      <c r="L1032" s="257">
        <v>10162210</v>
      </c>
      <c r="M1032" s="257">
        <v>10640169</v>
      </c>
      <c r="N1032" s="257">
        <v>18567</v>
      </c>
      <c r="O1032" s="257">
        <v>9603471</v>
      </c>
      <c r="P1032" s="257">
        <v>8880879</v>
      </c>
      <c r="Q1032" s="257">
        <v>6986434</v>
      </c>
      <c r="R1032" s="257">
        <v>12832182</v>
      </c>
      <c r="S1032" s="257">
        <v>19714197</v>
      </c>
      <c r="T1032" s="257">
        <v>11827971</v>
      </c>
      <c r="U1032" s="257">
        <v>16936553</v>
      </c>
      <c r="V1032" s="257">
        <v>15253288</v>
      </c>
      <c r="W1032" s="257">
        <v>15253349</v>
      </c>
      <c r="X1032" s="257">
        <v>14489558</v>
      </c>
      <c r="Y1032" s="257">
        <v>21332836</v>
      </c>
      <c r="Z1032" s="249">
        <f ca="1">[1]ExtEntry!$P33</f>
        <v>6028025</v>
      </c>
      <c r="AB1032" s="277">
        <v>36</v>
      </c>
      <c r="AC1032" s="277">
        <v>46</v>
      </c>
      <c r="AD1032" s="277">
        <v>41</v>
      </c>
      <c r="AE1032" s="253">
        <v>37</v>
      </c>
      <c r="AF1032" s="253">
        <v>29</v>
      </c>
      <c r="AG1032" s="253">
        <v>41</v>
      </c>
      <c r="AH1032" s="253">
        <v>53</v>
      </c>
      <c r="AI1032" s="253">
        <v>53</v>
      </c>
      <c r="AJ1032" s="253">
        <v>52</v>
      </c>
      <c r="AK1032" s="253">
        <v>52</v>
      </c>
      <c r="AL1032" s="253">
        <v>53</v>
      </c>
      <c r="AM1032" s="253">
        <v>55</v>
      </c>
      <c r="AN1032" s="253">
        <v>48</v>
      </c>
      <c r="AO1032" s="277">
        <v>52</v>
      </c>
      <c r="AP1032" s="277">
        <v>62</v>
      </c>
      <c r="AQ1032" s="277">
        <v>64</v>
      </c>
      <c r="AR1032" s="277">
        <v>43</v>
      </c>
      <c r="AS1032" s="277">
        <v>32</v>
      </c>
      <c r="AT1032" s="277">
        <v>33</v>
      </c>
      <c r="AU1032" s="277">
        <v>27</v>
      </c>
      <c r="AV1032" s="277">
        <f t="shared" si="87"/>
        <v>27</v>
      </c>
      <c r="AX1032" s="88" t="str">
        <f t="shared" ca="1" si="86"/>
        <v>NFLX</v>
      </c>
    </row>
    <row r="1033" spans="1:50" hidden="1">
      <c r="A1033" s="88" t="str">
        <f t="shared" ca="1" si="85"/>
        <v>NOTE</v>
      </c>
      <c r="C1033" s="1">
        <v>34</v>
      </c>
      <c r="F1033" s="257">
        <v>1693643</v>
      </c>
      <c r="G1033" s="257">
        <v>3822304</v>
      </c>
      <c r="H1033" s="257">
        <v>4102262</v>
      </c>
      <c r="I1033" s="257">
        <v>4677635</v>
      </c>
      <c r="J1033" s="257">
        <v>3131635</v>
      </c>
      <c r="K1033" s="257">
        <v>3306698</v>
      </c>
      <c r="L1033" s="257">
        <v>2848282</v>
      </c>
      <c r="M1033" s="257">
        <v>2821657</v>
      </c>
      <c r="N1033" s="257">
        <v>3050</v>
      </c>
      <c r="O1033" s="257">
        <v>2283774</v>
      </c>
      <c r="P1033" s="257">
        <v>2276456</v>
      </c>
      <c r="Q1033" s="257">
        <v>1390538</v>
      </c>
      <c r="R1033" s="257">
        <v>2822012</v>
      </c>
      <c r="S1033" s="257">
        <v>2957101</v>
      </c>
      <c r="T1033" s="257">
        <v>3962919</v>
      </c>
      <c r="U1033" s="257">
        <v>6010040</v>
      </c>
      <c r="V1033" s="257">
        <v>14560558</v>
      </c>
      <c r="W1033" s="257">
        <v>14562100</v>
      </c>
      <c r="X1033" s="257">
        <v>6828115</v>
      </c>
      <c r="Y1033" s="257">
        <v>5992056</v>
      </c>
      <c r="Z1033" s="249">
        <f ca="1">[1]ExtEntry!$P34</f>
        <v>200517</v>
      </c>
      <c r="AB1033" s="277">
        <v>27</v>
      </c>
      <c r="AC1033" s="277">
        <v>26</v>
      </c>
      <c r="AD1033" s="277">
        <v>35</v>
      </c>
      <c r="AE1033" s="253">
        <v>48</v>
      </c>
      <c r="AF1033" s="253">
        <v>57</v>
      </c>
      <c r="AG1033" s="253">
        <v>55</v>
      </c>
      <c r="AH1033" s="253">
        <v>57</v>
      </c>
      <c r="AI1033" s="253">
        <v>51</v>
      </c>
      <c r="AJ1033" s="253">
        <v>47</v>
      </c>
      <c r="AK1033" s="253">
        <v>36</v>
      </c>
      <c r="AL1033" s="253">
        <v>41</v>
      </c>
      <c r="AM1033" s="253">
        <v>41</v>
      </c>
      <c r="AN1033" s="253">
        <v>39</v>
      </c>
      <c r="AO1033" s="277">
        <v>39</v>
      </c>
      <c r="AP1033" s="277">
        <v>43</v>
      </c>
      <c r="AQ1033" s="277">
        <v>44</v>
      </c>
      <c r="AR1033" s="277">
        <v>39</v>
      </c>
      <c r="AS1033" s="277">
        <v>28</v>
      </c>
      <c r="AT1033" s="277">
        <v>29</v>
      </c>
      <c r="AU1033" s="277">
        <v>29</v>
      </c>
      <c r="AV1033" s="277">
        <f t="shared" si="87"/>
        <v>29</v>
      </c>
      <c r="AX1033" s="88" t="str">
        <f t="shared" ca="1" si="86"/>
        <v>NOTE</v>
      </c>
    </row>
    <row r="1034" spans="1:50" hidden="1">
      <c r="A1034" s="88" t="str">
        <f t="shared" ca="1" si="85"/>
        <v>PAAS</v>
      </c>
      <c r="C1034" s="1">
        <v>35</v>
      </c>
      <c r="F1034" s="257">
        <v>101488</v>
      </c>
      <c r="G1034" s="257">
        <v>140239</v>
      </c>
      <c r="H1034" s="257">
        <v>132615</v>
      </c>
      <c r="I1034" s="257">
        <v>228705</v>
      </c>
      <c r="J1034" s="257">
        <v>507881</v>
      </c>
      <c r="K1034" s="257">
        <v>271038</v>
      </c>
      <c r="L1034" s="257">
        <v>262851</v>
      </c>
      <c r="M1034" s="257">
        <v>344430</v>
      </c>
      <c r="N1034" s="257">
        <v>865</v>
      </c>
      <c r="O1034" s="257">
        <v>275403</v>
      </c>
      <c r="P1034" s="257">
        <v>240459</v>
      </c>
      <c r="Q1034" s="257">
        <v>236389</v>
      </c>
      <c r="R1034" s="257">
        <v>370100</v>
      </c>
      <c r="S1034" s="257">
        <v>252235</v>
      </c>
      <c r="T1034" s="257">
        <v>185186</v>
      </c>
      <c r="U1034" s="257">
        <v>130661</v>
      </c>
      <c r="V1034" s="257">
        <v>190659</v>
      </c>
      <c r="W1034" s="257">
        <v>190659</v>
      </c>
      <c r="X1034" s="257">
        <v>187599</v>
      </c>
      <c r="Y1034" s="257">
        <v>200250</v>
      </c>
      <c r="Z1034" s="249">
        <f ca="1">[1]ExtEntry!$P35</f>
        <v>3916015</v>
      </c>
      <c r="AB1034" s="277">
        <v>76</v>
      </c>
      <c r="AC1034" s="277">
        <v>75</v>
      </c>
      <c r="AD1034" s="277">
        <v>77</v>
      </c>
      <c r="AE1034" s="253">
        <v>74</v>
      </c>
      <c r="AF1034" s="253">
        <v>72</v>
      </c>
      <c r="AG1034" s="253">
        <v>74</v>
      </c>
      <c r="AH1034" s="253">
        <v>76</v>
      </c>
      <c r="AI1034" s="253">
        <v>64</v>
      </c>
      <c r="AJ1034" s="253">
        <v>52</v>
      </c>
      <c r="AK1034" s="253">
        <v>58</v>
      </c>
      <c r="AL1034" s="253">
        <v>50</v>
      </c>
      <c r="AM1034" s="253">
        <v>62</v>
      </c>
      <c r="AN1034" s="253">
        <v>63</v>
      </c>
      <c r="AO1034" s="277">
        <v>44</v>
      </c>
      <c r="AP1034" s="277">
        <v>45</v>
      </c>
      <c r="AQ1034" s="277">
        <v>35</v>
      </c>
      <c r="AR1034" s="277">
        <v>35</v>
      </c>
      <c r="AS1034" s="277">
        <v>37</v>
      </c>
      <c r="AT1034" s="277">
        <v>38</v>
      </c>
      <c r="AU1034" s="277">
        <v>40</v>
      </c>
      <c r="AV1034" s="277">
        <f t="shared" si="87"/>
        <v>40</v>
      </c>
      <c r="AX1034" s="88" t="str">
        <f t="shared" ca="1" si="86"/>
        <v>PAAS</v>
      </c>
    </row>
    <row r="1035" spans="1:50" hidden="1">
      <c r="A1035" s="88" t="str">
        <f t="shared" ca="1" si="85"/>
        <v>PROF</v>
      </c>
      <c r="C1035" s="1">
        <v>36</v>
      </c>
      <c r="F1035" s="257">
        <v>3296724</v>
      </c>
      <c r="G1035" s="257">
        <v>6387583</v>
      </c>
      <c r="H1035" s="257">
        <v>6093306</v>
      </c>
      <c r="I1035" s="257">
        <v>6455593</v>
      </c>
      <c r="J1035" s="257">
        <v>4568323</v>
      </c>
      <c r="K1035" s="257">
        <v>4217667</v>
      </c>
      <c r="L1035" s="257">
        <v>8119519</v>
      </c>
      <c r="M1035" s="257">
        <v>9586288</v>
      </c>
      <c r="N1035" s="257">
        <v>20573</v>
      </c>
      <c r="O1035" s="257">
        <v>7541427</v>
      </c>
      <c r="P1035" s="257">
        <v>7586796</v>
      </c>
      <c r="Q1035" s="257">
        <v>5568718</v>
      </c>
      <c r="R1035" s="257">
        <v>7388701</v>
      </c>
      <c r="S1035" s="257">
        <v>9494958</v>
      </c>
      <c r="T1035" s="257">
        <v>5071188</v>
      </c>
      <c r="U1035" s="257">
        <v>10015121</v>
      </c>
      <c r="V1035" s="257">
        <v>6972915</v>
      </c>
      <c r="W1035" s="257">
        <v>6972990</v>
      </c>
      <c r="X1035" s="257">
        <v>3552609</v>
      </c>
      <c r="Y1035" s="257">
        <v>3903358</v>
      </c>
      <c r="Z1035" s="249">
        <f ca="1">[1]ExtEntry!$P36</f>
        <v>102097</v>
      </c>
      <c r="AB1035" s="277">
        <v>80</v>
      </c>
      <c r="AC1035" s="277">
        <v>73</v>
      </c>
      <c r="AD1035" s="277">
        <v>73</v>
      </c>
      <c r="AE1035" s="253">
        <v>76</v>
      </c>
      <c r="AF1035" s="253">
        <v>79</v>
      </c>
      <c r="AG1035" s="253">
        <v>85</v>
      </c>
      <c r="AH1035" s="253">
        <v>85</v>
      </c>
      <c r="AI1035" s="253">
        <v>81</v>
      </c>
      <c r="AJ1035" s="253">
        <v>78</v>
      </c>
      <c r="AK1035" s="253">
        <v>79</v>
      </c>
      <c r="AL1035" s="253">
        <v>70</v>
      </c>
      <c r="AM1035" s="253">
        <v>62</v>
      </c>
      <c r="AN1035" s="253">
        <v>63</v>
      </c>
      <c r="AO1035" s="277">
        <v>61</v>
      </c>
      <c r="AP1035" s="277">
        <v>67</v>
      </c>
      <c r="AQ1035" s="277">
        <v>72</v>
      </c>
      <c r="AR1035" s="277">
        <v>62</v>
      </c>
      <c r="AS1035" s="277">
        <v>50</v>
      </c>
      <c r="AT1035" s="277">
        <v>43</v>
      </c>
      <c r="AU1035" s="277">
        <v>33</v>
      </c>
      <c r="AV1035" s="277">
        <f t="shared" si="87"/>
        <v>33</v>
      </c>
      <c r="AX1035" s="88" t="str">
        <f t="shared" ca="1" si="86"/>
        <v>PROF</v>
      </c>
    </row>
    <row r="1036" spans="1:50" hidden="1">
      <c r="A1036" s="88" t="str">
        <f t="shared" ca="1" si="85"/>
        <v>POET</v>
      </c>
      <c r="C1036" s="1">
        <v>37</v>
      </c>
      <c r="F1036" s="257">
        <v>17693</v>
      </c>
      <c r="G1036" s="257">
        <v>44809</v>
      </c>
      <c r="H1036" s="257">
        <v>47825</v>
      </c>
      <c r="I1036" s="257">
        <v>99012</v>
      </c>
      <c r="J1036" s="257">
        <v>58589</v>
      </c>
      <c r="K1036" s="257">
        <v>191390</v>
      </c>
      <c r="L1036" s="257">
        <v>188602</v>
      </c>
      <c r="M1036" s="257">
        <v>206659</v>
      </c>
      <c r="N1036" s="257">
        <v>206659</v>
      </c>
      <c r="O1036" s="257">
        <v>43706</v>
      </c>
      <c r="P1036" s="257">
        <v>66018</v>
      </c>
      <c r="Q1036" s="257">
        <v>34720</v>
      </c>
      <c r="R1036" s="257">
        <v>54125</v>
      </c>
      <c r="S1036" s="257">
        <v>12877</v>
      </c>
      <c r="T1036" s="257">
        <v>48591</v>
      </c>
      <c r="U1036" s="257">
        <v>21341</v>
      </c>
      <c r="V1036" s="257">
        <v>64222</v>
      </c>
      <c r="W1036" s="257">
        <v>64222</v>
      </c>
      <c r="X1036" s="257">
        <v>41970</v>
      </c>
      <c r="Y1036" s="257">
        <v>102097</v>
      </c>
      <c r="Z1036" s="249">
        <f ca="1">[1]ExtEntry!$P37</f>
        <v>19277803</v>
      </c>
      <c r="AB1036" s="277">
        <v>40</v>
      </c>
      <c r="AC1036" s="277">
        <v>46</v>
      </c>
      <c r="AD1036" s="277">
        <v>55</v>
      </c>
      <c r="AE1036" s="253">
        <v>65</v>
      </c>
      <c r="AF1036" s="253">
        <v>61</v>
      </c>
      <c r="AG1036" s="253">
        <v>74</v>
      </c>
      <c r="AH1036" s="253">
        <v>79</v>
      </c>
      <c r="AI1036" s="253">
        <v>75</v>
      </c>
      <c r="AJ1036" s="253">
        <v>71</v>
      </c>
      <c r="AK1036" s="253">
        <v>75</v>
      </c>
      <c r="AL1036" s="253">
        <v>75</v>
      </c>
      <c r="AM1036" s="253">
        <v>68</v>
      </c>
      <c r="AN1036" s="253">
        <v>61</v>
      </c>
      <c r="AO1036" s="277">
        <v>60</v>
      </c>
      <c r="AP1036" s="277">
        <v>65</v>
      </c>
      <c r="AQ1036" s="277">
        <v>64</v>
      </c>
      <c r="AR1036" s="277">
        <v>62</v>
      </c>
      <c r="AS1036" s="277">
        <v>59</v>
      </c>
      <c r="AT1036" s="277">
        <v>60</v>
      </c>
      <c r="AU1036" s="277">
        <v>57</v>
      </c>
      <c r="AV1036" s="277">
        <f t="shared" si="87"/>
        <v>57</v>
      </c>
      <c r="AX1036" s="88" t="str">
        <f t="shared" ca="1" si="86"/>
        <v>POET</v>
      </c>
    </row>
    <row r="1037" spans="1:50" hidden="1">
      <c r="A1037" s="88" t="str">
        <f t="shared" ca="1" si="85"/>
        <v>PW</v>
      </c>
      <c r="C1037" s="1">
        <v>38</v>
      </c>
      <c r="F1037" s="257">
        <v>3600918</v>
      </c>
      <c r="G1037" s="257">
        <v>3110555</v>
      </c>
      <c r="H1037" s="257">
        <v>4349138</v>
      </c>
      <c r="I1037" s="257">
        <v>5962619</v>
      </c>
      <c r="J1037" s="257">
        <v>4319680</v>
      </c>
      <c r="K1037" s="257">
        <v>39477800</v>
      </c>
      <c r="L1037" s="257">
        <v>58776013</v>
      </c>
      <c r="M1037" s="257">
        <v>32255995</v>
      </c>
      <c r="N1037" s="257">
        <v>74531</v>
      </c>
      <c r="O1037" s="257">
        <v>18171631</v>
      </c>
      <c r="P1037" s="257">
        <v>19885958</v>
      </c>
      <c r="Q1037" s="257">
        <v>18650859</v>
      </c>
      <c r="R1037" s="257">
        <v>12646600</v>
      </c>
      <c r="S1037" s="257">
        <v>10389874</v>
      </c>
      <c r="T1037" s="257">
        <v>12165392</v>
      </c>
      <c r="U1037" s="257">
        <v>11627678</v>
      </c>
      <c r="V1037" s="257">
        <v>24951954</v>
      </c>
      <c r="W1037" s="257">
        <v>24953211</v>
      </c>
      <c r="X1037" s="257">
        <v>11086274</v>
      </c>
      <c r="Y1037" s="257">
        <v>19173926</v>
      </c>
      <c r="Z1037" s="249">
        <f ca="1">[1]ExtEntry!$P38</f>
        <v>339555</v>
      </c>
      <c r="AB1037" s="277">
        <v>60</v>
      </c>
      <c r="AC1037" s="277">
        <v>48</v>
      </c>
      <c r="AD1037" s="277">
        <v>47</v>
      </c>
      <c r="AE1037" s="253">
        <v>50</v>
      </c>
      <c r="AF1037" s="253">
        <v>47</v>
      </c>
      <c r="AG1037" s="253">
        <v>49</v>
      </c>
      <c r="AH1037" s="253">
        <v>50</v>
      </c>
      <c r="AI1037" s="253">
        <v>50</v>
      </c>
      <c r="AJ1037" s="253">
        <v>49</v>
      </c>
      <c r="AK1037" s="253">
        <v>44</v>
      </c>
      <c r="AL1037" s="253">
        <v>37</v>
      </c>
      <c r="AM1037" s="253">
        <v>40</v>
      </c>
      <c r="AN1037" s="253">
        <v>39</v>
      </c>
      <c r="AO1037" s="277">
        <v>24</v>
      </c>
      <c r="AP1037" s="277">
        <v>10</v>
      </c>
      <c r="AQ1037" s="277">
        <v>11</v>
      </c>
      <c r="AR1037" s="277">
        <v>10</v>
      </c>
      <c r="AS1037" s="277">
        <v>3</v>
      </c>
      <c r="AT1037" s="277">
        <v>4</v>
      </c>
      <c r="AU1037" s="277">
        <v>13</v>
      </c>
      <c r="AV1037" s="277">
        <f t="shared" si="87"/>
        <v>13</v>
      </c>
      <c r="AX1037" s="88" t="str">
        <f t="shared" ca="1" si="86"/>
        <v>PW</v>
      </c>
    </row>
    <row r="1038" spans="1:50" hidden="1">
      <c r="A1038" s="88" t="str">
        <f t="shared" ca="1" si="85"/>
        <v>RIGL</v>
      </c>
      <c r="C1038" s="1">
        <v>39</v>
      </c>
      <c r="F1038" s="257">
        <v>65292</v>
      </c>
      <c r="G1038" s="257">
        <v>40421</v>
      </c>
      <c r="H1038" s="257">
        <v>49733</v>
      </c>
      <c r="I1038" s="257">
        <v>62305</v>
      </c>
      <c r="J1038" s="257">
        <v>31024</v>
      </c>
      <c r="K1038" s="257">
        <v>38128</v>
      </c>
      <c r="L1038" s="257">
        <v>96174</v>
      </c>
      <c r="M1038" s="257">
        <v>73201</v>
      </c>
      <c r="N1038" s="257">
        <v>73245</v>
      </c>
      <c r="O1038" s="257">
        <v>61557</v>
      </c>
      <c r="P1038" s="257">
        <v>78690</v>
      </c>
      <c r="Q1038" s="257">
        <v>19586</v>
      </c>
      <c r="R1038" s="257">
        <v>65236</v>
      </c>
      <c r="S1038" s="257">
        <v>69860</v>
      </c>
      <c r="T1038" s="257">
        <v>20369</v>
      </c>
      <c r="U1038" s="257">
        <v>55658</v>
      </c>
      <c r="V1038" s="257">
        <v>62856</v>
      </c>
      <c r="W1038" s="257">
        <v>62856</v>
      </c>
      <c r="X1038" s="257">
        <v>176542</v>
      </c>
      <c r="Y1038" s="257">
        <v>328683</v>
      </c>
      <c r="Z1038" s="249">
        <f ca="1">[1]ExtEntry!$P39</f>
        <v>297483</v>
      </c>
      <c r="AB1038" s="277">
        <v>21</v>
      </c>
      <c r="AC1038" s="277">
        <v>12</v>
      </c>
      <c r="AD1038" s="277">
        <v>11</v>
      </c>
      <c r="AE1038" s="253">
        <v>11</v>
      </c>
      <c r="AF1038" s="253">
        <v>15</v>
      </c>
      <c r="AG1038" s="253">
        <v>25</v>
      </c>
      <c r="AH1038" s="253">
        <v>15</v>
      </c>
      <c r="AI1038" s="253">
        <v>15</v>
      </c>
      <c r="AJ1038" s="253">
        <v>15</v>
      </c>
      <c r="AK1038" s="253">
        <v>10</v>
      </c>
      <c r="AL1038" s="253">
        <v>16</v>
      </c>
      <c r="AM1038" s="253">
        <v>32</v>
      </c>
      <c r="AN1038" s="253">
        <v>40</v>
      </c>
      <c r="AO1038" s="277">
        <v>39</v>
      </c>
      <c r="AP1038" s="277">
        <v>51</v>
      </c>
      <c r="AQ1038" s="277">
        <v>59</v>
      </c>
      <c r="AR1038" s="277">
        <v>62</v>
      </c>
      <c r="AS1038" s="277">
        <v>64</v>
      </c>
      <c r="AT1038" s="277">
        <v>53</v>
      </c>
      <c r="AU1038" s="277">
        <v>54</v>
      </c>
      <c r="AV1038" s="277">
        <f t="shared" si="87"/>
        <v>54</v>
      </c>
      <c r="AX1038" s="88" t="str">
        <f t="shared" ca="1" si="86"/>
        <v>RIGL</v>
      </c>
    </row>
    <row r="1039" spans="1:50" hidden="1">
      <c r="A1039" s="88" t="str">
        <f t="shared" ca="1" si="85"/>
        <v>RWE</v>
      </c>
      <c r="C1039" s="1">
        <v>40</v>
      </c>
      <c r="F1039" s="257">
        <v>208731</v>
      </c>
      <c r="G1039" s="257">
        <v>661436</v>
      </c>
      <c r="H1039" s="257">
        <v>448981</v>
      </c>
      <c r="I1039" s="257">
        <v>472536</v>
      </c>
      <c r="J1039" s="257">
        <v>487837</v>
      </c>
      <c r="K1039" s="257">
        <v>679244</v>
      </c>
      <c r="L1039" s="257">
        <v>1132501</v>
      </c>
      <c r="M1039" s="257">
        <v>529062</v>
      </c>
      <c r="N1039" s="257">
        <v>99</v>
      </c>
      <c r="O1039" s="257">
        <v>647536</v>
      </c>
      <c r="P1039" s="257">
        <v>406597</v>
      </c>
      <c r="Q1039" s="257">
        <v>247944</v>
      </c>
      <c r="R1039" s="257">
        <v>342660</v>
      </c>
      <c r="S1039" s="257">
        <v>383569</v>
      </c>
      <c r="T1039" s="257">
        <v>340717</v>
      </c>
      <c r="U1039" s="257">
        <v>389074</v>
      </c>
      <c r="V1039" s="257">
        <v>600108</v>
      </c>
      <c r="W1039" s="257">
        <v>600108</v>
      </c>
      <c r="X1039" s="257">
        <v>447047</v>
      </c>
      <c r="Y1039" s="257">
        <v>297481</v>
      </c>
      <c r="Z1039" s="249">
        <f ca="1">[1]ExtEntry!$P40</f>
        <v>1189372</v>
      </c>
      <c r="AB1039" s="277">
        <v>73</v>
      </c>
      <c r="AC1039" s="277">
        <v>75</v>
      </c>
      <c r="AD1039" s="277">
        <v>79</v>
      </c>
      <c r="AE1039" s="253">
        <v>77</v>
      </c>
      <c r="AF1039" s="253">
        <v>77</v>
      </c>
      <c r="AG1039" s="253">
        <v>84</v>
      </c>
      <c r="AH1039" s="253">
        <v>94</v>
      </c>
      <c r="AI1039" s="253">
        <v>89</v>
      </c>
      <c r="AJ1039" s="253">
        <v>90</v>
      </c>
      <c r="AK1039" s="253">
        <v>89</v>
      </c>
      <c r="AL1039" s="253">
        <v>82</v>
      </c>
      <c r="AM1039" s="253">
        <v>81</v>
      </c>
      <c r="AN1039" s="253">
        <v>83</v>
      </c>
      <c r="AO1039" s="277">
        <v>75</v>
      </c>
      <c r="AP1039" s="277">
        <v>75</v>
      </c>
      <c r="AQ1039" s="277">
        <v>68</v>
      </c>
      <c r="AR1039" s="277">
        <v>57</v>
      </c>
      <c r="AS1039" s="277">
        <v>56</v>
      </c>
      <c r="AT1039" s="277">
        <v>50</v>
      </c>
      <c r="AU1039" s="277">
        <v>56</v>
      </c>
      <c r="AV1039" s="277">
        <f t="shared" si="87"/>
        <v>56</v>
      </c>
      <c r="AX1039" s="88" t="str">
        <f t="shared" ca="1" si="86"/>
        <v>RWE</v>
      </c>
    </row>
    <row r="1040" spans="1:50" hidden="1">
      <c r="A1040" s="88" t="str">
        <f t="shared" ca="1" si="85"/>
        <v>SAP</v>
      </c>
      <c r="C1040" s="1">
        <v>41</v>
      </c>
      <c r="F1040" s="257">
        <v>1338643</v>
      </c>
      <c r="G1040" s="257">
        <v>6189</v>
      </c>
      <c r="H1040" s="257">
        <v>10704</v>
      </c>
      <c r="I1040" s="257">
        <v>6644</v>
      </c>
      <c r="J1040" s="257">
        <v>592</v>
      </c>
      <c r="K1040" s="257">
        <v>6509</v>
      </c>
      <c r="L1040" s="257">
        <v>12238</v>
      </c>
      <c r="M1040" s="257">
        <v>7968</v>
      </c>
      <c r="N1040" s="257">
        <v>2682</v>
      </c>
      <c r="O1040" s="257">
        <v>4550</v>
      </c>
      <c r="P1040" s="257">
        <v>2072</v>
      </c>
      <c r="Q1040" s="257">
        <v>6519</v>
      </c>
      <c r="R1040" s="257">
        <v>6785</v>
      </c>
      <c r="S1040" s="257">
        <v>4500</v>
      </c>
      <c r="T1040" s="257">
        <v>3174</v>
      </c>
      <c r="U1040" s="257">
        <v>4550</v>
      </c>
      <c r="V1040" s="257">
        <v>30266</v>
      </c>
      <c r="W1040" s="257">
        <v>30266</v>
      </c>
      <c r="X1040" s="257">
        <v>2249</v>
      </c>
      <c r="Y1040" s="257">
        <v>1740</v>
      </c>
      <c r="Z1040" s="249">
        <f ca="1">[1]ExtEntry!$P41</f>
        <v>1802588</v>
      </c>
      <c r="AB1040" s="277">
        <v>35</v>
      </c>
      <c r="AC1040" s="277">
        <v>41</v>
      </c>
      <c r="AD1040" s="277">
        <v>40</v>
      </c>
      <c r="AE1040" s="253">
        <v>53</v>
      </c>
      <c r="AF1040" s="253">
        <v>58</v>
      </c>
      <c r="AG1040" s="253">
        <v>68</v>
      </c>
      <c r="AH1040" s="253">
        <v>57</v>
      </c>
      <c r="AI1040" s="253">
        <v>63</v>
      </c>
      <c r="AJ1040" s="253">
        <v>68</v>
      </c>
      <c r="AK1040" s="253">
        <v>78</v>
      </c>
      <c r="AL1040" s="253">
        <v>78</v>
      </c>
      <c r="AM1040" s="253">
        <v>77</v>
      </c>
      <c r="AN1040" s="253">
        <v>84</v>
      </c>
      <c r="AO1040" s="277">
        <v>75</v>
      </c>
      <c r="AP1040" s="277">
        <v>82</v>
      </c>
      <c r="AQ1040" s="277">
        <v>81</v>
      </c>
      <c r="AR1040" s="277">
        <v>72</v>
      </c>
      <c r="AS1040" s="277">
        <v>60</v>
      </c>
      <c r="AT1040" s="277">
        <v>70</v>
      </c>
      <c r="AU1040" s="277">
        <v>52</v>
      </c>
      <c r="AV1040" s="277">
        <f t="shared" si="87"/>
        <v>52</v>
      </c>
      <c r="AX1040" s="88" t="str">
        <f t="shared" ca="1" si="86"/>
        <v>SAP</v>
      </c>
    </row>
    <row r="1041" spans="1:50" hidden="1">
      <c r="A1041" s="88" t="str">
        <f t="shared" ca="1" si="85"/>
        <v>SHECY</v>
      </c>
      <c r="C1041" s="1">
        <v>42</v>
      </c>
      <c r="F1041" s="257">
        <v>950657</v>
      </c>
      <c r="G1041" s="257">
        <v>1125092</v>
      </c>
      <c r="H1041" s="257">
        <v>1257008</v>
      </c>
      <c r="I1041" s="257">
        <v>1197910</v>
      </c>
      <c r="J1041" s="257">
        <v>1072154</v>
      </c>
      <c r="K1041" s="257">
        <v>1354466</v>
      </c>
      <c r="L1041" s="257">
        <v>1357884</v>
      </c>
      <c r="M1041" s="257">
        <v>926821</v>
      </c>
      <c r="N1041" s="257">
        <v>155340</v>
      </c>
      <c r="O1041" s="257">
        <v>738717</v>
      </c>
      <c r="P1041" s="257">
        <v>1319040</v>
      </c>
      <c r="Q1041" s="257">
        <v>1102569</v>
      </c>
      <c r="R1041" s="257">
        <v>1149922</v>
      </c>
      <c r="S1041" s="257">
        <v>1160814</v>
      </c>
      <c r="T1041" s="257">
        <v>1404631</v>
      </c>
      <c r="U1041" s="257">
        <v>1444043</v>
      </c>
      <c r="V1041" s="257">
        <v>1752971</v>
      </c>
      <c r="W1041" s="257">
        <v>1752971</v>
      </c>
      <c r="X1041" s="257">
        <v>3172728</v>
      </c>
      <c r="Y1041" s="257">
        <v>1802588</v>
      </c>
      <c r="Z1041" s="249">
        <f ca="1">[1]ExtEntry!$P42</f>
        <v>170519</v>
      </c>
      <c r="AB1041" s="277">
        <v>77</v>
      </c>
      <c r="AC1041" s="277">
        <v>76</v>
      </c>
      <c r="AD1041" s="277">
        <v>86</v>
      </c>
      <c r="AE1041" s="253">
        <v>85</v>
      </c>
      <c r="AF1041" s="253">
        <v>89</v>
      </c>
      <c r="AG1041" s="253">
        <v>73</v>
      </c>
      <c r="AH1041" s="253">
        <v>61</v>
      </c>
      <c r="AI1041" s="253">
        <v>60</v>
      </c>
      <c r="AJ1041" s="253">
        <v>59</v>
      </c>
      <c r="AK1041" s="253">
        <v>64</v>
      </c>
      <c r="AL1041" s="253">
        <v>67</v>
      </c>
      <c r="AM1041" s="253">
        <v>67</v>
      </c>
      <c r="AN1041" s="253">
        <v>68</v>
      </c>
      <c r="AO1041" s="277">
        <v>66</v>
      </c>
      <c r="AP1041" s="277">
        <v>59</v>
      </c>
      <c r="AQ1041" s="277">
        <v>56</v>
      </c>
      <c r="AR1041" s="277">
        <v>49</v>
      </c>
      <c r="AS1041" s="277">
        <v>44</v>
      </c>
      <c r="AT1041" s="277">
        <v>32</v>
      </c>
      <c r="AU1041" s="277">
        <v>30</v>
      </c>
      <c r="AV1041" s="277">
        <f t="shared" si="87"/>
        <v>30</v>
      </c>
      <c r="AX1041" s="88" t="str">
        <f t="shared" ca="1" si="86"/>
        <v>SHECY</v>
      </c>
    </row>
    <row r="1042" spans="1:50" hidden="1">
      <c r="A1042" s="88" t="str">
        <f t="shared" ca="1" si="85"/>
        <v>SSYS</v>
      </c>
      <c r="C1042" s="1">
        <v>43</v>
      </c>
      <c r="F1042" s="257">
        <v>133716</v>
      </c>
      <c r="G1042" s="257">
        <v>167507</v>
      </c>
      <c r="H1042" s="257">
        <v>232114</v>
      </c>
      <c r="I1042" s="257">
        <v>139659</v>
      </c>
      <c r="J1042" s="257">
        <v>215092</v>
      </c>
      <c r="K1042" s="257">
        <v>331974</v>
      </c>
      <c r="L1042" s="257">
        <v>196731</v>
      </c>
      <c r="M1042" s="257">
        <v>670851</v>
      </c>
      <c r="N1042" s="257">
        <v>670851</v>
      </c>
      <c r="O1042" s="257">
        <v>535839</v>
      </c>
      <c r="P1042" s="257">
        <v>291970</v>
      </c>
      <c r="Q1042" s="257">
        <v>281893</v>
      </c>
      <c r="R1042" s="257">
        <v>509562</v>
      </c>
      <c r="S1042" s="257">
        <v>254478</v>
      </c>
      <c r="T1042" s="257">
        <v>338312</v>
      </c>
      <c r="U1042" s="257">
        <v>180679</v>
      </c>
      <c r="V1042" s="257">
        <v>191895</v>
      </c>
      <c r="W1042" s="257">
        <v>191895</v>
      </c>
      <c r="X1042" s="257">
        <v>208392</v>
      </c>
      <c r="Y1042" s="257">
        <v>170519</v>
      </c>
      <c r="Z1042" s="249">
        <f ca="1">[1]ExtEntry!$P43</f>
        <v>1035948</v>
      </c>
      <c r="AB1042" s="277">
        <v>77</v>
      </c>
      <c r="AC1042" s="277">
        <v>75</v>
      </c>
      <c r="AD1042" s="277">
        <v>73</v>
      </c>
      <c r="AE1042" s="253">
        <v>76</v>
      </c>
      <c r="AF1042" s="253">
        <v>76</v>
      </c>
      <c r="AG1042" s="253">
        <v>70</v>
      </c>
      <c r="AH1042" s="253">
        <v>69</v>
      </c>
      <c r="AI1042" s="253">
        <v>63</v>
      </c>
      <c r="AJ1042" s="253">
        <v>55</v>
      </c>
      <c r="AK1042" s="253">
        <v>67</v>
      </c>
      <c r="AL1042" s="253">
        <v>46</v>
      </c>
      <c r="AM1042" s="253">
        <v>59</v>
      </c>
      <c r="AN1042" s="253">
        <v>59</v>
      </c>
      <c r="AO1042" s="277">
        <v>48</v>
      </c>
      <c r="AP1042" s="277">
        <v>69</v>
      </c>
      <c r="AQ1042" s="277">
        <v>69</v>
      </c>
      <c r="AR1042" s="277">
        <v>56</v>
      </c>
      <c r="AS1042" s="277">
        <v>43</v>
      </c>
      <c r="AT1042" s="277">
        <v>47</v>
      </c>
      <c r="AU1042" s="277">
        <v>51</v>
      </c>
      <c r="AV1042" s="277">
        <f t="shared" si="87"/>
        <v>51</v>
      </c>
      <c r="AX1042" s="88" t="str">
        <f t="shared" ca="1" si="86"/>
        <v>SSYS</v>
      </c>
    </row>
    <row r="1043" spans="1:50" hidden="1">
      <c r="A1043" s="88" t="str">
        <f t="shared" ca="1" si="85"/>
        <v>TSLA</v>
      </c>
      <c r="C1043" s="1">
        <v>44</v>
      </c>
      <c r="F1043" s="257">
        <v>315852</v>
      </c>
      <c r="G1043" s="257">
        <v>550192</v>
      </c>
      <c r="H1043" s="257">
        <v>558858</v>
      </c>
      <c r="I1043" s="257">
        <v>709163</v>
      </c>
      <c r="J1043" s="257">
        <v>674297</v>
      </c>
      <c r="K1043" s="257">
        <v>808208</v>
      </c>
      <c r="L1043" s="257">
        <v>665568</v>
      </c>
      <c r="M1043" s="257">
        <v>488907</v>
      </c>
      <c r="N1043" s="257">
        <v>1186</v>
      </c>
      <c r="O1043" s="257">
        <v>578457</v>
      </c>
      <c r="P1043" s="257">
        <v>671474</v>
      </c>
      <c r="Q1043" s="257">
        <v>613320</v>
      </c>
      <c r="R1043" s="257">
        <v>1090816</v>
      </c>
      <c r="S1043" s="257">
        <v>656730</v>
      </c>
      <c r="T1043" s="257">
        <v>2917569</v>
      </c>
      <c r="U1043" s="257">
        <v>2415312</v>
      </c>
      <c r="V1043" s="257">
        <v>1780352</v>
      </c>
      <c r="W1043" s="257">
        <v>1780461</v>
      </c>
      <c r="X1043" s="257">
        <v>1868286</v>
      </c>
      <c r="Y1043" s="257">
        <v>1028594</v>
      </c>
      <c r="Z1043" s="249">
        <f ca="1">[1]ExtEntry!$P44</f>
        <v>94727774</v>
      </c>
      <c r="AB1043" s="277">
        <v>81</v>
      </c>
      <c r="AC1043" s="277">
        <v>79</v>
      </c>
      <c r="AD1043" s="277">
        <v>77</v>
      </c>
      <c r="AE1043" s="253">
        <v>62</v>
      </c>
      <c r="AF1043" s="253">
        <v>56</v>
      </c>
      <c r="AG1043" s="253">
        <v>46</v>
      </c>
      <c r="AH1043" s="253">
        <v>51</v>
      </c>
      <c r="AI1043" s="253">
        <v>47</v>
      </c>
      <c r="AJ1043" s="253">
        <v>42</v>
      </c>
      <c r="AK1043" s="253">
        <v>48</v>
      </c>
      <c r="AL1043" s="253">
        <v>48</v>
      </c>
      <c r="AM1043" s="253">
        <v>44</v>
      </c>
      <c r="AN1043" s="253">
        <v>48</v>
      </c>
      <c r="AO1043" s="277">
        <v>46</v>
      </c>
      <c r="AP1043" s="277">
        <v>49</v>
      </c>
      <c r="AQ1043" s="277">
        <v>46</v>
      </c>
      <c r="AR1043" s="277">
        <v>39</v>
      </c>
      <c r="AS1043" s="277">
        <v>46</v>
      </c>
      <c r="AT1043" s="277">
        <v>54</v>
      </c>
      <c r="AU1043" s="277">
        <v>56</v>
      </c>
      <c r="AV1043" s="277">
        <f t="shared" si="87"/>
        <v>56</v>
      </c>
      <c r="AX1043" s="88" t="str">
        <f t="shared" ca="1" si="86"/>
        <v>TSLA</v>
      </c>
    </row>
    <row r="1044" spans="1:50" hidden="1">
      <c r="A1044" s="88" t="str">
        <f t="shared" ca="1" si="85"/>
        <v>TSM</v>
      </c>
      <c r="C1044" s="1">
        <v>45</v>
      </c>
      <c r="F1044" s="257">
        <v>56082310</v>
      </c>
      <c r="G1044" s="257">
        <v>73901363</v>
      </c>
      <c r="H1044" s="257">
        <v>97540114</v>
      </c>
      <c r="I1044" s="257">
        <v>135992981</v>
      </c>
      <c r="J1044" s="257">
        <v>132611468</v>
      </c>
      <c r="K1044" s="257">
        <v>101857301</v>
      </c>
      <c r="L1044" s="257">
        <v>70983593</v>
      </c>
      <c r="M1044" s="257">
        <v>69151276</v>
      </c>
      <c r="N1044" s="257">
        <v>496697</v>
      </c>
      <c r="O1044" s="257">
        <v>78574718</v>
      </c>
      <c r="P1044" s="257">
        <v>70873218</v>
      </c>
      <c r="Q1044" s="257">
        <v>64794017</v>
      </c>
      <c r="R1044" s="257">
        <v>76558288</v>
      </c>
      <c r="S1044" s="257">
        <v>89331578</v>
      </c>
      <c r="T1044" s="257">
        <v>63276272</v>
      </c>
      <c r="U1044" s="257">
        <v>53969321</v>
      </c>
      <c r="V1044" s="257">
        <v>76964921</v>
      </c>
      <c r="W1044" s="257">
        <v>77031666</v>
      </c>
      <c r="X1044" s="257">
        <v>125994617</v>
      </c>
      <c r="Y1044" s="257">
        <v>94158432</v>
      </c>
      <c r="Z1044" s="249">
        <f ca="1">[1]ExtEntry!$P45</f>
        <v>8747007</v>
      </c>
      <c r="AB1044" s="277">
        <v>64</v>
      </c>
      <c r="AC1044" s="277">
        <v>70</v>
      </c>
      <c r="AD1044" s="277">
        <v>74</v>
      </c>
      <c r="AE1044" s="253">
        <v>72</v>
      </c>
      <c r="AF1044" s="253">
        <v>73</v>
      </c>
      <c r="AG1044" s="253">
        <v>64</v>
      </c>
      <c r="AH1044" s="253">
        <v>67</v>
      </c>
      <c r="AI1044" s="253">
        <v>65</v>
      </c>
      <c r="AJ1044" s="253">
        <v>65</v>
      </c>
      <c r="AK1044" s="253">
        <v>70</v>
      </c>
      <c r="AL1044" s="253">
        <v>60</v>
      </c>
      <c r="AM1044" s="253">
        <v>66</v>
      </c>
      <c r="AN1044" s="253">
        <v>65</v>
      </c>
      <c r="AO1044" s="277">
        <v>64</v>
      </c>
      <c r="AP1044" s="277">
        <v>65</v>
      </c>
      <c r="AQ1044" s="277">
        <v>60</v>
      </c>
      <c r="AR1044" s="277">
        <v>53</v>
      </c>
      <c r="AS1044" s="277">
        <v>50</v>
      </c>
      <c r="AT1044" s="277">
        <v>49</v>
      </c>
      <c r="AU1044" s="277">
        <v>56</v>
      </c>
      <c r="AV1044" s="277">
        <f t="shared" si="87"/>
        <v>56</v>
      </c>
      <c r="AX1044" s="88" t="str">
        <f t="shared" ca="1" si="86"/>
        <v>TSM</v>
      </c>
    </row>
    <row r="1045" spans="1:50" hidden="1">
      <c r="A1045" s="88" t="str">
        <f t="shared" ca="1" si="85"/>
        <v>UN0</v>
      </c>
      <c r="C1045" s="1">
        <v>46</v>
      </c>
      <c r="F1045" s="257">
        <v>4900321</v>
      </c>
      <c r="G1045" s="257">
        <v>8322029</v>
      </c>
      <c r="H1045" s="257">
        <v>14597559</v>
      </c>
      <c r="I1045" s="257">
        <v>10179860</v>
      </c>
      <c r="J1045" s="257">
        <v>10556668</v>
      </c>
      <c r="K1045" s="257">
        <v>13061829</v>
      </c>
      <c r="L1045" s="257">
        <v>12790593</v>
      </c>
      <c r="M1045" s="257">
        <v>10226422</v>
      </c>
      <c r="N1045" s="257">
        <v>64107</v>
      </c>
      <c r="O1045" s="257">
        <v>20051529</v>
      </c>
      <c r="P1045" s="257">
        <v>16278621</v>
      </c>
      <c r="Q1045" s="257">
        <v>16724982</v>
      </c>
      <c r="R1045" s="257">
        <v>26205504</v>
      </c>
      <c r="S1045" s="257">
        <v>17633323</v>
      </c>
      <c r="T1045" s="257">
        <v>13317469</v>
      </c>
      <c r="U1045" s="257">
        <v>11095499</v>
      </c>
      <c r="V1045" s="257">
        <v>15310550</v>
      </c>
      <c r="W1045" s="257">
        <v>15311574</v>
      </c>
      <c r="X1045" s="257">
        <v>10321352</v>
      </c>
      <c r="Y1045" s="257">
        <v>8718319</v>
      </c>
      <c r="Z1045" s="249">
        <f ca="1">[1]ExtEntry!$P46</f>
        <v>186</v>
      </c>
      <c r="AB1045" s="277">
        <v>31</v>
      </c>
      <c r="AC1045" s="277">
        <v>31</v>
      </c>
      <c r="AD1045" s="277">
        <v>24</v>
      </c>
      <c r="AE1045" s="253">
        <v>24</v>
      </c>
      <c r="AF1045" s="253">
        <v>27</v>
      </c>
      <c r="AG1045" s="253">
        <v>24</v>
      </c>
      <c r="AH1045" s="253">
        <v>29</v>
      </c>
      <c r="AI1045" s="253">
        <v>38</v>
      </c>
      <c r="AJ1045" s="253">
        <v>43</v>
      </c>
      <c r="AK1045" s="253">
        <v>40</v>
      </c>
      <c r="AL1045" s="253">
        <v>43</v>
      </c>
      <c r="AM1045" s="253">
        <v>44</v>
      </c>
      <c r="AN1045" s="253">
        <v>44</v>
      </c>
      <c r="AO1045" s="277">
        <v>43</v>
      </c>
      <c r="AP1045" s="277">
        <v>49</v>
      </c>
      <c r="AQ1045" s="277">
        <v>45</v>
      </c>
      <c r="AR1045" s="277">
        <v>47</v>
      </c>
      <c r="AS1045" s="277">
        <v>49</v>
      </c>
      <c r="AT1045" s="277">
        <v>42</v>
      </c>
      <c r="AU1045" s="277">
        <v>44</v>
      </c>
      <c r="AV1045" s="277">
        <f t="shared" si="87"/>
        <v>44</v>
      </c>
      <c r="AX1045" s="88" t="str">
        <f t="shared" ca="1" si="86"/>
        <v>UN0</v>
      </c>
    </row>
    <row r="1046" spans="1:50" hidden="1">
      <c r="A1046" s="88" t="str">
        <f t="shared" ca="1" si="85"/>
        <v>UNIT</v>
      </c>
      <c r="C1046" s="1">
        <v>47</v>
      </c>
      <c r="F1046" s="257">
        <v>520</v>
      </c>
      <c r="G1046" s="257">
        <v>814</v>
      </c>
      <c r="H1046" s="257">
        <v>604</v>
      </c>
      <c r="I1046" s="257">
        <v>9</v>
      </c>
      <c r="J1046" s="257">
        <v>105</v>
      </c>
      <c r="K1046" s="257">
        <v>352</v>
      </c>
      <c r="L1046" s="257">
        <v>502</v>
      </c>
      <c r="M1046" s="257">
        <v>57</v>
      </c>
      <c r="N1046" s="257">
        <v>57</v>
      </c>
      <c r="O1046" s="257">
        <v>920</v>
      </c>
      <c r="P1046" s="257">
        <v>30</v>
      </c>
      <c r="Q1046" s="257">
        <v>322</v>
      </c>
      <c r="R1046" s="257">
        <v>70</v>
      </c>
      <c r="S1046" s="257">
        <v>188</v>
      </c>
      <c r="T1046" s="257">
        <v>7</v>
      </c>
      <c r="U1046" s="257">
        <v>111</v>
      </c>
      <c r="V1046" s="257">
        <v>536</v>
      </c>
      <c r="W1046" s="257">
        <v>536</v>
      </c>
      <c r="X1046" s="257">
        <v>118</v>
      </c>
      <c r="Y1046" s="257">
        <v>186</v>
      </c>
      <c r="Z1046" s="249">
        <f ca="1">[1]ExtEntry!$P47</f>
        <v>2339233</v>
      </c>
      <c r="AB1046" s="277">
        <v>29</v>
      </c>
      <c r="AC1046" s="277">
        <v>24</v>
      </c>
      <c r="AD1046" s="277">
        <v>25</v>
      </c>
      <c r="AE1046" s="253">
        <v>23</v>
      </c>
      <c r="AF1046" s="253">
        <v>26</v>
      </c>
      <c r="AG1046" s="253">
        <v>26</v>
      </c>
      <c r="AH1046" s="253">
        <v>22</v>
      </c>
      <c r="AI1046" s="253">
        <v>26</v>
      </c>
      <c r="AJ1046" s="253">
        <v>31</v>
      </c>
      <c r="AK1046" s="253">
        <v>21</v>
      </c>
      <c r="AL1046" s="253">
        <v>13</v>
      </c>
      <c r="AM1046" s="253">
        <v>28</v>
      </c>
      <c r="AN1046" s="253">
        <v>29</v>
      </c>
      <c r="AO1046" s="277">
        <v>31</v>
      </c>
      <c r="AP1046" s="277">
        <v>32</v>
      </c>
      <c r="AQ1046" s="277">
        <v>29</v>
      </c>
      <c r="AR1046" s="277">
        <v>29</v>
      </c>
      <c r="AS1046" s="277">
        <v>33</v>
      </c>
      <c r="AT1046" s="277">
        <v>42</v>
      </c>
      <c r="AU1046" s="277">
        <v>52</v>
      </c>
      <c r="AV1046" s="277">
        <f t="shared" si="87"/>
        <v>52</v>
      </c>
      <c r="AX1046" s="88" t="str">
        <f t="shared" ca="1" si="86"/>
        <v>UNIT</v>
      </c>
    </row>
    <row r="1047" spans="1:50" hidden="1">
      <c r="A1047" s="88" t="str">
        <f t="shared" ca="1" si="85"/>
        <v>AVGO</v>
      </c>
      <c r="C1047" s="1">
        <v>48</v>
      </c>
      <c r="F1047" s="257">
        <v>8719464</v>
      </c>
      <c r="G1047" s="257">
        <v>3618243</v>
      </c>
      <c r="H1047" s="257">
        <v>2016403</v>
      </c>
      <c r="I1047" s="257">
        <v>2359690</v>
      </c>
      <c r="J1047" s="257">
        <v>3502284</v>
      </c>
      <c r="K1047" s="257">
        <v>2353278</v>
      </c>
      <c r="L1047" s="257">
        <v>1699869</v>
      </c>
      <c r="M1047" s="257">
        <v>1618692</v>
      </c>
      <c r="N1047" s="257">
        <v>1618698</v>
      </c>
      <c r="O1047" s="257">
        <v>2655496</v>
      </c>
      <c r="P1047" s="257">
        <v>2236753</v>
      </c>
      <c r="Q1047" s="257">
        <v>1680921</v>
      </c>
      <c r="R1047" s="257">
        <v>1972159</v>
      </c>
      <c r="S1047" s="257">
        <v>6205437</v>
      </c>
      <c r="T1047" s="257">
        <v>3025389</v>
      </c>
      <c r="U1047" s="257">
        <v>1265893</v>
      </c>
      <c r="V1047" s="257">
        <v>1541691</v>
      </c>
      <c r="W1047" s="257">
        <v>1541691</v>
      </c>
      <c r="X1047" s="257">
        <v>2509431</v>
      </c>
      <c r="Y1047" s="257">
        <v>2329853</v>
      </c>
      <c r="Z1047" s="249">
        <f ca="1">[1]ExtEntry!$P48</f>
        <v>16143739</v>
      </c>
      <c r="AB1047" s="277">
        <v>18</v>
      </c>
      <c r="AC1047" s="277" t="e">
        <v>#REF!</v>
      </c>
      <c r="AD1047" s="277" t="e">
        <v>#REF!</v>
      </c>
      <c r="AE1047" s="253" t="e">
        <v>#REF!</v>
      </c>
      <c r="AF1047" s="253" t="e">
        <v>#REF!</v>
      </c>
      <c r="AG1047" s="253" t="e">
        <v>#REF!</v>
      </c>
      <c r="AH1047" s="253" t="e">
        <v>#REF!</v>
      </c>
      <c r="AI1047" s="253" t="e">
        <v>#REF!</v>
      </c>
      <c r="AJ1047" s="253" t="e">
        <v>#REF!</v>
      </c>
      <c r="AK1047" s="253" t="e">
        <v>#REF!</v>
      </c>
      <c r="AL1047" s="253" t="e">
        <v>#REF!</v>
      </c>
      <c r="AM1047" s="253" t="e">
        <v>#REF!</v>
      </c>
      <c r="AN1047" s="253" t="e">
        <v>#REF!</v>
      </c>
      <c r="AO1047" s="277" t="e">
        <v>#REF!</v>
      </c>
      <c r="AP1047" s="277" t="e">
        <v>#REF!</v>
      </c>
      <c r="AQ1047" s="277" t="e">
        <v>#REF!</v>
      </c>
      <c r="AR1047" s="277" t="e">
        <v>#REF!</v>
      </c>
      <c r="AS1047" s="277" t="e">
        <v>#REF!</v>
      </c>
      <c r="AT1047" s="277" t="e">
        <v>#REF!</v>
      </c>
      <c r="AU1047" s="277" t="e">
        <v>#REF!</v>
      </c>
      <c r="AV1047" s="277" t="e">
        <f>INT(100-100/(1+(19*SUMIF(#REF!,"&gt;0",#REF!)+IF(#REF!&gt;0,#REF!,0))/ABS(19*SUMIF(#REF!,"&lt;0",#REF!)+IF(#REF!&lt;0,#REF!,0))))</f>
        <v>#REF!</v>
      </c>
      <c r="AX1047" s="88" t="str">
        <f t="shared" ca="1" si="86"/>
        <v>AVGO</v>
      </c>
    </row>
    <row r="1048" spans="1:50" hidden="1">
      <c r="A1048" s="88" t="str">
        <f t="shared" ca="1" si="85"/>
        <v>VLVLY</v>
      </c>
      <c r="C1048" s="1">
        <v>49</v>
      </c>
      <c r="F1048" s="257">
        <v>32795</v>
      </c>
      <c r="G1048" s="257">
        <v>54186</v>
      </c>
      <c r="H1048" s="257">
        <v>54553</v>
      </c>
      <c r="I1048" s="257">
        <v>35077</v>
      </c>
      <c r="J1048" s="257">
        <v>39557</v>
      </c>
      <c r="K1048" s="257">
        <v>48376</v>
      </c>
      <c r="L1048" s="257">
        <v>42352</v>
      </c>
      <c r="M1048" s="257">
        <v>60292</v>
      </c>
      <c r="N1048" s="257">
        <v>60292</v>
      </c>
      <c r="O1048" s="257">
        <v>95037</v>
      </c>
      <c r="P1048" s="257">
        <v>181300</v>
      </c>
      <c r="Q1048" s="257">
        <v>144720</v>
      </c>
      <c r="R1048" s="257">
        <v>61391</v>
      </c>
      <c r="S1048" s="257">
        <v>225142</v>
      </c>
      <c r="T1048" s="257">
        <v>80727</v>
      </c>
      <c r="U1048" s="257">
        <v>99054</v>
      </c>
      <c r="V1048" s="257">
        <v>44189</v>
      </c>
      <c r="W1048" s="257">
        <v>44189</v>
      </c>
      <c r="X1048" s="257">
        <v>64546</v>
      </c>
      <c r="Y1048" s="257">
        <v>63080</v>
      </c>
      <c r="Z1048" s="249">
        <f ca="1">[1]ExtEntry!$P49</f>
        <v>63080</v>
      </c>
      <c r="AB1048" s="277">
        <v>43</v>
      </c>
      <c r="AC1048" s="277">
        <v>41</v>
      </c>
      <c r="AD1048" s="277">
        <v>44</v>
      </c>
      <c r="AE1048" s="253">
        <v>46</v>
      </c>
      <c r="AF1048" s="253">
        <v>49</v>
      </c>
      <c r="AG1048" s="253">
        <v>39</v>
      </c>
      <c r="AH1048" s="253">
        <v>39</v>
      </c>
      <c r="AI1048" s="253">
        <v>37</v>
      </c>
      <c r="AJ1048" s="253">
        <v>35</v>
      </c>
      <c r="AK1048" s="253">
        <v>38</v>
      </c>
      <c r="AL1048" s="253">
        <v>32</v>
      </c>
      <c r="AM1048" s="253">
        <v>39</v>
      </c>
      <c r="AN1048" s="253">
        <v>47</v>
      </c>
      <c r="AO1048" s="277">
        <v>24</v>
      </c>
      <c r="AP1048" s="277">
        <v>36</v>
      </c>
      <c r="AQ1048" s="277">
        <v>37</v>
      </c>
      <c r="AR1048" s="277">
        <v>35</v>
      </c>
      <c r="AS1048" s="277">
        <v>31</v>
      </c>
      <c r="AT1048" s="277">
        <v>30</v>
      </c>
      <c r="AU1048" s="277">
        <v>37</v>
      </c>
      <c r="AV1048" s="277">
        <f t="shared" ref="AV1048:AV1091" si="88">INT(100-100/(1+(19*SUMIF(L651:Y651,"&gt;0",L651:Y651)+IF(Y651&gt;0,Y651,0))/ABS(19*SUMIF(L651:Y651,"&lt;0",L651:Y651)+IF(Y651&lt;0,Y651,0))))</f>
        <v>37</v>
      </c>
      <c r="AX1048" s="88" t="str">
        <f t="shared" ca="1" si="86"/>
        <v>VLVLY</v>
      </c>
    </row>
    <row r="1049" spans="1:50" hidden="1">
      <c r="A1049" s="88" t="str">
        <f t="shared" ca="1" si="85"/>
        <v>VONN</v>
      </c>
      <c r="C1049" s="1">
        <v>50</v>
      </c>
      <c r="F1049" s="257">
        <v>14885</v>
      </c>
      <c r="G1049" s="257">
        <v>34943</v>
      </c>
      <c r="H1049" s="257">
        <v>37676</v>
      </c>
      <c r="I1049" s="257">
        <v>31021</v>
      </c>
      <c r="J1049" s="257">
        <v>46302</v>
      </c>
      <c r="K1049" s="257">
        <v>30543</v>
      </c>
      <c r="L1049" s="257">
        <v>31201</v>
      </c>
      <c r="M1049" s="257">
        <v>26757</v>
      </c>
      <c r="N1049" s="257">
        <v>11269</v>
      </c>
      <c r="O1049" s="257">
        <v>35581</v>
      </c>
      <c r="P1049" s="257">
        <v>40964</v>
      </c>
      <c r="Q1049" s="257">
        <v>26044</v>
      </c>
      <c r="R1049" s="257">
        <v>21698</v>
      </c>
      <c r="S1049" s="257">
        <v>30700</v>
      </c>
      <c r="T1049" s="257">
        <v>26733</v>
      </c>
      <c r="U1049" s="257">
        <v>32623</v>
      </c>
      <c r="V1049" s="257">
        <v>51976</v>
      </c>
      <c r="W1049" s="257">
        <v>51976</v>
      </c>
      <c r="X1049" s="257">
        <v>35718</v>
      </c>
      <c r="Y1049" s="257">
        <v>32757</v>
      </c>
      <c r="Z1049" s="249">
        <f ca="1">[1]ExtEntry!$P50</f>
        <v>32757</v>
      </c>
      <c r="AB1049" s="277">
        <v>45</v>
      </c>
      <c r="AC1049" s="277">
        <v>46</v>
      </c>
      <c r="AD1049" s="277">
        <v>46</v>
      </c>
      <c r="AE1049" s="253">
        <v>44</v>
      </c>
      <c r="AF1049" s="253">
        <v>46</v>
      </c>
      <c r="AG1049" s="253">
        <v>55</v>
      </c>
      <c r="AH1049" s="253">
        <v>55</v>
      </c>
      <c r="AI1049" s="253">
        <v>57</v>
      </c>
      <c r="AJ1049" s="253">
        <v>50</v>
      </c>
      <c r="AK1049" s="253">
        <v>46</v>
      </c>
      <c r="AL1049" s="253">
        <v>44</v>
      </c>
      <c r="AM1049" s="253">
        <v>46</v>
      </c>
      <c r="AN1049" s="253">
        <v>49</v>
      </c>
      <c r="AO1049" s="277">
        <v>38</v>
      </c>
      <c r="AP1049" s="277">
        <v>34</v>
      </c>
      <c r="AQ1049" s="277">
        <v>33</v>
      </c>
      <c r="AR1049" s="277">
        <v>52</v>
      </c>
      <c r="AS1049" s="277">
        <v>61</v>
      </c>
      <c r="AT1049" s="277">
        <v>63</v>
      </c>
      <c r="AU1049" s="277">
        <v>63</v>
      </c>
      <c r="AV1049" s="277">
        <f t="shared" si="88"/>
        <v>63</v>
      </c>
      <c r="AX1049" s="88" t="str">
        <f t="shared" ca="1" si="86"/>
        <v>VONN</v>
      </c>
    </row>
    <row r="1050" spans="1:50" hidden="1">
      <c r="A1050" s="88" t="str">
        <f t="shared" ca="1" si="85"/>
        <v>VTRS</v>
      </c>
      <c r="C1050" s="1">
        <v>51</v>
      </c>
      <c r="F1050" s="257">
        <v>2296561</v>
      </c>
      <c r="G1050" s="257">
        <v>9072730</v>
      </c>
      <c r="H1050" s="257">
        <v>9499504</v>
      </c>
      <c r="I1050" s="257">
        <v>6961105</v>
      </c>
      <c r="J1050" s="257">
        <v>7008076</v>
      </c>
      <c r="K1050" s="257">
        <v>6545636</v>
      </c>
      <c r="L1050" s="257">
        <v>6980905</v>
      </c>
      <c r="M1050" s="257">
        <v>7415416</v>
      </c>
      <c r="N1050" s="257">
        <v>12</v>
      </c>
      <c r="O1050" s="257">
        <v>7454853</v>
      </c>
      <c r="P1050" s="257">
        <v>6412916</v>
      </c>
      <c r="Q1050" s="257">
        <v>4538172</v>
      </c>
      <c r="R1050" s="257">
        <v>6147785</v>
      </c>
      <c r="S1050" s="257">
        <v>5505693</v>
      </c>
      <c r="T1050" s="257">
        <v>6619423</v>
      </c>
      <c r="U1050" s="257">
        <v>6281833</v>
      </c>
      <c r="V1050" s="257">
        <v>7452697</v>
      </c>
      <c r="W1050" s="257">
        <v>7452697</v>
      </c>
      <c r="X1050" s="257">
        <v>5273920</v>
      </c>
      <c r="Y1050" s="257">
        <v>5045521</v>
      </c>
      <c r="Z1050" s="249">
        <f ca="1">[1]ExtEntry!$P51</f>
        <v>5045629</v>
      </c>
      <c r="AB1050" s="277">
        <v>26</v>
      </c>
      <c r="AC1050" s="277">
        <v>38</v>
      </c>
      <c r="AD1050" s="277">
        <v>48</v>
      </c>
      <c r="AE1050" s="253">
        <v>51</v>
      </c>
      <c r="AF1050" s="253">
        <v>65</v>
      </c>
      <c r="AG1050" s="253">
        <v>67</v>
      </c>
      <c r="AH1050" s="253">
        <v>53</v>
      </c>
      <c r="AI1050" s="253">
        <v>53</v>
      </c>
      <c r="AJ1050" s="253">
        <v>53</v>
      </c>
      <c r="AK1050" s="253">
        <v>60</v>
      </c>
      <c r="AL1050" s="253">
        <v>71</v>
      </c>
      <c r="AM1050" s="253">
        <v>69</v>
      </c>
      <c r="AN1050" s="253">
        <v>85</v>
      </c>
      <c r="AO1050" s="277">
        <v>86</v>
      </c>
      <c r="AP1050" s="277">
        <v>87</v>
      </c>
      <c r="AQ1050" s="277">
        <v>85</v>
      </c>
      <c r="AR1050" s="277">
        <v>82</v>
      </c>
      <c r="AS1050" s="277">
        <v>82</v>
      </c>
      <c r="AT1050" s="277">
        <v>72</v>
      </c>
      <c r="AU1050" s="277">
        <v>73</v>
      </c>
      <c r="AV1050" s="277">
        <f t="shared" si="88"/>
        <v>73</v>
      </c>
      <c r="AX1050" s="88" t="str">
        <f t="shared" ca="1" si="86"/>
        <v>VTRS</v>
      </c>
    </row>
    <row r="1051" spans="1:50" hidden="1">
      <c r="A1051" s="88" t="str">
        <f t="shared" ca="1" si="85"/>
        <v>WBA</v>
      </c>
      <c r="C1051" s="1">
        <v>52</v>
      </c>
      <c r="F1051" s="257">
        <v>452081061</v>
      </c>
      <c r="G1051" s="257">
        <v>452081061</v>
      </c>
      <c r="H1051" s="257">
        <v>452081061</v>
      </c>
      <c r="I1051" s="257">
        <v>452081061</v>
      </c>
      <c r="J1051" s="257">
        <v>452081061</v>
      </c>
      <c r="K1051" s="257">
        <v>452081061</v>
      </c>
      <c r="L1051" s="257">
        <v>452081061</v>
      </c>
      <c r="M1051" s="257">
        <v>452081061</v>
      </c>
      <c r="N1051" s="257">
        <v>452081061</v>
      </c>
      <c r="O1051" s="257">
        <v>452081061</v>
      </c>
      <c r="P1051" s="257">
        <v>452081061</v>
      </c>
      <c r="Q1051" s="257">
        <v>452081061</v>
      </c>
      <c r="R1051" s="257">
        <v>452081061</v>
      </c>
      <c r="S1051" s="257">
        <v>452081061</v>
      </c>
      <c r="T1051" s="257">
        <v>452081061</v>
      </c>
      <c r="U1051" s="257">
        <v>452081061</v>
      </c>
      <c r="V1051" s="257">
        <v>452081061</v>
      </c>
      <c r="W1051" s="257">
        <v>452081061</v>
      </c>
      <c r="X1051" s="257">
        <v>452081061</v>
      </c>
      <c r="Y1051" s="257">
        <v>452081061</v>
      </c>
      <c r="Z1051" s="249">
        <f ca="1">[1]ExtEntry!$P52</f>
        <v>452081061</v>
      </c>
      <c r="AB1051" s="277" t="e">
        <v>#DIV/0!</v>
      </c>
      <c r="AC1051" s="277" t="e">
        <v>#DIV/0!</v>
      </c>
      <c r="AD1051" s="277" t="e">
        <v>#DIV/0!</v>
      </c>
      <c r="AE1051" s="253" t="e">
        <v>#DIV/0!</v>
      </c>
      <c r="AF1051" s="253" t="e">
        <v>#DIV/0!</v>
      </c>
      <c r="AG1051" s="253" t="e">
        <v>#DIV/0!</v>
      </c>
      <c r="AH1051" s="253" t="e">
        <v>#DIV/0!</v>
      </c>
      <c r="AI1051" s="253" t="e">
        <v>#DIV/0!</v>
      </c>
      <c r="AJ1051" s="253" t="e">
        <v>#DIV/0!</v>
      </c>
      <c r="AK1051" s="253" t="e">
        <v>#DIV/0!</v>
      </c>
      <c r="AL1051" s="253" t="e">
        <v>#DIV/0!</v>
      </c>
      <c r="AM1051" s="253" t="e">
        <v>#DIV/0!</v>
      </c>
      <c r="AN1051" s="253" t="e">
        <v>#DIV/0!</v>
      </c>
      <c r="AO1051" s="277" t="e">
        <v>#DIV/0!</v>
      </c>
      <c r="AP1051" s="277" t="e">
        <v>#DIV/0!</v>
      </c>
      <c r="AQ1051" s="277" t="e">
        <v>#DIV/0!</v>
      </c>
      <c r="AR1051" s="277" t="e">
        <v>#DIV/0!</v>
      </c>
      <c r="AS1051" s="277" t="e">
        <v>#DIV/0!</v>
      </c>
      <c r="AT1051" s="277" t="e">
        <v>#DIV/0!</v>
      </c>
      <c r="AU1051" s="277" t="e">
        <v>#DIV/0!</v>
      </c>
      <c r="AV1051" s="277" t="e">
        <f t="shared" si="88"/>
        <v>#DIV/0!</v>
      </c>
      <c r="AX1051" s="88" t="str">
        <f t="shared" ca="1" si="86"/>
        <v>WBA</v>
      </c>
    </row>
    <row r="1052" spans="1:50" hidden="1">
      <c r="A1052" s="88" t="str">
        <f t="shared" ca="1" si="85"/>
        <v>XOM</v>
      </c>
      <c r="C1052" s="1">
        <v>53</v>
      </c>
      <c r="F1052" s="257">
        <v>7511737</v>
      </c>
      <c r="G1052" s="257">
        <v>18055993</v>
      </c>
      <c r="H1052" s="257">
        <v>16610449</v>
      </c>
      <c r="I1052" s="257">
        <v>13043104</v>
      </c>
      <c r="J1052" s="257">
        <v>12948326</v>
      </c>
      <c r="K1052" s="257">
        <v>11941089</v>
      </c>
      <c r="L1052" s="257">
        <v>12299344</v>
      </c>
      <c r="M1052" s="257">
        <v>10975431</v>
      </c>
      <c r="N1052" s="257">
        <v>3775</v>
      </c>
      <c r="O1052" s="257">
        <v>9866062</v>
      </c>
      <c r="P1052" s="257">
        <v>9851191</v>
      </c>
      <c r="Q1052" s="257">
        <v>5998492</v>
      </c>
      <c r="R1052" s="257">
        <v>11765744</v>
      </c>
      <c r="S1052" s="257">
        <v>13460069</v>
      </c>
      <c r="T1052" s="257">
        <v>9521060</v>
      </c>
      <c r="U1052" s="257">
        <v>9201230</v>
      </c>
      <c r="V1052" s="257">
        <v>12150411</v>
      </c>
      <c r="W1052" s="257">
        <v>12150637</v>
      </c>
      <c r="X1052" s="257">
        <v>14996094</v>
      </c>
      <c r="Y1052" s="257">
        <v>9908601</v>
      </c>
      <c r="Z1052" s="249">
        <f ca="1">[1]ExtEntry!$P53</f>
        <v>9919409</v>
      </c>
      <c r="AB1052" s="277">
        <v>49</v>
      </c>
      <c r="AC1052" s="277">
        <v>46</v>
      </c>
      <c r="AD1052" s="277">
        <v>44</v>
      </c>
      <c r="AE1052" s="253">
        <v>42</v>
      </c>
      <c r="AF1052" s="253">
        <v>47</v>
      </c>
      <c r="AG1052" s="253">
        <v>40</v>
      </c>
      <c r="AH1052" s="253">
        <v>43</v>
      </c>
      <c r="AI1052" s="253">
        <v>43</v>
      </c>
      <c r="AJ1052" s="253">
        <v>43</v>
      </c>
      <c r="AK1052" s="253">
        <v>51</v>
      </c>
      <c r="AL1052" s="253">
        <v>44</v>
      </c>
      <c r="AM1052" s="253">
        <v>41</v>
      </c>
      <c r="AN1052" s="253">
        <v>34</v>
      </c>
      <c r="AO1052" s="277">
        <v>34</v>
      </c>
      <c r="AP1052" s="277">
        <v>45</v>
      </c>
      <c r="AQ1052" s="277">
        <v>51</v>
      </c>
      <c r="AR1052" s="277">
        <v>62</v>
      </c>
      <c r="AS1052" s="277">
        <v>71</v>
      </c>
      <c r="AT1052" s="277">
        <v>69</v>
      </c>
      <c r="AU1052" s="277">
        <v>66</v>
      </c>
      <c r="AV1052" s="277">
        <f t="shared" si="88"/>
        <v>66</v>
      </c>
      <c r="AX1052" s="88" t="str">
        <f t="shared" ca="1" si="86"/>
        <v>XOM</v>
      </c>
    </row>
    <row r="1053" spans="1:50" hidden="1">
      <c r="A1053" s="88" t="str">
        <f t="shared" ca="1" si="85"/>
        <v>XPER</v>
      </c>
      <c r="C1053" s="1">
        <v>54</v>
      </c>
      <c r="F1053" s="257">
        <v>172891</v>
      </c>
      <c r="G1053" s="257">
        <v>464734</v>
      </c>
      <c r="H1053" s="257">
        <v>461817</v>
      </c>
      <c r="I1053" s="257">
        <v>915897</v>
      </c>
      <c r="J1053" s="257">
        <v>619103</v>
      </c>
      <c r="K1053" s="257">
        <v>532458</v>
      </c>
      <c r="L1053" s="257">
        <v>362442</v>
      </c>
      <c r="M1053" s="257">
        <v>312861</v>
      </c>
      <c r="N1053" s="257">
        <v>312861</v>
      </c>
      <c r="O1053" s="257">
        <v>340191</v>
      </c>
      <c r="P1053" s="257">
        <v>515598</v>
      </c>
      <c r="Q1053" s="257">
        <v>320031</v>
      </c>
      <c r="R1053" s="257">
        <v>460679</v>
      </c>
      <c r="S1053" s="257">
        <v>522482</v>
      </c>
      <c r="T1053" s="257">
        <v>478932</v>
      </c>
      <c r="U1053" s="257">
        <v>447330</v>
      </c>
      <c r="V1053" s="257">
        <v>442861</v>
      </c>
      <c r="W1053" s="257">
        <v>442861</v>
      </c>
      <c r="X1053" s="257">
        <v>418159</v>
      </c>
      <c r="Y1053" s="257">
        <v>191074</v>
      </c>
      <c r="Z1053" s="249">
        <f ca="1">[1]ExtEntry!$P54</f>
        <v>191077</v>
      </c>
      <c r="AB1053" s="277">
        <v>70</v>
      </c>
      <c r="AC1053" s="277">
        <v>60</v>
      </c>
      <c r="AD1053" s="277">
        <v>64</v>
      </c>
      <c r="AE1053" s="253">
        <v>69</v>
      </c>
      <c r="AF1053" s="253">
        <v>75</v>
      </c>
      <c r="AG1053" s="253">
        <v>62</v>
      </c>
      <c r="AH1053" s="253">
        <v>61</v>
      </c>
      <c r="AI1053" s="253">
        <v>63</v>
      </c>
      <c r="AJ1053" s="253">
        <v>65</v>
      </c>
      <c r="AK1053" s="253">
        <v>63</v>
      </c>
      <c r="AL1053" s="253">
        <v>74</v>
      </c>
      <c r="AM1053" s="253">
        <v>72</v>
      </c>
      <c r="AN1053" s="253">
        <v>71</v>
      </c>
      <c r="AO1053" s="277">
        <v>64</v>
      </c>
      <c r="AP1053" s="277">
        <v>67</v>
      </c>
      <c r="AQ1053" s="277">
        <v>73</v>
      </c>
      <c r="AR1053" s="277">
        <v>63</v>
      </c>
      <c r="AS1053" s="277">
        <v>52</v>
      </c>
      <c r="AT1053" s="277">
        <v>50</v>
      </c>
      <c r="AU1053" s="277">
        <v>62</v>
      </c>
      <c r="AV1053" s="277">
        <f t="shared" si="88"/>
        <v>62</v>
      </c>
      <c r="AX1053" s="88" t="str">
        <f t="shared" ca="1" si="86"/>
        <v>XPER</v>
      </c>
    </row>
    <row r="1054" spans="1:50" hidden="1">
      <c r="A1054" s="88" t="str">
        <f t="shared" ca="1" si="85"/>
        <v>MVEALDNE</v>
      </c>
      <c r="C1054" s="1">
        <v>55</v>
      </c>
      <c r="F1054" s="257">
        <v>1127</v>
      </c>
      <c r="G1054" s="257">
        <v>4245</v>
      </c>
      <c r="H1054" s="257">
        <v>3099</v>
      </c>
      <c r="I1054" s="257">
        <v>4727</v>
      </c>
      <c r="J1054" s="257">
        <v>4930</v>
      </c>
      <c r="K1054" s="257">
        <v>1228</v>
      </c>
      <c r="L1054" s="257">
        <v>2140</v>
      </c>
      <c r="M1054" s="257">
        <v>872</v>
      </c>
      <c r="N1054" s="257">
        <v>744</v>
      </c>
      <c r="O1054" s="257">
        <v>1821</v>
      </c>
      <c r="P1054" s="257">
        <v>563</v>
      </c>
      <c r="Q1054" s="257">
        <v>3791</v>
      </c>
      <c r="R1054" s="257">
        <v>1032</v>
      </c>
      <c r="S1054" s="257">
        <v>1198</v>
      </c>
      <c r="T1054" s="257">
        <v>5482</v>
      </c>
      <c r="U1054" s="257">
        <v>35320</v>
      </c>
      <c r="V1054" s="257">
        <v>5796</v>
      </c>
      <c r="W1054" s="257">
        <v>5796</v>
      </c>
      <c r="X1054" s="257">
        <v>2266</v>
      </c>
      <c r="Y1054" s="257">
        <v>10516</v>
      </c>
      <c r="Z1054" s="249">
        <f ca="1">[1]ExtEntry!$P55</f>
        <v>10516</v>
      </c>
      <c r="AB1054" s="277">
        <v>39</v>
      </c>
      <c r="AC1054" s="277">
        <v>41</v>
      </c>
      <c r="AD1054" s="277">
        <v>44</v>
      </c>
      <c r="AE1054" s="253">
        <v>42</v>
      </c>
      <c r="AF1054" s="253">
        <v>42</v>
      </c>
      <c r="AG1054" s="253">
        <v>42</v>
      </c>
      <c r="AH1054" s="253">
        <v>43</v>
      </c>
      <c r="AI1054" s="253">
        <v>47</v>
      </c>
      <c r="AJ1054" s="253">
        <v>51</v>
      </c>
      <c r="AK1054" s="253">
        <v>45</v>
      </c>
      <c r="AL1054" s="253">
        <v>75</v>
      </c>
      <c r="AM1054" s="253">
        <v>75</v>
      </c>
      <c r="AN1054" s="253">
        <v>65</v>
      </c>
      <c r="AO1054" s="277">
        <v>64</v>
      </c>
      <c r="AP1054" s="277">
        <v>24</v>
      </c>
      <c r="AQ1054" s="277">
        <v>32</v>
      </c>
      <c r="AR1054" s="277">
        <v>31</v>
      </c>
      <c r="AS1054" s="277">
        <v>44</v>
      </c>
      <c r="AT1054" s="277">
        <v>44</v>
      </c>
      <c r="AU1054" s="277">
        <v>37</v>
      </c>
      <c r="AV1054" s="277">
        <f t="shared" si="88"/>
        <v>37</v>
      </c>
      <c r="AX1054" s="88" t="str">
        <f t="shared" ca="1" si="86"/>
        <v>MVEALDNE</v>
      </c>
    </row>
    <row r="1055" spans="1:50" hidden="1">
      <c r="A1055" s="88" t="str">
        <f t="shared" ca="1" si="85"/>
        <v>MVEDDD</v>
      </c>
      <c r="C1055" s="1">
        <v>56</v>
      </c>
      <c r="F1055" s="257">
        <v>4419324</v>
      </c>
      <c r="G1055" s="257">
        <v>4860476</v>
      </c>
      <c r="H1055" s="257">
        <v>3099880</v>
      </c>
      <c r="I1055" s="257">
        <v>4917670</v>
      </c>
      <c r="J1055" s="257">
        <v>5742994</v>
      </c>
      <c r="K1055" s="257">
        <v>8411642</v>
      </c>
      <c r="L1055" s="257">
        <v>4160292</v>
      </c>
      <c r="M1055" s="257">
        <v>4235877</v>
      </c>
      <c r="N1055" s="257">
        <v>642</v>
      </c>
      <c r="O1055" s="257">
        <v>3929814</v>
      </c>
      <c r="P1055" s="257">
        <v>2743317</v>
      </c>
      <c r="Q1055" s="257">
        <v>2866750</v>
      </c>
      <c r="R1055" s="257">
        <v>4907524</v>
      </c>
      <c r="S1055" s="257">
        <v>3756199</v>
      </c>
      <c r="T1055" s="257">
        <v>7265638</v>
      </c>
      <c r="U1055" s="257">
        <v>5877521</v>
      </c>
      <c r="V1055" s="257">
        <v>4894243</v>
      </c>
      <c r="W1055" s="257">
        <v>4894281</v>
      </c>
      <c r="X1055" s="257">
        <v>2812934</v>
      </c>
      <c r="Y1055" s="257">
        <v>3306967</v>
      </c>
      <c r="Z1055" s="249">
        <f ca="1">[1]ExtEntry!$P56</f>
        <v>3333984</v>
      </c>
      <c r="AB1055" s="277">
        <v>81</v>
      </c>
      <c r="AC1055" s="277">
        <v>75</v>
      </c>
      <c r="AD1055" s="277">
        <v>75</v>
      </c>
      <c r="AE1055" s="253">
        <v>76</v>
      </c>
      <c r="AF1055" s="253">
        <v>77</v>
      </c>
      <c r="AG1055" s="253">
        <v>75</v>
      </c>
      <c r="AH1055" s="253">
        <v>73</v>
      </c>
      <c r="AI1055" s="253">
        <v>71</v>
      </c>
      <c r="AJ1055" s="253">
        <v>69</v>
      </c>
      <c r="AK1055" s="253">
        <v>76</v>
      </c>
      <c r="AL1055" s="253">
        <v>68</v>
      </c>
      <c r="AM1055" s="253">
        <v>70</v>
      </c>
      <c r="AN1055" s="253">
        <v>70</v>
      </c>
      <c r="AO1055" s="277">
        <v>56</v>
      </c>
      <c r="AP1055" s="277">
        <v>77</v>
      </c>
      <c r="AQ1055" s="277">
        <v>64</v>
      </c>
      <c r="AR1055" s="277">
        <v>55</v>
      </c>
      <c r="AS1055" s="277">
        <v>46</v>
      </c>
      <c r="AT1055" s="277">
        <v>45</v>
      </c>
      <c r="AU1055" s="277">
        <v>46</v>
      </c>
      <c r="AV1055" s="277">
        <f t="shared" si="88"/>
        <v>46</v>
      </c>
      <c r="AX1055" s="88" t="str">
        <f t="shared" ca="1" si="86"/>
        <v>MVEDDD</v>
      </c>
    </row>
    <row r="1056" spans="1:50" hidden="1">
      <c r="A1056" s="88" t="str">
        <f t="shared" ca="1" si="85"/>
        <v>MVEDSY</v>
      </c>
      <c r="C1056" s="1">
        <v>57</v>
      </c>
      <c r="F1056" s="257">
        <v>1293187</v>
      </c>
      <c r="G1056" s="257">
        <v>237101</v>
      </c>
      <c r="H1056" s="257">
        <v>229591</v>
      </c>
      <c r="I1056" s="257">
        <v>145210</v>
      </c>
      <c r="J1056" s="257">
        <v>206068</v>
      </c>
      <c r="K1056" s="257">
        <v>530166</v>
      </c>
      <c r="L1056" s="257">
        <v>1144056</v>
      </c>
      <c r="M1056" s="257">
        <v>1166740</v>
      </c>
      <c r="N1056" s="257">
        <v>117912</v>
      </c>
      <c r="O1056" s="257">
        <v>1236266</v>
      </c>
      <c r="P1056" s="257">
        <v>2088831</v>
      </c>
      <c r="Q1056" s="257">
        <v>1779477</v>
      </c>
      <c r="R1056" s="257">
        <v>1427587</v>
      </c>
      <c r="S1056" s="257">
        <v>1746130</v>
      </c>
      <c r="T1056" s="257">
        <v>1058138</v>
      </c>
      <c r="U1056" s="257">
        <v>1430986</v>
      </c>
      <c r="V1056" s="257">
        <v>1885559</v>
      </c>
      <c r="W1056" s="257">
        <v>1885559</v>
      </c>
      <c r="X1056" s="257">
        <v>7762453</v>
      </c>
      <c r="Y1056" s="257">
        <v>3353364</v>
      </c>
      <c r="Z1056" s="249">
        <f ca="1">[1]ExtEntry!$P57</f>
        <v>3353364</v>
      </c>
      <c r="AB1056" s="277">
        <v>51</v>
      </c>
      <c r="AC1056" s="277">
        <v>52</v>
      </c>
      <c r="AD1056" s="277">
        <v>48</v>
      </c>
      <c r="AE1056" s="253">
        <v>52</v>
      </c>
      <c r="AF1056" s="253">
        <v>61</v>
      </c>
      <c r="AG1056" s="253">
        <v>53</v>
      </c>
      <c r="AH1056" s="253">
        <v>29</v>
      </c>
      <c r="AI1056" s="253">
        <v>42</v>
      </c>
      <c r="AJ1056" s="253">
        <v>64</v>
      </c>
      <c r="AK1056" s="253">
        <v>67</v>
      </c>
      <c r="AL1056" s="253">
        <v>55</v>
      </c>
      <c r="AM1056" s="253">
        <v>65</v>
      </c>
      <c r="AN1056" s="253">
        <v>67</v>
      </c>
      <c r="AO1056" s="277">
        <v>68</v>
      </c>
      <c r="AP1056" s="277">
        <v>70</v>
      </c>
      <c r="AQ1056" s="277">
        <v>75</v>
      </c>
      <c r="AR1056" s="277">
        <v>72</v>
      </c>
      <c r="AS1056" s="277">
        <v>69</v>
      </c>
      <c r="AT1056" s="277">
        <v>34</v>
      </c>
      <c r="AU1056" s="277">
        <v>34</v>
      </c>
      <c r="AV1056" s="277">
        <f t="shared" si="88"/>
        <v>34</v>
      </c>
      <c r="AX1056" s="88" t="str">
        <f t="shared" ca="1" si="86"/>
        <v>MVEDSY</v>
      </c>
    </row>
    <row r="1057" spans="1:50" hidden="1">
      <c r="A1057" s="88" t="str">
        <f t="shared" ca="1" si="85"/>
        <v>MVEEOAN</v>
      </c>
      <c r="C1057" s="1">
        <v>58</v>
      </c>
      <c r="F1057" s="257">
        <v>2035300</v>
      </c>
      <c r="G1057" s="257">
        <v>7992</v>
      </c>
      <c r="H1057" s="257">
        <v>1570</v>
      </c>
      <c r="I1057" s="257">
        <v>7712</v>
      </c>
      <c r="J1057" s="257">
        <v>9505</v>
      </c>
      <c r="K1057" s="257">
        <v>1817</v>
      </c>
      <c r="L1057" s="257">
        <v>5522</v>
      </c>
      <c r="M1057" s="257">
        <v>11369</v>
      </c>
      <c r="N1057" s="257">
        <v>2496</v>
      </c>
      <c r="O1057" s="257">
        <v>5181</v>
      </c>
      <c r="P1057" s="257">
        <v>3070</v>
      </c>
      <c r="Q1057" s="257">
        <v>5816</v>
      </c>
      <c r="R1057" s="257">
        <v>7915</v>
      </c>
      <c r="S1057" s="257">
        <v>4869</v>
      </c>
      <c r="T1057" s="257">
        <v>8743</v>
      </c>
      <c r="U1057" s="257">
        <v>12133</v>
      </c>
      <c r="V1057" s="257">
        <v>9346</v>
      </c>
      <c r="W1057" s="257">
        <v>9346</v>
      </c>
      <c r="X1057" s="257">
        <v>6458</v>
      </c>
      <c r="Y1057" s="257">
        <v>4204</v>
      </c>
      <c r="Z1057" s="249">
        <f ca="1">[1]ExtEntry!$P58</f>
        <v>3565315</v>
      </c>
      <c r="AB1057" s="277">
        <v>79</v>
      </c>
      <c r="AC1057" s="277">
        <v>81</v>
      </c>
      <c r="AD1057" s="277">
        <v>79</v>
      </c>
      <c r="AE1057" s="253">
        <v>65</v>
      </c>
      <c r="AF1057" s="253">
        <v>63</v>
      </c>
      <c r="AG1057" s="253">
        <v>71</v>
      </c>
      <c r="AH1057" s="253">
        <v>80</v>
      </c>
      <c r="AI1057" s="253">
        <v>78</v>
      </c>
      <c r="AJ1057" s="253">
        <v>77</v>
      </c>
      <c r="AK1057" s="253">
        <v>79</v>
      </c>
      <c r="AL1057" s="253">
        <v>80</v>
      </c>
      <c r="AM1057" s="253">
        <v>69</v>
      </c>
      <c r="AN1057" s="253">
        <v>65</v>
      </c>
      <c r="AO1057" s="277">
        <v>63</v>
      </c>
      <c r="AP1057" s="277">
        <v>70</v>
      </c>
      <c r="AQ1057" s="277">
        <v>67</v>
      </c>
      <c r="AR1057" s="277">
        <v>52</v>
      </c>
      <c r="AS1057" s="277">
        <v>50</v>
      </c>
      <c r="AT1057" s="277">
        <v>41</v>
      </c>
      <c r="AU1057" s="277">
        <v>43</v>
      </c>
      <c r="AV1057" s="277">
        <f t="shared" si="88"/>
        <v>43</v>
      </c>
      <c r="AX1057" s="88" t="str">
        <f t="shared" ca="1" si="86"/>
        <v>MVEEOAN</v>
      </c>
    </row>
    <row r="1058" spans="1:50" hidden="1">
      <c r="A1058" s="88" t="str">
        <f t="shared" ca="1" si="85"/>
        <v>MVEENI</v>
      </c>
      <c r="C1058" s="1">
        <v>59</v>
      </c>
      <c r="F1058" s="257">
        <v>10194429</v>
      </c>
      <c r="G1058" s="257">
        <v>14996939</v>
      </c>
      <c r="H1058" s="257">
        <v>9022370</v>
      </c>
      <c r="I1058" s="257">
        <v>9060318</v>
      </c>
      <c r="J1058" s="257">
        <v>8185829</v>
      </c>
      <c r="K1058" s="257">
        <v>9320041</v>
      </c>
      <c r="L1058" s="257">
        <v>10786026</v>
      </c>
      <c r="M1058" s="257">
        <v>13779846</v>
      </c>
      <c r="N1058" s="257">
        <v>3584659</v>
      </c>
      <c r="O1058" s="257">
        <v>7467022</v>
      </c>
      <c r="P1058" s="257">
        <v>14695455</v>
      </c>
      <c r="Q1058" s="257">
        <v>9345220</v>
      </c>
      <c r="R1058" s="257">
        <v>6870097</v>
      </c>
      <c r="S1058" s="257">
        <v>11973801</v>
      </c>
      <c r="T1058" s="257">
        <v>8408418</v>
      </c>
      <c r="U1058" s="257">
        <v>7832427</v>
      </c>
      <c r="V1058" s="257">
        <v>12355791</v>
      </c>
      <c r="W1058" s="257">
        <v>12355791</v>
      </c>
      <c r="X1058" s="257">
        <v>30583218</v>
      </c>
      <c r="Y1058" s="257">
        <v>21544743</v>
      </c>
      <c r="Z1058" s="249">
        <f ca="1">[1]ExtEntry!$P59</f>
        <v>21544743</v>
      </c>
      <c r="AB1058" s="277">
        <v>61</v>
      </c>
      <c r="AC1058" s="277">
        <v>54</v>
      </c>
      <c r="AD1058" s="277">
        <v>59</v>
      </c>
      <c r="AE1058" s="253">
        <v>56</v>
      </c>
      <c r="AF1058" s="253">
        <v>57</v>
      </c>
      <c r="AG1058" s="253">
        <v>57</v>
      </c>
      <c r="AH1058" s="253">
        <v>58</v>
      </c>
      <c r="AI1058" s="253">
        <v>64</v>
      </c>
      <c r="AJ1058" s="253">
        <v>61</v>
      </c>
      <c r="AK1058" s="253">
        <v>60</v>
      </c>
      <c r="AL1058" s="253">
        <v>47</v>
      </c>
      <c r="AM1058" s="253">
        <v>40</v>
      </c>
      <c r="AN1058" s="253">
        <v>40</v>
      </c>
      <c r="AO1058" s="277">
        <v>36</v>
      </c>
      <c r="AP1058" s="277">
        <v>44</v>
      </c>
      <c r="AQ1058" s="277">
        <v>53</v>
      </c>
      <c r="AR1058" s="277">
        <v>57</v>
      </c>
      <c r="AS1058" s="277">
        <v>68</v>
      </c>
      <c r="AT1058" s="277">
        <v>76</v>
      </c>
      <c r="AU1058" s="277">
        <v>78</v>
      </c>
      <c r="AV1058" s="277">
        <f t="shared" si="88"/>
        <v>78</v>
      </c>
      <c r="AX1058" s="88" t="str">
        <f t="shared" ca="1" si="86"/>
        <v>MVEENI</v>
      </c>
    </row>
    <row r="1059" spans="1:50" hidden="1">
      <c r="A1059" s="88" t="str">
        <f t="shared" ca="1" si="85"/>
        <v>MVEEPIX</v>
      </c>
      <c r="C1059" s="1">
        <v>60</v>
      </c>
      <c r="F1059" s="257">
        <v>1525939</v>
      </c>
      <c r="G1059" s="257">
        <v>4883813</v>
      </c>
      <c r="H1059" s="257">
        <v>2577453</v>
      </c>
      <c r="I1059" s="257">
        <v>4100143</v>
      </c>
      <c r="J1059" s="257">
        <v>2712634</v>
      </c>
      <c r="K1059" s="257">
        <v>3055823</v>
      </c>
      <c r="L1059" s="257">
        <v>5905826</v>
      </c>
      <c r="M1059" s="257">
        <v>5945141</v>
      </c>
      <c r="N1059" s="257">
        <v>5945141</v>
      </c>
      <c r="O1059" s="257">
        <v>5945141</v>
      </c>
      <c r="P1059" s="257">
        <v>5945141</v>
      </c>
      <c r="Q1059" s="257">
        <v>5945141</v>
      </c>
      <c r="R1059" s="257">
        <v>5945141</v>
      </c>
      <c r="S1059" s="257">
        <v>5945141</v>
      </c>
      <c r="T1059" s="257">
        <v>5945141</v>
      </c>
      <c r="U1059" s="257">
        <v>5945141</v>
      </c>
      <c r="V1059" s="257">
        <v>5945141</v>
      </c>
      <c r="W1059" s="257">
        <v>5945141</v>
      </c>
      <c r="X1059" s="257">
        <v>5945141</v>
      </c>
      <c r="Y1059" s="257">
        <v>5945141</v>
      </c>
      <c r="Z1059" s="249">
        <f ca="1">[1]ExtEntry!$P60</f>
        <v>5945141</v>
      </c>
      <c r="AB1059" s="277">
        <v>23</v>
      </c>
      <c r="AC1059" s="277">
        <v>22</v>
      </c>
      <c r="AD1059" s="277">
        <v>38</v>
      </c>
      <c r="AE1059" s="253">
        <v>51</v>
      </c>
      <c r="AF1059" s="253">
        <v>50</v>
      </c>
      <c r="AG1059" s="253">
        <v>51</v>
      </c>
      <c r="AH1059" s="253">
        <v>43</v>
      </c>
      <c r="AI1059" s="253">
        <v>40</v>
      </c>
      <c r="AJ1059" s="253">
        <v>38</v>
      </c>
      <c r="AK1059" s="253">
        <v>35</v>
      </c>
      <c r="AL1059" s="253">
        <v>41</v>
      </c>
      <c r="AM1059" s="253">
        <v>44</v>
      </c>
      <c r="AN1059" s="253">
        <v>45</v>
      </c>
      <c r="AO1059" s="277">
        <v>44</v>
      </c>
      <c r="AP1059" s="277">
        <v>52</v>
      </c>
      <c r="AQ1059" s="277">
        <v>54</v>
      </c>
      <c r="AR1059" s="277">
        <v>35</v>
      </c>
      <c r="AS1059" s="277">
        <v>3</v>
      </c>
      <c r="AT1059" s="277">
        <v>6</v>
      </c>
      <c r="AU1059" s="277">
        <v>0</v>
      </c>
      <c r="AV1059" s="277">
        <f t="shared" si="88"/>
        <v>0</v>
      </c>
      <c r="AX1059" s="88" t="str">
        <f t="shared" ca="1" si="86"/>
        <v>MVEEPIX</v>
      </c>
    </row>
    <row r="1060" spans="1:50" hidden="1">
      <c r="A1060" s="88" t="str">
        <f t="shared" ca="1" si="85"/>
        <v>MVEGLE</v>
      </c>
      <c r="C1060" s="1">
        <v>61</v>
      </c>
      <c r="F1060" s="257">
        <v>1837052</v>
      </c>
      <c r="G1060" s="257">
        <v>1582022</v>
      </c>
      <c r="H1060" s="257">
        <v>1563741</v>
      </c>
      <c r="I1060" s="257">
        <v>1356327</v>
      </c>
      <c r="J1060" s="257">
        <v>1520855</v>
      </c>
      <c r="K1060" s="257">
        <v>2778486</v>
      </c>
      <c r="L1060" s="257">
        <v>2275311</v>
      </c>
      <c r="M1060" s="257">
        <v>1558793</v>
      </c>
      <c r="N1060" s="257">
        <v>235759</v>
      </c>
      <c r="O1060" s="257">
        <v>1603766</v>
      </c>
      <c r="P1060" s="257">
        <v>2227948</v>
      </c>
      <c r="Q1060" s="257">
        <v>2222446</v>
      </c>
      <c r="R1060" s="257">
        <v>2290116</v>
      </c>
      <c r="S1060" s="257">
        <v>3198087</v>
      </c>
      <c r="T1060" s="257">
        <v>2671888</v>
      </c>
      <c r="U1060" s="257">
        <v>1632128</v>
      </c>
      <c r="V1060" s="257">
        <v>1421659</v>
      </c>
      <c r="W1060" s="257">
        <v>1421659</v>
      </c>
      <c r="X1060" s="257">
        <v>2134406</v>
      </c>
      <c r="Y1060" s="257">
        <v>1624137</v>
      </c>
      <c r="Z1060" s="249">
        <f ca="1">[1]ExtEntry!$P61</f>
        <v>1624137</v>
      </c>
      <c r="AB1060" s="277">
        <v>62</v>
      </c>
      <c r="AC1060" s="277">
        <v>55</v>
      </c>
      <c r="AD1060" s="277">
        <v>59</v>
      </c>
      <c r="AE1060" s="253">
        <v>51</v>
      </c>
      <c r="AF1060" s="253">
        <v>43</v>
      </c>
      <c r="AG1060" s="253">
        <v>52</v>
      </c>
      <c r="AH1060" s="253">
        <v>55</v>
      </c>
      <c r="AI1060" s="253">
        <v>49</v>
      </c>
      <c r="AJ1060" s="253">
        <v>42</v>
      </c>
      <c r="AK1060" s="253">
        <v>47</v>
      </c>
      <c r="AL1060" s="253">
        <v>62</v>
      </c>
      <c r="AM1060" s="253">
        <v>63</v>
      </c>
      <c r="AN1060" s="253">
        <v>73</v>
      </c>
      <c r="AO1060" s="277">
        <v>47</v>
      </c>
      <c r="AP1060" s="277">
        <v>48</v>
      </c>
      <c r="AQ1060" s="277">
        <v>50</v>
      </c>
      <c r="AR1060" s="277">
        <v>46</v>
      </c>
      <c r="AS1060" s="277">
        <v>45</v>
      </c>
      <c r="AT1060" s="277">
        <v>50</v>
      </c>
      <c r="AU1060" s="277">
        <v>52</v>
      </c>
      <c r="AV1060" s="277">
        <f t="shared" si="88"/>
        <v>52</v>
      </c>
      <c r="AX1060" s="88" t="str">
        <f t="shared" ca="1" si="86"/>
        <v>MVEGLE</v>
      </c>
    </row>
    <row r="1061" spans="1:50" hidden="1">
      <c r="A1061" s="88" t="str">
        <f t="shared" ca="1" si="85"/>
        <v>MVEORA</v>
      </c>
      <c r="C1061" s="1">
        <v>62</v>
      </c>
      <c r="F1061" s="257">
        <v>2347349</v>
      </c>
      <c r="G1061" s="257">
        <v>251753</v>
      </c>
      <c r="H1061" s="257">
        <v>3219761</v>
      </c>
      <c r="I1061" s="257">
        <v>5579011</v>
      </c>
      <c r="J1061" s="257">
        <v>3654666</v>
      </c>
      <c r="K1061" s="257">
        <v>3587700</v>
      </c>
      <c r="L1061" s="257">
        <v>4817138</v>
      </c>
      <c r="M1061" s="257">
        <v>3717206</v>
      </c>
      <c r="N1061" s="257">
        <v>232694</v>
      </c>
      <c r="O1061" s="257">
        <v>2735334</v>
      </c>
      <c r="P1061" s="257">
        <v>3075263</v>
      </c>
      <c r="Q1061" s="257">
        <v>9024947</v>
      </c>
      <c r="R1061" s="257">
        <v>3147289</v>
      </c>
      <c r="S1061" s="257">
        <v>5116783</v>
      </c>
      <c r="T1061" s="257">
        <v>2842966</v>
      </c>
      <c r="U1061" s="257">
        <v>3076165</v>
      </c>
      <c r="V1061" s="257">
        <v>4390773</v>
      </c>
      <c r="W1061" s="257">
        <v>4390773</v>
      </c>
      <c r="X1061" s="257">
        <v>4437686</v>
      </c>
      <c r="Y1061" s="257">
        <v>3783933</v>
      </c>
      <c r="Z1061" s="249">
        <f ca="1">[1]ExtEntry!$P62</f>
        <v>3783933</v>
      </c>
      <c r="AB1061" s="277">
        <v>51</v>
      </c>
      <c r="AC1061" s="277">
        <v>44</v>
      </c>
      <c r="AD1061" s="277">
        <v>39</v>
      </c>
      <c r="AE1061" s="253">
        <v>34</v>
      </c>
      <c r="AF1061" s="253">
        <v>31</v>
      </c>
      <c r="AG1061" s="253">
        <v>36</v>
      </c>
      <c r="AH1061" s="253">
        <v>46</v>
      </c>
      <c r="AI1061" s="253">
        <v>49</v>
      </c>
      <c r="AJ1061" s="253">
        <v>46</v>
      </c>
      <c r="AK1061" s="253">
        <v>41</v>
      </c>
      <c r="AL1061" s="253">
        <v>49</v>
      </c>
      <c r="AM1061" s="253">
        <v>64</v>
      </c>
      <c r="AN1061" s="253">
        <v>62</v>
      </c>
      <c r="AO1061" s="277">
        <v>64</v>
      </c>
      <c r="AP1061" s="277">
        <v>60</v>
      </c>
      <c r="AQ1061" s="277">
        <v>60</v>
      </c>
      <c r="AR1061" s="277">
        <v>61</v>
      </c>
      <c r="AS1061" s="277">
        <v>65</v>
      </c>
      <c r="AT1061" s="277">
        <v>74</v>
      </c>
      <c r="AU1061" s="277">
        <v>65</v>
      </c>
      <c r="AV1061" s="277">
        <f t="shared" si="88"/>
        <v>65</v>
      </c>
      <c r="AX1061" s="88" t="str">
        <f t="shared" ca="1" si="86"/>
        <v>MVEORA</v>
      </c>
    </row>
    <row r="1062" spans="1:50" hidden="1">
      <c r="A1062" s="88" t="str">
        <f t="shared" ca="1" si="85"/>
        <v>MVERWE</v>
      </c>
      <c r="C1062" s="1">
        <v>63</v>
      </c>
      <c r="F1062" s="257">
        <v>1338643</v>
      </c>
      <c r="G1062" s="257">
        <v>6189</v>
      </c>
      <c r="H1062" s="257">
        <v>10704</v>
      </c>
      <c r="I1062" s="257">
        <v>6644</v>
      </c>
      <c r="J1062" s="257">
        <v>592</v>
      </c>
      <c r="K1062" s="257">
        <v>6509</v>
      </c>
      <c r="L1062" s="257">
        <v>12238</v>
      </c>
      <c r="M1062" s="257">
        <v>7968</v>
      </c>
      <c r="N1062" s="257">
        <v>2682</v>
      </c>
      <c r="O1062" s="257">
        <v>4550</v>
      </c>
      <c r="P1062" s="257">
        <v>2072</v>
      </c>
      <c r="Q1062" s="257">
        <v>6519</v>
      </c>
      <c r="R1062" s="257">
        <v>6785</v>
      </c>
      <c r="S1062" s="257">
        <v>4500</v>
      </c>
      <c r="T1062" s="257">
        <v>3174</v>
      </c>
      <c r="U1062" s="257">
        <v>4550</v>
      </c>
      <c r="V1062" s="257">
        <v>30266</v>
      </c>
      <c r="W1062" s="257">
        <v>30266</v>
      </c>
      <c r="X1062" s="257">
        <v>2249</v>
      </c>
      <c r="Y1062" s="257">
        <v>1740</v>
      </c>
      <c r="Z1062" s="249">
        <f ca="1">[1]ExtEntry!$P63</f>
        <v>1189372</v>
      </c>
      <c r="AB1062" s="277">
        <v>73</v>
      </c>
      <c r="AC1062" s="277">
        <v>75</v>
      </c>
      <c r="AD1062" s="277">
        <v>79</v>
      </c>
      <c r="AE1062" s="253">
        <v>77</v>
      </c>
      <c r="AF1062" s="253">
        <v>77</v>
      </c>
      <c r="AG1062" s="253">
        <v>84</v>
      </c>
      <c r="AH1062" s="253">
        <v>94</v>
      </c>
      <c r="AI1062" s="253">
        <v>89</v>
      </c>
      <c r="AJ1062" s="253">
        <v>90</v>
      </c>
      <c r="AK1062" s="253">
        <v>89</v>
      </c>
      <c r="AL1062" s="253">
        <v>82</v>
      </c>
      <c r="AM1062" s="253">
        <v>81</v>
      </c>
      <c r="AN1062" s="253">
        <v>83</v>
      </c>
      <c r="AO1062" s="277">
        <v>75</v>
      </c>
      <c r="AP1062" s="277">
        <v>75</v>
      </c>
      <c r="AQ1062" s="277">
        <v>68</v>
      </c>
      <c r="AR1062" s="277">
        <v>57</v>
      </c>
      <c r="AS1062" s="277">
        <v>56</v>
      </c>
      <c r="AT1062" s="277">
        <v>50</v>
      </c>
      <c r="AU1062" s="277">
        <v>56</v>
      </c>
      <c r="AV1062" s="277">
        <f t="shared" si="88"/>
        <v>56</v>
      </c>
      <c r="AX1062" s="88" t="str">
        <f t="shared" ca="1" si="86"/>
        <v>MVERWE</v>
      </c>
    </row>
    <row r="1063" spans="1:50" hidden="1">
      <c r="A1063" s="88" t="str">
        <f t="shared" ca="1" si="85"/>
        <v>MVESAP</v>
      </c>
      <c r="C1063" s="1">
        <v>64</v>
      </c>
      <c r="F1063" s="257">
        <v>950657</v>
      </c>
      <c r="G1063" s="257">
        <v>1125092</v>
      </c>
      <c r="H1063" s="257">
        <v>1257008</v>
      </c>
      <c r="I1063" s="257">
        <v>1197910</v>
      </c>
      <c r="J1063" s="257">
        <v>1072154</v>
      </c>
      <c r="K1063" s="257">
        <v>1354466</v>
      </c>
      <c r="L1063" s="257">
        <v>1357884</v>
      </c>
      <c r="M1063" s="257">
        <v>926821</v>
      </c>
      <c r="N1063" s="257">
        <v>155340</v>
      </c>
      <c r="O1063" s="257">
        <v>738717</v>
      </c>
      <c r="P1063" s="257">
        <v>1319040</v>
      </c>
      <c r="Q1063" s="257">
        <v>1102569</v>
      </c>
      <c r="R1063" s="257">
        <v>1149922</v>
      </c>
      <c r="S1063" s="257">
        <v>1160814</v>
      </c>
      <c r="T1063" s="257">
        <v>1404631</v>
      </c>
      <c r="U1063" s="257">
        <v>1444043</v>
      </c>
      <c r="V1063" s="257">
        <v>1752971</v>
      </c>
      <c r="W1063" s="257">
        <v>1752971</v>
      </c>
      <c r="X1063" s="257">
        <v>3172728</v>
      </c>
      <c r="Y1063" s="257">
        <v>1802588</v>
      </c>
      <c r="Z1063" s="249">
        <f ca="1">[1]ExtEntry!$P64</f>
        <v>1802588</v>
      </c>
      <c r="AB1063" s="277">
        <v>35</v>
      </c>
      <c r="AC1063" s="277">
        <v>41</v>
      </c>
      <c r="AD1063" s="277">
        <v>40</v>
      </c>
      <c r="AE1063" s="253">
        <v>53</v>
      </c>
      <c r="AF1063" s="253">
        <v>58</v>
      </c>
      <c r="AG1063" s="253">
        <v>68</v>
      </c>
      <c r="AH1063" s="253">
        <v>57</v>
      </c>
      <c r="AI1063" s="253">
        <v>63</v>
      </c>
      <c r="AJ1063" s="253">
        <v>68</v>
      </c>
      <c r="AK1063" s="253">
        <v>78</v>
      </c>
      <c r="AL1063" s="253">
        <v>78</v>
      </c>
      <c r="AM1063" s="253">
        <v>77</v>
      </c>
      <c r="AN1063" s="253">
        <v>84</v>
      </c>
      <c r="AO1063" s="277">
        <v>75</v>
      </c>
      <c r="AP1063" s="277">
        <v>82</v>
      </c>
      <c r="AQ1063" s="277">
        <v>81</v>
      </c>
      <c r="AR1063" s="277">
        <v>72</v>
      </c>
      <c r="AS1063" s="277">
        <v>60</v>
      </c>
      <c r="AT1063" s="277">
        <v>70</v>
      </c>
      <c r="AU1063" s="277">
        <v>52</v>
      </c>
      <c r="AV1063" s="277">
        <f t="shared" si="88"/>
        <v>52</v>
      </c>
      <c r="AX1063" s="88" t="str">
        <f t="shared" ca="1" si="86"/>
        <v>MVESAP</v>
      </c>
    </row>
    <row r="1064" spans="1:50" hidden="1">
      <c r="A1064" s="88" t="str">
        <f t="shared" ca="1" si="85"/>
        <v>MVEUN0</v>
      </c>
      <c r="C1064" s="1">
        <v>65</v>
      </c>
      <c r="F1064" s="257">
        <v>520</v>
      </c>
      <c r="G1064" s="257">
        <v>814</v>
      </c>
      <c r="H1064" s="257">
        <v>604</v>
      </c>
      <c r="I1064" s="257">
        <v>9</v>
      </c>
      <c r="J1064" s="257">
        <v>105</v>
      </c>
      <c r="K1064" s="257">
        <v>352</v>
      </c>
      <c r="L1064" s="257">
        <v>502</v>
      </c>
      <c r="M1064" s="257">
        <v>57</v>
      </c>
      <c r="N1064" s="257">
        <v>57</v>
      </c>
      <c r="O1064" s="257">
        <v>920</v>
      </c>
      <c r="P1064" s="257">
        <v>30</v>
      </c>
      <c r="Q1064" s="257">
        <v>322</v>
      </c>
      <c r="R1064" s="257">
        <v>70</v>
      </c>
      <c r="S1064" s="257">
        <v>188</v>
      </c>
      <c r="T1064" s="257">
        <v>7</v>
      </c>
      <c r="U1064" s="257">
        <v>111</v>
      </c>
      <c r="V1064" s="257">
        <v>536</v>
      </c>
      <c r="W1064" s="257">
        <v>536</v>
      </c>
      <c r="X1064" s="257">
        <v>118</v>
      </c>
      <c r="Y1064" s="257">
        <v>186</v>
      </c>
      <c r="Z1064" s="249">
        <f ca="1">[1]ExtEntry!$P65</f>
        <v>186</v>
      </c>
      <c r="AB1064" s="277">
        <v>31</v>
      </c>
      <c r="AC1064" s="277">
        <v>31</v>
      </c>
      <c r="AD1064" s="277">
        <v>24</v>
      </c>
      <c r="AE1064" s="253">
        <v>24</v>
      </c>
      <c r="AF1064" s="253">
        <v>27</v>
      </c>
      <c r="AG1064" s="253">
        <v>24</v>
      </c>
      <c r="AH1064" s="253">
        <v>29</v>
      </c>
      <c r="AI1064" s="253">
        <v>38</v>
      </c>
      <c r="AJ1064" s="253">
        <v>43</v>
      </c>
      <c r="AK1064" s="253">
        <v>40</v>
      </c>
      <c r="AL1064" s="253">
        <v>43</v>
      </c>
      <c r="AM1064" s="253">
        <v>44</v>
      </c>
      <c r="AN1064" s="253">
        <v>44</v>
      </c>
      <c r="AO1064" s="277">
        <v>43</v>
      </c>
      <c r="AP1064" s="277">
        <v>49</v>
      </c>
      <c r="AQ1064" s="277">
        <v>45</v>
      </c>
      <c r="AR1064" s="277">
        <v>47</v>
      </c>
      <c r="AS1064" s="277">
        <v>49</v>
      </c>
      <c r="AT1064" s="277">
        <v>42</v>
      </c>
      <c r="AU1064" s="277">
        <v>44</v>
      </c>
      <c r="AV1064" s="277">
        <f t="shared" si="88"/>
        <v>44</v>
      </c>
      <c r="AX1064" s="88" t="str">
        <f t="shared" ca="1" si="86"/>
        <v>MVEUN0</v>
      </c>
    </row>
    <row r="1065" spans="1:50" hidden="1">
      <c r="A1065" s="88" t="str">
        <f t="shared" ca="1" si="85"/>
        <v>SAFAAPL</v>
      </c>
      <c r="C1065" s="1">
        <v>66</v>
      </c>
      <c r="F1065" s="257">
        <v>19564207</v>
      </c>
      <c r="G1065" s="257">
        <v>37658524</v>
      </c>
      <c r="H1065" s="257">
        <v>48661066</v>
      </c>
      <c r="I1065" s="257">
        <v>42553706</v>
      </c>
      <c r="J1065" s="257">
        <v>49101306</v>
      </c>
      <c r="K1065" s="257">
        <v>31925240</v>
      </c>
      <c r="L1065" s="257">
        <v>36466160</v>
      </c>
      <c r="M1065" s="257">
        <v>38271159</v>
      </c>
      <c r="N1065" s="257">
        <v>60656</v>
      </c>
      <c r="O1065" s="257">
        <v>35970054</v>
      </c>
      <c r="P1065" s="257">
        <v>33863532</v>
      </c>
      <c r="Q1065" s="257">
        <v>21436671</v>
      </c>
      <c r="R1065" s="257">
        <v>39640513</v>
      </c>
      <c r="S1065" s="257">
        <v>49146961</v>
      </c>
      <c r="T1065" s="257">
        <v>90216104</v>
      </c>
      <c r="U1065" s="257">
        <v>46613165</v>
      </c>
      <c r="V1065" s="257">
        <v>42920813</v>
      </c>
      <c r="W1065" s="257">
        <v>42922516</v>
      </c>
      <c r="X1065" s="257">
        <v>32635133</v>
      </c>
      <c r="Y1065" s="257">
        <v>38135771</v>
      </c>
      <c r="Z1065" s="249">
        <f ca="1">[1]ExtEntry!$P66</f>
        <v>38253717</v>
      </c>
      <c r="AB1065" s="277">
        <v>83</v>
      </c>
      <c r="AC1065" s="277">
        <v>82</v>
      </c>
      <c r="AD1065" s="277">
        <v>81</v>
      </c>
      <c r="AE1065" s="253">
        <v>80</v>
      </c>
      <c r="AF1065" s="253">
        <v>79</v>
      </c>
      <c r="AG1065" s="253">
        <v>78</v>
      </c>
      <c r="AH1065" s="253">
        <v>81</v>
      </c>
      <c r="AI1065" s="253">
        <v>68</v>
      </c>
      <c r="AJ1065" s="253">
        <v>53</v>
      </c>
      <c r="AK1065" s="253">
        <v>44</v>
      </c>
      <c r="AL1065" s="253">
        <v>46</v>
      </c>
      <c r="AM1065" s="253">
        <v>54</v>
      </c>
      <c r="AN1065" s="253">
        <v>40</v>
      </c>
      <c r="AO1065" s="277">
        <v>53</v>
      </c>
      <c r="AP1065" s="277">
        <v>70</v>
      </c>
      <c r="AQ1065" s="277">
        <v>70</v>
      </c>
      <c r="AR1065" s="277">
        <v>61</v>
      </c>
      <c r="AS1065" s="277">
        <v>53</v>
      </c>
      <c r="AT1065" s="277">
        <v>54</v>
      </c>
      <c r="AU1065" s="277">
        <v>57</v>
      </c>
      <c r="AV1065" s="277">
        <f t="shared" si="88"/>
        <v>57</v>
      </c>
      <c r="AX1065" s="88" t="str">
        <f t="shared" ca="1" si="86"/>
        <v>SAFAAPL</v>
      </c>
    </row>
    <row r="1066" spans="1:50" hidden="1">
      <c r="A1066" s="88" t="str">
        <f t="shared" ca="1" si="85"/>
        <v>SAFAMZN</v>
      </c>
      <c r="C1066" s="1">
        <v>67</v>
      </c>
      <c r="F1066" s="257">
        <v>20263122</v>
      </c>
      <c r="G1066" s="257">
        <v>48251037</v>
      </c>
      <c r="H1066" s="257">
        <v>43852797</v>
      </c>
      <c r="I1066" s="257">
        <v>41156167</v>
      </c>
      <c r="J1066" s="257">
        <v>43551661</v>
      </c>
      <c r="K1066" s="257">
        <v>31155886</v>
      </c>
      <c r="L1066" s="257">
        <v>46599754</v>
      </c>
      <c r="M1066" s="257">
        <v>46322512</v>
      </c>
      <c r="N1066" s="257">
        <v>114244</v>
      </c>
      <c r="O1066" s="257">
        <v>37230868</v>
      </c>
      <c r="P1066" s="257">
        <v>44484935</v>
      </c>
      <c r="Q1066" s="257">
        <v>36401719</v>
      </c>
      <c r="R1066" s="257">
        <v>42173673</v>
      </c>
      <c r="S1066" s="257">
        <v>45986944</v>
      </c>
      <c r="T1066" s="257">
        <v>37990094</v>
      </c>
      <c r="U1066" s="257">
        <v>48555837</v>
      </c>
      <c r="V1066" s="257">
        <v>43584721</v>
      </c>
      <c r="W1066" s="257">
        <v>43592700</v>
      </c>
      <c r="X1066" s="257">
        <v>31406990</v>
      </c>
      <c r="Y1066" s="257">
        <v>38542660</v>
      </c>
      <c r="Z1066" s="249">
        <f ca="1">[1]ExtEntry!$P67</f>
        <v>38685053</v>
      </c>
      <c r="AB1066" s="277">
        <v>49</v>
      </c>
      <c r="AC1066" s="277">
        <v>45</v>
      </c>
      <c r="AD1066" s="277">
        <v>50</v>
      </c>
      <c r="AE1066" s="253">
        <v>44</v>
      </c>
      <c r="AF1066" s="253">
        <v>32</v>
      </c>
      <c r="AG1066" s="253">
        <v>28</v>
      </c>
      <c r="AH1066" s="253">
        <v>37</v>
      </c>
      <c r="AI1066" s="253">
        <v>41</v>
      </c>
      <c r="AJ1066" s="253">
        <v>45</v>
      </c>
      <c r="AK1066" s="253">
        <v>55</v>
      </c>
      <c r="AL1066" s="253">
        <v>61</v>
      </c>
      <c r="AM1066" s="253">
        <v>59</v>
      </c>
      <c r="AN1066" s="253">
        <v>61</v>
      </c>
      <c r="AO1066" s="277">
        <v>56</v>
      </c>
      <c r="AP1066" s="277">
        <v>60</v>
      </c>
      <c r="AQ1066" s="277">
        <v>70</v>
      </c>
      <c r="AR1066" s="277">
        <v>61</v>
      </c>
      <c r="AS1066" s="277">
        <v>54</v>
      </c>
      <c r="AT1066" s="277">
        <v>61</v>
      </c>
      <c r="AU1066" s="277">
        <v>63</v>
      </c>
      <c r="AV1066" s="277">
        <f t="shared" si="88"/>
        <v>63</v>
      </c>
      <c r="AX1066" s="88" t="str">
        <f t="shared" ca="1" si="86"/>
        <v>SAFAMZN</v>
      </c>
    </row>
    <row r="1067" spans="1:50" hidden="1">
      <c r="A1067" s="88" t="str">
        <f t="shared" ref="A1067:A1094" ca="1" si="89">A70</f>
        <v>SAFASML</v>
      </c>
      <c r="C1067" s="1">
        <v>68</v>
      </c>
      <c r="F1067" s="257">
        <v>531762</v>
      </c>
      <c r="G1067" s="257">
        <v>1300405</v>
      </c>
      <c r="H1067" s="257">
        <v>1961647</v>
      </c>
      <c r="I1067" s="257">
        <v>1686497</v>
      </c>
      <c r="J1067" s="257">
        <v>1349851</v>
      </c>
      <c r="K1067" s="257">
        <v>622890</v>
      </c>
      <c r="L1067" s="257">
        <v>1055860</v>
      </c>
      <c r="M1067" s="257">
        <v>728171</v>
      </c>
      <c r="N1067" s="257">
        <v>174195</v>
      </c>
      <c r="O1067" s="257">
        <v>777896</v>
      </c>
      <c r="P1067" s="257">
        <v>706297</v>
      </c>
      <c r="Q1067" s="257">
        <v>1192298</v>
      </c>
      <c r="R1067" s="257">
        <v>703225</v>
      </c>
      <c r="S1067" s="257">
        <v>859995</v>
      </c>
      <c r="T1067" s="257">
        <v>530812</v>
      </c>
      <c r="U1067" s="257">
        <v>450669</v>
      </c>
      <c r="V1067" s="257">
        <v>537993</v>
      </c>
      <c r="W1067" s="257">
        <v>537993</v>
      </c>
      <c r="X1067" s="257">
        <v>746164</v>
      </c>
      <c r="Y1067" s="257">
        <v>500510</v>
      </c>
      <c r="Z1067" s="249">
        <f ca="1">[1]ExtEntry!$P68</f>
        <v>500510</v>
      </c>
      <c r="AB1067" s="277">
        <v>93</v>
      </c>
      <c r="AC1067" s="277">
        <v>93</v>
      </c>
      <c r="AD1067" s="277">
        <v>94</v>
      </c>
      <c r="AE1067" s="253">
        <v>94</v>
      </c>
      <c r="AF1067" s="253">
        <v>93</v>
      </c>
      <c r="AG1067" s="253">
        <v>82</v>
      </c>
      <c r="AH1067" s="253">
        <v>65</v>
      </c>
      <c r="AI1067" s="253">
        <v>65</v>
      </c>
      <c r="AJ1067" s="253">
        <v>62</v>
      </c>
      <c r="AK1067" s="253">
        <v>65</v>
      </c>
      <c r="AL1067" s="253">
        <v>64</v>
      </c>
      <c r="AM1067" s="253">
        <v>72</v>
      </c>
      <c r="AN1067" s="253">
        <v>72</v>
      </c>
      <c r="AO1067" s="277">
        <v>71</v>
      </c>
      <c r="AP1067" s="277">
        <v>73</v>
      </c>
      <c r="AQ1067" s="277">
        <v>69</v>
      </c>
      <c r="AR1067" s="277">
        <v>57</v>
      </c>
      <c r="AS1067" s="277">
        <v>45</v>
      </c>
      <c r="AT1067" s="277">
        <v>50</v>
      </c>
      <c r="AU1067" s="277">
        <v>57</v>
      </c>
      <c r="AV1067" s="277">
        <f t="shared" si="88"/>
        <v>57</v>
      </c>
      <c r="AX1067" s="88" t="str">
        <f t="shared" ref="AX1067:AX1095" ca="1" si="90">A70</f>
        <v>SAFASML</v>
      </c>
    </row>
    <row r="1068" spans="1:50" hidden="1">
      <c r="A1068" s="88" t="str">
        <f t="shared" ca="1" si="89"/>
        <v>SAFDDD</v>
      </c>
      <c r="C1068" s="1">
        <v>69</v>
      </c>
      <c r="F1068" s="257">
        <v>4419324</v>
      </c>
      <c r="G1068" s="257">
        <v>4860476</v>
      </c>
      <c r="H1068" s="257">
        <v>3099880</v>
      </c>
      <c r="I1068" s="257">
        <v>4917670</v>
      </c>
      <c r="J1068" s="257">
        <v>5742994</v>
      </c>
      <c r="K1068" s="257">
        <v>8411642</v>
      </c>
      <c r="L1068" s="257">
        <v>4160292</v>
      </c>
      <c r="M1068" s="257">
        <v>4235877</v>
      </c>
      <c r="N1068" s="257">
        <v>642</v>
      </c>
      <c r="O1068" s="257">
        <v>3929814</v>
      </c>
      <c r="P1068" s="257">
        <v>2743317</v>
      </c>
      <c r="Q1068" s="257">
        <v>2866750</v>
      </c>
      <c r="R1068" s="257">
        <v>4907524</v>
      </c>
      <c r="S1068" s="257">
        <v>3756199</v>
      </c>
      <c r="T1068" s="257">
        <v>7265638</v>
      </c>
      <c r="U1068" s="257">
        <v>5877521</v>
      </c>
      <c r="V1068" s="257">
        <v>4894243</v>
      </c>
      <c r="W1068" s="257">
        <v>4894281</v>
      </c>
      <c r="X1068" s="257">
        <v>2812934</v>
      </c>
      <c r="Y1068" s="257">
        <v>3306967</v>
      </c>
      <c r="Z1068" s="249">
        <f ca="1">[1]ExtEntry!$P69</f>
        <v>3333984</v>
      </c>
      <c r="AB1068" s="277">
        <v>81</v>
      </c>
      <c r="AC1068" s="277">
        <v>75</v>
      </c>
      <c r="AD1068" s="277">
        <v>75</v>
      </c>
      <c r="AE1068" s="253">
        <v>76</v>
      </c>
      <c r="AF1068" s="253">
        <v>77</v>
      </c>
      <c r="AG1068" s="253">
        <v>75</v>
      </c>
      <c r="AH1068" s="253">
        <v>73</v>
      </c>
      <c r="AI1068" s="253">
        <v>71</v>
      </c>
      <c r="AJ1068" s="253">
        <v>69</v>
      </c>
      <c r="AK1068" s="253">
        <v>76</v>
      </c>
      <c r="AL1068" s="253">
        <v>68</v>
      </c>
      <c r="AM1068" s="253">
        <v>70</v>
      </c>
      <c r="AN1068" s="253">
        <v>70</v>
      </c>
      <c r="AO1068" s="277">
        <v>56</v>
      </c>
      <c r="AP1068" s="277">
        <v>77</v>
      </c>
      <c r="AQ1068" s="277">
        <v>64</v>
      </c>
      <c r="AR1068" s="277">
        <v>55</v>
      </c>
      <c r="AS1068" s="277">
        <v>46</v>
      </c>
      <c r="AT1068" s="277">
        <v>45</v>
      </c>
      <c r="AU1068" s="277">
        <v>46</v>
      </c>
      <c r="AV1068" s="277">
        <f t="shared" si="88"/>
        <v>46</v>
      </c>
      <c r="AX1068" s="88" t="str">
        <f t="shared" ca="1" si="90"/>
        <v>SAFDDD</v>
      </c>
    </row>
    <row r="1069" spans="1:50" hidden="1">
      <c r="A1069" s="88" t="str">
        <f t="shared" ca="1" si="89"/>
        <v>SAFDIS</v>
      </c>
      <c r="C1069" s="1">
        <v>70</v>
      </c>
      <c r="F1069" s="257">
        <v>3292425</v>
      </c>
      <c r="G1069" s="257">
        <v>9296484</v>
      </c>
      <c r="H1069" s="257">
        <v>9673683</v>
      </c>
      <c r="I1069" s="257">
        <v>8681888</v>
      </c>
      <c r="J1069" s="257">
        <v>7147696</v>
      </c>
      <c r="K1069" s="257">
        <v>5407659</v>
      </c>
      <c r="L1069" s="257">
        <v>7069598</v>
      </c>
      <c r="M1069" s="257">
        <v>6496074</v>
      </c>
      <c r="N1069" s="257">
        <v>6874</v>
      </c>
      <c r="O1069" s="257">
        <v>7089569</v>
      </c>
      <c r="P1069" s="257">
        <v>7487217</v>
      </c>
      <c r="Q1069" s="257">
        <v>4461070</v>
      </c>
      <c r="R1069" s="257">
        <v>7497362</v>
      </c>
      <c r="S1069" s="257">
        <v>10090543</v>
      </c>
      <c r="T1069" s="257">
        <v>7852558</v>
      </c>
      <c r="U1069" s="257">
        <v>7895984</v>
      </c>
      <c r="V1069" s="257">
        <v>7089159</v>
      </c>
      <c r="W1069" s="257">
        <v>7089234</v>
      </c>
      <c r="X1069" s="257">
        <v>6941871</v>
      </c>
      <c r="Y1069" s="257">
        <v>6225525</v>
      </c>
      <c r="Z1069" s="249">
        <f ca="1">[1]ExtEntry!$P70</f>
        <v>6235183</v>
      </c>
      <c r="AB1069" s="277">
        <v>33</v>
      </c>
      <c r="AC1069" s="277">
        <v>23</v>
      </c>
      <c r="AD1069" s="277">
        <v>22</v>
      </c>
      <c r="AE1069" s="253">
        <v>21</v>
      </c>
      <c r="AF1069" s="253">
        <v>24</v>
      </c>
      <c r="AG1069" s="253">
        <v>24</v>
      </c>
      <c r="AH1069" s="253">
        <v>26</v>
      </c>
      <c r="AI1069" s="253">
        <v>26</v>
      </c>
      <c r="AJ1069" s="253">
        <v>27</v>
      </c>
      <c r="AK1069" s="253">
        <v>39</v>
      </c>
      <c r="AL1069" s="253">
        <v>46</v>
      </c>
      <c r="AM1069" s="253">
        <v>44</v>
      </c>
      <c r="AN1069" s="253">
        <v>38</v>
      </c>
      <c r="AO1069" s="277">
        <v>40</v>
      </c>
      <c r="AP1069" s="277">
        <v>43</v>
      </c>
      <c r="AQ1069" s="277">
        <v>53</v>
      </c>
      <c r="AR1069" s="277">
        <v>54</v>
      </c>
      <c r="AS1069" s="277">
        <v>52</v>
      </c>
      <c r="AT1069" s="277">
        <v>51</v>
      </c>
      <c r="AU1069" s="277">
        <v>47</v>
      </c>
      <c r="AV1069" s="277">
        <f t="shared" si="88"/>
        <v>47</v>
      </c>
      <c r="AX1069" s="88" t="str">
        <f t="shared" ca="1" si="90"/>
        <v>SAFDIS</v>
      </c>
    </row>
    <row r="1070" spans="1:50" hidden="1">
      <c r="A1070" s="88" t="str">
        <f t="shared" ca="1" si="89"/>
        <v>SAFGM</v>
      </c>
      <c r="C1070" s="1">
        <v>71</v>
      </c>
      <c r="F1070" s="257">
        <v>3075679</v>
      </c>
      <c r="G1070" s="257">
        <v>6963433</v>
      </c>
      <c r="H1070" s="257">
        <v>8092184</v>
      </c>
      <c r="I1070" s="257">
        <v>9611507</v>
      </c>
      <c r="J1070" s="257">
        <v>13029466</v>
      </c>
      <c r="K1070" s="257">
        <v>10686034</v>
      </c>
      <c r="L1070" s="257">
        <v>5429536</v>
      </c>
      <c r="M1070" s="257">
        <v>5440802</v>
      </c>
      <c r="N1070" s="257">
        <v>248</v>
      </c>
      <c r="O1070" s="257">
        <v>3943944</v>
      </c>
      <c r="P1070" s="257">
        <v>8198548</v>
      </c>
      <c r="Q1070" s="257">
        <v>5423339</v>
      </c>
      <c r="R1070" s="257">
        <v>6028033</v>
      </c>
      <c r="S1070" s="257">
        <v>7956170</v>
      </c>
      <c r="T1070" s="257">
        <v>10157068</v>
      </c>
      <c r="U1070" s="257">
        <v>43520902</v>
      </c>
      <c r="V1070" s="257">
        <v>18785216</v>
      </c>
      <c r="W1070" s="257">
        <v>18785740</v>
      </c>
      <c r="X1070" s="257">
        <v>12642465</v>
      </c>
      <c r="Y1070" s="257">
        <v>12552438</v>
      </c>
      <c r="Z1070" s="249">
        <f ca="1">[1]ExtEntry!$P71</f>
        <v>12570973</v>
      </c>
      <c r="AB1070" s="277">
        <v>69</v>
      </c>
      <c r="AC1070" s="277">
        <v>61</v>
      </c>
      <c r="AD1070" s="277">
        <v>65</v>
      </c>
      <c r="AE1070" s="253">
        <v>48</v>
      </c>
      <c r="AF1070" s="253">
        <v>51</v>
      </c>
      <c r="AG1070" s="253">
        <v>48</v>
      </c>
      <c r="AH1070" s="253">
        <v>40</v>
      </c>
      <c r="AI1070" s="253">
        <v>40</v>
      </c>
      <c r="AJ1070" s="253">
        <v>39</v>
      </c>
      <c r="AK1070" s="253">
        <v>42</v>
      </c>
      <c r="AL1070" s="253">
        <v>51</v>
      </c>
      <c r="AM1070" s="253">
        <v>48</v>
      </c>
      <c r="AN1070" s="253">
        <v>42</v>
      </c>
      <c r="AO1070" s="277">
        <v>45</v>
      </c>
      <c r="AP1070" s="277">
        <v>45</v>
      </c>
      <c r="AQ1070" s="277">
        <v>71</v>
      </c>
      <c r="AR1070" s="277">
        <v>71</v>
      </c>
      <c r="AS1070" s="277">
        <v>80</v>
      </c>
      <c r="AT1070" s="277">
        <v>77</v>
      </c>
      <c r="AU1070" s="277">
        <v>84</v>
      </c>
      <c r="AV1070" s="277">
        <f t="shared" si="88"/>
        <v>84</v>
      </c>
      <c r="AX1070" s="88" t="str">
        <f t="shared" ca="1" si="90"/>
        <v>SAFGM</v>
      </c>
    </row>
    <row r="1071" spans="1:50" hidden="1">
      <c r="A1071" s="88" t="str">
        <f t="shared" ca="1" si="89"/>
        <v>SAFIAG</v>
      </c>
      <c r="C1071" s="1">
        <v>72</v>
      </c>
      <c r="F1071" s="257">
        <v>10873416</v>
      </c>
      <c r="G1071" s="257">
        <v>10887007</v>
      </c>
      <c r="H1071" s="257">
        <v>14955664</v>
      </c>
      <c r="I1071" s="257">
        <v>10404912</v>
      </c>
      <c r="J1071" s="257">
        <v>8000175</v>
      </c>
      <c r="K1071" s="257">
        <v>14884576</v>
      </c>
      <c r="L1071" s="257">
        <v>27636638</v>
      </c>
      <c r="M1071" s="257">
        <v>26579992</v>
      </c>
      <c r="N1071" s="257">
        <v>3644412</v>
      </c>
      <c r="O1071" s="257">
        <v>8302293</v>
      </c>
      <c r="P1071" s="257">
        <v>11820099</v>
      </c>
      <c r="Q1071" s="257">
        <v>13565027</v>
      </c>
      <c r="R1071" s="257">
        <v>9228094</v>
      </c>
      <c r="S1071" s="257">
        <v>12861926</v>
      </c>
      <c r="T1071" s="257">
        <v>8774463</v>
      </c>
      <c r="U1071" s="257">
        <v>7465571</v>
      </c>
      <c r="V1071" s="257">
        <v>12700368</v>
      </c>
      <c r="W1071" s="257">
        <v>12700368</v>
      </c>
      <c r="X1071" s="257">
        <v>9874009</v>
      </c>
      <c r="Y1071" s="257">
        <v>14720617</v>
      </c>
      <c r="Z1071" s="249">
        <f ca="1">[1]ExtEntry!$P72</f>
        <v>14720617</v>
      </c>
      <c r="AB1071" s="277">
        <v>49</v>
      </c>
      <c r="AC1071" s="277">
        <v>52</v>
      </c>
      <c r="AD1071" s="277">
        <v>42</v>
      </c>
      <c r="AE1071" s="253">
        <v>47</v>
      </c>
      <c r="AF1071" s="253">
        <v>43</v>
      </c>
      <c r="AG1071" s="253">
        <v>50</v>
      </c>
      <c r="AH1071" s="253">
        <v>65</v>
      </c>
      <c r="AI1071" s="253">
        <v>73</v>
      </c>
      <c r="AJ1071" s="253">
        <v>67</v>
      </c>
      <c r="AK1071" s="253">
        <v>74</v>
      </c>
      <c r="AL1071" s="253">
        <v>72</v>
      </c>
      <c r="AM1071" s="253">
        <v>70</v>
      </c>
      <c r="AN1071" s="253">
        <v>71</v>
      </c>
      <c r="AO1071" s="277">
        <v>55</v>
      </c>
      <c r="AP1071" s="277">
        <v>57</v>
      </c>
      <c r="AQ1071" s="277">
        <v>54</v>
      </c>
      <c r="AR1071" s="277">
        <v>65</v>
      </c>
      <c r="AS1071" s="277">
        <v>66</v>
      </c>
      <c r="AT1071" s="277">
        <v>67</v>
      </c>
      <c r="AU1071" s="277">
        <v>69</v>
      </c>
      <c r="AV1071" s="277">
        <f t="shared" si="88"/>
        <v>69</v>
      </c>
      <c r="AX1071" s="88" t="str">
        <f t="shared" ca="1" si="90"/>
        <v>SAFIAG</v>
      </c>
    </row>
    <row r="1072" spans="1:50" hidden="1">
      <c r="A1072" s="88" t="str">
        <f t="shared" ca="1" si="89"/>
        <v>SAFMRNA</v>
      </c>
      <c r="C1072" s="1">
        <v>73</v>
      </c>
      <c r="F1072" s="257">
        <v>3940400</v>
      </c>
      <c r="G1072" s="257">
        <v>9609167</v>
      </c>
      <c r="H1072" s="257">
        <v>17565296</v>
      </c>
      <c r="I1072" s="257">
        <v>10045246</v>
      </c>
      <c r="J1072" s="257">
        <v>8116467</v>
      </c>
      <c r="K1072" s="257">
        <v>6067239</v>
      </c>
      <c r="L1072" s="257">
        <v>12296769</v>
      </c>
      <c r="M1072" s="257">
        <v>6844784</v>
      </c>
      <c r="N1072" s="257">
        <v>8876</v>
      </c>
      <c r="O1072" s="257">
        <v>8450075</v>
      </c>
      <c r="P1072" s="257">
        <v>6991828</v>
      </c>
      <c r="Q1072" s="257">
        <v>6350539</v>
      </c>
      <c r="R1072" s="257">
        <v>7845862</v>
      </c>
      <c r="S1072" s="257">
        <v>10115868</v>
      </c>
      <c r="T1072" s="257">
        <v>11486556</v>
      </c>
      <c r="U1072" s="257">
        <v>6124518</v>
      </c>
      <c r="V1072" s="257">
        <v>7168288</v>
      </c>
      <c r="W1072" s="257">
        <v>7210959</v>
      </c>
      <c r="X1072" s="257">
        <v>8709351</v>
      </c>
      <c r="Y1072" s="257">
        <v>6477352</v>
      </c>
      <c r="Z1072" s="249">
        <f ca="1">[1]ExtEntry!$P73</f>
        <v>6494118</v>
      </c>
      <c r="AB1072" s="277">
        <v>55</v>
      </c>
      <c r="AC1072" s="277">
        <v>53</v>
      </c>
      <c r="AD1072" s="277">
        <v>72</v>
      </c>
      <c r="AE1072" s="253">
        <v>74</v>
      </c>
      <c r="AF1072" s="253">
        <v>73</v>
      </c>
      <c r="AG1072" s="253">
        <v>68</v>
      </c>
      <c r="AH1072" s="253">
        <v>69</v>
      </c>
      <c r="AI1072" s="253">
        <v>67</v>
      </c>
      <c r="AJ1072" s="253">
        <v>66</v>
      </c>
      <c r="AK1072" s="253">
        <v>57</v>
      </c>
      <c r="AL1072" s="253">
        <v>59</v>
      </c>
      <c r="AM1072" s="253">
        <v>66</v>
      </c>
      <c r="AN1072" s="253">
        <v>71</v>
      </c>
      <c r="AO1072" s="277">
        <v>63</v>
      </c>
      <c r="AP1072" s="277">
        <v>66</v>
      </c>
      <c r="AQ1072" s="277">
        <v>65</v>
      </c>
      <c r="AR1072" s="277">
        <v>53</v>
      </c>
      <c r="AS1072" s="277">
        <v>44</v>
      </c>
      <c r="AT1072" s="277">
        <v>40</v>
      </c>
      <c r="AU1072" s="277">
        <v>45</v>
      </c>
      <c r="AV1072" s="277">
        <f t="shared" si="88"/>
        <v>45</v>
      </c>
      <c r="AX1072" s="88" t="str">
        <f t="shared" ca="1" si="90"/>
        <v>SAFMRNA</v>
      </c>
    </row>
    <row r="1073" spans="1:50" hidden="1">
      <c r="A1073" s="88" t="str">
        <f t="shared" ca="1" si="89"/>
        <v>BLNK</v>
      </c>
      <c r="C1073" s="1">
        <v>74</v>
      </c>
      <c r="F1073" s="257">
        <v>6450987</v>
      </c>
      <c r="G1073" s="257">
        <v>3832050</v>
      </c>
      <c r="H1073" s="257">
        <v>5161365</v>
      </c>
      <c r="I1073" s="257">
        <v>3969149</v>
      </c>
      <c r="J1073" s="257">
        <v>13647369</v>
      </c>
      <c r="K1073" s="257">
        <v>11096060</v>
      </c>
      <c r="L1073" s="257">
        <v>12676248</v>
      </c>
      <c r="M1073" s="257">
        <v>6247726</v>
      </c>
      <c r="N1073" s="257">
        <v>18486</v>
      </c>
      <c r="O1073" s="257">
        <v>5429022</v>
      </c>
      <c r="P1073" s="257">
        <v>6103906</v>
      </c>
      <c r="Q1073" s="257">
        <v>5396557</v>
      </c>
      <c r="R1073" s="257">
        <v>6619863</v>
      </c>
      <c r="S1073" s="257">
        <v>4081986</v>
      </c>
      <c r="T1073" s="257">
        <v>2791863</v>
      </c>
      <c r="U1073" s="257">
        <v>3275107</v>
      </c>
      <c r="V1073" s="257">
        <v>4258129</v>
      </c>
      <c r="W1073" s="257">
        <v>4258180</v>
      </c>
      <c r="X1073" s="257">
        <v>1741866</v>
      </c>
      <c r="Y1073" s="257">
        <v>4469782</v>
      </c>
      <c r="Z1073" s="249">
        <f ca="1">[1]ExtEntry!$P74</f>
        <v>4538770</v>
      </c>
      <c r="AB1073" s="277">
        <v>85</v>
      </c>
      <c r="AC1073" s="277">
        <v>72</v>
      </c>
      <c r="AD1073" s="277">
        <v>75</v>
      </c>
      <c r="AE1073" s="253">
        <v>72</v>
      </c>
      <c r="AF1073" s="253">
        <v>78</v>
      </c>
      <c r="AG1073" s="253">
        <v>70</v>
      </c>
      <c r="AH1073" s="253">
        <v>65</v>
      </c>
      <c r="AI1073" s="253">
        <v>59</v>
      </c>
      <c r="AJ1073" s="253">
        <v>53</v>
      </c>
      <c r="AK1073" s="253">
        <v>58</v>
      </c>
      <c r="AL1073" s="253">
        <v>60</v>
      </c>
      <c r="AM1073" s="253">
        <v>56</v>
      </c>
      <c r="AN1073" s="253">
        <v>49</v>
      </c>
      <c r="AO1073" s="277">
        <v>47</v>
      </c>
      <c r="AP1073" s="277">
        <v>43</v>
      </c>
      <c r="AQ1073" s="277">
        <v>43</v>
      </c>
      <c r="AR1073" s="277">
        <v>37</v>
      </c>
      <c r="AS1073" s="277">
        <v>39</v>
      </c>
      <c r="AT1073" s="277">
        <v>28</v>
      </c>
      <c r="AU1073" s="277">
        <v>39</v>
      </c>
      <c r="AV1073" s="277">
        <f t="shared" si="88"/>
        <v>39</v>
      </c>
      <c r="AX1073" s="88" t="str">
        <f t="shared" ca="1" si="90"/>
        <v>BLNK</v>
      </c>
    </row>
    <row r="1074" spans="1:50" hidden="1">
      <c r="A1074" s="88" t="str">
        <f t="shared" ca="1" si="89"/>
        <v>ENI</v>
      </c>
      <c r="C1074" s="1">
        <v>75</v>
      </c>
      <c r="F1074" s="257">
        <v>10194429</v>
      </c>
      <c r="G1074" s="257">
        <v>14996939</v>
      </c>
      <c r="H1074" s="257">
        <v>9022370</v>
      </c>
      <c r="I1074" s="257">
        <v>9060318</v>
      </c>
      <c r="J1074" s="257">
        <v>8185829</v>
      </c>
      <c r="K1074" s="257">
        <v>9320041</v>
      </c>
      <c r="L1074" s="257">
        <v>10786026</v>
      </c>
      <c r="M1074" s="257">
        <v>13779846</v>
      </c>
      <c r="N1074" s="257">
        <v>3584659</v>
      </c>
      <c r="O1074" s="257">
        <v>7467022</v>
      </c>
      <c r="P1074" s="257">
        <v>14695455</v>
      </c>
      <c r="Q1074" s="257">
        <v>9345220</v>
      </c>
      <c r="R1074" s="257">
        <v>6870097</v>
      </c>
      <c r="S1074" s="257">
        <v>11973801</v>
      </c>
      <c r="T1074" s="257">
        <v>8408418</v>
      </c>
      <c r="U1074" s="257">
        <v>7832427</v>
      </c>
      <c r="V1074" s="257">
        <v>12355791</v>
      </c>
      <c r="W1074" s="257">
        <v>12355791</v>
      </c>
      <c r="X1074" s="257">
        <v>30583218</v>
      </c>
      <c r="Y1074" s="257">
        <v>21544743</v>
      </c>
      <c r="Z1074" s="249">
        <f ca="1">[1]ExtEntry!$P75</f>
        <v>21544743</v>
      </c>
      <c r="AB1074" s="277">
        <v>61</v>
      </c>
      <c r="AC1074" s="277">
        <v>54</v>
      </c>
      <c r="AD1074" s="277">
        <v>59</v>
      </c>
      <c r="AE1074" s="253">
        <v>56</v>
      </c>
      <c r="AF1074" s="253">
        <v>57</v>
      </c>
      <c r="AG1074" s="253">
        <v>57</v>
      </c>
      <c r="AH1074" s="253">
        <v>58</v>
      </c>
      <c r="AI1074" s="253">
        <v>64</v>
      </c>
      <c r="AJ1074" s="253">
        <v>61</v>
      </c>
      <c r="AK1074" s="253">
        <v>60</v>
      </c>
      <c r="AL1074" s="253">
        <v>47</v>
      </c>
      <c r="AM1074" s="253">
        <v>40</v>
      </c>
      <c r="AN1074" s="253">
        <v>40</v>
      </c>
      <c r="AO1074" s="277">
        <v>36</v>
      </c>
      <c r="AP1074" s="277">
        <v>44</v>
      </c>
      <c r="AQ1074" s="277">
        <v>53</v>
      </c>
      <c r="AR1074" s="277">
        <v>57</v>
      </c>
      <c r="AS1074" s="277">
        <v>68</v>
      </c>
      <c r="AT1074" s="277">
        <v>76</v>
      </c>
      <c r="AU1074" s="277">
        <v>78</v>
      </c>
      <c r="AV1074" s="277">
        <f t="shared" si="88"/>
        <v>78</v>
      </c>
      <c r="AX1074" s="88" t="str">
        <f t="shared" ca="1" si="90"/>
        <v>ENI</v>
      </c>
    </row>
    <row r="1075" spans="1:50" hidden="1">
      <c r="A1075" s="88" t="str">
        <f t="shared" ca="1" si="89"/>
        <v>EZJ</v>
      </c>
      <c r="C1075" s="1">
        <v>76</v>
      </c>
      <c r="F1075" s="257">
        <v>7648139</v>
      </c>
      <c r="G1075" s="257">
        <v>3312377</v>
      </c>
      <c r="H1075" s="257">
        <v>2641308</v>
      </c>
      <c r="I1075" s="257">
        <v>2205630</v>
      </c>
      <c r="J1075" s="257">
        <v>2618400</v>
      </c>
      <c r="K1075" s="257">
        <v>1913400</v>
      </c>
      <c r="L1075" s="257">
        <v>2211878</v>
      </c>
      <c r="M1075" s="257">
        <v>2763120</v>
      </c>
      <c r="N1075" s="257">
        <v>385362</v>
      </c>
      <c r="O1075" s="257">
        <v>1869095</v>
      </c>
      <c r="P1075" s="257">
        <v>15866760</v>
      </c>
      <c r="Q1075" s="257">
        <v>8229058</v>
      </c>
      <c r="R1075" s="257">
        <v>4237034</v>
      </c>
      <c r="S1075" s="257">
        <v>4787602</v>
      </c>
      <c r="T1075" s="257">
        <v>2672725</v>
      </c>
      <c r="U1075" s="257">
        <v>4180016</v>
      </c>
      <c r="V1075" s="257">
        <v>3584172</v>
      </c>
      <c r="W1075" s="257">
        <v>3584172</v>
      </c>
      <c r="X1075" s="257">
        <v>2637704</v>
      </c>
      <c r="Y1075" s="257">
        <v>2679379</v>
      </c>
      <c r="Z1075" s="249">
        <f ca="1">[1]ExtEntry!$P76</f>
        <v>2679379</v>
      </c>
      <c r="AB1075" s="277">
        <v>59</v>
      </c>
      <c r="AC1075" s="277">
        <v>58</v>
      </c>
      <c r="AD1075" s="277">
        <v>55</v>
      </c>
      <c r="AE1075" s="253">
        <v>51</v>
      </c>
      <c r="AF1075" s="253">
        <v>54</v>
      </c>
      <c r="AG1075" s="253">
        <v>65</v>
      </c>
      <c r="AH1075" s="253">
        <v>74</v>
      </c>
      <c r="AI1075" s="253">
        <v>72</v>
      </c>
      <c r="AJ1075" s="253">
        <v>68</v>
      </c>
      <c r="AK1075" s="253">
        <v>77</v>
      </c>
      <c r="AL1075" s="253">
        <v>86</v>
      </c>
      <c r="AM1075" s="253">
        <v>70</v>
      </c>
      <c r="AN1075" s="253">
        <v>74</v>
      </c>
      <c r="AO1075" s="277">
        <v>72</v>
      </c>
      <c r="AP1075" s="277">
        <v>69</v>
      </c>
      <c r="AQ1075" s="277">
        <v>63</v>
      </c>
      <c r="AR1075" s="277">
        <v>69</v>
      </c>
      <c r="AS1075" s="277">
        <v>72</v>
      </c>
      <c r="AT1075" s="277">
        <v>62</v>
      </c>
      <c r="AU1075" s="277">
        <v>66</v>
      </c>
      <c r="AV1075" s="277">
        <f t="shared" si="88"/>
        <v>66</v>
      </c>
      <c r="AX1075" s="88" t="str">
        <f t="shared" ca="1" si="90"/>
        <v>EZJ</v>
      </c>
    </row>
    <row r="1076" spans="1:50" hidden="1">
      <c r="A1076" s="88" t="str">
        <f t="shared" ca="1" si="89"/>
        <v>F</v>
      </c>
      <c r="C1076" s="1">
        <v>77</v>
      </c>
      <c r="F1076" s="257">
        <v>43740589</v>
      </c>
      <c r="G1076" s="257">
        <v>70656387</v>
      </c>
      <c r="H1076" s="257">
        <v>73530310</v>
      </c>
      <c r="I1076" s="257">
        <v>74502954</v>
      </c>
      <c r="J1076" s="257">
        <v>100651149</v>
      </c>
      <c r="K1076" s="257">
        <v>154330490</v>
      </c>
      <c r="L1076" s="257">
        <v>78437371</v>
      </c>
      <c r="M1076" s="257">
        <v>70258443</v>
      </c>
      <c r="N1076" s="257">
        <v>12618</v>
      </c>
      <c r="O1076" s="257">
        <v>73806938</v>
      </c>
      <c r="P1076" s="257">
        <v>88754958</v>
      </c>
      <c r="Q1076" s="257">
        <v>79874693</v>
      </c>
      <c r="R1076" s="257">
        <v>107799708</v>
      </c>
      <c r="S1076" s="257">
        <v>107633522</v>
      </c>
      <c r="T1076" s="257">
        <v>77843912</v>
      </c>
      <c r="U1076" s="257">
        <v>297016254</v>
      </c>
      <c r="V1076" s="257">
        <v>413872397</v>
      </c>
      <c r="W1076" s="257">
        <v>413875106</v>
      </c>
      <c r="X1076" s="257">
        <v>478152284</v>
      </c>
      <c r="Y1076" s="257">
        <v>298109399</v>
      </c>
      <c r="Z1076" s="249">
        <f ca="1">[1]ExtEntry!$P77</f>
        <v>298366862</v>
      </c>
      <c r="AB1076" s="277">
        <v>59</v>
      </c>
      <c r="AC1076" s="277">
        <v>43</v>
      </c>
      <c r="AD1076" s="277">
        <v>57</v>
      </c>
      <c r="AE1076" s="253">
        <v>57</v>
      </c>
      <c r="AF1076" s="253">
        <v>67</v>
      </c>
      <c r="AG1076" s="253">
        <v>48</v>
      </c>
      <c r="AH1076" s="253">
        <v>44</v>
      </c>
      <c r="AI1076" s="253">
        <v>42</v>
      </c>
      <c r="AJ1076" s="253">
        <v>40</v>
      </c>
      <c r="AK1076" s="253">
        <v>43</v>
      </c>
      <c r="AL1076" s="253">
        <v>44</v>
      </c>
      <c r="AM1076" s="253">
        <v>47</v>
      </c>
      <c r="AN1076" s="253">
        <v>47</v>
      </c>
      <c r="AO1076" s="277">
        <v>43</v>
      </c>
      <c r="AP1076" s="277">
        <v>46</v>
      </c>
      <c r="AQ1076" s="277">
        <v>57</v>
      </c>
      <c r="AR1076" s="277">
        <v>50</v>
      </c>
      <c r="AS1076" s="277">
        <v>49</v>
      </c>
      <c r="AT1076" s="277">
        <v>40</v>
      </c>
      <c r="AU1076" s="277">
        <v>73</v>
      </c>
      <c r="AV1076" s="277">
        <f t="shared" si="88"/>
        <v>73</v>
      </c>
      <c r="AX1076" s="88" t="str">
        <f t="shared" ca="1" si="90"/>
        <v>F</v>
      </c>
    </row>
    <row r="1077" spans="1:50" hidden="1">
      <c r="A1077" s="88" t="str">
        <f t="shared" ca="1" si="89"/>
        <v>GLE</v>
      </c>
      <c r="C1077" s="1">
        <v>78</v>
      </c>
      <c r="F1077" s="257">
        <v>1837052</v>
      </c>
      <c r="G1077" s="257">
        <v>1582022</v>
      </c>
      <c r="H1077" s="257">
        <v>1563741</v>
      </c>
      <c r="I1077" s="257">
        <v>1356327</v>
      </c>
      <c r="J1077" s="257">
        <v>1520855</v>
      </c>
      <c r="K1077" s="257">
        <v>2778486</v>
      </c>
      <c r="L1077" s="257">
        <v>2275311</v>
      </c>
      <c r="M1077" s="257">
        <v>1558793</v>
      </c>
      <c r="N1077" s="257">
        <v>235759</v>
      </c>
      <c r="O1077" s="257">
        <v>1603766</v>
      </c>
      <c r="P1077" s="257">
        <v>2227948</v>
      </c>
      <c r="Q1077" s="257">
        <v>2222446</v>
      </c>
      <c r="R1077" s="257">
        <v>2290116</v>
      </c>
      <c r="S1077" s="257">
        <v>3198087</v>
      </c>
      <c r="T1077" s="257">
        <v>2671888</v>
      </c>
      <c r="U1077" s="257">
        <v>1632128</v>
      </c>
      <c r="V1077" s="257">
        <v>1421659</v>
      </c>
      <c r="W1077" s="257">
        <v>1421659</v>
      </c>
      <c r="X1077" s="257">
        <v>2134406</v>
      </c>
      <c r="Y1077" s="257">
        <v>1624137</v>
      </c>
      <c r="Z1077" s="249">
        <f ca="1">[1]ExtEntry!$P78</f>
        <v>1624137</v>
      </c>
      <c r="AB1077" s="277">
        <v>62</v>
      </c>
      <c r="AC1077" s="277">
        <v>55</v>
      </c>
      <c r="AD1077" s="277">
        <v>59</v>
      </c>
      <c r="AE1077" s="253">
        <v>51</v>
      </c>
      <c r="AF1077" s="253">
        <v>43</v>
      </c>
      <c r="AG1077" s="253">
        <v>52</v>
      </c>
      <c r="AH1077" s="253">
        <v>55</v>
      </c>
      <c r="AI1077" s="253">
        <v>49</v>
      </c>
      <c r="AJ1077" s="253">
        <v>42</v>
      </c>
      <c r="AK1077" s="253">
        <v>47</v>
      </c>
      <c r="AL1077" s="253">
        <v>62</v>
      </c>
      <c r="AM1077" s="253">
        <v>63</v>
      </c>
      <c r="AN1077" s="253">
        <v>73</v>
      </c>
      <c r="AO1077" s="277">
        <v>47</v>
      </c>
      <c r="AP1077" s="277">
        <v>48</v>
      </c>
      <c r="AQ1077" s="277">
        <v>50</v>
      </c>
      <c r="AR1077" s="277">
        <v>46</v>
      </c>
      <c r="AS1077" s="277">
        <v>45</v>
      </c>
      <c r="AT1077" s="277">
        <v>50</v>
      </c>
      <c r="AU1077" s="277">
        <v>52</v>
      </c>
      <c r="AV1077" s="277">
        <f t="shared" si="88"/>
        <v>52</v>
      </c>
      <c r="AX1077" s="88" t="str">
        <f t="shared" ca="1" si="90"/>
        <v>GLE</v>
      </c>
    </row>
    <row r="1078" spans="1:50" hidden="1">
      <c r="A1078" s="88" t="str">
        <f t="shared" ca="1" si="89"/>
        <v>GNRC</v>
      </c>
      <c r="C1078" s="1">
        <v>79</v>
      </c>
      <c r="F1078" s="257">
        <v>331744</v>
      </c>
      <c r="G1078" s="257">
        <v>774087</v>
      </c>
      <c r="H1078" s="257">
        <v>632587</v>
      </c>
      <c r="I1078" s="257">
        <v>533060</v>
      </c>
      <c r="J1078" s="257">
        <v>841764</v>
      </c>
      <c r="K1078" s="257">
        <v>633656</v>
      </c>
      <c r="L1078" s="257">
        <v>966920</v>
      </c>
      <c r="M1078" s="257">
        <v>886587</v>
      </c>
      <c r="N1078" s="257">
        <v>887343</v>
      </c>
      <c r="O1078" s="257">
        <v>681979</v>
      </c>
      <c r="P1078" s="257">
        <v>1415046</v>
      </c>
      <c r="Q1078" s="257">
        <v>1341290</v>
      </c>
      <c r="R1078" s="257">
        <v>1068213</v>
      </c>
      <c r="S1078" s="257">
        <v>703625</v>
      </c>
      <c r="T1078" s="257">
        <v>677747</v>
      </c>
      <c r="U1078" s="257">
        <v>1028697</v>
      </c>
      <c r="V1078" s="257">
        <v>1073026</v>
      </c>
      <c r="W1078" s="257">
        <v>1073026</v>
      </c>
      <c r="X1078" s="257">
        <v>807129</v>
      </c>
      <c r="Y1078" s="257">
        <v>816090</v>
      </c>
      <c r="Z1078" s="249">
        <f ca="1">[1]ExtEntry!$P79</f>
        <v>816187</v>
      </c>
      <c r="AB1078" s="277">
        <v>31</v>
      </c>
      <c r="AC1078" s="277">
        <v>29</v>
      </c>
      <c r="AD1078" s="277">
        <v>32</v>
      </c>
      <c r="AE1078" s="253">
        <v>32</v>
      </c>
      <c r="AF1078" s="253">
        <v>27</v>
      </c>
      <c r="AG1078" s="253">
        <v>32</v>
      </c>
      <c r="AH1078" s="253">
        <v>35</v>
      </c>
      <c r="AI1078" s="253">
        <v>37</v>
      </c>
      <c r="AJ1078" s="253">
        <v>39</v>
      </c>
      <c r="AK1078" s="253">
        <v>42</v>
      </c>
      <c r="AL1078" s="253">
        <v>76</v>
      </c>
      <c r="AM1078" s="253">
        <v>80</v>
      </c>
      <c r="AN1078" s="253">
        <v>85</v>
      </c>
      <c r="AO1078" s="277">
        <v>80</v>
      </c>
      <c r="AP1078" s="277">
        <v>86</v>
      </c>
      <c r="AQ1078" s="277">
        <v>80</v>
      </c>
      <c r="AR1078" s="277">
        <v>67</v>
      </c>
      <c r="AS1078" s="277">
        <v>56</v>
      </c>
      <c r="AT1078" s="277">
        <v>64</v>
      </c>
      <c r="AU1078" s="277">
        <v>64</v>
      </c>
      <c r="AV1078" s="277">
        <f t="shared" si="88"/>
        <v>64</v>
      </c>
      <c r="AX1078" s="88" t="str">
        <f t="shared" ca="1" si="90"/>
        <v>GNRC</v>
      </c>
    </row>
    <row r="1079" spans="1:50" hidden="1">
      <c r="A1079" s="88" t="str">
        <f t="shared" ca="1" si="89"/>
        <v>GS</v>
      </c>
      <c r="C1079" s="1">
        <v>80</v>
      </c>
      <c r="F1079" s="257">
        <v>498240</v>
      </c>
      <c r="G1079" s="257">
        <v>2462441</v>
      </c>
      <c r="H1079" s="257">
        <v>1788850</v>
      </c>
      <c r="I1079" s="257">
        <v>1552837</v>
      </c>
      <c r="J1079" s="257">
        <v>1469240</v>
      </c>
      <c r="K1079" s="257">
        <v>1547283</v>
      </c>
      <c r="L1079" s="257">
        <v>1938115</v>
      </c>
      <c r="M1079" s="257">
        <v>1574488</v>
      </c>
      <c r="N1079" s="257">
        <v>303</v>
      </c>
      <c r="O1079" s="257">
        <v>2652333</v>
      </c>
      <c r="P1079" s="257">
        <v>4659025</v>
      </c>
      <c r="Q1079" s="257">
        <v>2411623</v>
      </c>
      <c r="R1079" s="257">
        <v>3157167</v>
      </c>
      <c r="S1079" s="257">
        <v>2884713</v>
      </c>
      <c r="T1079" s="257">
        <v>1916625</v>
      </c>
      <c r="U1079" s="257">
        <v>1780921</v>
      </c>
      <c r="V1079" s="257">
        <v>2070373</v>
      </c>
      <c r="W1079" s="257">
        <v>2070478</v>
      </c>
      <c r="X1079" s="257">
        <v>1613430</v>
      </c>
      <c r="Y1079" s="257">
        <v>2502904</v>
      </c>
      <c r="Z1079" s="249">
        <f ca="1">[1]ExtEntry!$P80</f>
        <v>2505628</v>
      </c>
      <c r="AB1079" s="277">
        <v>72</v>
      </c>
      <c r="AC1079" s="277">
        <v>58</v>
      </c>
      <c r="AD1079" s="277">
        <v>54</v>
      </c>
      <c r="AE1079" s="253">
        <v>43</v>
      </c>
      <c r="AF1079" s="253">
        <v>46</v>
      </c>
      <c r="AG1079" s="253">
        <v>42</v>
      </c>
      <c r="AH1079" s="253">
        <v>28</v>
      </c>
      <c r="AI1079" s="253">
        <v>31</v>
      </c>
      <c r="AJ1079" s="253">
        <v>33</v>
      </c>
      <c r="AK1079" s="253">
        <v>48</v>
      </c>
      <c r="AL1079" s="253">
        <v>41</v>
      </c>
      <c r="AM1079" s="253">
        <v>43</v>
      </c>
      <c r="AN1079" s="253">
        <v>39</v>
      </c>
      <c r="AO1079" s="277">
        <v>33</v>
      </c>
      <c r="AP1079" s="277">
        <v>39</v>
      </c>
      <c r="AQ1079" s="277">
        <v>40</v>
      </c>
      <c r="AR1079" s="277">
        <v>39</v>
      </c>
      <c r="AS1079" s="277">
        <v>36</v>
      </c>
      <c r="AT1079" s="277">
        <v>35</v>
      </c>
      <c r="AU1079" s="277">
        <v>49</v>
      </c>
      <c r="AV1079" s="277">
        <f t="shared" si="88"/>
        <v>49</v>
      </c>
      <c r="AX1079" s="88" t="str">
        <f t="shared" ca="1" si="90"/>
        <v>GS</v>
      </c>
    </row>
    <row r="1080" spans="1:50" hidden="1">
      <c r="A1080" s="88" t="str">
        <f t="shared" ca="1" si="89"/>
        <v>LAZR</v>
      </c>
      <c r="C1080" s="1">
        <v>81</v>
      </c>
      <c r="F1080" s="257">
        <v>1838649</v>
      </c>
      <c r="G1080" s="257">
        <v>4622925</v>
      </c>
      <c r="H1080" s="257">
        <v>5675803</v>
      </c>
      <c r="I1080" s="257">
        <v>5305782</v>
      </c>
      <c r="J1080" s="257">
        <v>13821403</v>
      </c>
      <c r="K1080" s="257">
        <v>6970196</v>
      </c>
      <c r="L1080" s="257">
        <v>11030552</v>
      </c>
      <c r="M1080" s="257">
        <v>5950995</v>
      </c>
      <c r="N1080" s="257">
        <v>49962</v>
      </c>
      <c r="O1080" s="257">
        <v>4503292</v>
      </c>
      <c r="P1080" s="257">
        <v>6350700</v>
      </c>
      <c r="Q1080" s="257">
        <v>5496396</v>
      </c>
      <c r="R1080" s="257">
        <v>8401284</v>
      </c>
      <c r="S1080" s="257">
        <v>7680027</v>
      </c>
      <c r="T1080" s="257">
        <v>6157708</v>
      </c>
      <c r="U1080" s="257">
        <v>10267540</v>
      </c>
      <c r="V1080" s="257">
        <v>7707363</v>
      </c>
      <c r="W1080" s="257">
        <v>7708368</v>
      </c>
      <c r="X1080" s="257">
        <v>5360866</v>
      </c>
      <c r="Y1080" s="257">
        <v>26338229</v>
      </c>
      <c r="Z1080" s="249">
        <f ca="1">[1]ExtEntry!$P81</f>
        <v>26891821</v>
      </c>
      <c r="AB1080" s="277">
        <v>56</v>
      </c>
      <c r="AC1080" s="277">
        <v>49</v>
      </c>
      <c r="AD1080" s="277">
        <v>47</v>
      </c>
      <c r="AE1080" s="253">
        <v>48</v>
      </c>
      <c r="AF1080" s="253">
        <v>49</v>
      </c>
      <c r="AG1080" s="253">
        <v>43</v>
      </c>
      <c r="AH1080" s="253">
        <v>51</v>
      </c>
      <c r="AI1080" s="253">
        <v>48</v>
      </c>
      <c r="AJ1080" s="253">
        <v>46</v>
      </c>
      <c r="AK1080" s="253">
        <v>55</v>
      </c>
      <c r="AL1080" s="253">
        <v>51</v>
      </c>
      <c r="AM1080" s="253">
        <v>51</v>
      </c>
      <c r="AN1080" s="253">
        <v>49</v>
      </c>
      <c r="AO1080" s="277">
        <v>55</v>
      </c>
      <c r="AP1080" s="277">
        <v>56</v>
      </c>
      <c r="AQ1080" s="277">
        <v>53</v>
      </c>
      <c r="AR1080" s="277">
        <v>49</v>
      </c>
      <c r="AS1080" s="277">
        <v>41</v>
      </c>
      <c r="AT1080" s="277">
        <v>29</v>
      </c>
      <c r="AU1080" s="277">
        <v>53</v>
      </c>
      <c r="AV1080" s="277">
        <f t="shared" si="88"/>
        <v>53</v>
      </c>
      <c r="AX1080" s="88" t="str">
        <f t="shared" ca="1" si="90"/>
        <v>LAZR</v>
      </c>
    </row>
    <row r="1081" spans="1:50" hidden="1">
      <c r="A1081" s="88" t="str">
        <f t="shared" ca="1" si="89"/>
        <v>LUV</v>
      </c>
      <c r="C1081" s="1">
        <v>82</v>
      </c>
      <c r="F1081" s="257">
        <v>3161537</v>
      </c>
      <c r="G1081" s="257">
        <v>10281441</v>
      </c>
      <c r="H1081" s="257">
        <v>8546697</v>
      </c>
      <c r="I1081" s="257">
        <v>7438868</v>
      </c>
      <c r="J1081" s="257">
        <v>9213216</v>
      </c>
      <c r="K1081" s="257">
        <v>8062192</v>
      </c>
      <c r="L1081" s="257">
        <v>7688821</v>
      </c>
      <c r="M1081" s="257">
        <v>10588773</v>
      </c>
      <c r="N1081" s="257">
        <v>371</v>
      </c>
      <c r="O1081" s="257">
        <v>4791130</v>
      </c>
      <c r="P1081" s="257">
        <v>10912617</v>
      </c>
      <c r="Q1081" s="257">
        <v>4156379</v>
      </c>
      <c r="R1081" s="257">
        <v>11015655</v>
      </c>
      <c r="S1081" s="257">
        <v>8264447</v>
      </c>
      <c r="T1081" s="257">
        <v>7634677</v>
      </c>
      <c r="U1081" s="257">
        <v>9404262</v>
      </c>
      <c r="V1081" s="257">
        <v>10487880</v>
      </c>
      <c r="W1081" s="257">
        <v>10491791</v>
      </c>
      <c r="X1081" s="257">
        <v>27755917</v>
      </c>
      <c r="Y1081" s="257">
        <v>15182742</v>
      </c>
      <c r="Z1081" s="249">
        <f ca="1">[1]ExtEntry!$P82</f>
        <v>15189625</v>
      </c>
      <c r="AB1081" s="277">
        <v>60</v>
      </c>
      <c r="AC1081" s="277">
        <v>45</v>
      </c>
      <c r="AD1081" s="277">
        <v>50</v>
      </c>
      <c r="AE1081" s="253">
        <v>50</v>
      </c>
      <c r="AF1081" s="253">
        <v>54</v>
      </c>
      <c r="AG1081" s="253">
        <v>51</v>
      </c>
      <c r="AH1081" s="253">
        <v>51</v>
      </c>
      <c r="AI1081" s="253">
        <v>42</v>
      </c>
      <c r="AJ1081" s="253">
        <v>35</v>
      </c>
      <c r="AK1081" s="253">
        <v>43</v>
      </c>
      <c r="AL1081" s="253">
        <v>47</v>
      </c>
      <c r="AM1081" s="253">
        <v>51</v>
      </c>
      <c r="AN1081" s="253">
        <v>57</v>
      </c>
      <c r="AO1081" s="277">
        <v>55</v>
      </c>
      <c r="AP1081" s="277">
        <v>60</v>
      </c>
      <c r="AQ1081" s="277">
        <v>69</v>
      </c>
      <c r="AR1081" s="277">
        <v>58</v>
      </c>
      <c r="AS1081" s="277">
        <v>51</v>
      </c>
      <c r="AT1081" s="277">
        <v>38</v>
      </c>
      <c r="AU1081" s="277">
        <v>43</v>
      </c>
      <c r="AV1081" s="277">
        <f t="shared" si="88"/>
        <v>43</v>
      </c>
      <c r="AX1081" s="88" t="str">
        <f t="shared" ca="1" si="90"/>
        <v>LUV</v>
      </c>
    </row>
    <row r="1082" spans="1:50" hidden="1">
      <c r="A1082" s="88" t="str">
        <f t="shared" ca="1" si="89"/>
        <v>MA</v>
      </c>
      <c r="C1082" s="1">
        <v>83</v>
      </c>
      <c r="F1082" s="257">
        <v>825295</v>
      </c>
      <c r="G1082" s="257">
        <v>2379156</v>
      </c>
      <c r="H1082" s="257">
        <v>3684500</v>
      </c>
      <c r="I1082" s="257">
        <v>2483473</v>
      </c>
      <c r="J1082" s="257">
        <v>2331581</v>
      </c>
      <c r="K1082" s="257">
        <v>2120701</v>
      </c>
      <c r="L1082" s="257">
        <v>1934742</v>
      </c>
      <c r="M1082" s="257">
        <v>2579790</v>
      </c>
      <c r="N1082" s="257">
        <v>541</v>
      </c>
      <c r="O1082" s="257">
        <v>2647691</v>
      </c>
      <c r="P1082" s="257">
        <v>2531926</v>
      </c>
      <c r="Q1082" s="257">
        <v>1475751</v>
      </c>
      <c r="R1082" s="257">
        <v>3209473</v>
      </c>
      <c r="S1082" s="257">
        <v>2756782</v>
      </c>
      <c r="T1082" s="257">
        <v>2045510</v>
      </c>
      <c r="U1082" s="257">
        <v>2720779</v>
      </c>
      <c r="V1082" s="257">
        <v>1820419</v>
      </c>
      <c r="W1082" s="257">
        <v>1820420</v>
      </c>
      <c r="X1082" s="257">
        <v>2179164</v>
      </c>
      <c r="Y1082" s="257">
        <v>1839224</v>
      </c>
      <c r="Z1082" s="249">
        <f ca="1">[1]ExtEntry!$P83</f>
        <v>1839794</v>
      </c>
      <c r="AB1082" s="277">
        <v>34</v>
      </c>
      <c r="AC1082" s="277">
        <v>23</v>
      </c>
      <c r="AD1082" s="277">
        <v>34</v>
      </c>
      <c r="AE1082" s="253">
        <v>33</v>
      </c>
      <c r="AF1082" s="253">
        <v>33</v>
      </c>
      <c r="AG1082" s="253">
        <v>30</v>
      </c>
      <c r="AH1082" s="253">
        <v>36</v>
      </c>
      <c r="AI1082" s="253">
        <v>29</v>
      </c>
      <c r="AJ1082" s="253">
        <v>25</v>
      </c>
      <c r="AK1082" s="253">
        <v>27</v>
      </c>
      <c r="AL1082" s="253">
        <v>45</v>
      </c>
      <c r="AM1082" s="253">
        <v>43</v>
      </c>
      <c r="AN1082" s="253">
        <v>36</v>
      </c>
      <c r="AO1082" s="277">
        <v>46</v>
      </c>
      <c r="AP1082" s="277">
        <v>49</v>
      </c>
      <c r="AQ1082" s="277">
        <v>51</v>
      </c>
      <c r="AR1082" s="277">
        <v>48</v>
      </c>
      <c r="AS1082" s="277">
        <v>45</v>
      </c>
      <c r="AT1082" s="277">
        <v>45</v>
      </c>
      <c r="AU1082" s="277">
        <v>44</v>
      </c>
      <c r="AV1082" s="277">
        <f t="shared" si="88"/>
        <v>44</v>
      </c>
      <c r="AX1082" s="88" t="str">
        <f t="shared" ca="1" si="90"/>
        <v>MA</v>
      </c>
    </row>
    <row r="1083" spans="1:50" hidden="1">
      <c r="A1083" s="88" t="str">
        <f t="shared" ca="1" si="89"/>
        <v>NVAX</v>
      </c>
      <c r="C1083" s="1">
        <v>84</v>
      </c>
      <c r="F1083" s="257">
        <v>1231912</v>
      </c>
      <c r="G1083" s="257">
        <v>3193625</v>
      </c>
      <c r="H1083" s="257">
        <v>8915200</v>
      </c>
      <c r="I1083" s="257">
        <v>4326853</v>
      </c>
      <c r="J1083" s="257">
        <v>5000629</v>
      </c>
      <c r="K1083" s="257">
        <v>4215141</v>
      </c>
      <c r="L1083" s="257">
        <v>4987446</v>
      </c>
      <c r="M1083" s="257">
        <v>4742468</v>
      </c>
      <c r="N1083" s="257">
        <v>11790</v>
      </c>
      <c r="O1083" s="257">
        <v>4274198</v>
      </c>
      <c r="P1083" s="257">
        <v>5472602</v>
      </c>
      <c r="Q1083" s="257">
        <v>4544749</v>
      </c>
      <c r="R1083" s="257">
        <v>5183963</v>
      </c>
      <c r="S1083" s="257">
        <v>6181811</v>
      </c>
      <c r="T1083" s="257">
        <v>5907495</v>
      </c>
      <c r="U1083" s="257">
        <v>4204683</v>
      </c>
      <c r="V1083" s="257">
        <v>3935197</v>
      </c>
      <c r="W1083" s="257">
        <v>3935197</v>
      </c>
      <c r="X1083" s="257">
        <v>3002965</v>
      </c>
      <c r="Y1083" s="257">
        <v>2745799</v>
      </c>
      <c r="Z1083" s="249">
        <f ca="1">[1]ExtEntry!$P84</f>
        <v>2759559</v>
      </c>
      <c r="AB1083" s="277">
        <v>69</v>
      </c>
      <c r="AC1083" s="277">
        <v>66</v>
      </c>
      <c r="AD1083" s="277">
        <v>82</v>
      </c>
      <c r="AE1083" s="253">
        <v>82</v>
      </c>
      <c r="AF1083" s="253">
        <v>78</v>
      </c>
      <c r="AG1083" s="253">
        <v>76</v>
      </c>
      <c r="AH1083" s="253">
        <v>66</v>
      </c>
      <c r="AI1083" s="253">
        <v>57</v>
      </c>
      <c r="AJ1083" s="253">
        <v>48</v>
      </c>
      <c r="AK1083" s="253">
        <v>51</v>
      </c>
      <c r="AL1083" s="253">
        <v>58</v>
      </c>
      <c r="AM1083" s="253">
        <v>60</v>
      </c>
      <c r="AN1083" s="253">
        <v>57</v>
      </c>
      <c r="AO1083" s="277">
        <v>49</v>
      </c>
      <c r="AP1083" s="277">
        <v>57</v>
      </c>
      <c r="AQ1083" s="277">
        <v>53</v>
      </c>
      <c r="AR1083" s="277">
        <v>41</v>
      </c>
      <c r="AS1083" s="277">
        <v>39</v>
      </c>
      <c r="AT1083" s="277">
        <v>39</v>
      </c>
      <c r="AU1083" s="277">
        <v>40</v>
      </c>
      <c r="AV1083" s="277">
        <f t="shared" si="88"/>
        <v>40</v>
      </c>
      <c r="AX1083" s="88" t="str">
        <f t="shared" ca="1" si="90"/>
        <v>NVAX</v>
      </c>
    </row>
    <row r="1084" spans="1:50" hidden="1">
      <c r="A1084" s="88" t="str">
        <f t="shared" ca="1" si="89"/>
        <v>NVS</v>
      </c>
      <c r="C1084" s="1">
        <v>85</v>
      </c>
      <c r="F1084" s="257">
        <v>811804</v>
      </c>
      <c r="G1084" s="257">
        <v>2188803</v>
      </c>
      <c r="H1084" s="257">
        <v>3358597</v>
      </c>
      <c r="I1084" s="257">
        <v>1712979</v>
      </c>
      <c r="J1084" s="257">
        <v>1415277</v>
      </c>
      <c r="K1084" s="257">
        <v>942426</v>
      </c>
      <c r="L1084" s="257">
        <v>3142138</v>
      </c>
      <c r="M1084" s="257">
        <v>1657803</v>
      </c>
      <c r="N1084" s="257">
        <v>169</v>
      </c>
      <c r="O1084" s="257">
        <v>1994456</v>
      </c>
      <c r="P1084" s="257">
        <v>1558867</v>
      </c>
      <c r="Q1084" s="257">
        <v>1207927</v>
      </c>
      <c r="R1084" s="257">
        <v>1168759</v>
      </c>
      <c r="S1084" s="257">
        <v>1326320</v>
      </c>
      <c r="T1084" s="257">
        <v>1382516</v>
      </c>
      <c r="U1084" s="257">
        <v>734615</v>
      </c>
      <c r="V1084" s="257">
        <v>1028961</v>
      </c>
      <c r="W1084" s="257">
        <v>1028961</v>
      </c>
      <c r="X1084" s="257">
        <v>1670121</v>
      </c>
      <c r="Y1084" s="257">
        <v>1219967</v>
      </c>
      <c r="Z1084" s="249">
        <f ca="1">[1]ExtEntry!$P85</f>
        <v>1219978</v>
      </c>
      <c r="AB1084" s="277">
        <v>38</v>
      </c>
      <c r="AC1084" s="277">
        <v>50</v>
      </c>
      <c r="AD1084" s="277">
        <v>72</v>
      </c>
      <c r="AE1084" s="253">
        <v>76</v>
      </c>
      <c r="AF1084" s="253">
        <v>82</v>
      </c>
      <c r="AG1084" s="253">
        <v>81</v>
      </c>
      <c r="AH1084" s="253">
        <v>83</v>
      </c>
      <c r="AI1084" s="253">
        <v>76</v>
      </c>
      <c r="AJ1084" s="253">
        <v>70</v>
      </c>
      <c r="AK1084" s="253">
        <v>65</v>
      </c>
      <c r="AL1084" s="253">
        <v>69</v>
      </c>
      <c r="AM1084" s="253">
        <v>68</v>
      </c>
      <c r="AN1084" s="253">
        <v>72</v>
      </c>
      <c r="AO1084" s="277">
        <v>71</v>
      </c>
      <c r="AP1084" s="277">
        <v>71</v>
      </c>
      <c r="AQ1084" s="277">
        <v>60</v>
      </c>
      <c r="AR1084" s="277">
        <v>48</v>
      </c>
      <c r="AS1084" s="277">
        <v>52</v>
      </c>
      <c r="AT1084" s="277">
        <v>46</v>
      </c>
      <c r="AU1084" s="277">
        <v>42</v>
      </c>
      <c r="AV1084" s="277">
        <f t="shared" si="88"/>
        <v>42</v>
      </c>
      <c r="AX1084" s="88" t="str">
        <f t="shared" ca="1" si="90"/>
        <v>NVS</v>
      </c>
    </row>
    <row r="1085" spans="1:50" hidden="1">
      <c r="A1085" s="88" t="str">
        <f t="shared" ca="1" si="89"/>
        <v>ORA</v>
      </c>
      <c r="C1085" s="1">
        <v>86</v>
      </c>
      <c r="F1085" s="257">
        <v>2347349</v>
      </c>
      <c r="G1085" s="257">
        <v>2981232</v>
      </c>
      <c r="H1085" s="257">
        <v>3219761</v>
      </c>
      <c r="I1085" s="257">
        <v>5579011</v>
      </c>
      <c r="J1085" s="257">
        <v>3654666</v>
      </c>
      <c r="K1085" s="257">
        <v>3587700</v>
      </c>
      <c r="L1085" s="257">
        <v>4817138</v>
      </c>
      <c r="M1085" s="257">
        <v>3717206</v>
      </c>
      <c r="N1085" s="257">
        <v>232694</v>
      </c>
      <c r="O1085" s="257">
        <v>2735334</v>
      </c>
      <c r="P1085" s="257">
        <v>3075263</v>
      </c>
      <c r="Q1085" s="257">
        <v>9024947</v>
      </c>
      <c r="R1085" s="257">
        <v>3147289</v>
      </c>
      <c r="S1085" s="257">
        <v>5116783</v>
      </c>
      <c r="T1085" s="257">
        <v>2842966</v>
      </c>
      <c r="U1085" s="257">
        <v>3076165</v>
      </c>
      <c r="V1085" s="257">
        <v>4390773</v>
      </c>
      <c r="W1085" s="257">
        <v>4390773</v>
      </c>
      <c r="X1085" s="257">
        <v>4437686</v>
      </c>
      <c r="Y1085" s="257">
        <v>3783933</v>
      </c>
      <c r="Z1085" s="249">
        <f ca="1">[1]ExtEntry!$P86</f>
        <v>3783933</v>
      </c>
      <c r="AB1085" s="277">
        <v>51</v>
      </c>
      <c r="AC1085" s="277">
        <v>49</v>
      </c>
      <c r="AD1085" s="277">
        <v>44</v>
      </c>
      <c r="AE1085" s="253">
        <v>39</v>
      </c>
      <c r="AF1085" s="253">
        <v>36</v>
      </c>
      <c r="AG1085" s="253">
        <v>41</v>
      </c>
      <c r="AH1085" s="253">
        <v>49</v>
      </c>
      <c r="AI1085" s="253">
        <v>52</v>
      </c>
      <c r="AJ1085" s="253">
        <v>50</v>
      </c>
      <c r="AK1085" s="253">
        <v>45</v>
      </c>
      <c r="AL1085" s="253">
        <v>52</v>
      </c>
      <c r="AM1085" s="253">
        <v>66</v>
      </c>
      <c r="AN1085" s="253">
        <v>64</v>
      </c>
      <c r="AO1085" s="277">
        <v>66</v>
      </c>
      <c r="AP1085" s="277">
        <v>62</v>
      </c>
      <c r="AQ1085" s="277">
        <v>60</v>
      </c>
      <c r="AR1085" s="277">
        <v>61</v>
      </c>
      <c r="AS1085" s="277">
        <v>65</v>
      </c>
      <c r="AT1085" s="277">
        <v>74</v>
      </c>
      <c r="AU1085" s="277">
        <v>65</v>
      </c>
      <c r="AV1085" s="277">
        <f t="shared" si="88"/>
        <v>65</v>
      </c>
      <c r="AX1085" s="88" t="str">
        <f t="shared" ca="1" si="90"/>
        <v>ORA</v>
      </c>
    </row>
    <row r="1086" spans="1:50" hidden="1">
      <c r="A1086" s="88" t="str">
        <f t="shared" ca="1" si="89"/>
        <v>OXY</v>
      </c>
      <c r="C1086" s="1">
        <v>87</v>
      </c>
      <c r="F1086" s="257">
        <v>11148714</v>
      </c>
      <c r="G1086" s="257">
        <v>16560254</v>
      </c>
      <c r="H1086" s="257">
        <v>9769669</v>
      </c>
      <c r="I1086" s="257">
        <v>43864575</v>
      </c>
      <c r="J1086" s="257">
        <v>17334296</v>
      </c>
      <c r="K1086" s="257">
        <v>8604889</v>
      </c>
      <c r="L1086" s="257">
        <v>7582831</v>
      </c>
      <c r="M1086" s="257">
        <v>12257013</v>
      </c>
      <c r="N1086" s="257">
        <v>18655</v>
      </c>
      <c r="O1086" s="257">
        <v>8470083</v>
      </c>
      <c r="P1086" s="257">
        <v>8945484</v>
      </c>
      <c r="Q1086" s="257">
        <v>6263875</v>
      </c>
      <c r="R1086" s="257">
        <v>10689900</v>
      </c>
      <c r="S1086" s="257">
        <v>9536635</v>
      </c>
      <c r="T1086" s="257">
        <v>8787669</v>
      </c>
      <c r="U1086" s="257">
        <v>8550055</v>
      </c>
      <c r="V1086" s="257">
        <v>10952796</v>
      </c>
      <c r="W1086" s="257">
        <v>10955345</v>
      </c>
      <c r="X1086" s="257">
        <v>13785894</v>
      </c>
      <c r="Y1086" s="257">
        <v>7202535</v>
      </c>
      <c r="Z1086" s="249">
        <f ca="1">[1]ExtEntry!$P87</f>
        <v>7213344</v>
      </c>
      <c r="AB1086" s="277">
        <v>57</v>
      </c>
      <c r="AC1086" s="277">
        <v>53</v>
      </c>
      <c r="AD1086" s="277">
        <v>57</v>
      </c>
      <c r="AE1086" s="253">
        <v>41</v>
      </c>
      <c r="AF1086" s="253">
        <v>45</v>
      </c>
      <c r="AG1086" s="253">
        <v>33</v>
      </c>
      <c r="AH1086" s="253">
        <v>31</v>
      </c>
      <c r="AI1086" s="253">
        <v>34</v>
      </c>
      <c r="AJ1086" s="253">
        <v>36</v>
      </c>
      <c r="AK1086" s="253">
        <v>40</v>
      </c>
      <c r="AL1086" s="253">
        <v>34</v>
      </c>
      <c r="AM1086" s="253">
        <v>29</v>
      </c>
      <c r="AN1086" s="253">
        <v>26</v>
      </c>
      <c r="AO1086" s="277">
        <v>22</v>
      </c>
      <c r="AP1086" s="277">
        <v>17</v>
      </c>
      <c r="AQ1086" s="277">
        <v>18</v>
      </c>
      <c r="AR1086" s="277">
        <v>22</v>
      </c>
      <c r="AS1086" s="277">
        <v>47</v>
      </c>
      <c r="AT1086" s="277">
        <v>51</v>
      </c>
      <c r="AU1086" s="277">
        <v>49</v>
      </c>
      <c r="AV1086" s="277">
        <f t="shared" si="88"/>
        <v>49</v>
      </c>
      <c r="AX1086" s="88" t="str">
        <f t="shared" ca="1" si="90"/>
        <v>OXY</v>
      </c>
    </row>
    <row r="1087" spans="1:50" hidden="1">
      <c r="A1087" s="88" t="str">
        <f t="shared" ca="1" si="89"/>
        <v>PFE</v>
      </c>
      <c r="C1087" s="1">
        <v>88</v>
      </c>
      <c r="F1087" s="257">
        <v>21662759</v>
      </c>
      <c r="G1087" s="257">
        <v>164454471</v>
      </c>
      <c r="H1087" s="257">
        <v>150299879</v>
      </c>
      <c r="I1087" s="257">
        <v>69586206</v>
      </c>
      <c r="J1087" s="257">
        <v>70394938</v>
      </c>
      <c r="K1087" s="257">
        <v>47712670</v>
      </c>
      <c r="L1087" s="257">
        <v>48647593</v>
      </c>
      <c r="M1087" s="257">
        <v>47201513</v>
      </c>
      <c r="N1087" s="257">
        <v>107336</v>
      </c>
      <c r="O1087" s="257">
        <v>44807694</v>
      </c>
      <c r="P1087" s="257">
        <v>41506664</v>
      </c>
      <c r="Q1087" s="257">
        <v>40344105</v>
      </c>
      <c r="R1087" s="257">
        <v>44217056</v>
      </c>
      <c r="S1087" s="257">
        <v>40101861</v>
      </c>
      <c r="T1087" s="257">
        <v>35806447</v>
      </c>
      <c r="U1087" s="257">
        <v>40654387</v>
      </c>
      <c r="V1087" s="257">
        <v>48182810</v>
      </c>
      <c r="W1087" s="257">
        <v>48185736</v>
      </c>
      <c r="X1087" s="257">
        <v>34133888</v>
      </c>
      <c r="Y1087" s="257">
        <v>27380501</v>
      </c>
      <c r="Z1087" s="249">
        <f ca="1">[1]ExtEntry!$P88</f>
        <v>27429169</v>
      </c>
      <c r="AB1087" s="277">
        <v>34</v>
      </c>
      <c r="AC1087" s="277">
        <v>56</v>
      </c>
      <c r="AD1087" s="277">
        <v>82</v>
      </c>
      <c r="AE1087" s="253">
        <v>80</v>
      </c>
      <c r="AF1087" s="253">
        <v>81</v>
      </c>
      <c r="AG1087" s="253">
        <v>79</v>
      </c>
      <c r="AH1087" s="253">
        <v>71</v>
      </c>
      <c r="AI1087" s="253">
        <v>67</v>
      </c>
      <c r="AJ1087" s="253">
        <v>64</v>
      </c>
      <c r="AK1087" s="253">
        <v>62</v>
      </c>
      <c r="AL1087" s="253">
        <v>59</v>
      </c>
      <c r="AM1087" s="253">
        <v>58</v>
      </c>
      <c r="AN1087" s="253">
        <v>61</v>
      </c>
      <c r="AO1087" s="277">
        <v>62</v>
      </c>
      <c r="AP1087" s="277">
        <v>63</v>
      </c>
      <c r="AQ1087" s="277">
        <v>52</v>
      </c>
      <c r="AR1087" s="277">
        <v>26</v>
      </c>
      <c r="AS1087" s="277">
        <v>26</v>
      </c>
      <c r="AT1087" s="277">
        <v>18</v>
      </c>
      <c r="AU1087" s="277">
        <v>23</v>
      </c>
      <c r="AV1087" s="277">
        <f t="shared" si="88"/>
        <v>23</v>
      </c>
      <c r="AX1087" s="88" t="str">
        <f t="shared" ca="1" si="90"/>
        <v>PFE</v>
      </c>
    </row>
    <row r="1088" spans="1:50" hidden="1">
      <c r="A1088" s="88" t="str">
        <f t="shared" ca="1" si="89"/>
        <v>RIG</v>
      </c>
      <c r="C1088" s="1">
        <v>89</v>
      </c>
      <c r="F1088" s="257">
        <v>23093580</v>
      </c>
      <c r="G1088" s="257">
        <v>54970682</v>
      </c>
      <c r="H1088" s="257">
        <v>42845955</v>
      </c>
      <c r="I1088" s="257">
        <v>45251797</v>
      </c>
      <c r="J1088" s="257">
        <v>46821665</v>
      </c>
      <c r="K1088" s="257">
        <v>45910237</v>
      </c>
      <c r="L1088" s="257">
        <v>50807678</v>
      </c>
      <c r="M1088" s="257">
        <v>45734241</v>
      </c>
      <c r="N1088" s="257">
        <v>16566</v>
      </c>
      <c r="O1088" s="257">
        <v>44166641</v>
      </c>
      <c r="P1088" s="257">
        <v>62491098</v>
      </c>
      <c r="Q1088" s="257">
        <v>62114647</v>
      </c>
      <c r="R1088" s="257">
        <v>64112965</v>
      </c>
      <c r="S1088" s="257">
        <v>50271199</v>
      </c>
      <c r="T1088" s="257">
        <v>48530749</v>
      </c>
      <c r="U1088" s="257">
        <v>61263594</v>
      </c>
      <c r="V1088" s="257">
        <v>77303033</v>
      </c>
      <c r="W1088" s="257">
        <v>77312995</v>
      </c>
      <c r="X1088" s="257">
        <v>131951333</v>
      </c>
      <c r="Y1088" s="257">
        <v>78258839</v>
      </c>
      <c r="Z1088" s="249">
        <f ca="1">[1]ExtEntry!$P89</f>
        <v>78302483</v>
      </c>
      <c r="AB1088" s="277">
        <v>45</v>
      </c>
      <c r="AC1088" s="277">
        <v>45</v>
      </c>
      <c r="AD1088" s="277">
        <v>47</v>
      </c>
      <c r="AE1088" s="253">
        <v>46</v>
      </c>
      <c r="AF1088" s="253">
        <v>48</v>
      </c>
      <c r="AG1088" s="253">
        <v>44</v>
      </c>
      <c r="AH1088" s="253">
        <v>40</v>
      </c>
      <c r="AI1088" s="253">
        <v>41</v>
      </c>
      <c r="AJ1088" s="253">
        <v>43</v>
      </c>
      <c r="AK1088" s="253">
        <v>46</v>
      </c>
      <c r="AL1088" s="253">
        <v>37</v>
      </c>
      <c r="AM1088" s="253">
        <v>40</v>
      </c>
      <c r="AN1088" s="253">
        <v>55</v>
      </c>
      <c r="AO1088" s="277">
        <v>56</v>
      </c>
      <c r="AP1088" s="277">
        <v>62</v>
      </c>
      <c r="AQ1088" s="277">
        <v>62</v>
      </c>
      <c r="AR1088" s="277">
        <v>63</v>
      </c>
      <c r="AS1088" s="277">
        <v>65</v>
      </c>
      <c r="AT1088" s="277">
        <v>74</v>
      </c>
      <c r="AU1088" s="277">
        <v>74</v>
      </c>
      <c r="AV1088" s="277">
        <f t="shared" si="88"/>
        <v>74</v>
      </c>
      <c r="AX1088" s="88" t="str">
        <f t="shared" ca="1" si="90"/>
        <v>RIG</v>
      </c>
    </row>
    <row r="1089" spans="1:50">
      <c r="A1089" s="88" t="str">
        <f t="shared" ca="1" si="89"/>
        <v>RRC</v>
      </c>
      <c r="C1089" s="1">
        <v>90</v>
      </c>
      <c r="F1089" s="257">
        <v>1017446</v>
      </c>
      <c r="G1089" s="257">
        <v>2976525</v>
      </c>
      <c r="H1089" s="257">
        <v>4217797</v>
      </c>
      <c r="I1089" s="257">
        <v>3160595</v>
      </c>
      <c r="J1089" s="257">
        <v>2866771</v>
      </c>
      <c r="K1089" s="257">
        <v>2547254</v>
      </c>
      <c r="L1089" s="257">
        <v>3707422</v>
      </c>
      <c r="M1089" s="257">
        <v>2547596</v>
      </c>
      <c r="N1089" s="257">
        <v>2547596</v>
      </c>
      <c r="O1089" s="257">
        <v>2551383</v>
      </c>
      <c r="P1089" s="257">
        <v>2395590</v>
      </c>
      <c r="Q1089" s="257">
        <v>1648726</v>
      </c>
      <c r="R1089" s="257">
        <v>3030986</v>
      </c>
      <c r="S1089" s="257">
        <v>2737528</v>
      </c>
      <c r="T1089" s="257">
        <v>3364206</v>
      </c>
      <c r="U1089" s="257">
        <v>2781464</v>
      </c>
      <c r="V1089" s="257">
        <v>2375132</v>
      </c>
      <c r="W1089" s="257">
        <v>2375132</v>
      </c>
      <c r="X1089" s="257">
        <v>4242003</v>
      </c>
      <c r="Y1089" s="257">
        <v>2635577</v>
      </c>
      <c r="Z1089" s="249">
        <f ca="1">[1]ExtEntry!$P90</f>
        <v>2676090</v>
      </c>
      <c r="AB1089" s="277">
        <v>64</v>
      </c>
      <c r="AC1089" s="277">
        <v>63</v>
      </c>
      <c r="AD1089" s="277">
        <v>72</v>
      </c>
      <c r="AE1089" s="253">
        <v>63</v>
      </c>
      <c r="AF1089" s="253">
        <v>63</v>
      </c>
      <c r="AG1089" s="253">
        <v>62</v>
      </c>
      <c r="AH1089" s="253">
        <v>64</v>
      </c>
      <c r="AI1089" s="253">
        <v>63</v>
      </c>
      <c r="AJ1089" s="253">
        <v>61</v>
      </c>
      <c r="AK1089" s="253">
        <v>64</v>
      </c>
      <c r="AL1089" s="253">
        <v>55</v>
      </c>
      <c r="AM1089" s="253">
        <v>56</v>
      </c>
      <c r="AN1089" s="253">
        <v>46</v>
      </c>
      <c r="AO1089" s="277">
        <v>46</v>
      </c>
      <c r="AP1089" s="277">
        <v>52</v>
      </c>
      <c r="AQ1089" s="277">
        <v>49</v>
      </c>
      <c r="AR1089" s="277">
        <v>36</v>
      </c>
      <c r="AS1089" s="277">
        <v>39</v>
      </c>
      <c r="AT1089" s="277">
        <v>47</v>
      </c>
      <c r="AU1089" s="277">
        <v>45</v>
      </c>
      <c r="AV1089" s="277">
        <f t="shared" si="88"/>
        <v>45</v>
      </c>
      <c r="AX1089" s="88" t="str">
        <f t="shared" ca="1" si="90"/>
        <v>RRC</v>
      </c>
    </row>
    <row r="1090" spans="1:50">
      <c r="A1090" s="88" t="str">
        <f t="shared" ca="1" si="89"/>
        <v>XYZ</v>
      </c>
      <c r="C1090" s="1">
        <v>91</v>
      </c>
      <c r="F1090" s="249">
        <v>2629181</v>
      </c>
      <c r="G1090" s="249">
        <v>7830764</v>
      </c>
      <c r="H1090" s="249">
        <v>6635474</v>
      </c>
      <c r="I1090" s="249">
        <v>7851129</v>
      </c>
      <c r="J1090" s="249">
        <v>5754053</v>
      </c>
      <c r="K1090" s="249">
        <v>5423144</v>
      </c>
      <c r="L1090" s="249">
        <v>5994453</v>
      </c>
      <c r="M1090" s="249">
        <v>4188630</v>
      </c>
      <c r="N1090" s="249">
        <v>2919</v>
      </c>
      <c r="O1090" s="249">
        <v>5361913</v>
      </c>
      <c r="P1090" s="249">
        <v>5174012</v>
      </c>
      <c r="Q1090" s="249">
        <v>2361919</v>
      </c>
      <c r="R1090" s="249">
        <v>5578128</v>
      </c>
      <c r="S1090" s="249">
        <v>4416733</v>
      </c>
      <c r="T1090" s="249">
        <v>4530722</v>
      </c>
      <c r="U1090" s="249">
        <v>4347495</v>
      </c>
      <c r="V1090" s="249">
        <v>4603435</v>
      </c>
      <c r="W1090" s="249">
        <v>4604028</v>
      </c>
      <c r="X1090" s="249">
        <v>4682675</v>
      </c>
      <c r="Y1090" s="249">
        <v>3857534</v>
      </c>
      <c r="Z1090" s="249">
        <f ca="1">[1]ExtEntry!$P91</f>
        <v>3866928</v>
      </c>
      <c r="AB1090" s="277">
        <v>54</v>
      </c>
      <c r="AC1090" s="277">
        <v>42</v>
      </c>
      <c r="AD1090" s="277">
        <v>50</v>
      </c>
      <c r="AE1090" s="253">
        <v>55</v>
      </c>
      <c r="AF1090" s="253">
        <v>51</v>
      </c>
      <c r="AG1090" s="253">
        <v>51</v>
      </c>
      <c r="AH1090" s="253">
        <v>53</v>
      </c>
      <c r="AI1090" s="253">
        <v>53</v>
      </c>
      <c r="AJ1090" s="253">
        <v>53</v>
      </c>
      <c r="AK1090" s="253">
        <v>58</v>
      </c>
      <c r="AL1090" s="253">
        <v>63</v>
      </c>
      <c r="AM1090" s="253">
        <v>63</v>
      </c>
      <c r="AN1090" s="253">
        <v>67</v>
      </c>
      <c r="AO1090" s="277">
        <v>68</v>
      </c>
      <c r="AP1090" s="277">
        <v>68</v>
      </c>
      <c r="AQ1090" s="277">
        <v>84</v>
      </c>
      <c r="AR1090" s="277">
        <v>73</v>
      </c>
      <c r="AS1090" s="277">
        <v>57</v>
      </c>
      <c r="AT1090" s="277">
        <v>64</v>
      </c>
      <c r="AU1090" s="277">
        <v>63</v>
      </c>
      <c r="AV1090" s="277">
        <f t="shared" si="88"/>
        <v>63</v>
      </c>
      <c r="AX1090" s="88" t="str">
        <f t="shared" ca="1" si="90"/>
        <v>XYZ</v>
      </c>
    </row>
    <row r="1091" spans="1:50">
      <c r="A1091" s="88" t="str">
        <f t="shared" ca="1" si="89"/>
        <v>THC</v>
      </c>
      <c r="C1091" s="1">
        <v>92</v>
      </c>
      <c r="F1091" s="257">
        <v>231030</v>
      </c>
      <c r="G1091" s="257">
        <v>997195</v>
      </c>
      <c r="H1091" s="257">
        <v>999237</v>
      </c>
      <c r="I1091" s="257">
        <v>521130</v>
      </c>
      <c r="J1091" s="257">
        <v>868083</v>
      </c>
      <c r="K1091" s="257">
        <v>690597</v>
      </c>
      <c r="L1091" s="257">
        <v>831808</v>
      </c>
      <c r="M1091" s="257">
        <v>1374545</v>
      </c>
      <c r="N1091" s="257">
        <v>1374556</v>
      </c>
      <c r="O1091" s="257">
        <v>683794</v>
      </c>
      <c r="P1091" s="257">
        <v>1076461</v>
      </c>
      <c r="Q1091" s="257">
        <v>548812</v>
      </c>
      <c r="R1091" s="257">
        <v>733823</v>
      </c>
      <c r="S1091" s="257">
        <v>760974</v>
      </c>
      <c r="T1091" s="257">
        <v>695475</v>
      </c>
      <c r="U1091" s="257">
        <v>770828</v>
      </c>
      <c r="V1091" s="257">
        <v>991134</v>
      </c>
      <c r="W1091" s="257">
        <v>991134</v>
      </c>
      <c r="X1091" s="257">
        <v>1216056</v>
      </c>
      <c r="Y1091" s="257">
        <v>1771975</v>
      </c>
      <c r="Z1091" s="249">
        <f ca="1">[1]ExtEntry!$P92</f>
        <v>1771985</v>
      </c>
      <c r="AB1091" s="277">
        <v>55</v>
      </c>
      <c r="AC1091" s="277">
        <v>55</v>
      </c>
      <c r="AD1091" s="277">
        <v>53</v>
      </c>
      <c r="AE1091" s="253">
        <v>60</v>
      </c>
      <c r="AF1091" s="253">
        <v>71</v>
      </c>
      <c r="AG1091" s="253">
        <v>85</v>
      </c>
      <c r="AH1091" s="253">
        <v>68</v>
      </c>
      <c r="AI1091" s="253">
        <v>58</v>
      </c>
      <c r="AJ1091" s="253">
        <v>50</v>
      </c>
      <c r="AK1091" s="253">
        <v>47</v>
      </c>
      <c r="AL1091" s="253">
        <v>56</v>
      </c>
      <c r="AM1091" s="253">
        <v>54</v>
      </c>
      <c r="AN1091" s="253">
        <v>54</v>
      </c>
      <c r="AO1091" s="277">
        <v>48</v>
      </c>
      <c r="AP1091" s="277">
        <v>53</v>
      </c>
      <c r="AQ1091" s="277">
        <v>51</v>
      </c>
      <c r="AR1091" s="277">
        <v>57</v>
      </c>
      <c r="AS1091" s="277">
        <v>58</v>
      </c>
      <c r="AT1091" s="277">
        <v>60</v>
      </c>
      <c r="AU1091" s="277">
        <v>59</v>
      </c>
      <c r="AV1091" s="277">
        <f t="shared" si="88"/>
        <v>59</v>
      </c>
      <c r="AX1091" s="88" t="str">
        <f t="shared" ca="1" si="90"/>
        <v>THC</v>
      </c>
    </row>
    <row r="1092" spans="1:50">
      <c r="A1092" s="88" t="str">
        <f t="shared" ca="1" si="89"/>
        <v>X</v>
      </c>
      <c r="C1092" s="1">
        <v>93</v>
      </c>
      <c r="F1092" s="249">
        <v>876</v>
      </c>
      <c r="G1092" s="249">
        <v>876</v>
      </c>
      <c r="H1092" s="249">
        <v>876</v>
      </c>
      <c r="I1092" s="249">
        <v>876</v>
      </c>
      <c r="J1092" s="249">
        <v>876</v>
      </c>
      <c r="K1092" s="249">
        <v>876</v>
      </c>
      <c r="L1092" s="249">
        <v>876</v>
      </c>
      <c r="M1092" s="249">
        <v>876</v>
      </c>
      <c r="N1092" s="249">
        <v>876</v>
      </c>
      <c r="O1092" s="249">
        <v>876</v>
      </c>
      <c r="P1092" s="249">
        <v>876</v>
      </c>
      <c r="Q1092" s="249">
        <v>876</v>
      </c>
      <c r="R1092" s="249">
        <v>876</v>
      </c>
      <c r="S1092" s="249">
        <v>876</v>
      </c>
      <c r="T1092" s="249">
        <v>876</v>
      </c>
      <c r="U1092" s="249">
        <v>876</v>
      </c>
      <c r="V1092" s="249">
        <v>876</v>
      </c>
      <c r="W1092" s="249">
        <v>876</v>
      </c>
      <c r="X1092" s="249">
        <v>876</v>
      </c>
      <c r="Y1092" s="249">
        <v>876</v>
      </c>
      <c r="Z1092" s="249">
        <f ca="1">[1]ExtEntry!$P93</f>
        <v>876</v>
      </c>
      <c r="AB1092" s="277" t="e">
        <v>#DIV/0!</v>
      </c>
      <c r="AC1092" s="277" t="e">
        <v>#DIV/0!</v>
      </c>
      <c r="AD1092" s="277" t="e">
        <v>#DIV/0!</v>
      </c>
      <c r="AE1092" s="253" t="e">
        <v>#DIV/0!</v>
      </c>
      <c r="AF1092" s="253" t="e">
        <v>#DIV/0!</v>
      </c>
      <c r="AG1092" s="253" t="e">
        <v>#DIV/0!</v>
      </c>
      <c r="AH1092" s="253" t="e">
        <v>#DIV/0!</v>
      </c>
      <c r="AI1092" s="253" t="e">
        <v>#DIV/0!</v>
      </c>
      <c r="AJ1092" s="253" t="e">
        <v>#DIV/0!</v>
      </c>
      <c r="AK1092" s="253" t="e">
        <v>#DIV/0!</v>
      </c>
      <c r="AL1092" s="253" t="e">
        <v>#DIV/0!</v>
      </c>
      <c r="AM1092" s="253" t="e">
        <v>#DIV/0!</v>
      </c>
      <c r="AN1092" s="253" t="e">
        <v>#DIV/0!</v>
      </c>
      <c r="AO1092" s="277" t="e">
        <v>#DIV/0!</v>
      </c>
      <c r="AP1092" s="277" t="e">
        <v>#DIV/0!</v>
      </c>
      <c r="AQ1092" s="277" t="e">
        <v>#DIV/0!</v>
      </c>
      <c r="AR1092" s="277" t="e">
        <v>#DIV/0!</v>
      </c>
      <c r="AS1092" s="277" t="e">
        <v>#DIV/0!</v>
      </c>
      <c r="AT1092" s="277" t="e">
        <v>#DIV/0!</v>
      </c>
      <c r="AU1092" s="277" t="e">
        <v>#DIV/0!</v>
      </c>
      <c r="AV1092" s="277" t="e">
        <f t="shared" ref="AV1092:AV1095" si="91">INT(100-100/(1+(19*SUMIF(L695:Y695,"&gt;0",L695:Y695)+IF(Y695&gt;0,Y695,0))/ABS(19*SUMIF(L695:Y695,"&lt;0",L695:Y695)+IF(Y695&lt;0,Y695,0))))</f>
        <v>#DIV/0!</v>
      </c>
      <c r="AX1092" s="88" t="str">
        <f t="shared" ca="1" si="90"/>
        <v>X</v>
      </c>
    </row>
    <row r="1093" spans="1:50">
      <c r="A1093" s="88" t="str">
        <f t="shared" ca="1" si="89"/>
        <v>JBEOAN</v>
      </c>
      <c r="C1093" s="1">
        <v>94</v>
      </c>
      <c r="F1093" s="350">
        <v>59906</v>
      </c>
      <c r="G1093" s="350">
        <v>2700</v>
      </c>
      <c r="H1093" s="350">
        <v>48320</v>
      </c>
      <c r="I1093" s="350">
        <v>9457</v>
      </c>
      <c r="J1093" s="350">
        <v>1391</v>
      </c>
      <c r="K1093" s="350">
        <v>6291</v>
      </c>
      <c r="L1093" s="350">
        <v>2145</v>
      </c>
      <c r="M1093" s="350">
        <v>193050</v>
      </c>
      <c r="N1093" s="350">
        <v>73</v>
      </c>
      <c r="O1093" s="350">
        <v>15887</v>
      </c>
      <c r="P1093" s="350">
        <v>5365</v>
      </c>
      <c r="Q1093" s="350">
        <v>1806</v>
      </c>
      <c r="R1093" s="350">
        <v>449</v>
      </c>
      <c r="S1093" s="350">
        <v>25612</v>
      </c>
      <c r="T1093" s="350">
        <v>1165</v>
      </c>
      <c r="U1093" s="350">
        <v>14805</v>
      </c>
      <c r="V1093" s="350">
        <v>7594</v>
      </c>
      <c r="W1093" s="350">
        <v>7594</v>
      </c>
      <c r="X1093" s="350">
        <v>38</v>
      </c>
      <c r="Y1093" s="350">
        <v>7225</v>
      </c>
      <c r="Z1093" s="249">
        <f ca="1">[1]ExtEntry!$P94</f>
        <v>3565315</v>
      </c>
      <c r="AB1093" s="277">
        <v>79</v>
      </c>
      <c r="AC1093" s="277">
        <v>44</v>
      </c>
      <c r="AD1093" s="277">
        <v>47</v>
      </c>
      <c r="AE1093" s="277">
        <v>48</v>
      </c>
      <c r="AF1093" s="277">
        <v>50</v>
      </c>
      <c r="AG1093" s="277">
        <v>46</v>
      </c>
      <c r="AH1093" s="277">
        <v>39</v>
      </c>
      <c r="AI1093" s="277">
        <v>51</v>
      </c>
      <c r="AJ1093" s="277">
        <v>52</v>
      </c>
      <c r="AK1093" s="277">
        <v>41</v>
      </c>
      <c r="AL1093" s="277">
        <v>37</v>
      </c>
      <c r="AM1093" s="277">
        <v>48</v>
      </c>
      <c r="AN1093" s="277">
        <v>53</v>
      </c>
      <c r="AO1093" s="277">
        <v>42</v>
      </c>
      <c r="AP1093" s="277">
        <v>44</v>
      </c>
      <c r="AQ1093" s="277">
        <v>53</v>
      </c>
      <c r="AR1093" s="277">
        <v>50</v>
      </c>
      <c r="AS1093" s="277">
        <v>44</v>
      </c>
      <c r="AT1093" s="277">
        <v>42</v>
      </c>
      <c r="AU1093" s="277">
        <v>53</v>
      </c>
      <c r="AV1093" s="277">
        <f t="shared" si="91"/>
        <v>53</v>
      </c>
      <c r="AX1093" s="88" t="str">
        <f t="shared" ca="1" si="90"/>
        <v>JBEOAN</v>
      </c>
    </row>
    <row r="1094" spans="1:50">
      <c r="A1094" s="88" t="str">
        <f t="shared" si="89"/>
        <v>LOCK</v>
      </c>
      <c r="C1094" s="1">
        <v>95</v>
      </c>
      <c r="F1094" s="1209">
        <v>531762</v>
      </c>
      <c r="G1094" s="1209">
        <v>571504</v>
      </c>
      <c r="H1094" s="1209">
        <v>788894</v>
      </c>
      <c r="I1094" s="1209">
        <v>965416</v>
      </c>
      <c r="J1094" s="1209">
        <v>656013</v>
      </c>
      <c r="K1094" s="1209">
        <v>622890</v>
      </c>
      <c r="L1094" s="1082">
        <v>1055860</v>
      </c>
      <c r="M1094" s="1202">
        <v>728171</v>
      </c>
      <c r="N1094" s="1209">
        <v>174195</v>
      </c>
      <c r="O1094" s="1209">
        <v>777896</v>
      </c>
      <c r="P1094" s="1209">
        <v>706297</v>
      </c>
      <c r="Q1094" s="1209">
        <v>1192298</v>
      </c>
      <c r="R1094" s="350">
        <v>703225</v>
      </c>
      <c r="S1094" s="1209">
        <v>859995</v>
      </c>
      <c r="T1094" s="1209">
        <v>530812</v>
      </c>
      <c r="U1094" s="1209">
        <v>450669</v>
      </c>
      <c r="V1094" s="1209">
        <v>537993</v>
      </c>
      <c r="W1094" s="1082">
        <v>537993</v>
      </c>
      <c r="X1094" s="1216">
        <v>746164</v>
      </c>
      <c r="Y1094" s="1209">
        <v>500510</v>
      </c>
      <c r="Z1094" s="249">
        <f ca="1">[1]ExtEntry!$P95</f>
        <v>87447</v>
      </c>
      <c r="AB1094" s="277">
        <v>52</v>
      </c>
      <c r="AC1094" s="277" t="e">
        <v>#DIV/0!</v>
      </c>
      <c r="AD1094" s="277" t="e">
        <v>#DIV/0!</v>
      </c>
      <c r="AE1094" s="277" t="e">
        <v>#DIV/0!</v>
      </c>
      <c r="AF1094" s="277" t="e">
        <v>#DIV/0!</v>
      </c>
      <c r="AG1094" s="277">
        <v>73</v>
      </c>
      <c r="AH1094" s="277">
        <v>59</v>
      </c>
      <c r="AI1094" s="277">
        <v>58</v>
      </c>
      <c r="AJ1094" s="277">
        <v>54</v>
      </c>
      <c r="AK1094" s="277">
        <v>64</v>
      </c>
      <c r="AL1094" s="277">
        <v>64</v>
      </c>
      <c r="AM1094" s="277">
        <v>69</v>
      </c>
      <c r="AN1094" s="277">
        <v>70</v>
      </c>
      <c r="AO1094" s="277">
        <v>69</v>
      </c>
      <c r="AP1094" s="277">
        <v>71</v>
      </c>
      <c r="AQ1094" s="277">
        <v>67</v>
      </c>
      <c r="AR1094" s="277">
        <v>59</v>
      </c>
      <c r="AS1094" s="277">
        <v>45</v>
      </c>
      <c r="AT1094" s="277">
        <v>50</v>
      </c>
      <c r="AU1094" s="277">
        <v>57</v>
      </c>
      <c r="AV1094" s="277">
        <f t="shared" si="91"/>
        <v>57</v>
      </c>
      <c r="AX1094" s="88" t="str">
        <f t="shared" si="90"/>
        <v>LOCK</v>
      </c>
    </row>
    <row r="1095" spans="1:50">
      <c r="A1095" s="88" t="str">
        <f>A98</f>
        <v>Total</v>
      </c>
      <c r="C1095" s="1">
        <v>96</v>
      </c>
      <c r="F1095" s="350">
        <v>2035300</v>
      </c>
      <c r="G1095" s="350">
        <v>7992</v>
      </c>
      <c r="H1095" s="350">
        <v>1570</v>
      </c>
      <c r="I1095" s="350">
        <v>7712</v>
      </c>
      <c r="J1095" s="350">
        <v>9505</v>
      </c>
      <c r="K1095" s="350">
        <v>1817</v>
      </c>
      <c r="L1095" s="350">
        <v>5522</v>
      </c>
      <c r="M1095" s="350">
        <v>11369</v>
      </c>
      <c r="N1095" s="350">
        <v>2496</v>
      </c>
      <c r="O1095" s="350">
        <v>5181</v>
      </c>
      <c r="P1095" s="350">
        <v>3070</v>
      </c>
      <c r="Q1095" s="350">
        <v>5816</v>
      </c>
      <c r="R1095" s="350">
        <v>7915</v>
      </c>
      <c r="S1095" s="350">
        <v>4869</v>
      </c>
      <c r="T1095" s="350">
        <v>8743</v>
      </c>
      <c r="U1095" s="350">
        <v>12133</v>
      </c>
      <c r="V1095" s="350">
        <v>9346</v>
      </c>
      <c r="W1095" s="350">
        <v>9346</v>
      </c>
      <c r="X1095" s="350">
        <v>6458</v>
      </c>
      <c r="Y1095" s="350">
        <v>4204</v>
      </c>
      <c r="Z1095" s="249">
        <f ca="1">[1]ExtEntry!$P96</f>
        <v>452081061</v>
      </c>
      <c r="AB1095" s="277">
        <v>79</v>
      </c>
      <c r="AC1095" s="277">
        <v>81</v>
      </c>
      <c r="AD1095" s="277">
        <v>79</v>
      </c>
      <c r="AE1095" s="277">
        <v>65</v>
      </c>
      <c r="AF1095" s="277">
        <v>63</v>
      </c>
      <c r="AG1095" s="277">
        <v>71</v>
      </c>
      <c r="AH1095" s="277">
        <v>80</v>
      </c>
      <c r="AI1095" s="277">
        <v>78</v>
      </c>
      <c r="AJ1095" s="277">
        <v>77</v>
      </c>
      <c r="AK1095" s="277">
        <v>79</v>
      </c>
      <c r="AL1095" s="277">
        <v>80</v>
      </c>
      <c r="AM1095" s="277">
        <v>69</v>
      </c>
      <c r="AN1095" s="277">
        <v>65</v>
      </c>
      <c r="AO1095" s="277">
        <v>63</v>
      </c>
      <c r="AP1095" s="277">
        <v>70</v>
      </c>
      <c r="AQ1095" s="277">
        <v>67</v>
      </c>
      <c r="AR1095" s="277">
        <v>52</v>
      </c>
      <c r="AS1095" s="277">
        <v>50</v>
      </c>
      <c r="AT1095" s="277">
        <v>41</v>
      </c>
      <c r="AU1095" s="277">
        <v>43</v>
      </c>
      <c r="AV1095" s="277">
        <f t="shared" si="91"/>
        <v>43</v>
      </c>
      <c r="AX1095" s="88" t="str">
        <f t="shared" si="90"/>
        <v>Total</v>
      </c>
    </row>
    <row r="1096" spans="1:50">
      <c r="A1096" s="88"/>
      <c r="J1096"/>
      <c r="K1096"/>
      <c r="L1096"/>
      <c r="M1096"/>
      <c r="O1096"/>
      <c r="P1096"/>
      <c r="R1096"/>
      <c r="W1096"/>
      <c r="X1096"/>
      <c r="AX1096" s="88"/>
    </row>
    <row r="1097" spans="1:50">
      <c r="A1097" s="88"/>
      <c r="J1097"/>
      <c r="K1097"/>
      <c r="L1097"/>
      <c r="M1097"/>
      <c r="O1097"/>
      <c r="P1097"/>
      <c r="R1097"/>
      <c r="W1097"/>
      <c r="X1097"/>
      <c r="AX1097" s="88"/>
    </row>
    <row r="1098" spans="1:50" ht="26">
      <c r="A1098" s="88"/>
      <c r="E1098" s="1264"/>
      <c r="F1098" s="112"/>
      <c r="G1098" s="112"/>
      <c r="H1098" s="112"/>
      <c r="I1098" s="112"/>
      <c r="J1098" s="112"/>
      <c r="K1098" s="112"/>
      <c r="L1098" s="112"/>
      <c r="M1098" s="112"/>
      <c r="N1098" s="112"/>
      <c r="O1098" s="112"/>
      <c r="P1098" s="112"/>
      <c r="Q1098" s="112"/>
      <c r="R1098" s="112"/>
      <c r="S1098" s="112"/>
      <c r="T1098" s="112"/>
      <c r="U1098" s="112"/>
      <c r="V1098" s="112"/>
      <c r="W1098" s="112"/>
      <c r="X1098" s="112"/>
      <c r="Y1098" s="112"/>
      <c r="Z1098" s="112"/>
      <c r="AX1098" s="88"/>
    </row>
    <row r="1099" spans="1:50">
      <c r="A1099" s="88"/>
      <c r="F1099" s="117">
        <f t="shared" ref="F1099:Z1099" ca="1" si="92">F1000</f>
        <v>45929</v>
      </c>
      <c r="G1099" s="117">
        <f t="shared" ca="1" si="92"/>
        <v>45930</v>
      </c>
      <c r="H1099" s="117">
        <f t="shared" ca="1" si="92"/>
        <v>45931</v>
      </c>
      <c r="I1099" s="117">
        <f t="shared" ca="1" si="92"/>
        <v>45932</v>
      </c>
      <c r="J1099" s="117">
        <f t="shared" ca="1" si="92"/>
        <v>45933</v>
      </c>
      <c r="K1099" s="117">
        <f t="shared" ca="1" si="92"/>
        <v>45936</v>
      </c>
      <c r="L1099" s="117">
        <f t="shared" ca="1" si="92"/>
        <v>45937</v>
      </c>
      <c r="M1099" s="117">
        <f t="shared" ca="1" si="92"/>
        <v>45938</v>
      </c>
      <c r="N1099" s="117">
        <f t="shared" ca="1" si="92"/>
        <v>45939</v>
      </c>
      <c r="O1099" s="117">
        <f t="shared" ca="1" si="92"/>
        <v>45940</v>
      </c>
      <c r="P1099" s="117">
        <f t="shared" ca="1" si="92"/>
        <v>45943</v>
      </c>
      <c r="Q1099" s="117">
        <f t="shared" ca="1" si="92"/>
        <v>45944</v>
      </c>
      <c r="R1099" s="117">
        <f t="shared" ca="1" si="92"/>
        <v>45945</v>
      </c>
      <c r="S1099" s="117">
        <f t="shared" ca="1" si="92"/>
        <v>45946</v>
      </c>
      <c r="T1099" s="117">
        <f t="shared" ca="1" si="92"/>
        <v>45947</v>
      </c>
      <c r="U1099" s="117">
        <f t="shared" ca="1" si="92"/>
        <v>45950</v>
      </c>
      <c r="V1099" s="117">
        <f t="shared" ca="1" si="92"/>
        <v>45951</v>
      </c>
      <c r="W1099" s="117">
        <f t="shared" ca="1" si="92"/>
        <v>45952</v>
      </c>
      <c r="X1099" s="117">
        <f t="shared" ca="1" si="92"/>
        <v>45953</v>
      </c>
      <c r="Y1099" s="117">
        <f t="shared" ca="1" si="92"/>
        <v>45954</v>
      </c>
      <c r="Z1099" s="117">
        <f t="shared" ca="1" si="92"/>
        <v>45956</v>
      </c>
      <c r="AB1099" s="117">
        <f t="shared" ref="AB1099:AV1099" ca="1" si="93">F1000</f>
        <v>45929</v>
      </c>
      <c r="AC1099" s="117">
        <f t="shared" ca="1" si="93"/>
        <v>45930</v>
      </c>
      <c r="AD1099" s="117">
        <f t="shared" ca="1" si="93"/>
        <v>45931</v>
      </c>
      <c r="AE1099" s="117">
        <f t="shared" ca="1" si="93"/>
        <v>45932</v>
      </c>
      <c r="AF1099" s="117">
        <f t="shared" ca="1" si="93"/>
        <v>45933</v>
      </c>
      <c r="AG1099" s="117">
        <f t="shared" ca="1" si="93"/>
        <v>45936</v>
      </c>
      <c r="AH1099" s="117">
        <f t="shared" ca="1" si="93"/>
        <v>45937</v>
      </c>
      <c r="AI1099" s="117">
        <f t="shared" ca="1" si="93"/>
        <v>45938</v>
      </c>
      <c r="AJ1099" s="117">
        <f t="shared" ca="1" si="93"/>
        <v>45939</v>
      </c>
      <c r="AK1099" s="117">
        <f t="shared" ca="1" si="93"/>
        <v>45940</v>
      </c>
      <c r="AL1099" s="117">
        <f t="shared" ca="1" si="93"/>
        <v>45943</v>
      </c>
      <c r="AM1099" s="117">
        <f t="shared" ca="1" si="93"/>
        <v>45944</v>
      </c>
      <c r="AN1099" s="117">
        <f t="shared" ca="1" si="93"/>
        <v>45945</v>
      </c>
      <c r="AO1099" s="117">
        <f t="shared" ca="1" si="93"/>
        <v>45946</v>
      </c>
      <c r="AP1099" s="117">
        <f t="shared" ca="1" si="93"/>
        <v>45947</v>
      </c>
      <c r="AQ1099" s="117">
        <f t="shared" ca="1" si="93"/>
        <v>45950</v>
      </c>
      <c r="AR1099" s="117">
        <f t="shared" ca="1" si="93"/>
        <v>45951</v>
      </c>
      <c r="AS1099" s="117">
        <f t="shared" ca="1" si="93"/>
        <v>45952</v>
      </c>
      <c r="AT1099" s="117">
        <f t="shared" ca="1" si="93"/>
        <v>45953</v>
      </c>
      <c r="AU1099" s="117">
        <f t="shared" ca="1" si="93"/>
        <v>45954</v>
      </c>
      <c r="AV1099" s="117">
        <f t="shared" ca="1" si="93"/>
        <v>45956</v>
      </c>
      <c r="AX1099" s="88"/>
    </row>
    <row r="1100" spans="1:50">
      <c r="A1100" s="88"/>
      <c r="F1100" s="282" t="s">
        <v>435</v>
      </c>
      <c r="G1100" s="282" t="s">
        <v>436</v>
      </c>
      <c r="H1100" s="282" t="s">
        <v>437</v>
      </c>
      <c r="I1100" s="282" t="s">
        <v>438</v>
      </c>
      <c r="J1100" s="282" t="s">
        <v>439</v>
      </c>
      <c r="K1100" s="282" t="s">
        <v>440</v>
      </c>
      <c r="L1100" s="282" t="s">
        <v>441</v>
      </c>
      <c r="M1100" s="282" t="s">
        <v>442</v>
      </c>
      <c r="N1100" s="282" t="s">
        <v>443</v>
      </c>
      <c r="O1100" s="282" t="s">
        <v>444</v>
      </c>
      <c r="P1100" s="282" t="s">
        <v>445</v>
      </c>
      <c r="Q1100" s="282" t="s">
        <v>446</v>
      </c>
      <c r="R1100" s="282" t="s">
        <v>447</v>
      </c>
      <c r="S1100" s="282" t="s">
        <v>448</v>
      </c>
      <c r="T1100" s="282" t="s">
        <v>449</v>
      </c>
      <c r="U1100" s="282" t="s">
        <v>450</v>
      </c>
      <c r="V1100" s="282" t="s">
        <v>451</v>
      </c>
      <c r="W1100" s="282" t="s">
        <v>452</v>
      </c>
      <c r="X1100" s="282" t="s">
        <v>453</v>
      </c>
      <c r="Y1100" s="282" t="s">
        <v>454</v>
      </c>
      <c r="Z1100" s="282" t="s">
        <v>455</v>
      </c>
      <c r="AB1100" s="281" t="s">
        <v>1465</v>
      </c>
      <c r="AC1100" s="281" t="s">
        <v>1466</v>
      </c>
      <c r="AD1100" s="281" t="s">
        <v>1467</v>
      </c>
      <c r="AE1100" s="281" t="s">
        <v>1468</v>
      </c>
      <c r="AF1100" s="281" t="s">
        <v>1469</v>
      </c>
      <c r="AG1100" s="281" t="s">
        <v>1470</v>
      </c>
      <c r="AH1100" s="281" t="s">
        <v>1471</v>
      </c>
      <c r="AI1100" s="281" t="s">
        <v>1472</v>
      </c>
      <c r="AJ1100" s="281" t="s">
        <v>1473</v>
      </c>
      <c r="AK1100" s="281" t="s">
        <v>1474</v>
      </c>
      <c r="AL1100" s="281" t="s">
        <v>1475</v>
      </c>
      <c r="AM1100" s="281" t="s">
        <v>1476</v>
      </c>
      <c r="AN1100" s="281" t="s">
        <v>1477</v>
      </c>
      <c r="AO1100" s="281" t="s">
        <v>1478</v>
      </c>
      <c r="AP1100" s="281" t="s">
        <v>1479</v>
      </c>
      <c r="AQ1100" s="281" t="s">
        <v>1480</v>
      </c>
      <c r="AR1100" s="281" t="s">
        <v>1481</v>
      </c>
      <c r="AS1100" s="281" t="s">
        <v>1482</v>
      </c>
      <c r="AT1100" s="281" t="s">
        <v>1483</v>
      </c>
      <c r="AU1100" s="281" t="s">
        <v>1484</v>
      </c>
      <c r="AV1100" s="281" t="s">
        <v>1485</v>
      </c>
      <c r="AX1100" s="88"/>
    </row>
    <row r="1101" spans="1:50">
      <c r="A1101" s="88" t="str">
        <f ca="1">A5</f>
        <v>AAPL</v>
      </c>
      <c r="C1101" s="1" cm="1">
        <f t="array" ref="C1101:C1194">_xlfn.SEQUENCE(94,,3,1)</f>
        <v>3</v>
      </c>
      <c r="F1101" s="249">
        <v>56979728</v>
      </c>
      <c r="G1101" s="249">
        <v>56885723</v>
      </c>
      <c r="H1101" s="249">
        <v>57154568</v>
      </c>
      <c r="I1101" s="249">
        <v>56920121</v>
      </c>
      <c r="J1101" s="249">
        <v>57374950</v>
      </c>
      <c r="K1101" s="249">
        <v>58028014</v>
      </c>
      <c r="L1101" s="249">
        <v>57543219</v>
      </c>
      <c r="M1101" s="249">
        <v>56345982</v>
      </c>
      <c r="N1101" s="249">
        <v>56345982</v>
      </c>
      <c r="O1101" s="249">
        <v>56262033</v>
      </c>
      <c r="P1101" s="249">
        <v>55827771</v>
      </c>
      <c r="Q1101" s="249">
        <v>54594334</v>
      </c>
      <c r="R1101" s="249">
        <v>52612446</v>
      </c>
      <c r="S1101" s="249">
        <v>52195182</v>
      </c>
      <c r="T1101" s="249">
        <v>51928092</v>
      </c>
      <c r="U1101" s="249">
        <v>53839432</v>
      </c>
      <c r="V1101" s="249">
        <v>53170426</v>
      </c>
      <c r="W1101" s="249">
        <v>53170426</v>
      </c>
      <c r="X1101" s="249">
        <v>53110715</v>
      </c>
      <c r="Y1101" s="249">
        <v>52650930</v>
      </c>
      <c r="Z1101" s="249">
        <f ca="1">[1]ExtEntry!$Q3</f>
        <v>52650930</v>
      </c>
      <c r="AB1101" s="320">
        <v>-1142073.8749999998</v>
      </c>
      <c r="AC1101" s="320">
        <v>-1142073.8749999998</v>
      </c>
      <c r="AD1101" s="320">
        <v>-1142073.8749999998</v>
      </c>
      <c r="AE1101" s="320">
        <v>-1142073.8749999998</v>
      </c>
      <c r="AF1101" s="320">
        <v>-1142073.8749999998</v>
      </c>
      <c r="AG1101" s="320">
        <v>-1142020.1449999998</v>
      </c>
      <c r="AH1101" s="320">
        <v>-1142020.1449999998</v>
      </c>
      <c r="AI1101" s="320">
        <v>-1091296.1449999998</v>
      </c>
      <c r="AJ1101" s="320">
        <v>-1091296.1449999998</v>
      </c>
      <c r="AK1101" s="320">
        <v>-1141000.1449999998</v>
      </c>
      <c r="AL1101" s="320">
        <v>-1141000.1449999998</v>
      </c>
      <c r="AM1101" s="320">
        <v>-1141000.1449999998</v>
      </c>
      <c r="AN1101" s="320">
        <v>-1141000.1449999998</v>
      </c>
      <c r="AO1101" s="320">
        <v>-1141000.1449999998</v>
      </c>
      <c r="AP1101" s="320">
        <v>-1141000.1449999998</v>
      </c>
      <c r="AQ1101" s="320">
        <v>-1009210.1449999998</v>
      </c>
      <c r="AR1101" s="320">
        <v>-1009210.1449999998</v>
      </c>
      <c r="AS1101" s="320">
        <v>-1009210.1449999998</v>
      </c>
      <c r="AT1101" s="320">
        <v>-1009210.1449999998</v>
      </c>
      <c r="AU1101" s="320">
        <v>-1009210.1449999998</v>
      </c>
      <c r="AV1101" s="320">
        <f ca="1">Calc!BG3</f>
        <v>-1009210.1449999998</v>
      </c>
      <c r="AX1101" s="88" t="str">
        <f t="shared" ref="AX1101:AX1106" ca="1" si="94">A1101</f>
        <v>AAPL</v>
      </c>
    </row>
    <row r="1102" spans="1:50">
      <c r="A1102" s="88" t="str">
        <f t="shared" ref="A1102:A1165" ca="1" si="95">A6</f>
        <v>ADEA</v>
      </c>
      <c r="C1102" s="1">
        <v>4</v>
      </c>
      <c r="F1102" s="257">
        <v>525904</v>
      </c>
      <c r="G1102" s="257">
        <v>518193</v>
      </c>
      <c r="H1102" s="257">
        <v>521202</v>
      </c>
      <c r="I1102" s="257">
        <v>512590</v>
      </c>
      <c r="J1102" s="257">
        <v>527560</v>
      </c>
      <c r="K1102" s="257">
        <v>532066</v>
      </c>
      <c r="L1102" s="257">
        <v>549190</v>
      </c>
      <c r="M1102" s="257">
        <v>554826</v>
      </c>
      <c r="N1102" s="257">
        <v>554826</v>
      </c>
      <c r="O1102" s="257">
        <v>573608</v>
      </c>
      <c r="P1102" s="257">
        <v>574468</v>
      </c>
      <c r="Q1102" s="257">
        <v>585940</v>
      </c>
      <c r="R1102" s="257">
        <v>594255</v>
      </c>
      <c r="S1102" s="257">
        <v>594062</v>
      </c>
      <c r="T1102" s="257">
        <v>595415</v>
      </c>
      <c r="U1102" s="257">
        <v>586229</v>
      </c>
      <c r="V1102" s="257">
        <v>577625</v>
      </c>
      <c r="W1102" s="257">
        <v>577625</v>
      </c>
      <c r="X1102" s="257">
        <v>574337</v>
      </c>
      <c r="Y1102" s="257">
        <v>564329</v>
      </c>
      <c r="Z1102" s="249">
        <f ca="1">[1]ExtEntry!$Q4</f>
        <v>564329</v>
      </c>
      <c r="AB1102" s="320">
        <v>0</v>
      </c>
      <c r="AC1102" s="320">
        <v>0</v>
      </c>
      <c r="AD1102" s="320">
        <v>0</v>
      </c>
      <c r="AE1102" s="320">
        <v>0</v>
      </c>
      <c r="AF1102" s="320">
        <v>0</v>
      </c>
      <c r="AG1102" s="320">
        <v>0</v>
      </c>
      <c r="AH1102" s="320">
        <v>0</v>
      </c>
      <c r="AI1102" s="320">
        <v>0</v>
      </c>
      <c r="AJ1102" s="320">
        <v>0</v>
      </c>
      <c r="AK1102" s="320">
        <v>0</v>
      </c>
      <c r="AL1102" s="320">
        <v>0</v>
      </c>
      <c r="AM1102" s="320">
        <v>0</v>
      </c>
      <c r="AN1102" s="320">
        <v>0</v>
      </c>
      <c r="AO1102" s="320">
        <v>0</v>
      </c>
      <c r="AP1102" s="320">
        <v>0</v>
      </c>
      <c r="AQ1102" s="320">
        <v>0</v>
      </c>
      <c r="AR1102" s="320">
        <v>0</v>
      </c>
      <c r="AS1102" s="320">
        <v>0</v>
      </c>
      <c r="AT1102" s="320">
        <v>0</v>
      </c>
      <c r="AU1102" s="320">
        <v>0</v>
      </c>
      <c r="AV1102" s="320">
        <f ca="1">Calc!BG4</f>
        <v>0</v>
      </c>
      <c r="AX1102" s="88" t="str">
        <f t="shared" ca="1" si="94"/>
        <v>ADEA</v>
      </c>
    </row>
    <row r="1103" spans="1:50">
      <c r="A1103" s="88" t="str">
        <f t="shared" ca="1" si="95"/>
        <v>AET</v>
      </c>
      <c r="C1103" s="1">
        <v>5</v>
      </c>
      <c r="F1103" s="249">
        <v>383740</v>
      </c>
      <c r="G1103" s="249">
        <v>383740</v>
      </c>
      <c r="H1103" s="249">
        <v>369940</v>
      </c>
      <c r="I1103" s="249">
        <v>331980</v>
      </c>
      <c r="J1103" s="249">
        <v>355820</v>
      </c>
      <c r="K1103" s="249">
        <v>366590</v>
      </c>
      <c r="L1103" s="249">
        <v>350590</v>
      </c>
      <c r="M1103" s="249">
        <v>369850</v>
      </c>
      <c r="N1103" s="249">
        <v>388620</v>
      </c>
      <c r="O1103" s="249">
        <v>574030</v>
      </c>
      <c r="P1103" s="249">
        <v>574030</v>
      </c>
      <c r="Q1103" s="249">
        <v>798100</v>
      </c>
      <c r="R1103" s="249">
        <v>798100</v>
      </c>
      <c r="S1103" s="249">
        <v>1035840</v>
      </c>
      <c r="T1103" s="249">
        <v>1035840</v>
      </c>
      <c r="U1103" s="249">
        <v>1033990</v>
      </c>
      <c r="V1103" s="249">
        <v>1033990</v>
      </c>
      <c r="W1103" s="249">
        <v>1033990</v>
      </c>
      <c r="X1103" s="249">
        <v>1059800</v>
      </c>
      <c r="Y1103" s="249">
        <v>1059800</v>
      </c>
      <c r="Z1103" s="249">
        <f ca="1">[1]ExtEntry!$Q5</f>
        <v>1073800</v>
      </c>
      <c r="AB1103" s="320">
        <v>-162250.3130395</v>
      </c>
      <c r="AC1103" s="320">
        <v>-162250.3130395</v>
      </c>
      <c r="AD1103" s="320">
        <v>-162250.3130395</v>
      </c>
      <c r="AE1103" s="320">
        <v>-162250.3130395</v>
      </c>
      <c r="AF1103" s="320">
        <v>-162250.3130395</v>
      </c>
      <c r="AG1103" s="320">
        <v>-162234.13640880003</v>
      </c>
      <c r="AH1103" s="320">
        <v>-162234.13640880003</v>
      </c>
      <c r="AI1103" s="320">
        <v>-171434.13640880003</v>
      </c>
      <c r="AJ1103" s="320">
        <v>-171434.13640880003</v>
      </c>
      <c r="AK1103" s="320">
        <v>-180574.13640880003</v>
      </c>
      <c r="AL1103" s="320">
        <v>-180574.13640880003</v>
      </c>
      <c r="AM1103" s="320">
        <v>-180574.13640880003</v>
      </c>
      <c r="AN1103" s="320">
        <v>-180574.13640880003</v>
      </c>
      <c r="AO1103" s="320">
        <v>-180574.13640880003</v>
      </c>
      <c r="AP1103" s="320">
        <v>-180574.13640880003</v>
      </c>
      <c r="AQ1103" s="320">
        <v>-180574.13640880003</v>
      </c>
      <c r="AR1103" s="320">
        <v>-180574.13640880003</v>
      </c>
      <c r="AS1103" s="320">
        <v>-180574.13640880003</v>
      </c>
      <c r="AT1103" s="320">
        <v>-180574.13640880003</v>
      </c>
      <c r="AU1103" s="320">
        <v>-180574.13640880003</v>
      </c>
      <c r="AV1103" s="320">
        <f ca="1">Calc!BG5</f>
        <v>-180574.13640880003</v>
      </c>
      <c r="AX1103" s="88" t="str">
        <f t="shared" ca="1" si="94"/>
        <v>AET</v>
      </c>
    </row>
    <row r="1104" spans="1:50">
      <c r="A1104" s="88" t="str">
        <f t="shared" ca="1" si="95"/>
        <v>AMZN</v>
      </c>
      <c r="C1104" s="1">
        <v>6</v>
      </c>
      <c r="F1104" s="257">
        <v>41585288</v>
      </c>
      <c r="G1104" s="257">
        <v>41863041</v>
      </c>
      <c r="H1104" s="257">
        <v>42893548</v>
      </c>
      <c r="I1104" s="257">
        <v>43606686</v>
      </c>
      <c r="J1104" s="257">
        <v>44406851</v>
      </c>
      <c r="K1104" s="257">
        <v>45504897</v>
      </c>
      <c r="L1104" s="257">
        <v>45198929</v>
      </c>
      <c r="M1104" s="257">
        <v>45897443</v>
      </c>
      <c r="N1104" s="257">
        <v>45897443</v>
      </c>
      <c r="O1104" s="257">
        <v>46804085</v>
      </c>
      <c r="P1104" s="257">
        <v>46958587</v>
      </c>
      <c r="Q1104" s="257">
        <v>47703859</v>
      </c>
      <c r="R1104" s="257">
        <v>47103929</v>
      </c>
      <c r="S1104" s="257">
        <v>47301089</v>
      </c>
      <c r="T1104" s="257">
        <v>47600718</v>
      </c>
      <c r="U1104" s="257">
        <v>47826297</v>
      </c>
      <c r="V1104" s="257">
        <v>48317923</v>
      </c>
      <c r="W1104" s="257">
        <v>48317923</v>
      </c>
      <c r="X1104" s="257">
        <v>48377656</v>
      </c>
      <c r="Y1104" s="257">
        <v>48121986</v>
      </c>
      <c r="Z1104" s="249">
        <f ca="1">[1]ExtEntry!$Q6</f>
        <v>48121986</v>
      </c>
      <c r="AB1104" s="320">
        <v>-899313.22</v>
      </c>
      <c r="AC1104" s="320">
        <v>-899313.22</v>
      </c>
      <c r="AD1104" s="320">
        <v>-899313.22</v>
      </c>
      <c r="AE1104" s="320">
        <v>-899313.22</v>
      </c>
      <c r="AF1104" s="320">
        <v>-899313.22</v>
      </c>
      <c r="AG1104" s="320">
        <v>-899207.17999999993</v>
      </c>
      <c r="AH1104" s="320">
        <v>-899207.17999999993</v>
      </c>
      <c r="AI1104" s="320">
        <v>-899207.17999999993</v>
      </c>
      <c r="AJ1104" s="320">
        <v>-899207.17999999993</v>
      </c>
      <c r="AK1104" s="320">
        <v>-899207.17999999993</v>
      </c>
      <c r="AL1104" s="320">
        <v>-899207.17999999993</v>
      </c>
      <c r="AM1104" s="320">
        <v>-899207.17999999993</v>
      </c>
      <c r="AN1104" s="320">
        <v>-899207.17999999993</v>
      </c>
      <c r="AO1104" s="320">
        <v>-899207.17999999993</v>
      </c>
      <c r="AP1104" s="320">
        <v>-899207.17999999993</v>
      </c>
      <c r="AQ1104" s="320">
        <v>-899207.17999999993</v>
      </c>
      <c r="AR1104" s="320">
        <v>-899207.17999999993</v>
      </c>
      <c r="AS1104" s="320">
        <v>-899207.17999999993</v>
      </c>
      <c r="AT1104" s="320">
        <v>-899207.17999999993</v>
      </c>
      <c r="AU1104" s="320">
        <v>-899207.17999999993</v>
      </c>
      <c r="AV1104" s="320">
        <f ca="1">Calc!BG6</f>
        <v>-899207.17999999993</v>
      </c>
      <c r="AX1104" s="88" t="str">
        <f t="shared" ca="1" si="94"/>
        <v>AMZN</v>
      </c>
    </row>
    <row r="1105" spans="1:50">
      <c r="A1105" s="88" t="str">
        <f t="shared" ca="1" si="95"/>
        <v>ALDNE</v>
      </c>
      <c r="C1105" s="1">
        <v>7</v>
      </c>
      <c r="F1105" s="249">
        <v>5360</v>
      </c>
      <c r="G1105" s="249">
        <v>5420</v>
      </c>
      <c r="H1105" s="249">
        <v>5130</v>
      </c>
      <c r="I1105" s="249">
        <v>5270</v>
      </c>
      <c r="J1105" s="249">
        <v>5270</v>
      </c>
      <c r="K1105" s="249">
        <v>5120</v>
      </c>
      <c r="L1105" s="249">
        <v>5190</v>
      </c>
      <c r="M1105" s="249">
        <v>3630</v>
      </c>
      <c r="N1105" s="249">
        <v>3630</v>
      </c>
      <c r="O1105" s="249">
        <v>2920</v>
      </c>
      <c r="P1105" s="249">
        <v>2920</v>
      </c>
      <c r="Q1105" s="249">
        <v>2990</v>
      </c>
      <c r="R1105" s="249">
        <v>2690</v>
      </c>
      <c r="S1105" s="249">
        <v>2320</v>
      </c>
      <c r="T1105" s="249">
        <v>1950</v>
      </c>
      <c r="U1105" s="249">
        <v>1950</v>
      </c>
      <c r="V1105" s="249">
        <v>2260</v>
      </c>
      <c r="W1105" s="249">
        <v>2260</v>
      </c>
      <c r="X1105" s="249">
        <v>5670</v>
      </c>
      <c r="Y1105" s="249">
        <v>5670</v>
      </c>
      <c r="Z1105" s="249">
        <f ca="1">[1]ExtEntry!$Q7</f>
        <v>6030</v>
      </c>
      <c r="AB1105" s="320">
        <v>-86570.643403090537</v>
      </c>
      <c r="AC1105" s="320">
        <v>-86570.643403090537</v>
      </c>
      <c r="AD1105" s="320">
        <v>-86570.643403090537</v>
      </c>
      <c r="AE1105" s="320">
        <v>-86570.643403090537</v>
      </c>
      <c r="AF1105" s="320">
        <v>-86570.643403090537</v>
      </c>
      <c r="AG1105" s="320">
        <v>-86284.773039214313</v>
      </c>
      <c r="AH1105" s="320">
        <v>-86284.773039214313</v>
      </c>
      <c r="AI1105" s="320">
        <v>-86284.773039214313</v>
      </c>
      <c r="AJ1105" s="320">
        <v>-86284.773039214313</v>
      </c>
      <c r="AK1105" s="320">
        <v>-86284.773039214313</v>
      </c>
      <c r="AL1105" s="320">
        <v>-86284.773039214313</v>
      </c>
      <c r="AM1105" s="320">
        <v>-86284.773039214313</v>
      </c>
      <c r="AN1105" s="320">
        <v>-86284.773039214313</v>
      </c>
      <c r="AO1105" s="320">
        <v>-86284.773039214313</v>
      </c>
      <c r="AP1105" s="320">
        <v>-86284.773039214313</v>
      </c>
      <c r="AQ1105" s="320">
        <v>-86284.773039214313</v>
      </c>
      <c r="AR1105" s="320">
        <v>-86284.773039214313</v>
      </c>
      <c r="AS1105" s="320">
        <v>-86284.773039214313</v>
      </c>
      <c r="AT1105" s="320">
        <v>-86284.773039214313</v>
      </c>
      <c r="AU1105" s="320">
        <v>-86284.773039214313</v>
      </c>
      <c r="AV1105" s="320">
        <f ca="1">Calc!BG7</f>
        <v>-86284.773039214313</v>
      </c>
      <c r="AX1105" s="88" t="str">
        <f t="shared" ca="1" si="94"/>
        <v>ALDNE</v>
      </c>
    </row>
    <row r="1106" spans="1:50">
      <c r="A1106" s="88" t="str">
        <f t="shared" ca="1" si="95"/>
        <v>ASML</v>
      </c>
      <c r="C1106" s="1">
        <v>8</v>
      </c>
      <c r="F1106" s="257">
        <v>897690</v>
      </c>
      <c r="G1106" s="257">
        <v>897690</v>
      </c>
      <c r="H1106" s="257">
        <v>863620</v>
      </c>
      <c r="I1106" s="257">
        <v>837090</v>
      </c>
      <c r="J1106" s="257">
        <v>837090</v>
      </c>
      <c r="K1106" s="257">
        <v>693400</v>
      </c>
      <c r="L1106" s="257">
        <v>682760</v>
      </c>
      <c r="M1106" s="257">
        <v>673480</v>
      </c>
      <c r="N1106" s="257">
        <v>702000</v>
      </c>
      <c r="O1106" s="257">
        <v>766660</v>
      </c>
      <c r="P1106" s="257">
        <v>766660</v>
      </c>
      <c r="Q1106" s="257">
        <v>804760</v>
      </c>
      <c r="R1106" s="257">
        <v>804760</v>
      </c>
      <c r="S1106" s="257">
        <v>839280</v>
      </c>
      <c r="T1106" s="257">
        <v>839280</v>
      </c>
      <c r="U1106" s="257">
        <v>839280</v>
      </c>
      <c r="V1106" s="257">
        <v>812200</v>
      </c>
      <c r="W1106" s="257">
        <v>812200</v>
      </c>
      <c r="X1106" s="257">
        <v>794970</v>
      </c>
      <c r="Y1106" s="257">
        <v>794970</v>
      </c>
      <c r="Z1106" s="249">
        <f ca="1">[1]ExtEntry!$Q8</f>
        <v>743190</v>
      </c>
      <c r="AB1106" s="320">
        <v>-2177289.165</v>
      </c>
      <c r="AC1106" s="320">
        <v>-2425749.165</v>
      </c>
      <c r="AD1106" s="320">
        <v>-2425749.165</v>
      </c>
      <c r="AE1106" s="320">
        <v>-2249629.165</v>
      </c>
      <c r="AF1106" s="320">
        <v>-2249629.165</v>
      </c>
      <c r="AG1106" s="320">
        <v>-2159464.36</v>
      </c>
      <c r="AH1106" s="320">
        <v>-2159464.36</v>
      </c>
      <c r="AI1106" s="320">
        <v>-2159464.36</v>
      </c>
      <c r="AJ1106" s="320">
        <v>-2159464.36</v>
      </c>
      <c r="AK1106" s="320">
        <v>-2322244.36</v>
      </c>
      <c r="AL1106" s="320">
        <v>-2322244.36</v>
      </c>
      <c r="AM1106" s="320">
        <v>-2322244.36</v>
      </c>
      <c r="AN1106" s="320">
        <v>-2232924.36</v>
      </c>
      <c r="AO1106" s="320">
        <v>-2146664.2599999998</v>
      </c>
      <c r="AP1106" s="320">
        <v>-2146664.2599999998</v>
      </c>
      <c r="AQ1106" s="320">
        <v>-2146664.2599999998</v>
      </c>
      <c r="AR1106" s="320">
        <v>-2146664.2599999998</v>
      </c>
      <c r="AS1106" s="320">
        <v>-2146664.2599999998</v>
      </c>
      <c r="AT1106" s="320">
        <v>-2146664.2599999998</v>
      </c>
      <c r="AU1106" s="320">
        <v>-2057189.26</v>
      </c>
      <c r="AV1106" s="320">
        <f ca="1">Calc!BG8</f>
        <v>-2057189.26</v>
      </c>
      <c r="AX1106" s="88" t="str">
        <f t="shared" ca="1" si="94"/>
        <v>ASML</v>
      </c>
    </row>
    <row r="1107" spans="1:50">
      <c r="A1107" s="88" t="str">
        <f t="shared" ca="1" si="95"/>
        <v>AZN</v>
      </c>
      <c r="C1107" s="1">
        <v>9</v>
      </c>
      <c r="F1107" s="257">
        <v>3803361</v>
      </c>
      <c r="G1107" s="257">
        <v>28357691</v>
      </c>
      <c r="H1107" s="257">
        <v>28557079</v>
      </c>
      <c r="I1107" s="257">
        <v>28374422</v>
      </c>
      <c r="J1107" s="257">
        <v>28617915</v>
      </c>
      <c r="K1107" s="257">
        <v>28325797</v>
      </c>
      <c r="L1107" s="257">
        <v>28261545</v>
      </c>
      <c r="M1107" s="257">
        <v>28379503</v>
      </c>
      <c r="N1107" s="257">
        <v>28379503</v>
      </c>
      <c r="O1107" s="257">
        <v>25857999</v>
      </c>
      <c r="P1107" s="257">
        <v>25955944</v>
      </c>
      <c r="Q1107" s="257">
        <v>25760171</v>
      </c>
      <c r="R1107" s="257">
        <v>24673440</v>
      </c>
      <c r="S1107" s="257">
        <v>24308891</v>
      </c>
      <c r="T1107" s="257">
        <v>23868416</v>
      </c>
      <c r="U1107" s="257">
        <v>23622338</v>
      </c>
      <c r="V1107" s="257">
        <v>23413781</v>
      </c>
      <c r="W1107" s="257">
        <v>23413781</v>
      </c>
      <c r="X1107" s="257">
        <v>22376649</v>
      </c>
      <c r="Y1107" s="257">
        <v>21904460</v>
      </c>
      <c r="Z1107" s="249">
        <f ca="1">[1]ExtEntry!$Q9</f>
        <v>5836487</v>
      </c>
      <c r="AB1107" s="320">
        <v>0</v>
      </c>
      <c r="AC1107" s="320">
        <v>-32286.889615000026</v>
      </c>
      <c r="AD1107" s="320">
        <v>-32286.889615000026</v>
      </c>
      <c r="AE1107" s="320">
        <v>-32286.889615000026</v>
      </c>
      <c r="AF1107" s="320">
        <v>-32286.889615000026</v>
      </c>
      <c r="AG1107" s="320">
        <v>-32284.806239920024</v>
      </c>
      <c r="AH1107" s="320">
        <v>-32284.806239920024</v>
      </c>
      <c r="AI1107" s="320">
        <v>0</v>
      </c>
      <c r="AJ1107" s="320">
        <v>0</v>
      </c>
      <c r="AK1107" s="320">
        <v>-46552.706239920037</v>
      </c>
      <c r="AL1107" s="320">
        <v>-46552.706239920037</v>
      </c>
      <c r="AM1107" s="320">
        <v>-46552.706239920037</v>
      </c>
      <c r="AN1107" s="320">
        <v>-46552.706239920037</v>
      </c>
      <c r="AO1107" s="320">
        <v>-46552.706239920037</v>
      </c>
      <c r="AP1107" s="320">
        <v>-46552.706239920037</v>
      </c>
      <c r="AQ1107" s="320">
        <v>-46552.706239920037</v>
      </c>
      <c r="AR1107" s="320">
        <v>-46552.706239920037</v>
      </c>
      <c r="AS1107" s="320">
        <v>-46552.706239920037</v>
      </c>
      <c r="AT1107" s="320">
        <v>-46552.706239920037</v>
      </c>
      <c r="AU1107" s="320">
        <v>-46552.706239920037</v>
      </c>
      <c r="AV1107" s="320">
        <f ca="1">Calc!BG9</f>
        <v>0</v>
      </c>
      <c r="AX1107" s="88" t="str">
        <f t="shared" ref="AX1107:AX1170" ca="1" si="96">A1107</f>
        <v>AZN</v>
      </c>
    </row>
    <row r="1108" spans="1:50" hidden="1">
      <c r="A1108" s="88" t="str">
        <f t="shared" ca="1" si="95"/>
        <v>BLDP</v>
      </c>
      <c r="C1108" s="1">
        <v>10</v>
      </c>
      <c r="F1108" s="257">
        <v>5878380</v>
      </c>
      <c r="G1108" s="257">
        <v>3903937</v>
      </c>
      <c r="H1108" s="257">
        <v>4076066</v>
      </c>
      <c r="I1108" s="257">
        <v>4440977</v>
      </c>
      <c r="J1108" s="257">
        <v>4464756</v>
      </c>
      <c r="K1108" s="257">
        <v>4720696</v>
      </c>
      <c r="L1108" s="257">
        <v>4740862</v>
      </c>
      <c r="M1108" s="257">
        <v>4837577</v>
      </c>
      <c r="N1108" s="257">
        <v>4837577</v>
      </c>
      <c r="O1108" s="257">
        <v>5556920</v>
      </c>
      <c r="P1108" s="257">
        <v>5691158</v>
      </c>
      <c r="Q1108" s="257">
        <v>5792078</v>
      </c>
      <c r="R1108" s="257">
        <v>5870377</v>
      </c>
      <c r="S1108" s="257">
        <v>5930230</v>
      </c>
      <c r="T1108" s="257">
        <v>5875599</v>
      </c>
      <c r="U1108" s="257">
        <v>5898365</v>
      </c>
      <c r="V1108" s="257">
        <v>5986653</v>
      </c>
      <c r="W1108" s="257">
        <v>5986653</v>
      </c>
      <c r="X1108" s="257">
        <v>5932836</v>
      </c>
      <c r="Y1108" s="257">
        <v>5836487</v>
      </c>
      <c r="Z1108" s="249">
        <f ca="1">[1]ExtEntry!$Q10</f>
        <v>9856064</v>
      </c>
      <c r="AB1108" s="320">
        <v>-24817.165000000008</v>
      </c>
      <c r="AC1108" s="320">
        <v>0</v>
      </c>
      <c r="AD1108" s="320">
        <v>0</v>
      </c>
      <c r="AE1108" s="320">
        <v>0</v>
      </c>
      <c r="AF1108" s="320">
        <v>0</v>
      </c>
      <c r="AG1108" s="320">
        <v>0</v>
      </c>
      <c r="AH1108" s="320">
        <v>0</v>
      </c>
      <c r="AI1108" s="320">
        <v>0</v>
      </c>
      <c r="AJ1108" s="320">
        <v>0</v>
      </c>
      <c r="AK1108" s="320">
        <v>0</v>
      </c>
      <c r="AL1108" s="320">
        <v>0</v>
      </c>
      <c r="AM1108" s="320">
        <v>0</v>
      </c>
      <c r="AN1108" s="320">
        <v>0</v>
      </c>
      <c r="AO1108" s="320">
        <v>0</v>
      </c>
      <c r="AP1108" s="320">
        <v>0</v>
      </c>
      <c r="AQ1108" s="320">
        <v>0</v>
      </c>
      <c r="AR1108" s="320">
        <v>0</v>
      </c>
      <c r="AS1108" s="320">
        <v>0</v>
      </c>
      <c r="AT1108" s="320">
        <v>0</v>
      </c>
      <c r="AU1108" s="320">
        <v>0</v>
      </c>
      <c r="AV1108" s="320">
        <f ca="1">Calc!BG10</f>
        <v>-4713.8750000000109</v>
      </c>
      <c r="AX1108" s="88" t="str">
        <f t="shared" ca="1" si="96"/>
        <v>BLDP</v>
      </c>
    </row>
    <row r="1109" spans="1:50" hidden="1">
      <c r="A1109" s="88" t="str">
        <f t="shared" ca="1" si="95"/>
        <v>BMRA</v>
      </c>
      <c r="C1109" s="1">
        <v>11</v>
      </c>
      <c r="F1109" s="257">
        <v>340096</v>
      </c>
      <c r="G1109" s="257">
        <v>6077635</v>
      </c>
      <c r="H1109" s="257">
        <v>6221452</v>
      </c>
      <c r="I1109" s="257">
        <v>6447707</v>
      </c>
      <c r="J1109" s="257">
        <v>6586730</v>
      </c>
      <c r="K1109" s="257">
        <v>7961074</v>
      </c>
      <c r="L1109" s="257">
        <v>8293975</v>
      </c>
      <c r="M1109" s="257">
        <v>8461959</v>
      </c>
      <c r="N1109" s="257">
        <v>8461959</v>
      </c>
      <c r="O1109" s="257">
        <v>8969914</v>
      </c>
      <c r="P1109" s="257">
        <v>9146889</v>
      </c>
      <c r="Q1109" s="257">
        <v>9671445</v>
      </c>
      <c r="R1109" s="257">
        <v>9789584</v>
      </c>
      <c r="S1109" s="257">
        <v>9877938</v>
      </c>
      <c r="T1109" s="257">
        <v>10020767</v>
      </c>
      <c r="U1109" s="257">
        <v>10100934</v>
      </c>
      <c r="V1109" s="257">
        <v>10190074</v>
      </c>
      <c r="W1109" s="257">
        <v>10190074</v>
      </c>
      <c r="X1109" s="257">
        <v>9973914</v>
      </c>
      <c r="Y1109" s="257">
        <v>9856064</v>
      </c>
      <c r="Z1109" s="249">
        <f ca="1">[1]ExtEntry!$Q11</f>
        <v>205622</v>
      </c>
      <c r="AB1109" s="320">
        <v>-55188.130000000005</v>
      </c>
      <c r="AC1109" s="320">
        <v>-24817.165000000008</v>
      </c>
      <c r="AD1109" s="320">
        <v>-24817.165000000008</v>
      </c>
      <c r="AE1109" s="320">
        <v>-24817.165000000008</v>
      </c>
      <c r="AF1109" s="320">
        <v>-24817.165000000008</v>
      </c>
      <c r="AG1109" s="320">
        <v>-24814.475000000009</v>
      </c>
      <c r="AH1109" s="320">
        <v>-24814.475000000009</v>
      </c>
      <c r="AI1109" s="320">
        <v>-24814.475000000009</v>
      </c>
      <c r="AJ1109" s="320">
        <v>-24814.475000000009</v>
      </c>
      <c r="AK1109" s="320">
        <v>-4713.8750000000109</v>
      </c>
      <c r="AL1109" s="320">
        <v>-4713.8750000000109</v>
      </c>
      <c r="AM1109" s="320">
        <v>-4713.8750000000109</v>
      </c>
      <c r="AN1109" s="320">
        <v>-4713.8750000000109</v>
      </c>
      <c r="AO1109" s="320">
        <v>-4713.8750000000109</v>
      </c>
      <c r="AP1109" s="320">
        <v>-4713.8750000000109</v>
      </c>
      <c r="AQ1109" s="320">
        <v>-4713.8750000000109</v>
      </c>
      <c r="AR1109" s="320">
        <v>-4713.8750000000109</v>
      </c>
      <c r="AS1109" s="320">
        <v>-4713.8750000000109</v>
      </c>
      <c r="AT1109" s="320">
        <v>-4713.8750000000109</v>
      </c>
      <c r="AU1109" s="320">
        <v>-4713.8750000000109</v>
      </c>
      <c r="AV1109" s="320">
        <f ca="1">Calc!BG11</f>
        <v>-55177.775200000004</v>
      </c>
      <c r="AX1109" s="88" t="str">
        <f t="shared" ca="1" si="96"/>
        <v>BMRA</v>
      </c>
    </row>
    <row r="1110" spans="1:50" hidden="1">
      <c r="A1110" s="88" t="str">
        <f t="shared" ca="1" si="95"/>
        <v>C</v>
      </c>
      <c r="C1110" s="1">
        <v>12</v>
      </c>
      <c r="F1110" s="257">
        <v>340096</v>
      </c>
      <c r="G1110" s="257">
        <v>338913</v>
      </c>
      <c r="H1110" s="257">
        <v>337800</v>
      </c>
      <c r="I1110" s="257">
        <v>337230</v>
      </c>
      <c r="J1110" s="257">
        <v>336674</v>
      </c>
      <c r="K1110" s="257">
        <v>337322</v>
      </c>
      <c r="L1110" s="257">
        <v>336453</v>
      </c>
      <c r="M1110" s="257">
        <v>68872</v>
      </c>
      <c r="N1110" s="257">
        <v>68872</v>
      </c>
      <c r="O1110" s="257">
        <v>54804</v>
      </c>
      <c r="P1110" s="257">
        <v>47628</v>
      </c>
      <c r="Q1110" s="257">
        <v>33953</v>
      </c>
      <c r="R1110" s="257">
        <v>33029</v>
      </c>
      <c r="S1110" s="257">
        <v>196374</v>
      </c>
      <c r="T1110" s="257">
        <v>200347</v>
      </c>
      <c r="U1110" s="257">
        <v>203768</v>
      </c>
      <c r="V1110" s="257">
        <v>204273</v>
      </c>
      <c r="W1110" s="257">
        <v>204273</v>
      </c>
      <c r="X1110" s="257">
        <v>205884</v>
      </c>
      <c r="Y1110" s="257">
        <v>205622</v>
      </c>
      <c r="Z1110" s="249">
        <f ca="1">[1]ExtEntry!$Q12</f>
        <v>14388843</v>
      </c>
      <c r="AB1110" s="320">
        <v>0</v>
      </c>
      <c r="AC1110" s="320">
        <v>-55188.130000000005</v>
      </c>
      <c r="AD1110" s="320">
        <v>-55188.130000000005</v>
      </c>
      <c r="AE1110" s="320">
        <v>-55188.130000000005</v>
      </c>
      <c r="AF1110" s="320">
        <v>-55188.130000000005</v>
      </c>
      <c r="AG1110" s="320">
        <v>-55177.775200000004</v>
      </c>
      <c r="AH1110" s="320">
        <v>-55177.775200000004</v>
      </c>
      <c r="AI1110" s="320">
        <v>-55177.775200000004</v>
      </c>
      <c r="AJ1110" s="320">
        <v>-55177.775200000004</v>
      </c>
      <c r="AK1110" s="320">
        <v>-55177.775200000004</v>
      </c>
      <c r="AL1110" s="320">
        <v>-55177.775200000004</v>
      </c>
      <c r="AM1110" s="320">
        <v>-55177.775200000004</v>
      </c>
      <c r="AN1110" s="320">
        <v>-55177.775200000004</v>
      </c>
      <c r="AO1110" s="320">
        <v>-55177.775200000004</v>
      </c>
      <c r="AP1110" s="320">
        <v>-55177.775200000004</v>
      </c>
      <c r="AQ1110" s="320">
        <v>-55177.775200000004</v>
      </c>
      <c r="AR1110" s="320">
        <v>-55177.775200000004</v>
      </c>
      <c r="AS1110" s="320">
        <v>-55177.775200000004</v>
      </c>
      <c r="AT1110" s="320">
        <v>-55177.775200000004</v>
      </c>
      <c r="AU1110" s="320">
        <v>-55177.775200000004</v>
      </c>
      <c r="AV1110" s="320">
        <f ca="1">Calc!BG12</f>
        <v>0</v>
      </c>
      <c r="AX1110" s="88" t="str">
        <f t="shared" ca="1" si="96"/>
        <v>C</v>
      </c>
    </row>
    <row r="1111" spans="1:50" hidden="1">
      <c r="A1111" s="88" t="str">
        <f t="shared" ca="1" si="95"/>
        <v>CSCO</v>
      </c>
      <c r="C1111" s="1">
        <v>13</v>
      </c>
      <c r="F1111" s="257">
        <v>13201042</v>
      </c>
      <c r="G1111" s="257">
        <v>12826015</v>
      </c>
      <c r="H1111" s="257">
        <v>13191701</v>
      </c>
      <c r="I1111" s="257">
        <v>13302192</v>
      </c>
      <c r="J1111" s="257">
        <v>13430045</v>
      </c>
      <c r="K1111" s="257">
        <v>13630850</v>
      </c>
      <c r="L1111" s="257">
        <v>13366467</v>
      </c>
      <c r="M1111" s="257">
        <v>13139953</v>
      </c>
      <c r="N1111" s="257">
        <v>13139953</v>
      </c>
      <c r="O1111" s="257">
        <v>13139921</v>
      </c>
      <c r="P1111" s="257">
        <v>13422514</v>
      </c>
      <c r="Q1111" s="257">
        <v>14025034</v>
      </c>
      <c r="R1111" s="257">
        <v>14164705</v>
      </c>
      <c r="S1111" s="257">
        <v>14449006</v>
      </c>
      <c r="T1111" s="257">
        <v>14629201</v>
      </c>
      <c r="U1111" s="257">
        <v>14656506</v>
      </c>
      <c r="V1111" s="257">
        <v>14528482</v>
      </c>
      <c r="W1111" s="257">
        <v>14528482</v>
      </c>
      <c r="X1111" s="257">
        <v>14528385</v>
      </c>
      <c r="Y1111" s="257">
        <v>14388843</v>
      </c>
      <c r="Z1111" s="249">
        <f ca="1">[1]ExtEntry!$Q13</f>
        <v>18838008</v>
      </c>
      <c r="AB1111" s="320">
        <v>0</v>
      </c>
      <c r="AC1111" s="320">
        <v>0</v>
      </c>
      <c r="AD1111" s="320">
        <v>0</v>
      </c>
      <c r="AE1111" s="320">
        <v>0</v>
      </c>
      <c r="AF1111" s="320">
        <v>0</v>
      </c>
      <c r="AG1111" s="320">
        <v>0</v>
      </c>
      <c r="AH1111" s="320">
        <v>0</v>
      </c>
      <c r="AI1111" s="320">
        <v>0</v>
      </c>
      <c r="AJ1111" s="320">
        <v>0</v>
      </c>
      <c r="AK1111" s="320">
        <v>0</v>
      </c>
      <c r="AL1111" s="320">
        <v>0</v>
      </c>
      <c r="AM1111" s="320">
        <v>0</v>
      </c>
      <c r="AN1111" s="320">
        <v>0</v>
      </c>
      <c r="AO1111" s="320">
        <v>0</v>
      </c>
      <c r="AP1111" s="320">
        <v>0</v>
      </c>
      <c r="AQ1111" s="320">
        <v>0</v>
      </c>
      <c r="AR1111" s="320">
        <v>0</v>
      </c>
      <c r="AS1111" s="320">
        <v>0</v>
      </c>
      <c r="AT1111" s="320">
        <v>0</v>
      </c>
      <c r="AU1111" s="320">
        <v>0</v>
      </c>
      <c r="AV1111" s="320">
        <f ca="1">Calc!BG13</f>
        <v>0</v>
      </c>
      <c r="AX1111" s="88" t="str">
        <f t="shared" ca="1" si="96"/>
        <v>CSCO</v>
      </c>
    </row>
    <row r="1112" spans="1:50" hidden="1">
      <c r="A1112" s="88" t="str">
        <f t="shared" ca="1" si="95"/>
        <v>CVS</v>
      </c>
      <c r="C1112" s="1">
        <v>14</v>
      </c>
      <c r="F1112" s="257">
        <v>18583146</v>
      </c>
      <c r="G1112" s="257">
        <v>18484253</v>
      </c>
      <c r="H1112" s="257">
        <v>18835232</v>
      </c>
      <c r="I1112" s="257">
        <v>18324145</v>
      </c>
      <c r="J1112" s="257">
        <v>18397409</v>
      </c>
      <c r="K1112" s="257">
        <v>18511685</v>
      </c>
      <c r="L1112" s="257">
        <v>18414258</v>
      </c>
      <c r="M1112" s="257">
        <v>19211302</v>
      </c>
      <c r="N1112" s="257">
        <v>19211302</v>
      </c>
      <c r="O1112" s="257">
        <v>19480569</v>
      </c>
      <c r="P1112" s="257">
        <v>19484166</v>
      </c>
      <c r="Q1112" s="257">
        <v>19634273</v>
      </c>
      <c r="R1112" s="257">
        <v>19697116</v>
      </c>
      <c r="S1112" s="257">
        <v>19552710</v>
      </c>
      <c r="T1112" s="257">
        <v>19463020</v>
      </c>
      <c r="U1112" s="257">
        <v>19302237</v>
      </c>
      <c r="V1112" s="257">
        <v>19211998</v>
      </c>
      <c r="W1112" s="257">
        <v>19211998</v>
      </c>
      <c r="X1112" s="257">
        <v>19064603</v>
      </c>
      <c r="Y1112" s="257">
        <v>18838008</v>
      </c>
      <c r="Z1112" s="249">
        <f ca="1">[1]ExtEntry!$Q14</f>
        <v>7346773</v>
      </c>
      <c r="AB1112" s="320">
        <v>0</v>
      </c>
      <c r="AC1112" s="320">
        <v>0</v>
      </c>
      <c r="AD1112" s="320">
        <v>0</v>
      </c>
      <c r="AE1112" s="320">
        <v>0</v>
      </c>
      <c r="AF1112" s="320">
        <v>0</v>
      </c>
      <c r="AG1112" s="320">
        <v>0</v>
      </c>
      <c r="AH1112" s="320">
        <v>0</v>
      </c>
      <c r="AI1112" s="320">
        <v>0</v>
      </c>
      <c r="AJ1112" s="320">
        <v>0</v>
      </c>
      <c r="AK1112" s="320">
        <v>0</v>
      </c>
      <c r="AL1112" s="320">
        <v>0</v>
      </c>
      <c r="AM1112" s="320">
        <v>0</v>
      </c>
      <c r="AN1112" s="320">
        <v>0</v>
      </c>
      <c r="AO1112" s="320">
        <v>0</v>
      </c>
      <c r="AP1112" s="320">
        <v>0</v>
      </c>
      <c r="AQ1112" s="320">
        <v>0</v>
      </c>
      <c r="AR1112" s="320">
        <v>0</v>
      </c>
      <c r="AS1112" s="320">
        <v>0</v>
      </c>
      <c r="AT1112" s="320">
        <v>0</v>
      </c>
      <c r="AU1112" s="320">
        <v>0</v>
      </c>
      <c r="AV1112" s="320">
        <f ca="1">Calc!BG14</f>
        <v>0</v>
      </c>
      <c r="AX1112" s="88" t="str">
        <f t="shared" ca="1" si="96"/>
        <v>CVS</v>
      </c>
    </row>
    <row r="1113" spans="1:50" hidden="1">
      <c r="A1113" s="88" t="str">
        <f t="shared" ca="1" si="95"/>
        <v>DDD</v>
      </c>
      <c r="C1113" s="1">
        <v>15</v>
      </c>
      <c r="F1113" s="257">
        <v>7154053</v>
      </c>
      <c r="G1113" s="257">
        <v>7138928</v>
      </c>
      <c r="H1113" s="257">
        <v>7243210</v>
      </c>
      <c r="I1113" s="257">
        <v>7473677</v>
      </c>
      <c r="J1113" s="257">
        <v>7526385</v>
      </c>
      <c r="K1113" s="257">
        <v>7582008</v>
      </c>
      <c r="L1113" s="257">
        <v>7406751</v>
      </c>
      <c r="M1113" s="257">
        <v>7341230</v>
      </c>
      <c r="N1113" s="257">
        <v>7341230</v>
      </c>
      <c r="O1113" s="257">
        <v>7510168</v>
      </c>
      <c r="P1113" s="257">
        <v>7314553</v>
      </c>
      <c r="Q1113" s="257">
        <v>7392735</v>
      </c>
      <c r="R1113" s="257">
        <v>7405154</v>
      </c>
      <c r="S1113" s="257">
        <v>7308885</v>
      </c>
      <c r="T1113" s="257">
        <v>7330919</v>
      </c>
      <c r="U1113" s="257">
        <v>7250927</v>
      </c>
      <c r="V1113" s="257">
        <v>7236342</v>
      </c>
      <c r="W1113" s="257">
        <v>7236342</v>
      </c>
      <c r="X1113" s="257">
        <v>7318726</v>
      </c>
      <c r="Y1113" s="257">
        <v>7346773</v>
      </c>
      <c r="Z1113" s="249">
        <f ca="1">[1]ExtEntry!$Q15</f>
        <v>4995132</v>
      </c>
      <c r="AB1113" s="320">
        <v>-144083.51250000001</v>
      </c>
      <c r="AC1113" s="320">
        <v>0</v>
      </c>
      <c r="AD1113" s="320">
        <v>0</v>
      </c>
      <c r="AE1113" s="320">
        <v>0</v>
      </c>
      <c r="AF1113" s="320">
        <v>0</v>
      </c>
      <c r="AG1113" s="320">
        <v>0</v>
      </c>
      <c r="AH1113" s="320">
        <v>0</v>
      </c>
      <c r="AI1113" s="320">
        <v>0</v>
      </c>
      <c r="AJ1113" s="320">
        <v>0</v>
      </c>
      <c r="AK1113" s="320">
        <v>0</v>
      </c>
      <c r="AL1113" s="320">
        <v>0</v>
      </c>
      <c r="AM1113" s="320">
        <v>0</v>
      </c>
      <c r="AN1113" s="320">
        <v>0</v>
      </c>
      <c r="AO1113" s="320">
        <v>0</v>
      </c>
      <c r="AP1113" s="320">
        <v>0</v>
      </c>
      <c r="AQ1113" s="320">
        <v>0</v>
      </c>
      <c r="AR1113" s="320">
        <v>0</v>
      </c>
      <c r="AS1113" s="320">
        <v>0</v>
      </c>
      <c r="AT1113" s="320">
        <v>0</v>
      </c>
      <c r="AU1113" s="320">
        <v>0</v>
      </c>
      <c r="AV1113" s="320">
        <f ca="1">Calc!BG15</f>
        <v>-97142.073000000033</v>
      </c>
      <c r="AX1113" s="88" t="str">
        <f t="shared" ca="1" si="96"/>
        <v>DDD</v>
      </c>
    </row>
    <row r="1114" spans="1:50" hidden="1">
      <c r="A1114" s="88" t="str">
        <f t="shared" ca="1" si="95"/>
        <v>DIS</v>
      </c>
      <c r="C1114" s="1">
        <v>16</v>
      </c>
      <c r="F1114" s="257">
        <v>4321488</v>
      </c>
      <c r="G1114" s="257">
        <v>4434983</v>
      </c>
      <c r="H1114" s="257">
        <v>4499866</v>
      </c>
      <c r="I1114" s="257">
        <v>4481798</v>
      </c>
      <c r="J1114" s="257">
        <v>4001626</v>
      </c>
      <c r="K1114" s="257">
        <v>4029169</v>
      </c>
      <c r="L1114" s="257">
        <v>4258746</v>
      </c>
      <c r="M1114" s="257">
        <v>4193510</v>
      </c>
      <c r="N1114" s="257">
        <v>4193510</v>
      </c>
      <c r="O1114" s="257">
        <v>4365448</v>
      </c>
      <c r="P1114" s="257">
        <v>4431335</v>
      </c>
      <c r="Q1114" s="257">
        <v>4457889</v>
      </c>
      <c r="R1114" s="257">
        <v>4484637</v>
      </c>
      <c r="S1114" s="257">
        <v>4564013</v>
      </c>
      <c r="T1114" s="257">
        <v>4636118</v>
      </c>
      <c r="U1114" s="257">
        <v>4835555</v>
      </c>
      <c r="V1114" s="257">
        <v>4998183</v>
      </c>
      <c r="W1114" s="257">
        <v>4998183</v>
      </c>
      <c r="X1114" s="257">
        <v>5090282</v>
      </c>
      <c r="Y1114" s="257">
        <v>4995132</v>
      </c>
      <c r="Z1114" s="249">
        <f ca="1">[1]ExtEntry!$Q16</f>
        <v>8917322</v>
      </c>
      <c r="AB1114" s="320">
        <v>-31798.147025000042</v>
      </c>
      <c r="AC1114" s="320">
        <v>-144083.51250000001</v>
      </c>
      <c r="AD1114" s="320">
        <v>-144083.51250000001</v>
      </c>
      <c r="AE1114" s="320">
        <v>-144083.51250000001</v>
      </c>
      <c r="AF1114" s="320">
        <v>-144083.51250000001</v>
      </c>
      <c r="AG1114" s="320">
        <v>-128642.07300000003</v>
      </c>
      <c r="AH1114" s="320">
        <v>-97142.073000000033</v>
      </c>
      <c r="AI1114" s="320">
        <v>-97142.073000000033</v>
      </c>
      <c r="AJ1114" s="320">
        <v>-97142.073000000033</v>
      </c>
      <c r="AK1114" s="320">
        <v>-97142.073000000033</v>
      </c>
      <c r="AL1114" s="320">
        <v>-97142.073000000033</v>
      </c>
      <c r="AM1114" s="320">
        <v>-97142.073000000033</v>
      </c>
      <c r="AN1114" s="320">
        <v>-97142.073000000033</v>
      </c>
      <c r="AO1114" s="320">
        <v>-97142.073000000033</v>
      </c>
      <c r="AP1114" s="320">
        <v>-97142.073000000033</v>
      </c>
      <c r="AQ1114" s="320">
        <v>-97142.073000000033</v>
      </c>
      <c r="AR1114" s="320">
        <v>-97142.073000000033</v>
      </c>
      <c r="AS1114" s="320">
        <v>-97142.073000000033</v>
      </c>
      <c r="AT1114" s="320">
        <v>-97142.073000000033</v>
      </c>
      <c r="AU1114" s="320">
        <v>-97142.073000000033</v>
      </c>
      <c r="AV1114" s="320">
        <f ca="1">Calc!BG16</f>
        <v>-31792.172026000044</v>
      </c>
      <c r="AX1114" s="88" t="str">
        <f t="shared" ca="1" si="96"/>
        <v>DIS</v>
      </c>
    </row>
    <row r="1115" spans="1:50" hidden="1">
      <c r="A1115" s="88" t="str">
        <f t="shared" ca="1" si="95"/>
        <v>DSY</v>
      </c>
      <c r="C1115" s="1">
        <v>17</v>
      </c>
      <c r="F1115" s="257">
        <v>7962999</v>
      </c>
      <c r="G1115" s="257">
        <v>8048695</v>
      </c>
      <c r="H1115" s="257">
        <v>8203844</v>
      </c>
      <c r="I1115" s="257">
        <v>8361803</v>
      </c>
      <c r="J1115" s="257">
        <v>8534489</v>
      </c>
      <c r="K1115" s="257">
        <v>8630061</v>
      </c>
      <c r="L1115" s="257">
        <v>8605816</v>
      </c>
      <c r="M1115" s="257">
        <v>8637248</v>
      </c>
      <c r="N1115" s="257">
        <v>8637248</v>
      </c>
      <c r="O1115" s="257">
        <v>8738016</v>
      </c>
      <c r="P1115" s="257">
        <v>8777391</v>
      </c>
      <c r="Q1115" s="257">
        <v>8875539</v>
      </c>
      <c r="R1115" s="257">
        <v>8856647</v>
      </c>
      <c r="S1115" s="257">
        <v>8821932</v>
      </c>
      <c r="T1115" s="257">
        <v>8919918</v>
      </c>
      <c r="U1115" s="257">
        <v>8955780</v>
      </c>
      <c r="V1115" s="257">
        <v>9008512</v>
      </c>
      <c r="W1115" s="257">
        <v>9008512</v>
      </c>
      <c r="X1115" s="257">
        <v>9017926</v>
      </c>
      <c r="Y1115" s="257">
        <v>8917322</v>
      </c>
      <c r="Z1115" s="249">
        <f ca="1">[1]ExtEntry!$Q17</f>
        <v>1548090</v>
      </c>
      <c r="AB1115" s="320">
        <v>-163876.96700000006</v>
      </c>
      <c r="AC1115" s="320">
        <v>-31798.147025000042</v>
      </c>
      <c r="AD1115" s="320">
        <v>-31798.147025000042</v>
      </c>
      <c r="AE1115" s="320">
        <v>-31798.147025000042</v>
      </c>
      <c r="AF1115" s="320">
        <v>-31798.147025000042</v>
      </c>
      <c r="AG1115" s="320">
        <v>-31792.172026000044</v>
      </c>
      <c r="AH1115" s="320">
        <v>-31792.172026000044</v>
      </c>
      <c r="AI1115" s="320">
        <v>-31792.172026000044</v>
      </c>
      <c r="AJ1115" s="320">
        <v>-31792.172026000044</v>
      </c>
      <c r="AK1115" s="320">
        <v>-31792.172026000044</v>
      </c>
      <c r="AL1115" s="320">
        <v>-31792.172026000044</v>
      </c>
      <c r="AM1115" s="320">
        <v>-31792.172026000044</v>
      </c>
      <c r="AN1115" s="320">
        <v>-31792.172026000044</v>
      </c>
      <c r="AO1115" s="320">
        <v>-31792.172026000044</v>
      </c>
      <c r="AP1115" s="320">
        <v>-31792.172026000044</v>
      </c>
      <c r="AQ1115" s="320">
        <v>-31792.172026000044</v>
      </c>
      <c r="AR1115" s="320">
        <v>-31792.172026000044</v>
      </c>
      <c r="AS1115" s="320">
        <v>-31792.172026000044</v>
      </c>
      <c r="AT1115" s="320">
        <v>-31792.172026000044</v>
      </c>
      <c r="AU1115" s="320">
        <v>-31792.172026000044</v>
      </c>
      <c r="AV1115" s="320">
        <f ca="1">Calc!BG17</f>
        <v>-105596.94200000007</v>
      </c>
      <c r="AX1115" s="88" t="str">
        <f t="shared" ca="1" si="96"/>
        <v>DSY</v>
      </c>
    </row>
    <row r="1116" spans="1:50" hidden="1">
      <c r="A1116" s="88" t="str">
        <f t="shared" ca="1" si="95"/>
        <v>DVA</v>
      </c>
      <c r="C1116" s="1">
        <v>18</v>
      </c>
      <c r="F1116" s="257">
        <v>1825700</v>
      </c>
      <c r="G1116" s="257">
        <v>1825700</v>
      </c>
      <c r="H1116" s="257">
        <v>1778980</v>
      </c>
      <c r="I1116" s="257">
        <v>1737300</v>
      </c>
      <c r="J1116" s="257">
        <v>1727420</v>
      </c>
      <c r="K1116" s="257">
        <v>1538040</v>
      </c>
      <c r="L1116" s="257">
        <v>1538040</v>
      </c>
      <c r="M1116" s="257">
        <v>1558820</v>
      </c>
      <c r="N1116" s="257">
        <v>1479640</v>
      </c>
      <c r="O1116" s="257">
        <v>1416250</v>
      </c>
      <c r="P1116" s="257">
        <v>1416250</v>
      </c>
      <c r="Q1116" s="257">
        <v>1410550</v>
      </c>
      <c r="R1116" s="257">
        <v>1461880</v>
      </c>
      <c r="S1116" s="257">
        <v>1511630</v>
      </c>
      <c r="T1116" s="257">
        <v>1511630</v>
      </c>
      <c r="U1116" s="257">
        <v>1470740</v>
      </c>
      <c r="V1116" s="257">
        <v>1470740</v>
      </c>
      <c r="W1116" s="257">
        <v>1470740</v>
      </c>
      <c r="X1116" s="257">
        <v>1473940</v>
      </c>
      <c r="Y1116" s="257">
        <v>1473940</v>
      </c>
      <c r="Z1116" s="249">
        <f ca="1">[1]ExtEntry!$Q18</f>
        <v>713056</v>
      </c>
      <c r="AB1116" s="320">
        <v>-12478.310000000056</v>
      </c>
      <c r="AC1116" s="320">
        <v>-163876.96700000006</v>
      </c>
      <c r="AD1116" s="320">
        <v>-163876.96700000006</v>
      </c>
      <c r="AE1116" s="320">
        <v>-163876.96700000006</v>
      </c>
      <c r="AF1116" s="320">
        <v>-163876.96700000006</v>
      </c>
      <c r="AG1116" s="320">
        <v>-163876.94200000007</v>
      </c>
      <c r="AH1116" s="320">
        <v>-105596.94200000007</v>
      </c>
      <c r="AI1116" s="320">
        <v>-105596.94200000007</v>
      </c>
      <c r="AJ1116" s="320">
        <v>-105596.94200000007</v>
      </c>
      <c r="AK1116" s="320">
        <v>-105596.94200000007</v>
      </c>
      <c r="AL1116" s="320">
        <v>-105596.94200000007</v>
      </c>
      <c r="AM1116" s="320">
        <v>-105596.94200000007</v>
      </c>
      <c r="AN1116" s="320">
        <v>-105596.94200000007</v>
      </c>
      <c r="AO1116" s="320">
        <v>-105596.94200000007</v>
      </c>
      <c r="AP1116" s="320">
        <v>-105596.94200000007</v>
      </c>
      <c r="AQ1116" s="320">
        <v>-105596.94200000007</v>
      </c>
      <c r="AR1116" s="320">
        <v>-105596.94200000007</v>
      </c>
      <c r="AS1116" s="320">
        <v>-105596.94200000007</v>
      </c>
      <c r="AT1116" s="320">
        <v>-105596.94200000007</v>
      </c>
      <c r="AU1116" s="320">
        <v>-105596.94200000007</v>
      </c>
      <c r="AV1116" s="320">
        <f ca="1">Calc!BG18</f>
        <v>-63306.290000000066</v>
      </c>
      <c r="AX1116" s="88" t="str">
        <f t="shared" ca="1" si="96"/>
        <v>DVA</v>
      </c>
    </row>
    <row r="1117" spans="1:50" hidden="1">
      <c r="A1117" s="88" t="str">
        <f t="shared" ca="1" si="95"/>
        <v>DXC</v>
      </c>
      <c r="C1117" s="1">
        <v>19</v>
      </c>
      <c r="F1117" s="257">
        <v>815188</v>
      </c>
      <c r="G1117" s="257">
        <v>807254</v>
      </c>
      <c r="H1117" s="257">
        <v>810505</v>
      </c>
      <c r="I1117" s="257">
        <v>801978</v>
      </c>
      <c r="J1117" s="257">
        <v>808961</v>
      </c>
      <c r="K1117" s="257">
        <v>809349</v>
      </c>
      <c r="L1117" s="257">
        <v>794145</v>
      </c>
      <c r="M1117" s="257">
        <v>797218</v>
      </c>
      <c r="N1117" s="257">
        <v>797218</v>
      </c>
      <c r="O1117" s="257">
        <v>790182</v>
      </c>
      <c r="P1117" s="257">
        <v>773095</v>
      </c>
      <c r="Q1117" s="257">
        <v>774050</v>
      </c>
      <c r="R1117" s="257">
        <v>782434</v>
      </c>
      <c r="S1117" s="257">
        <v>774968</v>
      </c>
      <c r="T1117" s="257">
        <v>771354</v>
      </c>
      <c r="U1117" s="257">
        <v>765597</v>
      </c>
      <c r="V1117" s="257">
        <v>750976</v>
      </c>
      <c r="W1117" s="257">
        <v>750976</v>
      </c>
      <c r="X1117" s="257">
        <v>719757</v>
      </c>
      <c r="Y1117" s="257">
        <v>713056</v>
      </c>
      <c r="Z1117" s="249">
        <f ca="1">[1]ExtEntry!$Q19</f>
        <v>1841336</v>
      </c>
      <c r="AB1117" s="320">
        <v>-39299.304049999977</v>
      </c>
      <c r="AC1117" s="320">
        <v>-12478.310000000056</v>
      </c>
      <c r="AD1117" s="320">
        <v>-12478.310000000056</v>
      </c>
      <c r="AE1117" s="320">
        <v>-12478.310000000056</v>
      </c>
      <c r="AF1117" s="320">
        <v>-12478.310000000056</v>
      </c>
      <c r="AG1117" s="320">
        <v>-12470.290000000066</v>
      </c>
      <c r="AH1117" s="320">
        <v>-12470.290000000066</v>
      </c>
      <c r="AI1117" s="320">
        <v>-63306.290000000066</v>
      </c>
      <c r="AJ1117" s="320">
        <v>-63306.290000000066</v>
      </c>
      <c r="AK1117" s="320">
        <v>-63306.290000000066</v>
      </c>
      <c r="AL1117" s="320">
        <v>-63306.290000000066</v>
      </c>
      <c r="AM1117" s="320">
        <v>-63306.290000000066</v>
      </c>
      <c r="AN1117" s="320">
        <v>-63306.290000000066</v>
      </c>
      <c r="AO1117" s="320">
        <v>-63306.290000000066</v>
      </c>
      <c r="AP1117" s="320">
        <v>-63306.290000000066</v>
      </c>
      <c r="AQ1117" s="320">
        <v>-63306.290000000066</v>
      </c>
      <c r="AR1117" s="320">
        <v>-63306.290000000066</v>
      </c>
      <c r="AS1117" s="320">
        <v>-63306.290000000066</v>
      </c>
      <c r="AT1117" s="320">
        <v>-63306.290000000066</v>
      </c>
      <c r="AU1117" s="320">
        <v>-63306.290000000066</v>
      </c>
      <c r="AV1117" s="320">
        <f ca="1">Calc!BG19</f>
        <v>-39290.497531999979</v>
      </c>
      <c r="AX1117" s="88" t="str">
        <f t="shared" ca="1" si="96"/>
        <v>DXC</v>
      </c>
    </row>
    <row r="1118" spans="1:50" hidden="1">
      <c r="A1118" s="88" t="str">
        <f t="shared" ca="1" si="95"/>
        <v>EOAN</v>
      </c>
      <c r="C1118" s="1">
        <v>20</v>
      </c>
      <c r="F1118" s="257">
        <v>1824366</v>
      </c>
      <c r="G1118" s="257">
        <v>1861009</v>
      </c>
      <c r="H1118" s="257">
        <v>1874451</v>
      </c>
      <c r="I1118" s="257">
        <v>1878884</v>
      </c>
      <c r="J1118" s="257">
        <v>1882629</v>
      </c>
      <c r="K1118" s="257">
        <v>1905093</v>
      </c>
      <c r="L1118" s="257">
        <v>1942071</v>
      </c>
      <c r="M1118" s="257">
        <v>1934591</v>
      </c>
      <c r="N1118" s="257">
        <v>1934591</v>
      </c>
      <c r="O1118" s="257">
        <v>1917805</v>
      </c>
      <c r="P1118" s="257">
        <v>1898476</v>
      </c>
      <c r="Q1118" s="257">
        <v>1889575</v>
      </c>
      <c r="R1118" s="257">
        <v>1861245</v>
      </c>
      <c r="S1118" s="257">
        <v>1874187</v>
      </c>
      <c r="T1118" s="257">
        <v>1853380</v>
      </c>
      <c r="U1118" s="257">
        <v>1857044</v>
      </c>
      <c r="V1118" s="257">
        <v>1836962</v>
      </c>
      <c r="W1118" s="257">
        <v>1836962</v>
      </c>
      <c r="X1118" s="257">
        <v>1837101</v>
      </c>
      <c r="Y1118" s="257">
        <v>1841336</v>
      </c>
      <c r="Z1118" s="249">
        <f ca="1">[1]ExtEntry!$Q20</f>
        <v>3151380</v>
      </c>
      <c r="AB1118" s="320">
        <v>0</v>
      </c>
      <c r="AC1118" s="320">
        <v>-39299.304049999977</v>
      </c>
      <c r="AD1118" s="320">
        <v>-39299.304049999977</v>
      </c>
      <c r="AE1118" s="320">
        <v>-39299.304049999977</v>
      </c>
      <c r="AF1118" s="320">
        <v>-39299.304049999977</v>
      </c>
      <c r="AG1118" s="320">
        <v>-39290.497531999979</v>
      </c>
      <c r="AH1118" s="320">
        <v>-39290.497531999979</v>
      </c>
      <c r="AI1118" s="320">
        <v>-39290.497531999979</v>
      </c>
      <c r="AJ1118" s="320">
        <v>-39290.497531999979</v>
      </c>
      <c r="AK1118" s="320">
        <v>-39290.497531999979</v>
      </c>
      <c r="AL1118" s="320">
        <v>-39290.497531999979</v>
      </c>
      <c r="AM1118" s="320">
        <v>-39290.497531999979</v>
      </c>
      <c r="AN1118" s="320">
        <v>-39290.497531999979</v>
      </c>
      <c r="AO1118" s="320">
        <v>-39290.497531999979</v>
      </c>
      <c r="AP1118" s="320">
        <v>-39290.497531999979</v>
      </c>
      <c r="AQ1118" s="320">
        <v>-39290.497531999979</v>
      </c>
      <c r="AR1118" s="320">
        <v>-39290.497531999979</v>
      </c>
      <c r="AS1118" s="320">
        <v>-39290.497531999979</v>
      </c>
      <c r="AT1118" s="320">
        <v>-39290.497531999979</v>
      </c>
      <c r="AU1118" s="320">
        <v>-39290.497531999979</v>
      </c>
      <c r="AV1118" s="320">
        <f ca="1">Calc!BG20</f>
        <v>0</v>
      </c>
      <c r="AX1118" s="88" t="str">
        <f t="shared" ca="1" si="96"/>
        <v>EOAN</v>
      </c>
    </row>
    <row r="1119" spans="1:50" hidden="1">
      <c r="A1119" s="88" t="str">
        <f t="shared" ca="1" si="95"/>
        <v>EPIX</v>
      </c>
      <c r="C1119" s="1">
        <v>21</v>
      </c>
      <c r="F1119" s="257">
        <v>4685020</v>
      </c>
      <c r="G1119" s="257">
        <v>4685020</v>
      </c>
      <c r="H1119" s="257">
        <v>4489660</v>
      </c>
      <c r="I1119" s="257">
        <v>4375670</v>
      </c>
      <c r="J1119" s="257">
        <v>4331040</v>
      </c>
      <c r="K1119" s="257">
        <v>2868980</v>
      </c>
      <c r="L1119" s="257">
        <v>2852110</v>
      </c>
      <c r="M1119" s="257">
        <v>2845370</v>
      </c>
      <c r="N1119" s="257">
        <v>2939820</v>
      </c>
      <c r="O1119" s="257">
        <v>3003030</v>
      </c>
      <c r="P1119" s="257">
        <v>3003030</v>
      </c>
      <c r="Q1119" s="257">
        <v>3101550</v>
      </c>
      <c r="R1119" s="257">
        <v>3019760</v>
      </c>
      <c r="S1119" s="257">
        <v>2873040</v>
      </c>
      <c r="T1119" s="257">
        <v>3038990</v>
      </c>
      <c r="U1119" s="257">
        <v>3038990</v>
      </c>
      <c r="V1119" s="257">
        <v>3152510</v>
      </c>
      <c r="W1119" s="257">
        <v>3152510</v>
      </c>
      <c r="X1119" s="257">
        <v>3081430</v>
      </c>
      <c r="Y1119" s="257">
        <v>3081430</v>
      </c>
      <c r="Z1119" s="249">
        <f ca="1">[1]ExtEntry!$Q21</f>
        <v>3209641</v>
      </c>
      <c r="AB1119" s="320">
        <v>0</v>
      </c>
      <c r="AC1119" s="320">
        <v>0</v>
      </c>
      <c r="AD1119" s="320">
        <v>0</v>
      </c>
      <c r="AE1119" s="320">
        <v>0</v>
      </c>
      <c r="AF1119" s="320">
        <v>0</v>
      </c>
      <c r="AG1119" s="320">
        <v>0</v>
      </c>
      <c r="AH1119" s="320">
        <v>0</v>
      </c>
      <c r="AI1119" s="320">
        <v>0</v>
      </c>
      <c r="AJ1119" s="320">
        <v>0</v>
      </c>
      <c r="AK1119" s="320">
        <v>0</v>
      </c>
      <c r="AL1119" s="320">
        <v>0</v>
      </c>
      <c r="AM1119" s="320">
        <v>0</v>
      </c>
      <c r="AN1119" s="320">
        <v>0</v>
      </c>
      <c r="AO1119" s="320">
        <v>0</v>
      </c>
      <c r="AP1119" s="320">
        <v>0</v>
      </c>
      <c r="AQ1119" s="320">
        <v>0</v>
      </c>
      <c r="AR1119" s="320">
        <v>0</v>
      </c>
      <c r="AS1119" s="320">
        <v>0</v>
      </c>
      <c r="AT1119" s="320">
        <v>0</v>
      </c>
      <c r="AU1119" s="320">
        <v>0</v>
      </c>
      <c r="AV1119" s="320">
        <f ca="1">Calc!BG21</f>
        <v>0</v>
      </c>
      <c r="AX1119" s="88" t="str">
        <f t="shared" ca="1" si="96"/>
        <v>EPIX</v>
      </c>
    </row>
    <row r="1120" spans="1:50" hidden="1">
      <c r="A1120" s="88" t="str">
        <f t="shared" ca="1" si="95"/>
        <v>GM</v>
      </c>
      <c r="C1120" s="1">
        <v>22</v>
      </c>
      <c r="F1120" s="257">
        <v>15457440</v>
      </c>
      <c r="G1120" s="257">
        <v>15411102</v>
      </c>
      <c r="H1120" s="257">
        <v>8476749</v>
      </c>
      <c r="I1120" s="257">
        <v>4237140</v>
      </c>
      <c r="J1120" s="257">
        <v>3743607</v>
      </c>
      <c r="K1120" s="257">
        <v>3236669</v>
      </c>
      <c r="L1120" s="257">
        <v>3107162</v>
      </c>
      <c r="M1120" s="257">
        <v>3209641</v>
      </c>
      <c r="N1120" s="257">
        <v>3209641</v>
      </c>
      <c r="O1120" s="257">
        <v>3209641</v>
      </c>
      <c r="P1120" s="257">
        <v>3209641</v>
      </c>
      <c r="Q1120" s="257">
        <v>3209641</v>
      </c>
      <c r="R1120" s="257">
        <v>3209641</v>
      </c>
      <c r="S1120" s="257">
        <v>3209641</v>
      </c>
      <c r="T1120" s="257">
        <v>3209641</v>
      </c>
      <c r="U1120" s="257">
        <v>3209641</v>
      </c>
      <c r="V1120" s="257">
        <v>3209641</v>
      </c>
      <c r="W1120" s="257">
        <v>3209641</v>
      </c>
      <c r="X1120" s="257">
        <v>3209641</v>
      </c>
      <c r="Y1120" s="257">
        <v>3209641</v>
      </c>
      <c r="Z1120" s="249">
        <f ca="1">[1]ExtEntry!$Q22</f>
        <v>10305534</v>
      </c>
      <c r="AB1120" s="320">
        <v>0</v>
      </c>
      <c r="AC1120" s="320">
        <v>0</v>
      </c>
      <c r="AD1120" s="320">
        <v>0</v>
      </c>
      <c r="AE1120" s="320">
        <v>0</v>
      </c>
      <c r="AF1120" s="320">
        <v>0</v>
      </c>
      <c r="AG1120" s="320">
        <v>0</v>
      </c>
      <c r="AH1120" s="320">
        <v>0</v>
      </c>
      <c r="AI1120" s="320">
        <v>0</v>
      </c>
      <c r="AJ1120" s="320">
        <v>0</v>
      </c>
      <c r="AK1120" s="320">
        <v>0</v>
      </c>
      <c r="AL1120" s="320">
        <v>0</v>
      </c>
      <c r="AM1120" s="320">
        <v>0</v>
      </c>
      <c r="AN1120" s="320">
        <v>0</v>
      </c>
      <c r="AO1120" s="320">
        <v>0</v>
      </c>
      <c r="AP1120" s="320">
        <v>0</v>
      </c>
      <c r="AQ1120" s="320">
        <v>0</v>
      </c>
      <c r="AR1120" s="320">
        <v>0</v>
      </c>
      <c r="AS1120" s="320">
        <v>0</v>
      </c>
      <c r="AT1120" s="320">
        <v>0</v>
      </c>
      <c r="AU1120" s="320">
        <v>0</v>
      </c>
      <c r="AV1120" s="320">
        <f ca="1">Calc!BG22</f>
        <v>0</v>
      </c>
      <c r="AX1120" s="88" t="str">
        <f t="shared" ca="1" si="96"/>
        <v>GM</v>
      </c>
    </row>
    <row r="1121" spans="1:50" hidden="1">
      <c r="A1121" s="88" t="str">
        <f t="shared" ca="1" si="95"/>
        <v>HPE</v>
      </c>
      <c r="C1121" s="1">
        <v>23</v>
      </c>
      <c r="F1121" s="257">
        <v>7151210</v>
      </c>
      <c r="G1121" s="257">
        <v>7289939</v>
      </c>
      <c r="H1121" s="257">
        <v>7416452</v>
      </c>
      <c r="I1121" s="257">
        <v>7447786</v>
      </c>
      <c r="J1121" s="257">
        <v>7438447</v>
      </c>
      <c r="K1121" s="257">
        <v>7829302</v>
      </c>
      <c r="L1121" s="257">
        <v>8030365</v>
      </c>
      <c r="M1121" s="257">
        <v>7977058</v>
      </c>
      <c r="N1121" s="257">
        <v>7977058</v>
      </c>
      <c r="O1121" s="257">
        <v>7882580</v>
      </c>
      <c r="P1121" s="257">
        <v>7786338</v>
      </c>
      <c r="Q1121" s="257">
        <v>7961865</v>
      </c>
      <c r="R1121" s="257">
        <v>7992644</v>
      </c>
      <c r="S1121" s="257">
        <v>8002754</v>
      </c>
      <c r="T1121" s="257">
        <v>7840178</v>
      </c>
      <c r="U1121" s="257">
        <v>8056621</v>
      </c>
      <c r="V1121" s="257">
        <v>9533405</v>
      </c>
      <c r="W1121" s="257">
        <v>9533405</v>
      </c>
      <c r="X1121" s="257">
        <v>10036558</v>
      </c>
      <c r="Y1121" s="257">
        <v>10305534</v>
      </c>
      <c r="Z1121" s="249">
        <f ca="1">[1]ExtEntry!$Q23</f>
        <v>35346638</v>
      </c>
      <c r="AB1121" s="320">
        <v>0</v>
      </c>
      <c r="AC1121" s="320">
        <v>0</v>
      </c>
      <c r="AD1121" s="320">
        <v>0</v>
      </c>
      <c r="AE1121" s="320">
        <v>0</v>
      </c>
      <c r="AF1121" s="320">
        <v>0</v>
      </c>
      <c r="AG1121" s="320">
        <v>0</v>
      </c>
      <c r="AH1121" s="320">
        <v>0</v>
      </c>
      <c r="AI1121" s="320">
        <v>0</v>
      </c>
      <c r="AJ1121" s="320">
        <v>0</v>
      </c>
      <c r="AK1121" s="320">
        <v>0</v>
      </c>
      <c r="AL1121" s="320">
        <v>0</v>
      </c>
      <c r="AM1121" s="320">
        <v>0</v>
      </c>
      <c r="AN1121" s="320">
        <v>0</v>
      </c>
      <c r="AO1121" s="320">
        <v>0</v>
      </c>
      <c r="AP1121" s="320">
        <v>0</v>
      </c>
      <c r="AQ1121" s="320">
        <v>0</v>
      </c>
      <c r="AR1121" s="320">
        <v>0</v>
      </c>
      <c r="AS1121" s="320">
        <v>0</v>
      </c>
      <c r="AT1121" s="320">
        <v>0</v>
      </c>
      <c r="AU1121" s="320">
        <v>0</v>
      </c>
      <c r="AV1121" s="320">
        <f ca="1">Calc!BG23</f>
        <v>0</v>
      </c>
      <c r="AX1121" s="88" t="str">
        <f t="shared" ca="1" si="96"/>
        <v>HPE</v>
      </c>
    </row>
    <row r="1122" spans="1:50" hidden="1">
      <c r="A1122" s="88" t="str">
        <f t="shared" ca="1" si="95"/>
        <v>HPQ</v>
      </c>
      <c r="C1122" s="1">
        <v>24</v>
      </c>
      <c r="F1122" s="257">
        <v>24829795</v>
      </c>
      <c r="G1122" s="257">
        <v>24877796</v>
      </c>
      <c r="H1122" s="257">
        <v>25098530</v>
      </c>
      <c r="I1122" s="257">
        <v>25532606</v>
      </c>
      <c r="J1122" s="257">
        <v>25301007</v>
      </c>
      <c r="K1122" s="257">
        <v>24962160</v>
      </c>
      <c r="L1122" s="257">
        <v>24728266</v>
      </c>
      <c r="M1122" s="257">
        <v>24522084</v>
      </c>
      <c r="N1122" s="257">
        <v>24522084</v>
      </c>
      <c r="O1122" s="257">
        <v>23295007</v>
      </c>
      <c r="P1122" s="257">
        <v>23939441</v>
      </c>
      <c r="Q1122" s="257">
        <v>24645844</v>
      </c>
      <c r="R1122" s="257">
        <v>25805295</v>
      </c>
      <c r="S1122" s="257">
        <v>28127066</v>
      </c>
      <c r="T1122" s="257">
        <v>29926789</v>
      </c>
      <c r="U1122" s="257">
        <v>31599649</v>
      </c>
      <c r="V1122" s="257">
        <v>33992977</v>
      </c>
      <c r="W1122" s="257">
        <v>33992977</v>
      </c>
      <c r="X1122" s="257">
        <v>34999770</v>
      </c>
      <c r="Y1122" s="257">
        <v>35346638</v>
      </c>
      <c r="Z1122" s="249">
        <f ca="1">[1]ExtEntry!$Q24</f>
        <v>12133780</v>
      </c>
      <c r="AB1122" s="320">
        <v>0</v>
      </c>
      <c r="AC1122" s="320">
        <v>0</v>
      </c>
      <c r="AD1122" s="320">
        <v>0</v>
      </c>
      <c r="AE1122" s="320">
        <v>0</v>
      </c>
      <c r="AF1122" s="320">
        <v>0</v>
      </c>
      <c r="AG1122" s="320">
        <v>0</v>
      </c>
      <c r="AH1122" s="320">
        <v>0</v>
      </c>
      <c r="AI1122" s="320">
        <v>0</v>
      </c>
      <c r="AJ1122" s="320">
        <v>0</v>
      </c>
      <c r="AK1122" s="320">
        <v>0</v>
      </c>
      <c r="AL1122" s="320">
        <v>0</v>
      </c>
      <c r="AM1122" s="320">
        <v>0</v>
      </c>
      <c r="AN1122" s="320">
        <v>0</v>
      </c>
      <c r="AO1122" s="320">
        <v>0</v>
      </c>
      <c r="AP1122" s="320">
        <v>0</v>
      </c>
      <c r="AQ1122" s="320">
        <v>0</v>
      </c>
      <c r="AR1122" s="320">
        <v>0</v>
      </c>
      <c r="AS1122" s="320">
        <v>0</v>
      </c>
      <c r="AT1122" s="320">
        <v>0</v>
      </c>
      <c r="AU1122" s="320">
        <v>0</v>
      </c>
      <c r="AV1122" s="320">
        <f ca="1">Calc!BG24</f>
        <v>-68214.971999999951</v>
      </c>
      <c r="AX1122" s="88" t="str">
        <f t="shared" ca="1" si="96"/>
        <v>HPQ</v>
      </c>
    </row>
    <row r="1123" spans="1:50" hidden="1">
      <c r="A1123" s="88" t="str">
        <f t="shared" ca="1" si="95"/>
        <v>IAG</v>
      </c>
      <c r="C1123" s="1">
        <v>25</v>
      </c>
      <c r="F1123" s="257">
        <v>9902172</v>
      </c>
      <c r="G1123" s="257">
        <v>10003143</v>
      </c>
      <c r="H1123" s="257">
        <v>9992614</v>
      </c>
      <c r="I1123" s="257">
        <v>10091117</v>
      </c>
      <c r="J1123" s="257">
        <v>10061926</v>
      </c>
      <c r="K1123" s="257">
        <v>9475560</v>
      </c>
      <c r="L1123" s="257">
        <v>9523989</v>
      </c>
      <c r="M1123" s="257">
        <v>10012715</v>
      </c>
      <c r="N1123" s="257">
        <v>10012715</v>
      </c>
      <c r="O1123" s="257">
        <v>10239067</v>
      </c>
      <c r="P1123" s="257">
        <v>10481974</v>
      </c>
      <c r="Q1123" s="257">
        <v>10948183</v>
      </c>
      <c r="R1123" s="257">
        <v>11318802</v>
      </c>
      <c r="S1123" s="257">
        <v>11986472</v>
      </c>
      <c r="T1123" s="257">
        <v>12100651</v>
      </c>
      <c r="U1123" s="257">
        <v>12031028</v>
      </c>
      <c r="V1123" s="257">
        <v>12099984</v>
      </c>
      <c r="W1123" s="257">
        <v>12099984</v>
      </c>
      <c r="X1123" s="257">
        <v>11942687</v>
      </c>
      <c r="Y1123" s="257">
        <v>12133780</v>
      </c>
      <c r="Z1123" s="249">
        <f ca="1">[1]ExtEntry!$Q25</f>
        <v>12139610</v>
      </c>
      <c r="AB1123" s="320">
        <v>0</v>
      </c>
      <c r="AC1123" s="320">
        <v>0</v>
      </c>
      <c r="AD1123" s="320">
        <v>0</v>
      </c>
      <c r="AE1123" s="320">
        <v>0</v>
      </c>
      <c r="AF1123" s="320">
        <v>0</v>
      </c>
      <c r="AG1123" s="320">
        <v>0</v>
      </c>
      <c r="AH1123" s="320">
        <v>0</v>
      </c>
      <c r="AI1123" s="320">
        <v>0</v>
      </c>
      <c r="AJ1123" s="320">
        <v>0</v>
      </c>
      <c r="AK1123" s="320">
        <v>-69624.971999999951</v>
      </c>
      <c r="AL1123" s="320">
        <v>-69624.971999999951</v>
      </c>
      <c r="AM1123" s="320">
        <v>-40684.971999999958</v>
      </c>
      <c r="AN1123" s="320">
        <v>-68214.971999999951</v>
      </c>
      <c r="AO1123" s="320">
        <v>-68214.971999999951</v>
      </c>
      <c r="AP1123" s="320">
        <v>-68214.971999999951</v>
      </c>
      <c r="AQ1123" s="320">
        <v>-68214.971999999951</v>
      </c>
      <c r="AR1123" s="320">
        <v>-68214.971999999951</v>
      </c>
      <c r="AS1123" s="320">
        <v>-68214.971999999951</v>
      </c>
      <c r="AT1123" s="320">
        <v>-68214.971999999951</v>
      </c>
      <c r="AU1123" s="320">
        <v>-68214.971999999951</v>
      </c>
      <c r="AV1123" s="320">
        <f ca="1">Calc!BG25</f>
        <v>0</v>
      </c>
      <c r="AX1123" s="88" t="str">
        <f t="shared" ca="1" si="96"/>
        <v>IAG</v>
      </c>
    </row>
    <row r="1124" spans="1:50" hidden="1">
      <c r="A1124" s="88" t="str">
        <f t="shared" ca="1" si="95"/>
        <v>KR</v>
      </c>
      <c r="C1124" s="1">
        <v>26</v>
      </c>
      <c r="F1124" s="257">
        <v>10472870</v>
      </c>
      <c r="G1124" s="257">
        <v>10877360</v>
      </c>
      <c r="H1124" s="257">
        <v>10979600</v>
      </c>
      <c r="I1124" s="257">
        <v>11453060</v>
      </c>
      <c r="J1124" s="257">
        <v>11526140</v>
      </c>
      <c r="K1124" s="257">
        <v>9963000</v>
      </c>
      <c r="L1124" s="257">
        <v>10616510</v>
      </c>
      <c r="M1124" s="257">
        <v>12268630</v>
      </c>
      <c r="N1124" s="257">
        <v>12268630</v>
      </c>
      <c r="O1124" s="257">
        <v>14086970</v>
      </c>
      <c r="P1124" s="257">
        <v>13829740</v>
      </c>
      <c r="Q1124" s="257">
        <v>13923050</v>
      </c>
      <c r="R1124" s="257">
        <v>13923050</v>
      </c>
      <c r="S1124" s="257">
        <v>14152510</v>
      </c>
      <c r="T1124" s="257">
        <v>14152510</v>
      </c>
      <c r="U1124" s="257">
        <v>14152510</v>
      </c>
      <c r="V1124" s="257">
        <v>14374030</v>
      </c>
      <c r="W1124" s="257">
        <v>14374030</v>
      </c>
      <c r="X1124" s="257">
        <v>13633200</v>
      </c>
      <c r="Y1124" s="257">
        <v>13633200</v>
      </c>
      <c r="Z1124" s="249">
        <f ca="1">[1]ExtEntry!$Q26</f>
        <v>6707301</v>
      </c>
      <c r="AB1124" s="320">
        <v>0</v>
      </c>
      <c r="AC1124" s="320">
        <v>0</v>
      </c>
      <c r="AD1124" s="320">
        <v>0</v>
      </c>
      <c r="AE1124" s="320">
        <v>0</v>
      </c>
      <c r="AF1124" s="320">
        <v>0</v>
      </c>
      <c r="AG1124" s="320">
        <v>0</v>
      </c>
      <c r="AH1124" s="320">
        <v>0</v>
      </c>
      <c r="AI1124" s="320">
        <v>0</v>
      </c>
      <c r="AJ1124" s="320">
        <v>0</v>
      </c>
      <c r="AK1124" s="320">
        <v>0</v>
      </c>
      <c r="AL1124" s="320">
        <v>0</v>
      </c>
      <c r="AM1124" s="320">
        <v>0</v>
      </c>
      <c r="AN1124" s="320">
        <v>0</v>
      </c>
      <c r="AO1124" s="320">
        <v>0</v>
      </c>
      <c r="AP1124" s="320">
        <v>0</v>
      </c>
      <c r="AQ1124" s="320">
        <v>0</v>
      </c>
      <c r="AR1124" s="320">
        <v>0</v>
      </c>
      <c r="AS1124" s="320">
        <v>0</v>
      </c>
      <c r="AT1124" s="320">
        <v>0</v>
      </c>
      <c r="AU1124" s="320">
        <v>0</v>
      </c>
      <c r="AV1124" s="320">
        <f ca="1">Calc!BG26</f>
        <v>-48069.99000000002</v>
      </c>
      <c r="AX1124" s="88" t="str">
        <f t="shared" ca="1" si="96"/>
        <v>KR</v>
      </c>
    </row>
    <row r="1125" spans="1:50" hidden="1">
      <c r="A1125" s="88" t="str">
        <f t="shared" ca="1" si="95"/>
        <v>LNSR</v>
      </c>
      <c r="C1125" s="1">
        <v>27</v>
      </c>
      <c r="F1125" s="257">
        <v>8163090</v>
      </c>
      <c r="G1125" s="257">
        <v>8123667</v>
      </c>
      <c r="H1125" s="257">
        <v>8249619</v>
      </c>
      <c r="I1125" s="257">
        <v>8253096</v>
      </c>
      <c r="J1125" s="257">
        <v>8110837</v>
      </c>
      <c r="K1125" s="257">
        <v>8138185</v>
      </c>
      <c r="L1125" s="257">
        <v>8155459</v>
      </c>
      <c r="M1125" s="257">
        <v>8159064</v>
      </c>
      <c r="N1125" s="257">
        <v>8159064</v>
      </c>
      <c r="O1125" s="257">
        <v>8159212</v>
      </c>
      <c r="P1125" s="257">
        <v>8018750</v>
      </c>
      <c r="Q1125" s="257">
        <v>7961539</v>
      </c>
      <c r="R1125" s="257">
        <v>7836690</v>
      </c>
      <c r="S1125" s="257">
        <v>7460370</v>
      </c>
      <c r="T1125" s="257">
        <v>7347677</v>
      </c>
      <c r="U1125" s="257">
        <v>7214170</v>
      </c>
      <c r="V1125" s="257">
        <v>7031541</v>
      </c>
      <c r="W1125" s="257">
        <v>7031541</v>
      </c>
      <c r="X1125" s="257">
        <v>6931531</v>
      </c>
      <c r="Y1125" s="257">
        <v>6707301</v>
      </c>
      <c r="Z1125" s="249">
        <f ca="1">[1]ExtEntry!$Q27</f>
        <v>46880</v>
      </c>
      <c r="AB1125" s="320">
        <v>0</v>
      </c>
      <c r="AC1125" s="320">
        <v>0</v>
      </c>
      <c r="AD1125" s="320">
        <v>0</v>
      </c>
      <c r="AE1125" s="320">
        <v>0</v>
      </c>
      <c r="AF1125" s="320">
        <v>0</v>
      </c>
      <c r="AG1125" s="320">
        <v>0</v>
      </c>
      <c r="AH1125" s="320">
        <v>0</v>
      </c>
      <c r="AI1125" s="320">
        <v>0</v>
      </c>
      <c r="AJ1125" s="320">
        <v>0</v>
      </c>
      <c r="AK1125" s="320">
        <v>0</v>
      </c>
      <c r="AL1125" s="320">
        <v>0</v>
      </c>
      <c r="AM1125" s="320">
        <v>0</v>
      </c>
      <c r="AN1125" s="320">
        <v>0</v>
      </c>
      <c r="AO1125" s="320">
        <v>0</v>
      </c>
      <c r="AP1125" s="320">
        <v>0</v>
      </c>
      <c r="AQ1125" s="320">
        <v>0</v>
      </c>
      <c r="AR1125" s="320">
        <v>0</v>
      </c>
      <c r="AS1125" s="320">
        <v>0</v>
      </c>
      <c r="AT1125" s="320">
        <v>0</v>
      </c>
      <c r="AU1125" s="320">
        <v>-48069.99000000002</v>
      </c>
      <c r="AV1125" s="320">
        <f ca="1">Calc!BG27</f>
        <v>0</v>
      </c>
      <c r="AX1125" s="88" t="str">
        <f t="shared" ca="1" si="96"/>
        <v>LNSR</v>
      </c>
    </row>
    <row r="1126" spans="1:50" hidden="1">
      <c r="A1126" s="88" t="str">
        <f t="shared" ca="1" si="95"/>
        <v>LUMN</v>
      </c>
      <c r="C1126" s="1">
        <v>28</v>
      </c>
      <c r="F1126" s="257">
        <v>65218</v>
      </c>
      <c r="G1126" s="257">
        <v>63772</v>
      </c>
      <c r="H1126" s="257">
        <v>63611</v>
      </c>
      <c r="I1126" s="257">
        <v>63993</v>
      </c>
      <c r="J1126" s="257">
        <v>63095</v>
      </c>
      <c r="K1126" s="257">
        <v>58263</v>
      </c>
      <c r="L1126" s="257">
        <v>57339</v>
      </c>
      <c r="M1126" s="257">
        <v>52312</v>
      </c>
      <c r="N1126" s="257">
        <v>52312</v>
      </c>
      <c r="O1126" s="257">
        <v>53329</v>
      </c>
      <c r="P1126" s="257">
        <v>52902</v>
      </c>
      <c r="Q1126" s="257">
        <v>52233</v>
      </c>
      <c r="R1126" s="257">
        <v>51005</v>
      </c>
      <c r="S1126" s="257">
        <v>46838</v>
      </c>
      <c r="T1126" s="257">
        <v>45937</v>
      </c>
      <c r="U1126" s="257">
        <v>47413</v>
      </c>
      <c r="V1126" s="257">
        <v>48981</v>
      </c>
      <c r="W1126" s="257">
        <v>48981</v>
      </c>
      <c r="X1126" s="257">
        <v>48423</v>
      </c>
      <c r="Y1126" s="257">
        <v>46880</v>
      </c>
      <c r="Z1126" s="249">
        <f ca="1">[1]ExtEntry!$Q28</f>
        <v>15771135</v>
      </c>
      <c r="AB1126" s="320">
        <v>0</v>
      </c>
      <c r="AC1126" s="320">
        <v>0</v>
      </c>
      <c r="AD1126" s="320">
        <v>0</v>
      </c>
      <c r="AE1126" s="320">
        <v>0</v>
      </c>
      <c r="AF1126" s="320">
        <v>0</v>
      </c>
      <c r="AG1126" s="320">
        <v>0</v>
      </c>
      <c r="AH1126" s="320">
        <v>0</v>
      </c>
      <c r="AI1126" s="320">
        <v>0</v>
      </c>
      <c r="AJ1126" s="320">
        <v>0</v>
      </c>
      <c r="AK1126" s="320">
        <v>0</v>
      </c>
      <c r="AL1126" s="320">
        <v>0</v>
      </c>
      <c r="AM1126" s="320">
        <v>0</v>
      </c>
      <c r="AN1126" s="320">
        <v>0</v>
      </c>
      <c r="AO1126" s="320">
        <v>0</v>
      </c>
      <c r="AP1126" s="320">
        <v>0</v>
      </c>
      <c r="AQ1126" s="320">
        <v>0</v>
      </c>
      <c r="AR1126" s="320">
        <v>0</v>
      </c>
      <c r="AS1126" s="320">
        <v>0</v>
      </c>
      <c r="AT1126" s="320">
        <v>0</v>
      </c>
      <c r="AU1126" s="320">
        <v>0</v>
      </c>
      <c r="AV1126" s="320">
        <f ca="1">Calc!BG28</f>
        <v>0</v>
      </c>
      <c r="AX1126" s="88" t="str">
        <f t="shared" ca="1" si="96"/>
        <v>LUMN</v>
      </c>
    </row>
    <row r="1127" spans="1:50" hidden="1">
      <c r="A1127" s="88" t="str">
        <f t="shared" ca="1" si="95"/>
        <v>MRNA</v>
      </c>
      <c r="C1127" s="1">
        <v>29</v>
      </c>
      <c r="F1127" s="257">
        <v>19143047</v>
      </c>
      <c r="G1127" s="257">
        <v>19071221</v>
      </c>
      <c r="H1127" s="257">
        <v>19331273</v>
      </c>
      <c r="I1127" s="257">
        <v>19428438</v>
      </c>
      <c r="J1127" s="257">
        <v>19220646</v>
      </c>
      <c r="K1127" s="257">
        <v>19326585</v>
      </c>
      <c r="L1127" s="257">
        <v>19508647</v>
      </c>
      <c r="M1127" s="257">
        <v>19407747</v>
      </c>
      <c r="N1127" s="257">
        <v>19407747</v>
      </c>
      <c r="O1127" s="257">
        <v>18476455</v>
      </c>
      <c r="P1127" s="257">
        <v>18111890</v>
      </c>
      <c r="Q1127" s="257">
        <v>17597312</v>
      </c>
      <c r="R1127" s="257">
        <v>17045008</v>
      </c>
      <c r="S1127" s="257">
        <v>16466348</v>
      </c>
      <c r="T1127" s="257">
        <v>16262898</v>
      </c>
      <c r="U1127" s="257">
        <v>15947728</v>
      </c>
      <c r="V1127" s="257">
        <v>15730929</v>
      </c>
      <c r="W1127" s="257">
        <v>15730929</v>
      </c>
      <c r="X1127" s="257">
        <v>15456859</v>
      </c>
      <c r="Y1127" s="257">
        <v>15771135</v>
      </c>
      <c r="Z1127" s="249">
        <f ca="1">[1]ExtEntry!$Q29</f>
        <v>9835193</v>
      </c>
      <c r="AB1127" s="320">
        <v>-788108.32232499996</v>
      </c>
      <c r="AC1127" s="320">
        <v>0</v>
      </c>
      <c r="AD1127" s="320">
        <v>0</v>
      </c>
      <c r="AE1127" s="320">
        <v>0</v>
      </c>
      <c r="AF1127" s="320">
        <v>0</v>
      </c>
      <c r="AG1127" s="320">
        <v>0</v>
      </c>
      <c r="AH1127" s="320">
        <v>0</v>
      </c>
      <c r="AI1127" s="320">
        <v>0</v>
      </c>
      <c r="AJ1127" s="320">
        <v>0</v>
      </c>
      <c r="AK1127" s="320">
        <v>0</v>
      </c>
      <c r="AL1127" s="320">
        <v>0</v>
      </c>
      <c r="AM1127" s="320">
        <v>0</v>
      </c>
      <c r="AN1127" s="320">
        <v>0</v>
      </c>
      <c r="AO1127" s="320">
        <v>0</v>
      </c>
      <c r="AP1127" s="320">
        <v>0</v>
      </c>
      <c r="AQ1127" s="320">
        <v>0</v>
      </c>
      <c r="AR1127" s="320">
        <v>0</v>
      </c>
      <c r="AS1127" s="320">
        <v>0</v>
      </c>
      <c r="AT1127" s="320">
        <v>0</v>
      </c>
      <c r="AU1127" s="320">
        <v>0</v>
      </c>
      <c r="AV1127" s="320">
        <f ca="1">Calc!BG29</f>
        <v>-788105.81921799993</v>
      </c>
      <c r="AX1127" s="88" t="str">
        <f t="shared" ca="1" si="96"/>
        <v>MRNA</v>
      </c>
    </row>
    <row r="1128" spans="1:50" hidden="1">
      <c r="A1128" s="88" t="str">
        <f t="shared" ca="1" si="95"/>
        <v>MSFT</v>
      </c>
      <c r="C1128" s="1">
        <v>30</v>
      </c>
      <c r="F1128" s="257">
        <v>12632833</v>
      </c>
      <c r="G1128" s="257">
        <v>12586653</v>
      </c>
      <c r="H1128" s="257">
        <v>12445245</v>
      </c>
      <c r="I1128" s="257">
        <v>12628306</v>
      </c>
      <c r="J1128" s="257">
        <v>12284442</v>
      </c>
      <c r="K1128" s="257">
        <v>12189056</v>
      </c>
      <c r="L1128" s="257">
        <v>11862945</v>
      </c>
      <c r="M1128" s="257">
        <v>11983627</v>
      </c>
      <c r="N1128" s="257">
        <v>11983627</v>
      </c>
      <c r="O1128" s="257">
        <v>11774170</v>
      </c>
      <c r="P1128" s="257">
        <v>11617642</v>
      </c>
      <c r="Q1128" s="257">
        <v>11508127</v>
      </c>
      <c r="R1128" s="257">
        <v>11519986</v>
      </c>
      <c r="S1128" s="257">
        <v>11364771</v>
      </c>
      <c r="T1128" s="257">
        <v>10517979</v>
      </c>
      <c r="U1128" s="257">
        <v>10498504</v>
      </c>
      <c r="V1128" s="257">
        <v>10118535</v>
      </c>
      <c r="W1128" s="257">
        <v>10118535</v>
      </c>
      <c r="X1128" s="257">
        <v>9899919</v>
      </c>
      <c r="Y1128" s="257">
        <v>9835193</v>
      </c>
      <c r="Z1128" s="249">
        <f ca="1">[1]ExtEntry!$Q30</f>
        <v>18732124</v>
      </c>
      <c r="AB1128" s="320">
        <v>0</v>
      </c>
      <c r="AC1128" s="320">
        <v>-788108.32232499996</v>
      </c>
      <c r="AD1128" s="320">
        <v>-788108.32232499996</v>
      </c>
      <c r="AE1128" s="320">
        <v>-788108.32232499996</v>
      </c>
      <c r="AF1128" s="320">
        <v>-788108.32232499996</v>
      </c>
      <c r="AG1128" s="320">
        <v>-788105.81921799993</v>
      </c>
      <c r="AH1128" s="320">
        <v>-788105.81921799993</v>
      </c>
      <c r="AI1128" s="320">
        <v>-788105.81921799993</v>
      </c>
      <c r="AJ1128" s="320">
        <v>-788105.81921799993</v>
      </c>
      <c r="AK1128" s="320">
        <v>-788105.81921799993</v>
      </c>
      <c r="AL1128" s="320">
        <v>-788105.81921799993</v>
      </c>
      <c r="AM1128" s="320">
        <v>-788105.81921799993</v>
      </c>
      <c r="AN1128" s="320">
        <v>-788105.81921799993</v>
      </c>
      <c r="AO1128" s="320">
        <v>-788105.81921799993</v>
      </c>
      <c r="AP1128" s="320">
        <v>-788105.81921799993</v>
      </c>
      <c r="AQ1128" s="320">
        <v>-788105.81921799993</v>
      </c>
      <c r="AR1128" s="320">
        <v>-788105.81921799993</v>
      </c>
      <c r="AS1128" s="320">
        <v>-788105.81921799993</v>
      </c>
      <c r="AT1128" s="320">
        <v>-788105.81921799993</v>
      </c>
      <c r="AU1128" s="320">
        <v>-788105.81921799993</v>
      </c>
      <c r="AV1128" s="320">
        <f ca="1">Calc!BG30</f>
        <v>0</v>
      </c>
      <c r="AX1128" s="88" t="str">
        <f t="shared" ca="1" si="96"/>
        <v>MSFT</v>
      </c>
    </row>
    <row r="1129" spans="1:50" hidden="1">
      <c r="A1129" s="88" t="str">
        <f t="shared" ca="1" si="95"/>
        <v>NEE</v>
      </c>
      <c r="C1129" s="1">
        <v>31</v>
      </c>
      <c r="F1129" s="257">
        <v>20789322</v>
      </c>
      <c r="G1129" s="257">
        <v>20521067</v>
      </c>
      <c r="H1129" s="257">
        <v>20444653</v>
      </c>
      <c r="I1129" s="257">
        <v>20116518</v>
      </c>
      <c r="J1129" s="257">
        <v>20274318</v>
      </c>
      <c r="K1129" s="257">
        <v>20175267</v>
      </c>
      <c r="L1129" s="257">
        <v>20034756</v>
      </c>
      <c r="M1129" s="257">
        <v>19915491</v>
      </c>
      <c r="N1129" s="257">
        <v>19915491</v>
      </c>
      <c r="O1129" s="257">
        <v>19714415</v>
      </c>
      <c r="P1129" s="257">
        <v>19614944</v>
      </c>
      <c r="Q1129" s="257">
        <v>19625894</v>
      </c>
      <c r="R1129" s="257">
        <v>19349208</v>
      </c>
      <c r="S1129" s="257">
        <v>19216326</v>
      </c>
      <c r="T1129" s="257">
        <v>19066041</v>
      </c>
      <c r="U1129" s="257">
        <v>18966915</v>
      </c>
      <c r="V1129" s="257">
        <v>18801886</v>
      </c>
      <c r="W1129" s="257">
        <v>18801886</v>
      </c>
      <c r="X1129" s="257">
        <v>18927730</v>
      </c>
      <c r="Y1129" s="257">
        <v>18732124</v>
      </c>
      <c r="Z1129" s="249">
        <f ca="1">[1]ExtEntry!$Q31</f>
        <v>10239283</v>
      </c>
      <c r="AB1129" s="320">
        <v>0</v>
      </c>
      <c r="AC1129" s="320">
        <v>0</v>
      </c>
      <c r="AD1129" s="320">
        <v>0</v>
      </c>
      <c r="AE1129" s="320">
        <v>0</v>
      </c>
      <c r="AF1129" s="320">
        <v>0</v>
      </c>
      <c r="AG1129" s="320">
        <v>0</v>
      </c>
      <c r="AH1129" s="320">
        <v>0</v>
      </c>
      <c r="AI1129" s="320">
        <v>0</v>
      </c>
      <c r="AJ1129" s="320">
        <v>0</v>
      </c>
      <c r="AK1129" s="320">
        <v>0</v>
      </c>
      <c r="AL1129" s="320">
        <v>0</v>
      </c>
      <c r="AM1129" s="320">
        <v>0</v>
      </c>
      <c r="AN1129" s="320">
        <v>0</v>
      </c>
      <c r="AO1129" s="320">
        <v>0</v>
      </c>
      <c r="AP1129" s="320">
        <v>0</v>
      </c>
      <c r="AQ1129" s="320">
        <v>0</v>
      </c>
      <c r="AR1129" s="320">
        <v>0</v>
      </c>
      <c r="AS1129" s="320">
        <v>0</v>
      </c>
      <c r="AT1129" s="320">
        <v>0</v>
      </c>
      <c r="AU1129" s="320">
        <v>0</v>
      </c>
      <c r="AV1129" s="320">
        <f ca="1">Calc!BG31</f>
        <v>0</v>
      </c>
      <c r="AX1129" s="88" t="str">
        <f t="shared" ca="1" si="96"/>
        <v>NEE</v>
      </c>
    </row>
    <row r="1130" spans="1:50" hidden="1">
      <c r="A1130" s="88" t="str">
        <f t="shared" ca="1" si="95"/>
        <v>NEM</v>
      </c>
      <c r="C1130" s="1">
        <v>32</v>
      </c>
      <c r="F1130" s="257">
        <v>9938530</v>
      </c>
      <c r="G1130" s="257">
        <v>9827998</v>
      </c>
      <c r="H1130" s="257">
        <v>9950183</v>
      </c>
      <c r="I1130" s="257">
        <v>10265467</v>
      </c>
      <c r="J1130" s="257">
        <v>10231368</v>
      </c>
      <c r="K1130" s="257">
        <v>10458827</v>
      </c>
      <c r="L1130" s="257">
        <v>10756755</v>
      </c>
      <c r="M1130" s="257">
        <v>10998886</v>
      </c>
      <c r="N1130" s="257">
        <v>10998886</v>
      </c>
      <c r="O1130" s="257">
        <v>10723177</v>
      </c>
      <c r="P1130" s="257">
        <v>10556288</v>
      </c>
      <c r="Q1130" s="257">
        <v>10621024</v>
      </c>
      <c r="R1130" s="257">
        <v>10621592</v>
      </c>
      <c r="S1130" s="257">
        <v>10658211</v>
      </c>
      <c r="T1130" s="257">
        <v>10650074</v>
      </c>
      <c r="U1130" s="257">
        <v>10443139</v>
      </c>
      <c r="V1130" s="257">
        <v>10417218</v>
      </c>
      <c r="W1130" s="257">
        <v>10417218</v>
      </c>
      <c r="X1130" s="257">
        <v>10353590</v>
      </c>
      <c r="Y1130" s="257">
        <v>10239283</v>
      </c>
      <c r="Z1130" s="249">
        <f ca="1">[1]ExtEntry!$Q32</f>
        <v>13112848</v>
      </c>
      <c r="AB1130" s="320">
        <v>0</v>
      </c>
      <c r="AC1130" s="320">
        <v>0</v>
      </c>
      <c r="AD1130" s="320">
        <v>0</v>
      </c>
      <c r="AE1130" s="320">
        <v>0</v>
      </c>
      <c r="AF1130" s="320">
        <v>0</v>
      </c>
      <c r="AG1130" s="320">
        <v>0</v>
      </c>
      <c r="AH1130" s="320">
        <v>0</v>
      </c>
      <c r="AI1130" s="320">
        <v>0</v>
      </c>
      <c r="AJ1130" s="320">
        <v>0</v>
      </c>
      <c r="AK1130" s="320">
        <v>0</v>
      </c>
      <c r="AL1130" s="320">
        <v>0</v>
      </c>
      <c r="AM1130" s="320">
        <v>0</v>
      </c>
      <c r="AN1130" s="320">
        <v>0</v>
      </c>
      <c r="AO1130" s="320">
        <v>0</v>
      </c>
      <c r="AP1130" s="320">
        <v>0</v>
      </c>
      <c r="AQ1130" s="320">
        <v>0</v>
      </c>
      <c r="AR1130" s="320">
        <v>0</v>
      </c>
      <c r="AS1130" s="320">
        <v>0</v>
      </c>
      <c r="AT1130" s="320">
        <v>0</v>
      </c>
      <c r="AU1130" s="320">
        <v>0</v>
      </c>
      <c r="AV1130" s="320">
        <f ca="1">Calc!BG32</f>
        <v>0</v>
      </c>
      <c r="AX1130" s="88" t="str">
        <f t="shared" ca="1" si="96"/>
        <v>NEM</v>
      </c>
    </row>
    <row r="1131" spans="1:50" hidden="1">
      <c r="A1131" s="88" t="str">
        <f t="shared" ca="1" si="95"/>
        <v>NFLX</v>
      </c>
      <c r="C1131" s="1">
        <v>33</v>
      </c>
      <c r="F1131" s="257">
        <v>11478224</v>
      </c>
      <c r="G1131" s="257">
        <v>11762522</v>
      </c>
      <c r="H1131" s="257">
        <v>11912739</v>
      </c>
      <c r="I1131" s="257">
        <v>11936588</v>
      </c>
      <c r="J1131" s="257">
        <v>12062804</v>
      </c>
      <c r="K1131" s="257">
        <v>12140349</v>
      </c>
      <c r="L1131" s="257">
        <v>11894482</v>
      </c>
      <c r="M1131" s="257">
        <v>11946723</v>
      </c>
      <c r="N1131" s="257">
        <v>11946723</v>
      </c>
      <c r="O1131" s="257">
        <v>12079023</v>
      </c>
      <c r="P1131" s="257">
        <v>12064067</v>
      </c>
      <c r="Q1131" s="257">
        <v>12007886</v>
      </c>
      <c r="R1131" s="257">
        <v>11881721</v>
      </c>
      <c r="S1131" s="257">
        <v>12028917</v>
      </c>
      <c r="T1131" s="257">
        <v>12486025</v>
      </c>
      <c r="U1131" s="257">
        <v>12475504</v>
      </c>
      <c r="V1131" s="257">
        <v>12726107</v>
      </c>
      <c r="W1131" s="257">
        <v>12726107</v>
      </c>
      <c r="X1131" s="257">
        <v>12944738</v>
      </c>
      <c r="Y1131" s="257">
        <v>13112848</v>
      </c>
      <c r="Z1131" s="249">
        <f ca="1">[1]ExtEntry!$Q33</f>
        <v>3860408</v>
      </c>
      <c r="AB1131" s="320">
        <v>0</v>
      </c>
      <c r="AC1131" s="320">
        <v>0</v>
      </c>
      <c r="AD1131" s="320">
        <v>0</v>
      </c>
      <c r="AE1131" s="320">
        <v>0</v>
      </c>
      <c r="AF1131" s="320">
        <v>0</v>
      </c>
      <c r="AG1131" s="320">
        <v>0</v>
      </c>
      <c r="AH1131" s="320">
        <v>0</v>
      </c>
      <c r="AI1131" s="320">
        <v>0</v>
      </c>
      <c r="AJ1131" s="320">
        <v>0</v>
      </c>
      <c r="AK1131" s="320">
        <v>0</v>
      </c>
      <c r="AL1131" s="320">
        <v>0</v>
      </c>
      <c r="AM1131" s="320">
        <v>0</v>
      </c>
      <c r="AN1131" s="320">
        <v>0</v>
      </c>
      <c r="AO1131" s="320">
        <v>0</v>
      </c>
      <c r="AP1131" s="320">
        <v>0</v>
      </c>
      <c r="AQ1131" s="320">
        <v>0</v>
      </c>
      <c r="AR1131" s="320">
        <v>0</v>
      </c>
      <c r="AS1131" s="320">
        <v>0</v>
      </c>
      <c r="AT1131" s="320">
        <v>0</v>
      </c>
      <c r="AU1131" s="320">
        <v>0</v>
      </c>
      <c r="AV1131" s="320">
        <f ca="1">Calc!BG33</f>
        <v>-258382.25</v>
      </c>
      <c r="AX1131" s="88" t="str">
        <f t="shared" ca="1" si="96"/>
        <v>NFLX</v>
      </c>
    </row>
    <row r="1132" spans="1:50" hidden="1">
      <c r="A1132" s="88" t="str">
        <f t="shared" ca="1" si="95"/>
        <v>NOTE</v>
      </c>
      <c r="C1132" s="1">
        <v>34</v>
      </c>
      <c r="F1132" s="257">
        <v>2795350</v>
      </c>
      <c r="G1132" s="257">
        <v>2791551</v>
      </c>
      <c r="H1132" s="257">
        <v>2832282</v>
      </c>
      <c r="I1132" s="257">
        <v>2917262</v>
      </c>
      <c r="J1132" s="257">
        <v>3038100</v>
      </c>
      <c r="K1132" s="257">
        <v>3075932</v>
      </c>
      <c r="L1132" s="257">
        <v>3116165</v>
      </c>
      <c r="M1132" s="257">
        <v>3131359</v>
      </c>
      <c r="N1132" s="257">
        <v>3131359</v>
      </c>
      <c r="O1132" s="257">
        <v>3199386</v>
      </c>
      <c r="P1132" s="257">
        <v>3221216</v>
      </c>
      <c r="Q1132" s="257">
        <v>3226927</v>
      </c>
      <c r="R1132" s="257">
        <v>3199894</v>
      </c>
      <c r="S1132" s="257">
        <v>3085908</v>
      </c>
      <c r="T1132" s="257">
        <v>3052794</v>
      </c>
      <c r="U1132" s="257">
        <v>3095872</v>
      </c>
      <c r="V1132" s="257">
        <v>3260014</v>
      </c>
      <c r="W1132" s="257">
        <v>3260014</v>
      </c>
      <c r="X1132" s="257">
        <v>3713183</v>
      </c>
      <c r="Y1132" s="257">
        <v>3860408</v>
      </c>
      <c r="Z1132" s="249">
        <f ca="1">[1]ExtEntry!$Q34</f>
        <v>271828</v>
      </c>
      <c r="AB1132" s="320">
        <v>-215816.11749999999</v>
      </c>
      <c r="AC1132" s="320">
        <v>0</v>
      </c>
      <c r="AD1132" s="320">
        <v>0</v>
      </c>
      <c r="AE1132" s="320">
        <v>0</v>
      </c>
      <c r="AF1132" s="320">
        <v>0</v>
      </c>
      <c r="AG1132" s="320">
        <v>0</v>
      </c>
      <c r="AH1132" s="320">
        <v>0</v>
      </c>
      <c r="AI1132" s="320">
        <v>0</v>
      </c>
      <c r="AJ1132" s="320">
        <v>0</v>
      </c>
      <c r="AK1132" s="320">
        <v>0</v>
      </c>
      <c r="AL1132" s="320">
        <v>0</v>
      </c>
      <c r="AM1132" s="320">
        <v>0</v>
      </c>
      <c r="AN1132" s="320">
        <v>0</v>
      </c>
      <c r="AO1132" s="320">
        <v>0</v>
      </c>
      <c r="AP1132" s="320">
        <v>0</v>
      </c>
      <c r="AQ1132" s="320">
        <v>0</v>
      </c>
      <c r="AR1132" s="320">
        <v>0</v>
      </c>
      <c r="AS1132" s="320">
        <v>0</v>
      </c>
      <c r="AT1132" s="320">
        <v>0</v>
      </c>
      <c r="AU1132" s="320">
        <v>-258382.25</v>
      </c>
      <c r="AV1132" s="320">
        <f ca="1">Calc!BG34</f>
        <v>-215812.54749999999</v>
      </c>
      <c r="AX1132" s="88" t="str">
        <f t="shared" ca="1" si="96"/>
        <v>NOTE</v>
      </c>
    </row>
    <row r="1133" spans="1:50" hidden="1">
      <c r="A1133" s="88" t="str">
        <f t="shared" ca="1" si="95"/>
        <v>PAAS</v>
      </c>
      <c r="C1133" s="1">
        <v>35</v>
      </c>
      <c r="F1133" s="257">
        <v>342759</v>
      </c>
      <c r="G1133" s="257">
        <v>343851</v>
      </c>
      <c r="H1133" s="257">
        <v>316801</v>
      </c>
      <c r="I1133" s="257">
        <v>303716</v>
      </c>
      <c r="J1133" s="257">
        <v>293351</v>
      </c>
      <c r="K1133" s="257">
        <v>310807</v>
      </c>
      <c r="L1133" s="257">
        <v>304038</v>
      </c>
      <c r="M1133" s="257">
        <v>303383</v>
      </c>
      <c r="N1133" s="257">
        <v>303383</v>
      </c>
      <c r="O1133" s="257">
        <v>295493</v>
      </c>
      <c r="P1133" s="257">
        <v>292602</v>
      </c>
      <c r="Q1133" s="257">
        <v>290320</v>
      </c>
      <c r="R1133" s="257">
        <v>278476</v>
      </c>
      <c r="S1133" s="257">
        <v>283083</v>
      </c>
      <c r="T1133" s="257">
        <v>278056</v>
      </c>
      <c r="U1133" s="257">
        <v>273428</v>
      </c>
      <c r="V1133" s="257">
        <v>274011</v>
      </c>
      <c r="W1133" s="257">
        <v>274011</v>
      </c>
      <c r="X1133" s="257">
        <v>275085</v>
      </c>
      <c r="Y1133" s="257">
        <v>271828</v>
      </c>
      <c r="Z1133" s="249">
        <f ca="1">[1]ExtEntry!$Q35</f>
        <v>7461996</v>
      </c>
      <c r="AB1133" s="320">
        <v>0</v>
      </c>
      <c r="AC1133" s="320">
        <v>-215816.11749999999</v>
      </c>
      <c r="AD1133" s="320">
        <v>-215816.11749999999</v>
      </c>
      <c r="AE1133" s="320">
        <v>-215816.11749999999</v>
      </c>
      <c r="AF1133" s="320">
        <v>-215816.11749999999</v>
      </c>
      <c r="AG1133" s="320">
        <v>-215812.54749999999</v>
      </c>
      <c r="AH1133" s="320">
        <v>-215812.54749999999</v>
      </c>
      <c r="AI1133" s="320">
        <v>-215812.54749999999</v>
      </c>
      <c r="AJ1133" s="320">
        <v>-215812.54749999999</v>
      </c>
      <c r="AK1133" s="320">
        <v>-215812.54749999999</v>
      </c>
      <c r="AL1133" s="320">
        <v>-215812.54749999999</v>
      </c>
      <c r="AM1133" s="320">
        <v>-215812.54749999999</v>
      </c>
      <c r="AN1133" s="320">
        <v>-215812.54749999999</v>
      </c>
      <c r="AO1133" s="320">
        <v>-215812.54749999999</v>
      </c>
      <c r="AP1133" s="320">
        <v>-215812.54749999999</v>
      </c>
      <c r="AQ1133" s="320">
        <v>-215812.54749999999</v>
      </c>
      <c r="AR1133" s="320">
        <v>-215812.54749999999</v>
      </c>
      <c r="AS1133" s="320">
        <v>-215812.54749999999</v>
      </c>
      <c r="AT1133" s="320">
        <v>-215812.54749999999</v>
      </c>
      <c r="AU1133" s="320">
        <v>-215812.54749999999</v>
      </c>
      <c r="AV1133" s="320">
        <f ca="1">Calc!BG35</f>
        <v>0</v>
      </c>
      <c r="AX1133" s="88" t="str">
        <f t="shared" ca="1" si="96"/>
        <v>PAAS</v>
      </c>
    </row>
    <row r="1134" spans="1:50" hidden="1">
      <c r="A1134" s="88" t="str">
        <f t="shared" ca="1" si="95"/>
        <v>PROF</v>
      </c>
      <c r="C1134" s="1">
        <v>36</v>
      </c>
      <c r="F1134" s="257">
        <v>6867172</v>
      </c>
      <c r="G1134" s="257">
        <v>6984669</v>
      </c>
      <c r="H1134" s="257">
        <v>7118954</v>
      </c>
      <c r="I1134" s="257">
        <v>7224882</v>
      </c>
      <c r="J1134" s="257">
        <v>7343616</v>
      </c>
      <c r="K1134" s="257">
        <v>7429110</v>
      </c>
      <c r="L1134" s="257">
        <v>7157638</v>
      </c>
      <c r="M1134" s="257">
        <v>7124146</v>
      </c>
      <c r="N1134" s="257">
        <v>7124146</v>
      </c>
      <c r="O1134" s="257">
        <v>7349090</v>
      </c>
      <c r="P1134" s="257">
        <v>7282344</v>
      </c>
      <c r="Q1134" s="257">
        <v>7261604</v>
      </c>
      <c r="R1134" s="257">
        <v>7235041</v>
      </c>
      <c r="S1134" s="257">
        <v>7348940</v>
      </c>
      <c r="T1134" s="257">
        <v>7450885</v>
      </c>
      <c r="U1134" s="257">
        <v>7383054</v>
      </c>
      <c r="V1134" s="257">
        <v>7532119</v>
      </c>
      <c r="W1134" s="257">
        <v>7532119</v>
      </c>
      <c r="X1134" s="257">
        <v>7546484</v>
      </c>
      <c r="Y1134" s="257">
        <v>7461996</v>
      </c>
      <c r="Z1134" s="249">
        <f ca="1">[1]ExtEntry!$Q36</f>
        <v>145129</v>
      </c>
      <c r="AB1134" s="320">
        <v>0</v>
      </c>
      <c r="AC1134" s="320">
        <v>0</v>
      </c>
      <c r="AD1134" s="320">
        <v>0</v>
      </c>
      <c r="AE1134" s="320">
        <v>0</v>
      </c>
      <c r="AF1134" s="320">
        <v>0</v>
      </c>
      <c r="AG1134" s="320">
        <v>0</v>
      </c>
      <c r="AH1134" s="320">
        <v>0</v>
      </c>
      <c r="AI1134" s="320">
        <v>0</v>
      </c>
      <c r="AJ1134" s="320">
        <v>0</v>
      </c>
      <c r="AK1134" s="320">
        <v>0</v>
      </c>
      <c r="AL1134" s="320">
        <v>0</v>
      </c>
      <c r="AM1134" s="320">
        <v>0</v>
      </c>
      <c r="AN1134" s="320">
        <v>0</v>
      </c>
      <c r="AO1134" s="320">
        <v>0</v>
      </c>
      <c r="AP1134" s="320">
        <v>0</v>
      </c>
      <c r="AQ1134" s="320">
        <v>0</v>
      </c>
      <c r="AR1134" s="320">
        <v>0</v>
      </c>
      <c r="AS1134" s="320">
        <v>0</v>
      </c>
      <c r="AT1134" s="320">
        <v>0</v>
      </c>
      <c r="AU1134" s="320">
        <v>0</v>
      </c>
      <c r="AV1134" s="320">
        <f ca="1">Calc!BG36</f>
        <v>0</v>
      </c>
      <c r="AX1134" s="88" t="str">
        <f t="shared" ca="1" si="96"/>
        <v>PROF</v>
      </c>
    </row>
    <row r="1135" spans="1:50" hidden="1">
      <c r="A1135" s="88" t="str">
        <f t="shared" ca="1" si="95"/>
        <v>POET</v>
      </c>
      <c r="C1135" s="1">
        <v>37</v>
      </c>
      <c r="F1135" s="257">
        <v>127737</v>
      </c>
      <c r="G1135" s="257">
        <v>126129</v>
      </c>
      <c r="H1135" s="257">
        <v>126463</v>
      </c>
      <c r="I1135" s="257">
        <v>127030</v>
      </c>
      <c r="J1135" s="257">
        <v>129862</v>
      </c>
      <c r="K1135" s="257">
        <v>133404</v>
      </c>
      <c r="L1135" s="257">
        <v>139230</v>
      </c>
      <c r="M1135" s="257">
        <v>145322</v>
      </c>
      <c r="N1135" s="257">
        <v>145322</v>
      </c>
      <c r="O1135" s="257">
        <v>154962</v>
      </c>
      <c r="P1135" s="257">
        <v>153248</v>
      </c>
      <c r="Q1135" s="257">
        <v>153876</v>
      </c>
      <c r="R1135" s="257">
        <v>153206</v>
      </c>
      <c r="S1135" s="257">
        <v>150926</v>
      </c>
      <c r="T1135" s="257">
        <v>148965</v>
      </c>
      <c r="U1135" s="257">
        <v>148409</v>
      </c>
      <c r="V1135" s="257">
        <v>147040</v>
      </c>
      <c r="W1135" s="257">
        <v>147040</v>
      </c>
      <c r="X1135" s="257">
        <v>147943</v>
      </c>
      <c r="Y1135" s="257">
        <v>145129</v>
      </c>
      <c r="Z1135" s="249">
        <f ca="1">[1]ExtEntry!$Q37</f>
        <v>14576529</v>
      </c>
      <c r="AB1135" s="320">
        <v>-33.788724999991246</v>
      </c>
      <c r="AC1135" s="320">
        <v>0</v>
      </c>
      <c r="AD1135" s="320">
        <v>0</v>
      </c>
      <c r="AE1135" s="320">
        <v>0</v>
      </c>
      <c r="AF1135" s="320">
        <v>0</v>
      </c>
      <c r="AG1135" s="320">
        <v>0</v>
      </c>
      <c r="AH1135" s="320">
        <v>0</v>
      </c>
      <c r="AI1135" s="320">
        <v>0</v>
      </c>
      <c r="AJ1135" s="320">
        <v>0</v>
      </c>
      <c r="AK1135" s="320">
        <v>0</v>
      </c>
      <c r="AL1135" s="320">
        <v>0</v>
      </c>
      <c r="AM1135" s="320">
        <v>0</v>
      </c>
      <c r="AN1135" s="320">
        <v>0</v>
      </c>
      <c r="AO1135" s="320">
        <v>0</v>
      </c>
      <c r="AP1135" s="320">
        <v>0</v>
      </c>
      <c r="AQ1135" s="320">
        <v>0</v>
      </c>
      <c r="AR1135" s="320">
        <v>0</v>
      </c>
      <c r="AS1135" s="320">
        <v>0</v>
      </c>
      <c r="AT1135" s="320">
        <v>0</v>
      </c>
      <c r="AU1135" s="320">
        <v>0</v>
      </c>
      <c r="AV1135" s="320">
        <f ca="1">Calc!BG37</f>
        <v>0</v>
      </c>
      <c r="AX1135" s="88" t="str">
        <f t="shared" ca="1" si="96"/>
        <v>POET</v>
      </c>
    </row>
    <row r="1136" spans="1:50" hidden="1">
      <c r="A1136" s="88" t="str">
        <f t="shared" ca="1" si="95"/>
        <v>PW</v>
      </c>
      <c r="C1136" s="1">
        <v>38</v>
      </c>
      <c r="F1136" s="257">
        <v>2141899</v>
      </c>
      <c r="G1136" s="257">
        <v>2269714</v>
      </c>
      <c r="H1136" s="257">
        <v>2331108</v>
      </c>
      <c r="I1136" s="257">
        <v>2478603</v>
      </c>
      <c r="J1136" s="257">
        <v>2681305</v>
      </c>
      <c r="K1136" s="257">
        <v>2905156</v>
      </c>
      <c r="L1136" s="257">
        <v>4494304</v>
      </c>
      <c r="M1136" s="257">
        <v>6823096</v>
      </c>
      <c r="N1136" s="257">
        <v>6823096</v>
      </c>
      <c r="O1136" s="257">
        <v>9261404</v>
      </c>
      <c r="P1136" s="257">
        <v>9967110</v>
      </c>
      <c r="Q1136" s="257">
        <v>10749664</v>
      </c>
      <c r="R1136" s="257">
        <v>11535939</v>
      </c>
      <c r="S1136" s="257">
        <v>11981892</v>
      </c>
      <c r="T1136" s="257">
        <v>12355170</v>
      </c>
      <c r="U1136" s="257">
        <v>12788617</v>
      </c>
      <c r="V1136" s="257">
        <v>13219367</v>
      </c>
      <c r="W1136" s="257">
        <v>13219367</v>
      </c>
      <c r="X1136" s="257">
        <v>14172675</v>
      </c>
      <c r="Y1136" s="257">
        <v>14576529</v>
      </c>
      <c r="Z1136" s="249">
        <f ca="1">[1]ExtEntry!$Q38</f>
        <v>71766</v>
      </c>
      <c r="AB1136" s="320">
        <v>-4985.540874999997</v>
      </c>
      <c r="AC1136" s="320">
        <v>-33.788724999991246</v>
      </c>
      <c r="AD1136" s="320">
        <v>-33.788724999991246</v>
      </c>
      <c r="AE1136" s="320">
        <v>-33.788724999991246</v>
      </c>
      <c r="AF1136" s="320">
        <v>-33.788724999991246</v>
      </c>
      <c r="AG1136" s="320">
        <v>0</v>
      </c>
      <c r="AH1136" s="320">
        <v>0</v>
      </c>
      <c r="AI1136" s="320">
        <v>0</v>
      </c>
      <c r="AJ1136" s="320">
        <v>0</v>
      </c>
      <c r="AK1136" s="320">
        <v>0</v>
      </c>
      <c r="AL1136" s="320">
        <v>0</v>
      </c>
      <c r="AM1136" s="320">
        <v>0</v>
      </c>
      <c r="AN1136" s="320">
        <v>0</v>
      </c>
      <c r="AO1136" s="320">
        <v>0</v>
      </c>
      <c r="AP1136" s="320">
        <v>0</v>
      </c>
      <c r="AQ1136" s="320">
        <v>0</v>
      </c>
      <c r="AR1136" s="320">
        <v>0</v>
      </c>
      <c r="AS1136" s="320">
        <v>0</v>
      </c>
      <c r="AT1136" s="320">
        <v>0</v>
      </c>
      <c r="AU1136" s="320">
        <v>0</v>
      </c>
      <c r="AV1136" s="320">
        <f ca="1">Calc!BG38</f>
        <v>-4984.5907899999966</v>
      </c>
      <c r="AX1136" s="88" t="str">
        <f t="shared" ca="1" si="96"/>
        <v>PW</v>
      </c>
    </row>
    <row r="1137" spans="1:50" hidden="1">
      <c r="A1137" s="88" t="str">
        <f t="shared" ca="1" si="95"/>
        <v>RIGL</v>
      </c>
      <c r="C1137" s="1">
        <v>39</v>
      </c>
      <c r="F1137" s="257">
        <v>264726</v>
      </c>
      <c r="G1137" s="257">
        <v>267906</v>
      </c>
      <c r="H1137" s="257">
        <v>268101</v>
      </c>
      <c r="I1137" s="257">
        <v>269253</v>
      </c>
      <c r="J1137" s="257">
        <v>267382</v>
      </c>
      <c r="K1137" s="257">
        <v>207337</v>
      </c>
      <c r="L1137" s="257">
        <v>204650</v>
      </c>
      <c r="M1137" s="257">
        <v>206295</v>
      </c>
      <c r="N1137" s="257">
        <v>206295</v>
      </c>
      <c r="O1137" s="257">
        <v>198487</v>
      </c>
      <c r="P1137" s="257">
        <v>199386</v>
      </c>
      <c r="Q1137" s="257">
        <v>200979</v>
      </c>
      <c r="R1137" s="257">
        <v>200020</v>
      </c>
      <c r="S1137" s="257">
        <v>199773</v>
      </c>
      <c r="T1137" s="257">
        <v>201906</v>
      </c>
      <c r="U1137" s="257">
        <v>201073</v>
      </c>
      <c r="V1137" s="257">
        <v>202422</v>
      </c>
      <c r="W1137" s="257">
        <v>202422</v>
      </c>
      <c r="X1137" s="257">
        <v>66451</v>
      </c>
      <c r="Y1137" s="257">
        <v>71766</v>
      </c>
      <c r="Z1137" s="249">
        <f ca="1">[1]ExtEntry!$Q39</f>
        <v>608918</v>
      </c>
      <c r="AB1137" s="320">
        <v>0</v>
      </c>
      <c r="AC1137" s="320">
        <v>-4985.540874999997</v>
      </c>
      <c r="AD1137" s="320">
        <v>-4985.540874999997</v>
      </c>
      <c r="AE1137" s="320">
        <v>-4985.540874999997</v>
      </c>
      <c r="AF1137" s="320">
        <v>-4985.540874999997</v>
      </c>
      <c r="AG1137" s="320">
        <v>-4984.5907899999966</v>
      </c>
      <c r="AH1137" s="320">
        <v>-4984.5907899999966</v>
      </c>
      <c r="AI1137" s="320">
        <v>-4984.5907899999966</v>
      </c>
      <c r="AJ1137" s="320">
        <v>-4984.5907899999966</v>
      </c>
      <c r="AK1137" s="320">
        <v>-4984.5907899999966</v>
      </c>
      <c r="AL1137" s="320">
        <v>-4984.5907899999966</v>
      </c>
      <c r="AM1137" s="320">
        <v>-4984.5907899999966</v>
      </c>
      <c r="AN1137" s="320">
        <v>-4984.5907899999966</v>
      </c>
      <c r="AO1137" s="320">
        <v>-4984.5907899999966</v>
      </c>
      <c r="AP1137" s="320">
        <v>-4984.5907899999966</v>
      </c>
      <c r="AQ1137" s="320">
        <v>-4984.5907899999966</v>
      </c>
      <c r="AR1137" s="320">
        <v>-4984.5907899999966</v>
      </c>
      <c r="AS1137" s="320">
        <v>-4984.5907899999966</v>
      </c>
      <c r="AT1137" s="320">
        <v>-4984.5907899999966</v>
      </c>
      <c r="AU1137" s="320">
        <v>-4984.5907899999966</v>
      </c>
      <c r="AV1137" s="320">
        <f ca="1">Calc!BG39</f>
        <v>0</v>
      </c>
      <c r="AX1137" s="88" t="str">
        <f t="shared" ca="1" si="96"/>
        <v>RIGL</v>
      </c>
    </row>
    <row r="1138" spans="1:50" hidden="1">
      <c r="A1138" s="88" t="str">
        <f t="shared" ca="1" si="95"/>
        <v>RWE</v>
      </c>
      <c r="C1138" s="1">
        <v>40</v>
      </c>
      <c r="F1138" s="257">
        <v>742207</v>
      </c>
      <c r="G1138" s="257">
        <v>727549</v>
      </c>
      <c r="H1138" s="257">
        <v>718583</v>
      </c>
      <c r="I1138" s="257">
        <v>705702</v>
      </c>
      <c r="J1138" s="257">
        <v>698182</v>
      </c>
      <c r="K1138" s="257">
        <v>664834</v>
      </c>
      <c r="L1138" s="257">
        <v>675839</v>
      </c>
      <c r="M1138" s="257">
        <v>689019</v>
      </c>
      <c r="N1138" s="257">
        <v>689019</v>
      </c>
      <c r="O1138" s="257">
        <v>686601</v>
      </c>
      <c r="P1138" s="257">
        <v>678889</v>
      </c>
      <c r="Q1138" s="257">
        <v>656194</v>
      </c>
      <c r="R1138" s="257">
        <v>644319</v>
      </c>
      <c r="S1138" s="257">
        <v>631780</v>
      </c>
      <c r="T1138" s="257">
        <v>631929</v>
      </c>
      <c r="U1138" s="257">
        <v>615916</v>
      </c>
      <c r="V1138" s="257">
        <v>615263</v>
      </c>
      <c r="W1138" s="257">
        <v>615263</v>
      </c>
      <c r="X1138" s="257">
        <v>621368</v>
      </c>
      <c r="Y1138" s="257">
        <v>608918</v>
      </c>
      <c r="Z1138" s="249">
        <f ca="1">[1]ExtEntry!$Q40</f>
        <v>1616820</v>
      </c>
      <c r="AB1138" s="320">
        <v>0</v>
      </c>
      <c r="AC1138" s="320">
        <v>0</v>
      </c>
      <c r="AD1138" s="320">
        <v>0</v>
      </c>
      <c r="AE1138" s="320">
        <v>0</v>
      </c>
      <c r="AF1138" s="320">
        <v>0</v>
      </c>
      <c r="AG1138" s="320">
        <v>0</v>
      </c>
      <c r="AH1138" s="320">
        <v>0</v>
      </c>
      <c r="AI1138" s="320">
        <v>0</v>
      </c>
      <c r="AJ1138" s="320">
        <v>0</v>
      </c>
      <c r="AK1138" s="320">
        <v>0</v>
      </c>
      <c r="AL1138" s="320">
        <v>0</v>
      </c>
      <c r="AM1138" s="320">
        <v>0</v>
      </c>
      <c r="AN1138" s="320">
        <v>0</v>
      </c>
      <c r="AO1138" s="320">
        <v>0</v>
      </c>
      <c r="AP1138" s="320">
        <v>0</v>
      </c>
      <c r="AQ1138" s="320">
        <v>0</v>
      </c>
      <c r="AR1138" s="320">
        <v>0</v>
      </c>
      <c r="AS1138" s="320">
        <v>0</v>
      </c>
      <c r="AT1138" s="320">
        <v>0</v>
      </c>
      <c r="AU1138" s="320">
        <v>0</v>
      </c>
      <c r="AV1138" s="320">
        <f ca="1">Calc!BG40</f>
        <v>0</v>
      </c>
      <c r="AX1138" s="88" t="str">
        <f t="shared" ca="1" si="96"/>
        <v>RWE</v>
      </c>
    </row>
    <row r="1139" spans="1:50" hidden="1">
      <c r="A1139" s="88" t="str">
        <f t="shared" ca="1" si="95"/>
        <v>SAP</v>
      </c>
      <c r="C1139" s="1">
        <v>41</v>
      </c>
      <c r="F1139" s="257">
        <v>1970610</v>
      </c>
      <c r="G1139" s="257">
        <v>1970610</v>
      </c>
      <c r="H1139" s="257">
        <v>1968620</v>
      </c>
      <c r="I1139" s="257">
        <v>1946240</v>
      </c>
      <c r="J1139" s="257">
        <v>2081190</v>
      </c>
      <c r="K1139" s="257">
        <v>1838540</v>
      </c>
      <c r="L1139" s="257">
        <v>1851740</v>
      </c>
      <c r="M1139" s="257">
        <v>1906160</v>
      </c>
      <c r="N1139" s="257">
        <v>2007610</v>
      </c>
      <c r="O1139" s="257">
        <v>1957330</v>
      </c>
      <c r="P1139" s="257">
        <v>1957330</v>
      </c>
      <c r="Q1139" s="257">
        <v>1956480</v>
      </c>
      <c r="R1139" s="257">
        <v>1950430</v>
      </c>
      <c r="S1139" s="257">
        <v>1694940</v>
      </c>
      <c r="T1139" s="257">
        <v>1744310</v>
      </c>
      <c r="U1139" s="257">
        <v>1744310</v>
      </c>
      <c r="V1139" s="257">
        <v>1721090</v>
      </c>
      <c r="W1139" s="257">
        <v>1721090</v>
      </c>
      <c r="X1139" s="257">
        <v>1718010</v>
      </c>
      <c r="Y1139" s="257">
        <v>1718010</v>
      </c>
      <c r="Z1139" s="249">
        <f ca="1">[1]ExtEntry!$Q41</f>
        <v>1230040</v>
      </c>
      <c r="AB1139" s="320">
        <v>-619829.04237500008</v>
      </c>
      <c r="AC1139" s="320">
        <v>0</v>
      </c>
      <c r="AD1139" s="320">
        <v>0</v>
      </c>
      <c r="AE1139" s="320">
        <v>0</v>
      </c>
      <c r="AF1139" s="320">
        <v>0</v>
      </c>
      <c r="AG1139" s="320">
        <v>0</v>
      </c>
      <c r="AH1139" s="320">
        <v>0</v>
      </c>
      <c r="AI1139" s="320">
        <v>0</v>
      </c>
      <c r="AJ1139" s="320">
        <v>0</v>
      </c>
      <c r="AK1139" s="320">
        <v>0</v>
      </c>
      <c r="AL1139" s="320">
        <v>0</v>
      </c>
      <c r="AM1139" s="320">
        <v>0</v>
      </c>
      <c r="AN1139" s="320">
        <v>0</v>
      </c>
      <c r="AO1139" s="320">
        <v>0</v>
      </c>
      <c r="AP1139" s="320">
        <v>0</v>
      </c>
      <c r="AQ1139" s="320">
        <v>0</v>
      </c>
      <c r="AR1139" s="320">
        <v>0</v>
      </c>
      <c r="AS1139" s="320">
        <v>0</v>
      </c>
      <c r="AT1139" s="320">
        <v>0</v>
      </c>
      <c r="AU1139" s="320">
        <v>0</v>
      </c>
      <c r="AV1139" s="320">
        <f ca="1">Calc!BG41</f>
        <v>-688430.08507000015</v>
      </c>
      <c r="AX1139" s="88" t="str">
        <f t="shared" ca="1" si="96"/>
        <v>SAP</v>
      </c>
    </row>
    <row r="1140" spans="1:50" hidden="1">
      <c r="A1140" s="88" t="str">
        <f t="shared" ca="1" si="95"/>
        <v>SHECY</v>
      </c>
      <c r="C1140" s="1">
        <v>42</v>
      </c>
      <c r="F1140" s="257">
        <v>2156360</v>
      </c>
      <c r="G1140" s="257">
        <v>2026770</v>
      </c>
      <c r="H1140" s="257">
        <v>1963540</v>
      </c>
      <c r="I1140" s="257">
        <v>1889010</v>
      </c>
      <c r="J1140" s="257">
        <v>1755450</v>
      </c>
      <c r="K1140" s="257">
        <v>1256430</v>
      </c>
      <c r="L1140" s="257">
        <v>1280350</v>
      </c>
      <c r="M1140" s="257">
        <v>1174280</v>
      </c>
      <c r="N1140" s="257">
        <v>1174280</v>
      </c>
      <c r="O1140" s="257">
        <v>1127830</v>
      </c>
      <c r="P1140" s="257">
        <v>1106630</v>
      </c>
      <c r="Q1140" s="257">
        <v>1126030</v>
      </c>
      <c r="R1140" s="257">
        <v>1110590</v>
      </c>
      <c r="S1140" s="257">
        <v>1105790</v>
      </c>
      <c r="T1140" s="257">
        <v>1114650</v>
      </c>
      <c r="U1140" s="257">
        <v>1181580</v>
      </c>
      <c r="V1140" s="257">
        <v>1181580</v>
      </c>
      <c r="W1140" s="257">
        <v>1181580</v>
      </c>
      <c r="X1140" s="257">
        <v>1190530</v>
      </c>
      <c r="Y1140" s="257">
        <v>1190530</v>
      </c>
      <c r="Z1140" s="249">
        <f ca="1">[1]ExtEntry!$Q42</f>
        <v>6346040</v>
      </c>
      <c r="AB1140" s="320">
        <v>-136280.77135000005</v>
      </c>
      <c r="AC1140" s="320">
        <v>-619829.04237500008</v>
      </c>
      <c r="AD1140" s="320">
        <v>-619829.04237500008</v>
      </c>
      <c r="AE1140" s="320">
        <v>-736004.04237500019</v>
      </c>
      <c r="AF1140" s="320">
        <v>-736004.04237500019</v>
      </c>
      <c r="AG1140" s="320">
        <v>-735990.08507000015</v>
      </c>
      <c r="AH1140" s="320">
        <v>-735990.08507000015</v>
      </c>
      <c r="AI1140" s="320">
        <v>-735990.08507000015</v>
      </c>
      <c r="AJ1140" s="320">
        <v>-688430.08507000015</v>
      </c>
      <c r="AK1140" s="320">
        <v>-688430.08507000015</v>
      </c>
      <c r="AL1140" s="320">
        <v>-688430.08507000015</v>
      </c>
      <c r="AM1140" s="320">
        <v>-688430.08507000015</v>
      </c>
      <c r="AN1140" s="320">
        <v>-688430.08507000015</v>
      </c>
      <c r="AO1140" s="320">
        <v>-688430.08507000015</v>
      </c>
      <c r="AP1140" s="320">
        <v>-688430.08507000015</v>
      </c>
      <c r="AQ1140" s="320">
        <v>-688430.08507000015</v>
      </c>
      <c r="AR1140" s="320">
        <v>-688430.08507000015</v>
      </c>
      <c r="AS1140" s="320">
        <v>-688430.08507000015</v>
      </c>
      <c r="AT1140" s="320">
        <v>-688430.08507000015</v>
      </c>
      <c r="AU1140" s="320">
        <v>-688430.08507000015</v>
      </c>
      <c r="AV1140" s="320">
        <f ca="1">Calc!BG42</f>
        <v>-125813.47420400003</v>
      </c>
      <c r="AX1140" s="88" t="str">
        <f t="shared" ca="1" si="96"/>
        <v>SHECY</v>
      </c>
    </row>
    <row r="1141" spans="1:50" hidden="1">
      <c r="A1141" s="88" t="str">
        <f t="shared" ca="1" si="95"/>
        <v>SSYS</v>
      </c>
      <c r="C1141" s="1">
        <v>43</v>
      </c>
      <c r="F1141" s="257">
        <v>9121800</v>
      </c>
      <c r="G1141" s="257">
        <v>9121800</v>
      </c>
      <c r="H1141" s="257">
        <v>9049340</v>
      </c>
      <c r="I1141" s="257">
        <v>9041000</v>
      </c>
      <c r="J1141" s="257">
        <v>8737790</v>
      </c>
      <c r="K1141" s="257">
        <v>9367560</v>
      </c>
      <c r="L1141" s="257">
        <v>8292550</v>
      </c>
      <c r="M1141" s="257">
        <v>8434250</v>
      </c>
      <c r="N1141" s="257">
        <v>8441050</v>
      </c>
      <c r="O1141" s="257">
        <v>7972880</v>
      </c>
      <c r="P1141" s="257">
        <v>7972880</v>
      </c>
      <c r="Q1141" s="257">
        <v>7972880</v>
      </c>
      <c r="R1141" s="257">
        <v>8342700</v>
      </c>
      <c r="S1141" s="257">
        <v>7854140</v>
      </c>
      <c r="T1141" s="257">
        <v>7691590</v>
      </c>
      <c r="U1141" s="257">
        <v>7691590</v>
      </c>
      <c r="V1141" s="257">
        <v>7193820</v>
      </c>
      <c r="W1141" s="257">
        <v>7193820</v>
      </c>
      <c r="X1141" s="257">
        <v>6728060</v>
      </c>
      <c r="Y1141" s="257">
        <v>6346040</v>
      </c>
      <c r="Z1141" s="249">
        <f ca="1">[1]ExtEntry!$Q43</f>
        <v>1241446</v>
      </c>
      <c r="AB1141" s="320">
        <v>0</v>
      </c>
      <c r="AC1141" s="320">
        <v>-136280.77135000005</v>
      </c>
      <c r="AD1141" s="320">
        <v>-136280.77135000005</v>
      </c>
      <c r="AE1141" s="320">
        <v>-136280.77135000005</v>
      </c>
      <c r="AF1141" s="320">
        <v>-136280.77135000005</v>
      </c>
      <c r="AG1141" s="320">
        <v>-136266.75420400006</v>
      </c>
      <c r="AH1141" s="320">
        <v>-136266.75420400006</v>
      </c>
      <c r="AI1141" s="320">
        <v>-136266.75420400006</v>
      </c>
      <c r="AJ1141" s="320">
        <v>-136266.75420400006</v>
      </c>
      <c r="AK1141" s="320">
        <v>-136266.75420400006</v>
      </c>
      <c r="AL1141" s="320">
        <v>-136266.75420400006</v>
      </c>
      <c r="AM1141" s="320">
        <v>-133802.29420400003</v>
      </c>
      <c r="AN1141" s="320">
        <v>-125813.47420400003</v>
      </c>
      <c r="AO1141" s="320">
        <v>-125813.47420400003</v>
      </c>
      <c r="AP1141" s="320">
        <v>-125813.47420400003</v>
      </c>
      <c r="AQ1141" s="320">
        <v>-125813.47420400003</v>
      </c>
      <c r="AR1141" s="320">
        <v>-125813.47420400003</v>
      </c>
      <c r="AS1141" s="320">
        <v>-125813.47420400003</v>
      </c>
      <c r="AT1141" s="320">
        <v>-125813.47420400003</v>
      </c>
      <c r="AU1141" s="320">
        <v>-125813.47420400003</v>
      </c>
      <c r="AV1141" s="320">
        <f ca="1">Calc!BG43</f>
        <v>0</v>
      </c>
      <c r="AX1141" s="88" t="str">
        <f t="shared" ca="1" si="96"/>
        <v>SSYS</v>
      </c>
    </row>
    <row r="1142" spans="1:50" hidden="1">
      <c r="A1142" s="88" t="str">
        <f t="shared" ca="1" si="95"/>
        <v>TSLA</v>
      </c>
      <c r="C1142" s="1">
        <v>44</v>
      </c>
      <c r="F1142" s="257">
        <v>1116371</v>
      </c>
      <c r="G1142" s="257">
        <v>1079395</v>
      </c>
      <c r="H1142" s="257">
        <v>1062979</v>
      </c>
      <c r="I1142" s="257">
        <v>1052621</v>
      </c>
      <c r="J1142" s="257">
        <v>1027780</v>
      </c>
      <c r="K1142" s="257">
        <v>999105</v>
      </c>
      <c r="L1142" s="257">
        <v>1001052</v>
      </c>
      <c r="M1142" s="257">
        <v>1002190</v>
      </c>
      <c r="N1142" s="257">
        <v>1002190</v>
      </c>
      <c r="O1142" s="257">
        <v>1009004</v>
      </c>
      <c r="P1142" s="257">
        <v>1010041</v>
      </c>
      <c r="Q1142" s="257">
        <v>1003805</v>
      </c>
      <c r="R1142" s="257">
        <v>980928</v>
      </c>
      <c r="S1142" s="257">
        <v>1001411</v>
      </c>
      <c r="T1142" s="257">
        <v>1002479</v>
      </c>
      <c r="U1142" s="257">
        <v>1098613</v>
      </c>
      <c r="V1142" s="257">
        <v>1171903</v>
      </c>
      <c r="W1142" s="257">
        <v>1171903</v>
      </c>
      <c r="X1142" s="257">
        <v>1204972</v>
      </c>
      <c r="Y1142" s="257">
        <v>1241446</v>
      </c>
      <c r="Z1142" s="249">
        <f ca="1">[1]ExtEntry!$Q44</f>
        <v>89870669</v>
      </c>
      <c r="AB1142" s="320">
        <v>0</v>
      </c>
      <c r="AC1142" s="320">
        <v>0</v>
      </c>
      <c r="AD1142" s="320">
        <v>0</v>
      </c>
      <c r="AE1142" s="320">
        <v>0</v>
      </c>
      <c r="AF1142" s="320">
        <v>0</v>
      </c>
      <c r="AG1142" s="320">
        <v>0</v>
      </c>
      <c r="AH1142" s="320">
        <v>0</v>
      </c>
      <c r="AI1142" s="320">
        <v>0</v>
      </c>
      <c r="AJ1142" s="320">
        <v>0</v>
      </c>
      <c r="AK1142" s="320">
        <v>0</v>
      </c>
      <c r="AL1142" s="320">
        <v>0</v>
      </c>
      <c r="AM1142" s="320">
        <v>0</v>
      </c>
      <c r="AN1142" s="320">
        <v>0</v>
      </c>
      <c r="AO1142" s="320">
        <v>0</v>
      </c>
      <c r="AP1142" s="320">
        <v>0</v>
      </c>
      <c r="AQ1142" s="320">
        <v>0</v>
      </c>
      <c r="AR1142" s="320">
        <v>0</v>
      </c>
      <c r="AS1142" s="320">
        <v>0</v>
      </c>
      <c r="AT1142" s="320">
        <v>0</v>
      </c>
      <c r="AU1142" s="320">
        <v>0</v>
      </c>
      <c r="AV1142" s="320">
        <f ca="1">Calc!BG44</f>
        <v>0</v>
      </c>
      <c r="AX1142" s="88" t="str">
        <f t="shared" ca="1" si="96"/>
        <v>TSLA</v>
      </c>
    </row>
    <row r="1143" spans="1:50" hidden="1">
      <c r="A1143" s="88" t="str">
        <f t="shared" ca="1" si="95"/>
        <v>TSM</v>
      </c>
      <c r="C1143" s="1">
        <v>45</v>
      </c>
      <c r="F1143" s="257">
        <v>91666333</v>
      </c>
      <c r="G1143" s="257">
        <v>91085340</v>
      </c>
      <c r="H1143" s="257">
        <v>90592857</v>
      </c>
      <c r="I1143" s="257">
        <v>91451686</v>
      </c>
      <c r="J1143" s="257">
        <v>94311284</v>
      </c>
      <c r="K1143" s="257">
        <v>97089851</v>
      </c>
      <c r="L1143" s="257">
        <v>98846016</v>
      </c>
      <c r="M1143" s="257">
        <v>98144370</v>
      </c>
      <c r="N1143" s="257">
        <v>98144370</v>
      </c>
      <c r="O1143" s="257">
        <v>98614249</v>
      </c>
      <c r="P1143" s="257">
        <v>98788029</v>
      </c>
      <c r="Q1143" s="257">
        <v>99542166</v>
      </c>
      <c r="R1143" s="257">
        <v>99519627</v>
      </c>
      <c r="S1143" s="257">
        <v>98456982</v>
      </c>
      <c r="T1143" s="257">
        <v>95303989</v>
      </c>
      <c r="U1143" s="257">
        <v>91299801</v>
      </c>
      <c r="V1143" s="257">
        <v>89304859</v>
      </c>
      <c r="W1143" s="257">
        <v>89304859</v>
      </c>
      <c r="X1143" s="257">
        <v>88420456</v>
      </c>
      <c r="Y1143" s="257">
        <v>89870669</v>
      </c>
      <c r="Z1143" s="249">
        <f ca="1">[1]ExtEntry!$Q45</f>
        <v>14511912</v>
      </c>
      <c r="AB1143" s="320">
        <v>-388627.07299999997</v>
      </c>
      <c r="AC1143" s="320">
        <v>0</v>
      </c>
      <c r="AD1143" s="320">
        <v>0</v>
      </c>
      <c r="AE1143" s="320">
        <v>0</v>
      </c>
      <c r="AF1143" s="320">
        <v>0</v>
      </c>
      <c r="AG1143" s="320">
        <v>0</v>
      </c>
      <c r="AH1143" s="320">
        <v>0</v>
      </c>
      <c r="AI1143" s="320">
        <v>0</v>
      </c>
      <c r="AJ1143" s="320">
        <v>0</v>
      </c>
      <c r="AK1143" s="320">
        <v>0</v>
      </c>
      <c r="AL1143" s="320">
        <v>0</v>
      </c>
      <c r="AM1143" s="320">
        <v>0</v>
      </c>
      <c r="AN1143" s="320">
        <v>0</v>
      </c>
      <c r="AO1143" s="320">
        <v>0</v>
      </c>
      <c r="AP1143" s="320">
        <v>0</v>
      </c>
      <c r="AQ1143" s="320">
        <v>0</v>
      </c>
      <c r="AR1143" s="320">
        <v>0</v>
      </c>
      <c r="AS1143" s="320">
        <v>0</v>
      </c>
      <c r="AT1143" s="320">
        <v>0</v>
      </c>
      <c r="AU1143" s="320">
        <v>0</v>
      </c>
      <c r="AV1143" s="320">
        <f ca="1">Calc!BG45</f>
        <v>-469549.07279999997</v>
      </c>
      <c r="AX1143" s="88" t="str">
        <f t="shared" ca="1" si="96"/>
        <v>TSM</v>
      </c>
    </row>
    <row r="1144" spans="1:50" hidden="1">
      <c r="A1144" s="88" t="str">
        <f t="shared" ca="1" si="95"/>
        <v>UN0</v>
      </c>
      <c r="C1144" s="1">
        <v>46</v>
      </c>
      <c r="F1144" s="257">
        <v>11839921</v>
      </c>
      <c r="G1144" s="257">
        <v>11749789</v>
      </c>
      <c r="H1144" s="257">
        <v>11777543</v>
      </c>
      <c r="I1144" s="257">
        <v>11970626</v>
      </c>
      <c r="J1144" s="257">
        <v>11997890</v>
      </c>
      <c r="K1144" s="257">
        <v>12092501</v>
      </c>
      <c r="L1144" s="257">
        <v>12056744</v>
      </c>
      <c r="M1144" s="257">
        <v>12281653</v>
      </c>
      <c r="N1144" s="257">
        <v>12281653</v>
      </c>
      <c r="O1144" s="257">
        <v>12816028</v>
      </c>
      <c r="P1144" s="257">
        <v>13109295</v>
      </c>
      <c r="Q1144" s="257">
        <v>13234273</v>
      </c>
      <c r="R1144" s="257">
        <v>13312896</v>
      </c>
      <c r="S1144" s="257">
        <v>13966356</v>
      </c>
      <c r="T1144" s="257">
        <v>14331825</v>
      </c>
      <c r="U1144" s="257">
        <v>14541580</v>
      </c>
      <c r="V1144" s="257">
        <v>14573926</v>
      </c>
      <c r="W1144" s="257">
        <v>14573926</v>
      </c>
      <c r="X1144" s="257">
        <v>14773409</v>
      </c>
      <c r="Y1144" s="257">
        <v>14511912</v>
      </c>
      <c r="Z1144" s="249">
        <f ca="1">[1]ExtEntry!$Q46</f>
        <v>4760</v>
      </c>
      <c r="AB1144" s="320">
        <v>-104327.21000000002</v>
      </c>
      <c r="AC1144" s="320">
        <v>-388627.07299999997</v>
      </c>
      <c r="AD1144" s="320">
        <v>-388627.07299999997</v>
      </c>
      <c r="AE1144" s="320">
        <v>-388627.07299999997</v>
      </c>
      <c r="AF1144" s="320">
        <v>-388627.07299999997</v>
      </c>
      <c r="AG1144" s="320">
        <v>-388627.07279999997</v>
      </c>
      <c r="AH1144" s="320">
        <v>-388627.07279999997</v>
      </c>
      <c r="AI1144" s="320">
        <v>-388627.07279999997</v>
      </c>
      <c r="AJ1144" s="320">
        <v>-388627.07279999997</v>
      </c>
      <c r="AK1144" s="320">
        <v>-388627.07279999997</v>
      </c>
      <c r="AL1144" s="320">
        <v>-388627.07279999997</v>
      </c>
      <c r="AM1144" s="320">
        <v>-388627.07279999997</v>
      </c>
      <c r="AN1144" s="320">
        <v>-388627.07279999997</v>
      </c>
      <c r="AO1144" s="320">
        <v>-240427.07279999997</v>
      </c>
      <c r="AP1144" s="320">
        <v>-240427.07279999997</v>
      </c>
      <c r="AQ1144" s="320">
        <v>-240427.07279999997</v>
      </c>
      <c r="AR1144" s="320">
        <v>-469549.07279999997</v>
      </c>
      <c r="AS1144" s="320">
        <v>-469549.07279999997</v>
      </c>
      <c r="AT1144" s="320">
        <v>-469549.07279999997</v>
      </c>
      <c r="AU1144" s="320">
        <v>-469549.07279999997</v>
      </c>
      <c r="AV1144" s="320">
        <f ca="1">Calc!BG46</f>
        <v>-104308.77060000002</v>
      </c>
      <c r="AX1144" s="88" t="str">
        <f t="shared" ca="1" si="96"/>
        <v>UN0</v>
      </c>
    </row>
    <row r="1145" spans="1:50" hidden="1">
      <c r="A1145" s="88" t="str">
        <f t="shared" ca="1" si="95"/>
        <v>UNIT</v>
      </c>
      <c r="C1145" s="1">
        <v>47</v>
      </c>
      <c r="F1145" s="257">
        <v>4380</v>
      </c>
      <c r="G1145" s="257">
        <v>4380</v>
      </c>
      <c r="H1145" s="257">
        <v>4570</v>
      </c>
      <c r="I1145" s="257">
        <v>4660</v>
      </c>
      <c r="J1145" s="257">
        <v>4640</v>
      </c>
      <c r="K1145" s="257">
        <v>4160</v>
      </c>
      <c r="L1145" s="257">
        <v>4350</v>
      </c>
      <c r="M1145" s="257">
        <v>4440</v>
      </c>
      <c r="N1145" s="257">
        <v>4620</v>
      </c>
      <c r="O1145" s="257">
        <v>5290</v>
      </c>
      <c r="P1145" s="257">
        <v>5290</v>
      </c>
      <c r="Q1145" s="257">
        <v>5240</v>
      </c>
      <c r="R1145" s="257">
        <v>5500</v>
      </c>
      <c r="S1145" s="257">
        <v>5950</v>
      </c>
      <c r="T1145" s="257">
        <v>5590</v>
      </c>
      <c r="U1145" s="257">
        <v>5590</v>
      </c>
      <c r="V1145" s="257">
        <v>5250</v>
      </c>
      <c r="W1145" s="257">
        <v>5250</v>
      </c>
      <c r="X1145" s="257">
        <v>4760</v>
      </c>
      <c r="Y1145" s="257">
        <v>4760</v>
      </c>
      <c r="Z1145" s="249">
        <f ca="1">[1]ExtEntry!$Q47</f>
        <v>2993997</v>
      </c>
      <c r="AB1145" s="320">
        <v>-96391.867999999988</v>
      </c>
      <c r="AC1145" s="320">
        <v>-104327.21000000002</v>
      </c>
      <c r="AD1145" s="320">
        <v>-104327.21000000002</v>
      </c>
      <c r="AE1145" s="320">
        <v>-104327.21000000002</v>
      </c>
      <c r="AF1145" s="320">
        <v>-104327.21000000002</v>
      </c>
      <c r="AG1145" s="320">
        <v>-104308.77060000002</v>
      </c>
      <c r="AH1145" s="320">
        <v>-104308.77060000002</v>
      </c>
      <c r="AI1145" s="320">
        <v>-104308.77060000002</v>
      </c>
      <c r="AJ1145" s="320">
        <v>-104308.77060000002</v>
      </c>
      <c r="AK1145" s="320">
        <v>-104308.77060000002</v>
      </c>
      <c r="AL1145" s="320">
        <v>-104308.77060000002</v>
      </c>
      <c r="AM1145" s="320">
        <v>-104308.77060000002</v>
      </c>
      <c r="AN1145" s="320">
        <v>-104308.77060000002</v>
      </c>
      <c r="AO1145" s="320">
        <v>-104308.77060000002</v>
      </c>
      <c r="AP1145" s="320">
        <v>-104308.77060000002</v>
      </c>
      <c r="AQ1145" s="320">
        <v>-104308.77060000002</v>
      </c>
      <c r="AR1145" s="320">
        <v>-104308.77060000002</v>
      </c>
      <c r="AS1145" s="320">
        <v>-104308.77060000002</v>
      </c>
      <c r="AT1145" s="320">
        <v>-104308.77060000002</v>
      </c>
      <c r="AU1145" s="320">
        <v>-104308.77060000002</v>
      </c>
      <c r="AV1145" s="320">
        <f ca="1">Calc!BG47</f>
        <v>-6487.836000000003</v>
      </c>
      <c r="AX1145" s="88" t="str">
        <f t="shared" ca="1" si="96"/>
        <v>UNIT</v>
      </c>
    </row>
    <row r="1146" spans="1:50" hidden="1">
      <c r="A1146" s="88" t="str">
        <f t="shared" ca="1" si="95"/>
        <v>AVGO</v>
      </c>
      <c r="C1146" s="1">
        <v>48</v>
      </c>
      <c r="F1146" s="257">
        <v>3670274</v>
      </c>
      <c r="G1146" s="257">
        <v>3679368</v>
      </c>
      <c r="H1146" s="257">
        <v>3673266</v>
      </c>
      <c r="I1146" s="257">
        <v>3360715</v>
      </c>
      <c r="J1146" s="257">
        <v>3326136</v>
      </c>
      <c r="K1146" s="257">
        <v>3399502</v>
      </c>
      <c r="L1146" s="257">
        <v>3387683</v>
      </c>
      <c r="M1146" s="257">
        <v>3308724</v>
      </c>
      <c r="N1146" s="257">
        <v>3308724</v>
      </c>
      <c r="O1146" s="257">
        <v>3255061</v>
      </c>
      <c r="P1146" s="257">
        <v>2995200</v>
      </c>
      <c r="Q1146" s="257">
        <v>2961819</v>
      </c>
      <c r="R1146" s="257">
        <v>2892229</v>
      </c>
      <c r="S1146" s="257">
        <v>2858794</v>
      </c>
      <c r="T1146" s="257">
        <v>3036197</v>
      </c>
      <c r="U1146" s="257">
        <v>3060322</v>
      </c>
      <c r="V1146" s="257">
        <v>3027820</v>
      </c>
      <c r="W1146" s="257">
        <v>3027820</v>
      </c>
      <c r="X1146" s="257">
        <v>2992338</v>
      </c>
      <c r="Y1146" s="257">
        <v>2993997</v>
      </c>
      <c r="Z1146" s="249">
        <f ca="1">[1]ExtEntry!$Q48</f>
        <v>21904460</v>
      </c>
      <c r="AB1146" s="320">
        <v>-32286.889615000026</v>
      </c>
      <c r="AC1146" s="320">
        <v>-96391.867999999988</v>
      </c>
      <c r="AD1146" s="320">
        <v>-96391.867999999988</v>
      </c>
      <c r="AE1146" s="320">
        <v>-96391.867999999988</v>
      </c>
      <c r="AF1146" s="320">
        <v>-96391.867999999988</v>
      </c>
      <c r="AG1146" s="320">
        <v>-96385.804000000004</v>
      </c>
      <c r="AH1146" s="320">
        <v>-96385.804000000004</v>
      </c>
      <c r="AI1146" s="320">
        <v>-96385.804000000004</v>
      </c>
      <c r="AJ1146" s="320">
        <v>-96385.804000000004</v>
      </c>
      <c r="AK1146" s="320">
        <v>-96385.804000000004</v>
      </c>
      <c r="AL1146" s="320">
        <v>-96385.804000000004</v>
      </c>
      <c r="AM1146" s="320">
        <v>-96385.804000000004</v>
      </c>
      <c r="AN1146" s="320">
        <v>-96385.804000000004</v>
      </c>
      <c r="AO1146" s="320">
        <v>-96385.804000000004</v>
      </c>
      <c r="AP1146" s="320">
        <v>-6487.836000000003</v>
      </c>
      <c r="AQ1146" s="320">
        <v>-6487.836000000003</v>
      </c>
      <c r="AR1146" s="320">
        <v>-6487.836000000003</v>
      </c>
      <c r="AS1146" s="320">
        <v>-6487.836000000003</v>
      </c>
      <c r="AT1146" s="320">
        <v>-6487.836000000003</v>
      </c>
      <c r="AU1146" s="320">
        <v>-6487.836000000003</v>
      </c>
      <c r="AV1146" s="320">
        <f ca="1">Calc!BG48</f>
        <v>-46552.706239920037</v>
      </c>
      <c r="AX1146" s="88" t="str">
        <f t="shared" ca="1" si="96"/>
        <v>AVGO</v>
      </c>
    </row>
    <row r="1147" spans="1:50" hidden="1">
      <c r="A1147" s="88" t="str">
        <f t="shared" ca="1" si="95"/>
        <v>VLVLY</v>
      </c>
      <c r="C1147" s="1">
        <v>49</v>
      </c>
      <c r="F1147" s="257">
        <v>2657480</v>
      </c>
      <c r="G1147" s="257">
        <v>2657480</v>
      </c>
      <c r="H1147" s="257">
        <v>2848280</v>
      </c>
      <c r="I1147" s="257">
        <v>2933820</v>
      </c>
      <c r="J1147" s="257">
        <v>3002040</v>
      </c>
      <c r="K1147" s="257">
        <v>2983260</v>
      </c>
      <c r="L1147" s="257">
        <v>3020640</v>
      </c>
      <c r="M1147" s="257">
        <v>3225180</v>
      </c>
      <c r="N1147" s="257">
        <v>3403960</v>
      </c>
      <c r="O1147" s="257">
        <v>3238720</v>
      </c>
      <c r="P1147" s="257">
        <v>3238720</v>
      </c>
      <c r="Q1147" s="257">
        <v>3227530</v>
      </c>
      <c r="R1147" s="257">
        <v>3223610</v>
      </c>
      <c r="S1147" s="257">
        <v>3285740</v>
      </c>
      <c r="T1147" s="257">
        <v>4677130</v>
      </c>
      <c r="U1147" s="257">
        <v>4677130</v>
      </c>
      <c r="V1147" s="257">
        <v>4887390</v>
      </c>
      <c r="W1147" s="257">
        <v>4887390</v>
      </c>
      <c r="X1147" s="257">
        <v>4868410</v>
      </c>
      <c r="Y1147" s="257">
        <v>4868410</v>
      </c>
      <c r="Z1147" s="249">
        <f ca="1">[1]ExtEntry!$Q49</f>
        <v>4868410</v>
      </c>
      <c r="AB1147" s="320">
        <v>0</v>
      </c>
      <c r="AC1147" s="320">
        <v>0</v>
      </c>
      <c r="AD1147" s="320">
        <v>0</v>
      </c>
      <c r="AE1147" s="320">
        <v>0</v>
      </c>
      <c r="AF1147" s="320">
        <v>0</v>
      </c>
      <c r="AG1147" s="320">
        <v>0</v>
      </c>
      <c r="AH1147" s="320">
        <v>0</v>
      </c>
      <c r="AI1147" s="320">
        <v>0</v>
      </c>
      <c r="AJ1147" s="320">
        <v>0</v>
      </c>
      <c r="AK1147" s="320">
        <v>0</v>
      </c>
      <c r="AL1147" s="320">
        <v>0</v>
      </c>
      <c r="AM1147" s="320">
        <v>0</v>
      </c>
      <c r="AN1147" s="320">
        <v>0</v>
      </c>
      <c r="AO1147" s="320">
        <v>0</v>
      </c>
      <c r="AP1147" s="320">
        <v>0</v>
      </c>
      <c r="AQ1147" s="320">
        <v>0</v>
      </c>
      <c r="AR1147" s="320">
        <v>0</v>
      </c>
      <c r="AS1147" s="320">
        <v>0</v>
      </c>
      <c r="AT1147" s="320">
        <v>0</v>
      </c>
      <c r="AU1147" s="320">
        <v>0</v>
      </c>
      <c r="AV1147" s="320">
        <f ca="1">Calc!BG49</f>
        <v>0</v>
      </c>
      <c r="AX1147" s="88" t="str">
        <f t="shared" ca="1" si="96"/>
        <v>VLVLY</v>
      </c>
    </row>
    <row r="1148" spans="1:50" hidden="1">
      <c r="A1148" s="88" t="str">
        <f t="shared" ca="1" si="95"/>
        <v>VONN</v>
      </c>
      <c r="C1148" s="1">
        <v>50</v>
      </c>
      <c r="F1148" s="257">
        <v>28930</v>
      </c>
      <c r="G1148" s="257">
        <v>28080</v>
      </c>
      <c r="H1148" s="257">
        <v>28080</v>
      </c>
      <c r="I1148" s="257">
        <v>28780</v>
      </c>
      <c r="J1148" s="257">
        <v>30310</v>
      </c>
      <c r="K1148" s="257">
        <v>32730</v>
      </c>
      <c r="L1148" s="257">
        <v>32560</v>
      </c>
      <c r="M1148" s="257">
        <v>32560</v>
      </c>
      <c r="N1148" s="257">
        <v>31880</v>
      </c>
      <c r="O1148" s="257">
        <v>34190</v>
      </c>
      <c r="P1148" s="257">
        <v>36260</v>
      </c>
      <c r="Q1148" s="257">
        <v>36260</v>
      </c>
      <c r="R1148" s="257">
        <v>36860</v>
      </c>
      <c r="S1148" s="257">
        <v>33210</v>
      </c>
      <c r="T1148" s="257">
        <v>33210</v>
      </c>
      <c r="U1148" s="257">
        <v>33210</v>
      </c>
      <c r="V1148" s="257">
        <v>31790</v>
      </c>
      <c r="W1148" s="257">
        <v>31790</v>
      </c>
      <c r="X1148" s="257">
        <v>31990</v>
      </c>
      <c r="Y1148" s="257">
        <v>31990</v>
      </c>
      <c r="Z1148" s="249">
        <f ca="1">[1]ExtEntry!$Q50</f>
        <v>34070</v>
      </c>
      <c r="AB1148" s="320">
        <v>0</v>
      </c>
      <c r="AC1148" s="320">
        <v>0</v>
      </c>
      <c r="AD1148" s="320">
        <v>0</v>
      </c>
      <c r="AE1148" s="320">
        <v>0</v>
      </c>
      <c r="AF1148" s="320">
        <v>0</v>
      </c>
      <c r="AG1148" s="320">
        <v>0</v>
      </c>
      <c r="AH1148" s="320">
        <v>0</v>
      </c>
      <c r="AI1148" s="320">
        <v>0</v>
      </c>
      <c r="AJ1148" s="320">
        <v>0</v>
      </c>
      <c r="AK1148" s="320">
        <v>0</v>
      </c>
      <c r="AL1148" s="320">
        <v>0</v>
      </c>
      <c r="AM1148" s="320">
        <v>0</v>
      </c>
      <c r="AN1148" s="320">
        <v>0</v>
      </c>
      <c r="AO1148" s="320">
        <v>0</v>
      </c>
      <c r="AP1148" s="320">
        <v>0</v>
      </c>
      <c r="AQ1148" s="320">
        <v>0</v>
      </c>
      <c r="AR1148" s="320">
        <v>0</v>
      </c>
      <c r="AS1148" s="320">
        <v>0</v>
      </c>
      <c r="AT1148" s="320">
        <v>0</v>
      </c>
      <c r="AU1148" s="320">
        <v>0</v>
      </c>
      <c r="AV1148" s="320">
        <f ca="1">Calc!BG50</f>
        <v>0</v>
      </c>
      <c r="AX1148" s="88" t="str">
        <f t="shared" ca="1" si="96"/>
        <v>VONN</v>
      </c>
    </row>
    <row r="1149" spans="1:50" hidden="1">
      <c r="A1149" s="88" t="str">
        <f t="shared" ca="1" si="95"/>
        <v>VTRS</v>
      </c>
      <c r="C1149" s="1">
        <v>51</v>
      </c>
      <c r="F1149" s="257">
        <v>10613336</v>
      </c>
      <c r="G1149" s="257">
        <v>10664234</v>
      </c>
      <c r="H1149" s="257">
        <v>10795531</v>
      </c>
      <c r="I1149" s="257">
        <v>10805101</v>
      </c>
      <c r="J1149" s="257">
        <v>10764095</v>
      </c>
      <c r="K1149" s="257">
        <v>10717446</v>
      </c>
      <c r="L1149" s="257">
        <v>10695642</v>
      </c>
      <c r="M1149" s="257">
        <v>10724178</v>
      </c>
      <c r="N1149" s="257">
        <v>10724178</v>
      </c>
      <c r="O1149" s="257">
        <v>10754721</v>
      </c>
      <c r="P1149" s="257">
        <v>10707290</v>
      </c>
      <c r="Q1149" s="257">
        <v>10718338</v>
      </c>
      <c r="R1149" s="257">
        <v>10787470</v>
      </c>
      <c r="S1149" s="257">
        <v>10225225</v>
      </c>
      <c r="T1149" s="257">
        <v>9958716</v>
      </c>
      <c r="U1149" s="257">
        <v>9511750</v>
      </c>
      <c r="V1149" s="257">
        <v>9358773</v>
      </c>
      <c r="W1149" s="257">
        <v>9358773</v>
      </c>
      <c r="X1149" s="257">
        <v>9179417</v>
      </c>
      <c r="Y1149" s="257">
        <v>8873344</v>
      </c>
      <c r="Z1149" s="249">
        <f ca="1">[1]ExtEntry!$Q51</f>
        <v>8873344</v>
      </c>
      <c r="AB1149" s="320">
        <v>-31571.390124999976</v>
      </c>
      <c r="AC1149" s="320">
        <v>-31571.390124999976</v>
      </c>
      <c r="AD1149" s="320">
        <v>-31571.390124999976</v>
      </c>
      <c r="AE1149" s="320">
        <v>-31571.390124999976</v>
      </c>
      <c r="AF1149" s="320">
        <v>-31571.390124999976</v>
      </c>
      <c r="AG1149" s="320">
        <v>-31556.245729999995</v>
      </c>
      <c r="AH1149" s="320">
        <v>-31556.245729999995</v>
      </c>
      <c r="AI1149" s="320">
        <v>-31556.245729999995</v>
      </c>
      <c r="AJ1149" s="320">
        <v>-31556.245729999995</v>
      </c>
      <c r="AK1149" s="320">
        <v>-31556.245729999995</v>
      </c>
      <c r="AL1149" s="320">
        <v>-31556.245729999995</v>
      </c>
      <c r="AM1149" s="320">
        <v>-31556.245729999995</v>
      </c>
      <c r="AN1149" s="320">
        <v>0</v>
      </c>
      <c r="AO1149" s="320">
        <v>0</v>
      </c>
      <c r="AP1149" s="320">
        <v>0</v>
      </c>
      <c r="AQ1149" s="320">
        <v>0</v>
      </c>
      <c r="AR1149" s="320">
        <v>0</v>
      </c>
      <c r="AS1149" s="320">
        <v>0</v>
      </c>
      <c r="AT1149" s="320">
        <v>0</v>
      </c>
      <c r="AU1149" s="320">
        <v>0</v>
      </c>
      <c r="AV1149" s="320">
        <f ca="1">Calc!BG51</f>
        <v>0</v>
      </c>
      <c r="AX1149" s="88" t="str">
        <f t="shared" ca="1" si="96"/>
        <v>VTRS</v>
      </c>
    </row>
    <row r="1150" spans="1:50" hidden="1">
      <c r="A1150" s="88" t="str">
        <f t="shared" ca="1" si="95"/>
        <v>WBA</v>
      </c>
      <c r="C1150" s="1">
        <v>52</v>
      </c>
      <c r="F1150" s="257">
        <v>30166826</v>
      </c>
      <c r="G1150" s="257">
        <v>30166826</v>
      </c>
      <c r="H1150" s="257">
        <v>30166826</v>
      </c>
      <c r="I1150" s="257">
        <v>30166826</v>
      </c>
      <c r="J1150" s="257">
        <v>30166826</v>
      </c>
      <c r="K1150" s="257">
        <v>30166826</v>
      </c>
      <c r="L1150" s="257">
        <v>30166826</v>
      </c>
      <c r="M1150" s="257">
        <v>30166826</v>
      </c>
      <c r="N1150" s="257">
        <v>30166826</v>
      </c>
      <c r="O1150" s="257">
        <v>30166826</v>
      </c>
      <c r="P1150" s="257">
        <v>30166826</v>
      </c>
      <c r="Q1150" s="257">
        <v>30166826</v>
      </c>
      <c r="R1150" s="257">
        <v>30166826</v>
      </c>
      <c r="S1150" s="257">
        <v>30166826</v>
      </c>
      <c r="T1150" s="257">
        <v>30166826</v>
      </c>
      <c r="U1150" s="257">
        <v>30166826</v>
      </c>
      <c r="V1150" s="257">
        <v>30166826</v>
      </c>
      <c r="W1150" s="257">
        <v>30166826</v>
      </c>
      <c r="X1150" s="257">
        <v>30166826</v>
      </c>
      <c r="Y1150" s="257">
        <v>30166826</v>
      </c>
      <c r="Z1150" s="249">
        <f ca="1">[1]ExtEntry!$Q52</f>
        <v>30166826</v>
      </c>
      <c r="AB1150" s="320">
        <v>-20501.305175000009</v>
      </c>
      <c r="AC1150" s="320">
        <v>-20501.305175000009</v>
      </c>
      <c r="AD1150" s="320">
        <v>-20501.305175000009</v>
      </c>
      <c r="AE1150" s="320">
        <v>-20501.305175000009</v>
      </c>
      <c r="AF1150" s="320">
        <v>-20501.305175000009</v>
      </c>
      <c r="AG1150" s="320">
        <v>-20497.604382000005</v>
      </c>
      <c r="AH1150" s="320">
        <v>-20497.604382000005</v>
      </c>
      <c r="AI1150" s="320">
        <v>-20497.604382000005</v>
      </c>
      <c r="AJ1150" s="320">
        <v>-20497.604382000005</v>
      </c>
      <c r="AK1150" s="320">
        <v>-20497.604382000005</v>
      </c>
      <c r="AL1150" s="320">
        <v>-20497.604382000005</v>
      </c>
      <c r="AM1150" s="320">
        <v>-20497.604382000005</v>
      </c>
      <c r="AN1150" s="320">
        <v>-20497.604382000005</v>
      </c>
      <c r="AO1150" s="320">
        <v>-20497.604382000005</v>
      </c>
      <c r="AP1150" s="320">
        <v>-20497.604382000005</v>
      </c>
      <c r="AQ1150" s="320">
        <v>-20497.604382000005</v>
      </c>
      <c r="AR1150" s="320">
        <v>-20497.604382000005</v>
      </c>
      <c r="AS1150" s="320">
        <v>-20497.604382000005</v>
      </c>
      <c r="AT1150" s="320">
        <v>-20497.604382000005</v>
      </c>
      <c r="AU1150" s="320">
        <v>-20497.604382000005</v>
      </c>
      <c r="AV1150" s="320">
        <f ca="1">Calc!BG52</f>
        <v>-20497.604382000005</v>
      </c>
      <c r="AX1150" s="88" t="str">
        <f t="shared" ca="1" si="96"/>
        <v>WBA</v>
      </c>
    </row>
    <row r="1151" spans="1:50" hidden="1">
      <c r="A1151" s="88" t="str">
        <f t="shared" ca="1" si="95"/>
        <v>XOM</v>
      </c>
      <c r="C1151" s="1">
        <v>53</v>
      </c>
      <c r="F1151" s="257">
        <v>16009815</v>
      </c>
      <c r="G1151" s="257">
        <v>16233919</v>
      </c>
      <c r="H1151" s="257">
        <v>16567171</v>
      </c>
      <c r="I1151" s="257">
        <v>16505976</v>
      </c>
      <c r="J1151" s="257">
        <v>16417973</v>
      </c>
      <c r="K1151" s="257">
        <v>16265943</v>
      </c>
      <c r="L1151" s="257">
        <v>16135477</v>
      </c>
      <c r="M1151" s="257">
        <v>16030713</v>
      </c>
      <c r="N1151" s="257">
        <v>16030713</v>
      </c>
      <c r="O1151" s="257">
        <v>15834579</v>
      </c>
      <c r="P1151" s="257">
        <v>15628819</v>
      </c>
      <c r="Q1151" s="257">
        <v>15479525</v>
      </c>
      <c r="R1151" s="257">
        <v>15333339</v>
      </c>
      <c r="S1151" s="257">
        <v>15343247</v>
      </c>
      <c r="T1151" s="257">
        <v>15437422</v>
      </c>
      <c r="U1151" s="257">
        <v>15303147</v>
      </c>
      <c r="V1151" s="257">
        <v>14982919</v>
      </c>
      <c r="W1151" s="257">
        <v>14982919</v>
      </c>
      <c r="X1151" s="257">
        <v>14968390</v>
      </c>
      <c r="Y1151" s="257">
        <v>14983284</v>
      </c>
      <c r="Z1151" s="249">
        <f ca="1">[1]ExtEntry!$Q53</f>
        <v>14983284</v>
      </c>
      <c r="AB1151" s="320">
        <v>-28319.144999999997</v>
      </c>
      <c r="AC1151" s="320">
        <v>-28319.144999999997</v>
      </c>
      <c r="AD1151" s="320">
        <v>-28319.144999999997</v>
      </c>
      <c r="AE1151" s="320">
        <v>-28319.144999999997</v>
      </c>
      <c r="AF1151" s="320">
        <v>-28319.144999999997</v>
      </c>
      <c r="AG1151" s="320">
        <v>-28317.154799999997</v>
      </c>
      <c r="AH1151" s="320">
        <v>-28317.154799999997</v>
      </c>
      <c r="AI1151" s="320">
        <v>-28317.154799999997</v>
      </c>
      <c r="AJ1151" s="320">
        <v>-28317.154799999997</v>
      </c>
      <c r="AK1151" s="320">
        <v>-28317.154799999997</v>
      </c>
      <c r="AL1151" s="320">
        <v>-28317.154799999997</v>
      </c>
      <c r="AM1151" s="320">
        <v>-28317.154799999997</v>
      </c>
      <c r="AN1151" s="320">
        <v>-28317.154799999997</v>
      </c>
      <c r="AO1151" s="320">
        <v>-28317.154799999997</v>
      </c>
      <c r="AP1151" s="320">
        <v>-28317.154799999997</v>
      </c>
      <c r="AQ1151" s="320">
        <v>-28317.154799999997</v>
      </c>
      <c r="AR1151" s="320">
        <v>-28317.154799999997</v>
      </c>
      <c r="AS1151" s="320">
        <v>-28317.154799999997</v>
      </c>
      <c r="AT1151" s="320">
        <v>-28317.154799999997</v>
      </c>
      <c r="AU1151" s="320">
        <v>-28317.154799999997</v>
      </c>
      <c r="AV1151" s="320">
        <f ca="1">Calc!BG53</f>
        <v>-28317.154799999997</v>
      </c>
      <c r="AX1151" s="88" t="str">
        <f t="shared" ca="1" si="96"/>
        <v>XOM</v>
      </c>
    </row>
    <row r="1152" spans="1:50" hidden="1">
      <c r="A1152" s="88" t="str">
        <f t="shared" ca="1" si="95"/>
        <v>XPER</v>
      </c>
      <c r="C1152" s="1">
        <v>54</v>
      </c>
      <c r="F1152" s="257">
        <v>497542</v>
      </c>
      <c r="G1152" s="257">
        <v>491634</v>
      </c>
      <c r="H1152" s="257">
        <v>477126</v>
      </c>
      <c r="I1152" s="257">
        <v>470454</v>
      </c>
      <c r="J1152" s="257">
        <v>491161</v>
      </c>
      <c r="K1152" s="257">
        <v>497336</v>
      </c>
      <c r="L1152" s="257">
        <v>501839</v>
      </c>
      <c r="M1152" s="257">
        <v>493917</v>
      </c>
      <c r="N1152" s="257">
        <v>493917</v>
      </c>
      <c r="O1152" s="257">
        <v>502102</v>
      </c>
      <c r="P1152" s="257">
        <v>501503</v>
      </c>
      <c r="Q1152" s="257">
        <v>507339</v>
      </c>
      <c r="R1152" s="257">
        <v>502694</v>
      </c>
      <c r="S1152" s="257">
        <v>504217</v>
      </c>
      <c r="T1152" s="257">
        <v>507898</v>
      </c>
      <c r="U1152" s="257">
        <v>513626</v>
      </c>
      <c r="V1152" s="257">
        <v>513642</v>
      </c>
      <c r="W1152" s="257">
        <v>513642</v>
      </c>
      <c r="X1152" s="257">
        <v>510665</v>
      </c>
      <c r="Y1152" s="257">
        <v>507779</v>
      </c>
      <c r="Z1152" s="249">
        <f ca="1">[1]ExtEntry!$Q54</f>
        <v>507779</v>
      </c>
      <c r="AB1152" s="320">
        <v>-33685.984424999995</v>
      </c>
      <c r="AC1152" s="320">
        <v>-33685.984424999995</v>
      </c>
      <c r="AD1152" s="320">
        <v>-33685.984424999995</v>
      </c>
      <c r="AE1152" s="320">
        <v>-33685.984424999995</v>
      </c>
      <c r="AF1152" s="320">
        <v>-33685.984424999995</v>
      </c>
      <c r="AG1152" s="320">
        <v>-33680.447801999995</v>
      </c>
      <c r="AH1152" s="320">
        <v>-33680.447801999995</v>
      </c>
      <c r="AI1152" s="320">
        <v>-66980.447801999995</v>
      </c>
      <c r="AJ1152" s="320">
        <v>-66980.447801999995</v>
      </c>
      <c r="AK1152" s="320">
        <v>-66980.447801999995</v>
      </c>
      <c r="AL1152" s="320">
        <v>-66980.447801999995</v>
      </c>
      <c r="AM1152" s="320">
        <v>-66980.447801999995</v>
      </c>
      <c r="AN1152" s="320">
        <v>-66980.447801999995</v>
      </c>
      <c r="AO1152" s="320">
        <v>-66980.447801999995</v>
      </c>
      <c r="AP1152" s="320">
        <v>-66980.447801999995</v>
      </c>
      <c r="AQ1152" s="320">
        <v>-66980.447801999995</v>
      </c>
      <c r="AR1152" s="320">
        <v>-66980.447801999995</v>
      </c>
      <c r="AS1152" s="320">
        <v>-66980.447801999995</v>
      </c>
      <c r="AT1152" s="320">
        <v>-66980.447801999995</v>
      </c>
      <c r="AU1152" s="320">
        <v>-66980.447801999995</v>
      </c>
      <c r="AV1152" s="320">
        <f ca="1">Calc!BG54</f>
        <v>-66980.447801999995</v>
      </c>
      <c r="AX1152" s="88" t="str">
        <f t="shared" ca="1" si="96"/>
        <v>XPER</v>
      </c>
    </row>
    <row r="1153" spans="1:50" hidden="1">
      <c r="A1153" s="88" t="str">
        <f t="shared" ca="1" si="95"/>
        <v>MVEALDNE</v>
      </c>
      <c r="C1153" s="1">
        <v>55</v>
      </c>
      <c r="F1153" s="257">
        <v>5360</v>
      </c>
      <c r="G1153" s="257">
        <v>5420</v>
      </c>
      <c r="H1153" s="257">
        <v>5130</v>
      </c>
      <c r="I1153" s="257">
        <v>5270</v>
      </c>
      <c r="J1153" s="257">
        <v>5270</v>
      </c>
      <c r="K1153" s="257">
        <v>5120</v>
      </c>
      <c r="L1153" s="257">
        <v>5190</v>
      </c>
      <c r="M1153" s="257">
        <v>3630</v>
      </c>
      <c r="N1153" s="257">
        <v>3630</v>
      </c>
      <c r="O1153" s="257">
        <v>2920</v>
      </c>
      <c r="P1153" s="257">
        <v>2920</v>
      </c>
      <c r="Q1153" s="257">
        <v>2990</v>
      </c>
      <c r="R1153" s="257">
        <v>2690</v>
      </c>
      <c r="S1153" s="257">
        <v>2320</v>
      </c>
      <c r="T1153" s="257">
        <v>1950</v>
      </c>
      <c r="U1153" s="257">
        <v>1950</v>
      </c>
      <c r="V1153" s="257">
        <v>2260</v>
      </c>
      <c r="W1153" s="257">
        <v>2260</v>
      </c>
      <c r="X1153" s="257">
        <v>5670</v>
      </c>
      <c r="Y1153" s="257">
        <v>5670</v>
      </c>
      <c r="Z1153" s="249">
        <f ca="1">[1]ExtEntry!$Q55</f>
        <v>6030</v>
      </c>
      <c r="AB1153" s="320">
        <v>-175083.06139900006</v>
      </c>
      <c r="AC1153" s="320">
        <v>-175083.06139900006</v>
      </c>
      <c r="AD1153" s="320">
        <v>-175083.06139900006</v>
      </c>
      <c r="AE1153" s="320">
        <v>-175083.06139900006</v>
      </c>
      <c r="AF1153" s="320">
        <v>-175083.06139900006</v>
      </c>
      <c r="AG1153" s="320">
        <v>-175036.84277200006</v>
      </c>
      <c r="AH1153" s="320">
        <v>-175036.84277200006</v>
      </c>
      <c r="AI1153" s="320">
        <v>-175036.84277200006</v>
      </c>
      <c r="AJ1153" s="320">
        <v>-175036.84277200006</v>
      </c>
      <c r="AK1153" s="320">
        <v>-175036.84277200006</v>
      </c>
      <c r="AL1153" s="320">
        <v>-175036.84277200006</v>
      </c>
      <c r="AM1153" s="320">
        <v>-175036.84277200006</v>
      </c>
      <c r="AN1153" s="320">
        <v>-175036.84277200006</v>
      </c>
      <c r="AO1153" s="320">
        <v>-175036.84277200006</v>
      </c>
      <c r="AP1153" s="320">
        <v>-175036.84277200006</v>
      </c>
      <c r="AQ1153" s="320">
        <v>-175036.84277200006</v>
      </c>
      <c r="AR1153" s="320">
        <v>-175036.84277200006</v>
      </c>
      <c r="AS1153" s="320">
        <v>-175036.84277200006</v>
      </c>
      <c r="AT1153" s="320">
        <v>-175036.84277200006</v>
      </c>
      <c r="AU1153" s="320">
        <v>-175036.84277200006</v>
      </c>
      <c r="AV1153" s="320">
        <f ca="1">Calc!BG55</f>
        <v>-175036.84277200006</v>
      </c>
      <c r="AX1153" s="88" t="str">
        <f t="shared" ca="1" si="96"/>
        <v>MVEALDNE</v>
      </c>
    </row>
    <row r="1154" spans="1:50" hidden="1">
      <c r="A1154" s="88" t="str">
        <f t="shared" ca="1" si="95"/>
        <v>MVEDDD</v>
      </c>
      <c r="C1154" s="1">
        <v>56</v>
      </c>
      <c r="F1154" s="257">
        <v>4321488</v>
      </c>
      <c r="G1154" s="257">
        <v>4434983</v>
      </c>
      <c r="H1154" s="257">
        <v>4499866</v>
      </c>
      <c r="I1154" s="257">
        <v>4481798</v>
      </c>
      <c r="J1154" s="257">
        <v>4001626</v>
      </c>
      <c r="K1154" s="257">
        <v>4029169</v>
      </c>
      <c r="L1154" s="257">
        <v>4258746</v>
      </c>
      <c r="M1154" s="257">
        <v>4193510</v>
      </c>
      <c r="N1154" s="257">
        <v>4193510</v>
      </c>
      <c r="O1154" s="257">
        <v>4365448</v>
      </c>
      <c r="P1154" s="257">
        <v>4431335</v>
      </c>
      <c r="Q1154" s="257">
        <v>4457889</v>
      </c>
      <c r="R1154" s="257">
        <v>4484637</v>
      </c>
      <c r="S1154" s="257">
        <v>4564013</v>
      </c>
      <c r="T1154" s="257">
        <v>4636118</v>
      </c>
      <c r="U1154" s="257">
        <v>4835555</v>
      </c>
      <c r="V1154" s="257">
        <v>4998183</v>
      </c>
      <c r="W1154" s="257">
        <v>4998183</v>
      </c>
      <c r="X1154" s="257">
        <v>5090282</v>
      </c>
      <c r="Y1154" s="257">
        <v>4995132</v>
      </c>
      <c r="Z1154" s="249">
        <f ca="1">[1]ExtEntry!$Q56</f>
        <v>4995132</v>
      </c>
      <c r="AB1154" s="320">
        <v>0</v>
      </c>
      <c r="AC1154" s="320">
        <v>0</v>
      </c>
      <c r="AD1154" s="320">
        <v>0</v>
      </c>
      <c r="AE1154" s="320">
        <v>0</v>
      </c>
      <c r="AF1154" s="320">
        <v>0</v>
      </c>
      <c r="AG1154" s="320">
        <v>0</v>
      </c>
      <c r="AH1154" s="320">
        <v>0</v>
      </c>
      <c r="AI1154" s="320">
        <v>0</v>
      </c>
      <c r="AJ1154" s="320">
        <v>0</v>
      </c>
      <c r="AK1154" s="320">
        <v>0</v>
      </c>
      <c r="AL1154" s="320">
        <v>0</v>
      </c>
      <c r="AM1154" s="320">
        <v>0</v>
      </c>
      <c r="AN1154" s="320">
        <v>0</v>
      </c>
      <c r="AO1154" s="320">
        <v>0</v>
      </c>
      <c r="AP1154" s="320">
        <v>0</v>
      </c>
      <c r="AQ1154" s="320">
        <v>0</v>
      </c>
      <c r="AR1154" s="320">
        <v>0</v>
      </c>
      <c r="AS1154" s="320">
        <v>0</v>
      </c>
      <c r="AT1154" s="320">
        <v>0</v>
      </c>
      <c r="AU1154" s="320">
        <v>0</v>
      </c>
      <c r="AV1154" s="320">
        <f ca="1">Calc!BG56</f>
        <v>0</v>
      </c>
      <c r="AX1154" s="88" t="str">
        <f t="shared" ca="1" si="96"/>
        <v>MVEDDD</v>
      </c>
    </row>
    <row r="1155" spans="1:50" hidden="1">
      <c r="A1155" s="88" t="str">
        <f t="shared" ca="1" si="95"/>
        <v>MVEDSY</v>
      </c>
      <c r="C1155" s="1">
        <v>57</v>
      </c>
      <c r="F1155" s="257">
        <v>1825700</v>
      </c>
      <c r="G1155" s="257">
        <v>3304672</v>
      </c>
      <c r="H1155" s="257">
        <v>3313665</v>
      </c>
      <c r="I1155" s="257">
        <v>3322685</v>
      </c>
      <c r="J1155" s="257">
        <v>3328478</v>
      </c>
      <c r="K1155" s="257">
        <v>3347669</v>
      </c>
      <c r="L1155" s="257">
        <v>1538040</v>
      </c>
      <c r="M1155" s="257">
        <v>1558820</v>
      </c>
      <c r="N1155" s="257">
        <v>1479640</v>
      </c>
      <c r="O1155" s="257">
        <v>1416250</v>
      </c>
      <c r="P1155" s="257">
        <v>1416250</v>
      </c>
      <c r="Q1155" s="257">
        <v>1410550</v>
      </c>
      <c r="R1155" s="257">
        <v>1461880</v>
      </c>
      <c r="S1155" s="257">
        <v>1511630</v>
      </c>
      <c r="T1155" s="257">
        <v>1511630</v>
      </c>
      <c r="U1155" s="257">
        <v>1470740</v>
      </c>
      <c r="V1155" s="257">
        <v>1470740</v>
      </c>
      <c r="W1155" s="257">
        <v>1470740</v>
      </c>
      <c r="X1155" s="257">
        <v>1473940</v>
      </c>
      <c r="Y1155" s="257">
        <v>1473940</v>
      </c>
      <c r="Z1155" s="249">
        <f ca="1">[1]ExtEntry!$Q57</f>
        <v>1548090</v>
      </c>
      <c r="AB1155" s="320">
        <v>-311327.39600000001</v>
      </c>
      <c r="AC1155" s="320">
        <v>-311327.39600000001</v>
      </c>
      <c r="AD1155" s="320">
        <v>-311327.39600000001</v>
      </c>
      <c r="AE1155" s="320">
        <v>-311327.39600000001</v>
      </c>
      <c r="AF1155" s="320">
        <v>-311327.39600000001</v>
      </c>
      <c r="AG1155" s="320">
        <v>-311318.59600000002</v>
      </c>
      <c r="AH1155" s="320">
        <v>-311318.59600000002</v>
      </c>
      <c r="AI1155" s="320">
        <v>-311318.59600000002</v>
      </c>
      <c r="AJ1155" s="320">
        <v>-311318.59600000002</v>
      </c>
      <c r="AK1155" s="320">
        <v>-311318.59600000002</v>
      </c>
      <c r="AL1155" s="320">
        <v>-311318.59600000002</v>
      </c>
      <c r="AM1155" s="320">
        <v>-311318.59600000002</v>
      </c>
      <c r="AN1155" s="320">
        <v>-311318.59600000002</v>
      </c>
      <c r="AO1155" s="320">
        <v>-311318.59600000002</v>
      </c>
      <c r="AP1155" s="320">
        <v>-311318.59600000002</v>
      </c>
      <c r="AQ1155" s="320">
        <v>-311318.59600000002</v>
      </c>
      <c r="AR1155" s="320">
        <v>-311318.59600000002</v>
      </c>
      <c r="AS1155" s="320">
        <v>-311318.59600000002</v>
      </c>
      <c r="AT1155" s="320">
        <v>-311318.59600000002</v>
      </c>
      <c r="AU1155" s="320">
        <v>-311318.59600000002</v>
      </c>
      <c r="AV1155" s="320">
        <f ca="1">Calc!BG57</f>
        <v>-311318.59600000002</v>
      </c>
      <c r="AX1155" s="88" t="str">
        <f t="shared" ca="1" si="96"/>
        <v>MVEDSY</v>
      </c>
    </row>
    <row r="1156" spans="1:50" hidden="1">
      <c r="A1156" s="88" t="str">
        <f t="shared" ca="1" si="95"/>
        <v>MVEEOAN</v>
      </c>
      <c r="C1156" s="1">
        <v>58</v>
      </c>
      <c r="F1156" s="257">
        <v>4685020</v>
      </c>
      <c r="G1156" s="257">
        <v>4685020</v>
      </c>
      <c r="H1156" s="257">
        <v>4489660</v>
      </c>
      <c r="I1156" s="257">
        <v>4375670</v>
      </c>
      <c r="J1156" s="257">
        <v>4331040</v>
      </c>
      <c r="K1156" s="257">
        <v>2868980</v>
      </c>
      <c r="L1156" s="257">
        <v>2852110</v>
      </c>
      <c r="M1156" s="257">
        <v>2845370</v>
      </c>
      <c r="N1156" s="257">
        <v>2939820</v>
      </c>
      <c r="O1156" s="257">
        <v>3003030</v>
      </c>
      <c r="P1156" s="257">
        <v>3003030</v>
      </c>
      <c r="Q1156" s="257">
        <v>3101550</v>
      </c>
      <c r="R1156" s="257">
        <v>3019760</v>
      </c>
      <c r="S1156" s="257">
        <v>2873040</v>
      </c>
      <c r="T1156" s="257">
        <v>3038990</v>
      </c>
      <c r="U1156" s="257">
        <v>3038990</v>
      </c>
      <c r="V1156" s="257">
        <v>3152510</v>
      </c>
      <c r="W1156" s="257">
        <v>3152510</v>
      </c>
      <c r="X1156" s="257">
        <v>3081430</v>
      </c>
      <c r="Y1156" s="257">
        <v>3081430</v>
      </c>
      <c r="Z1156" s="249">
        <f ca="1">[1]ExtEntry!$Q58</f>
        <v>3151380</v>
      </c>
      <c r="AB1156" s="320">
        <v>0</v>
      </c>
      <c r="AC1156" s="320">
        <v>0</v>
      </c>
      <c r="AD1156" s="320">
        <v>0</v>
      </c>
      <c r="AE1156" s="320">
        <v>0</v>
      </c>
      <c r="AF1156" s="320">
        <v>0</v>
      </c>
      <c r="AG1156" s="320">
        <v>0</v>
      </c>
      <c r="AH1156" s="320">
        <v>0</v>
      </c>
      <c r="AI1156" s="320">
        <v>0</v>
      </c>
      <c r="AJ1156" s="320">
        <v>0</v>
      </c>
      <c r="AK1156" s="320">
        <v>0</v>
      </c>
      <c r="AL1156" s="320">
        <v>0</v>
      </c>
      <c r="AM1156" s="320">
        <v>0</v>
      </c>
      <c r="AN1156" s="320">
        <v>0</v>
      </c>
      <c r="AO1156" s="320">
        <v>0</v>
      </c>
      <c r="AP1156" s="320">
        <v>0</v>
      </c>
      <c r="AQ1156" s="320">
        <v>0</v>
      </c>
      <c r="AR1156" s="320">
        <v>0</v>
      </c>
      <c r="AS1156" s="320">
        <v>0</v>
      </c>
      <c r="AT1156" s="320">
        <v>0</v>
      </c>
      <c r="AU1156" s="320">
        <v>0</v>
      </c>
      <c r="AV1156" s="320">
        <f ca="1">Calc!BG58</f>
        <v>0</v>
      </c>
      <c r="AX1156" s="88" t="str">
        <f t="shared" ca="1" si="96"/>
        <v>MVEEOAN</v>
      </c>
    </row>
    <row r="1157" spans="1:50" hidden="1">
      <c r="A1157" s="88" t="str">
        <f t="shared" ca="1" si="95"/>
        <v>MVEENI</v>
      </c>
      <c r="C1157" s="1">
        <v>59</v>
      </c>
      <c r="F1157" s="257">
        <v>10884590</v>
      </c>
      <c r="G1157" s="257">
        <v>10884590</v>
      </c>
      <c r="H1157" s="257">
        <v>11148140</v>
      </c>
      <c r="I1157" s="257">
        <v>11910170</v>
      </c>
      <c r="J1157" s="257">
        <v>12121800</v>
      </c>
      <c r="K1157" s="257">
        <v>10729080</v>
      </c>
      <c r="L1157" s="257">
        <v>10978180</v>
      </c>
      <c r="M1157" s="257">
        <v>10464130</v>
      </c>
      <c r="N1157" s="257">
        <v>10464130</v>
      </c>
      <c r="O1157" s="257">
        <v>11376330</v>
      </c>
      <c r="P1157" s="257">
        <v>11376330</v>
      </c>
      <c r="Q1157" s="257">
        <v>11103590</v>
      </c>
      <c r="R1157" s="257">
        <v>11073440</v>
      </c>
      <c r="S1157" s="257">
        <v>11265500</v>
      </c>
      <c r="T1157" s="257">
        <v>11265500</v>
      </c>
      <c r="U1157" s="257">
        <v>11053520</v>
      </c>
      <c r="V1157" s="257">
        <v>11053520</v>
      </c>
      <c r="W1157" s="257">
        <v>11053520</v>
      </c>
      <c r="X1157" s="257">
        <v>10904760</v>
      </c>
      <c r="Y1157" s="257">
        <v>10904760</v>
      </c>
      <c r="Z1157" s="249">
        <f ca="1">[1]ExtEntry!$Q59</f>
        <v>11061740</v>
      </c>
      <c r="AB1157" s="320">
        <v>-403033.40700000006</v>
      </c>
      <c r="AC1157" s="320">
        <v>-403033.40700000006</v>
      </c>
      <c r="AD1157" s="320">
        <v>-403033.40700000006</v>
      </c>
      <c r="AE1157" s="320">
        <v>-403033.40700000006</v>
      </c>
      <c r="AF1157" s="320">
        <v>-403033.40700000006</v>
      </c>
      <c r="AG1157" s="320">
        <v>-342537.81440000009</v>
      </c>
      <c r="AH1157" s="320">
        <v>-342537.81440000009</v>
      </c>
      <c r="AI1157" s="320">
        <v>-342537.81440000009</v>
      </c>
      <c r="AJ1157" s="320">
        <v>-342537.81440000009</v>
      </c>
      <c r="AK1157" s="320">
        <v>-342537.81440000009</v>
      </c>
      <c r="AL1157" s="320">
        <v>-342537.81440000009</v>
      </c>
      <c r="AM1157" s="320">
        <v>-342537.81440000009</v>
      </c>
      <c r="AN1157" s="320">
        <v>-342537.81440000009</v>
      </c>
      <c r="AO1157" s="320">
        <v>-342537.81440000009</v>
      </c>
      <c r="AP1157" s="320">
        <v>-342537.81440000009</v>
      </c>
      <c r="AQ1157" s="320">
        <v>-342537.81440000009</v>
      </c>
      <c r="AR1157" s="320">
        <v>-342537.81440000009</v>
      </c>
      <c r="AS1157" s="320">
        <v>-342537.81440000009</v>
      </c>
      <c r="AT1157" s="320">
        <v>-342537.81440000009</v>
      </c>
      <c r="AU1157" s="320">
        <v>-342537.81440000009</v>
      </c>
      <c r="AV1157" s="320">
        <f ca="1">Calc!BG59</f>
        <v>-342537.81440000009</v>
      </c>
      <c r="AX1157" s="88" t="str">
        <f t="shared" ca="1" si="96"/>
        <v>MVEENI</v>
      </c>
    </row>
    <row r="1158" spans="1:50" hidden="1">
      <c r="A1158" s="88" t="str">
        <f t="shared" ca="1" si="95"/>
        <v>MVEEPIX</v>
      </c>
      <c r="C1158" s="1">
        <v>60</v>
      </c>
      <c r="F1158" s="257">
        <v>15457440</v>
      </c>
      <c r="G1158" s="257">
        <v>15411102</v>
      </c>
      <c r="H1158" s="257">
        <v>8476749</v>
      </c>
      <c r="I1158" s="257">
        <v>4237140</v>
      </c>
      <c r="J1158" s="257">
        <v>3743607</v>
      </c>
      <c r="K1158" s="257">
        <v>3236669</v>
      </c>
      <c r="L1158" s="257">
        <v>3107162</v>
      </c>
      <c r="M1158" s="257">
        <v>3209641</v>
      </c>
      <c r="N1158" s="257">
        <v>3209641</v>
      </c>
      <c r="O1158" s="257">
        <v>3209641</v>
      </c>
      <c r="P1158" s="257">
        <v>3209641</v>
      </c>
      <c r="Q1158" s="257">
        <v>3209641</v>
      </c>
      <c r="R1158" s="257">
        <v>3209641</v>
      </c>
      <c r="S1158" s="257">
        <v>3209641</v>
      </c>
      <c r="T1158" s="257">
        <v>3209641</v>
      </c>
      <c r="U1158" s="257">
        <v>3209641</v>
      </c>
      <c r="V1158" s="257">
        <v>3209641</v>
      </c>
      <c r="W1158" s="257">
        <v>3209641</v>
      </c>
      <c r="X1158" s="257">
        <v>3209641</v>
      </c>
      <c r="Y1158" s="257">
        <v>3209641</v>
      </c>
      <c r="Z1158" s="249">
        <f ca="1">[1]ExtEntry!$Q60</f>
        <v>3209641</v>
      </c>
      <c r="AB1158" s="320">
        <v>-17165.349999999999</v>
      </c>
      <c r="AC1158" s="320">
        <v>-17165.349999999999</v>
      </c>
      <c r="AD1158" s="320">
        <v>-17165.349999999999</v>
      </c>
      <c r="AE1158" s="320">
        <v>-17165.349999999999</v>
      </c>
      <c r="AF1158" s="320">
        <v>-17165.349999999999</v>
      </c>
      <c r="AG1158" s="320">
        <v>-17163.964</v>
      </c>
      <c r="AH1158" s="320">
        <v>-17163.964</v>
      </c>
      <c r="AI1158" s="320">
        <v>-17163.964</v>
      </c>
      <c r="AJ1158" s="320">
        <v>-17163.964</v>
      </c>
      <c r="AK1158" s="320">
        <v>-17163.964</v>
      </c>
      <c r="AL1158" s="320">
        <v>-17163.964</v>
      </c>
      <c r="AM1158" s="320">
        <v>-17163.964</v>
      </c>
      <c r="AN1158" s="320">
        <v>-17163.964</v>
      </c>
      <c r="AO1158" s="320">
        <v>-17163.964</v>
      </c>
      <c r="AP1158" s="320">
        <v>-17163.964</v>
      </c>
      <c r="AQ1158" s="320">
        <v>-17163.964</v>
      </c>
      <c r="AR1158" s="320">
        <v>-17163.964</v>
      </c>
      <c r="AS1158" s="320">
        <v>-17163.964</v>
      </c>
      <c r="AT1158" s="320">
        <v>-17163.964</v>
      </c>
      <c r="AU1158" s="320">
        <v>-17163.964</v>
      </c>
      <c r="AV1158" s="320">
        <f ca="1">Calc!BG60</f>
        <v>-17163.964</v>
      </c>
      <c r="AX1158" s="88" t="str">
        <f t="shared" ca="1" si="96"/>
        <v>MVEEPIX</v>
      </c>
    </row>
    <row r="1159" spans="1:50" hidden="1">
      <c r="A1159" s="88" t="str">
        <f t="shared" ca="1" si="95"/>
        <v>MVEGLE</v>
      </c>
      <c r="C1159" s="1">
        <v>61</v>
      </c>
      <c r="F1159" s="257">
        <v>1811950</v>
      </c>
      <c r="G1159" s="257">
        <v>1811950</v>
      </c>
      <c r="H1159" s="257">
        <v>1809450</v>
      </c>
      <c r="I1159" s="257">
        <v>1760450</v>
      </c>
      <c r="J1159" s="257">
        <v>1760450</v>
      </c>
      <c r="K1159" s="257">
        <v>1826740</v>
      </c>
      <c r="L1159" s="257">
        <v>1947190</v>
      </c>
      <c r="M1159" s="257">
        <v>2033580</v>
      </c>
      <c r="N1159" s="257">
        <v>2033580</v>
      </c>
      <c r="O1159" s="257">
        <v>2064110</v>
      </c>
      <c r="P1159" s="257">
        <v>2064110</v>
      </c>
      <c r="Q1159" s="257">
        <v>2040780</v>
      </c>
      <c r="R1159" s="257">
        <v>2105370</v>
      </c>
      <c r="S1159" s="257">
        <v>2432340</v>
      </c>
      <c r="T1159" s="257">
        <v>2432340</v>
      </c>
      <c r="U1159" s="257">
        <v>2235610</v>
      </c>
      <c r="V1159" s="257">
        <v>2235610</v>
      </c>
      <c r="W1159" s="257">
        <v>2235610</v>
      </c>
      <c r="X1159" s="257">
        <v>2120970</v>
      </c>
      <c r="Y1159" s="257">
        <v>2120970</v>
      </c>
      <c r="Z1159" s="249">
        <f ca="1">[1]ExtEntry!$Q61</f>
        <v>2035610</v>
      </c>
      <c r="AB1159" s="320">
        <v>0</v>
      </c>
      <c r="AC1159" s="320">
        <v>0</v>
      </c>
      <c r="AD1159" s="320">
        <v>0</v>
      </c>
      <c r="AE1159" s="320">
        <v>0</v>
      </c>
      <c r="AF1159" s="320">
        <v>0</v>
      </c>
      <c r="AG1159" s="320">
        <v>0</v>
      </c>
      <c r="AH1159" s="320">
        <v>0</v>
      </c>
      <c r="AI1159" s="320">
        <v>0</v>
      </c>
      <c r="AJ1159" s="320">
        <v>0</v>
      </c>
      <c r="AK1159" s="320">
        <v>0</v>
      </c>
      <c r="AL1159" s="320">
        <v>0</v>
      </c>
      <c r="AM1159" s="320">
        <v>0</v>
      </c>
      <c r="AN1159" s="320">
        <v>0</v>
      </c>
      <c r="AO1159" s="320">
        <v>-52791.715800000035</v>
      </c>
      <c r="AP1159" s="320">
        <v>-52791.715800000035</v>
      </c>
      <c r="AQ1159" s="320">
        <v>-52791.715800000035</v>
      </c>
      <c r="AR1159" s="320">
        <v>-52791.715800000035</v>
      </c>
      <c r="AS1159" s="320">
        <v>-52791.715800000035</v>
      </c>
      <c r="AT1159" s="320">
        <v>-52791.715800000035</v>
      </c>
      <c r="AU1159" s="320">
        <v>-52791.715800000035</v>
      </c>
      <c r="AV1159" s="320">
        <f ca="1">Calc!BG61</f>
        <v>-52791.715800000035</v>
      </c>
      <c r="AX1159" s="88" t="str">
        <f t="shared" ca="1" si="96"/>
        <v>MVEGLE</v>
      </c>
    </row>
    <row r="1160" spans="1:50" hidden="1">
      <c r="A1160" s="88" t="str">
        <f t="shared" ca="1" si="95"/>
        <v>MVEORA</v>
      </c>
      <c r="C1160" s="1">
        <v>62</v>
      </c>
      <c r="F1160" s="257">
        <v>4320930</v>
      </c>
      <c r="G1160" s="257">
        <v>95870</v>
      </c>
      <c r="H1160" s="257">
        <v>4232260</v>
      </c>
      <c r="I1160" s="257">
        <v>4139190</v>
      </c>
      <c r="J1160" s="257">
        <v>4083380</v>
      </c>
      <c r="K1160" s="257">
        <v>3323540</v>
      </c>
      <c r="L1160" s="257">
        <v>3555320</v>
      </c>
      <c r="M1160" s="257">
        <v>3630230</v>
      </c>
      <c r="N1160" s="257">
        <v>3792650</v>
      </c>
      <c r="O1160" s="257">
        <v>3738390</v>
      </c>
      <c r="P1160" s="257">
        <v>3777190</v>
      </c>
      <c r="Q1160" s="257">
        <v>3777190</v>
      </c>
      <c r="R1160" s="257">
        <v>3786590</v>
      </c>
      <c r="S1160" s="257">
        <v>4123940</v>
      </c>
      <c r="T1160" s="257">
        <v>4270150</v>
      </c>
      <c r="U1160" s="257">
        <v>4270150</v>
      </c>
      <c r="V1160" s="257">
        <v>4059070</v>
      </c>
      <c r="W1160" s="257">
        <v>4059070</v>
      </c>
      <c r="X1160" s="257">
        <v>4007920</v>
      </c>
      <c r="Y1160" s="257">
        <v>4007920</v>
      </c>
      <c r="Z1160" s="249">
        <f ca="1">[1]ExtEntry!$Q62</f>
        <v>3965280</v>
      </c>
      <c r="AB1160" s="320">
        <v>-99452.94200000001</v>
      </c>
      <c r="AC1160" s="320">
        <v>-99452.94200000001</v>
      </c>
      <c r="AD1160" s="320">
        <v>-99452.94200000001</v>
      </c>
      <c r="AE1160" s="320">
        <v>-99452.94200000001</v>
      </c>
      <c r="AF1160" s="320">
        <v>-99452.94200000001</v>
      </c>
      <c r="AG1160" s="320">
        <v>-99445.069680000001</v>
      </c>
      <c r="AH1160" s="320">
        <v>-99445.069680000001</v>
      </c>
      <c r="AI1160" s="320">
        <v>-99445.069680000001</v>
      </c>
      <c r="AJ1160" s="320">
        <v>-99445.069680000001</v>
      </c>
      <c r="AK1160" s="320">
        <v>-99445.069680000001</v>
      </c>
      <c r="AL1160" s="320">
        <v>-99445.069680000001</v>
      </c>
      <c r="AM1160" s="320">
        <v>-99445.069680000001</v>
      </c>
      <c r="AN1160" s="320">
        <v>-99445.069680000001</v>
      </c>
      <c r="AO1160" s="320">
        <v>-99445.069680000001</v>
      </c>
      <c r="AP1160" s="320">
        <v>-99445.069680000001</v>
      </c>
      <c r="AQ1160" s="320">
        <v>-99445.069680000001</v>
      </c>
      <c r="AR1160" s="320">
        <v>-99445.069680000001</v>
      </c>
      <c r="AS1160" s="320">
        <v>-99445.069680000001</v>
      </c>
      <c r="AT1160" s="320">
        <v>-99445.069680000001</v>
      </c>
      <c r="AU1160" s="320">
        <v>-99445.069680000001</v>
      </c>
      <c r="AV1160" s="320">
        <f ca="1">Calc!BG62</f>
        <v>-99445.069680000001</v>
      </c>
      <c r="AX1160" s="88" t="str">
        <f t="shared" ca="1" si="96"/>
        <v>MVEORA</v>
      </c>
    </row>
    <row r="1161" spans="1:50" hidden="1">
      <c r="A1161" s="88" t="str">
        <f t="shared" ca="1" si="95"/>
        <v>MVERWE</v>
      </c>
      <c r="C1161" s="1">
        <v>63</v>
      </c>
      <c r="F1161" s="257">
        <v>1970610</v>
      </c>
      <c r="G1161" s="257">
        <v>1970610</v>
      </c>
      <c r="H1161" s="257">
        <v>1968620</v>
      </c>
      <c r="I1161" s="257">
        <v>1946240</v>
      </c>
      <c r="J1161" s="257">
        <v>2081190</v>
      </c>
      <c r="K1161" s="257">
        <v>1838540</v>
      </c>
      <c r="L1161" s="257">
        <v>1851740</v>
      </c>
      <c r="M1161" s="257">
        <v>1906160</v>
      </c>
      <c r="N1161" s="257">
        <v>2007610</v>
      </c>
      <c r="O1161" s="257">
        <v>1957330</v>
      </c>
      <c r="P1161" s="257">
        <v>1957330</v>
      </c>
      <c r="Q1161" s="257">
        <v>1956480</v>
      </c>
      <c r="R1161" s="257">
        <v>1950430</v>
      </c>
      <c r="S1161" s="257">
        <v>1694940</v>
      </c>
      <c r="T1161" s="257">
        <v>1744310</v>
      </c>
      <c r="U1161" s="257">
        <v>1744310</v>
      </c>
      <c r="V1161" s="257">
        <v>1721090</v>
      </c>
      <c r="W1161" s="257">
        <v>1721090</v>
      </c>
      <c r="X1161" s="257">
        <v>1718010</v>
      </c>
      <c r="Y1161" s="257">
        <v>1718010</v>
      </c>
      <c r="Z1161" s="249">
        <f ca="1">[1]ExtEntry!$Q63</f>
        <v>1616820</v>
      </c>
      <c r="AB1161" s="320">
        <v>0</v>
      </c>
      <c r="AC1161" s="320">
        <v>0</v>
      </c>
      <c r="AD1161" s="320">
        <v>0</v>
      </c>
      <c r="AE1161" s="320">
        <v>0</v>
      </c>
      <c r="AF1161" s="320">
        <v>0</v>
      </c>
      <c r="AG1161" s="320">
        <v>0</v>
      </c>
      <c r="AH1161" s="320">
        <v>0</v>
      </c>
      <c r="AI1161" s="320">
        <v>0</v>
      </c>
      <c r="AJ1161" s="320">
        <v>0</v>
      </c>
      <c r="AK1161" s="320">
        <v>0</v>
      </c>
      <c r="AL1161" s="320">
        <v>0</v>
      </c>
      <c r="AM1161" s="320">
        <v>0</v>
      </c>
      <c r="AN1161" s="320">
        <v>0</v>
      </c>
      <c r="AO1161" s="320">
        <v>0</v>
      </c>
      <c r="AP1161" s="320">
        <v>0</v>
      </c>
      <c r="AQ1161" s="320">
        <v>0</v>
      </c>
      <c r="AR1161" s="320">
        <v>0</v>
      </c>
      <c r="AS1161" s="320">
        <v>0</v>
      </c>
      <c r="AT1161" s="320">
        <v>0</v>
      </c>
      <c r="AU1161" s="320">
        <v>0</v>
      </c>
      <c r="AV1161" s="320">
        <f ca="1">Calc!BG63</f>
        <v>0</v>
      </c>
      <c r="AX1161" s="88" t="str">
        <f t="shared" ca="1" si="96"/>
        <v>MVERWE</v>
      </c>
    </row>
    <row r="1162" spans="1:50" hidden="1">
      <c r="A1162" s="88" t="str">
        <f t="shared" ca="1" si="95"/>
        <v>MVESAP</v>
      </c>
      <c r="C1162" s="1">
        <v>64</v>
      </c>
      <c r="F1162" s="257">
        <v>2156360</v>
      </c>
      <c r="G1162" s="257">
        <v>2026770</v>
      </c>
      <c r="H1162" s="257">
        <v>1963540</v>
      </c>
      <c r="I1162" s="257">
        <v>1889010</v>
      </c>
      <c r="J1162" s="257">
        <v>1755450</v>
      </c>
      <c r="K1162" s="257">
        <v>1256430</v>
      </c>
      <c r="L1162" s="257">
        <v>1280350</v>
      </c>
      <c r="M1162" s="257">
        <v>1174280</v>
      </c>
      <c r="N1162" s="257">
        <v>1174280</v>
      </c>
      <c r="O1162" s="257">
        <v>1127830</v>
      </c>
      <c r="P1162" s="257">
        <v>1106630</v>
      </c>
      <c r="Q1162" s="257">
        <v>1126030</v>
      </c>
      <c r="R1162" s="257">
        <v>1110590</v>
      </c>
      <c r="S1162" s="257">
        <v>1105790</v>
      </c>
      <c r="T1162" s="257">
        <v>1114650</v>
      </c>
      <c r="U1162" s="257">
        <v>1181580</v>
      </c>
      <c r="V1162" s="257">
        <v>1181580</v>
      </c>
      <c r="W1162" s="257">
        <v>1181580</v>
      </c>
      <c r="X1162" s="257">
        <v>1190530</v>
      </c>
      <c r="Y1162" s="257">
        <v>1190530</v>
      </c>
      <c r="Z1162" s="249">
        <f ca="1">[1]ExtEntry!$Q64</f>
        <v>1230040</v>
      </c>
      <c r="AB1162" s="320">
        <v>0</v>
      </c>
      <c r="AC1162" s="320">
        <v>0</v>
      </c>
      <c r="AD1162" s="320">
        <v>0</v>
      </c>
      <c r="AE1162" s="320">
        <v>0</v>
      </c>
      <c r="AF1162" s="320">
        <v>0</v>
      </c>
      <c r="AG1162" s="320">
        <v>0</v>
      </c>
      <c r="AH1162" s="320">
        <v>0</v>
      </c>
      <c r="AI1162" s="320">
        <v>0</v>
      </c>
      <c r="AJ1162" s="320">
        <v>0</v>
      </c>
      <c r="AK1162" s="320">
        <v>0</v>
      </c>
      <c r="AL1162" s="320">
        <v>0</v>
      </c>
      <c r="AM1162" s="320">
        <v>0</v>
      </c>
      <c r="AN1162" s="320">
        <v>0</v>
      </c>
      <c r="AO1162" s="320">
        <v>0</v>
      </c>
      <c r="AP1162" s="320">
        <v>0</v>
      </c>
      <c r="AQ1162" s="320">
        <v>0</v>
      </c>
      <c r="AR1162" s="320">
        <v>0</v>
      </c>
      <c r="AS1162" s="320">
        <v>0</v>
      </c>
      <c r="AT1162" s="320">
        <v>0</v>
      </c>
      <c r="AU1162" s="320">
        <v>0</v>
      </c>
      <c r="AV1162" s="320">
        <f ca="1">Calc!BG64</f>
        <v>0</v>
      </c>
      <c r="AX1162" s="88" t="str">
        <f t="shared" ca="1" si="96"/>
        <v>MVESAP</v>
      </c>
    </row>
    <row r="1163" spans="1:50" hidden="1">
      <c r="A1163" s="88" t="str">
        <f t="shared" ca="1" si="95"/>
        <v>MVEUN0</v>
      </c>
      <c r="C1163" s="1">
        <v>65</v>
      </c>
      <c r="F1163" s="257">
        <v>4380</v>
      </c>
      <c r="G1163" s="257">
        <v>4380</v>
      </c>
      <c r="H1163" s="257">
        <v>4570</v>
      </c>
      <c r="I1163" s="257">
        <v>4660</v>
      </c>
      <c r="J1163" s="257">
        <v>4640</v>
      </c>
      <c r="K1163" s="257">
        <v>4160</v>
      </c>
      <c r="L1163" s="257">
        <v>4350</v>
      </c>
      <c r="M1163" s="257">
        <v>4440</v>
      </c>
      <c r="N1163" s="257">
        <v>4620</v>
      </c>
      <c r="O1163" s="257">
        <v>5290</v>
      </c>
      <c r="P1163" s="257">
        <v>5290</v>
      </c>
      <c r="Q1163" s="257">
        <v>5240</v>
      </c>
      <c r="R1163" s="257">
        <v>5500</v>
      </c>
      <c r="S1163" s="257">
        <v>5950</v>
      </c>
      <c r="T1163" s="257">
        <v>5590</v>
      </c>
      <c r="U1163" s="257">
        <v>5590</v>
      </c>
      <c r="V1163" s="257">
        <v>5250</v>
      </c>
      <c r="W1163" s="257">
        <v>5250</v>
      </c>
      <c r="X1163" s="257">
        <v>4760</v>
      </c>
      <c r="Y1163" s="257">
        <v>4760</v>
      </c>
      <c r="Z1163" s="249">
        <f ca="1">[1]ExtEntry!$Q65</f>
        <v>4760</v>
      </c>
      <c r="AB1163" s="320">
        <v>-13367.311446250002</v>
      </c>
      <c r="AC1163" s="320">
        <v>-13367.311446250002</v>
      </c>
      <c r="AD1163" s="320">
        <v>-13367.311446250002</v>
      </c>
      <c r="AE1163" s="320">
        <v>-13367.311446250002</v>
      </c>
      <c r="AF1163" s="320">
        <v>-13367.311446250002</v>
      </c>
      <c r="AG1163" s="320">
        <v>-13366.957104100002</v>
      </c>
      <c r="AH1163" s="320">
        <v>-13366.957104100002</v>
      </c>
      <c r="AI1163" s="320">
        <v>-13366.957104100002</v>
      </c>
      <c r="AJ1163" s="320">
        <v>-13366.957104100002</v>
      </c>
      <c r="AK1163" s="320">
        <v>-13366.957104100002</v>
      </c>
      <c r="AL1163" s="320">
        <v>-13366.957104100002</v>
      </c>
      <c r="AM1163" s="320">
        <v>-13366.957104100002</v>
      </c>
      <c r="AN1163" s="320">
        <v>-13366.957104100002</v>
      </c>
      <c r="AO1163" s="320">
        <v>-13366.957104100002</v>
      </c>
      <c r="AP1163" s="320">
        <v>-13366.957104100002</v>
      </c>
      <c r="AQ1163" s="320">
        <v>-13366.957104100002</v>
      </c>
      <c r="AR1163" s="320">
        <v>-13366.957104100002</v>
      </c>
      <c r="AS1163" s="320">
        <v>-13366.957104100002</v>
      </c>
      <c r="AT1163" s="320">
        <v>-13366.957104100002</v>
      </c>
      <c r="AU1163" s="320">
        <v>-13366.957104100002</v>
      </c>
      <c r="AV1163" s="320">
        <f ca="1">Calc!BG65</f>
        <v>-13366.957104100002</v>
      </c>
      <c r="AX1163" s="88" t="str">
        <f t="shared" ca="1" si="96"/>
        <v>MVEUN0</v>
      </c>
    </row>
    <row r="1164" spans="1:50" hidden="1">
      <c r="A1164" s="88" t="str">
        <f t="shared" ca="1" si="95"/>
        <v>SAFAAPL</v>
      </c>
      <c r="C1164" s="1">
        <v>66</v>
      </c>
      <c r="F1164" s="257">
        <v>56979728</v>
      </c>
      <c r="G1164" s="257">
        <v>56885723</v>
      </c>
      <c r="H1164" s="257">
        <v>57154568</v>
      </c>
      <c r="I1164" s="257">
        <v>56920121</v>
      </c>
      <c r="J1164" s="257">
        <v>57374950</v>
      </c>
      <c r="K1164" s="257">
        <v>58028014</v>
      </c>
      <c r="L1164" s="257">
        <v>57543219</v>
      </c>
      <c r="M1164" s="257">
        <v>56345982</v>
      </c>
      <c r="N1164" s="257">
        <v>56345982</v>
      </c>
      <c r="O1164" s="257">
        <v>56262033</v>
      </c>
      <c r="P1164" s="257">
        <v>55827771</v>
      </c>
      <c r="Q1164" s="257">
        <v>54594334</v>
      </c>
      <c r="R1164" s="257">
        <v>52612446</v>
      </c>
      <c r="S1164" s="257">
        <v>52195182</v>
      </c>
      <c r="T1164" s="257">
        <v>51928092</v>
      </c>
      <c r="U1164" s="257">
        <v>53839432</v>
      </c>
      <c r="V1164" s="257">
        <v>53170426</v>
      </c>
      <c r="W1164" s="257">
        <v>53170426</v>
      </c>
      <c r="X1164" s="257">
        <v>53110715</v>
      </c>
      <c r="Y1164" s="257">
        <v>52650930</v>
      </c>
      <c r="Z1164" s="249">
        <f ca="1">[1]ExtEntry!$Q66</f>
        <v>52650930</v>
      </c>
      <c r="AB1164" s="320">
        <v>0</v>
      </c>
      <c r="AC1164" s="320">
        <v>0</v>
      </c>
      <c r="AD1164" s="320">
        <v>0</v>
      </c>
      <c r="AE1164" s="320">
        <v>0</v>
      </c>
      <c r="AF1164" s="320">
        <v>0</v>
      </c>
      <c r="AG1164" s="320">
        <v>0</v>
      </c>
      <c r="AH1164" s="320">
        <v>0</v>
      </c>
      <c r="AI1164" s="320">
        <v>0</v>
      </c>
      <c r="AJ1164" s="320">
        <v>0</v>
      </c>
      <c r="AK1164" s="320">
        <v>0</v>
      </c>
      <c r="AL1164" s="320">
        <v>0</v>
      </c>
      <c r="AM1164" s="320">
        <v>0</v>
      </c>
      <c r="AN1164" s="320">
        <v>0</v>
      </c>
      <c r="AO1164" s="320">
        <v>0</v>
      </c>
      <c r="AP1164" s="320">
        <v>0</v>
      </c>
      <c r="AQ1164" s="320">
        <v>0</v>
      </c>
      <c r="AR1164" s="320">
        <v>0</v>
      </c>
      <c r="AS1164" s="320">
        <v>0</v>
      </c>
      <c r="AT1164" s="320">
        <v>0</v>
      </c>
      <c r="AU1164" s="320">
        <v>0</v>
      </c>
      <c r="AV1164" s="320">
        <f ca="1">Calc!BG66</f>
        <v>0</v>
      </c>
      <c r="AX1164" s="88" t="str">
        <f t="shared" ca="1" si="96"/>
        <v>SAFAAPL</v>
      </c>
    </row>
    <row r="1165" spans="1:50" hidden="1">
      <c r="A1165" s="88" t="str">
        <f t="shared" ca="1" si="95"/>
        <v>SAFAMZN</v>
      </c>
      <c r="C1165" s="1">
        <v>67</v>
      </c>
      <c r="F1165" s="257">
        <v>41585288</v>
      </c>
      <c r="G1165" s="257">
        <v>41863041</v>
      </c>
      <c r="H1165" s="257">
        <v>42893548</v>
      </c>
      <c r="I1165" s="257">
        <v>43606686</v>
      </c>
      <c r="J1165" s="257">
        <v>44406851</v>
      </c>
      <c r="K1165" s="257">
        <v>45504897</v>
      </c>
      <c r="L1165" s="257">
        <v>45198929</v>
      </c>
      <c r="M1165" s="257">
        <v>45897443</v>
      </c>
      <c r="N1165" s="257">
        <v>45897443</v>
      </c>
      <c r="O1165" s="257">
        <v>46804085</v>
      </c>
      <c r="P1165" s="257">
        <v>46958587</v>
      </c>
      <c r="Q1165" s="257">
        <v>47703859</v>
      </c>
      <c r="R1165" s="257">
        <v>47103929</v>
      </c>
      <c r="S1165" s="257">
        <v>47301089</v>
      </c>
      <c r="T1165" s="257">
        <v>47600718</v>
      </c>
      <c r="U1165" s="257">
        <v>47826297</v>
      </c>
      <c r="V1165" s="257">
        <v>48317923</v>
      </c>
      <c r="W1165" s="257">
        <v>48317923</v>
      </c>
      <c r="X1165" s="257">
        <v>48377656</v>
      </c>
      <c r="Y1165" s="257">
        <v>48121986</v>
      </c>
      <c r="Z1165" s="249">
        <f ca="1">[1]ExtEntry!$Q67</f>
        <v>48121986</v>
      </c>
      <c r="AB1165" s="320">
        <v>0</v>
      </c>
      <c r="AC1165" s="320">
        <v>0</v>
      </c>
      <c r="AD1165" s="320">
        <v>0</v>
      </c>
      <c r="AE1165" s="320">
        <v>0</v>
      </c>
      <c r="AF1165" s="320">
        <v>0</v>
      </c>
      <c r="AG1165" s="320">
        <v>0</v>
      </c>
      <c r="AH1165" s="320">
        <v>0</v>
      </c>
      <c r="AI1165" s="320">
        <v>0</v>
      </c>
      <c r="AJ1165" s="320">
        <v>0</v>
      </c>
      <c r="AK1165" s="320">
        <v>0</v>
      </c>
      <c r="AL1165" s="320">
        <v>0</v>
      </c>
      <c r="AM1165" s="320">
        <v>0</v>
      </c>
      <c r="AN1165" s="320">
        <v>0</v>
      </c>
      <c r="AO1165" s="320">
        <v>0</v>
      </c>
      <c r="AP1165" s="320">
        <v>0</v>
      </c>
      <c r="AQ1165" s="320">
        <v>0</v>
      </c>
      <c r="AR1165" s="320">
        <v>0</v>
      </c>
      <c r="AS1165" s="320">
        <v>0</v>
      </c>
      <c r="AT1165" s="320">
        <v>0</v>
      </c>
      <c r="AU1165" s="320">
        <v>0</v>
      </c>
      <c r="AV1165" s="320">
        <f ca="1">Calc!BG67</f>
        <v>0</v>
      </c>
      <c r="AX1165" s="88" t="str">
        <f t="shared" ca="1" si="96"/>
        <v>SAFAMZN</v>
      </c>
    </row>
    <row r="1166" spans="1:50" hidden="1">
      <c r="A1166" s="88" t="str">
        <f t="shared" ref="A1166:A1194" ca="1" si="97">A70</f>
        <v>SAFASML</v>
      </c>
      <c r="C1166" s="1">
        <v>68</v>
      </c>
      <c r="F1166" s="257">
        <v>897690</v>
      </c>
      <c r="G1166" s="257">
        <v>1531194</v>
      </c>
      <c r="H1166" s="257">
        <v>1554093</v>
      </c>
      <c r="I1166" s="257">
        <v>1598244</v>
      </c>
      <c r="J1166" s="257">
        <v>1620179</v>
      </c>
      <c r="K1166" s="257">
        <v>693400</v>
      </c>
      <c r="L1166" s="257">
        <v>682760</v>
      </c>
      <c r="M1166" s="257">
        <v>673480</v>
      </c>
      <c r="N1166" s="257">
        <v>702000</v>
      </c>
      <c r="O1166" s="257">
        <v>766660</v>
      </c>
      <c r="P1166" s="257">
        <v>766660</v>
      </c>
      <c r="Q1166" s="257">
        <v>804760</v>
      </c>
      <c r="R1166" s="257">
        <v>804760</v>
      </c>
      <c r="S1166" s="257">
        <v>839280</v>
      </c>
      <c r="T1166" s="257">
        <v>839280</v>
      </c>
      <c r="U1166" s="257">
        <v>839280</v>
      </c>
      <c r="V1166" s="257">
        <v>812200</v>
      </c>
      <c r="W1166" s="257">
        <v>812200</v>
      </c>
      <c r="X1166" s="257">
        <v>794970</v>
      </c>
      <c r="Y1166" s="257">
        <v>794970</v>
      </c>
      <c r="Z1166" s="249">
        <f ca="1">[1]ExtEntry!$Q68</f>
        <v>743190</v>
      </c>
      <c r="AB1166" s="320">
        <v>0</v>
      </c>
      <c r="AC1166" s="320">
        <v>0</v>
      </c>
      <c r="AD1166" s="320">
        <v>0</v>
      </c>
      <c r="AE1166" s="320">
        <v>0</v>
      </c>
      <c r="AF1166" s="320">
        <v>0</v>
      </c>
      <c r="AG1166" s="320">
        <v>0</v>
      </c>
      <c r="AH1166" s="320">
        <v>0</v>
      </c>
      <c r="AI1166" s="320">
        <v>0</v>
      </c>
      <c r="AJ1166" s="320">
        <v>0</v>
      </c>
      <c r="AK1166" s="320">
        <v>0</v>
      </c>
      <c r="AL1166" s="320">
        <v>0</v>
      </c>
      <c r="AM1166" s="320">
        <v>0</v>
      </c>
      <c r="AN1166" s="320">
        <v>0</v>
      </c>
      <c r="AO1166" s="320">
        <v>0</v>
      </c>
      <c r="AP1166" s="320">
        <v>0</v>
      </c>
      <c r="AQ1166" s="320">
        <v>0</v>
      </c>
      <c r="AR1166" s="320">
        <v>0</v>
      </c>
      <c r="AS1166" s="320">
        <v>0</v>
      </c>
      <c r="AT1166" s="320">
        <v>0</v>
      </c>
      <c r="AU1166" s="320">
        <v>0</v>
      </c>
      <c r="AV1166" s="320">
        <f ca="1">Calc!BG68</f>
        <v>0</v>
      </c>
      <c r="AX1166" s="88" t="str">
        <f t="shared" ca="1" si="96"/>
        <v>SAFASML</v>
      </c>
    </row>
    <row r="1167" spans="1:50" hidden="1">
      <c r="A1167" s="88" t="str">
        <f t="shared" ca="1" si="97"/>
        <v>SAFDDD</v>
      </c>
      <c r="C1167" s="1">
        <v>69</v>
      </c>
      <c r="F1167" s="257">
        <v>4321488</v>
      </c>
      <c r="G1167" s="257">
        <v>4434983</v>
      </c>
      <c r="H1167" s="257">
        <v>4499866</v>
      </c>
      <c r="I1167" s="257">
        <v>4481798</v>
      </c>
      <c r="J1167" s="257">
        <v>4001626</v>
      </c>
      <c r="K1167" s="257">
        <v>4029169</v>
      </c>
      <c r="L1167" s="257">
        <v>4258746</v>
      </c>
      <c r="M1167" s="257">
        <v>4193510</v>
      </c>
      <c r="N1167" s="257">
        <v>4193510</v>
      </c>
      <c r="O1167" s="257">
        <v>4365448</v>
      </c>
      <c r="P1167" s="257">
        <v>4431335</v>
      </c>
      <c r="Q1167" s="257">
        <v>4457889</v>
      </c>
      <c r="R1167" s="257">
        <v>4484637</v>
      </c>
      <c r="S1167" s="257">
        <v>4564013</v>
      </c>
      <c r="T1167" s="257">
        <v>4636118</v>
      </c>
      <c r="U1167" s="257">
        <v>4835555</v>
      </c>
      <c r="V1167" s="257">
        <v>4998183</v>
      </c>
      <c r="W1167" s="257">
        <v>4998183</v>
      </c>
      <c r="X1167" s="257">
        <v>5090282</v>
      </c>
      <c r="Y1167" s="257">
        <v>4995132</v>
      </c>
      <c r="Z1167" s="249">
        <f ca="1">[1]ExtEntry!$Q69</f>
        <v>4995132</v>
      </c>
      <c r="AB1167" s="320">
        <v>-374563.99874999997</v>
      </c>
      <c r="AC1167" s="320">
        <v>-374563.99874999997</v>
      </c>
      <c r="AD1167" s="320">
        <v>-374563.99874999997</v>
      </c>
      <c r="AE1167" s="320">
        <v>-374563.99874999997</v>
      </c>
      <c r="AF1167" s="320">
        <v>-374563.99874999997</v>
      </c>
      <c r="AG1167" s="320">
        <v>-339799.7819</v>
      </c>
      <c r="AH1167" s="320">
        <v>-339799.7819</v>
      </c>
      <c r="AI1167" s="320">
        <v>-339799.7819</v>
      </c>
      <c r="AJ1167" s="320">
        <v>-339799.7819</v>
      </c>
      <c r="AK1167" s="320">
        <v>-339799.7819</v>
      </c>
      <c r="AL1167" s="320">
        <v>-339799.7819</v>
      </c>
      <c r="AM1167" s="320">
        <v>-339799.7819</v>
      </c>
      <c r="AN1167" s="320">
        <v>-339799.7819</v>
      </c>
      <c r="AO1167" s="320">
        <v>-339799.7819</v>
      </c>
      <c r="AP1167" s="320">
        <v>-339799.7819</v>
      </c>
      <c r="AQ1167" s="320">
        <v>-339799.7819</v>
      </c>
      <c r="AR1167" s="320">
        <v>-339799.7819</v>
      </c>
      <c r="AS1167" s="320">
        <v>-339799.7819</v>
      </c>
      <c r="AT1167" s="320">
        <v>-339799.7819</v>
      </c>
      <c r="AU1167" s="320">
        <v>-339799.7819</v>
      </c>
      <c r="AV1167" s="320">
        <f ca="1">Calc!BG69</f>
        <v>-339799.7819</v>
      </c>
      <c r="AX1167" s="88" t="str">
        <f t="shared" ca="1" si="96"/>
        <v>SAFDDD</v>
      </c>
    </row>
    <row r="1168" spans="1:50" hidden="1">
      <c r="A1168" s="88" t="str">
        <f t="shared" ca="1" si="97"/>
        <v>SAFDIS</v>
      </c>
      <c r="C1168" s="1">
        <v>70</v>
      </c>
      <c r="F1168" s="257">
        <v>7962999</v>
      </c>
      <c r="G1168" s="257">
        <v>8048695</v>
      </c>
      <c r="H1168" s="257">
        <v>8203844</v>
      </c>
      <c r="I1168" s="257">
        <v>8361803</v>
      </c>
      <c r="J1168" s="257">
        <v>8534489</v>
      </c>
      <c r="K1168" s="257">
        <v>8630061</v>
      </c>
      <c r="L1168" s="257">
        <v>8605816</v>
      </c>
      <c r="M1168" s="257">
        <v>8637248</v>
      </c>
      <c r="N1168" s="257">
        <v>8637248</v>
      </c>
      <c r="O1168" s="257">
        <v>8738016</v>
      </c>
      <c r="P1168" s="257">
        <v>8777391</v>
      </c>
      <c r="Q1168" s="257">
        <v>8875539</v>
      </c>
      <c r="R1168" s="257">
        <v>8856647</v>
      </c>
      <c r="S1168" s="257">
        <v>8821932</v>
      </c>
      <c r="T1168" s="257">
        <v>8919918</v>
      </c>
      <c r="U1168" s="257">
        <v>8955780</v>
      </c>
      <c r="V1168" s="257">
        <v>9008512</v>
      </c>
      <c r="W1168" s="257">
        <v>9008512</v>
      </c>
      <c r="X1168" s="257">
        <v>9017926</v>
      </c>
      <c r="Y1168" s="257">
        <v>8917322</v>
      </c>
      <c r="Z1168" s="249">
        <f ca="1">[1]ExtEntry!$Q70</f>
        <v>8917322</v>
      </c>
      <c r="AB1168" s="320">
        <v>0</v>
      </c>
      <c r="AC1168" s="320">
        <v>0</v>
      </c>
      <c r="AD1168" s="320">
        <v>0</v>
      </c>
      <c r="AE1168" s="320">
        <v>0</v>
      </c>
      <c r="AF1168" s="320">
        <v>0</v>
      </c>
      <c r="AG1168" s="320">
        <v>0</v>
      </c>
      <c r="AH1168" s="320">
        <v>0</v>
      </c>
      <c r="AI1168" s="320">
        <v>0</v>
      </c>
      <c r="AJ1168" s="320">
        <v>0</v>
      </c>
      <c r="AK1168" s="320">
        <v>0</v>
      </c>
      <c r="AL1168" s="320">
        <v>0</v>
      </c>
      <c r="AM1168" s="320">
        <v>0</v>
      </c>
      <c r="AN1168" s="320">
        <v>0</v>
      </c>
      <c r="AO1168" s="320">
        <v>0</v>
      </c>
      <c r="AP1168" s="320">
        <v>0</v>
      </c>
      <c r="AQ1168" s="320">
        <v>0</v>
      </c>
      <c r="AR1168" s="320">
        <v>0</v>
      </c>
      <c r="AS1168" s="320">
        <v>0</v>
      </c>
      <c r="AT1168" s="320">
        <v>0</v>
      </c>
      <c r="AU1168" s="320">
        <v>0</v>
      </c>
      <c r="AV1168" s="320">
        <f ca="1">Calc!BG70</f>
        <v>0</v>
      </c>
      <c r="AX1168" s="88" t="str">
        <f t="shared" ca="1" si="96"/>
        <v>SAFDIS</v>
      </c>
    </row>
    <row r="1169" spans="1:50" hidden="1">
      <c r="A1169" s="88" t="str">
        <f t="shared" ca="1" si="97"/>
        <v>SAFGM</v>
      </c>
      <c r="C1169" s="1">
        <v>71</v>
      </c>
      <c r="F1169" s="257">
        <v>7151210</v>
      </c>
      <c r="G1169" s="257">
        <v>7289939</v>
      </c>
      <c r="H1169" s="257">
        <v>7416452</v>
      </c>
      <c r="I1169" s="257">
        <v>7447786</v>
      </c>
      <c r="J1169" s="257">
        <v>7438447</v>
      </c>
      <c r="K1169" s="257">
        <v>7829302</v>
      </c>
      <c r="L1169" s="257">
        <v>8030365</v>
      </c>
      <c r="M1169" s="257">
        <v>7977058</v>
      </c>
      <c r="N1169" s="257">
        <v>7977058</v>
      </c>
      <c r="O1169" s="257">
        <v>7882580</v>
      </c>
      <c r="P1169" s="257">
        <v>7786338</v>
      </c>
      <c r="Q1169" s="257">
        <v>7961865</v>
      </c>
      <c r="R1169" s="257">
        <v>7992644</v>
      </c>
      <c r="S1169" s="257">
        <v>8002754</v>
      </c>
      <c r="T1169" s="257">
        <v>7840178</v>
      </c>
      <c r="U1169" s="257">
        <v>8056621</v>
      </c>
      <c r="V1169" s="257">
        <v>9533405</v>
      </c>
      <c r="W1169" s="257">
        <v>9533405</v>
      </c>
      <c r="X1169" s="257">
        <v>10036558</v>
      </c>
      <c r="Y1169" s="257">
        <v>10305534</v>
      </c>
      <c r="Z1169" s="249">
        <f ca="1">[1]ExtEntry!$Q71</f>
        <v>10305534</v>
      </c>
      <c r="AB1169" s="320">
        <v>0</v>
      </c>
      <c r="AC1169" s="320">
        <v>0</v>
      </c>
      <c r="AD1169" s="320">
        <v>0</v>
      </c>
      <c r="AE1169" s="320">
        <v>0</v>
      </c>
      <c r="AF1169" s="320">
        <v>0</v>
      </c>
      <c r="AG1169" s="320">
        <v>0</v>
      </c>
      <c r="AH1169" s="320">
        <v>0</v>
      </c>
      <c r="AI1169" s="320">
        <v>0</v>
      </c>
      <c r="AJ1169" s="320">
        <v>0</v>
      </c>
      <c r="AK1169" s="320">
        <v>0</v>
      </c>
      <c r="AL1169" s="320">
        <v>0</v>
      </c>
      <c r="AM1169" s="320">
        <v>0</v>
      </c>
      <c r="AN1169" s="320">
        <v>0</v>
      </c>
      <c r="AO1169" s="320">
        <v>0</v>
      </c>
      <c r="AP1169" s="320">
        <v>0</v>
      </c>
      <c r="AQ1169" s="320">
        <v>0</v>
      </c>
      <c r="AR1169" s="320">
        <v>0</v>
      </c>
      <c r="AS1169" s="320">
        <v>0</v>
      </c>
      <c r="AT1169" s="320">
        <v>0</v>
      </c>
      <c r="AU1169" s="320">
        <v>0</v>
      </c>
      <c r="AV1169" s="320">
        <f ca="1">Calc!BG71</f>
        <v>0</v>
      </c>
      <c r="AX1169" s="88" t="str">
        <f t="shared" ca="1" si="96"/>
        <v>SAFGM</v>
      </c>
    </row>
    <row r="1170" spans="1:50" hidden="1">
      <c r="A1170" s="88" t="str">
        <f t="shared" ca="1" si="97"/>
        <v>SAFIAG</v>
      </c>
      <c r="C1170" s="1">
        <v>72</v>
      </c>
      <c r="F1170" s="257">
        <v>10472870</v>
      </c>
      <c r="G1170" s="257">
        <v>10877360</v>
      </c>
      <c r="H1170" s="257">
        <v>10979600</v>
      </c>
      <c r="I1170" s="257">
        <v>11453060</v>
      </c>
      <c r="J1170" s="257">
        <v>11526140</v>
      </c>
      <c r="K1170" s="257">
        <v>9963000</v>
      </c>
      <c r="L1170" s="257">
        <v>10616510</v>
      </c>
      <c r="M1170" s="257">
        <v>12268630</v>
      </c>
      <c r="N1170" s="257">
        <v>12268630</v>
      </c>
      <c r="O1170" s="257">
        <v>14086970</v>
      </c>
      <c r="P1170" s="257">
        <v>13829740</v>
      </c>
      <c r="Q1170" s="257">
        <v>13923050</v>
      </c>
      <c r="R1170" s="257">
        <v>13923050</v>
      </c>
      <c r="S1170" s="257">
        <v>14152510</v>
      </c>
      <c r="T1170" s="257">
        <v>14152510</v>
      </c>
      <c r="U1170" s="257">
        <v>14152510</v>
      </c>
      <c r="V1170" s="257">
        <v>14374030</v>
      </c>
      <c r="W1170" s="257">
        <v>14374030</v>
      </c>
      <c r="X1170" s="257">
        <v>13633200</v>
      </c>
      <c r="Y1170" s="257">
        <v>13633200</v>
      </c>
      <c r="Z1170" s="249">
        <f ca="1">[1]ExtEntry!$Q72</f>
        <v>12139610</v>
      </c>
      <c r="AB1170" s="320">
        <v>0</v>
      </c>
      <c r="AC1170" s="320">
        <v>0</v>
      </c>
      <c r="AD1170" s="320">
        <v>0</v>
      </c>
      <c r="AE1170" s="320">
        <v>0</v>
      </c>
      <c r="AF1170" s="320">
        <v>0</v>
      </c>
      <c r="AG1170" s="320">
        <v>0</v>
      </c>
      <c r="AH1170" s="320">
        <v>0</v>
      </c>
      <c r="AI1170" s="320">
        <v>0</v>
      </c>
      <c r="AJ1170" s="320">
        <v>0</v>
      </c>
      <c r="AK1170" s="320">
        <v>0</v>
      </c>
      <c r="AL1170" s="320">
        <v>0</v>
      </c>
      <c r="AM1170" s="320">
        <v>0</v>
      </c>
      <c r="AN1170" s="320">
        <v>0</v>
      </c>
      <c r="AO1170" s="320">
        <v>0</v>
      </c>
      <c r="AP1170" s="320">
        <v>0</v>
      </c>
      <c r="AQ1170" s="320">
        <v>0</v>
      </c>
      <c r="AR1170" s="320">
        <v>0</v>
      </c>
      <c r="AS1170" s="320">
        <v>0</v>
      </c>
      <c r="AT1170" s="320">
        <v>0</v>
      </c>
      <c r="AU1170" s="320">
        <v>0</v>
      </c>
      <c r="AV1170" s="320">
        <f ca="1">Calc!BG72</f>
        <v>0</v>
      </c>
      <c r="AX1170" s="88" t="str">
        <f t="shared" ca="1" si="96"/>
        <v>SAFIAG</v>
      </c>
    </row>
    <row r="1171" spans="1:50" hidden="1">
      <c r="A1171" s="88" t="str">
        <f t="shared" ca="1" si="97"/>
        <v>SAFMRNA</v>
      </c>
      <c r="C1171" s="1">
        <v>73</v>
      </c>
      <c r="F1171" s="257">
        <v>12632833</v>
      </c>
      <c r="G1171" s="257">
        <v>12586653</v>
      </c>
      <c r="H1171" s="257">
        <v>12445245</v>
      </c>
      <c r="I1171" s="257">
        <v>12628306</v>
      </c>
      <c r="J1171" s="257">
        <v>12284442</v>
      </c>
      <c r="K1171" s="257">
        <v>12189056</v>
      </c>
      <c r="L1171" s="257">
        <v>11862945</v>
      </c>
      <c r="M1171" s="257">
        <v>11983627</v>
      </c>
      <c r="N1171" s="257">
        <v>11983627</v>
      </c>
      <c r="O1171" s="257">
        <v>11774170</v>
      </c>
      <c r="P1171" s="257">
        <v>11617642</v>
      </c>
      <c r="Q1171" s="257">
        <v>11508127</v>
      </c>
      <c r="R1171" s="257">
        <v>11519986</v>
      </c>
      <c r="S1171" s="257">
        <v>11364771</v>
      </c>
      <c r="T1171" s="257">
        <v>10517979</v>
      </c>
      <c r="U1171" s="257">
        <v>10498504</v>
      </c>
      <c r="V1171" s="257">
        <v>10118535</v>
      </c>
      <c r="W1171" s="257">
        <v>10118535</v>
      </c>
      <c r="X1171" s="257">
        <v>9899919</v>
      </c>
      <c r="Y1171" s="257">
        <v>9835193</v>
      </c>
      <c r="Z1171" s="249">
        <f ca="1">[1]ExtEntry!$Q73</f>
        <v>9835193</v>
      </c>
      <c r="AB1171" s="320">
        <v>-235084.05849999998</v>
      </c>
      <c r="AC1171" s="320">
        <v>-235084.05849999998</v>
      </c>
      <c r="AD1171" s="320">
        <v>-235084.05849999998</v>
      </c>
      <c r="AE1171" s="320">
        <v>-235084.05849999998</v>
      </c>
      <c r="AF1171" s="320">
        <v>-235084.05849999998</v>
      </c>
      <c r="AG1171" s="320">
        <v>-235077.74099999998</v>
      </c>
      <c r="AH1171" s="320">
        <v>-235077.74099999998</v>
      </c>
      <c r="AI1171" s="320">
        <v>-235077.74099999998</v>
      </c>
      <c r="AJ1171" s="320">
        <v>-235077.74099999998</v>
      </c>
      <c r="AK1171" s="320">
        <v>-235077.74099999998</v>
      </c>
      <c r="AL1171" s="320">
        <v>-235077.74099999998</v>
      </c>
      <c r="AM1171" s="320">
        <v>-235077.74099999998</v>
      </c>
      <c r="AN1171" s="320">
        <v>-235077.74099999998</v>
      </c>
      <c r="AO1171" s="320">
        <v>-235077.74099999998</v>
      </c>
      <c r="AP1171" s="320">
        <v>-235077.74099999998</v>
      </c>
      <c r="AQ1171" s="320">
        <v>-235077.74099999998</v>
      </c>
      <c r="AR1171" s="320">
        <v>-235077.74099999998</v>
      </c>
      <c r="AS1171" s="320">
        <v>-235077.74099999998</v>
      </c>
      <c r="AT1171" s="320">
        <v>-235077.74099999998</v>
      </c>
      <c r="AU1171" s="320">
        <v>-235077.74099999998</v>
      </c>
      <c r="AV1171" s="320">
        <f ca="1">Calc!BG73</f>
        <v>-235077.74099999998</v>
      </c>
      <c r="AX1171" s="88" t="str">
        <f t="shared" ref="AX1171:AX1234" ca="1" si="98">A1171</f>
        <v>SAFMRNA</v>
      </c>
    </row>
    <row r="1172" spans="1:50" hidden="1">
      <c r="A1172" s="88" t="str">
        <f t="shared" ca="1" si="97"/>
        <v>BLNK</v>
      </c>
      <c r="C1172" s="1">
        <v>74</v>
      </c>
      <c r="F1172" s="257">
        <v>3961394</v>
      </c>
      <c r="G1172" s="257">
        <v>4169416</v>
      </c>
      <c r="H1172" s="257">
        <v>4230958</v>
      </c>
      <c r="I1172" s="257">
        <v>4390998</v>
      </c>
      <c r="J1172" s="257">
        <v>4449158</v>
      </c>
      <c r="K1172" s="257">
        <v>5211340</v>
      </c>
      <c r="L1172" s="257">
        <v>5515689</v>
      </c>
      <c r="M1172" s="257">
        <v>5953403</v>
      </c>
      <c r="N1172" s="257">
        <v>5953403</v>
      </c>
      <c r="O1172" s="257">
        <v>6390373</v>
      </c>
      <c r="P1172" s="257">
        <v>6498584</v>
      </c>
      <c r="Q1172" s="257">
        <v>6648147</v>
      </c>
      <c r="R1172" s="257">
        <v>6746214</v>
      </c>
      <c r="S1172" s="257">
        <v>6814190</v>
      </c>
      <c r="T1172" s="257">
        <v>6770723</v>
      </c>
      <c r="U1172" s="257">
        <v>6720187</v>
      </c>
      <c r="V1172" s="257">
        <v>6742464</v>
      </c>
      <c r="W1172" s="257">
        <v>6742464</v>
      </c>
      <c r="X1172" s="257">
        <v>6746790</v>
      </c>
      <c r="Y1172" s="257">
        <v>6689679</v>
      </c>
      <c r="Z1172" s="249">
        <f ca="1">[1]ExtEntry!$Q74</f>
        <v>6689679</v>
      </c>
      <c r="AB1172" s="320">
        <v>-254982.89</v>
      </c>
      <c r="AC1172" s="320">
        <v>-254982.89</v>
      </c>
      <c r="AD1172" s="320">
        <v>-254982.89</v>
      </c>
      <c r="AE1172" s="320">
        <v>-254982.89</v>
      </c>
      <c r="AF1172" s="320">
        <v>-254982.89</v>
      </c>
      <c r="AG1172" s="320">
        <v>-254961.77000000002</v>
      </c>
      <c r="AH1172" s="320">
        <v>-254961.77000000002</v>
      </c>
      <c r="AI1172" s="320">
        <v>-254961.77000000002</v>
      </c>
      <c r="AJ1172" s="320">
        <v>-254961.77000000002</v>
      </c>
      <c r="AK1172" s="320">
        <v>-254961.77000000002</v>
      </c>
      <c r="AL1172" s="320">
        <v>-254961.77000000002</v>
      </c>
      <c r="AM1172" s="320">
        <v>-254961.77000000002</v>
      </c>
      <c r="AN1172" s="320">
        <v>-232041.77000000002</v>
      </c>
      <c r="AO1172" s="320">
        <v>-232041.77000000002</v>
      </c>
      <c r="AP1172" s="320">
        <v>-232041.77000000002</v>
      </c>
      <c r="AQ1172" s="320">
        <v>-232041.77000000002</v>
      </c>
      <c r="AR1172" s="320">
        <v>-232041.77000000002</v>
      </c>
      <c r="AS1172" s="320">
        <v>-232041.77000000002</v>
      </c>
      <c r="AT1172" s="320">
        <v>-232041.77000000002</v>
      </c>
      <c r="AU1172" s="320">
        <v>-232041.77000000002</v>
      </c>
      <c r="AV1172" s="320">
        <f ca="1">Calc!BG74</f>
        <v>-232041.77000000002</v>
      </c>
      <c r="AX1172" s="88" t="str">
        <f t="shared" ca="1" si="98"/>
        <v>BLNK</v>
      </c>
    </row>
    <row r="1173" spans="1:50" hidden="1">
      <c r="A1173" s="88" t="str">
        <f t="shared" ca="1" si="97"/>
        <v>ENI</v>
      </c>
      <c r="C1173" s="1">
        <v>75</v>
      </c>
      <c r="F1173" s="257">
        <v>10884590</v>
      </c>
      <c r="G1173" s="257">
        <v>10884590</v>
      </c>
      <c r="H1173" s="257">
        <v>11148140</v>
      </c>
      <c r="I1173" s="257">
        <v>11910170</v>
      </c>
      <c r="J1173" s="257">
        <v>12121800</v>
      </c>
      <c r="K1173" s="257">
        <v>10729080</v>
      </c>
      <c r="L1173" s="257">
        <v>10978180</v>
      </c>
      <c r="M1173" s="257">
        <v>10464130</v>
      </c>
      <c r="N1173" s="257">
        <v>10464130</v>
      </c>
      <c r="O1173" s="257">
        <v>11376330</v>
      </c>
      <c r="P1173" s="257">
        <v>11376330</v>
      </c>
      <c r="Q1173" s="257">
        <v>11103590</v>
      </c>
      <c r="R1173" s="257">
        <v>11073440</v>
      </c>
      <c r="S1173" s="257">
        <v>11265500</v>
      </c>
      <c r="T1173" s="257">
        <v>11265500</v>
      </c>
      <c r="U1173" s="257">
        <v>11053520</v>
      </c>
      <c r="V1173" s="257">
        <v>11053520</v>
      </c>
      <c r="W1173" s="257">
        <v>11053520</v>
      </c>
      <c r="X1173" s="257">
        <v>10904760</v>
      </c>
      <c r="Y1173" s="257">
        <v>10904760</v>
      </c>
      <c r="Z1173" s="249">
        <f ca="1">[1]ExtEntry!$Q75</f>
        <v>11061740</v>
      </c>
      <c r="AB1173" s="320">
        <v>-215988.80399999995</v>
      </c>
      <c r="AC1173" s="320">
        <v>-215988.80399999995</v>
      </c>
      <c r="AD1173" s="320">
        <v>-215988.80399999995</v>
      </c>
      <c r="AE1173" s="320">
        <v>-215988.80399999995</v>
      </c>
      <c r="AF1173" s="320">
        <v>-215988.80399999995</v>
      </c>
      <c r="AG1173" s="320">
        <v>-215978.81759999992</v>
      </c>
      <c r="AH1173" s="320">
        <v>-215978.81759999992</v>
      </c>
      <c r="AI1173" s="320">
        <v>-215978.81759999992</v>
      </c>
      <c r="AJ1173" s="320">
        <v>-215978.81759999992</v>
      </c>
      <c r="AK1173" s="320">
        <v>-215978.81759999992</v>
      </c>
      <c r="AL1173" s="320">
        <v>-215978.81759999992</v>
      </c>
      <c r="AM1173" s="320">
        <v>-215978.81759999992</v>
      </c>
      <c r="AN1173" s="320">
        <v>-215978.81759999992</v>
      </c>
      <c r="AO1173" s="320">
        <v>-215978.81759999992</v>
      </c>
      <c r="AP1173" s="320">
        <v>-215978.81759999992</v>
      </c>
      <c r="AQ1173" s="320">
        <v>-215978.81759999992</v>
      </c>
      <c r="AR1173" s="320">
        <v>-215978.81759999992</v>
      </c>
      <c r="AS1173" s="320">
        <v>-215978.81759999992</v>
      </c>
      <c r="AT1173" s="320">
        <v>-215978.81759999992</v>
      </c>
      <c r="AU1173" s="320">
        <v>-215978.81759999992</v>
      </c>
      <c r="AV1173" s="320">
        <f ca="1">Calc!BG75</f>
        <v>-215978.81759999992</v>
      </c>
      <c r="AX1173" s="88" t="str">
        <f t="shared" ca="1" si="98"/>
        <v>ENI</v>
      </c>
    </row>
    <row r="1174" spans="1:50" hidden="1">
      <c r="A1174" s="88" t="str">
        <f t="shared" ca="1" si="97"/>
        <v>EZJ</v>
      </c>
      <c r="C1174" s="1">
        <v>76</v>
      </c>
      <c r="F1174" s="257">
        <v>4463670</v>
      </c>
      <c r="G1174" s="257">
        <v>4463670</v>
      </c>
      <c r="H1174" s="257">
        <v>4836170</v>
      </c>
      <c r="I1174" s="257">
        <v>4720850</v>
      </c>
      <c r="J1174" s="257">
        <v>4562580</v>
      </c>
      <c r="K1174" s="257">
        <v>4295660</v>
      </c>
      <c r="L1174" s="257">
        <v>4117810</v>
      </c>
      <c r="M1174" s="257">
        <v>4168030</v>
      </c>
      <c r="N1174" s="257">
        <v>4168030</v>
      </c>
      <c r="O1174" s="257">
        <v>3040440</v>
      </c>
      <c r="P1174" s="257">
        <v>2462530</v>
      </c>
      <c r="Q1174" s="257">
        <v>3717970</v>
      </c>
      <c r="R1174" s="257">
        <v>3717970</v>
      </c>
      <c r="S1174" s="257">
        <v>4698600</v>
      </c>
      <c r="T1174" s="257">
        <v>4698600</v>
      </c>
      <c r="U1174" s="257">
        <v>4698600</v>
      </c>
      <c r="V1174" s="257">
        <v>4718490</v>
      </c>
      <c r="W1174" s="257">
        <v>4718490</v>
      </c>
      <c r="X1174" s="257">
        <v>4945150</v>
      </c>
      <c r="Y1174" s="257">
        <v>4945150</v>
      </c>
      <c r="Z1174" s="249">
        <f ca="1">[1]ExtEntry!$Q76</f>
        <v>5082380</v>
      </c>
      <c r="AB1174" s="320">
        <v>-57534.079000000012</v>
      </c>
      <c r="AC1174" s="320">
        <v>-57534.079000000012</v>
      </c>
      <c r="AD1174" s="320">
        <v>-57534.079000000012</v>
      </c>
      <c r="AE1174" s="320">
        <v>-57534.079000000012</v>
      </c>
      <c r="AF1174" s="320">
        <v>-57534.079000000012</v>
      </c>
      <c r="AG1174" s="320">
        <v>-57524.106280000022</v>
      </c>
      <c r="AH1174" s="320">
        <v>-57524.106280000022</v>
      </c>
      <c r="AI1174" s="320">
        <v>-57524.106280000022</v>
      </c>
      <c r="AJ1174" s="320">
        <v>-57524.106280000022</v>
      </c>
      <c r="AK1174" s="320">
        <v>-57524.106280000022</v>
      </c>
      <c r="AL1174" s="320">
        <v>-57524.106280000022</v>
      </c>
      <c r="AM1174" s="320">
        <v>-57524.106280000022</v>
      </c>
      <c r="AN1174" s="320">
        <v>-57524.106280000022</v>
      </c>
      <c r="AO1174" s="320">
        <v>-57524.106280000022</v>
      </c>
      <c r="AP1174" s="320">
        <v>-57524.106280000022</v>
      </c>
      <c r="AQ1174" s="320">
        <v>-57524.106280000022</v>
      </c>
      <c r="AR1174" s="320">
        <v>-7964.1062800000072</v>
      </c>
      <c r="AS1174" s="320">
        <v>-7964.1062800000072</v>
      </c>
      <c r="AT1174" s="320">
        <v>-7964.1062800000072</v>
      </c>
      <c r="AU1174" s="320">
        <v>-7964.1062800000072</v>
      </c>
      <c r="AV1174" s="320">
        <f ca="1">Calc!BG76</f>
        <v>-7964.1062800000072</v>
      </c>
      <c r="AX1174" s="88" t="str">
        <f t="shared" ca="1" si="98"/>
        <v>EZJ</v>
      </c>
    </row>
    <row r="1175" spans="1:50" hidden="1">
      <c r="A1175" s="88" t="str">
        <f t="shared" ca="1" si="97"/>
        <v>F</v>
      </c>
      <c r="C1175" s="1">
        <v>77</v>
      </c>
      <c r="F1175" s="257">
        <v>54949617</v>
      </c>
      <c r="G1175" s="257">
        <v>55941070</v>
      </c>
      <c r="H1175" s="257">
        <v>56970121</v>
      </c>
      <c r="I1175" s="257">
        <v>57968727</v>
      </c>
      <c r="J1175" s="257">
        <v>59334690</v>
      </c>
      <c r="K1175" s="257">
        <v>63315893</v>
      </c>
      <c r="L1175" s="257">
        <v>67183332</v>
      </c>
      <c r="M1175" s="257">
        <v>68412972</v>
      </c>
      <c r="N1175" s="257">
        <v>68412972</v>
      </c>
      <c r="O1175" s="257">
        <v>71382228</v>
      </c>
      <c r="P1175" s="257">
        <v>72750423</v>
      </c>
      <c r="Q1175" s="257">
        <v>74664631</v>
      </c>
      <c r="R1175" s="257">
        <v>76342207</v>
      </c>
      <c r="S1175" s="257">
        <v>78122410</v>
      </c>
      <c r="T1175" s="257">
        <v>80423719</v>
      </c>
      <c r="U1175" s="257">
        <v>81621179</v>
      </c>
      <c r="V1175" s="257">
        <v>91184706</v>
      </c>
      <c r="W1175" s="257">
        <v>91184706</v>
      </c>
      <c r="X1175" s="257">
        <v>105043755</v>
      </c>
      <c r="Y1175" s="257">
        <v>122035765</v>
      </c>
      <c r="Z1175" s="249">
        <f ca="1">[1]ExtEntry!$Q77</f>
        <v>122035765</v>
      </c>
      <c r="AB1175" s="320">
        <v>0</v>
      </c>
      <c r="AC1175" s="320">
        <v>0</v>
      </c>
      <c r="AD1175" s="320">
        <v>0</v>
      </c>
      <c r="AE1175" s="320">
        <v>0</v>
      </c>
      <c r="AF1175" s="320">
        <v>0</v>
      </c>
      <c r="AG1175" s="320">
        <v>0</v>
      </c>
      <c r="AH1175" s="320">
        <v>0</v>
      </c>
      <c r="AI1175" s="320">
        <v>0</v>
      </c>
      <c r="AJ1175" s="320">
        <v>0</v>
      </c>
      <c r="AK1175" s="320">
        <v>0</v>
      </c>
      <c r="AL1175" s="320">
        <v>0</v>
      </c>
      <c r="AM1175" s="320">
        <v>0</v>
      </c>
      <c r="AN1175" s="320">
        <v>0</v>
      </c>
      <c r="AO1175" s="320">
        <v>0</v>
      </c>
      <c r="AP1175" s="320">
        <v>0</v>
      </c>
      <c r="AQ1175" s="320">
        <v>0</v>
      </c>
      <c r="AR1175" s="320">
        <v>0</v>
      </c>
      <c r="AS1175" s="320">
        <v>0</v>
      </c>
      <c r="AT1175" s="320">
        <v>0</v>
      </c>
      <c r="AU1175" s="320">
        <v>0</v>
      </c>
      <c r="AV1175" s="320">
        <f ca="1">Calc!BG77</f>
        <v>0</v>
      </c>
      <c r="AX1175" s="88" t="str">
        <f t="shared" ca="1" si="98"/>
        <v>F</v>
      </c>
    </row>
    <row r="1176" spans="1:50" hidden="1">
      <c r="A1176" s="88" t="str">
        <f t="shared" ca="1" si="97"/>
        <v>GLE</v>
      </c>
      <c r="C1176" s="1">
        <v>78</v>
      </c>
      <c r="F1176" s="257">
        <v>1811950</v>
      </c>
      <c r="G1176" s="257">
        <v>1811950</v>
      </c>
      <c r="H1176" s="257">
        <v>1809450</v>
      </c>
      <c r="I1176" s="257">
        <v>1760450</v>
      </c>
      <c r="J1176" s="257">
        <v>1760450</v>
      </c>
      <c r="K1176" s="257">
        <v>1826740</v>
      </c>
      <c r="L1176" s="257">
        <v>1947190</v>
      </c>
      <c r="M1176" s="257">
        <v>2033580</v>
      </c>
      <c r="N1176" s="257">
        <v>2033580</v>
      </c>
      <c r="O1176" s="257">
        <v>2064110</v>
      </c>
      <c r="P1176" s="257">
        <v>2064110</v>
      </c>
      <c r="Q1176" s="257">
        <v>2040780</v>
      </c>
      <c r="R1176" s="257">
        <v>2105370</v>
      </c>
      <c r="S1176" s="257">
        <v>2432340</v>
      </c>
      <c r="T1176" s="257">
        <v>2432340</v>
      </c>
      <c r="U1176" s="257">
        <v>2235610</v>
      </c>
      <c r="V1176" s="257">
        <v>2235610</v>
      </c>
      <c r="W1176" s="257">
        <v>2235610</v>
      </c>
      <c r="X1176" s="257">
        <v>2120970</v>
      </c>
      <c r="Y1176" s="257">
        <v>2120970</v>
      </c>
      <c r="Z1176" s="249">
        <f ca="1">[1]ExtEntry!$Q78</f>
        <v>2035610</v>
      </c>
      <c r="AB1176" s="320">
        <v>0</v>
      </c>
      <c r="AC1176" s="320">
        <v>0</v>
      </c>
      <c r="AD1176" s="320">
        <v>0</v>
      </c>
      <c r="AE1176" s="320">
        <v>0</v>
      </c>
      <c r="AF1176" s="320">
        <v>0</v>
      </c>
      <c r="AG1176" s="320">
        <v>0</v>
      </c>
      <c r="AH1176" s="320">
        <v>0</v>
      </c>
      <c r="AI1176" s="320">
        <v>0</v>
      </c>
      <c r="AJ1176" s="320">
        <v>0</v>
      </c>
      <c r="AK1176" s="320">
        <v>0</v>
      </c>
      <c r="AL1176" s="320">
        <v>0</v>
      </c>
      <c r="AM1176" s="320">
        <v>0</v>
      </c>
      <c r="AN1176" s="320">
        <v>0</v>
      </c>
      <c r="AO1176" s="320">
        <v>0</v>
      </c>
      <c r="AP1176" s="320">
        <v>0</v>
      </c>
      <c r="AQ1176" s="320">
        <v>0</v>
      </c>
      <c r="AR1176" s="320">
        <v>0</v>
      </c>
      <c r="AS1176" s="320">
        <v>0</v>
      </c>
      <c r="AT1176" s="320">
        <v>0</v>
      </c>
      <c r="AU1176" s="320">
        <v>0</v>
      </c>
      <c r="AV1176" s="320">
        <f ca="1">Calc!BG78</f>
        <v>0</v>
      </c>
      <c r="AX1176" s="88" t="str">
        <f t="shared" ca="1" si="98"/>
        <v>GLE</v>
      </c>
    </row>
    <row r="1177" spans="1:50" hidden="1">
      <c r="A1177" s="88" t="str">
        <f t="shared" ca="1" si="97"/>
        <v>GNRC</v>
      </c>
      <c r="C1177" s="1">
        <v>79</v>
      </c>
      <c r="F1177" s="257">
        <v>973332</v>
      </c>
      <c r="G1177" s="257">
        <v>973430</v>
      </c>
      <c r="H1177" s="257">
        <v>978867</v>
      </c>
      <c r="I1177" s="257">
        <v>969942</v>
      </c>
      <c r="J1177" s="257">
        <v>963400</v>
      </c>
      <c r="K1177" s="257">
        <v>969874</v>
      </c>
      <c r="L1177" s="257">
        <v>955434</v>
      </c>
      <c r="M1177" s="257">
        <v>962375</v>
      </c>
      <c r="N1177" s="257">
        <v>962375</v>
      </c>
      <c r="O1177" s="257">
        <v>1016998</v>
      </c>
      <c r="P1177" s="257">
        <v>1009152</v>
      </c>
      <c r="Q1177" s="257">
        <v>1035352</v>
      </c>
      <c r="R1177" s="257">
        <v>1077409</v>
      </c>
      <c r="S1177" s="257">
        <v>1063147</v>
      </c>
      <c r="T1177" s="257">
        <v>1063375</v>
      </c>
      <c r="U1177" s="257">
        <v>1060299</v>
      </c>
      <c r="V1177" s="257">
        <v>1065671</v>
      </c>
      <c r="W1177" s="257">
        <v>1065671</v>
      </c>
      <c r="X1177" s="257">
        <v>1080915</v>
      </c>
      <c r="Y1177" s="257">
        <v>1079254</v>
      </c>
      <c r="Z1177" s="249">
        <f ca="1">[1]ExtEntry!$Q79</f>
        <v>1079254</v>
      </c>
      <c r="AB1177" s="320">
        <v>236.04500000001281</v>
      </c>
      <c r="AC1177" s="320">
        <v>236.04500000001281</v>
      </c>
      <c r="AD1177" s="320">
        <v>236.04500000001281</v>
      </c>
      <c r="AE1177" s="320">
        <v>236.04500000001281</v>
      </c>
      <c r="AF1177" s="320">
        <v>236.04500000001281</v>
      </c>
      <c r="AG1177" s="320">
        <v>246.49280000000726</v>
      </c>
      <c r="AH1177" s="320">
        <v>246.49280000000726</v>
      </c>
      <c r="AI1177" s="320">
        <v>246.49280000000726</v>
      </c>
      <c r="AJ1177" s="320">
        <v>246.49280000000726</v>
      </c>
      <c r="AK1177" s="320">
        <v>246.49280000000726</v>
      </c>
      <c r="AL1177" s="320">
        <v>246.49280000000726</v>
      </c>
      <c r="AM1177" s="320">
        <v>246.49280000000726</v>
      </c>
      <c r="AN1177" s="320">
        <v>0</v>
      </c>
      <c r="AO1177" s="320">
        <v>0</v>
      </c>
      <c r="AP1177" s="320">
        <v>0</v>
      </c>
      <c r="AQ1177" s="320">
        <v>0</v>
      </c>
      <c r="AR1177" s="320">
        <v>-16299.507199999993</v>
      </c>
      <c r="AS1177" s="320">
        <v>-16299.507199999993</v>
      </c>
      <c r="AT1177" s="320">
        <v>-16299.507199999993</v>
      </c>
      <c r="AU1177" s="320">
        <v>-16299.507199999993</v>
      </c>
      <c r="AV1177" s="320">
        <f ca="1">Calc!BG79</f>
        <v>-16299.507199999993</v>
      </c>
      <c r="AX1177" s="88" t="str">
        <f t="shared" ca="1" si="98"/>
        <v>GNRC</v>
      </c>
    </row>
    <row r="1178" spans="1:50" hidden="1">
      <c r="A1178" s="88" t="str">
        <f t="shared" ca="1" si="97"/>
        <v>GS</v>
      </c>
      <c r="C1178" s="1">
        <v>80</v>
      </c>
      <c r="F1178" s="257">
        <v>1719332</v>
      </c>
      <c r="G1178" s="257">
        <v>1683742</v>
      </c>
      <c r="H1178" s="257">
        <v>1727048</v>
      </c>
      <c r="I1178" s="257">
        <v>1738146</v>
      </c>
      <c r="J1178" s="257">
        <v>1738896</v>
      </c>
      <c r="K1178" s="257">
        <v>1747869</v>
      </c>
      <c r="L1178" s="257">
        <v>1717900</v>
      </c>
      <c r="M1178" s="257">
        <v>1736041</v>
      </c>
      <c r="N1178" s="257">
        <v>1736041</v>
      </c>
      <c r="O1178" s="257">
        <v>1753320</v>
      </c>
      <c r="P1178" s="257">
        <v>1807958</v>
      </c>
      <c r="Q1178" s="257">
        <v>1891938</v>
      </c>
      <c r="R1178" s="257">
        <v>1940779</v>
      </c>
      <c r="S1178" s="257">
        <v>1984172</v>
      </c>
      <c r="T1178" s="257">
        <v>2055578</v>
      </c>
      <c r="U1178" s="257">
        <v>2080905</v>
      </c>
      <c r="V1178" s="257">
        <v>2091014</v>
      </c>
      <c r="W1178" s="257">
        <v>2091014</v>
      </c>
      <c r="X1178" s="257">
        <v>2098861</v>
      </c>
      <c r="Y1178" s="257">
        <v>2103402</v>
      </c>
      <c r="Z1178" s="249">
        <f ca="1">[1]ExtEntry!$Q80</f>
        <v>2103402</v>
      </c>
      <c r="AB1178" s="320">
        <v>0</v>
      </c>
      <c r="AC1178" s="320">
        <v>0</v>
      </c>
      <c r="AD1178" s="320">
        <v>0</v>
      </c>
      <c r="AE1178" s="320">
        <v>0</v>
      </c>
      <c r="AF1178" s="320">
        <v>0</v>
      </c>
      <c r="AG1178" s="320">
        <v>0</v>
      </c>
      <c r="AH1178" s="320">
        <v>0</v>
      </c>
      <c r="AI1178" s="320">
        <v>0</v>
      </c>
      <c r="AJ1178" s="320">
        <v>0</v>
      </c>
      <c r="AK1178" s="320">
        <v>0</v>
      </c>
      <c r="AL1178" s="320">
        <v>0</v>
      </c>
      <c r="AM1178" s="320">
        <v>0</v>
      </c>
      <c r="AN1178" s="320">
        <v>0</v>
      </c>
      <c r="AO1178" s="320">
        <v>0</v>
      </c>
      <c r="AP1178" s="320">
        <v>0</v>
      </c>
      <c r="AQ1178" s="320">
        <v>0</v>
      </c>
      <c r="AR1178" s="320">
        <v>0</v>
      </c>
      <c r="AS1178" s="320">
        <v>0</v>
      </c>
      <c r="AT1178" s="320">
        <v>0</v>
      </c>
      <c r="AU1178" s="320">
        <v>0</v>
      </c>
      <c r="AV1178" s="320">
        <f ca="1">Calc!BG80</f>
        <v>0</v>
      </c>
      <c r="AX1178" s="88" t="str">
        <f t="shared" ca="1" si="98"/>
        <v>GS</v>
      </c>
    </row>
    <row r="1179" spans="1:50" hidden="1">
      <c r="A1179" s="88" t="str">
        <f t="shared" ca="1" si="97"/>
        <v>LAZR</v>
      </c>
      <c r="C1179" s="1">
        <v>81</v>
      </c>
      <c r="F1179" s="257">
        <v>4409298</v>
      </c>
      <c r="G1179" s="257">
        <v>4401257</v>
      </c>
      <c r="H1179" s="257">
        <v>4474531</v>
      </c>
      <c r="I1179" s="257">
        <v>4534095</v>
      </c>
      <c r="J1179" s="257">
        <v>4639749</v>
      </c>
      <c r="K1179" s="257">
        <v>5200998</v>
      </c>
      <c r="L1179" s="257">
        <v>5318654</v>
      </c>
      <c r="M1179" s="257">
        <v>5672536</v>
      </c>
      <c r="N1179" s="257">
        <v>5672536</v>
      </c>
      <c r="O1179" s="257">
        <v>6069713</v>
      </c>
      <c r="P1179" s="257">
        <v>6148185</v>
      </c>
      <c r="Q1179" s="257">
        <v>6305361</v>
      </c>
      <c r="R1179" s="257">
        <v>6459071</v>
      </c>
      <c r="S1179" s="257">
        <v>6623629</v>
      </c>
      <c r="T1179" s="257">
        <v>6815174</v>
      </c>
      <c r="U1179" s="257">
        <v>6665015</v>
      </c>
      <c r="V1179" s="257">
        <v>6880631</v>
      </c>
      <c r="W1179" s="257">
        <v>6880631</v>
      </c>
      <c r="X1179" s="257">
        <v>6597236</v>
      </c>
      <c r="Y1179" s="257">
        <v>6510271</v>
      </c>
      <c r="Z1179" s="249">
        <f ca="1">[1]ExtEntry!$Q81</f>
        <v>6510271</v>
      </c>
      <c r="AB1179" s="320">
        <v>-83739.551899999991</v>
      </c>
      <c r="AC1179" s="320">
        <v>-83739.551899999991</v>
      </c>
      <c r="AD1179" s="320">
        <v>-83739.551899999991</v>
      </c>
      <c r="AE1179" s="320">
        <v>-83739.551899999991</v>
      </c>
      <c r="AF1179" s="320">
        <v>-83739.551899999991</v>
      </c>
      <c r="AG1179" s="320">
        <v>-83714.349975999998</v>
      </c>
      <c r="AH1179" s="320">
        <v>-83714.349975999998</v>
      </c>
      <c r="AI1179" s="320">
        <v>-83714.349975999998</v>
      </c>
      <c r="AJ1179" s="320">
        <v>-83714.349975999998</v>
      </c>
      <c r="AK1179" s="320">
        <v>-83714.349975999998</v>
      </c>
      <c r="AL1179" s="320">
        <v>-83714.349975999998</v>
      </c>
      <c r="AM1179" s="320">
        <v>-83714.349975999998</v>
      </c>
      <c r="AN1179" s="320">
        <v>-83714.349975999998</v>
      </c>
      <c r="AO1179" s="320">
        <v>-83714.349975999998</v>
      </c>
      <c r="AP1179" s="320">
        <v>-83714.349975999998</v>
      </c>
      <c r="AQ1179" s="320">
        <v>-83714.349975999998</v>
      </c>
      <c r="AR1179" s="320">
        <v>-83714.349975999998</v>
      </c>
      <c r="AS1179" s="320">
        <v>-83714.349975999998</v>
      </c>
      <c r="AT1179" s="320">
        <v>-83714.349975999998</v>
      </c>
      <c r="AU1179" s="320">
        <v>-83714.349975999998</v>
      </c>
      <c r="AV1179" s="320">
        <f ca="1">Calc!BG81</f>
        <v>-83714.349975999998</v>
      </c>
      <c r="AX1179" s="88" t="str">
        <f t="shared" ca="1" si="98"/>
        <v>LAZR</v>
      </c>
    </row>
    <row r="1180" spans="1:50" hidden="1">
      <c r="A1180" s="88" t="str">
        <f t="shared" ca="1" si="97"/>
        <v>LUV</v>
      </c>
      <c r="C1180" s="1">
        <v>82</v>
      </c>
      <c r="F1180" s="257">
        <v>8890669</v>
      </c>
      <c r="G1180" s="257">
        <v>8918337</v>
      </c>
      <c r="H1180" s="257">
        <v>9018339</v>
      </c>
      <c r="I1180" s="257">
        <v>9032939</v>
      </c>
      <c r="J1180" s="257">
        <v>9122897</v>
      </c>
      <c r="K1180" s="257">
        <v>9412832</v>
      </c>
      <c r="L1180" s="257">
        <v>9447443</v>
      </c>
      <c r="M1180" s="257">
        <v>9580202</v>
      </c>
      <c r="N1180" s="257">
        <v>9580202</v>
      </c>
      <c r="O1180" s="257">
        <v>9582393</v>
      </c>
      <c r="P1180" s="257">
        <v>9404798</v>
      </c>
      <c r="Q1180" s="257">
        <v>9570109</v>
      </c>
      <c r="R1180" s="257">
        <v>9566732</v>
      </c>
      <c r="S1180" s="257">
        <v>9546944</v>
      </c>
      <c r="T1180" s="257">
        <v>9461616</v>
      </c>
      <c r="U1180" s="257">
        <v>9410617</v>
      </c>
      <c r="V1180" s="257">
        <v>9460329</v>
      </c>
      <c r="W1180" s="257">
        <v>9460329</v>
      </c>
      <c r="X1180" s="257">
        <v>9447684</v>
      </c>
      <c r="Y1180" s="257">
        <v>10199141</v>
      </c>
      <c r="Z1180" s="249">
        <f ca="1">[1]ExtEntry!$Q82</f>
        <v>10199141</v>
      </c>
      <c r="AB1180" s="320">
        <v>0</v>
      </c>
      <c r="AC1180" s="320">
        <v>0</v>
      </c>
      <c r="AD1180" s="320">
        <v>0</v>
      </c>
      <c r="AE1180" s="320">
        <v>0</v>
      </c>
      <c r="AF1180" s="320">
        <v>0</v>
      </c>
      <c r="AG1180" s="320">
        <v>0</v>
      </c>
      <c r="AH1180" s="320">
        <v>0</v>
      </c>
      <c r="AI1180" s="320">
        <v>0</v>
      </c>
      <c r="AJ1180" s="320">
        <v>0</v>
      </c>
      <c r="AK1180" s="320">
        <v>0</v>
      </c>
      <c r="AL1180" s="320">
        <v>0</v>
      </c>
      <c r="AM1180" s="320">
        <v>0</v>
      </c>
      <c r="AN1180" s="320">
        <v>0</v>
      </c>
      <c r="AO1180" s="320">
        <v>0</v>
      </c>
      <c r="AP1180" s="320">
        <v>0</v>
      </c>
      <c r="AQ1180" s="320">
        <v>0</v>
      </c>
      <c r="AR1180" s="320">
        <v>0</v>
      </c>
      <c r="AS1180" s="320">
        <v>0</v>
      </c>
      <c r="AT1180" s="320">
        <v>0</v>
      </c>
      <c r="AU1180" s="320">
        <v>0</v>
      </c>
      <c r="AV1180" s="320">
        <f ca="1">Calc!BG82</f>
        <v>0</v>
      </c>
      <c r="AX1180" s="88" t="str">
        <f t="shared" ca="1" si="98"/>
        <v>LUV</v>
      </c>
    </row>
    <row r="1181" spans="1:50" hidden="1">
      <c r="A1181" s="88" t="str">
        <f t="shared" ca="1" si="97"/>
        <v>MA</v>
      </c>
      <c r="C1181" s="1">
        <v>83</v>
      </c>
      <c r="F1181" s="257">
        <v>2660063</v>
      </c>
      <c r="G1181" s="257">
        <v>2669125</v>
      </c>
      <c r="H1181" s="257">
        <v>2684924</v>
      </c>
      <c r="I1181" s="257">
        <v>2641344</v>
      </c>
      <c r="J1181" s="257">
        <v>2681448</v>
      </c>
      <c r="K1181" s="257">
        <v>2706833</v>
      </c>
      <c r="L1181" s="257">
        <v>2700280</v>
      </c>
      <c r="M1181" s="257">
        <v>2699305</v>
      </c>
      <c r="N1181" s="257">
        <v>2699305</v>
      </c>
      <c r="O1181" s="257">
        <v>2781220</v>
      </c>
      <c r="P1181" s="257">
        <v>2823153</v>
      </c>
      <c r="Q1181" s="257">
        <v>2837614</v>
      </c>
      <c r="R1181" s="257">
        <v>2826703</v>
      </c>
      <c r="S1181" s="257">
        <v>2858842</v>
      </c>
      <c r="T1181" s="257">
        <v>2879387</v>
      </c>
      <c r="U1181" s="257">
        <v>2872340</v>
      </c>
      <c r="V1181" s="257">
        <v>2879757</v>
      </c>
      <c r="W1181" s="257">
        <v>2879757</v>
      </c>
      <c r="X1181" s="257">
        <v>2835338</v>
      </c>
      <c r="Y1181" s="257">
        <v>2791056</v>
      </c>
      <c r="Z1181" s="249">
        <f ca="1">[1]ExtEntry!$Q83</f>
        <v>2791056</v>
      </c>
      <c r="AB1181" s="320">
        <v>0</v>
      </c>
      <c r="AC1181" s="320">
        <v>0</v>
      </c>
      <c r="AD1181" s="320">
        <v>0</v>
      </c>
      <c r="AE1181" s="320">
        <v>0</v>
      </c>
      <c r="AF1181" s="320">
        <v>0</v>
      </c>
      <c r="AG1181" s="320">
        <v>0</v>
      </c>
      <c r="AH1181" s="320">
        <v>0</v>
      </c>
      <c r="AI1181" s="320">
        <v>0</v>
      </c>
      <c r="AJ1181" s="320">
        <v>0</v>
      </c>
      <c r="AK1181" s="320">
        <v>0</v>
      </c>
      <c r="AL1181" s="320">
        <v>0</v>
      </c>
      <c r="AM1181" s="320">
        <v>0</v>
      </c>
      <c r="AN1181" s="320">
        <v>0</v>
      </c>
      <c r="AO1181" s="320">
        <v>0</v>
      </c>
      <c r="AP1181" s="320">
        <v>0</v>
      </c>
      <c r="AQ1181" s="320">
        <v>0</v>
      </c>
      <c r="AR1181" s="320">
        <v>0</v>
      </c>
      <c r="AS1181" s="320">
        <v>0</v>
      </c>
      <c r="AT1181" s="320">
        <v>0</v>
      </c>
      <c r="AU1181" s="320">
        <v>0</v>
      </c>
      <c r="AV1181" s="320">
        <f ca="1">Calc!BG83</f>
        <v>0</v>
      </c>
      <c r="AX1181" s="88" t="str">
        <f t="shared" ca="1" si="98"/>
        <v>MA</v>
      </c>
    </row>
    <row r="1182" spans="1:50" hidden="1">
      <c r="A1182" s="88" t="str">
        <f t="shared" ca="1" si="97"/>
        <v>NVAX</v>
      </c>
      <c r="C1182" s="1">
        <v>84</v>
      </c>
      <c r="F1182" s="257">
        <v>5464584</v>
      </c>
      <c r="G1182" s="257">
        <v>5225303</v>
      </c>
      <c r="H1182" s="257">
        <v>5028930</v>
      </c>
      <c r="I1182" s="257">
        <v>5094063</v>
      </c>
      <c r="J1182" s="257">
        <v>4780023</v>
      </c>
      <c r="K1182" s="257">
        <v>4632631</v>
      </c>
      <c r="L1182" s="257">
        <v>4575693</v>
      </c>
      <c r="M1182" s="257">
        <v>4617174</v>
      </c>
      <c r="N1182" s="257">
        <v>4617174</v>
      </c>
      <c r="O1182" s="257">
        <v>4475224</v>
      </c>
      <c r="P1182" s="257">
        <v>4506511</v>
      </c>
      <c r="Q1182" s="257">
        <v>4545160</v>
      </c>
      <c r="R1182" s="257">
        <v>4657867</v>
      </c>
      <c r="S1182" s="257">
        <v>4696539</v>
      </c>
      <c r="T1182" s="257">
        <v>4656793</v>
      </c>
      <c r="U1182" s="257">
        <v>4716046</v>
      </c>
      <c r="V1182" s="257">
        <v>4637940</v>
      </c>
      <c r="W1182" s="257">
        <v>4637940</v>
      </c>
      <c r="X1182" s="257">
        <v>4608282</v>
      </c>
      <c r="Y1182" s="257">
        <v>4590823</v>
      </c>
      <c r="Z1182" s="249">
        <f ca="1">[1]ExtEntry!$Q84</f>
        <v>4590823</v>
      </c>
      <c r="AB1182" s="320">
        <v>-17573.625</v>
      </c>
      <c r="AC1182" s="320">
        <v>-17573.625</v>
      </c>
      <c r="AD1182" s="320">
        <v>-17573.625</v>
      </c>
      <c r="AE1182" s="320">
        <v>-17573.625</v>
      </c>
      <c r="AF1182" s="320">
        <v>-17573.625</v>
      </c>
      <c r="AG1182" s="320">
        <v>-17557.614000000001</v>
      </c>
      <c r="AH1182" s="320">
        <v>-17557.614000000001</v>
      </c>
      <c r="AI1182" s="320">
        <v>-17557.614000000001</v>
      </c>
      <c r="AJ1182" s="320">
        <v>-17557.614000000001</v>
      </c>
      <c r="AK1182" s="320">
        <v>-17557.614000000001</v>
      </c>
      <c r="AL1182" s="320">
        <v>0</v>
      </c>
      <c r="AM1182" s="320">
        <v>0</v>
      </c>
      <c r="AN1182" s="320">
        <v>0</v>
      </c>
      <c r="AO1182" s="320">
        <v>0</v>
      </c>
      <c r="AP1182" s="320">
        <v>0</v>
      </c>
      <c r="AQ1182" s="320">
        <v>0</v>
      </c>
      <c r="AR1182" s="320">
        <v>0</v>
      </c>
      <c r="AS1182" s="320">
        <v>0</v>
      </c>
      <c r="AT1182" s="320">
        <v>0</v>
      </c>
      <c r="AU1182" s="320">
        <v>0</v>
      </c>
      <c r="AV1182" s="320">
        <f ca="1">Calc!BG84</f>
        <v>0</v>
      </c>
      <c r="AX1182" s="88" t="str">
        <f t="shared" ca="1" si="98"/>
        <v>NVAX</v>
      </c>
    </row>
    <row r="1183" spans="1:50" hidden="1">
      <c r="A1183" s="88" t="str">
        <f t="shared" ca="1" si="97"/>
        <v>NVS</v>
      </c>
      <c r="C1183" s="1">
        <v>85</v>
      </c>
      <c r="F1183" s="257">
        <v>1088059</v>
      </c>
      <c r="G1183" s="257">
        <v>1083177</v>
      </c>
      <c r="H1183" s="257">
        <v>1142466</v>
      </c>
      <c r="I1183" s="257">
        <v>1223299</v>
      </c>
      <c r="J1183" s="257">
        <v>1263910</v>
      </c>
      <c r="K1183" s="257">
        <v>1318037</v>
      </c>
      <c r="L1183" s="257">
        <v>1319760</v>
      </c>
      <c r="M1183" s="257">
        <v>1393874</v>
      </c>
      <c r="N1183" s="257">
        <v>1393874</v>
      </c>
      <c r="O1183" s="257">
        <v>1438722</v>
      </c>
      <c r="P1183" s="257">
        <v>1477129</v>
      </c>
      <c r="Q1183" s="257">
        <v>1499143</v>
      </c>
      <c r="R1183" s="257">
        <v>1517238</v>
      </c>
      <c r="S1183" s="257">
        <v>1527173</v>
      </c>
      <c r="T1183" s="257">
        <v>1505770</v>
      </c>
      <c r="U1183" s="257">
        <v>1515388</v>
      </c>
      <c r="V1183" s="257">
        <v>1506589</v>
      </c>
      <c r="W1183" s="257">
        <v>1506589</v>
      </c>
      <c r="X1183" s="257">
        <v>1496073</v>
      </c>
      <c r="Y1183" s="257">
        <v>1506506</v>
      </c>
      <c r="Z1183" s="249">
        <f ca="1">[1]ExtEntry!$Q85</f>
        <v>1506506</v>
      </c>
      <c r="AB1183" s="320">
        <v>0</v>
      </c>
      <c r="AC1183" s="320">
        <v>0</v>
      </c>
      <c r="AD1183" s="320">
        <v>0</v>
      </c>
      <c r="AE1183" s="320">
        <v>0</v>
      </c>
      <c r="AF1183" s="320">
        <v>0</v>
      </c>
      <c r="AG1183" s="320">
        <v>0</v>
      </c>
      <c r="AH1183" s="320">
        <v>0</v>
      </c>
      <c r="AI1183" s="320">
        <v>0</v>
      </c>
      <c r="AJ1183" s="320">
        <v>0</v>
      </c>
      <c r="AK1183" s="320">
        <v>0</v>
      </c>
      <c r="AL1183" s="320">
        <v>0</v>
      </c>
      <c r="AM1183" s="320">
        <v>0</v>
      </c>
      <c r="AN1183" s="320">
        <v>0</v>
      </c>
      <c r="AO1183" s="320">
        <v>0</v>
      </c>
      <c r="AP1183" s="320">
        <v>0</v>
      </c>
      <c r="AQ1183" s="320">
        <v>0</v>
      </c>
      <c r="AR1183" s="320">
        <v>0</v>
      </c>
      <c r="AS1183" s="320">
        <v>0</v>
      </c>
      <c r="AT1183" s="320">
        <v>0</v>
      </c>
      <c r="AU1183" s="320">
        <v>0</v>
      </c>
      <c r="AV1183" s="320">
        <f ca="1">Calc!BG85</f>
        <v>0</v>
      </c>
      <c r="AX1183" s="88" t="str">
        <f t="shared" ca="1" si="98"/>
        <v>NVS</v>
      </c>
    </row>
    <row r="1184" spans="1:50" hidden="1">
      <c r="A1184" s="88" t="str">
        <f t="shared" ca="1" si="97"/>
        <v>ORA</v>
      </c>
      <c r="C1184" s="1">
        <v>86</v>
      </c>
      <c r="F1184" s="257">
        <v>4320930</v>
      </c>
      <c r="G1184" s="257">
        <v>4320930</v>
      </c>
      <c r="H1184" s="257">
        <v>4232260</v>
      </c>
      <c r="I1184" s="257">
        <v>4139190</v>
      </c>
      <c r="J1184" s="257">
        <v>4083380</v>
      </c>
      <c r="K1184" s="257">
        <v>3323540</v>
      </c>
      <c r="L1184" s="257">
        <v>3555320</v>
      </c>
      <c r="M1184" s="257">
        <v>3630230</v>
      </c>
      <c r="N1184" s="257">
        <v>3792650</v>
      </c>
      <c r="O1184" s="257">
        <v>3738390</v>
      </c>
      <c r="P1184" s="257">
        <v>3777190</v>
      </c>
      <c r="Q1184" s="257">
        <v>3777190</v>
      </c>
      <c r="R1184" s="257">
        <v>3786590</v>
      </c>
      <c r="S1184" s="257">
        <v>4123940</v>
      </c>
      <c r="T1184" s="257">
        <v>4270150</v>
      </c>
      <c r="U1184" s="257">
        <v>4270150</v>
      </c>
      <c r="V1184" s="257">
        <v>4059070</v>
      </c>
      <c r="W1184" s="257">
        <v>4059070</v>
      </c>
      <c r="X1184" s="257">
        <v>4007920</v>
      </c>
      <c r="Y1184" s="257">
        <v>4007920</v>
      </c>
      <c r="Z1184" s="249">
        <f ca="1">[1]ExtEntry!$Q86</f>
        <v>3965280</v>
      </c>
      <c r="AB1184" s="320">
        <v>0</v>
      </c>
      <c r="AC1184" s="320">
        <v>0</v>
      </c>
      <c r="AD1184" s="320">
        <v>0</v>
      </c>
      <c r="AE1184" s="320">
        <v>0</v>
      </c>
      <c r="AF1184" s="320">
        <v>0</v>
      </c>
      <c r="AG1184" s="320">
        <v>0</v>
      </c>
      <c r="AH1184" s="320">
        <v>0</v>
      </c>
      <c r="AI1184" s="320">
        <v>0</v>
      </c>
      <c r="AJ1184" s="320">
        <v>0</v>
      </c>
      <c r="AK1184" s="320">
        <v>0</v>
      </c>
      <c r="AL1184" s="320">
        <v>0</v>
      </c>
      <c r="AM1184" s="320">
        <v>0</v>
      </c>
      <c r="AN1184" s="320">
        <v>0</v>
      </c>
      <c r="AO1184" s="320">
        <v>0</v>
      </c>
      <c r="AP1184" s="320">
        <v>0</v>
      </c>
      <c r="AQ1184" s="320">
        <v>0</v>
      </c>
      <c r="AR1184" s="320">
        <v>0</v>
      </c>
      <c r="AS1184" s="320">
        <v>0</v>
      </c>
      <c r="AT1184" s="320">
        <v>0</v>
      </c>
      <c r="AU1184" s="320">
        <v>0</v>
      </c>
      <c r="AV1184" s="320">
        <f ca="1">Calc!BG86</f>
        <v>0</v>
      </c>
      <c r="AX1184" s="88" t="str">
        <f t="shared" ca="1" si="98"/>
        <v>ORA</v>
      </c>
    </row>
    <row r="1185" spans="1:50" hidden="1">
      <c r="A1185" s="88" t="str">
        <f t="shared" ca="1" si="97"/>
        <v>OXY</v>
      </c>
      <c r="C1185" s="1">
        <v>87</v>
      </c>
      <c r="F1185" s="257">
        <v>8490755</v>
      </c>
      <c r="G1185" s="257">
        <v>8780760</v>
      </c>
      <c r="H1185" s="257">
        <v>9102242</v>
      </c>
      <c r="I1185" s="257">
        <v>9134655</v>
      </c>
      <c r="J1185" s="257">
        <v>10552343</v>
      </c>
      <c r="K1185" s="257">
        <v>11225410</v>
      </c>
      <c r="L1185" s="257">
        <v>11268356</v>
      </c>
      <c r="M1185" s="257">
        <v>11191536</v>
      </c>
      <c r="N1185" s="257">
        <v>11191536</v>
      </c>
      <c r="O1185" s="257">
        <v>11668408</v>
      </c>
      <c r="P1185" s="257">
        <v>11706318</v>
      </c>
      <c r="Q1185" s="257">
        <v>11823361</v>
      </c>
      <c r="R1185" s="257">
        <v>11856549</v>
      </c>
      <c r="S1185" s="257">
        <v>12083417</v>
      </c>
      <c r="T1185" s="257">
        <v>12251759</v>
      </c>
      <c r="U1185" s="257">
        <v>12375103</v>
      </c>
      <c r="V1185" s="257">
        <v>12164992</v>
      </c>
      <c r="W1185" s="257">
        <v>12164992</v>
      </c>
      <c r="X1185" s="257">
        <v>12250310</v>
      </c>
      <c r="Y1185" s="257">
        <v>12465373</v>
      </c>
      <c r="Z1185" s="249">
        <f ca="1">[1]ExtEntry!$Q87</f>
        <v>12465373</v>
      </c>
      <c r="AB1185" s="320">
        <v>-155505.28350000002</v>
      </c>
      <c r="AC1185" s="320">
        <v>-155505.28350000002</v>
      </c>
      <c r="AD1185" s="320">
        <v>-155505.28350000002</v>
      </c>
      <c r="AE1185" s="320">
        <v>-155505.28350000002</v>
      </c>
      <c r="AF1185" s="320">
        <v>-155505.28350000002</v>
      </c>
      <c r="AG1185" s="320">
        <v>-155497.42180000001</v>
      </c>
      <c r="AH1185" s="320">
        <v>-155497.42180000001</v>
      </c>
      <c r="AI1185" s="320">
        <v>-155497.42180000001</v>
      </c>
      <c r="AJ1185" s="320">
        <v>-155497.42180000001</v>
      </c>
      <c r="AK1185" s="320">
        <v>-155497.42180000001</v>
      </c>
      <c r="AL1185" s="320">
        <v>-155497.42180000001</v>
      </c>
      <c r="AM1185" s="320">
        <v>-155497.42180000001</v>
      </c>
      <c r="AN1185" s="320">
        <v>-155497.42180000001</v>
      </c>
      <c r="AO1185" s="320">
        <v>-155497.42180000001</v>
      </c>
      <c r="AP1185" s="320">
        <v>-155497.42180000001</v>
      </c>
      <c r="AQ1185" s="320">
        <v>-155497.42180000001</v>
      </c>
      <c r="AR1185" s="320">
        <v>-155497.42180000001</v>
      </c>
      <c r="AS1185" s="320">
        <v>-155497.42180000001</v>
      </c>
      <c r="AT1185" s="320">
        <v>-155497.42180000001</v>
      </c>
      <c r="AU1185" s="320">
        <v>-155497.42180000001</v>
      </c>
      <c r="AV1185" s="320">
        <f ca="1">Calc!BG87</f>
        <v>-155497.42180000001</v>
      </c>
      <c r="AX1185" s="88" t="str">
        <f t="shared" ca="1" si="98"/>
        <v>OXY</v>
      </c>
    </row>
    <row r="1186" spans="1:50" hidden="1">
      <c r="A1186" s="88" t="str">
        <f t="shared" ca="1" si="97"/>
        <v>PFE</v>
      </c>
      <c r="C1186" s="1">
        <v>88</v>
      </c>
      <c r="F1186" s="257">
        <v>44848166</v>
      </c>
      <c r="G1186" s="257">
        <v>45033121</v>
      </c>
      <c r="H1186" s="257">
        <v>50320444</v>
      </c>
      <c r="I1186" s="257">
        <v>54598091</v>
      </c>
      <c r="J1186" s="257">
        <v>56111842</v>
      </c>
      <c r="K1186" s="257">
        <v>58197154</v>
      </c>
      <c r="L1186" s="257">
        <v>58317923</v>
      </c>
      <c r="M1186" s="257">
        <v>59027353</v>
      </c>
      <c r="N1186" s="257">
        <v>59027353</v>
      </c>
      <c r="O1186" s="257">
        <v>60464709</v>
      </c>
      <c r="P1186" s="257">
        <v>60309259</v>
      </c>
      <c r="Q1186" s="257">
        <v>60690288</v>
      </c>
      <c r="R1186" s="257">
        <v>61280444</v>
      </c>
      <c r="S1186" s="257">
        <v>61584678</v>
      </c>
      <c r="T1186" s="257">
        <v>59933624</v>
      </c>
      <c r="U1186" s="257">
        <v>59337490</v>
      </c>
      <c r="V1186" s="257">
        <v>58686136</v>
      </c>
      <c r="W1186" s="257">
        <v>58686136</v>
      </c>
      <c r="X1186" s="257">
        <v>58778589</v>
      </c>
      <c r="Y1186" s="257">
        <v>58770627</v>
      </c>
      <c r="Z1186" s="249">
        <f ca="1">[1]ExtEntry!$Q88</f>
        <v>58770627</v>
      </c>
      <c r="AB1186" s="320">
        <v>0</v>
      </c>
      <c r="AC1186" s="320">
        <v>0</v>
      </c>
      <c r="AD1186" s="320">
        <v>0</v>
      </c>
      <c r="AE1186" s="320">
        <v>0</v>
      </c>
      <c r="AF1186" s="320">
        <v>0</v>
      </c>
      <c r="AG1186" s="320">
        <v>0</v>
      </c>
      <c r="AH1186" s="320">
        <v>0</v>
      </c>
      <c r="AI1186" s="320">
        <v>0</v>
      </c>
      <c r="AJ1186" s="320">
        <v>0</v>
      </c>
      <c r="AK1186" s="320">
        <v>0</v>
      </c>
      <c r="AL1186" s="320">
        <v>0</v>
      </c>
      <c r="AM1186" s="320">
        <v>0</v>
      </c>
      <c r="AN1186" s="320">
        <v>0</v>
      </c>
      <c r="AO1186" s="320">
        <v>0</v>
      </c>
      <c r="AP1186" s="320">
        <v>0</v>
      </c>
      <c r="AQ1186" s="320">
        <v>0</v>
      </c>
      <c r="AR1186" s="320">
        <v>0</v>
      </c>
      <c r="AS1186" s="320">
        <v>0</v>
      </c>
      <c r="AT1186" s="320">
        <v>0</v>
      </c>
      <c r="AU1186" s="320">
        <v>0</v>
      </c>
      <c r="AV1186" s="320">
        <f ca="1">Calc!BG88</f>
        <v>0</v>
      </c>
      <c r="AX1186" s="88" t="str">
        <f t="shared" ca="1" si="98"/>
        <v>PFE</v>
      </c>
    </row>
    <row r="1187" spans="1:50" hidden="1">
      <c r="A1187" s="88" t="str">
        <f t="shared" ca="1" si="97"/>
        <v>RIG</v>
      </c>
      <c r="C1187" s="1">
        <v>89</v>
      </c>
      <c r="F1187" s="257">
        <v>36810626</v>
      </c>
      <c r="G1187" s="257">
        <v>38006029</v>
      </c>
      <c r="H1187" s="257">
        <v>39435910</v>
      </c>
      <c r="I1187" s="257">
        <v>40570988</v>
      </c>
      <c r="J1187" s="257">
        <v>41247391</v>
      </c>
      <c r="K1187" s="257">
        <v>43376033</v>
      </c>
      <c r="L1187" s="257">
        <v>44152522</v>
      </c>
      <c r="M1187" s="257">
        <v>45224643</v>
      </c>
      <c r="N1187" s="257">
        <v>45224643</v>
      </c>
      <c r="O1187" s="257">
        <v>47313741</v>
      </c>
      <c r="P1187" s="257">
        <v>47957275</v>
      </c>
      <c r="Q1187" s="257">
        <v>49712705</v>
      </c>
      <c r="R1187" s="257">
        <v>51413296</v>
      </c>
      <c r="S1187" s="257">
        <v>53201142</v>
      </c>
      <c r="T1187" s="257">
        <v>54180957</v>
      </c>
      <c r="U1187" s="257">
        <v>54578074</v>
      </c>
      <c r="V1187" s="257">
        <v>55944596</v>
      </c>
      <c r="W1187" s="257">
        <v>55944596</v>
      </c>
      <c r="X1187" s="257">
        <v>57737837</v>
      </c>
      <c r="Y1187" s="257">
        <v>61973309</v>
      </c>
      <c r="Z1187" s="249">
        <f ca="1">[1]ExtEntry!$Q89</f>
        <v>61973309</v>
      </c>
      <c r="AB1187" s="320">
        <v>-141684.67499999999</v>
      </c>
      <c r="AC1187" s="320">
        <v>-141684.67499999999</v>
      </c>
      <c r="AD1187" s="320">
        <v>-141684.67499999999</v>
      </c>
      <c r="AE1187" s="320">
        <v>-141684.67499999999</v>
      </c>
      <c r="AF1187" s="320">
        <v>-141684.67499999999</v>
      </c>
      <c r="AG1187" s="320">
        <v>-141682.666</v>
      </c>
      <c r="AH1187" s="320">
        <v>-141682.666</v>
      </c>
      <c r="AI1187" s="320">
        <v>-141682.666</v>
      </c>
      <c r="AJ1187" s="320">
        <v>-141682.666</v>
      </c>
      <c r="AK1187" s="320">
        <v>-141682.666</v>
      </c>
      <c r="AL1187" s="320">
        <v>-141682.666</v>
      </c>
      <c r="AM1187" s="320">
        <v>-141682.666</v>
      </c>
      <c r="AN1187" s="320">
        <v>-141682.666</v>
      </c>
      <c r="AO1187" s="320">
        <v>-141682.666</v>
      </c>
      <c r="AP1187" s="320">
        <v>-141682.666</v>
      </c>
      <c r="AQ1187" s="320">
        <v>-141682.666</v>
      </c>
      <c r="AR1187" s="320">
        <v>-141682.666</v>
      </c>
      <c r="AS1187" s="320">
        <v>-141682.666</v>
      </c>
      <c r="AT1187" s="320">
        <v>-141682.666</v>
      </c>
      <c r="AU1187" s="320">
        <v>-141682.666</v>
      </c>
      <c r="AV1187" s="320">
        <f ca="1">Calc!BG89</f>
        <v>-141682.666</v>
      </c>
      <c r="AX1187" s="88" t="str">
        <f t="shared" ca="1" si="98"/>
        <v>RIG</v>
      </c>
    </row>
    <row r="1188" spans="1:50">
      <c r="A1188" s="88" t="str">
        <f t="shared" ca="1" si="97"/>
        <v>RRC</v>
      </c>
      <c r="C1188" s="1">
        <v>90</v>
      </c>
      <c r="F1188" s="257">
        <v>3064191</v>
      </c>
      <c r="G1188" s="257">
        <v>3098379</v>
      </c>
      <c r="H1188" s="257">
        <v>3122506</v>
      </c>
      <c r="I1188" s="257">
        <v>3187781</v>
      </c>
      <c r="J1188" s="257">
        <v>3171457</v>
      </c>
      <c r="K1188" s="257">
        <v>3213235</v>
      </c>
      <c r="L1188" s="257">
        <v>3242312</v>
      </c>
      <c r="M1188" s="257">
        <v>3277655</v>
      </c>
      <c r="N1188" s="257">
        <v>3277655</v>
      </c>
      <c r="O1188" s="257">
        <v>3266074</v>
      </c>
      <c r="P1188" s="257">
        <v>3202824</v>
      </c>
      <c r="Q1188" s="257">
        <v>3193696</v>
      </c>
      <c r="R1188" s="257">
        <v>3206013</v>
      </c>
      <c r="S1188" s="257">
        <v>3184227</v>
      </c>
      <c r="T1188" s="257">
        <v>3151081</v>
      </c>
      <c r="U1188" s="257">
        <v>3130639</v>
      </c>
      <c r="V1188" s="257">
        <v>3072657</v>
      </c>
      <c r="W1188" s="257">
        <v>3072657</v>
      </c>
      <c r="X1188" s="257">
        <v>3056937</v>
      </c>
      <c r="Y1188" s="257">
        <v>3128133</v>
      </c>
      <c r="Z1188" s="249">
        <f ca="1">[1]ExtEntry!$Q90</f>
        <v>3128133</v>
      </c>
      <c r="AB1188" s="320">
        <v>0</v>
      </c>
      <c r="AC1188" s="320">
        <v>0</v>
      </c>
      <c r="AD1188" s="320">
        <v>0</v>
      </c>
      <c r="AE1188" s="320">
        <v>0</v>
      </c>
      <c r="AF1188" s="320">
        <v>0</v>
      </c>
      <c r="AG1188" s="320">
        <v>0</v>
      </c>
      <c r="AH1188" s="320">
        <v>0</v>
      </c>
      <c r="AI1188" s="320">
        <v>0</v>
      </c>
      <c r="AJ1188" s="320">
        <v>0</v>
      </c>
      <c r="AK1188" s="320">
        <v>0</v>
      </c>
      <c r="AL1188" s="320">
        <v>0</v>
      </c>
      <c r="AM1188" s="320">
        <v>0</v>
      </c>
      <c r="AN1188" s="320">
        <v>0</v>
      </c>
      <c r="AO1188" s="320">
        <v>0</v>
      </c>
      <c r="AP1188" s="320">
        <v>0</v>
      </c>
      <c r="AQ1188" s="320">
        <v>0</v>
      </c>
      <c r="AR1188" s="320">
        <v>0</v>
      </c>
      <c r="AS1188" s="320">
        <v>0</v>
      </c>
      <c r="AT1188" s="320">
        <v>0</v>
      </c>
      <c r="AU1188" s="320">
        <v>0</v>
      </c>
      <c r="AV1188" s="320">
        <f ca="1">Calc!BG90</f>
        <v>0</v>
      </c>
      <c r="AX1188" s="88" t="str">
        <f t="shared" ca="1" si="98"/>
        <v>RRC</v>
      </c>
    </row>
    <row r="1189" spans="1:50">
      <c r="A1189" s="88" t="str">
        <f t="shared" ca="1" si="97"/>
        <v>XYZ</v>
      </c>
      <c r="C1189" s="1">
        <v>91</v>
      </c>
      <c r="F1189" s="249">
        <v>5996665</v>
      </c>
      <c r="G1189" s="249">
        <v>5804739</v>
      </c>
      <c r="H1189" s="249">
        <v>5856294</v>
      </c>
      <c r="I1189" s="249">
        <v>5916790</v>
      </c>
      <c r="J1189" s="249">
        <v>6069926</v>
      </c>
      <c r="K1189" s="249">
        <v>6064344</v>
      </c>
      <c r="L1189" s="249">
        <v>6008918</v>
      </c>
      <c r="M1189" s="249">
        <v>6050915</v>
      </c>
      <c r="N1189" s="249">
        <v>6050915</v>
      </c>
      <c r="O1189" s="249">
        <v>6187125</v>
      </c>
      <c r="P1189" s="249">
        <v>6194814</v>
      </c>
      <c r="Q1189" s="249">
        <v>6237893</v>
      </c>
      <c r="R1189" s="249">
        <v>6154543</v>
      </c>
      <c r="S1189" s="249">
        <v>6210284</v>
      </c>
      <c r="T1189" s="249">
        <v>6202101</v>
      </c>
      <c r="U1189" s="249">
        <v>6124635</v>
      </c>
      <c r="V1189" s="249">
        <v>6078645</v>
      </c>
      <c r="W1189" s="249">
        <v>6078645</v>
      </c>
      <c r="X1189" s="249">
        <v>6051166</v>
      </c>
      <c r="Y1189" s="249">
        <v>6021253</v>
      </c>
      <c r="Z1189" s="249">
        <f ca="1">[1]ExtEntry!$Q91</f>
        <v>6021253</v>
      </c>
      <c r="AB1189" s="320">
        <v>-89050.648750000037</v>
      </c>
      <c r="AC1189" s="320">
        <v>-89050.648750000037</v>
      </c>
      <c r="AD1189" s="320">
        <v>-89050.648750000037</v>
      </c>
      <c r="AE1189" s="320">
        <v>-89050.648750000037</v>
      </c>
      <c r="AF1189" s="320">
        <v>-89050.648750000037</v>
      </c>
      <c r="AG1189" s="320">
        <v>-89038.818700000033</v>
      </c>
      <c r="AH1189" s="320">
        <v>-89038.818700000033</v>
      </c>
      <c r="AI1189" s="320">
        <v>-89038.818700000033</v>
      </c>
      <c r="AJ1189" s="320">
        <v>-89038.818700000033</v>
      </c>
      <c r="AK1189" s="320">
        <v>-89038.818700000033</v>
      </c>
      <c r="AL1189" s="320">
        <v>-89038.818700000033</v>
      </c>
      <c r="AM1189" s="320">
        <v>-89038.818700000033</v>
      </c>
      <c r="AN1189" s="320">
        <v>-89038.818700000033</v>
      </c>
      <c r="AO1189" s="320">
        <v>-89038.818700000033</v>
      </c>
      <c r="AP1189" s="320">
        <v>-89038.818700000033</v>
      </c>
      <c r="AQ1189" s="320">
        <v>-89038.818700000033</v>
      </c>
      <c r="AR1189" s="320">
        <v>-89038.818700000033</v>
      </c>
      <c r="AS1189" s="320">
        <v>-89038.818700000033</v>
      </c>
      <c r="AT1189" s="320">
        <v>-89038.818700000033</v>
      </c>
      <c r="AU1189" s="320">
        <v>-89038.818700000033</v>
      </c>
      <c r="AV1189" s="320">
        <f ca="1">Calc!BG91</f>
        <v>-89038.818700000033</v>
      </c>
      <c r="AX1189" s="88" t="str">
        <f t="shared" ca="1" si="98"/>
        <v>XYZ</v>
      </c>
    </row>
    <row r="1190" spans="1:50">
      <c r="A1190" s="88" t="str">
        <f t="shared" ca="1" si="97"/>
        <v>THC</v>
      </c>
      <c r="C1190" s="1">
        <v>92</v>
      </c>
      <c r="F1190" s="257">
        <v>1175292</v>
      </c>
      <c r="G1190" s="257">
        <v>1178582</v>
      </c>
      <c r="H1190" s="257">
        <v>1172160</v>
      </c>
      <c r="I1190" s="257">
        <v>1183303</v>
      </c>
      <c r="J1190" s="257">
        <v>1165694</v>
      </c>
      <c r="K1190" s="257">
        <v>1150177</v>
      </c>
      <c r="L1190" s="257">
        <v>1139371</v>
      </c>
      <c r="M1190" s="257">
        <v>1146052</v>
      </c>
      <c r="N1190" s="257">
        <v>1146052</v>
      </c>
      <c r="O1190" s="257">
        <v>1149343</v>
      </c>
      <c r="P1190" s="257">
        <v>1136227</v>
      </c>
      <c r="Q1190" s="257">
        <v>1130361</v>
      </c>
      <c r="R1190" s="257">
        <v>1091796</v>
      </c>
      <c r="S1190" s="257">
        <v>1047339</v>
      </c>
      <c r="T1190" s="257">
        <v>1042209</v>
      </c>
      <c r="U1190" s="257">
        <v>1000389</v>
      </c>
      <c r="V1190" s="257">
        <v>978709</v>
      </c>
      <c r="W1190" s="257">
        <v>978709</v>
      </c>
      <c r="X1190" s="257">
        <v>984540</v>
      </c>
      <c r="Y1190" s="257">
        <v>986264</v>
      </c>
      <c r="Z1190" s="249">
        <f ca="1">[1]ExtEntry!$Q92</f>
        <v>986264</v>
      </c>
      <c r="AB1190" s="320">
        <v>-58631.802000000011</v>
      </c>
      <c r="AC1190" s="320">
        <v>-58631.802000000011</v>
      </c>
      <c r="AD1190" s="320">
        <v>-58631.802000000011</v>
      </c>
      <c r="AE1190" s="320">
        <v>-58631.802000000011</v>
      </c>
      <c r="AF1190" s="320">
        <v>-58631.802000000011</v>
      </c>
      <c r="AG1190" s="320">
        <v>0</v>
      </c>
      <c r="AH1190" s="320">
        <v>0</v>
      </c>
      <c r="AI1190" s="320">
        <v>0</v>
      </c>
      <c r="AJ1190" s="320">
        <v>0</v>
      </c>
      <c r="AK1190" s="320">
        <v>0</v>
      </c>
      <c r="AL1190" s="320">
        <v>0</v>
      </c>
      <c r="AM1190" s="320">
        <v>0</v>
      </c>
      <c r="AN1190" s="320">
        <v>0</v>
      </c>
      <c r="AO1190" s="320">
        <v>0</v>
      </c>
      <c r="AP1190" s="320">
        <v>0</v>
      </c>
      <c r="AQ1190" s="320">
        <v>0</v>
      </c>
      <c r="AR1190" s="320">
        <v>0</v>
      </c>
      <c r="AS1190" s="320">
        <v>0</v>
      </c>
      <c r="AT1190" s="320">
        <v>0</v>
      </c>
      <c r="AU1190" s="320">
        <v>0</v>
      </c>
      <c r="AV1190" s="320">
        <f ca="1">Calc!BG92</f>
        <v>0</v>
      </c>
      <c r="AX1190" s="88" t="str">
        <f t="shared" ca="1" si="98"/>
        <v>THC</v>
      </c>
    </row>
    <row r="1191" spans="1:50">
      <c r="A1191" s="88" t="str">
        <f t="shared" ca="1" si="97"/>
        <v>X</v>
      </c>
      <c r="C1191" s="1">
        <v>93</v>
      </c>
      <c r="F1191" s="249">
        <v>12153533</v>
      </c>
      <c r="G1191" s="249">
        <v>12153533</v>
      </c>
      <c r="H1191" s="249">
        <v>12153533</v>
      </c>
      <c r="I1191" s="249">
        <v>12153533</v>
      </c>
      <c r="J1191" s="249">
        <v>12153533</v>
      </c>
      <c r="K1191" s="249">
        <v>12153533</v>
      </c>
      <c r="L1191" s="249">
        <v>12153533</v>
      </c>
      <c r="M1191" s="249">
        <v>12153533</v>
      </c>
      <c r="N1191" s="249">
        <v>12153533</v>
      </c>
      <c r="O1191" s="249">
        <v>12153533</v>
      </c>
      <c r="P1191" s="249">
        <v>12153533</v>
      </c>
      <c r="Q1191" s="249">
        <v>12153533</v>
      </c>
      <c r="R1191" s="249">
        <v>12153533</v>
      </c>
      <c r="S1191" s="249">
        <v>12153533</v>
      </c>
      <c r="T1191" s="249">
        <v>12153533</v>
      </c>
      <c r="U1191" s="249">
        <v>12153533</v>
      </c>
      <c r="V1191" s="249">
        <v>12153533</v>
      </c>
      <c r="W1191" s="249">
        <v>12153533</v>
      </c>
      <c r="X1191" s="249">
        <v>12153533</v>
      </c>
      <c r="Y1191" s="249">
        <v>12153533</v>
      </c>
      <c r="Z1191" s="249">
        <f ca="1">[1]ExtEntry!$Q93</f>
        <v>12153533</v>
      </c>
      <c r="AB1191" s="320">
        <v>0</v>
      </c>
      <c r="AC1191" s="320">
        <v>0</v>
      </c>
      <c r="AD1191" s="320">
        <v>0</v>
      </c>
      <c r="AE1191" s="320">
        <v>0</v>
      </c>
      <c r="AF1191" s="320">
        <v>0</v>
      </c>
      <c r="AG1191" s="320">
        <v>0</v>
      </c>
      <c r="AH1191" s="320">
        <v>0</v>
      </c>
      <c r="AI1191" s="320">
        <v>0</v>
      </c>
      <c r="AJ1191" s="320">
        <v>0</v>
      </c>
      <c r="AK1191" s="320">
        <v>0</v>
      </c>
      <c r="AL1191" s="320">
        <v>0</v>
      </c>
      <c r="AM1191" s="320">
        <v>0</v>
      </c>
      <c r="AN1191" s="320">
        <v>0</v>
      </c>
      <c r="AO1191" s="320">
        <v>0</v>
      </c>
      <c r="AP1191" s="320">
        <v>0</v>
      </c>
      <c r="AQ1191" s="320">
        <v>0</v>
      </c>
      <c r="AR1191" s="320">
        <v>0</v>
      </c>
      <c r="AS1191" s="320">
        <v>0</v>
      </c>
      <c r="AT1191" s="320">
        <v>0</v>
      </c>
      <c r="AU1191" s="320">
        <v>0</v>
      </c>
      <c r="AV1191" s="320">
        <f ca="1">Calc!BG93</f>
        <v>0</v>
      </c>
      <c r="AX1191" s="88" t="str">
        <f t="shared" ca="1" si="98"/>
        <v>X</v>
      </c>
    </row>
    <row r="1192" spans="1:50">
      <c r="A1192" s="88" t="str">
        <f t="shared" ca="1" si="97"/>
        <v>JBEOAN</v>
      </c>
      <c r="C1192" s="1">
        <v>94</v>
      </c>
      <c r="F1192" s="249" t="e" vm="411">
        <v>#VALUE!</v>
      </c>
      <c r="G1192" s="249" t="e" vm="411">
        <v>#VALUE!</v>
      </c>
      <c r="H1192" s="249" t="e" vm="411">
        <v>#VALUE!</v>
      </c>
      <c r="I1192" s="249" t="e" vm="411">
        <v>#VALUE!</v>
      </c>
      <c r="J1192" s="249" t="e" vm="411">
        <v>#VALUE!</v>
      </c>
      <c r="K1192" s="249" t="e" vm="411">
        <v>#VALUE!</v>
      </c>
      <c r="L1192" s="249" t="e" vm="411">
        <v>#VALUE!</v>
      </c>
      <c r="M1192" s="249" t="e" vm="411">
        <v>#VALUE!</v>
      </c>
      <c r="N1192" s="249" t="e" vm="411">
        <v>#VALUE!</v>
      </c>
      <c r="O1192" s="249" t="e" vm="411">
        <v>#VALUE!</v>
      </c>
      <c r="P1192" s="249" t="e" vm="411">
        <v>#VALUE!</v>
      </c>
      <c r="Q1192" s="249" t="e" vm="411">
        <v>#VALUE!</v>
      </c>
      <c r="R1192" s="249" t="e" vm="411">
        <v>#VALUE!</v>
      </c>
      <c r="S1192" s="249" t="e" vm="411">
        <v>#VALUE!</v>
      </c>
      <c r="T1192" s="249" t="e" vm="411">
        <v>#VALUE!</v>
      </c>
      <c r="U1192" s="249" t="e" vm="411">
        <v>#VALUE!</v>
      </c>
      <c r="V1192" s="249" t="e" vm="411">
        <v>#VALUE!</v>
      </c>
      <c r="W1192" s="249" t="e" vm="411">
        <v>#VALUE!</v>
      </c>
      <c r="X1192" s="249" t="e" vm="411">
        <v>#VALUE!</v>
      </c>
      <c r="Y1192" s="249" t="e" vm="411">
        <v>#VALUE!</v>
      </c>
      <c r="Z1192" s="249">
        <f ca="1">[1]ExtEntry!$Q94</f>
        <v>3151380</v>
      </c>
      <c r="AB1192" s="320">
        <v>1029.2849999999744</v>
      </c>
      <c r="AC1192" s="320">
        <v>1029.2849999999744</v>
      </c>
      <c r="AD1192" s="320">
        <v>1029.2849999999744</v>
      </c>
      <c r="AE1192" s="320">
        <v>1029.2849999999744</v>
      </c>
      <c r="AF1192" s="320">
        <v>1029.2849999999744</v>
      </c>
      <c r="AG1192" s="320">
        <v>1070.4563999999664</v>
      </c>
      <c r="AH1192" s="320">
        <v>1070.4563999999664</v>
      </c>
      <c r="AI1192" s="320">
        <v>1070.4563999999664</v>
      </c>
      <c r="AJ1192" s="320">
        <v>1070.4563999999664</v>
      </c>
      <c r="AK1192" s="320">
        <v>1070.4563999999664</v>
      </c>
      <c r="AL1192" s="320">
        <v>1070.4563999999664</v>
      </c>
      <c r="AM1192" s="320">
        <v>1070.4563999999664</v>
      </c>
      <c r="AN1192" s="320">
        <v>1070.4563999999664</v>
      </c>
      <c r="AO1192" s="320">
        <v>1070.4563999999664</v>
      </c>
      <c r="AP1192" s="320">
        <v>1070.4563999999664</v>
      </c>
      <c r="AQ1192" s="320">
        <v>1070.4563999999664</v>
      </c>
      <c r="AR1192" s="320">
        <v>1070.4563999999664</v>
      </c>
      <c r="AS1192" s="320">
        <v>1070.4563999999664</v>
      </c>
      <c r="AT1192" s="320">
        <v>1070.4563999999664</v>
      </c>
      <c r="AU1192" s="320">
        <v>1070.4563999999664</v>
      </c>
      <c r="AV1192" s="320">
        <f ca="1">Calc!BG94</f>
        <v>0</v>
      </c>
      <c r="AX1192" s="88" t="str">
        <f t="shared" ca="1" si="98"/>
        <v>JBEOAN</v>
      </c>
    </row>
    <row r="1193" spans="1:50">
      <c r="A1193" s="88" t="str">
        <f t="shared" si="97"/>
        <v>LOCK</v>
      </c>
      <c r="C1193" s="1">
        <v>95</v>
      </c>
      <c r="F1193" s="249">
        <v>897690</v>
      </c>
      <c r="G1193" s="249">
        <v>897690</v>
      </c>
      <c r="H1193" s="249">
        <v>863620</v>
      </c>
      <c r="I1193" s="249">
        <v>837090</v>
      </c>
      <c r="J1193" s="249">
        <v>837090</v>
      </c>
      <c r="K1193" s="249">
        <v>693400</v>
      </c>
      <c r="L1193" s="249">
        <v>682760</v>
      </c>
      <c r="M1193" s="264">
        <v>673480</v>
      </c>
      <c r="N1193" s="249">
        <v>702000</v>
      </c>
      <c r="O1193" s="249">
        <v>766660</v>
      </c>
      <c r="P1193" s="249">
        <v>766660</v>
      </c>
      <c r="Q1193" s="249">
        <v>804760</v>
      </c>
      <c r="R1193" s="249">
        <v>804760</v>
      </c>
      <c r="S1193" s="249">
        <v>839280</v>
      </c>
      <c r="T1193" s="249">
        <v>839280</v>
      </c>
      <c r="U1193" s="249">
        <v>839280</v>
      </c>
      <c r="V1193" s="249">
        <v>812200</v>
      </c>
      <c r="W1193" s="249">
        <v>812200</v>
      </c>
      <c r="X1193" s="264">
        <v>794970</v>
      </c>
      <c r="Y1193" s="249">
        <v>794970</v>
      </c>
      <c r="Z1193" s="249" t="e" vm="412">
        <f>[1]ExtEntry!$Q95</f>
        <v>#VALUE!</v>
      </c>
      <c r="AB1193" s="320">
        <v>904.67499999998836</v>
      </c>
      <c r="AC1193" s="320">
        <v>0</v>
      </c>
      <c r="AD1193" s="320">
        <v>0</v>
      </c>
      <c r="AE1193" s="320">
        <v>0</v>
      </c>
      <c r="AF1193" s="320">
        <v>0</v>
      </c>
      <c r="AG1193" s="320">
        <v>0</v>
      </c>
      <c r="AH1193" s="320">
        <v>0</v>
      </c>
      <c r="AI1193" s="320">
        <v>0</v>
      </c>
      <c r="AJ1193" s="320">
        <v>0</v>
      </c>
      <c r="AK1193" s="320">
        <v>0</v>
      </c>
      <c r="AL1193" s="320">
        <v>0</v>
      </c>
      <c r="AM1193" s="320">
        <v>0</v>
      </c>
      <c r="AN1193" s="320">
        <v>0</v>
      </c>
      <c r="AO1193" s="320">
        <v>0</v>
      </c>
      <c r="AP1193" s="320">
        <v>0</v>
      </c>
      <c r="AQ1193" s="320">
        <v>0</v>
      </c>
      <c r="AR1193" s="320">
        <v>0</v>
      </c>
      <c r="AS1193" s="320">
        <v>0</v>
      </c>
      <c r="AT1193" s="320">
        <v>0</v>
      </c>
      <c r="AU1193" s="320">
        <v>0</v>
      </c>
      <c r="AV1193" s="320">
        <f ca="1">Calc!BG95</f>
        <v>1070.4563999999664</v>
      </c>
      <c r="AX1193" s="88" t="str">
        <f t="shared" si="98"/>
        <v>LOCK</v>
      </c>
    </row>
    <row r="1194" spans="1:50">
      <c r="A1194" s="88" t="str">
        <f t="shared" si="97"/>
        <v>Total</v>
      </c>
      <c r="C1194" s="1">
        <v>96</v>
      </c>
      <c r="F1194" s="249">
        <v>4685020</v>
      </c>
      <c r="G1194" s="249">
        <v>4685020</v>
      </c>
      <c r="H1194" s="249">
        <v>4489660</v>
      </c>
      <c r="I1194" s="249">
        <v>4375670</v>
      </c>
      <c r="J1194" s="249">
        <v>4331040</v>
      </c>
      <c r="K1194" s="249">
        <v>2868980</v>
      </c>
      <c r="L1194" s="249">
        <v>2852110</v>
      </c>
      <c r="M1194" s="249">
        <v>2845370</v>
      </c>
      <c r="N1194" s="249">
        <v>2939820</v>
      </c>
      <c r="O1194" s="249">
        <v>3003030</v>
      </c>
      <c r="P1194" s="249">
        <v>3003030</v>
      </c>
      <c r="Q1194" s="249">
        <v>3101550</v>
      </c>
      <c r="R1194" s="249">
        <v>3019760</v>
      </c>
      <c r="S1194" s="249">
        <v>2873040</v>
      </c>
      <c r="T1194" s="249">
        <v>3038990</v>
      </c>
      <c r="U1194" s="249">
        <v>3038990</v>
      </c>
      <c r="V1194" s="249">
        <v>3152510</v>
      </c>
      <c r="W1194" s="249">
        <v>3152510</v>
      </c>
      <c r="X1194" s="249">
        <v>3081430</v>
      </c>
      <c r="Y1194" s="249">
        <v>3081430</v>
      </c>
      <c r="Z1194" s="249" t="e" vm="412">
        <f ca="1">[1]ExtEntry!$Q96</f>
        <v>#VALUE!</v>
      </c>
      <c r="AB1194" s="320">
        <v>0</v>
      </c>
      <c r="AC1194" s="320">
        <v>0</v>
      </c>
      <c r="AD1194" s="320">
        <v>0</v>
      </c>
      <c r="AE1194" s="320">
        <v>0</v>
      </c>
      <c r="AF1194" s="320">
        <v>0</v>
      </c>
      <c r="AG1194" s="320">
        <v>0</v>
      </c>
      <c r="AH1194" s="320">
        <v>0</v>
      </c>
      <c r="AI1194" s="320">
        <v>0</v>
      </c>
      <c r="AJ1194" s="320">
        <v>0</v>
      </c>
      <c r="AK1194" s="320">
        <v>0</v>
      </c>
      <c r="AL1194" s="320">
        <v>0</v>
      </c>
      <c r="AM1194" s="320">
        <v>0</v>
      </c>
      <c r="AN1194" s="320">
        <v>0</v>
      </c>
      <c r="AO1194" s="320">
        <v>0</v>
      </c>
      <c r="AP1194" s="320">
        <v>0</v>
      </c>
      <c r="AQ1194" s="320">
        <v>0</v>
      </c>
      <c r="AR1194" s="320">
        <v>0</v>
      </c>
      <c r="AS1194" s="320">
        <v>0</v>
      </c>
      <c r="AT1194" s="320">
        <v>0</v>
      </c>
      <c r="AU1194" s="320">
        <v>0</v>
      </c>
      <c r="AV1194" s="320" t="e">
        <f ca="1">Calc!BG96</f>
        <v>#VALUE!</v>
      </c>
      <c r="AX1194" s="88" t="str">
        <f t="shared" si="98"/>
        <v>Total</v>
      </c>
    </row>
    <row r="1195" spans="1:50">
      <c r="A1195" s="88"/>
      <c r="J1195"/>
      <c r="K1195"/>
      <c r="L1195"/>
      <c r="M1195"/>
      <c r="O1195"/>
      <c r="P1195"/>
      <c r="R1195"/>
      <c r="W1195"/>
      <c r="X1195"/>
      <c r="AX1195" s="88"/>
    </row>
    <row r="1196" spans="1:50">
      <c r="A1196" s="88"/>
      <c r="J1196"/>
      <c r="K1196"/>
      <c r="L1196"/>
      <c r="M1196"/>
      <c r="O1196"/>
      <c r="P1196"/>
      <c r="R1196"/>
      <c r="W1196"/>
      <c r="X1196"/>
      <c r="AX1196" s="88"/>
    </row>
    <row r="1197" spans="1:50" ht="26">
      <c r="A1197" s="88"/>
      <c r="E1197" s="1264"/>
      <c r="F1197" s="112"/>
      <c r="G1197" s="112"/>
      <c r="H1197" s="112"/>
      <c r="I1197" s="112"/>
      <c r="J1197" s="112"/>
      <c r="K1197" s="112"/>
      <c r="L1197" s="112"/>
      <c r="M1197" s="112"/>
      <c r="N1197" s="112"/>
      <c r="O1197" s="112"/>
      <c r="P1197" s="112"/>
      <c r="Q1197" s="112"/>
      <c r="R1197" s="112"/>
      <c r="S1197" s="112"/>
      <c r="T1197" s="112"/>
      <c r="U1197" s="112"/>
      <c r="V1197" s="112"/>
      <c r="W1197" s="112"/>
      <c r="X1197" s="112"/>
      <c r="Y1197" s="112"/>
      <c r="Z1197" s="112"/>
      <c r="AB1197" s="93" cm="1">
        <f t="array" aca="1" ref="AB1197" ca="1">_xlfn.XLOOKUP(DataShiftChartTicker,ListTickers,Tab2RevSale[RevSale0])</f>
        <v>-1780.0000000000182</v>
      </c>
      <c r="AC1197" s="93" cm="1">
        <f t="array" aca="1" ref="AC1197" ca="1">_xlfn.XLOOKUP(DataShiftChartTicker,ListTickers,Tab2RevSale[RevSale1])</f>
        <v>28320.000000000007</v>
      </c>
      <c r="AD1197" s="93" cm="1">
        <f t="array" aca="1" ref="AD1197" ca="1">_xlfn.XLOOKUP(DataShiftChartTicker,ListTickers,Tab2RevSale[RevSale2])</f>
        <v>29970</v>
      </c>
      <c r="AE1197" s="93" t="e" cm="1">
        <f t="array" aca="1" ref="AE1197" ca="1">_xlfn.XLOOKUP(DataShiftChartTicker,AF1197,Tab2RevSale[RevSale3])</f>
        <v>#N/A</v>
      </c>
      <c r="AF1197" s="93" cm="1">
        <f t="array" aca="1" ref="AF1197" ca="1">_xlfn.XLOOKUP(DataShiftChartTicker,ListTickers,Tab2RevSale[RevSale4])</f>
        <v>30885.000000000004</v>
      </c>
      <c r="AG1197" s="93" cm="1">
        <f t="array" aca="1" ref="AG1197" ca="1">_xlfn.XLOOKUP(DataShiftChartTicker,ListTickers,Tab2RevSale[RevSale5])</f>
        <v>30989.999999999996</v>
      </c>
      <c r="AH1197" s="93" cm="1">
        <f t="array" aca="1" ref="AH1197" ca="1">_xlfn.XLOOKUP(DataShiftChartTicker,ListTickers,Tab2RevSale[RevSale6])</f>
        <v>32439.999999999996</v>
      </c>
      <c r="AI1197" s="93" cm="1">
        <f t="array" aca="1" ref="AI1197" ca="1">_xlfn.XLOOKUP(DataShiftChartTicker,ListTickers,Tab2RevSale[RevSale7])</f>
        <v>29260.000000000004</v>
      </c>
      <c r="AJ1197" s="93" cm="1">
        <f t="array" aca="1" ref="AJ1197" ca="1">_xlfn.XLOOKUP(DataShiftChartTicker,ListTickers,Tab2RevSale[RevSale8])</f>
        <v>29239.999999999996</v>
      </c>
      <c r="AK1197" s="93" cm="1">
        <f t="array" aca="1" ref="AK1197" ca="1">_xlfn.XLOOKUP(DataShiftChartTicker,ListTickers,Tab2RevSale[RevSale9])</f>
        <v>33430.000000000007</v>
      </c>
      <c r="AL1197" s="93" cm="1">
        <f t="array" aca="1" ref="AL1197" ca="1">_xlfn.XLOOKUP(DataShiftChartTicker,ListTickers,Tab2RevSale[RevSale10])</f>
        <v>34570.000000000007</v>
      </c>
      <c r="AM1197" s="93" cm="1">
        <f t="array" aca="1" ref="AM1197" ca="1">_xlfn.XLOOKUP(DataShiftChartTicker,ListTickers,Tab2RevSale[RevSale11])</f>
        <v>37670</v>
      </c>
      <c r="AN1197" s="93" cm="1">
        <f t="array" aca="1" ref="AN1197" ca="1">_xlfn.XLOOKUP(DataShiftChartTicker,ListTickers,Tab2RevSale[RevSale12])</f>
        <v>42280</v>
      </c>
      <c r="AO1197" s="93" cm="1">
        <f t="array" aca="1" ref="AO1197" ca="1">_xlfn.XLOOKUP(DataShiftChartTicker,ListTickers,Tab2RevSale[RevSale13])</f>
        <v>34800</v>
      </c>
      <c r="AP1197" s="93" cm="1">
        <f t="array" aca="1" ref="AP1197" ca="1">_xlfn.XLOOKUP(DataShiftChartTicker,ListTickers,Tab2RevSale[RevSale14])</f>
        <v>38925</v>
      </c>
      <c r="AQ1197" s="93" cm="1">
        <f t="array" aca="1" ref="AQ1197" ca="1">_xlfn.XLOOKUP(DataShiftChartTicker,ListTickers,Tab2RevSale[RevSale15])</f>
        <v>-209.99999999997954</v>
      </c>
      <c r="AR1197" s="93" cm="1">
        <f t="array" aca="1" ref="AR1197" ca="1">_xlfn.XLOOKUP(DataShiftChartTicker,ListTickers,Tab2RevSale[RevSale16])</f>
        <v>1180.0000000000068</v>
      </c>
      <c r="AS1197" s="93" cm="1">
        <f t="array" aca="1" ref="AS1197" ca="1">_xlfn.XLOOKUP(DataShiftChartTicker,ListTickers,Tab2RevSale[RevSale17])</f>
        <v>1180.0000000000068</v>
      </c>
      <c r="AT1197" s="93" cm="1">
        <f t="array" aca="1" ref="AT1197" ca="1">_xlfn.XLOOKUP(DataShiftChartTicker,ListTickers,Tab2RevSale[RevSale18])</f>
        <v>4900.0000000000055</v>
      </c>
      <c r="AU1197" s="93" cm="1">
        <f t="array" aca="1" ref="AU1197" ca="1">_xlfn.XLOOKUP(DataShiftChartTicker,ListTickers,Tab2RevSale[RevSale19])</f>
        <v>-343.34000000001197</v>
      </c>
      <c r="AV1197" s="93" cm="1">
        <f t="array" aca="1" ref="AV1197" ca="1">_xlfn.XLOOKUP(DataShiftChartTicker,ListTickers,Tab2RevSale[RevSale20])</f>
        <v>-1095.0000000000273</v>
      </c>
      <c r="AX1197" s="88"/>
    </row>
    <row r="1198" spans="1:50">
      <c r="A1198" s="88"/>
      <c r="F1198" s="117">
        <f t="shared" ref="F1198:Z1198" ca="1" si="99">F1099</f>
        <v>45929</v>
      </c>
      <c r="G1198" s="117">
        <f t="shared" ca="1" si="99"/>
        <v>45930</v>
      </c>
      <c r="H1198" s="117">
        <f t="shared" ca="1" si="99"/>
        <v>45931</v>
      </c>
      <c r="I1198" s="117">
        <f t="shared" ca="1" si="99"/>
        <v>45932</v>
      </c>
      <c r="J1198" s="117">
        <f t="shared" ca="1" si="99"/>
        <v>45933</v>
      </c>
      <c r="K1198" s="117">
        <f t="shared" ca="1" si="99"/>
        <v>45936</v>
      </c>
      <c r="L1198" s="117">
        <f t="shared" ca="1" si="99"/>
        <v>45937</v>
      </c>
      <c r="M1198" s="117">
        <f t="shared" ca="1" si="99"/>
        <v>45938</v>
      </c>
      <c r="N1198" s="117">
        <f t="shared" ca="1" si="99"/>
        <v>45939</v>
      </c>
      <c r="O1198" s="117">
        <f t="shared" ca="1" si="99"/>
        <v>45940</v>
      </c>
      <c r="P1198" s="117">
        <f t="shared" ca="1" si="99"/>
        <v>45943</v>
      </c>
      <c r="Q1198" s="117">
        <f t="shared" ca="1" si="99"/>
        <v>45944</v>
      </c>
      <c r="R1198" s="117">
        <f t="shared" ca="1" si="99"/>
        <v>45945</v>
      </c>
      <c r="S1198" s="117">
        <f t="shared" ca="1" si="99"/>
        <v>45946</v>
      </c>
      <c r="T1198" s="117">
        <f t="shared" ca="1" si="99"/>
        <v>45947</v>
      </c>
      <c r="U1198" s="117">
        <f t="shared" ca="1" si="99"/>
        <v>45950</v>
      </c>
      <c r="V1198" s="117">
        <f t="shared" ca="1" si="99"/>
        <v>45951</v>
      </c>
      <c r="W1198" s="117">
        <f t="shared" ca="1" si="99"/>
        <v>45952</v>
      </c>
      <c r="X1198" s="117">
        <f t="shared" ca="1" si="99"/>
        <v>45953</v>
      </c>
      <c r="Y1198" s="117">
        <f t="shared" ca="1" si="99"/>
        <v>45954</v>
      </c>
      <c r="Z1198" s="117">
        <f t="shared" ca="1" si="99"/>
        <v>45956</v>
      </c>
      <c r="AB1198" s="117">
        <f t="shared" ref="AB1198:AV1198" ca="1" si="100">F1099</f>
        <v>45929</v>
      </c>
      <c r="AC1198" s="117">
        <f t="shared" ca="1" si="100"/>
        <v>45930</v>
      </c>
      <c r="AD1198" s="117">
        <f t="shared" ca="1" si="100"/>
        <v>45931</v>
      </c>
      <c r="AE1198" s="117">
        <f t="shared" ca="1" si="100"/>
        <v>45932</v>
      </c>
      <c r="AF1198" s="117">
        <f t="shared" ca="1" si="100"/>
        <v>45933</v>
      </c>
      <c r="AG1198" s="117">
        <f t="shared" ca="1" si="100"/>
        <v>45936</v>
      </c>
      <c r="AH1198" s="117">
        <f t="shared" ca="1" si="100"/>
        <v>45937</v>
      </c>
      <c r="AI1198" s="117">
        <f t="shared" ca="1" si="100"/>
        <v>45938</v>
      </c>
      <c r="AJ1198" s="117">
        <f t="shared" ca="1" si="100"/>
        <v>45939</v>
      </c>
      <c r="AK1198" s="117">
        <f t="shared" ca="1" si="100"/>
        <v>45940</v>
      </c>
      <c r="AL1198" s="117">
        <f t="shared" ca="1" si="100"/>
        <v>45943</v>
      </c>
      <c r="AM1198" s="117">
        <f t="shared" ca="1" si="100"/>
        <v>45944</v>
      </c>
      <c r="AN1198" s="117">
        <f t="shared" ca="1" si="100"/>
        <v>45945</v>
      </c>
      <c r="AO1198" s="117">
        <f t="shared" ca="1" si="100"/>
        <v>45946</v>
      </c>
      <c r="AP1198" s="117">
        <f t="shared" ca="1" si="100"/>
        <v>45947</v>
      </c>
      <c r="AQ1198" s="117">
        <f t="shared" ca="1" si="100"/>
        <v>45950</v>
      </c>
      <c r="AR1198" s="117">
        <f t="shared" ca="1" si="100"/>
        <v>45951</v>
      </c>
      <c r="AS1198" s="117">
        <f t="shared" ca="1" si="100"/>
        <v>45952</v>
      </c>
      <c r="AT1198" s="117">
        <f t="shared" ca="1" si="100"/>
        <v>45953</v>
      </c>
      <c r="AU1198" s="117">
        <f t="shared" ca="1" si="100"/>
        <v>45954</v>
      </c>
      <c r="AV1198" s="117">
        <f t="shared" ca="1" si="100"/>
        <v>45956</v>
      </c>
      <c r="AX1198" s="88"/>
    </row>
    <row r="1199" spans="1:50">
      <c r="A1199" s="88"/>
      <c r="F1199" s="282" t="s">
        <v>456</v>
      </c>
      <c r="G1199" s="282" t="s">
        <v>457</v>
      </c>
      <c r="H1199" s="282" t="s">
        <v>458</v>
      </c>
      <c r="I1199" s="282" t="s">
        <v>459</v>
      </c>
      <c r="J1199" s="282" t="s">
        <v>460</v>
      </c>
      <c r="K1199" s="282" t="s">
        <v>461</v>
      </c>
      <c r="L1199" s="282" t="s">
        <v>462</v>
      </c>
      <c r="M1199" s="282" t="s">
        <v>463</v>
      </c>
      <c r="N1199" s="282" t="s">
        <v>464</v>
      </c>
      <c r="O1199" s="282" t="s">
        <v>465</v>
      </c>
      <c r="P1199" s="282" t="s">
        <v>466</v>
      </c>
      <c r="Q1199" s="282" t="s">
        <v>467</v>
      </c>
      <c r="R1199" s="282" t="s">
        <v>468</v>
      </c>
      <c r="S1199" s="282" t="s">
        <v>469</v>
      </c>
      <c r="T1199" s="282" t="s">
        <v>470</v>
      </c>
      <c r="U1199" s="282" t="s">
        <v>471</v>
      </c>
      <c r="V1199" s="282" t="s">
        <v>472</v>
      </c>
      <c r="W1199" s="282" t="s">
        <v>473</v>
      </c>
      <c r="X1199" s="282" t="s">
        <v>474</v>
      </c>
      <c r="Y1199" s="282" t="s">
        <v>475</v>
      </c>
      <c r="Z1199" s="282" t="s">
        <v>476</v>
      </c>
      <c r="AB1199" s="281" t="s">
        <v>1486</v>
      </c>
      <c r="AC1199" s="281" t="s">
        <v>1487</v>
      </c>
      <c r="AD1199" s="281" t="s">
        <v>1488</v>
      </c>
      <c r="AE1199" s="281" t="s">
        <v>1489</v>
      </c>
      <c r="AF1199" s="281" t="s">
        <v>1490</v>
      </c>
      <c r="AG1199" s="281" t="s">
        <v>1491</v>
      </c>
      <c r="AH1199" s="281" t="s">
        <v>1492</v>
      </c>
      <c r="AI1199" s="281" t="s">
        <v>1493</v>
      </c>
      <c r="AJ1199" s="281" t="s">
        <v>1494</v>
      </c>
      <c r="AK1199" s="281" t="s">
        <v>1495</v>
      </c>
      <c r="AL1199" s="281" t="s">
        <v>1496</v>
      </c>
      <c r="AM1199" s="281" t="s">
        <v>1497</v>
      </c>
      <c r="AN1199" s="281" t="s">
        <v>1498</v>
      </c>
      <c r="AO1199" s="281" t="s">
        <v>1499</v>
      </c>
      <c r="AP1199" s="281" t="s">
        <v>1500</v>
      </c>
      <c r="AQ1199" s="281" t="s">
        <v>1501</v>
      </c>
      <c r="AR1199" s="281" t="s">
        <v>1502</v>
      </c>
      <c r="AS1199" s="281" t="s">
        <v>1503</v>
      </c>
      <c r="AT1199" s="281" t="s">
        <v>1504</v>
      </c>
      <c r="AU1199" s="281" t="s">
        <v>1505</v>
      </c>
      <c r="AV1199" s="281" t="s">
        <v>1506</v>
      </c>
      <c r="AX1199" s="88"/>
    </row>
    <row r="1200" spans="1:50">
      <c r="A1200" s="88" t="str">
        <f t="shared" ref="A1200:A1259" ca="1" si="101">A1101</f>
        <v>AAPL</v>
      </c>
      <c r="C1200" s="1" cm="1">
        <f t="array" ref="C1200:C1293">_xlfn.SEQUENCE(94,,3,1)</f>
        <v>3</v>
      </c>
      <c r="F1200" s="245">
        <v>1.0927</v>
      </c>
      <c r="G1200" s="245">
        <v>1.0931</v>
      </c>
      <c r="H1200" s="245">
        <v>1.0944</v>
      </c>
      <c r="I1200" s="245">
        <v>1.0840000000000001</v>
      </c>
      <c r="J1200" s="245">
        <v>1.0834999999999999</v>
      </c>
      <c r="K1200" s="245">
        <v>1.0839000000000001</v>
      </c>
      <c r="L1200" s="245">
        <v>1.0837000000000001</v>
      </c>
      <c r="M1200" s="245">
        <v>1.0837000000000001</v>
      </c>
      <c r="N1200" s="245">
        <v>1.0837000000000001</v>
      </c>
      <c r="O1200" s="245">
        <v>1.0884</v>
      </c>
      <c r="P1200" s="245">
        <v>1.0873999999999999</v>
      </c>
      <c r="Q1200" s="245">
        <v>1.0872999999999999</v>
      </c>
      <c r="R1200" s="245">
        <v>1.0864</v>
      </c>
      <c r="S1200" s="245">
        <v>1.0848</v>
      </c>
      <c r="T1200" s="245">
        <v>1.0848</v>
      </c>
      <c r="U1200" s="245">
        <v>1.0827</v>
      </c>
      <c r="V1200" s="245">
        <v>1.0826</v>
      </c>
      <c r="W1200" s="245">
        <v>1.0826</v>
      </c>
      <c r="X1200" s="245">
        <v>1.0826</v>
      </c>
      <c r="Y1200" s="245">
        <v>1.0826</v>
      </c>
      <c r="Z1200" s="247">
        <f ca="1">[1]ExtEntry!$R3</f>
        <v>1.0834999999999999</v>
      </c>
      <c r="AB1200" s="320">
        <v>15784.530000000004</v>
      </c>
      <c r="AC1200" s="320">
        <v>16179.000000000002</v>
      </c>
      <c r="AD1200" s="320">
        <v>16425</v>
      </c>
      <c r="AE1200" s="320">
        <v>16929.000000000004</v>
      </c>
      <c r="AF1200" s="320">
        <v>17195.999999999996</v>
      </c>
      <c r="AG1200" s="320">
        <v>16734.000000000007</v>
      </c>
      <c r="AH1200" s="320">
        <v>17208.000000000004</v>
      </c>
      <c r="AI1200" s="320">
        <v>16002.000000000002</v>
      </c>
      <c r="AJ1200" s="320">
        <v>16002.000000000002</v>
      </c>
      <c r="AK1200" s="320">
        <v>-172.00000000000273</v>
      </c>
      <c r="AL1200" s="320">
        <v>-150</v>
      </c>
      <c r="AM1200" s="320">
        <v>175.99999999999909</v>
      </c>
      <c r="AN1200" s="320">
        <v>-214.00000000000432</v>
      </c>
      <c r="AO1200" s="320">
        <v>753.99999999999636</v>
      </c>
      <c r="AP1200" s="320">
        <v>2744</v>
      </c>
      <c r="AQ1200" s="320">
        <v>2849.9999999999945</v>
      </c>
      <c r="AR1200" s="320">
        <v>1985.9999999999957</v>
      </c>
      <c r="AS1200" s="320">
        <v>1985.9999999999957</v>
      </c>
      <c r="AT1200" s="320">
        <v>2211.9999999999945</v>
      </c>
      <c r="AU1200" s="320">
        <v>2859.9999999999964</v>
      </c>
      <c r="AV1200" s="320">
        <f ca="1">Calc!Z3</f>
        <v>2859.9999999999964</v>
      </c>
      <c r="AX1200" s="88" t="str">
        <f t="shared" ca="1" si="98"/>
        <v>AAPL</v>
      </c>
    </row>
    <row r="1201" spans="1:50">
      <c r="A1201" s="88" t="str">
        <f t="shared" ca="1" si="101"/>
        <v>ADEA</v>
      </c>
      <c r="C1201" s="1">
        <v>4</v>
      </c>
      <c r="F1201" s="253">
        <v>2.5337999999999998</v>
      </c>
      <c r="G1201" s="253">
        <v>2.5324</v>
      </c>
      <c r="H1201" s="253">
        <v>2.5318000000000001</v>
      </c>
      <c r="I1201" s="253">
        <v>2.5760999999999998</v>
      </c>
      <c r="J1201" s="253">
        <v>2.5752000000000002</v>
      </c>
      <c r="K1201" s="253">
        <v>2.5739000000000001</v>
      </c>
      <c r="L1201" s="253">
        <v>2.5762</v>
      </c>
      <c r="M1201" s="253">
        <v>2.5771000000000002</v>
      </c>
      <c r="N1201" s="253">
        <v>2.5771000000000002</v>
      </c>
      <c r="O1201" s="253">
        <v>2.5834000000000001</v>
      </c>
      <c r="P1201" s="253">
        <v>2.5853000000000002</v>
      </c>
      <c r="Q1201" s="253">
        <v>2.5775999999999999</v>
      </c>
      <c r="R1201" s="253">
        <v>2.5731999999999999</v>
      </c>
      <c r="S1201" s="253">
        <v>2.5783999999999998</v>
      </c>
      <c r="T1201" s="253">
        <v>2.5783999999999998</v>
      </c>
      <c r="U1201" s="253">
        <v>2.5773000000000001</v>
      </c>
      <c r="V1201" s="253">
        <v>2.5766</v>
      </c>
      <c r="W1201" s="253">
        <v>2.5766</v>
      </c>
      <c r="X1201" s="253">
        <v>2.5766</v>
      </c>
      <c r="Y1201" s="253">
        <v>2.5766</v>
      </c>
      <c r="Z1201" s="247">
        <f ca="1">[1]ExtEntry!$R4</f>
        <v>2.5771999999999999</v>
      </c>
      <c r="AB1201" s="320">
        <v>455.99999999999972</v>
      </c>
      <c r="AC1201" s="320">
        <v>484.50000000000011</v>
      </c>
      <c r="AD1201" s="320">
        <v>539.6</v>
      </c>
      <c r="AE1201" s="320">
        <v>583.30000000000007</v>
      </c>
      <c r="AF1201" s="320">
        <v>577.5999999999998</v>
      </c>
      <c r="AG1201" s="320">
        <v>539.6</v>
      </c>
      <c r="AH1201" s="320">
        <v>435.09999999999985</v>
      </c>
      <c r="AI1201" s="320">
        <v>412.3000000000003</v>
      </c>
      <c r="AJ1201" s="320">
        <v>412.3000000000003</v>
      </c>
      <c r="AK1201" s="320">
        <v>285</v>
      </c>
      <c r="AL1201" s="320">
        <v>442.6999999999997</v>
      </c>
      <c r="AM1201" s="320">
        <v>556.69999999999993</v>
      </c>
      <c r="AN1201" s="320">
        <v>448.39999999999986</v>
      </c>
      <c r="AO1201" s="320">
        <v>438.89999999999975</v>
      </c>
      <c r="AP1201" s="320">
        <v>482.59999999999985</v>
      </c>
      <c r="AQ1201" s="320">
        <v>524.40000000000032</v>
      </c>
      <c r="AR1201" s="320">
        <v>488.30000000000007</v>
      </c>
      <c r="AS1201" s="320">
        <v>488.30000000000007</v>
      </c>
      <c r="AT1201" s="320">
        <v>478.7999999999999</v>
      </c>
      <c r="AU1201" s="320">
        <v>541.50000000000023</v>
      </c>
      <c r="AV1201" s="320">
        <f ca="1">Calc!Z4</f>
        <v>541.50000000000023</v>
      </c>
      <c r="AX1201" s="88" t="str">
        <f t="shared" ca="1" si="98"/>
        <v>ADEA</v>
      </c>
    </row>
    <row r="1202" spans="1:50">
      <c r="A1202" s="88" t="str">
        <f t="shared" ca="1" si="101"/>
        <v>AET</v>
      </c>
      <c r="C1202" s="1">
        <v>5</v>
      </c>
      <c r="F1202" s="245">
        <v>1.153</v>
      </c>
      <c r="G1202" s="245">
        <v>1.1521999999999999</v>
      </c>
      <c r="H1202" s="245">
        <v>1.149</v>
      </c>
      <c r="I1202" s="245">
        <v>1.1435</v>
      </c>
      <c r="J1202" s="245">
        <v>1.1443000000000001</v>
      </c>
      <c r="K1202" s="245">
        <v>1.1373</v>
      </c>
      <c r="L1202" s="245">
        <v>1.1393</v>
      </c>
      <c r="M1202" s="245">
        <v>1.1283000000000001</v>
      </c>
      <c r="N1202" s="245">
        <v>1.1283000000000001</v>
      </c>
      <c r="O1202" s="245">
        <v>1.1281000000000001</v>
      </c>
      <c r="P1202" s="245">
        <v>1.1482000000000001</v>
      </c>
      <c r="Q1202" s="245">
        <v>1.1486000000000001</v>
      </c>
      <c r="R1202" s="245">
        <v>1.1556999999999999</v>
      </c>
      <c r="S1202" s="245">
        <v>1.1795</v>
      </c>
      <c r="T1202" s="245">
        <v>1.1795</v>
      </c>
      <c r="U1202" s="245">
        <v>1.1778999999999999</v>
      </c>
      <c r="V1202" s="245">
        <v>1.1551</v>
      </c>
      <c r="W1202" s="245">
        <v>1.1551</v>
      </c>
      <c r="X1202" s="245">
        <v>1.1551</v>
      </c>
      <c r="Y1202" s="245">
        <v>1.1551</v>
      </c>
      <c r="Z1202" s="247">
        <f ca="1">[1]ExtEntry!$R5</f>
        <v>1.1262000000000001</v>
      </c>
      <c r="AB1202" s="320">
        <v>1493.7411930000007</v>
      </c>
      <c r="AC1202" s="320">
        <v>1513.1511930000011</v>
      </c>
      <c r="AD1202" s="320">
        <v>1124.9511930000012</v>
      </c>
      <c r="AE1202" s="320">
        <v>1241.4111930000001</v>
      </c>
      <c r="AF1202" s="320">
        <v>1047.311193</v>
      </c>
      <c r="AG1202" s="320">
        <v>950.26119300000005</v>
      </c>
      <c r="AH1202" s="320">
        <v>969.67119300000036</v>
      </c>
      <c r="AI1202" s="320">
        <v>-79.999999999999716</v>
      </c>
      <c r="AJ1202" s="320">
        <v>-164.79999999999961</v>
      </c>
      <c r="AK1202" s="320">
        <v>-230.00000000000045</v>
      </c>
      <c r="AL1202" s="320">
        <v>-270.00000000000028</v>
      </c>
      <c r="AM1202" s="320">
        <v>-350</v>
      </c>
      <c r="AN1202" s="320">
        <v>-460.00000000000017</v>
      </c>
      <c r="AO1202" s="320">
        <v>-360.00000000000017</v>
      </c>
      <c r="AP1202" s="320">
        <v>-330.00000000000045</v>
      </c>
      <c r="AQ1202" s="320">
        <v>-260.00000000000017</v>
      </c>
      <c r="AR1202" s="320">
        <v>-220.00000000000028</v>
      </c>
      <c r="AS1202" s="320">
        <v>-220.00000000000028</v>
      </c>
      <c r="AT1202" s="320">
        <v>-120.0000000000003</v>
      </c>
      <c r="AU1202" s="320">
        <v>19.999999999999574</v>
      </c>
      <c r="AV1202" s="320">
        <f ca="1">Calc!Z5</f>
        <v>19.999999999999574</v>
      </c>
      <c r="AX1202" s="88" t="str">
        <f t="shared" ca="1" si="98"/>
        <v>AET</v>
      </c>
    </row>
    <row r="1203" spans="1:50">
      <c r="A1203" s="88" t="str">
        <f t="shared" ca="1" si="101"/>
        <v>AMZN</v>
      </c>
      <c r="C1203" s="1">
        <v>6</v>
      </c>
      <c r="F1203" s="253">
        <v>1.2873000000000001</v>
      </c>
      <c r="G1203" s="253">
        <v>1.2867999999999999</v>
      </c>
      <c r="H1203" s="253">
        <v>1.2815000000000001</v>
      </c>
      <c r="I1203" s="253">
        <v>1.2830999999999999</v>
      </c>
      <c r="J1203" s="253">
        <v>1.2826</v>
      </c>
      <c r="K1203" s="253">
        <v>1.2836000000000001</v>
      </c>
      <c r="L1203" s="253">
        <v>1.2827999999999999</v>
      </c>
      <c r="M1203" s="253">
        <v>1.2830999999999999</v>
      </c>
      <c r="N1203" s="253">
        <v>1.2830999999999999</v>
      </c>
      <c r="O1203" s="253">
        <v>1.2786999999999999</v>
      </c>
      <c r="P1203" s="253">
        <v>1.2814000000000001</v>
      </c>
      <c r="Q1203" s="253">
        <v>1.2835000000000001</v>
      </c>
      <c r="R1203" s="253">
        <v>1.2847</v>
      </c>
      <c r="S1203" s="253">
        <v>1.2862</v>
      </c>
      <c r="T1203" s="253">
        <v>1.2862</v>
      </c>
      <c r="U1203" s="253">
        <v>1.2845</v>
      </c>
      <c r="V1203" s="253">
        <v>1.2831999999999999</v>
      </c>
      <c r="W1203" s="253">
        <v>1.2831999999999999</v>
      </c>
      <c r="X1203" s="253">
        <v>1.2831999999999999</v>
      </c>
      <c r="Y1203" s="253">
        <v>1.2831999999999999</v>
      </c>
      <c r="Z1203" s="247">
        <f ca="1">[1]ExtEntry!$R6</f>
        <v>1.2842</v>
      </c>
      <c r="AB1203" s="320">
        <v>12019.999999999982</v>
      </c>
      <c r="AC1203" s="320">
        <v>9099.9999999999654</v>
      </c>
      <c r="AD1203" s="320">
        <v>11219.999999999971</v>
      </c>
      <c r="AE1203" s="320">
        <v>14779.999999999973</v>
      </c>
      <c r="AF1203" s="320">
        <v>8979.9999999999618</v>
      </c>
      <c r="AG1203" s="320">
        <v>13519.999999999982</v>
      </c>
      <c r="AH1203" s="320">
        <v>20399.999999999978</v>
      </c>
      <c r="AI1203" s="320">
        <v>25439.999999999996</v>
      </c>
      <c r="AJ1203" s="320">
        <v>25439.999999999996</v>
      </c>
      <c r="AK1203" s="320">
        <v>10099.999999999965</v>
      </c>
      <c r="AL1203" s="320">
        <v>2739.9999999999523</v>
      </c>
      <c r="AM1203" s="320">
        <v>279.99999999997272</v>
      </c>
      <c r="AN1203" s="320">
        <v>-1100.0000000000227</v>
      </c>
      <c r="AO1203" s="320">
        <v>-3960.0000000000364</v>
      </c>
      <c r="AP1203" s="320">
        <v>2919.9999999999591</v>
      </c>
      <c r="AQ1203" s="320">
        <v>14019.999999999982</v>
      </c>
      <c r="AR1203" s="320">
        <v>5859.9999999999563</v>
      </c>
      <c r="AS1203" s="320">
        <v>5859.9999999999563</v>
      </c>
      <c r="AT1203" s="320">
        <v>12139.999999999985</v>
      </c>
      <c r="AU1203" s="320">
        <v>18379.999999999996</v>
      </c>
      <c r="AV1203" s="320">
        <f ca="1">Calc!Z6</f>
        <v>18379.999999999996</v>
      </c>
      <c r="AX1203" s="88" t="str">
        <f t="shared" ca="1" si="98"/>
        <v>AMZN</v>
      </c>
    </row>
    <row r="1204" spans="1:50" ht="24" customHeight="1">
      <c r="A1204" s="88" t="str">
        <f t="shared" ca="1" si="101"/>
        <v>ALDNE</v>
      </c>
      <c r="C1204" s="1">
        <v>7</v>
      </c>
      <c r="F1204" s="245">
        <v>0.99170000000000003</v>
      </c>
      <c r="G1204" s="245">
        <v>0.98880000000000001</v>
      </c>
      <c r="H1204" s="245">
        <v>0.98829999999999996</v>
      </c>
      <c r="I1204" s="245">
        <v>1.042</v>
      </c>
      <c r="J1204" s="245">
        <v>1.0416000000000001</v>
      </c>
      <c r="K1204" s="245">
        <v>1.0409999999999999</v>
      </c>
      <c r="L1204" s="245">
        <v>1.042</v>
      </c>
      <c r="M1204" s="245">
        <v>1.042</v>
      </c>
      <c r="N1204" s="245">
        <v>1.042</v>
      </c>
      <c r="O1204" s="245">
        <v>1.0416000000000001</v>
      </c>
      <c r="P1204" s="245">
        <v>1.0415000000000001</v>
      </c>
      <c r="Q1204" s="245">
        <v>1.0416000000000001</v>
      </c>
      <c r="R1204" s="245">
        <v>1.0415000000000001</v>
      </c>
      <c r="S1204" s="245">
        <v>1.0349999999999999</v>
      </c>
      <c r="T1204" s="245">
        <v>1.0349999999999999</v>
      </c>
      <c r="U1204" s="245">
        <v>1.0337000000000001</v>
      </c>
      <c r="V1204" s="245">
        <v>1.0339</v>
      </c>
      <c r="W1204" s="245">
        <v>1.0339</v>
      </c>
      <c r="X1204" s="245">
        <v>1.0339</v>
      </c>
      <c r="Y1204" s="245">
        <v>1.0339</v>
      </c>
      <c r="Z1204" s="247">
        <f ca="1">[1]ExtEntry!$R7</f>
        <v>1.0333000000000001</v>
      </c>
      <c r="AB1204" s="320">
        <v>-960.00000000000091</v>
      </c>
      <c r="AC1204" s="320">
        <v>-930.0000000000008</v>
      </c>
      <c r="AD1204" s="320">
        <v>-750.00000000000068</v>
      </c>
      <c r="AE1204" s="320">
        <v>-900.0000000000008</v>
      </c>
      <c r="AF1204" s="320">
        <v>-930.0000000000008</v>
      </c>
      <c r="AG1204" s="320">
        <v>-1350.0000000000011</v>
      </c>
      <c r="AH1204" s="320">
        <v>-1620.0000000000014</v>
      </c>
      <c r="AI1204" s="320">
        <v>-1620.0000000000014</v>
      </c>
      <c r="AJ1204" s="320">
        <v>-1620.0000000000014</v>
      </c>
      <c r="AK1204" s="320">
        <v>-1380.0000000000011</v>
      </c>
      <c r="AL1204" s="320">
        <v>-1350.0000000000011</v>
      </c>
      <c r="AM1204" s="320">
        <v>-1380.0000000000011</v>
      </c>
      <c r="AN1204" s="320">
        <v>-1500.0000000000014</v>
      </c>
      <c r="AO1204" s="320">
        <v>-1500.0000000000014</v>
      </c>
      <c r="AP1204" s="320">
        <v>-1650.0000000000014</v>
      </c>
      <c r="AQ1204" s="320">
        <v>-1500.0000000000014</v>
      </c>
      <c r="AR1204" s="320">
        <v>-1350.0000000000011</v>
      </c>
      <c r="AS1204" s="320">
        <v>-1350.0000000000011</v>
      </c>
      <c r="AT1204" s="320">
        <v>-1380.0000000000011</v>
      </c>
      <c r="AU1204" s="320">
        <v>-1560.0000000000014</v>
      </c>
      <c r="AV1204" s="320">
        <f ca="1">Calc!Z7</f>
        <v>-1560.0000000000014</v>
      </c>
      <c r="AX1204" s="88" t="str">
        <f t="shared" ca="1" si="98"/>
        <v>ALDNE</v>
      </c>
    </row>
    <row r="1205" spans="1:50">
      <c r="A1205" s="88" t="str">
        <f t="shared" ca="1" si="101"/>
        <v>ASML</v>
      </c>
      <c r="C1205" s="1">
        <v>8</v>
      </c>
      <c r="F1205" s="253">
        <v>1.9275</v>
      </c>
      <c r="G1205" s="253">
        <v>1.9398</v>
      </c>
      <c r="H1205" s="253">
        <v>1.9459</v>
      </c>
      <c r="I1205" s="253">
        <v>1.9605999999999999</v>
      </c>
      <c r="J1205" s="253">
        <v>1.9583999999999999</v>
      </c>
      <c r="K1205" s="253">
        <v>1.9643999999999999</v>
      </c>
      <c r="L1205" s="253">
        <v>1.9613</v>
      </c>
      <c r="M1205" s="253">
        <v>1.9598</v>
      </c>
      <c r="N1205" s="253">
        <v>1.9598</v>
      </c>
      <c r="O1205" s="253">
        <v>1.9577</v>
      </c>
      <c r="P1205" s="253">
        <v>1.9578</v>
      </c>
      <c r="Q1205" s="253">
        <v>1.9605999999999999</v>
      </c>
      <c r="R1205" s="253">
        <v>1.9593</v>
      </c>
      <c r="S1205" s="253">
        <v>1.962</v>
      </c>
      <c r="T1205" s="253">
        <v>1.962</v>
      </c>
      <c r="U1205" s="253">
        <v>1.9623999999999999</v>
      </c>
      <c r="V1205" s="253">
        <v>1.9639</v>
      </c>
      <c r="W1205" s="253">
        <v>1.9639</v>
      </c>
      <c r="X1205" s="253">
        <v>1.9639</v>
      </c>
      <c r="Y1205" s="253">
        <v>1.9639</v>
      </c>
      <c r="Z1205" s="247">
        <f ca="1">[1]ExtEntry!$R8</f>
        <v>1.9605999999999999</v>
      </c>
      <c r="AB1205" s="320">
        <v>4120.0000000000045</v>
      </c>
      <c r="AC1205" s="320">
        <v>4640.0000000000091</v>
      </c>
      <c r="AD1205" s="320">
        <v>7300</v>
      </c>
      <c r="AE1205" s="320">
        <v>14540.000000000009</v>
      </c>
      <c r="AF1205" s="320">
        <v>15040.000000000009</v>
      </c>
      <c r="AG1205" s="320">
        <v>13979.999999999996</v>
      </c>
      <c r="AH1205" s="320">
        <v>9379.9999999999964</v>
      </c>
      <c r="AI1205" s="320">
        <v>8979.9999999999964</v>
      </c>
      <c r="AJ1205" s="320">
        <v>7479.9999999999955</v>
      </c>
      <c r="AK1205" s="320">
        <v>6020.0000000000045</v>
      </c>
      <c r="AL1205" s="320">
        <v>6540.0000000000091</v>
      </c>
      <c r="AM1205" s="320">
        <v>11820.000000000004</v>
      </c>
      <c r="AN1205" s="320">
        <v>12700</v>
      </c>
      <c r="AO1205" s="320">
        <v>12360.000000000015</v>
      </c>
      <c r="AP1205" s="320">
        <v>17020.000000000004</v>
      </c>
      <c r="AQ1205" s="320">
        <v>15179.999999999996</v>
      </c>
      <c r="AR1205" s="320">
        <v>11240.000000000009</v>
      </c>
      <c r="AS1205" s="320">
        <v>11240.000000000009</v>
      </c>
      <c r="AT1205" s="320">
        <v>14760.000000000015</v>
      </c>
      <c r="AU1205" s="320">
        <v>16100</v>
      </c>
      <c r="AV1205" s="320">
        <f ca="1">Calc!Z8</f>
        <v>16100</v>
      </c>
      <c r="AX1205" s="88" t="str">
        <f t="shared" ca="1" si="98"/>
        <v>ASML</v>
      </c>
    </row>
    <row r="1206" spans="1:50">
      <c r="A1206" s="88" t="str">
        <f t="shared" ca="1" si="101"/>
        <v>AZN</v>
      </c>
      <c r="C1206" s="1">
        <v>9</v>
      </c>
      <c r="F1206" s="255">
        <v>1.2061999999999999</v>
      </c>
      <c r="G1206" s="255">
        <v>1.2061999999999999</v>
      </c>
      <c r="H1206" s="255">
        <v>1.2078</v>
      </c>
      <c r="I1206" s="255">
        <v>1.198</v>
      </c>
      <c r="J1206" s="255">
        <v>1.1968000000000001</v>
      </c>
      <c r="K1206" s="255">
        <v>1.1971000000000001</v>
      </c>
      <c r="L1206" s="255">
        <v>1.1972</v>
      </c>
      <c r="M1206" s="255">
        <v>1.196</v>
      </c>
      <c r="N1206" s="255">
        <v>1.196</v>
      </c>
      <c r="O1206" s="255">
        <v>1.2016</v>
      </c>
      <c r="P1206" s="255">
        <v>1.1875</v>
      </c>
      <c r="Q1206" s="255">
        <v>1.1926000000000001</v>
      </c>
      <c r="R1206" s="255">
        <v>1.1911</v>
      </c>
      <c r="S1206" s="255">
        <v>1.1914</v>
      </c>
      <c r="T1206" s="255">
        <v>1.1914</v>
      </c>
      <c r="U1206" s="255">
        <v>1.1951000000000001</v>
      </c>
      <c r="V1206" s="255">
        <v>1.1960999999999999</v>
      </c>
      <c r="W1206" s="255">
        <v>1.1960999999999999</v>
      </c>
      <c r="X1206" s="255">
        <v>1.1960999999999999</v>
      </c>
      <c r="Y1206" s="255">
        <v>1.1960999999999999</v>
      </c>
      <c r="Z1206" s="247">
        <f ca="1">[1]ExtEntry!$R9</f>
        <v>0.33900000000000002</v>
      </c>
      <c r="AB1206" s="320">
        <v>4119.99999999999</v>
      </c>
      <c r="AC1206" s="320">
        <v>30356.200008000007</v>
      </c>
      <c r="AD1206" s="320">
        <v>31191.400007999997</v>
      </c>
      <c r="AE1206" s="320">
        <v>32341.000008000003</v>
      </c>
      <c r="AF1206" s="320">
        <v>32386.600008000001</v>
      </c>
      <c r="AG1206" s="320">
        <v>31916.200008000007</v>
      </c>
      <c r="AH1206" s="320">
        <v>34097.800007999998</v>
      </c>
      <c r="AI1206" s="320">
        <v>26902.891672999998</v>
      </c>
      <c r="AJ1206" s="320">
        <v>26902.891672999998</v>
      </c>
      <c r="AK1206" s="320">
        <v>5264.6999999999989</v>
      </c>
      <c r="AL1206" s="320">
        <v>2625</v>
      </c>
      <c r="AM1206" s="320">
        <v>4023.6000000000054</v>
      </c>
      <c r="AN1206" s="320">
        <v>4729.1999999999962</v>
      </c>
      <c r="AO1206" s="320">
        <v>3716.9999999999977</v>
      </c>
      <c r="AP1206" s="320">
        <v>3698.1000000000031</v>
      </c>
      <c r="AQ1206" s="320">
        <v>2316.3000000000061</v>
      </c>
      <c r="AR1206" s="320">
        <v>1820.7000000000035</v>
      </c>
      <c r="AS1206" s="320">
        <v>1820.7000000000035</v>
      </c>
      <c r="AT1206" s="320">
        <v>2658.6000000000054</v>
      </c>
      <c r="AU1206" s="320">
        <v>4725</v>
      </c>
      <c r="AV1206" s="320">
        <f ca="1">Calc!Z9</f>
        <v>6725.0000000000018</v>
      </c>
      <c r="AX1206" s="88" t="str">
        <f t="shared" ca="1" si="98"/>
        <v>AZN</v>
      </c>
    </row>
    <row r="1207" spans="1:50" hidden="1">
      <c r="A1207" s="88" t="str">
        <f t="shared" ca="1" si="101"/>
        <v>BLDP</v>
      </c>
      <c r="C1207" s="1">
        <v>10</v>
      </c>
      <c r="F1207" s="253">
        <v>0.36780000000000002</v>
      </c>
      <c r="G1207" s="253">
        <v>0.36630000000000001</v>
      </c>
      <c r="H1207" s="253">
        <v>0.36909999999999998</v>
      </c>
      <c r="I1207" s="253">
        <v>0.33560000000000001</v>
      </c>
      <c r="J1207" s="253">
        <v>0.33679999999999999</v>
      </c>
      <c r="K1207" s="253">
        <v>0.33829999999999999</v>
      </c>
      <c r="L1207" s="253">
        <v>0.33450000000000002</v>
      </c>
      <c r="M1207" s="253">
        <v>0.34010000000000001</v>
      </c>
      <c r="N1207" s="253">
        <v>0.34010000000000001</v>
      </c>
      <c r="O1207" s="253">
        <v>0.31490000000000001</v>
      </c>
      <c r="P1207" s="253">
        <v>0.32850000000000001</v>
      </c>
      <c r="Q1207" s="253">
        <v>0.32579999999999998</v>
      </c>
      <c r="R1207" s="253">
        <v>0.33</v>
      </c>
      <c r="S1207" s="253">
        <v>0.32929999999999998</v>
      </c>
      <c r="T1207" s="253">
        <v>0.32929999999999998</v>
      </c>
      <c r="U1207" s="253">
        <v>0.3387</v>
      </c>
      <c r="V1207" s="253">
        <v>0.33910000000000001</v>
      </c>
      <c r="W1207" s="253">
        <v>0.33910000000000001</v>
      </c>
      <c r="X1207" s="253">
        <v>0.33910000000000001</v>
      </c>
      <c r="Y1207" s="253">
        <v>0.33910000000000001</v>
      </c>
      <c r="Z1207" s="247">
        <f ca="1">[1]ExtEntry!$R10</f>
        <v>1.75</v>
      </c>
      <c r="AB1207" s="320">
        <v>-870.60000000000139</v>
      </c>
      <c r="AC1207" s="320">
        <v>6879.9999999999955</v>
      </c>
      <c r="AD1207" s="320">
        <v>14519.999999999996</v>
      </c>
      <c r="AE1207" s="320">
        <v>13810.000000000002</v>
      </c>
      <c r="AF1207" s="320">
        <v>15469.999999999998</v>
      </c>
      <c r="AG1207" s="320">
        <v>16030.000000000002</v>
      </c>
      <c r="AH1207" s="320">
        <v>15539.999999999993</v>
      </c>
      <c r="AI1207" s="320">
        <v>7600.0000000000018</v>
      </c>
      <c r="AJ1207" s="320">
        <v>7600.0000000000018</v>
      </c>
      <c r="AK1207" s="320">
        <v>7335.0000000000009</v>
      </c>
      <c r="AL1207" s="320">
        <v>7640.0000000000009</v>
      </c>
      <c r="AM1207" s="320">
        <v>7552.4999999999945</v>
      </c>
      <c r="AN1207" s="320">
        <v>6994.9999999999973</v>
      </c>
      <c r="AO1207" s="320">
        <v>7424.9999999999973</v>
      </c>
      <c r="AP1207" s="320">
        <v>7015.0000000000009</v>
      </c>
      <c r="AQ1207" s="320">
        <v>6689.9999999999982</v>
      </c>
      <c r="AR1207" s="320">
        <v>6795.0000000000018</v>
      </c>
      <c r="AS1207" s="320">
        <v>6795.0000000000018</v>
      </c>
      <c r="AT1207" s="320">
        <v>6780.0000000000009</v>
      </c>
      <c r="AU1207" s="320">
        <v>6725.0000000000018</v>
      </c>
      <c r="AV1207" s="320">
        <f ca="1">Calc!Z10</f>
        <v>3539.9999999999991</v>
      </c>
      <c r="AX1207" s="88" t="str">
        <f t="shared" ca="1" si="98"/>
        <v>BLDP</v>
      </c>
    </row>
    <row r="1208" spans="1:50" hidden="1">
      <c r="A1208" s="88" t="str">
        <f t="shared" ca="1" si="101"/>
        <v>BMRA</v>
      </c>
      <c r="C1208" s="1">
        <v>11</v>
      </c>
      <c r="F1208" s="253">
        <v>1.9129</v>
      </c>
      <c r="G1208" s="253">
        <v>1.9166000000000001</v>
      </c>
      <c r="H1208" s="253">
        <v>1.9313</v>
      </c>
      <c r="I1208" s="253">
        <v>1.9811000000000001</v>
      </c>
      <c r="J1208" s="253">
        <v>1.97</v>
      </c>
      <c r="K1208" s="253">
        <v>1.9951000000000001</v>
      </c>
      <c r="L1208" s="253">
        <v>2.0030999999999999</v>
      </c>
      <c r="M1208" s="253">
        <v>1.9772000000000001</v>
      </c>
      <c r="N1208" s="253">
        <v>1.9772000000000001</v>
      </c>
      <c r="O1208" s="253">
        <v>1.9704999999999999</v>
      </c>
      <c r="P1208" s="253">
        <v>1.9704999999999999</v>
      </c>
      <c r="Q1208" s="253">
        <v>1.8653</v>
      </c>
      <c r="R1208" s="253">
        <v>1.9767999999999999</v>
      </c>
      <c r="S1208" s="253">
        <v>1.9931000000000001</v>
      </c>
      <c r="T1208" s="253">
        <v>1.9931000000000001</v>
      </c>
      <c r="U1208" s="253">
        <v>1.9383999999999999</v>
      </c>
      <c r="V1208" s="253">
        <v>1.9851000000000001</v>
      </c>
      <c r="W1208" s="253">
        <v>1.9851000000000001</v>
      </c>
      <c r="X1208" s="253">
        <v>1.9228000000000001</v>
      </c>
      <c r="Y1208" s="253">
        <v>1.9228000000000001</v>
      </c>
      <c r="Z1208" s="247">
        <f ca="1">[1]ExtEntry!$R11</f>
        <v>0.27429999999999999</v>
      </c>
      <c r="AB1208" s="320">
        <v>-123869.99999999999</v>
      </c>
      <c r="AC1208" s="320">
        <v>-779.99999999999932</v>
      </c>
      <c r="AD1208" s="320">
        <v>659.9999999999992</v>
      </c>
      <c r="AE1208" s="320">
        <v>120.00000000000011</v>
      </c>
      <c r="AF1208" s="320">
        <v>4079.9999999999982</v>
      </c>
      <c r="AG1208" s="320">
        <v>4679.9999999999991</v>
      </c>
      <c r="AH1208" s="320">
        <v>4559.9999999999991</v>
      </c>
      <c r="AI1208" s="320">
        <v>4439.9999999999982</v>
      </c>
      <c r="AJ1208" s="320">
        <v>4439.9999999999982</v>
      </c>
      <c r="AK1208" s="320">
        <v>3840.0000000000009</v>
      </c>
      <c r="AL1208" s="320">
        <v>6779.9999999999991</v>
      </c>
      <c r="AM1208" s="320">
        <v>5549.9999999999991</v>
      </c>
      <c r="AN1208" s="320">
        <v>4919.9999999999991</v>
      </c>
      <c r="AO1208" s="320">
        <v>4679.9999999999991</v>
      </c>
      <c r="AP1208" s="320">
        <v>4740</v>
      </c>
      <c r="AQ1208" s="320">
        <v>2880</v>
      </c>
      <c r="AR1208" s="320">
        <v>2579.9999999999982</v>
      </c>
      <c r="AS1208" s="320">
        <v>2579.9999999999982</v>
      </c>
      <c r="AT1208" s="320">
        <v>2579.9999999999982</v>
      </c>
      <c r="AU1208" s="320">
        <v>3539.9999999999991</v>
      </c>
      <c r="AV1208" s="320">
        <f ca="1">Calc!Z11</f>
        <v>-121994.99999999999</v>
      </c>
      <c r="AX1208" s="88" t="str">
        <f t="shared" ca="1" si="98"/>
        <v>BMRA</v>
      </c>
    </row>
    <row r="1209" spans="1:50" hidden="1">
      <c r="A1209" s="88" t="str">
        <f t="shared" ca="1" si="101"/>
        <v>C</v>
      </c>
      <c r="C1209" s="1">
        <v>12</v>
      </c>
      <c r="F1209" s="253">
        <v>0.34289999999999998</v>
      </c>
      <c r="G1209" s="253">
        <v>0.33879999999999999</v>
      </c>
      <c r="H1209" s="253">
        <v>0.33500000000000002</v>
      </c>
      <c r="I1209" s="253">
        <v>0.27550000000000002</v>
      </c>
      <c r="J1209" s="253">
        <v>0.2772</v>
      </c>
      <c r="K1209" s="253">
        <v>0.27460000000000001</v>
      </c>
      <c r="L1209" s="253">
        <v>0.27510000000000001</v>
      </c>
      <c r="M1209" s="253">
        <v>0.2762</v>
      </c>
      <c r="N1209" s="253">
        <v>0.2762</v>
      </c>
      <c r="O1209" s="253">
        <v>0.26819999999999999</v>
      </c>
      <c r="P1209" s="253">
        <v>0.27460000000000001</v>
      </c>
      <c r="Q1209" s="253">
        <v>0.2697</v>
      </c>
      <c r="R1209" s="253">
        <v>0.27229999999999999</v>
      </c>
      <c r="S1209" s="253">
        <v>0.2661</v>
      </c>
      <c r="T1209" s="253">
        <v>0.2661</v>
      </c>
      <c r="U1209" s="253">
        <v>0.27079999999999999</v>
      </c>
      <c r="V1209" s="253">
        <v>0.26950000000000002</v>
      </c>
      <c r="W1209" s="253">
        <v>0.26950000000000002</v>
      </c>
      <c r="X1209" s="253">
        <v>0.26950000000000002</v>
      </c>
      <c r="Y1209" s="253">
        <v>0.26950000000000002</v>
      </c>
      <c r="Z1209" s="247">
        <f ca="1">[1]ExtEntry!$R12</f>
        <v>1.3595999999999999</v>
      </c>
      <c r="AB1209" s="320">
        <v>201.95</v>
      </c>
      <c r="AC1209" s="320">
        <v>-123620</v>
      </c>
      <c r="AD1209" s="320">
        <v>-123745</v>
      </c>
      <c r="AE1209" s="320">
        <v>-124495</v>
      </c>
      <c r="AF1209" s="320">
        <v>-123994.99999999999</v>
      </c>
      <c r="AG1209" s="320">
        <v>-123495</v>
      </c>
      <c r="AH1209" s="320">
        <v>-122995.00000000001</v>
      </c>
      <c r="AI1209" s="320">
        <v>-122120</v>
      </c>
      <c r="AJ1209" s="320">
        <v>-122120</v>
      </c>
      <c r="AK1209" s="320">
        <v>-123994.99999999999</v>
      </c>
      <c r="AL1209" s="320">
        <v>-122995.00000000001</v>
      </c>
      <c r="AM1209" s="320">
        <v>-123245</v>
      </c>
      <c r="AN1209" s="320">
        <v>-121370</v>
      </c>
      <c r="AO1209" s="320">
        <v>-121744.99999999999</v>
      </c>
      <c r="AP1209" s="320">
        <v>-119994.99999999999</v>
      </c>
      <c r="AQ1209" s="320">
        <v>-118995</v>
      </c>
      <c r="AR1209" s="320">
        <v>-122370</v>
      </c>
      <c r="AS1209" s="320">
        <v>-122370</v>
      </c>
      <c r="AT1209" s="320">
        <v>-122620</v>
      </c>
      <c r="AU1209" s="320">
        <v>-121994.99999999999</v>
      </c>
      <c r="AV1209" s="320">
        <f ca="1">Calc!Z12</f>
        <v>180.15</v>
      </c>
      <c r="AX1209" s="88" t="str">
        <f t="shared" ca="1" si="98"/>
        <v>C</v>
      </c>
    </row>
    <row r="1210" spans="1:50" hidden="1">
      <c r="A1210" s="88" t="str">
        <f t="shared" ca="1" si="101"/>
        <v>CSCO</v>
      </c>
      <c r="C1210" s="1">
        <v>13</v>
      </c>
      <c r="F1210" s="253">
        <v>1.3613</v>
      </c>
      <c r="G1210" s="253">
        <v>1.361</v>
      </c>
      <c r="H1210" s="253">
        <v>1.3575999999999999</v>
      </c>
      <c r="I1210" s="253">
        <v>1.3592</v>
      </c>
      <c r="J1210" s="253">
        <v>1.3601000000000001</v>
      </c>
      <c r="K1210" s="253">
        <v>1.3586</v>
      </c>
      <c r="L1210" s="253">
        <v>1.3597999999999999</v>
      </c>
      <c r="M1210" s="253">
        <v>1.3583000000000001</v>
      </c>
      <c r="N1210" s="253">
        <v>1.3583000000000001</v>
      </c>
      <c r="O1210" s="253">
        <v>1.3695999999999999</v>
      </c>
      <c r="P1210" s="253">
        <v>1.3635999999999999</v>
      </c>
      <c r="Q1210" s="253">
        <v>1.3579000000000001</v>
      </c>
      <c r="R1210" s="253">
        <v>1.3584000000000001</v>
      </c>
      <c r="S1210" s="253">
        <v>1.3620000000000001</v>
      </c>
      <c r="T1210" s="253">
        <v>1.3620000000000001</v>
      </c>
      <c r="U1210" s="253">
        <v>1.3582000000000001</v>
      </c>
      <c r="V1210" s="253">
        <v>1.3587</v>
      </c>
      <c r="W1210" s="253">
        <v>1.3587</v>
      </c>
      <c r="X1210" s="253">
        <v>1.3587</v>
      </c>
      <c r="Y1210" s="253">
        <v>1.3587</v>
      </c>
      <c r="Z1210" s="247">
        <f ca="1">[1]ExtEntry!$R13</f>
        <v>0.94450000000000001</v>
      </c>
      <c r="AB1210" s="320">
        <v>325.00000000000284</v>
      </c>
      <c r="AC1210" s="320">
        <v>193.7</v>
      </c>
      <c r="AD1210" s="320">
        <v>179.79999999999995</v>
      </c>
      <c r="AE1210" s="320">
        <v>172.84999999999997</v>
      </c>
      <c r="AF1210" s="320">
        <v>174.82500000000002</v>
      </c>
      <c r="AG1210" s="320">
        <v>175.25</v>
      </c>
      <c r="AH1210" s="320">
        <v>169.85</v>
      </c>
      <c r="AI1210" s="320">
        <v>165.85000000000002</v>
      </c>
      <c r="AJ1210" s="320">
        <v>165.85000000000002</v>
      </c>
      <c r="AK1210" s="320">
        <v>166.64999999999998</v>
      </c>
      <c r="AL1210" s="320">
        <v>185.3</v>
      </c>
      <c r="AM1210" s="320">
        <v>182.48500000000001</v>
      </c>
      <c r="AN1210" s="320">
        <v>167.65</v>
      </c>
      <c r="AO1210" s="320">
        <v>171.59999999999997</v>
      </c>
      <c r="AP1210" s="320">
        <v>182.70000000000005</v>
      </c>
      <c r="AQ1210" s="320">
        <v>177.5</v>
      </c>
      <c r="AR1210" s="320">
        <v>167.84999999999997</v>
      </c>
      <c r="AS1210" s="320">
        <v>167.84999999999997</v>
      </c>
      <c r="AT1210" s="320">
        <v>169.54999999999998</v>
      </c>
      <c r="AU1210" s="320">
        <v>180.22500000000002</v>
      </c>
      <c r="AV1210" s="320">
        <f ca="1">Calc!Z13</f>
        <v>3429.9999999999927</v>
      </c>
      <c r="AX1210" s="88" t="str">
        <f t="shared" ca="1" si="98"/>
        <v>CSCO</v>
      </c>
    </row>
    <row r="1211" spans="1:50" hidden="1">
      <c r="A1211" s="88" t="str">
        <f t="shared" ca="1" si="101"/>
        <v>CVS</v>
      </c>
      <c r="C1211" s="1">
        <v>14</v>
      </c>
      <c r="F1211" s="253">
        <v>0.96750000000000003</v>
      </c>
      <c r="G1211" s="253">
        <v>0.96699999999999997</v>
      </c>
      <c r="H1211" s="253">
        <v>0.96640000000000004</v>
      </c>
      <c r="I1211" s="253">
        <v>0.94569999999999999</v>
      </c>
      <c r="J1211" s="253">
        <v>0.94620000000000004</v>
      </c>
      <c r="K1211" s="253">
        <v>0.94579999999999997</v>
      </c>
      <c r="L1211" s="253">
        <v>0.94550000000000001</v>
      </c>
      <c r="M1211" s="253">
        <v>0.94530000000000003</v>
      </c>
      <c r="N1211" s="253">
        <v>0.94530000000000003</v>
      </c>
      <c r="O1211" s="253">
        <v>0.94269999999999998</v>
      </c>
      <c r="P1211" s="253">
        <v>0.94720000000000004</v>
      </c>
      <c r="Q1211" s="253">
        <v>0.94430000000000003</v>
      </c>
      <c r="R1211" s="253">
        <v>0.94350000000000001</v>
      </c>
      <c r="S1211" s="253">
        <v>0.94199999999999995</v>
      </c>
      <c r="T1211" s="253">
        <v>0.94199999999999995</v>
      </c>
      <c r="U1211" s="253">
        <v>0.94450000000000001</v>
      </c>
      <c r="V1211" s="253">
        <v>0.94440000000000002</v>
      </c>
      <c r="W1211" s="253">
        <v>0.94440000000000002</v>
      </c>
      <c r="X1211" s="253">
        <v>0.94440000000000002</v>
      </c>
      <c r="Y1211" s="253">
        <v>0.94440000000000002</v>
      </c>
      <c r="Z1211" s="247">
        <f ca="1">[1]ExtEntry!$R14</f>
        <v>0.5978</v>
      </c>
      <c r="AB1211" s="320">
        <v>19.543809999999993</v>
      </c>
      <c r="AC1211" s="320">
        <v>1219.9999999999989</v>
      </c>
      <c r="AD1211" s="320">
        <v>1549.9999999999973</v>
      </c>
      <c r="AE1211" s="320">
        <v>1109.9999999999995</v>
      </c>
      <c r="AF1211" s="320">
        <v>719.99999999999886</v>
      </c>
      <c r="AG1211" s="320">
        <v>1784.9999999999966</v>
      </c>
      <c r="AH1211" s="320">
        <v>3129.9999999999955</v>
      </c>
      <c r="AI1211" s="320">
        <v>2759.9999999999909</v>
      </c>
      <c r="AJ1211" s="320">
        <v>2759.9999999999909</v>
      </c>
      <c r="AK1211" s="320">
        <v>259.99999999999091</v>
      </c>
      <c r="AL1211" s="320">
        <v>1459.9999999999936</v>
      </c>
      <c r="AM1211" s="320">
        <v>2224.9999999999945</v>
      </c>
      <c r="AN1211" s="320">
        <v>1890.0000000000005</v>
      </c>
      <c r="AO1211" s="320">
        <v>2929.9999999999927</v>
      </c>
      <c r="AP1211" s="320">
        <v>3450.0000000000027</v>
      </c>
      <c r="AQ1211" s="320">
        <v>3519.9999999999959</v>
      </c>
      <c r="AR1211" s="320">
        <v>3459.9999999999936</v>
      </c>
      <c r="AS1211" s="320">
        <v>3459.9999999999936</v>
      </c>
      <c r="AT1211" s="320">
        <v>3069.9999999999932</v>
      </c>
      <c r="AU1211" s="320">
        <v>3429.9999999999927</v>
      </c>
      <c r="AV1211" s="320">
        <f ca="1">Calc!Z14</f>
        <v>25.873810000000006</v>
      </c>
      <c r="AX1211" s="88" t="str">
        <f t="shared" ca="1" si="98"/>
        <v>CVS</v>
      </c>
    </row>
    <row r="1212" spans="1:50" hidden="1">
      <c r="A1212" s="88" t="str">
        <f t="shared" ca="1" si="101"/>
        <v>DDD</v>
      </c>
      <c r="C1212" s="1">
        <v>15</v>
      </c>
      <c r="F1212" s="253">
        <v>0.61060000000000003</v>
      </c>
      <c r="G1212" s="253">
        <v>0.61029999999999995</v>
      </c>
      <c r="H1212" s="253">
        <v>0.60980000000000001</v>
      </c>
      <c r="I1212" s="253">
        <v>0.60070000000000001</v>
      </c>
      <c r="J1212" s="253">
        <v>0.60019999999999996</v>
      </c>
      <c r="K1212" s="253">
        <v>0.60140000000000005</v>
      </c>
      <c r="L1212" s="253">
        <v>0.60050000000000003</v>
      </c>
      <c r="M1212" s="253">
        <v>0.60160000000000002</v>
      </c>
      <c r="N1212" s="253">
        <v>0.60160000000000002</v>
      </c>
      <c r="O1212" s="253">
        <v>0.59</v>
      </c>
      <c r="P1212" s="253">
        <v>0.59570000000000001</v>
      </c>
      <c r="Q1212" s="253">
        <v>0.59240000000000004</v>
      </c>
      <c r="R1212" s="253">
        <v>0.59289999999999998</v>
      </c>
      <c r="S1212" s="253">
        <v>0.58889999999999998</v>
      </c>
      <c r="T1212" s="253">
        <v>0.58889999999999998</v>
      </c>
      <c r="U1212" s="253">
        <v>0.59750000000000003</v>
      </c>
      <c r="V1212" s="253">
        <v>0.59709999999999996</v>
      </c>
      <c r="W1212" s="253">
        <v>0.59709999999999996</v>
      </c>
      <c r="X1212" s="253">
        <v>0.59709999999999996</v>
      </c>
      <c r="Y1212" s="253">
        <v>0.59709999999999996</v>
      </c>
      <c r="Z1212" s="247">
        <f ca="1">[1]ExtEntry!$R15</f>
        <v>2.1852999999999998</v>
      </c>
      <c r="AB1212" s="320">
        <v>21200.000000000007</v>
      </c>
      <c r="AC1212" s="320">
        <v>19.343810000000005</v>
      </c>
      <c r="AD1212" s="320">
        <v>20.803809999999999</v>
      </c>
      <c r="AE1212" s="320">
        <v>21.383809999999997</v>
      </c>
      <c r="AF1212" s="320">
        <v>21.433809999999994</v>
      </c>
      <c r="AG1212" s="320">
        <v>21.063810000000004</v>
      </c>
      <c r="AH1212" s="320">
        <v>20.893810000000002</v>
      </c>
      <c r="AI1212" s="320">
        <v>20.693809999999999</v>
      </c>
      <c r="AJ1212" s="320">
        <v>20.683809999999994</v>
      </c>
      <c r="AK1212" s="320">
        <v>22.393810000000002</v>
      </c>
      <c r="AL1212" s="320">
        <v>23.623810000000006</v>
      </c>
      <c r="AM1212" s="320">
        <v>25.053809999999999</v>
      </c>
      <c r="AN1212" s="320">
        <v>25.343810000000005</v>
      </c>
      <c r="AO1212" s="320">
        <v>26.463809999999995</v>
      </c>
      <c r="AP1212" s="320">
        <v>26.393810000000002</v>
      </c>
      <c r="AQ1212" s="320">
        <v>26.963809999999995</v>
      </c>
      <c r="AR1212" s="320">
        <v>25.983810000000005</v>
      </c>
      <c r="AS1212" s="320">
        <v>25.983810000000005</v>
      </c>
      <c r="AT1212" s="320">
        <v>25.013809999999992</v>
      </c>
      <c r="AU1212" s="320">
        <v>25.843810000000005</v>
      </c>
      <c r="AV1212" s="320">
        <f ca="1">Calc!Z15</f>
        <v>24400</v>
      </c>
      <c r="AX1212" s="88" t="str">
        <f t="shared" ca="1" si="98"/>
        <v>DDD</v>
      </c>
    </row>
    <row r="1213" spans="1:50" hidden="1">
      <c r="A1213" s="88" t="str">
        <f t="shared" ca="1" si="101"/>
        <v>DIS</v>
      </c>
      <c r="C1213" s="1">
        <v>16</v>
      </c>
      <c r="F1213" s="253">
        <v>2.1194999999999999</v>
      </c>
      <c r="G1213" s="253">
        <v>2.1150000000000002</v>
      </c>
      <c r="H1213" s="253">
        <v>2.1158000000000001</v>
      </c>
      <c r="I1213" s="253">
        <v>2.1880000000000002</v>
      </c>
      <c r="J1213" s="253">
        <v>2.1848999999999998</v>
      </c>
      <c r="K1213" s="253">
        <v>2.1829999999999998</v>
      </c>
      <c r="L1213" s="253">
        <v>2.1808999999999998</v>
      </c>
      <c r="M1213" s="253">
        <v>2.1838000000000002</v>
      </c>
      <c r="N1213" s="253">
        <v>2.1838000000000002</v>
      </c>
      <c r="O1213" s="253">
        <v>2.1762999999999999</v>
      </c>
      <c r="P1213" s="253">
        <v>2.1745000000000001</v>
      </c>
      <c r="Q1213" s="253">
        <v>2.1745999999999999</v>
      </c>
      <c r="R1213" s="253">
        <v>2.1697000000000002</v>
      </c>
      <c r="S1213" s="253">
        <v>2.1758000000000002</v>
      </c>
      <c r="T1213" s="253">
        <v>2.1758000000000002</v>
      </c>
      <c r="U1213" s="253">
        <v>2.1718000000000002</v>
      </c>
      <c r="V1213" s="253">
        <v>2.1789000000000001</v>
      </c>
      <c r="W1213" s="253">
        <v>2.1789000000000001</v>
      </c>
      <c r="X1213" s="253">
        <v>2.1789000000000001</v>
      </c>
      <c r="Y1213" s="253">
        <v>2.1789000000000001</v>
      </c>
      <c r="Z1213" s="247">
        <f ca="1">[1]ExtEntry!$R16</f>
        <v>1.5541</v>
      </c>
      <c r="AB1213" s="320">
        <v>-1281.9999999999936</v>
      </c>
      <c r="AC1213" s="320">
        <v>19800</v>
      </c>
      <c r="AD1213" s="320">
        <v>19100.000000000007</v>
      </c>
      <c r="AE1213" s="320">
        <v>21700.000000000004</v>
      </c>
      <c r="AF1213" s="320">
        <v>24200.000000000004</v>
      </c>
      <c r="AG1213" s="320">
        <v>24499.999999999996</v>
      </c>
      <c r="AH1213" s="320">
        <v>26700.000000000004</v>
      </c>
      <c r="AI1213" s="320">
        <v>25400.000000000004</v>
      </c>
      <c r="AJ1213" s="320">
        <v>25400.000000000004</v>
      </c>
      <c r="AK1213" s="320">
        <v>24000</v>
      </c>
      <c r="AL1213" s="320">
        <v>23400.000000000004</v>
      </c>
      <c r="AM1213" s="320">
        <v>26800</v>
      </c>
      <c r="AN1213" s="320">
        <v>26999.999999999996</v>
      </c>
      <c r="AO1213" s="320">
        <v>24000</v>
      </c>
      <c r="AP1213" s="320">
        <v>37500.000000000007</v>
      </c>
      <c r="AQ1213" s="320">
        <v>29200.000000000004</v>
      </c>
      <c r="AR1213" s="320">
        <v>21900</v>
      </c>
      <c r="AS1213" s="320">
        <v>21900</v>
      </c>
      <c r="AT1213" s="320">
        <v>23300.000000000004</v>
      </c>
      <c r="AU1213" s="320">
        <v>24300</v>
      </c>
      <c r="AV1213" s="320">
        <f ca="1">Calc!Z16</f>
        <v>-3373.9999999999895</v>
      </c>
      <c r="AX1213" s="88" t="str">
        <f t="shared" ca="1" si="98"/>
        <v>DIS</v>
      </c>
    </row>
    <row r="1214" spans="1:50" hidden="1">
      <c r="A1214" s="88" t="str">
        <f t="shared" ca="1" si="101"/>
        <v>DSY</v>
      </c>
      <c r="C1214" s="1">
        <v>17</v>
      </c>
      <c r="F1214" s="253">
        <v>1.5461</v>
      </c>
      <c r="G1214" s="253">
        <v>1.5456000000000001</v>
      </c>
      <c r="H1214" s="253">
        <v>1.5418000000000001</v>
      </c>
      <c r="I1214" s="253">
        <v>1.554</v>
      </c>
      <c r="J1214" s="253">
        <v>1.5546</v>
      </c>
      <c r="K1214" s="253">
        <v>1.5543</v>
      </c>
      <c r="L1214" s="253">
        <v>1.5543</v>
      </c>
      <c r="M1214" s="253">
        <v>1.5544</v>
      </c>
      <c r="N1214" s="253">
        <v>1.5544</v>
      </c>
      <c r="O1214" s="253">
        <v>1.5532999999999999</v>
      </c>
      <c r="P1214" s="253">
        <v>1.5557000000000001</v>
      </c>
      <c r="Q1214" s="253">
        <v>1.5542</v>
      </c>
      <c r="R1214" s="253">
        <v>1.5543</v>
      </c>
      <c r="S1214" s="253">
        <v>1.5552999999999999</v>
      </c>
      <c r="T1214" s="253">
        <v>1.5552999999999999</v>
      </c>
      <c r="U1214" s="253">
        <v>1.5546</v>
      </c>
      <c r="V1214" s="253">
        <v>1.5536000000000001</v>
      </c>
      <c r="W1214" s="253">
        <v>1.5536000000000001</v>
      </c>
      <c r="X1214" s="253">
        <v>1.5536000000000001</v>
      </c>
      <c r="Y1214" s="253">
        <v>1.5536000000000001</v>
      </c>
      <c r="Z1214" s="247">
        <f ca="1">[1]ExtEntry!$R17</f>
        <v>0.68200000000000005</v>
      </c>
      <c r="AB1214" s="320">
        <v>3339.9999999999964</v>
      </c>
      <c r="AC1214" s="320">
        <v>-1133.9999999999918</v>
      </c>
      <c r="AD1214" s="320">
        <v>-2369.9999999999932</v>
      </c>
      <c r="AE1214" s="320">
        <v>-2989.9999999999977</v>
      </c>
      <c r="AF1214" s="320">
        <v>-2725.9999999999991</v>
      </c>
      <c r="AG1214" s="320">
        <v>-2662.0000000000005</v>
      </c>
      <c r="AH1214" s="320">
        <v>-3205.9999999999945</v>
      </c>
      <c r="AI1214" s="320">
        <v>-3925.9999999999991</v>
      </c>
      <c r="AJ1214" s="320">
        <v>-3925.9999999999991</v>
      </c>
      <c r="AK1214" s="320">
        <v>-4485.99999999999</v>
      </c>
      <c r="AL1214" s="320">
        <v>-3785.99999999999</v>
      </c>
      <c r="AM1214" s="320">
        <v>-3113.9999999999986</v>
      </c>
      <c r="AN1214" s="320">
        <v>-4801.9999999999982</v>
      </c>
      <c r="AO1214" s="320">
        <v>-4181.9999999999936</v>
      </c>
      <c r="AP1214" s="320">
        <v>-3133.9999999999918</v>
      </c>
      <c r="AQ1214" s="320">
        <v>-1269.9999999999932</v>
      </c>
      <c r="AR1214" s="320">
        <v>-2237.9999999999995</v>
      </c>
      <c r="AS1214" s="320">
        <v>-2237.9999999999995</v>
      </c>
      <c r="AT1214" s="320">
        <v>-2301.9999999999982</v>
      </c>
      <c r="AU1214" s="320">
        <v>-3381.9999999999936</v>
      </c>
      <c r="AV1214" s="320">
        <f ca="1">Calc!Z17</f>
        <v>-1899.9999999999986</v>
      </c>
      <c r="AX1214" s="88" t="str">
        <f t="shared" ca="1" si="98"/>
        <v>DSY</v>
      </c>
    </row>
    <row r="1215" spans="1:50" hidden="1">
      <c r="A1215" s="88" t="str">
        <f t="shared" ca="1" si="101"/>
        <v>DVA</v>
      </c>
      <c r="C1215" s="1">
        <v>18</v>
      </c>
      <c r="F1215" s="253">
        <v>0.68710000000000004</v>
      </c>
      <c r="G1215" s="253">
        <v>0.69110000000000005</v>
      </c>
      <c r="H1215" s="253">
        <v>0.69230000000000003</v>
      </c>
      <c r="I1215" s="253">
        <v>0.67410000000000003</v>
      </c>
      <c r="J1215" s="253">
        <v>0.67379999999999995</v>
      </c>
      <c r="K1215" s="253">
        <v>0.6754</v>
      </c>
      <c r="L1215" s="253">
        <v>0.67400000000000004</v>
      </c>
      <c r="M1215" s="253">
        <v>0.67410000000000003</v>
      </c>
      <c r="N1215" s="253">
        <v>0.67410000000000003</v>
      </c>
      <c r="O1215" s="253">
        <v>0.67359999999999998</v>
      </c>
      <c r="P1215" s="253">
        <v>0.67330000000000001</v>
      </c>
      <c r="Q1215" s="253">
        <v>0.67420000000000002</v>
      </c>
      <c r="R1215" s="253">
        <v>0.67320000000000002</v>
      </c>
      <c r="S1215" s="253">
        <v>0.67569999999999997</v>
      </c>
      <c r="T1215" s="253">
        <v>0.67569999999999997</v>
      </c>
      <c r="U1215" s="253">
        <v>0.67879999999999996</v>
      </c>
      <c r="V1215" s="253">
        <v>0.68259999999999998</v>
      </c>
      <c r="W1215" s="253">
        <v>0.68259999999999998</v>
      </c>
      <c r="X1215" s="253">
        <v>0.68330000000000002</v>
      </c>
      <c r="Y1215" s="253">
        <v>0.68330000000000002</v>
      </c>
      <c r="Z1215" s="247">
        <f ca="1">[1]ExtEntry!$R18</f>
        <v>1.1395999999999999</v>
      </c>
      <c r="AB1215" s="320">
        <v>-9924.7500000000055</v>
      </c>
      <c r="AC1215" s="320">
        <v>3740.0000000000018</v>
      </c>
      <c r="AD1215" s="320">
        <v>3640.0000000000005</v>
      </c>
      <c r="AE1215" s="320">
        <v>5460.0000000000009</v>
      </c>
      <c r="AF1215" s="320">
        <v>5100.0000000000018</v>
      </c>
      <c r="AG1215" s="320">
        <v>4820</v>
      </c>
      <c r="AH1215" s="320">
        <v>4259.9999999999982</v>
      </c>
      <c r="AI1215" s="320">
        <v>4579.9999999999982</v>
      </c>
      <c r="AJ1215" s="320">
        <v>5439.9999999999982</v>
      </c>
      <c r="AK1215" s="320">
        <v>4339.9999999999964</v>
      </c>
      <c r="AL1215" s="320">
        <v>3420.0000000000018</v>
      </c>
      <c r="AM1215" s="320">
        <v>4479.9999999999973</v>
      </c>
      <c r="AN1215" s="320">
        <v>5479.9999999999973</v>
      </c>
      <c r="AO1215" s="320">
        <v>5379.9999999999955</v>
      </c>
      <c r="AP1215" s="320">
        <v>6280.0000000000009</v>
      </c>
      <c r="AQ1215" s="320">
        <v>7259.9999999999982</v>
      </c>
      <c r="AR1215" s="320">
        <v>6960.0000000000009</v>
      </c>
      <c r="AS1215" s="320">
        <v>6960.0000000000009</v>
      </c>
      <c r="AT1215" s="320">
        <v>-859.99999999999943</v>
      </c>
      <c r="AU1215" s="320">
        <v>-1899.9999999999986</v>
      </c>
      <c r="AV1215" s="320">
        <f ca="1">Calc!Z18</f>
        <v>839.99999999999773</v>
      </c>
      <c r="AX1215" s="88" t="str">
        <f t="shared" ca="1" si="98"/>
        <v>DVA</v>
      </c>
    </row>
    <row r="1216" spans="1:50" hidden="1">
      <c r="A1216" s="88" t="str">
        <f t="shared" ca="1" si="101"/>
        <v>DXC</v>
      </c>
      <c r="C1216" s="1">
        <v>19</v>
      </c>
      <c r="F1216" s="253">
        <v>1.1275999999999999</v>
      </c>
      <c r="G1216" s="253">
        <v>1.1251</v>
      </c>
      <c r="H1216" s="253">
        <v>1.1244000000000001</v>
      </c>
      <c r="I1216" s="253">
        <v>1.1379999999999999</v>
      </c>
      <c r="J1216" s="253">
        <v>1.1384000000000001</v>
      </c>
      <c r="K1216" s="253">
        <v>1.1396999999999999</v>
      </c>
      <c r="L1216" s="253">
        <v>1.139</v>
      </c>
      <c r="M1216" s="253">
        <v>1.1392</v>
      </c>
      <c r="N1216" s="253">
        <v>1.1392</v>
      </c>
      <c r="O1216" s="253">
        <v>1.1489</v>
      </c>
      <c r="P1216" s="253">
        <v>1.1466000000000001</v>
      </c>
      <c r="Q1216" s="253">
        <v>1.1437999999999999</v>
      </c>
      <c r="R1216" s="253">
        <v>1.1437999999999999</v>
      </c>
      <c r="S1216" s="253">
        <v>1.1440999999999999</v>
      </c>
      <c r="T1216" s="253">
        <v>1.1440999999999999</v>
      </c>
      <c r="U1216" s="253">
        <v>1.1399999999999999</v>
      </c>
      <c r="V1216" s="253">
        <v>1.1397999999999999</v>
      </c>
      <c r="W1216" s="253">
        <v>1.1397999999999999</v>
      </c>
      <c r="X1216" s="253">
        <v>1.1397999999999999</v>
      </c>
      <c r="Y1216" s="253">
        <v>1.1397999999999999</v>
      </c>
      <c r="Z1216" s="247">
        <f ca="1">[1]ExtEntry!$R19</f>
        <v>1.1529</v>
      </c>
      <c r="AB1216" s="320">
        <v>-2820.0000000000005</v>
      </c>
      <c r="AC1216" s="320">
        <v>-7147.7999999999993</v>
      </c>
      <c r="AD1216" s="320">
        <v>-7147.7999999999993</v>
      </c>
      <c r="AE1216" s="320">
        <v>-7910.1000000000095</v>
      </c>
      <c r="AF1216" s="320">
        <v>-8840.7000000000062</v>
      </c>
      <c r="AG1216" s="320">
        <v>-8959.5000000000109</v>
      </c>
      <c r="AH1216" s="320">
        <v>-12043.350000000006</v>
      </c>
      <c r="AI1216" s="320">
        <v>-304.00000000000205</v>
      </c>
      <c r="AJ1216" s="320">
        <v>-284.00000000000318</v>
      </c>
      <c r="AK1216" s="320">
        <v>-1280.0000000000011</v>
      </c>
      <c r="AL1216" s="320">
        <v>-191.20000000000346</v>
      </c>
      <c r="AM1216" s="320">
        <v>-125.99999999999909</v>
      </c>
      <c r="AN1216" s="320">
        <v>-736.00000000000136</v>
      </c>
      <c r="AO1216" s="320">
        <v>-484.00000000000318</v>
      </c>
      <c r="AP1216" s="320">
        <v>384.00000000000318</v>
      </c>
      <c r="AQ1216" s="320">
        <v>527.99999999999727</v>
      </c>
      <c r="AR1216" s="320">
        <v>796.00000000000364</v>
      </c>
      <c r="AS1216" s="320">
        <v>796.00000000000364</v>
      </c>
      <c r="AT1216" s="320">
        <v>372.00000000000273</v>
      </c>
      <c r="AU1216" s="320">
        <v>839.99999999999773</v>
      </c>
      <c r="AV1216" s="320">
        <f ca="1">Calc!Z19</f>
        <v>-3760.000000000005</v>
      </c>
      <c r="AX1216" s="88" t="str">
        <f t="shared" ca="1" si="98"/>
        <v>DXC</v>
      </c>
    </row>
    <row r="1217" spans="1:50" hidden="1">
      <c r="A1217" s="88" t="str">
        <f t="shared" ca="1" si="101"/>
        <v>EOAN</v>
      </c>
      <c r="C1217" s="1">
        <v>20</v>
      </c>
      <c r="F1217" s="253">
        <v>1.1355</v>
      </c>
      <c r="G1217" s="253">
        <v>1.1298999999999999</v>
      </c>
      <c r="H1217" s="253">
        <v>1.1263000000000001</v>
      </c>
      <c r="I1217" s="253">
        <v>1.1499999999999999</v>
      </c>
      <c r="J1217" s="253">
        <v>1.1513</v>
      </c>
      <c r="K1217" s="253">
        <v>1.1516999999999999</v>
      </c>
      <c r="L1217" s="253">
        <v>1.153</v>
      </c>
      <c r="M1217" s="253">
        <v>1.1524000000000001</v>
      </c>
      <c r="N1217" s="253">
        <v>1.1524000000000001</v>
      </c>
      <c r="O1217" s="253">
        <v>1.1563000000000001</v>
      </c>
      <c r="P1217" s="253">
        <v>1.1533</v>
      </c>
      <c r="Q1217" s="253">
        <v>1.1519999999999999</v>
      </c>
      <c r="R1217" s="253">
        <v>1.1546000000000001</v>
      </c>
      <c r="S1217" s="253">
        <v>1.1571</v>
      </c>
      <c r="T1217" s="253">
        <v>1.1571</v>
      </c>
      <c r="U1217" s="253">
        <v>1.1538999999999999</v>
      </c>
      <c r="V1217" s="253">
        <v>1.1529</v>
      </c>
      <c r="W1217" s="253">
        <v>1.1529</v>
      </c>
      <c r="X1217" s="253">
        <v>1.1529</v>
      </c>
      <c r="Y1217" s="253">
        <v>1.1529</v>
      </c>
      <c r="Z1217" s="247">
        <f ca="1">[1]ExtEntry!$R20</f>
        <v>0.72009999999999996</v>
      </c>
      <c r="AB1217" s="320">
        <v>4593.7499999999991</v>
      </c>
      <c r="AC1217" s="320">
        <v>-3399.9999999999986</v>
      </c>
      <c r="AD1217" s="320">
        <v>-2740.0000000000018</v>
      </c>
      <c r="AE1217" s="320">
        <v>-3560.0000000000023</v>
      </c>
      <c r="AF1217" s="320">
        <v>-2719.9999999999991</v>
      </c>
      <c r="AG1217" s="320">
        <v>-4800.0000000000045</v>
      </c>
      <c r="AH1217" s="320">
        <v>-4560.0000000000018</v>
      </c>
      <c r="AI1217" s="320">
        <v>-3600.0000000000014</v>
      </c>
      <c r="AJ1217" s="320">
        <v>-3600.0000000000014</v>
      </c>
      <c r="AK1217" s="320">
        <v>-5020.0000000000027</v>
      </c>
      <c r="AL1217" s="320">
        <v>-4660.0000000000036</v>
      </c>
      <c r="AM1217" s="320">
        <v>-5399.9999999999982</v>
      </c>
      <c r="AN1217" s="320">
        <v>-6640.0000000000009</v>
      </c>
      <c r="AO1217" s="320">
        <v>-6520.0000000000027</v>
      </c>
      <c r="AP1217" s="320">
        <v>-5940.0000000000045</v>
      </c>
      <c r="AQ1217" s="320">
        <v>-4820</v>
      </c>
      <c r="AR1217" s="320">
        <v>-4840.0000000000036</v>
      </c>
      <c r="AS1217" s="320">
        <v>-4840.0000000000036</v>
      </c>
      <c r="AT1217" s="320">
        <v>-4440.0000000000045</v>
      </c>
      <c r="AU1217" s="320">
        <v>-3760.000000000005</v>
      </c>
      <c r="AV1217" s="320">
        <f ca="1">Calc!Z20</f>
        <v>717.7500000000008</v>
      </c>
      <c r="AX1217" s="88" t="str">
        <f t="shared" ca="1" si="98"/>
        <v>EOAN</v>
      </c>
    </row>
    <row r="1218" spans="1:50" hidden="1">
      <c r="A1218" s="88" t="str">
        <f t="shared" ca="1" si="101"/>
        <v>EPIX</v>
      </c>
      <c r="C1218" s="1">
        <v>21</v>
      </c>
      <c r="F1218" s="253">
        <v>0.70030000000000003</v>
      </c>
      <c r="G1218" s="253">
        <v>0.7056</v>
      </c>
      <c r="H1218" s="253">
        <v>0.7056</v>
      </c>
      <c r="I1218" s="253">
        <v>0.72050000000000003</v>
      </c>
      <c r="J1218" s="253">
        <v>0.72089999999999999</v>
      </c>
      <c r="K1218" s="253">
        <v>0.71989999999999998</v>
      </c>
      <c r="L1218" s="253">
        <v>0.72009999999999996</v>
      </c>
      <c r="M1218" s="253">
        <v>0.72009999999999996</v>
      </c>
      <c r="N1218" s="253">
        <v>0.72009999999999996</v>
      </c>
      <c r="O1218" s="253">
        <v>0.7177</v>
      </c>
      <c r="P1218" s="253">
        <v>0.72060000000000002</v>
      </c>
      <c r="Q1218" s="253">
        <v>0.72050000000000003</v>
      </c>
      <c r="R1218" s="253">
        <v>0.72060000000000002</v>
      </c>
      <c r="S1218" s="253">
        <v>0.72060000000000002</v>
      </c>
      <c r="T1218" s="253">
        <v>0.72060000000000002</v>
      </c>
      <c r="U1218" s="253">
        <v>0.71760000000000002</v>
      </c>
      <c r="V1218" s="253">
        <v>0.72070000000000001</v>
      </c>
      <c r="W1218" s="253">
        <v>0.72070000000000001</v>
      </c>
      <c r="X1218" s="253">
        <v>0.72070000000000001</v>
      </c>
      <c r="Y1218" s="253">
        <v>0.72070000000000001</v>
      </c>
      <c r="Z1218" s="247">
        <f ca="1">[1]ExtEntry!$R21</f>
        <v>1.5513999999999999</v>
      </c>
      <c r="AB1218" s="320">
        <v>-18333.600000000002</v>
      </c>
      <c r="AC1218" s="320">
        <v>4837.5000000000036</v>
      </c>
      <c r="AD1218" s="320">
        <v>5175.0000000000027</v>
      </c>
      <c r="AE1218" s="320">
        <v>4425.0000000000055</v>
      </c>
      <c r="AF1218" s="320">
        <v>5025.0000000000064</v>
      </c>
      <c r="AG1218" s="320">
        <v>734.24999999999955</v>
      </c>
      <c r="AH1218" s="320">
        <v>770.00000000000023</v>
      </c>
      <c r="AI1218" s="320">
        <v>767.2500000000008</v>
      </c>
      <c r="AJ1218" s="320">
        <v>770.00000000000023</v>
      </c>
      <c r="AK1218" s="320">
        <v>814.00000000000125</v>
      </c>
      <c r="AL1218" s="320">
        <v>874.50000000000091</v>
      </c>
      <c r="AM1218" s="320">
        <v>781</v>
      </c>
      <c r="AN1218" s="320">
        <v>808.50000000000034</v>
      </c>
      <c r="AO1218" s="320">
        <v>819.50000000000011</v>
      </c>
      <c r="AP1218" s="320">
        <v>902.00000000000125</v>
      </c>
      <c r="AQ1218" s="320">
        <v>871.74999999999955</v>
      </c>
      <c r="AR1218" s="320">
        <v>726.00000000000114</v>
      </c>
      <c r="AS1218" s="320">
        <v>726.00000000000114</v>
      </c>
      <c r="AT1218" s="320">
        <v>660.00000000000057</v>
      </c>
      <c r="AU1218" s="320">
        <v>703.99999999999966</v>
      </c>
      <c r="AV1218" s="320">
        <f ca="1">Calc!Z21</f>
        <v>-18225.599999999999</v>
      </c>
      <c r="AX1218" s="88" t="str">
        <f t="shared" ca="1" si="98"/>
        <v>EPIX</v>
      </c>
    </row>
    <row r="1219" spans="1:50" hidden="1">
      <c r="A1219" s="88" t="str">
        <f t="shared" ca="1" si="101"/>
        <v>GM</v>
      </c>
      <c r="C1219" s="1">
        <v>22</v>
      </c>
      <c r="F1219" s="253">
        <v>1.5955999999999999</v>
      </c>
      <c r="G1219" s="253">
        <v>1.5857000000000001</v>
      </c>
      <c r="H1219" s="253">
        <v>1.5745</v>
      </c>
      <c r="I1219" s="253">
        <v>1.5464</v>
      </c>
      <c r="J1219" s="253">
        <v>1.5424</v>
      </c>
      <c r="K1219" s="253">
        <v>1.5499000000000001</v>
      </c>
      <c r="L1219" s="253">
        <v>1.5470999999999999</v>
      </c>
      <c r="M1219" s="253">
        <v>1.5513999999999999</v>
      </c>
      <c r="N1219" s="253">
        <v>1.5513999999999999</v>
      </c>
      <c r="O1219" s="253">
        <v>1.5513999999999999</v>
      </c>
      <c r="P1219" s="253">
        <v>1.5513999999999999</v>
      </c>
      <c r="Q1219" s="253">
        <v>1.5513999999999999</v>
      </c>
      <c r="R1219" s="253">
        <v>1.5513999999999999</v>
      </c>
      <c r="S1219" s="253">
        <v>1.5513999999999999</v>
      </c>
      <c r="T1219" s="253">
        <v>1.5513999999999999</v>
      </c>
      <c r="U1219" s="253">
        <v>1.5513999999999999</v>
      </c>
      <c r="V1219" s="253">
        <v>1.5513999999999999</v>
      </c>
      <c r="W1219" s="253">
        <v>1.5513999999999999</v>
      </c>
      <c r="X1219" s="253">
        <v>1.5513999999999999</v>
      </c>
      <c r="Y1219" s="253">
        <v>1.5513999999999999</v>
      </c>
      <c r="Z1219" s="247">
        <f ca="1">[1]ExtEntry!$R22</f>
        <v>1.4</v>
      </c>
      <c r="AB1219" s="320">
        <v>141.38999999999996</v>
      </c>
      <c r="AC1219" s="320">
        <v>-18348</v>
      </c>
      <c r="AD1219" s="320">
        <v>-18169.2</v>
      </c>
      <c r="AE1219" s="320">
        <v>-18031.2</v>
      </c>
      <c r="AF1219" s="320">
        <v>-18166.8</v>
      </c>
      <c r="AG1219" s="320">
        <v>-18180</v>
      </c>
      <c r="AH1219" s="320">
        <v>-18225.599999999999</v>
      </c>
      <c r="AI1219" s="320">
        <v>-18225.599999999999</v>
      </c>
      <c r="AJ1219" s="320">
        <v>-18225.599999999999</v>
      </c>
      <c r="AK1219" s="320">
        <v>-18225.599999999999</v>
      </c>
      <c r="AL1219" s="320">
        <v>-18225.599999999999</v>
      </c>
      <c r="AM1219" s="320">
        <v>-18225.599999999999</v>
      </c>
      <c r="AN1219" s="320">
        <v>-18225.599999999999</v>
      </c>
      <c r="AO1219" s="320">
        <v>-18225.599999999999</v>
      </c>
      <c r="AP1219" s="320">
        <v>-18225.599999999999</v>
      </c>
      <c r="AQ1219" s="320">
        <v>-18225.599999999999</v>
      </c>
      <c r="AR1219" s="320">
        <v>-18225.599999999999</v>
      </c>
      <c r="AS1219" s="320">
        <v>-18225.599999999999</v>
      </c>
      <c r="AT1219" s="320">
        <v>-18225.599999999999</v>
      </c>
      <c r="AU1219" s="320">
        <v>-18225.599999999999</v>
      </c>
      <c r="AV1219" s="320">
        <f ca="1">Calc!Z22</f>
        <v>229.83999999999995</v>
      </c>
      <c r="AX1219" s="88" t="str">
        <f t="shared" ca="1" si="98"/>
        <v>GM</v>
      </c>
    </row>
    <row r="1220" spans="1:50" hidden="1">
      <c r="A1220" s="88" t="str">
        <f t="shared" ca="1" si="101"/>
        <v>HPE</v>
      </c>
      <c r="C1220" s="1">
        <v>23</v>
      </c>
      <c r="F1220" s="253">
        <v>1.3386</v>
      </c>
      <c r="G1220" s="253">
        <v>1.3379000000000001</v>
      </c>
      <c r="H1220" s="253">
        <v>1.3364</v>
      </c>
      <c r="I1220" s="253">
        <v>1.4046000000000001</v>
      </c>
      <c r="J1220" s="253">
        <v>1.4071</v>
      </c>
      <c r="K1220" s="253">
        <v>1.4073</v>
      </c>
      <c r="L1220" s="253">
        <v>1.4097</v>
      </c>
      <c r="M1220" s="253">
        <v>1.4074</v>
      </c>
      <c r="N1220" s="253">
        <v>1.4074</v>
      </c>
      <c r="O1220" s="253">
        <v>1.4211</v>
      </c>
      <c r="P1220" s="253">
        <v>1.4162999999999999</v>
      </c>
      <c r="Q1220" s="253">
        <v>1.4129</v>
      </c>
      <c r="R1220" s="253">
        <v>1.4107000000000001</v>
      </c>
      <c r="S1220" s="253">
        <v>1.4096</v>
      </c>
      <c r="T1220" s="253">
        <v>1.4096</v>
      </c>
      <c r="U1220" s="253">
        <v>1.4077</v>
      </c>
      <c r="V1220" s="253">
        <v>1.4006000000000001</v>
      </c>
      <c r="W1220" s="253">
        <v>1.4006000000000001</v>
      </c>
      <c r="X1220" s="253">
        <v>1.4006000000000001</v>
      </c>
      <c r="Y1220" s="253">
        <v>1.4006000000000001</v>
      </c>
      <c r="Z1220" s="247">
        <f ca="1">[1]ExtEntry!$R23</f>
        <v>1.4478</v>
      </c>
      <c r="AB1220" s="320">
        <v>16839.8</v>
      </c>
      <c r="AC1220" s="320">
        <v>142.83999999999997</v>
      </c>
      <c r="AD1220" s="320">
        <v>146.53999999999996</v>
      </c>
      <c r="AE1220" s="320">
        <v>126.83999999999997</v>
      </c>
      <c r="AF1220" s="320">
        <v>134.54000000000002</v>
      </c>
      <c r="AG1220" s="320">
        <v>105.94000000000001</v>
      </c>
      <c r="AH1220" s="320">
        <v>97.289999999999992</v>
      </c>
      <c r="AI1220" s="320">
        <v>92.639999999999958</v>
      </c>
      <c r="AJ1220" s="320">
        <v>92.44</v>
      </c>
      <c r="AK1220" s="320">
        <v>89.339999999999975</v>
      </c>
      <c r="AL1220" s="320">
        <v>104.73999999999997</v>
      </c>
      <c r="AM1220" s="320">
        <v>112.43899999999996</v>
      </c>
      <c r="AN1220" s="320">
        <v>106.64000000000001</v>
      </c>
      <c r="AO1220" s="320">
        <v>117.04</v>
      </c>
      <c r="AP1220" s="320">
        <v>113.44000000000001</v>
      </c>
      <c r="AQ1220" s="320">
        <v>199.33999999999997</v>
      </c>
      <c r="AR1220" s="320">
        <v>206.43999999999991</v>
      </c>
      <c r="AS1220" s="320">
        <v>206.43999999999991</v>
      </c>
      <c r="AT1220" s="320">
        <v>201.58999999999992</v>
      </c>
      <c r="AU1220" s="320">
        <v>229.94</v>
      </c>
      <c r="AV1220" s="320">
        <f ca="1">Calc!Z23</f>
        <v>1566.0000000000018</v>
      </c>
      <c r="AX1220" s="88" t="str">
        <f t="shared" ca="1" si="98"/>
        <v>HPE</v>
      </c>
    </row>
    <row r="1221" spans="1:50" hidden="1">
      <c r="A1221" s="88" t="str">
        <f t="shared" ca="1" si="101"/>
        <v>HPQ</v>
      </c>
      <c r="C1221" s="1">
        <v>24</v>
      </c>
      <c r="F1221" s="253">
        <v>1.4536</v>
      </c>
      <c r="G1221" s="253">
        <v>1.4543999999999999</v>
      </c>
      <c r="H1221" s="253">
        <v>1.4575</v>
      </c>
      <c r="I1221" s="253">
        <v>1.4435</v>
      </c>
      <c r="J1221" s="253">
        <v>1.4450000000000001</v>
      </c>
      <c r="K1221" s="253">
        <v>1.4442999999999999</v>
      </c>
      <c r="L1221" s="253">
        <v>1.4437</v>
      </c>
      <c r="M1221" s="253">
        <v>1.4428000000000001</v>
      </c>
      <c r="N1221" s="253">
        <v>1.4428000000000001</v>
      </c>
      <c r="O1221" s="253">
        <v>1.4388000000000001</v>
      </c>
      <c r="P1221" s="253">
        <v>1.4419999999999999</v>
      </c>
      <c r="Q1221" s="253">
        <v>1.4401999999999999</v>
      </c>
      <c r="R1221" s="253">
        <v>1.4415</v>
      </c>
      <c r="S1221" s="253">
        <v>1.4527000000000001</v>
      </c>
      <c r="T1221" s="253">
        <v>1.4527000000000001</v>
      </c>
      <c r="U1221" s="253">
        <v>1.4481999999999999</v>
      </c>
      <c r="V1221" s="253">
        <v>1.4474</v>
      </c>
      <c r="W1221" s="253">
        <v>1.4474</v>
      </c>
      <c r="X1221" s="253">
        <v>1.4474</v>
      </c>
      <c r="Y1221" s="253">
        <v>1.4474</v>
      </c>
      <c r="Z1221" s="247">
        <f ca="1">[1]ExtEntry!$R24</f>
        <v>1.2951999999999999</v>
      </c>
      <c r="AB1221" s="320">
        <v>1835.0019999999993</v>
      </c>
      <c r="AC1221" s="320">
        <v>17560</v>
      </c>
      <c r="AD1221" s="320">
        <v>18349.999999999996</v>
      </c>
      <c r="AE1221" s="320">
        <v>17459.999999999996</v>
      </c>
      <c r="AF1221" s="320">
        <v>17330.000000000004</v>
      </c>
      <c r="AG1221" s="320">
        <v>18300</v>
      </c>
      <c r="AH1221" s="320">
        <v>20630</v>
      </c>
      <c r="AI1221" s="320">
        <v>20980</v>
      </c>
      <c r="AJ1221" s="320">
        <v>20980</v>
      </c>
      <c r="AK1221" s="320">
        <v>-186.00000000000136</v>
      </c>
      <c r="AL1221" s="320">
        <v>83.999999999996078</v>
      </c>
      <c r="AM1221" s="320">
        <v>593.99999999999693</v>
      </c>
      <c r="AN1221" s="320">
        <v>-2880.0000000000027</v>
      </c>
      <c r="AO1221" s="320">
        <v>-2352.0000000000009</v>
      </c>
      <c r="AP1221" s="320">
        <v>414.0000000000008</v>
      </c>
      <c r="AQ1221" s="320">
        <v>1152.0000000000009</v>
      </c>
      <c r="AR1221" s="320">
        <v>855.0000000000025</v>
      </c>
      <c r="AS1221" s="320">
        <v>828.00000000000159</v>
      </c>
      <c r="AT1221" s="320">
        <v>1026.0000000000005</v>
      </c>
      <c r="AU1221" s="320">
        <v>1566.0000000000018</v>
      </c>
      <c r="AV1221" s="320">
        <f ca="1">Calc!Z24</f>
        <v>129.99999999999901</v>
      </c>
      <c r="AX1221" s="88" t="str">
        <f t="shared" ca="1" si="98"/>
        <v>HPQ</v>
      </c>
    </row>
    <row r="1222" spans="1:50" hidden="1">
      <c r="A1222" s="88" t="str">
        <f t="shared" ca="1" si="101"/>
        <v>IAG</v>
      </c>
      <c r="C1222" s="1">
        <v>25</v>
      </c>
      <c r="F1222" s="253">
        <v>1.3036000000000001</v>
      </c>
      <c r="G1222" s="253">
        <v>1.3019000000000001</v>
      </c>
      <c r="H1222" s="253">
        <v>1.2999000000000001</v>
      </c>
      <c r="I1222" s="253">
        <v>1.2972999999999999</v>
      </c>
      <c r="J1222" s="253">
        <v>1.2979000000000001</v>
      </c>
      <c r="K1222" s="253">
        <v>1.2970999999999999</v>
      </c>
      <c r="L1222" s="253">
        <v>1.2977000000000001</v>
      </c>
      <c r="M1222" s="253">
        <v>1.2963</v>
      </c>
      <c r="N1222" s="253">
        <v>1.2963</v>
      </c>
      <c r="O1222" s="253">
        <v>1.3038000000000001</v>
      </c>
      <c r="P1222" s="253">
        <v>1.2934000000000001</v>
      </c>
      <c r="Q1222" s="253">
        <v>1.2858000000000001</v>
      </c>
      <c r="R1222" s="253">
        <v>1.2882</v>
      </c>
      <c r="S1222" s="253">
        <v>1.2937000000000001</v>
      </c>
      <c r="T1222" s="253">
        <v>1.2937000000000001</v>
      </c>
      <c r="U1222" s="253">
        <v>1.2951999999999999</v>
      </c>
      <c r="V1222" s="253">
        <v>1.2943</v>
      </c>
      <c r="W1222" s="253">
        <v>1.2943</v>
      </c>
      <c r="X1222" s="253">
        <v>1.2943</v>
      </c>
      <c r="Y1222" s="253">
        <v>1.2943</v>
      </c>
      <c r="Z1222" s="247">
        <f ca="1">[1]ExtEntry!$R25</f>
        <v>2.8862999999999999</v>
      </c>
      <c r="AB1222" s="320">
        <v>27017.600000000006</v>
      </c>
      <c r="AC1222" s="320">
        <v>2260.002</v>
      </c>
      <c r="AD1222" s="320">
        <v>1740.0020000000004</v>
      </c>
      <c r="AE1222" s="320">
        <v>1515.001999999999</v>
      </c>
      <c r="AF1222" s="320">
        <v>1690.0019999999997</v>
      </c>
      <c r="AG1222" s="320">
        <v>1610.0019999999979</v>
      </c>
      <c r="AH1222" s="320">
        <v>2080.0020000000004</v>
      </c>
      <c r="AI1222" s="320">
        <v>2020.0019999999981</v>
      </c>
      <c r="AJ1222" s="320">
        <v>2020.0019999999981</v>
      </c>
      <c r="AK1222" s="320">
        <v>6400.0000000000055</v>
      </c>
      <c r="AL1222" s="320">
        <v>11180.000000000007</v>
      </c>
      <c r="AM1222" s="320">
        <v>11760.000000000005</v>
      </c>
      <c r="AN1222" s="320">
        <v>-315.00000000000125</v>
      </c>
      <c r="AO1222" s="320">
        <v>-160.00000000000014</v>
      </c>
      <c r="AP1222" s="320">
        <v>125</v>
      </c>
      <c r="AQ1222" s="320">
        <v>629.99999999999898</v>
      </c>
      <c r="AR1222" s="320">
        <v>129.99999999999901</v>
      </c>
      <c r="AS1222" s="320">
        <v>129.99999999999901</v>
      </c>
      <c r="AT1222" s="320">
        <v>294.99999999999818</v>
      </c>
      <c r="AU1222" s="320">
        <v>129.99999999999901</v>
      </c>
      <c r="AV1222" s="320">
        <f ca="1">Calc!Z25</f>
        <v>32197.600000000002</v>
      </c>
      <c r="AX1222" s="88" t="str">
        <f t="shared" ca="1" si="98"/>
        <v>IAG</v>
      </c>
    </row>
    <row r="1223" spans="1:50" hidden="1">
      <c r="A1223" s="88" t="str">
        <f t="shared" ca="1" si="101"/>
        <v>KR</v>
      </c>
      <c r="C1223" s="1">
        <v>26</v>
      </c>
      <c r="F1223" s="253">
        <v>2.8018000000000001</v>
      </c>
      <c r="G1223" s="253">
        <v>2.8001999999999998</v>
      </c>
      <c r="H1223" s="253">
        <v>2.7949000000000002</v>
      </c>
      <c r="I1223" s="253">
        <v>2.8875000000000002</v>
      </c>
      <c r="J1223" s="253">
        <v>2.8885000000000001</v>
      </c>
      <c r="K1223" s="253">
        <v>2.8854000000000002</v>
      </c>
      <c r="L1223" s="253">
        <v>2.8858000000000001</v>
      </c>
      <c r="M1223" s="253">
        <v>2.8837000000000002</v>
      </c>
      <c r="N1223" s="253">
        <v>2.8837000000000002</v>
      </c>
      <c r="O1223" s="253">
        <v>2.8866999999999998</v>
      </c>
      <c r="P1223" s="253">
        <v>2.8881000000000001</v>
      </c>
      <c r="Q1223" s="253">
        <v>2.8883000000000001</v>
      </c>
      <c r="R1223" s="253">
        <v>2.8873000000000002</v>
      </c>
      <c r="S1223" s="253">
        <v>2.8868</v>
      </c>
      <c r="T1223" s="253">
        <v>2.8868</v>
      </c>
      <c r="U1223" s="253">
        <v>2.8875999999999999</v>
      </c>
      <c r="V1223" s="253">
        <v>2.8881999999999999</v>
      </c>
      <c r="W1223" s="253">
        <v>2.8881999999999999</v>
      </c>
      <c r="X1223" s="253">
        <v>2.8881999999999999</v>
      </c>
      <c r="Y1223" s="253">
        <v>2.8881999999999999</v>
      </c>
      <c r="Z1223" s="247">
        <f ca="1">[1]ExtEntry!$R26</f>
        <v>0.55230000000000001</v>
      </c>
      <c r="AB1223" s="320">
        <v>-782.1000000000015</v>
      </c>
      <c r="AC1223" s="320">
        <v>27417.600000000006</v>
      </c>
      <c r="AD1223" s="320">
        <v>26077.599999999995</v>
      </c>
      <c r="AE1223" s="320">
        <v>27517.600000000006</v>
      </c>
      <c r="AF1223" s="320">
        <v>27357.600000000002</v>
      </c>
      <c r="AG1223" s="320">
        <v>28137.599999999995</v>
      </c>
      <c r="AH1223" s="320">
        <v>30197.600000000002</v>
      </c>
      <c r="AI1223" s="320">
        <v>32757.600000000002</v>
      </c>
      <c r="AJ1223" s="320">
        <v>31817.600000000006</v>
      </c>
      <c r="AK1223" s="320">
        <v>31837.599999999995</v>
      </c>
      <c r="AL1223" s="320">
        <v>31797.600000000002</v>
      </c>
      <c r="AM1223" s="320">
        <v>31697.600000000002</v>
      </c>
      <c r="AN1223" s="320">
        <v>31457.600000000002</v>
      </c>
      <c r="AO1223" s="320">
        <v>28437.599999999995</v>
      </c>
      <c r="AP1223" s="320">
        <v>29397.600000000002</v>
      </c>
      <c r="AQ1223" s="320">
        <v>28957.600000000002</v>
      </c>
      <c r="AR1223" s="320">
        <v>30717.600000000006</v>
      </c>
      <c r="AS1223" s="320">
        <v>30717.600000000006</v>
      </c>
      <c r="AT1223" s="320">
        <v>30897.600000000002</v>
      </c>
      <c r="AU1223" s="320">
        <v>32197.600000000002</v>
      </c>
      <c r="AV1223" s="320">
        <f ca="1">Calc!Z26</f>
        <v>114.99999999999488</v>
      </c>
      <c r="AX1223" s="88" t="str">
        <f t="shared" ca="1" si="98"/>
        <v>KR</v>
      </c>
    </row>
    <row r="1224" spans="1:50" hidden="1">
      <c r="A1224" s="88" t="str">
        <f t="shared" ca="1" si="101"/>
        <v>LNSR</v>
      </c>
      <c r="C1224" s="1">
        <v>27</v>
      </c>
      <c r="F1224" s="253">
        <v>0.56510000000000005</v>
      </c>
      <c r="G1224" s="253">
        <v>0.56579999999999997</v>
      </c>
      <c r="H1224" s="253">
        <v>0.5665</v>
      </c>
      <c r="I1224" s="253">
        <v>0.55449999999999999</v>
      </c>
      <c r="J1224" s="253">
        <v>0.55449999999999999</v>
      </c>
      <c r="K1224" s="253">
        <v>0.55489999999999995</v>
      </c>
      <c r="L1224" s="253">
        <v>0.55400000000000005</v>
      </c>
      <c r="M1224" s="253">
        <v>0.55269999999999997</v>
      </c>
      <c r="N1224" s="253">
        <v>0.55269999999999997</v>
      </c>
      <c r="O1224" s="253">
        <v>0.55020000000000002</v>
      </c>
      <c r="P1224" s="253">
        <v>0.55400000000000005</v>
      </c>
      <c r="Q1224" s="253">
        <v>0.54920000000000002</v>
      </c>
      <c r="R1224" s="253">
        <v>0.55020000000000002</v>
      </c>
      <c r="S1224" s="253">
        <v>0.55020000000000002</v>
      </c>
      <c r="T1224" s="253">
        <v>0.55020000000000002</v>
      </c>
      <c r="U1224" s="253">
        <v>0.55189999999999995</v>
      </c>
      <c r="V1224" s="253">
        <v>0.55310000000000004</v>
      </c>
      <c r="W1224" s="253">
        <v>0.55310000000000004</v>
      </c>
      <c r="X1224" s="253">
        <v>0.55310000000000004</v>
      </c>
      <c r="Y1224" s="253">
        <v>0.55310000000000004</v>
      </c>
      <c r="Z1224" s="247">
        <f ca="1">[1]ExtEntry!$R27</f>
        <v>0.49120000000000003</v>
      </c>
      <c r="AB1224" s="320">
        <v>0</v>
      </c>
      <c r="AC1224" s="320">
        <v>151.79999999999325</v>
      </c>
      <c r="AD1224" s="320">
        <v>-455.40000000000788</v>
      </c>
      <c r="AE1224" s="320">
        <v>-534.6000000000015</v>
      </c>
      <c r="AF1224" s="320">
        <v>-580.80000000000632</v>
      </c>
      <c r="AG1224" s="320">
        <v>-198.0000000000075</v>
      </c>
      <c r="AH1224" s="320">
        <v>620.3999999999985</v>
      </c>
      <c r="AI1224" s="320">
        <v>250.799999999997</v>
      </c>
      <c r="AJ1224" s="320">
        <v>250.799999999997</v>
      </c>
      <c r="AK1224" s="320">
        <v>-36.300000000004502</v>
      </c>
      <c r="AL1224" s="320">
        <v>1286.9999999999925</v>
      </c>
      <c r="AM1224" s="320">
        <v>1270.4999999999982</v>
      </c>
      <c r="AN1224" s="320">
        <v>1128.5999999999958</v>
      </c>
      <c r="AO1224" s="320">
        <v>1194.5999999999922</v>
      </c>
      <c r="AP1224" s="320">
        <v>241.1999999999901</v>
      </c>
      <c r="AQ1224" s="320">
        <v>-1835.8000000000061</v>
      </c>
      <c r="AR1224" s="320">
        <v>-495.80000000000609</v>
      </c>
      <c r="AS1224" s="320">
        <v>-495.80000000000609</v>
      </c>
      <c r="AT1224" s="320">
        <v>-428.8000000000099</v>
      </c>
      <c r="AU1224" s="320">
        <v>104.99999999998977</v>
      </c>
      <c r="AV1224" s="320">
        <f ca="1">Calc!Z27</f>
        <v>0</v>
      </c>
      <c r="AX1224" s="88" t="str">
        <f t="shared" ca="1" si="98"/>
        <v>LNSR</v>
      </c>
    </row>
    <row r="1225" spans="1:50" hidden="1">
      <c r="A1225" s="88" t="str">
        <f t="shared" ca="1" si="101"/>
        <v>LUMN</v>
      </c>
      <c r="C1225" s="1">
        <v>28</v>
      </c>
      <c r="F1225" s="253">
        <v>0.49170000000000003</v>
      </c>
      <c r="G1225" s="253">
        <v>0.48970000000000002</v>
      </c>
      <c r="H1225" s="253">
        <v>0.4899</v>
      </c>
      <c r="I1225" s="253">
        <v>0.49149999999999999</v>
      </c>
      <c r="J1225" s="253">
        <v>0.49049999999999999</v>
      </c>
      <c r="K1225" s="253">
        <v>0.49259999999999998</v>
      </c>
      <c r="L1225" s="253">
        <v>0.49159999999999998</v>
      </c>
      <c r="M1225" s="253">
        <v>0.49070000000000003</v>
      </c>
      <c r="N1225" s="253">
        <v>0.49070000000000003</v>
      </c>
      <c r="O1225" s="253">
        <v>0.50060000000000004</v>
      </c>
      <c r="P1225" s="253">
        <v>0.49590000000000001</v>
      </c>
      <c r="Q1225" s="253">
        <v>0.49609999999999999</v>
      </c>
      <c r="R1225" s="253">
        <v>0.501</v>
      </c>
      <c r="S1225" s="253">
        <v>0.49690000000000001</v>
      </c>
      <c r="T1225" s="253">
        <v>0.49690000000000001</v>
      </c>
      <c r="U1225" s="253">
        <v>0.49099999999999999</v>
      </c>
      <c r="V1225" s="253">
        <v>0.49099999999999999</v>
      </c>
      <c r="W1225" s="253">
        <v>0.49099999999999999</v>
      </c>
      <c r="X1225" s="253">
        <v>0.49099999999999999</v>
      </c>
      <c r="Y1225" s="253">
        <v>0.49099999999999999</v>
      </c>
      <c r="Z1225" s="247">
        <f ca="1">[1]ExtEntry!$R28</f>
        <v>1.3936999999999999</v>
      </c>
      <c r="AB1225" s="320">
        <v>779.79999999999984</v>
      </c>
      <c r="AC1225" s="320">
        <v>0</v>
      </c>
      <c r="AD1225" s="320">
        <v>0</v>
      </c>
      <c r="AE1225" s="320">
        <v>0</v>
      </c>
      <c r="AF1225" s="320">
        <v>0</v>
      </c>
      <c r="AG1225" s="320">
        <v>0</v>
      </c>
      <c r="AH1225" s="320">
        <v>0</v>
      </c>
      <c r="AI1225" s="320">
        <v>0</v>
      </c>
      <c r="AJ1225" s="320">
        <v>0</v>
      </c>
      <c r="AK1225" s="320">
        <v>0</v>
      </c>
      <c r="AL1225" s="320">
        <v>0</v>
      </c>
      <c r="AM1225" s="320">
        <v>0</v>
      </c>
      <c r="AN1225" s="320">
        <v>0</v>
      </c>
      <c r="AO1225" s="320">
        <v>0</v>
      </c>
      <c r="AP1225" s="320">
        <v>0</v>
      </c>
      <c r="AQ1225" s="320">
        <v>0</v>
      </c>
      <c r="AR1225" s="320">
        <v>0</v>
      </c>
      <c r="AS1225" s="320">
        <v>0</v>
      </c>
      <c r="AT1225" s="320">
        <v>0</v>
      </c>
      <c r="AU1225" s="320">
        <v>0</v>
      </c>
      <c r="AV1225" s="320">
        <f ca="1">Calc!Z28</f>
        <v>30.216999999999999</v>
      </c>
      <c r="AX1225" s="88" t="str">
        <f t="shared" ca="1" si="98"/>
        <v>LUMN</v>
      </c>
    </row>
    <row r="1226" spans="1:50" hidden="1">
      <c r="A1226" s="88" t="str">
        <f t="shared" ca="1" si="101"/>
        <v>MRNA</v>
      </c>
      <c r="C1226" s="1">
        <v>29</v>
      </c>
      <c r="F1226" s="253">
        <v>1.4234</v>
      </c>
      <c r="G1226" s="253">
        <v>1.4251</v>
      </c>
      <c r="H1226" s="253">
        <v>1.4373</v>
      </c>
      <c r="I1226" s="253">
        <v>1.4019999999999999</v>
      </c>
      <c r="J1226" s="253">
        <v>1.3982000000000001</v>
      </c>
      <c r="K1226" s="253">
        <v>1.3936999999999999</v>
      </c>
      <c r="L1226" s="253">
        <v>1.3915999999999999</v>
      </c>
      <c r="M1226" s="253">
        <v>1.3968</v>
      </c>
      <c r="N1226" s="253">
        <v>1.3968</v>
      </c>
      <c r="O1226" s="253">
        <v>1.3741000000000001</v>
      </c>
      <c r="P1226" s="253">
        <v>1.3851</v>
      </c>
      <c r="Q1226" s="253">
        <v>1.3803000000000001</v>
      </c>
      <c r="R1226" s="253">
        <v>1.3767</v>
      </c>
      <c r="S1226" s="253">
        <v>1.3832</v>
      </c>
      <c r="T1226" s="253">
        <v>1.3832</v>
      </c>
      <c r="U1226" s="253">
        <v>1.3927</v>
      </c>
      <c r="V1226" s="253">
        <v>1.3926000000000001</v>
      </c>
      <c r="W1226" s="253">
        <v>1.3926000000000001</v>
      </c>
      <c r="X1226" s="253">
        <v>1.3926000000000001</v>
      </c>
      <c r="Y1226" s="253">
        <v>1.3926000000000001</v>
      </c>
      <c r="Z1226" s="247">
        <f ca="1">[1]ExtEntry!$R29</f>
        <v>2.0135000000000001</v>
      </c>
      <c r="AB1226" s="320">
        <v>-48724.200000000004</v>
      </c>
      <c r="AC1226" s="320">
        <v>1056.7000000000003</v>
      </c>
      <c r="AD1226" s="320">
        <v>1006.7000000000004</v>
      </c>
      <c r="AE1226" s="320">
        <v>1316.7</v>
      </c>
      <c r="AF1226" s="320">
        <v>1486.6999999999998</v>
      </c>
      <c r="AG1226" s="320">
        <v>1836.7000000000005</v>
      </c>
      <c r="AH1226" s="320">
        <v>1986.6999999999998</v>
      </c>
      <c r="AI1226" s="320">
        <v>17.867000000000004</v>
      </c>
      <c r="AJ1226" s="320">
        <v>17.817</v>
      </c>
      <c r="AK1226" s="320">
        <v>16.817</v>
      </c>
      <c r="AL1226" s="320">
        <v>18.017000000000003</v>
      </c>
      <c r="AM1226" s="320">
        <v>21.067</v>
      </c>
      <c r="AN1226" s="320">
        <v>19.567000000000007</v>
      </c>
      <c r="AO1226" s="320">
        <v>18.317000000000007</v>
      </c>
      <c r="AP1226" s="320">
        <v>20.867000000000004</v>
      </c>
      <c r="AQ1226" s="320">
        <v>21.067</v>
      </c>
      <c r="AR1226" s="320">
        <v>19.817</v>
      </c>
      <c r="AS1226" s="320">
        <v>19.817</v>
      </c>
      <c r="AT1226" s="320">
        <v>27.167000000000002</v>
      </c>
      <c r="AU1226" s="320">
        <v>30.167000000000009</v>
      </c>
      <c r="AV1226" s="320">
        <f ca="1">Calc!Z29</f>
        <v>-43830.000000000007</v>
      </c>
      <c r="AX1226" s="88" t="str">
        <f t="shared" ca="1" si="98"/>
        <v>MRNA</v>
      </c>
    </row>
    <row r="1227" spans="1:50" hidden="1">
      <c r="A1227" s="88" t="str">
        <f t="shared" ca="1" si="101"/>
        <v>MSFT</v>
      </c>
      <c r="C1227" s="1">
        <v>30</v>
      </c>
      <c r="F1227" s="253">
        <v>2.0005000000000002</v>
      </c>
      <c r="G1227" s="253">
        <v>2.0044</v>
      </c>
      <c r="H1227" s="253">
        <v>2.0068999999999999</v>
      </c>
      <c r="I1227" s="253">
        <v>2.0093999999999999</v>
      </c>
      <c r="J1227" s="253">
        <v>2.0076999999999998</v>
      </c>
      <c r="K1227" s="253">
        <v>2.0127000000000002</v>
      </c>
      <c r="L1227" s="253">
        <v>2.0106000000000002</v>
      </c>
      <c r="M1227" s="253">
        <v>2.0135000000000001</v>
      </c>
      <c r="N1227" s="253">
        <v>2.0135000000000001</v>
      </c>
      <c r="O1227" s="253">
        <v>1.9895</v>
      </c>
      <c r="P1227" s="253">
        <v>2.0064000000000002</v>
      </c>
      <c r="Q1227" s="253">
        <v>2.0082</v>
      </c>
      <c r="R1227" s="253">
        <v>2.0034000000000001</v>
      </c>
      <c r="S1227" s="253">
        <v>2.0114000000000001</v>
      </c>
      <c r="T1227" s="253">
        <v>2.0114000000000001</v>
      </c>
      <c r="U1227" s="253">
        <v>2.0127999999999999</v>
      </c>
      <c r="V1227" s="253">
        <v>2.0123000000000002</v>
      </c>
      <c r="W1227" s="253">
        <v>2.0123000000000002</v>
      </c>
      <c r="X1227" s="253">
        <v>2.0123000000000002</v>
      </c>
      <c r="Y1227" s="253">
        <v>2.0123000000000002</v>
      </c>
      <c r="Z1227" s="247">
        <f ca="1">[1]ExtEntry!$R30</f>
        <v>1.0196000000000001</v>
      </c>
      <c r="AB1227" s="320">
        <v>20463.014999999999</v>
      </c>
      <c r="AC1227" s="320">
        <v>-46560.000000000007</v>
      </c>
      <c r="AD1227" s="320">
        <v>-41250</v>
      </c>
      <c r="AE1227" s="320">
        <v>-38940</v>
      </c>
      <c r="AF1227" s="320">
        <v>-38580.000000000007</v>
      </c>
      <c r="AG1227" s="320">
        <v>-42030.000000000007</v>
      </c>
      <c r="AH1227" s="320">
        <v>-40290</v>
      </c>
      <c r="AI1227" s="320">
        <v>-41460</v>
      </c>
      <c r="AJ1227" s="320">
        <v>-41460</v>
      </c>
      <c r="AK1227" s="320">
        <v>-43830.000000000007</v>
      </c>
      <c r="AL1227" s="320">
        <v>-45300.000000000007</v>
      </c>
      <c r="AM1227" s="320">
        <v>-40785.000000000007</v>
      </c>
      <c r="AN1227" s="320">
        <v>-42630</v>
      </c>
      <c r="AO1227" s="320">
        <v>-46020</v>
      </c>
      <c r="AP1227" s="320">
        <v>-42330.000000000007</v>
      </c>
      <c r="AQ1227" s="320">
        <v>-41580.000000000007</v>
      </c>
      <c r="AR1227" s="320">
        <v>-43500</v>
      </c>
      <c r="AS1227" s="320">
        <v>-43500</v>
      </c>
      <c r="AT1227" s="320">
        <v>-45300.000000000007</v>
      </c>
      <c r="AU1227" s="320">
        <v>-43830.000000000007</v>
      </c>
      <c r="AV1227" s="320">
        <f ca="1">Calc!Z30</f>
        <v>1466.9999999999959</v>
      </c>
      <c r="AX1227" s="88" t="str">
        <f t="shared" ca="1" si="98"/>
        <v>MSFT</v>
      </c>
    </row>
    <row r="1228" spans="1:50" hidden="1">
      <c r="A1228" s="88" t="str">
        <f t="shared" ca="1" si="101"/>
        <v>NEE</v>
      </c>
      <c r="C1228" s="1">
        <v>31</v>
      </c>
      <c r="F1228" s="253">
        <v>1.024</v>
      </c>
      <c r="G1228" s="253">
        <v>1.024</v>
      </c>
      <c r="H1228" s="253">
        <v>1.0237000000000001</v>
      </c>
      <c r="I1228" s="253">
        <v>1.0196000000000001</v>
      </c>
      <c r="J1228" s="253">
        <v>1.0202</v>
      </c>
      <c r="K1228" s="253">
        <v>1.0188999999999999</v>
      </c>
      <c r="L1228" s="253">
        <v>1.0189999999999999</v>
      </c>
      <c r="M1228" s="253">
        <v>1.0193000000000001</v>
      </c>
      <c r="N1228" s="253">
        <v>1.0193000000000001</v>
      </c>
      <c r="O1228" s="253">
        <v>1.0185</v>
      </c>
      <c r="P1228" s="253">
        <v>1.0203</v>
      </c>
      <c r="Q1228" s="253">
        <v>1.0203</v>
      </c>
      <c r="R1228" s="253">
        <v>1.0206</v>
      </c>
      <c r="S1228" s="253">
        <v>1.0205</v>
      </c>
      <c r="T1228" s="253">
        <v>1.0205</v>
      </c>
      <c r="U1228" s="253">
        <v>1.02</v>
      </c>
      <c r="V1228" s="253">
        <v>1.0199</v>
      </c>
      <c r="W1228" s="253">
        <v>1.0199</v>
      </c>
      <c r="X1228" s="253">
        <v>1.0199</v>
      </c>
      <c r="Y1228" s="253">
        <v>1.0199</v>
      </c>
      <c r="Z1228" s="247">
        <f ca="1">[1]ExtEntry!$R31</f>
        <v>0.67359999999999998</v>
      </c>
      <c r="AB1228" s="320">
        <v>5495.4683999999925</v>
      </c>
      <c r="AC1228" s="320">
        <v>20928.000000000007</v>
      </c>
      <c r="AD1228" s="320">
        <v>21192.000000000004</v>
      </c>
      <c r="AE1228" s="320">
        <v>20596.5</v>
      </c>
      <c r="AF1228" s="320">
        <v>20838.000000000004</v>
      </c>
      <c r="AG1228" s="320">
        <v>21832.5</v>
      </c>
      <c r="AH1228" s="320">
        <v>21963.000000000004</v>
      </c>
      <c r="AI1228" s="320">
        <v>21595.499999999996</v>
      </c>
      <c r="AJ1228" s="320">
        <v>21595.499999999996</v>
      </c>
      <c r="AK1228" s="320">
        <v>32.99999999998704</v>
      </c>
      <c r="AL1228" s="320">
        <v>-38.999999999998636</v>
      </c>
      <c r="AM1228" s="320">
        <v>-200.98500000000854</v>
      </c>
      <c r="AN1228" s="320">
        <v>-333.00000000000409</v>
      </c>
      <c r="AO1228" s="320">
        <v>-37.5</v>
      </c>
      <c r="AP1228" s="320">
        <v>443.9999999999884</v>
      </c>
      <c r="AQ1228" s="320">
        <v>574.49999999998909</v>
      </c>
      <c r="AR1228" s="320">
        <v>1006.4999999999884</v>
      </c>
      <c r="AS1228" s="320">
        <v>1006.4999999999884</v>
      </c>
      <c r="AT1228" s="320">
        <v>1009.4999999999857</v>
      </c>
      <c r="AU1228" s="320">
        <v>1466.9999999999959</v>
      </c>
      <c r="AV1228" s="320">
        <f ca="1">Calc!Z31</f>
        <v>5363.8227999999972</v>
      </c>
      <c r="AX1228" s="88" t="str">
        <f t="shared" ca="1" si="98"/>
        <v>NEE</v>
      </c>
    </row>
    <row r="1229" spans="1:50" hidden="1">
      <c r="A1229" s="88" t="str">
        <f t="shared" ca="1" si="101"/>
        <v>NEM</v>
      </c>
      <c r="C1229" s="1">
        <v>32</v>
      </c>
      <c r="F1229" s="253">
        <v>0.65210000000000001</v>
      </c>
      <c r="G1229" s="253">
        <v>0.65339999999999998</v>
      </c>
      <c r="H1229" s="253">
        <v>0.65249999999999997</v>
      </c>
      <c r="I1229" s="253">
        <v>0.67490000000000006</v>
      </c>
      <c r="J1229" s="253">
        <v>0.67559999999999998</v>
      </c>
      <c r="K1229" s="253">
        <v>0.67459999999999998</v>
      </c>
      <c r="L1229" s="253">
        <v>0.67059999999999997</v>
      </c>
      <c r="M1229" s="253">
        <v>0.6754</v>
      </c>
      <c r="N1229" s="253">
        <v>0.6754</v>
      </c>
      <c r="O1229" s="253">
        <v>0.64510000000000001</v>
      </c>
      <c r="P1229" s="253">
        <v>0.65990000000000004</v>
      </c>
      <c r="Q1229" s="253">
        <v>0.65739999999999998</v>
      </c>
      <c r="R1229" s="253">
        <v>0.66010000000000002</v>
      </c>
      <c r="S1229" s="253">
        <v>0.66100000000000003</v>
      </c>
      <c r="T1229" s="253">
        <v>0.66100000000000003</v>
      </c>
      <c r="U1229" s="253">
        <v>0.67220000000000002</v>
      </c>
      <c r="V1229" s="253">
        <v>0.67279999999999995</v>
      </c>
      <c r="W1229" s="253">
        <v>0.67279999999999995</v>
      </c>
      <c r="X1229" s="253">
        <v>0.67279999999999995</v>
      </c>
      <c r="Y1229" s="253">
        <v>0.67279999999999995</v>
      </c>
      <c r="Z1229" s="247">
        <f ca="1">[1]ExtEntry!$R32</f>
        <v>0.35310000000000002</v>
      </c>
      <c r="AB1229" s="320">
        <v>29023.1</v>
      </c>
      <c r="AC1229" s="320">
        <v>5363.4683999999934</v>
      </c>
      <c r="AD1229" s="320">
        <v>9203.4683999999979</v>
      </c>
      <c r="AE1229" s="320">
        <v>8609.4683999999907</v>
      </c>
      <c r="AF1229" s="320">
        <v>10889.468399999998</v>
      </c>
      <c r="AG1229" s="320">
        <v>8602.6899000000012</v>
      </c>
      <c r="AH1229" s="320">
        <v>9141.6898999999994</v>
      </c>
      <c r="AI1229" s="320">
        <v>8889.6898999999994</v>
      </c>
      <c r="AJ1229" s="320">
        <v>8896.6898999999921</v>
      </c>
      <c r="AK1229" s="320">
        <v>9302.6899000000012</v>
      </c>
      <c r="AL1229" s="320">
        <v>5453.8227999999999</v>
      </c>
      <c r="AM1229" s="320">
        <v>5915.8228000000008</v>
      </c>
      <c r="AN1229" s="320">
        <v>5619.8227999999972</v>
      </c>
      <c r="AO1229" s="320">
        <v>5411.822799999999</v>
      </c>
      <c r="AP1229" s="320">
        <v>5509.8228000000008</v>
      </c>
      <c r="AQ1229" s="320">
        <v>5195.8227999999963</v>
      </c>
      <c r="AR1229" s="320">
        <v>4739.8227999999963</v>
      </c>
      <c r="AS1229" s="320">
        <v>4739.8227999999963</v>
      </c>
      <c r="AT1229" s="320">
        <v>4907.8227999999963</v>
      </c>
      <c r="AU1229" s="320">
        <v>5363.8227999999972</v>
      </c>
      <c r="AV1229" s="320">
        <f ca="1">Calc!Z32</f>
        <v>-263.33999999999946</v>
      </c>
      <c r="AX1229" s="88" t="str">
        <f t="shared" ca="1" si="98"/>
        <v>NEM</v>
      </c>
    </row>
    <row r="1230" spans="1:50" hidden="1">
      <c r="A1230" s="88" t="str">
        <f t="shared" ca="1" si="101"/>
        <v>NFLX</v>
      </c>
      <c r="C1230" s="1">
        <v>33</v>
      </c>
      <c r="F1230" s="253">
        <v>0.35160000000000002</v>
      </c>
      <c r="G1230" s="253">
        <v>0.35289999999999999</v>
      </c>
      <c r="H1230" s="253">
        <v>0.35610000000000003</v>
      </c>
      <c r="I1230" s="253">
        <v>0.3533</v>
      </c>
      <c r="J1230" s="253">
        <v>0.35299999999999998</v>
      </c>
      <c r="K1230" s="253">
        <v>0.35249999999999998</v>
      </c>
      <c r="L1230" s="253">
        <v>0.35249999999999998</v>
      </c>
      <c r="M1230" s="253">
        <v>0.35320000000000001</v>
      </c>
      <c r="N1230" s="253">
        <v>0.35320000000000001</v>
      </c>
      <c r="O1230" s="253">
        <v>0.3513</v>
      </c>
      <c r="P1230" s="253">
        <v>0.34599999999999997</v>
      </c>
      <c r="Q1230" s="253">
        <v>0.34300000000000003</v>
      </c>
      <c r="R1230" s="253">
        <v>0.34089999999999998</v>
      </c>
      <c r="S1230" s="253">
        <v>0.34449999999999997</v>
      </c>
      <c r="T1230" s="253">
        <v>0.34449999999999997</v>
      </c>
      <c r="U1230" s="253">
        <v>0.34839999999999999</v>
      </c>
      <c r="V1230" s="253">
        <v>0.35349999999999998</v>
      </c>
      <c r="W1230" s="253">
        <v>0.35349999999999998</v>
      </c>
      <c r="X1230" s="253">
        <v>0.35349999999999998</v>
      </c>
      <c r="Y1230" s="253">
        <v>0.35349999999999998</v>
      </c>
      <c r="Z1230" s="247">
        <f ca="1">[1]ExtEntry!$R33</f>
        <v>1.5948</v>
      </c>
      <c r="AB1230" s="320">
        <v>-1780.0000000000182</v>
      </c>
      <c r="AC1230" s="320">
        <v>28320.000000000007</v>
      </c>
      <c r="AD1230" s="320">
        <v>29970</v>
      </c>
      <c r="AE1230" s="320">
        <v>30455</v>
      </c>
      <c r="AF1230" s="320">
        <v>30885.000000000004</v>
      </c>
      <c r="AG1230" s="320">
        <v>30989.999999999996</v>
      </c>
      <c r="AH1230" s="320">
        <v>32439.999999999996</v>
      </c>
      <c r="AI1230" s="320">
        <v>29260.000000000004</v>
      </c>
      <c r="AJ1230" s="320">
        <v>29239.999999999996</v>
      </c>
      <c r="AK1230" s="320">
        <v>33430.000000000007</v>
      </c>
      <c r="AL1230" s="320">
        <v>34570.000000000007</v>
      </c>
      <c r="AM1230" s="320">
        <v>37670</v>
      </c>
      <c r="AN1230" s="320">
        <v>42280</v>
      </c>
      <c r="AO1230" s="320">
        <v>34800</v>
      </c>
      <c r="AP1230" s="320">
        <v>38925</v>
      </c>
      <c r="AQ1230" s="320">
        <v>-209.99999999997954</v>
      </c>
      <c r="AR1230" s="320">
        <v>1180.0000000000068</v>
      </c>
      <c r="AS1230" s="320">
        <v>1180.0000000000068</v>
      </c>
      <c r="AT1230" s="320">
        <v>4900.0000000000055</v>
      </c>
      <c r="AU1230" s="320">
        <v>-343.34000000001197</v>
      </c>
      <c r="AV1230" s="320">
        <f ca="1">Calc!Z33</f>
        <v>-1095.0000000000273</v>
      </c>
      <c r="AX1230" s="88" t="str">
        <f t="shared" ca="1" si="98"/>
        <v>NFLX</v>
      </c>
    </row>
    <row r="1231" spans="1:50" hidden="1">
      <c r="A1231" s="88" t="str">
        <f t="shared" ca="1" si="101"/>
        <v>NOTE</v>
      </c>
      <c r="C1231" s="1">
        <v>34</v>
      </c>
      <c r="F1231" s="253">
        <v>1.5996999999999999</v>
      </c>
      <c r="G1231" s="253">
        <v>1.5974999999999999</v>
      </c>
      <c r="H1231" s="253">
        <v>1.5931999999999999</v>
      </c>
      <c r="I1231" s="253">
        <v>1.5931999999999999</v>
      </c>
      <c r="J1231" s="253">
        <v>1.5935999999999999</v>
      </c>
      <c r="K1231" s="253">
        <v>1.5926</v>
      </c>
      <c r="L1231" s="253">
        <v>1.5918000000000001</v>
      </c>
      <c r="M1231" s="253">
        <v>1.5908</v>
      </c>
      <c r="N1231" s="253">
        <v>1.5908</v>
      </c>
      <c r="O1231" s="253">
        <v>1.5780000000000001</v>
      </c>
      <c r="P1231" s="253">
        <v>1.5873999999999999</v>
      </c>
      <c r="Q1231" s="253">
        <v>1.5872999999999999</v>
      </c>
      <c r="R1231" s="253">
        <v>1.59</v>
      </c>
      <c r="S1231" s="253">
        <v>1.5902000000000001</v>
      </c>
      <c r="T1231" s="253">
        <v>1.5902000000000001</v>
      </c>
      <c r="U1231" s="253">
        <v>1.5896999999999999</v>
      </c>
      <c r="V1231" s="253">
        <v>1.5895999999999999</v>
      </c>
      <c r="W1231" s="253">
        <v>1.5895999999999999</v>
      </c>
      <c r="X1231" s="253">
        <v>1.5895999999999999</v>
      </c>
      <c r="Y1231" s="253">
        <v>1.5895999999999999</v>
      </c>
      <c r="Z1231" s="247">
        <f ca="1">[1]ExtEntry!$R34</f>
        <v>0.55330000000000001</v>
      </c>
      <c r="AB1231" s="320">
        <v>-2000.0000000000018</v>
      </c>
      <c r="AC1231" s="320">
        <v>-4027.9999999999745</v>
      </c>
      <c r="AD1231" s="320">
        <v>-15235.999999999967</v>
      </c>
      <c r="AE1231" s="320">
        <v>-18584.000000000015</v>
      </c>
      <c r="AF1231" s="320">
        <v>-22268.000000000029</v>
      </c>
      <c r="AG1231" s="320">
        <v>5873.9999999999782</v>
      </c>
      <c r="AH1231" s="320">
        <v>10511.999999999989</v>
      </c>
      <c r="AI1231" s="320">
        <v>13875.999999999976</v>
      </c>
      <c r="AJ1231" s="320">
        <v>13875.999999999976</v>
      </c>
      <c r="AK1231" s="320">
        <v>11467.999999999984</v>
      </c>
      <c r="AL1231" s="320">
        <v>10731.999999999971</v>
      </c>
      <c r="AM1231" s="320">
        <v>8977.9999999999745</v>
      </c>
      <c r="AN1231" s="320">
        <v>392.99999999998363</v>
      </c>
      <c r="AO1231" s="320">
        <v>1969.9999999999818</v>
      </c>
      <c r="AP1231" s="320">
        <v>5889.9999999999864</v>
      </c>
      <c r="AQ1231" s="320">
        <v>6168.9999999999827</v>
      </c>
      <c r="AR1231" s="320">
        <v>-1404.000000000201</v>
      </c>
      <c r="AS1231" s="320">
        <v>-1404.000000000201</v>
      </c>
      <c r="AT1231" s="320">
        <v>5014.9999999999864</v>
      </c>
      <c r="AU1231" s="320">
        <v>-1095.0000000000273</v>
      </c>
      <c r="AV1231" s="320">
        <f ca="1">Calc!Z34</f>
        <v>-2575.0000000000005</v>
      </c>
      <c r="AX1231" s="88" t="str">
        <f t="shared" ca="1" si="98"/>
        <v>NOTE</v>
      </c>
    </row>
    <row r="1232" spans="1:50" hidden="1">
      <c r="A1232" s="88" t="str">
        <f t="shared" ca="1" si="101"/>
        <v>PAAS</v>
      </c>
      <c r="C1232" s="1">
        <v>35</v>
      </c>
      <c r="F1232" s="253">
        <v>0.55400000000000005</v>
      </c>
      <c r="G1232" s="253">
        <v>0.55569999999999997</v>
      </c>
      <c r="H1232" s="253">
        <v>0.55169999999999997</v>
      </c>
      <c r="I1232" s="253">
        <v>0.54810000000000003</v>
      </c>
      <c r="J1232" s="253">
        <v>0.5444</v>
      </c>
      <c r="K1232" s="253">
        <v>0.54720000000000002</v>
      </c>
      <c r="L1232" s="253">
        <v>0.54320000000000002</v>
      </c>
      <c r="M1232" s="253">
        <v>0.54949999999999999</v>
      </c>
      <c r="N1232" s="253">
        <v>0.54949999999999999</v>
      </c>
      <c r="O1232" s="253">
        <v>0.53459999999999996</v>
      </c>
      <c r="P1232" s="253">
        <v>0.54559999999999997</v>
      </c>
      <c r="Q1232" s="253">
        <v>0.54079999999999995</v>
      </c>
      <c r="R1232" s="253">
        <v>0.54510000000000003</v>
      </c>
      <c r="S1232" s="253">
        <v>0.55630000000000002</v>
      </c>
      <c r="T1232" s="253">
        <v>0.55630000000000002</v>
      </c>
      <c r="U1232" s="253">
        <v>0.55169999999999997</v>
      </c>
      <c r="V1232" s="253">
        <v>0.55130000000000001</v>
      </c>
      <c r="W1232" s="253">
        <v>0.55130000000000001</v>
      </c>
      <c r="X1232" s="253">
        <v>0.55130000000000001</v>
      </c>
      <c r="Y1232" s="253">
        <v>0.55130000000000001</v>
      </c>
      <c r="Z1232" s="247">
        <f ca="1">[1]ExtEntry!$R35</f>
        <v>0.91439999999999999</v>
      </c>
      <c r="AB1232" s="320">
        <v>11754.999999999996</v>
      </c>
      <c r="AC1232" s="320">
        <v>-1925.0000000000011</v>
      </c>
      <c r="AD1232" s="320">
        <v>-1800.0000000000016</v>
      </c>
      <c r="AE1232" s="320">
        <v>-1075.0000000000016</v>
      </c>
      <c r="AF1232" s="320">
        <v>-600.00000000000057</v>
      </c>
      <c r="AG1232" s="320">
        <v>-875.00000000000136</v>
      </c>
      <c r="AH1232" s="320">
        <v>-325.00000000000193</v>
      </c>
      <c r="AI1232" s="320">
        <v>-1175.0000000000016</v>
      </c>
      <c r="AJ1232" s="320">
        <v>-1175.0000000000016</v>
      </c>
      <c r="AK1232" s="320">
        <v>-1950.0000000000007</v>
      </c>
      <c r="AL1232" s="320">
        <v>-1750.0000000000005</v>
      </c>
      <c r="AM1232" s="320">
        <v>-1815</v>
      </c>
      <c r="AN1232" s="320">
        <v>-2525.0000000000018</v>
      </c>
      <c r="AO1232" s="320">
        <v>-2875.0000000000009</v>
      </c>
      <c r="AP1232" s="320">
        <v>-2375.0000000000005</v>
      </c>
      <c r="AQ1232" s="320">
        <v>-2275.0000000000005</v>
      </c>
      <c r="AR1232" s="320">
        <v>-2900.0000000000005</v>
      </c>
      <c r="AS1232" s="320">
        <v>-2900.0000000000005</v>
      </c>
      <c r="AT1232" s="320">
        <v>-2375.0000000000005</v>
      </c>
      <c r="AU1232" s="320">
        <v>-2575.0000000000005</v>
      </c>
      <c r="AV1232" s="320">
        <f ca="1">Calc!Z35</f>
        <v>930.00000000000682</v>
      </c>
      <c r="AX1232" s="88" t="str">
        <f t="shared" ca="1" si="98"/>
        <v>PAAS</v>
      </c>
    </row>
    <row r="1233" spans="1:50" hidden="1">
      <c r="A1233" s="88" t="str">
        <f t="shared" ca="1" si="101"/>
        <v>PROF</v>
      </c>
      <c r="C1233" s="1">
        <v>36</v>
      </c>
      <c r="F1233" s="253">
        <v>0.87580000000000002</v>
      </c>
      <c r="G1233" s="253">
        <v>0.88160000000000005</v>
      </c>
      <c r="H1233" s="253">
        <v>0.88880000000000003</v>
      </c>
      <c r="I1233" s="253">
        <v>0.90110000000000001</v>
      </c>
      <c r="J1233" s="253">
        <v>0.89970000000000006</v>
      </c>
      <c r="K1233" s="253">
        <v>0.90190000000000003</v>
      </c>
      <c r="L1233" s="253">
        <v>0.90129999999999999</v>
      </c>
      <c r="M1233" s="253">
        <v>0.90090000000000003</v>
      </c>
      <c r="N1233" s="253">
        <v>0.90090000000000003</v>
      </c>
      <c r="O1233" s="253">
        <v>0.90139999999999998</v>
      </c>
      <c r="P1233" s="253">
        <v>0.90139999999999998</v>
      </c>
      <c r="Q1233" s="253">
        <v>0.89349999999999996</v>
      </c>
      <c r="R1233" s="253">
        <v>0.90049999999999997</v>
      </c>
      <c r="S1233" s="253">
        <v>0.90059999999999996</v>
      </c>
      <c r="T1233" s="253">
        <v>0.90059999999999996</v>
      </c>
      <c r="U1233" s="253">
        <v>0.89870000000000005</v>
      </c>
      <c r="V1233" s="253">
        <v>0.89970000000000006</v>
      </c>
      <c r="W1233" s="253">
        <v>0.89970000000000006</v>
      </c>
      <c r="X1233" s="253">
        <v>0.89970000000000006</v>
      </c>
      <c r="Y1233" s="253">
        <v>0.89970000000000006</v>
      </c>
      <c r="Z1233" s="247">
        <f ca="1">[1]ExtEntry!$R36</f>
        <v>0.32529999999999998</v>
      </c>
      <c r="AB1233" s="320">
        <v>-360.00000000000296</v>
      </c>
      <c r="AC1233" s="320">
        <v>11204.999999999998</v>
      </c>
      <c r="AD1233" s="320">
        <v>11769.999999999996</v>
      </c>
      <c r="AE1233" s="320">
        <v>11659.999999999996</v>
      </c>
      <c r="AF1233" s="320">
        <v>11509.999999999998</v>
      </c>
      <c r="AG1233" s="320">
        <v>11810.000000000002</v>
      </c>
      <c r="AH1233" s="320">
        <v>12250</v>
      </c>
      <c r="AI1233" s="320">
        <v>11030.000000000002</v>
      </c>
      <c r="AJ1233" s="320">
        <v>11019.999999999996</v>
      </c>
      <c r="AK1233" s="320">
        <v>13329.999999999998</v>
      </c>
      <c r="AL1233" s="320">
        <v>12030.000000000002</v>
      </c>
      <c r="AM1233" s="320">
        <v>13530.000000000002</v>
      </c>
      <c r="AN1233" s="320">
        <v>14500</v>
      </c>
      <c r="AO1233" s="320">
        <v>10909.999999999996</v>
      </c>
      <c r="AP1233" s="320">
        <v>11820</v>
      </c>
      <c r="AQ1233" s="320">
        <v>-427.49999999999488</v>
      </c>
      <c r="AR1233" s="320">
        <v>232.50000000000171</v>
      </c>
      <c r="AS1233" s="320">
        <v>232.50000000000171</v>
      </c>
      <c r="AT1233" s="320">
        <v>735.00000000000296</v>
      </c>
      <c r="AU1233" s="320">
        <v>914.99999999999909</v>
      </c>
      <c r="AV1233" s="320">
        <f ca="1">Calc!Z36</f>
        <v>1239.9999999999984</v>
      </c>
      <c r="AX1233" s="88" t="str">
        <f t="shared" ca="1" si="98"/>
        <v>PROF</v>
      </c>
    </row>
    <row r="1234" spans="1:50" hidden="1">
      <c r="A1234" s="88" t="str">
        <f t="shared" ca="1" si="101"/>
        <v>POET</v>
      </c>
      <c r="C1234" s="1">
        <v>37</v>
      </c>
      <c r="F1234" s="253">
        <v>0.38030000000000003</v>
      </c>
      <c r="G1234" s="253">
        <v>0.36799999999999999</v>
      </c>
      <c r="H1234" s="253">
        <v>0.35730000000000001</v>
      </c>
      <c r="I1234" s="253">
        <v>0.3513</v>
      </c>
      <c r="J1234" s="253">
        <v>0.34</v>
      </c>
      <c r="K1234" s="253">
        <v>0.35780000000000001</v>
      </c>
      <c r="L1234" s="253">
        <v>0.36990000000000001</v>
      </c>
      <c r="M1234" s="253">
        <v>0.3473</v>
      </c>
      <c r="N1234" s="253">
        <v>0.3473</v>
      </c>
      <c r="O1234" s="253">
        <v>0.34329999999999999</v>
      </c>
      <c r="P1234" s="253">
        <v>0.34329999999999999</v>
      </c>
      <c r="Q1234" s="253">
        <v>0.30869999999999997</v>
      </c>
      <c r="R1234" s="253">
        <v>0.34949999999999998</v>
      </c>
      <c r="S1234" s="253">
        <v>0.35539999999999999</v>
      </c>
      <c r="T1234" s="253">
        <v>0.35539999999999999</v>
      </c>
      <c r="U1234" s="253">
        <v>0.32869999999999999</v>
      </c>
      <c r="V1234" s="253">
        <v>0.35460000000000003</v>
      </c>
      <c r="W1234" s="253">
        <v>0.35460000000000003</v>
      </c>
      <c r="X1234" s="253">
        <v>0.35460000000000003</v>
      </c>
      <c r="Y1234" s="253">
        <v>0.35460000000000003</v>
      </c>
      <c r="Z1234" s="247">
        <f ca="1">[1]ExtEntry!$R37</f>
        <v>0.36220000000000002</v>
      </c>
      <c r="AB1234" s="320">
        <v>805.75000000000068</v>
      </c>
      <c r="AC1234" s="320">
        <v>-1200.0000000000027</v>
      </c>
      <c r="AD1234" s="320">
        <v>-1000</v>
      </c>
      <c r="AE1234" s="320">
        <v>479.99999999999687</v>
      </c>
      <c r="AF1234" s="320">
        <v>1939.9999999999977</v>
      </c>
      <c r="AG1234" s="320">
        <v>5079.9999999999982</v>
      </c>
      <c r="AH1234" s="320">
        <v>6199.9999999999991</v>
      </c>
      <c r="AI1234" s="320">
        <v>5759.9999999999982</v>
      </c>
      <c r="AJ1234" s="320">
        <v>5759.9999999999982</v>
      </c>
      <c r="AK1234" s="320">
        <v>3160</v>
      </c>
      <c r="AL1234" s="320">
        <v>2559.9999999999986</v>
      </c>
      <c r="AM1234" s="320">
        <v>1639.999999999997</v>
      </c>
      <c r="AN1234" s="320">
        <v>1479.9999999999968</v>
      </c>
      <c r="AO1234" s="320">
        <v>1359.9999999999995</v>
      </c>
      <c r="AP1234" s="320">
        <v>2359.9999999999995</v>
      </c>
      <c r="AQ1234" s="320">
        <v>2679.9999999999995</v>
      </c>
      <c r="AR1234" s="320">
        <v>919.99999999999818</v>
      </c>
      <c r="AS1234" s="320">
        <v>919.99999999999818</v>
      </c>
      <c r="AT1234" s="320">
        <v>463.99999999999864</v>
      </c>
      <c r="AU1234" s="320">
        <v>1239.9999999999984</v>
      </c>
      <c r="AV1234" s="320">
        <f ca="1">Calc!Z37</f>
        <v>7775.0000000000009</v>
      </c>
      <c r="AX1234" s="88" t="str">
        <f t="shared" ca="1" si="98"/>
        <v>POET</v>
      </c>
    </row>
    <row r="1235" spans="1:50" hidden="1">
      <c r="A1235" s="88" t="str">
        <f t="shared" ca="1" si="101"/>
        <v>PW</v>
      </c>
      <c r="C1235" s="1">
        <v>38</v>
      </c>
      <c r="F1235" s="253">
        <v>0.38240000000000002</v>
      </c>
      <c r="G1235" s="253">
        <v>0.37530000000000002</v>
      </c>
      <c r="H1235" s="253">
        <v>0.37609999999999999</v>
      </c>
      <c r="I1235" s="253">
        <v>0.374</v>
      </c>
      <c r="J1235" s="253">
        <v>0.36659999999999998</v>
      </c>
      <c r="K1235" s="253">
        <v>0.37190000000000001</v>
      </c>
      <c r="L1235" s="253">
        <v>0.34770000000000001</v>
      </c>
      <c r="M1235" s="253">
        <v>0.3594</v>
      </c>
      <c r="N1235" s="253">
        <v>0.3594</v>
      </c>
      <c r="O1235" s="253">
        <v>0.28189999999999998</v>
      </c>
      <c r="P1235" s="253">
        <v>0.3044</v>
      </c>
      <c r="Q1235" s="253">
        <v>0.2802</v>
      </c>
      <c r="R1235" s="253">
        <v>0.31669999999999998</v>
      </c>
      <c r="S1235" s="253">
        <v>0.3448</v>
      </c>
      <c r="T1235" s="253">
        <v>0.3448</v>
      </c>
      <c r="U1235" s="253">
        <v>0.36009999999999998</v>
      </c>
      <c r="V1235" s="253">
        <v>0.36149999999999999</v>
      </c>
      <c r="W1235" s="253">
        <v>0.36149999999999999</v>
      </c>
      <c r="X1235" s="253">
        <v>0.36149999999999999</v>
      </c>
      <c r="Y1235" s="253">
        <v>0.36149999999999999</v>
      </c>
      <c r="Z1235" s="247">
        <f ca="1">[1]ExtEntry!$R38</f>
        <v>1.6061000000000001</v>
      </c>
      <c r="AB1235" s="320">
        <v>-754.95419999999956</v>
      </c>
      <c r="AC1235" s="320">
        <v>1049.9999999999998</v>
      </c>
      <c r="AD1235" s="320">
        <v>2050.0000000000009</v>
      </c>
      <c r="AE1235" s="320">
        <v>3449.9999999999995</v>
      </c>
      <c r="AF1235" s="320">
        <v>2749.9999999999991</v>
      </c>
      <c r="AG1235" s="320">
        <v>6899.9999999999991</v>
      </c>
      <c r="AH1235" s="320">
        <v>10250.000000000002</v>
      </c>
      <c r="AI1235" s="320">
        <v>9250</v>
      </c>
      <c r="AJ1235" s="320">
        <v>9250</v>
      </c>
      <c r="AK1235" s="320">
        <v>8274.9999999999982</v>
      </c>
      <c r="AL1235" s="320">
        <v>9825.0000000000018</v>
      </c>
      <c r="AM1235" s="320">
        <v>8162.4999999999991</v>
      </c>
      <c r="AN1235" s="320">
        <v>6099.9999999999991</v>
      </c>
      <c r="AO1235" s="320">
        <v>4749.9999999999991</v>
      </c>
      <c r="AP1235" s="320">
        <v>6174.9999999999991</v>
      </c>
      <c r="AQ1235" s="320">
        <v>5825</v>
      </c>
      <c r="AR1235" s="320">
        <v>5625</v>
      </c>
      <c r="AS1235" s="320">
        <v>5625</v>
      </c>
      <c r="AT1235" s="320">
        <v>5474.9999999999991</v>
      </c>
      <c r="AU1235" s="320">
        <v>7775.0000000000009</v>
      </c>
      <c r="AV1235" s="320">
        <f ca="1">Calc!Z38</f>
        <v>-2654.6520000000005</v>
      </c>
      <c r="AX1235" s="88" t="str">
        <f t="shared" ref="AX1235:AX1293" ca="1" si="102">A1235</f>
        <v>PW</v>
      </c>
    </row>
    <row r="1236" spans="1:50" hidden="1">
      <c r="A1236" s="88" t="str">
        <f t="shared" ca="1" si="101"/>
        <v>RIGL</v>
      </c>
      <c r="C1236" s="1">
        <v>39</v>
      </c>
      <c r="F1236" s="253">
        <v>1.5099</v>
      </c>
      <c r="G1236" s="253">
        <v>1.5163</v>
      </c>
      <c r="H1236" s="253">
        <v>1.5027999999999999</v>
      </c>
      <c r="I1236" s="253">
        <v>1.5895999999999999</v>
      </c>
      <c r="J1236" s="253">
        <v>1.5878000000000001</v>
      </c>
      <c r="K1236" s="253">
        <v>1.5894999999999999</v>
      </c>
      <c r="L1236" s="253">
        <v>1.5875999999999999</v>
      </c>
      <c r="M1236" s="253">
        <v>1.5923</v>
      </c>
      <c r="N1236" s="253">
        <v>1.5923</v>
      </c>
      <c r="O1236" s="253">
        <v>1.5942000000000001</v>
      </c>
      <c r="P1236" s="253">
        <v>1.5992999999999999</v>
      </c>
      <c r="Q1236" s="253">
        <v>1.6046</v>
      </c>
      <c r="R1236" s="253">
        <v>1.5988</v>
      </c>
      <c r="S1236" s="253">
        <v>1.6113999999999999</v>
      </c>
      <c r="T1236" s="253">
        <v>1.6113999999999999</v>
      </c>
      <c r="U1236" s="253">
        <v>1.6025</v>
      </c>
      <c r="V1236" s="253">
        <v>1.6032999999999999</v>
      </c>
      <c r="W1236" s="253">
        <v>1.6032999999999999</v>
      </c>
      <c r="X1236" s="253">
        <v>1.6032999999999999</v>
      </c>
      <c r="Y1236" s="253">
        <v>1.6032999999999999</v>
      </c>
      <c r="Z1236" s="247">
        <f ca="1">[1]ExtEntry!$R39</f>
        <v>1.2103999999999999</v>
      </c>
      <c r="AB1236" s="320">
        <v>389.50999999999425</v>
      </c>
      <c r="AC1236" s="320">
        <v>-1114.1130000000001</v>
      </c>
      <c r="AD1236" s="320">
        <v>-1114.1130000000001</v>
      </c>
      <c r="AE1236" s="320">
        <v>-942.34140000000025</v>
      </c>
      <c r="AF1236" s="320">
        <v>-1114.1130000000001</v>
      </c>
      <c r="AG1236" s="320">
        <v>-933.93299999999988</v>
      </c>
      <c r="AH1236" s="320">
        <v>-1189.7886000000003</v>
      </c>
      <c r="AI1236" s="320">
        <v>-1473.8724000000004</v>
      </c>
      <c r="AJ1236" s="320">
        <v>-1473.8724000000004</v>
      </c>
      <c r="AK1236" s="320">
        <v>-1738.7369999999999</v>
      </c>
      <c r="AL1236" s="320">
        <v>-1945.3433999999997</v>
      </c>
      <c r="AM1236" s="320">
        <v>-1774.7729999999999</v>
      </c>
      <c r="AN1236" s="320">
        <v>-1775.3735999999999</v>
      </c>
      <c r="AO1236" s="320">
        <v>-2252.8505999999998</v>
      </c>
      <c r="AP1236" s="320">
        <v>-2488.8863999999999</v>
      </c>
      <c r="AQ1236" s="320">
        <v>-2590.9884000000002</v>
      </c>
      <c r="AR1236" s="320">
        <v>-2918.9159999999997</v>
      </c>
      <c r="AS1236" s="320">
        <v>-2918.9159999999997</v>
      </c>
      <c r="AT1236" s="320">
        <v>-3066.0629999999996</v>
      </c>
      <c r="AU1236" s="320">
        <v>-2654.6520000000005</v>
      </c>
      <c r="AV1236" s="320">
        <f ca="1">Calc!Z39</f>
        <v>2849.5099999999952</v>
      </c>
      <c r="AX1236" s="88" t="str">
        <f t="shared" ca="1" si="102"/>
        <v>RIGL</v>
      </c>
    </row>
    <row r="1237" spans="1:50" hidden="1">
      <c r="A1237" s="88" t="str">
        <f t="shared" ca="1" si="101"/>
        <v>RWE</v>
      </c>
      <c r="C1237" s="1">
        <v>40</v>
      </c>
      <c r="F1237" s="253">
        <v>1.2192000000000001</v>
      </c>
      <c r="G1237" s="253">
        <v>1.2121</v>
      </c>
      <c r="H1237" s="253">
        <v>1.1981999999999999</v>
      </c>
      <c r="I1237" s="253">
        <v>1.2156</v>
      </c>
      <c r="J1237" s="253">
        <v>1.2156</v>
      </c>
      <c r="K1237" s="253">
        <v>1.2136</v>
      </c>
      <c r="L1237" s="253">
        <v>1.212</v>
      </c>
      <c r="M1237" s="253">
        <v>1.2136</v>
      </c>
      <c r="N1237" s="253">
        <v>1.2136</v>
      </c>
      <c r="O1237" s="253">
        <v>1.2136</v>
      </c>
      <c r="P1237" s="253">
        <v>1.2232000000000001</v>
      </c>
      <c r="Q1237" s="253">
        <v>1.2205999999999999</v>
      </c>
      <c r="R1237" s="253">
        <v>1.2163999999999999</v>
      </c>
      <c r="S1237" s="253">
        <v>1.2173</v>
      </c>
      <c r="T1237" s="253">
        <v>1.2173</v>
      </c>
      <c r="U1237" s="253">
        <v>1.2125999999999999</v>
      </c>
      <c r="V1237" s="253">
        <v>1.2112000000000001</v>
      </c>
      <c r="W1237" s="253">
        <v>1.2112000000000001</v>
      </c>
      <c r="X1237" s="253">
        <v>1.2112000000000001</v>
      </c>
      <c r="Y1237" s="253">
        <v>1.2112000000000001</v>
      </c>
      <c r="Z1237" s="247">
        <f ca="1">[1]ExtEntry!$R40</f>
        <v>0.51729999999999998</v>
      </c>
      <c r="AB1237" s="320">
        <v>470.5</v>
      </c>
      <c r="AC1237" s="320">
        <v>-430.49000000000603</v>
      </c>
      <c r="AD1237" s="320">
        <v>-770.49000000000228</v>
      </c>
      <c r="AE1237" s="320">
        <v>-850.49000000000069</v>
      </c>
      <c r="AF1237" s="320">
        <v>-10.490000000004329</v>
      </c>
      <c r="AG1237" s="320">
        <v>1909.5099999999975</v>
      </c>
      <c r="AH1237" s="320">
        <v>429.5100000000005</v>
      </c>
      <c r="AI1237" s="320">
        <v>-290.49000000000547</v>
      </c>
      <c r="AJ1237" s="320">
        <v>-290.49000000000547</v>
      </c>
      <c r="AK1237" s="320">
        <v>-3430.4900000000061</v>
      </c>
      <c r="AL1237" s="320">
        <v>-2330.4900000000048</v>
      </c>
      <c r="AM1237" s="320">
        <v>-930.49000000000603</v>
      </c>
      <c r="AN1237" s="320">
        <v>-870.49000000000376</v>
      </c>
      <c r="AO1237" s="320">
        <v>-1210.49</v>
      </c>
      <c r="AP1237" s="320">
        <v>1829.5099999999991</v>
      </c>
      <c r="AQ1237" s="320">
        <v>3449.5099999999966</v>
      </c>
      <c r="AR1237" s="320">
        <v>4289.51</v>
      </c>
      <c r="AS1237" s="320">
        <v>4289.51</v>
      </c>
      <c r="AT1237" s="320">
        <v>1689.5099999999984</v>
      </c>
      <c r="AU1237" s="320">
        <v>2849.5099999999952</v>
      </c>
      <c r="AV1237" s="320">
        <f ca="1">Calc!Z40</f>
        <v>610</v>
      </c>
      <c r="AX1237" s="88" t="str">
        <f t="shared" ca="1" si="102"/>
        <v>RWE</v>
      </c>
    </row>
    <row r="1238" spans="1:50" hidden="1">
      <c r="A1238" s="88" t="str">
        <f t="shared" ca="1" si="101"/>
        <v>SAP</v>
      </c>
      <c r="C1238" s="1">
        <v>41</v>
      </c>
      <c r="F1238" s="253">
        <v>0.46550000000000002</v>
      </c>
      <c r="G1238" s="253">
        <v>0.47399999999999998</v>
      </c>
      <c r="H1238" s="253">
        <v>0.47410000000000002</v>
      </c>
      <c r="I1238" s="253">
        <v>0.51449999999999996</v>
      </c>
      <c r="J1238" s="253">
        <v>0.51370000000000005</v>
      </c>
      <c r="K1238" s="253">
        <v>0.51719999999999999</v>
      </c>
      <c r="L1238" s="253">
        <v>0.51739999999999997</v>
      </c>
      <c r="M1238" s="253">
        <v>0.51849999999999996</v>
      </c>
      <c r="N1238" s="253">
        <v>0.51849999999999996</v>
      </c>
      <c r="O1238" s="253">
        <v>0.5222</v>
      </c>
      <c r="P1238" s="253">
        <v>0.51570000000000005</v>
      </c>
      <c r="Q1238" s="253">
        <v>0.51870000000000005</v>
      </c>
      <c r="R1238" s="253">
        <v>0.51549999999999996</v>
      </c>
      <c r="S1238" s="253">
        <v>0.51639999999999997</v>
      </c>
      <c r="T1238" s="253">
        <v>0.51639999999999997</v>
      </c>
      <c r="U1238" s="253">
        <v>0.50360000000000005</v>
      </c>
      <c r="V1238" s="253">
        <v>0.51600000000000001</v>
      </c>
      <c r="W1238" s="253">
        <v>0.51600000000000001</v>
      </c>
      <c r="X1238" s="253">
        <v>0.51759999999999995</v>
      </c>
      <c r="Y1238" s="253">
        <v>0.51759999999999995</v>
      </c>
      <c r="Z1238" s="247">
        <f ca="1">[1]ExtEntry!$R41</f>
        <v>0.9919</v>
      </c>
      <c r="AB1238" s="320">
        <v>-2000</v>
      </c>
      <c r="AC1238" s="320">
        <v>477.50000000000006</v>
      </c>
      <c r="AD1238" s="320">
        <v>533.49999999999989</v>
      </c>
      <c r="AE1238" s="320">
        <v>527.99999999999989</v>
      </c>
      <c r="AF1238" s="320">
        <v>542.49999999999989</v>
      </c>
      <c r="AG1238" s="320">
        <v>567.49999999999989</v>
      </c>
      <c r="AH1238" s="320">
        <v>606</v>
      </c>
      <c r="AI1238" s="320">
        <v>592.49999999999989</v>
      </c>
      <c r="AJ1238" s="320">
        <v>608.49999999999989</v>
      </c>
      <c r="AK1238" s="320">
        <v>629.5</v>
      </c>
      <c r="AL1238" s="320">
        <v>610.49999999999989</v>
      </c>
      <c r="AM1238" s="320">
        <v>615.99999999999989</v>
      </c>
      <c r="AN1238" s="320">
        <v>650.50000000000011</v>
      </c>
      <c r="AO1238" s="320">
        <v>634.50000000000011</v>
      </c>
      <c r="AP1238" s="320">
        <v>627.5</v>
      </c>
      <c r="AQ1238" s="320">
        <v>604.99999999999989</v>
      </c>
      <c r="AR1238" s="320">
        <v>592.49999999999989</v>
      </c>
      <c r="AS1238" s="320">
        <v>592.49999999999989</v>
      </c>
      <c r="AT1238" s="320">
        <v>581.5</v>
      </c>
      <c r="AU1238" s="320">
        <v>605.49999999999977</v>
      </c>
      <c r="AV1238" s="320">
        <f ca="1">Calc!Z41</f>
        <v>500</v>
      </c>
      <c r="AX1238" s="88" t="str">
        <f t="shared" ca="1" si="102"/>
        <v>SAP</v>
      </c>
    </row>
    <row r="1239" spans="1:50" hidden="1">
      <c r="A1239" s="88" t="str">
        <f t="shared" ca="1" si="101"/>
        <v>SHECY</v>
      </c>
      <c r="C1239" s="1">
        <v>42</v>
      </c>
      <c r="F1239" s="253">
        <v>1.1701999999999999</v>
      </c>
      <c r="G1239" s="253">
        <v>1.1707000000000001</v>
      </c>
      <c r="H1239" s="253">
        <v>1.1693</v>
      </c>
      <c r="I1239" s="253">
        <v>0.99119999999999997</v>
      </c>
      <c r="J1239" s="253">
        <v>0.99109999999999998</v>
      </c>
      <c r="K1239" s="253">
        <v>0.99070000000000003</v>
      </c>
      <c r="L1239" s="253">
        <v>0.99160000000000004</v>
      </c>
      <c r="M1239" s="253">
        <v>0.99219999999999997</v>
      </c>
      <c r="N1239" s="253">
        <v>0.99219999999999997</v>
      </c>
      <c r="O1239" s="253">
        <v>0.9879</v>
      </c>
      <c r="P1239" s="253">
        <v>0.99119999999999997</v>
      </c>
      <c r="Q1239" s="253">
        <v>0.9909</v>
      </c>
      <c r="R1239" s="253">
        <v>0.99129999999999996</v>
      </c>
      <c r="S1239" s="253">
        <v>0.99099999999999999</v>
      </c>
      <c r="T1239" s="253">
        <v>0.99099999999999999</v>
      </c>
      <c r="U1239" s="253">
        <v>0.98560000000000003</v>
      </c>
      <c r="V1239" s="253">
        <v>0.9919</v>
      </c>
      <c r="W1239" s="253">
        <v>0.9919</v>
      </c>
      <c r="X1239" s="253">
        <v>0.99260000000000004</v>
      </c>
      <c r="Y1239" s="253">
        <v>0.99260000000000004</v>
      </c>
      <c r="Z1239" s="247">
        <f ca="1">[1]ExtEntry!$R42</f>
        <v>1.5089999999999999</v>
      </c>
      <c r="AB1239" s="320">
        <v>2204.9999999999982</v>
      </c>
      <c r="AC1239" s="320">
        <v>349.99999999999432</v>
      </c>
      <c r="AD1239" s="320">
        <v>250</v>
      </c>
      <c r="AE1239" s="320">
        <v>4549.9999999999827</v>
      </c>
      <c r="AF1239" s="320">
        <v>-1099.9999999999943</v>
      </c>
      <c r="AG1239" s="320">
        <v>1325.0000000000027</v>
      </c>
      <c r="AH1239" s="320">
        <v>2424.9999999999973</v>
      </c>
      <c r="AI1239" s="320">
        <v>2725.0000000000086</v>
      </c>
      <c r="AJ1239" s="320">
        <v>2825.0000000000027</v>
      </c>
      <c r="AK1239" s="320">
        <v>-474.99999999999432</v>
      </c>
      <c r="AL1239" s="320">
        <v>174.99999999999716</v>
      </c>
      <c r="AM1239" s="320">
        <v>924.99999999999716</v>
      </c>
      <c r="AN1239" s="320">
        <v>424.99999999999716</v>
      </c>
      <c r="AO1239" s="320">
        <v>-700.00000000000284</v>
      </c>
      <c r="AP1239" s="320">
        <v>3125</v>
      </c>
      <c r="AQ1239" s="320">
        <v>4025.0000000000055</v>
      </c>
      <c r="AR1239" s="320">
        <v>2250</v>
      </c>
      <c r="AS1239" s="320">
        <v>2250</v>
      </c>
      <c r="AT1239" s="320">
        <v>4825.0000000000027</v>
      </c>
      <c r="AU1239" s="320">
        <v>500</v>
      </c>
      <c r="AV1239" s="320">
        <f ca="1">Calc!Z42</f>
        <v>660.00000000000193</v>
      </c>
      <c r="AX1239" s="88" t="str">
        <f t="shared" ca="1" si="102"/>
        <v>SHECY</v>
      </c>
    </row>
    <row r="1240" spans="1:50" hidden="1">
      <c r="A1240" s="88" t="str">
        <f t="shared" ca="1" si="101"/>
        <v>SSYS</v>
      </c>
      <c r="C1240" s="1">
        <v>43</v>
      </c>
      <c r="F1240" s="253">
        <v>1.4835</v>
      </c>
      <c r="G1240" s="253">
        <v>1.4843999999999999</v>
      </c>
      <c r="H1240" s="253">
        <v>1.4869000000000001</v>
      </c>
      <c r="I1240" s="253">
        <v>1.5165</v>
      </c>
      <c r="J1240" s="253">
        <v>1.5108999999999999</v>
      </c>
      <c r="K1240" s="253">
        <v>1.5333000000000001</v>
      </c>
      <c r="L1240" s="253">
        <v>1.5344</v>
      </c>
      <c r="M1240" s="253">
        <v>1.5278</v>
      </c>
      <c r="N1240" s="253">
        <v>1.5278</v>
      </c>
      <c r="O1240" s="253">
        <v>1.5268999999999999</v>
      </c>
      <c r="P1240" s="253">
        <v>1.5268999999999999</v>
      </c>
      <c r="Q1240" s="253">
        <v>1.5172000000000001</v>
      </c>
      <c r="R1240" s="253">
        <v>1.5262</v>
      </c>
      <c r="S1240" s="253">
        <v>1.5257000000000001</v>
      </c>
      <c r="T1240" s="253">
        <v>1.5257000000000001</v>
      </c>
      <c r="U1240" s="253">
        <v>1.5258</v>
      </c>
      <c r="V1240" s="253">
        <v>1.5137</v>
      </c>
      <c r="W1240" s="253">
        <v>1.5137</v>
      </c>
      <c r="X1240" s="253">
        <v>1.5149999999999999</v>
      </c>
      <c r="Y1240" s="253">
        <v>1.5089999999999999</v>
      </c>
      <c r="Z1240" s="247">
        <f ca="1">[1]ExtEntry!$R43</f>
        <v>1.6156999999999999</v>
      </c>
      <c r="AB1240" s="320">
        <v>6240</v>
      </c>
      <c r="AC1240" s="320">
        <v>2550.0000000000041</v>
      </c>
      <c r="AD1240" s="320">
        <v>3030.0000000000045</v>
      </c>
      <c r="AE1240" s="320">
        <v>3212.400000000006</v>
      </c>
      <c r="AF1240" s="320">
        <v>5070.0000000000036</v>
      </c>
      <c r="AG1240" s="320">
        <v>4889.9999999999973</v>
      </c>
      <c r="AH1240" s="320">
        <v>3990.0000000000055</v>
      </c>
      <c r="AI1240" s="320">
        <v>3840.0000000000036</v>
      </c>
      <c r="AJ1240" s="320">
        <v>3840.0000000000036</v>
      </c>
      <c r="AK1240" s="320">
        <v>2490.0000000000055</v>
      </c>
      <c r="AL1240" s="320">
        <v>3360.0000000000032</v>
      </c>
      <c r="AM1240" s="320">
        <v>3280.1999999999971</v>
      </c>
      <c r="AN1240" s="320">
        <v>3000</v>
      </c>
      <c r="AO1240" s="320">
        <v>3150.0000000000023</v>
      </c>
      <c r="AP1240" s="320">
        <v>2670.0000000000018</v>
      </c>
      <c r="AQ1240" s="320">
        <v>2460.0000000000009</v>
      </c>
      <c r="AR1240" s="320">
        <v>1769.9999999999995</v>
      </c>
      <c r="AS1240" s="320">
        <v>1769.9999999999995</v>
      </c>
      <c r="AT1240" s="320">
        <v>2099.9999999999977</v>
      </c>
      <c r="AU1240" s="320">
        <v>660.00000000000193</v>
      </c>
      <c r="AV1240" s="320">
        <f ca="1">Calc!Z43</f>
        <v>8220</v>
      </c>
      <c r="AX1240" s="88" t="str">
        <f t="shared" ca="1" si="102"/>
        <v>SSYS</v>
      </c>
    </row>
    <row r="1241" spans="1:50" hidden="1">
      <c r="A1241" s="88" t="str">
        <f t="shared" ca="1" si="101"/>
        <v>TSLA</v>
      </c>
      <c r="C1241" s="1">
        <v>44</v>
      </c>
      <c r="F1241" s="253">
        <v>1.5975999999999999</v>
      </c>
      <c r="G1241" s="253">
        <v>1.5935999999999999</v>
      </c>
      <c r="H1241" s="253">
        <v>1.591</v>
      </c>
      <c r="I1241" s="253">
        <v>1.6167</v>
      </c>
      <c r="J1241" s="253">
        <v>1.6133999999999999</v>
      </c>
      <c r="K1241" s="253">
        <v>1.6134999999999999</v>
      </c>
      <c r="L1241" s="253">
        <v>1.6134999999999999</v>
      </c>
      <c r="M1241" s="253">
        <v>1.6153999999999999</v>
      </c>
      <c r="N1241" s="253">
        <v>1.6153999999999999</v>
      </c>
      <c r="O1241" s="253">
        <v>1.6241000000000001</v>
      </c>
      <c r="P1241" s="253">
        <v>1.6181000000000001</v>
      </c>
      <c r="Q1241" s="253">
        <v>1.6180000000000001</v>
      </c>
      <c r="R1241" s="253">
        <v>1.6106</v>
      </c>
      <c r="S1241" s="253">
        <v>1.6175999999999999</v>
      </c>
      <c r="T1241" s="253">
        <v>1.6175999999999999</v>
      </c>
      <c r="U1241" s="253">
        <v>1.6105</v>
      </c>
      <c r="V1241" s="253">
        <v>1.611</v>
      </c>
      <c r="W1241" s="253">
        <v>1.611</v>
      </c>
      <c r="X1241" s="253">
        <v>1.611</v>
      </c>
      <c r="Y1241" s="253">
        <v>1.611</v>
      </c>
      <c r="Z1241" s="247">
        <f ca="1">[1]ExtEntry!$R44</f>
        <v>2.0724</v>
      </c>
      <c r="AB1241" s="320">
        <v>1044.7000000000003</v>
      </c>
      <c r="AC1241" s="320">
        <v>5849.9999999999982</v>
      </c>
      <c r="AD1241" s="320">
        <v>5490</v>
      </c>
      <c r="AE1241" s="320">
        <v>6990</v>
      </c>
      <c r="AF1241" s="320">
        <v>7170.0000000000018</v>
      </c>
      <c r="AG1241" s="320">
        <v>6900.0000000000018</v>
      </c>
      <c r="AH1241" s="320">
        <v>6720.0000000000009</v>
      </c>
      <c r="AI1241" s="320">
        <v>6480</v>
      </c>
      <c r="AJ1241" s="320">
        <v>6480</v>
      </c>
      <c r="AK1241" s="320">
        <v>4859.9999999999973</v>
      </c>
      <c r="AL1241" s="320">
        <v>4829.9999999999982</v>
      </c>
      <c r="AM1241" s="320">
        <v>6656.9999999999982</v>
      </c>
      <c r="AN1241" s="320">
        <v>6690.0000000000009</v>
      </c>
      <c r="AO1241" s="320">
        <v>5010</v>
      </c>
      <c r="AP1241" s="320">
        <v>9569.9999999999982</v>
      </c>
      <c r="AQ1241" s="320">
        <v>9299.9999999999982</v>
      </c>
      <c r="AR1241" s="320">
        <v>6150.0000000000018</v>
      </c>
      <c r="AS1241" s="320">
        <v>6150.0000000000018</v>
      </c>
      <c r="AT1241" s="320">
        <v>7589.9999999999982</v>
      </c>
      <c r="AU1241" s="320">
        <v>8220</v>
      </c>
      <c r="AV1241" s="320">
        <f ca="1">Calc!Z44</f>
        <v>97.210000000000036</v>
      </c>
      <c r="AX1241" s="88" t="str">
        <f t="shared" ca="1" si="102"/>
        <v>TSLA</v>
      </c>
    </row>
    <row r="1242" spans="1:50" hidden="1">
      <c r="A1242" s="88" t="str">
        <f t="shared" ca="1" si="101"/>
        <v>TSM</v>
      </c>
      <c r="C1242" s="1">
        <v>45</v>
      </c>
      <c r="F1242" s="253">
        <v>2.0724</v>
      </c>
      <c r="G1242" s="253">
        <v>2.0783</v>
      </c>
      <c r="H1242" s="253">
        <v>2.0863</v>
      </c>
      <c r="I1242" s="253">
        <v>2.0691999999999999</v>
      </c>
      <c r="J1242" s="253">
        <v>2.0733999999999999</v>
      </c>
      <c r="K1242" s="253">
        <v>2.0708000000000002</v>
      </c>
      <c r="L1242" s="253">
        <v>2.0739000000000001</v>
      </c>
      <c r="M1242" s="253">
        <v>2.0718000000000001</v>
      </c>
      <c r="N1242" s="253">
        <v>2.0718000000000001</v>
      </c>
      <c r="O1242" s="253">
        <v>2.0808</v>
      </c>
      <c r="P1242" s="253">
        <v>2.0733999999999999</v>
      </c>
      <c r="Q1242" s="253">
        <v>2.0754999999999999</v>
      </c>
      <c r="R1242" s="253">
        <v>2.0739000000000001</v>
      </c>
      <c r="S1242" s="253">
        <v>2.0724999999999998</v>
      </c>
      <c r="T1242" s="253">
        <v>2.0724999999999998</v>
      </c>
      <c r="U1242" s="253">
        <v>2.0714999999999999</v>
      </c>
      <c r="V1242" s="253">
        <v>2.0720000000000001</v>
      </c>
      <c r="W1242" s="253">
        <v>2.0720000000000001</v>
      </c>
      <c r="X1242" s="253">
        <v>2.0720000000000001</v>
      </c>
      <c r="Y1242" s="253">
        <v>2.0720000000000001</v>
      </c>
      <c r="Z1242" s="247">
        <f ca="1">[1]ExtEntry!$R45</f>
        <v>1.3099000000000001</v>
      </c>
      <c r="AB1242" s="320">
        <v>39435</v>
      </c>
      <c r="AC1242" s="320">
        <v>1082.1000000000004</v>
      </c>
      <c r="AD1242" s="320">
        <v>1229.5</v>
      </c>
      <c r="AE1242" s="320">
        <v>994.90000000000009</v>
      </c>
      <c r="AF1242" s="320">
        <v>933.19999999999993</v>
      </c>
      <c r="AG1242" s="320">
        <v>965.79999999999984</v>
      </c>
      <c r="AH1242" s="320">
        <v>1021.8000000000001</v>
      </c>
      <c r="AI1242" s="320">
        <v>990.3000000000003</v>
      </c>
      <c r="AJ1242" s="320">
        <v>990.3000000000003</v>
      </c>
      <c r="AK1242" s="320">
        <v>993.89999999999986</v>
      </c>
      <c r="AL1242" s="320">
        <v>92.730000000000018</v>
      </c>
      <c r="AM1242" s="320">
        <v>96.930099999999982</v>
      </c>
      <c r="AN1242" s="320">
        <v>92.240000000000009</v>
      </c>
      <c r="AO1242" s="320">
        <v>102.80000000000001</v>
      </c>
      <c r="AP1242" s="320">
        <v>110.92000000000002</v>
      </c>
      <c r="AQ1242" s="320">
        <v>106.09000000000003</v>
      </c>
      <c r="AR1242" s="320">
        <v>102.46000000000004</v>
      </c>
      <c r="AS1242" s="320">
        <v>102.46000000000004</v>
      </c>
      <c r="AT1242" s="320">
        <v>112.47000000000003</v>
      </c>
      <c r="AU1242" s="320">
        <v>97.210000000000036</v>
      </c>
      <c r="AV1242" s="320">
        <f ca="1">Calc!Z45</f>
        <v>6846.0000000000036</v>
      </c>
      <c r="AX1242" s="88" t="str">
        <f t="shared" ca="1" si="102"/>
        <v>TSM</v>
      </c>
    </row>
    <row r="1243" spans="1:50" hidden="1">
      <c r="A1243" s="88" t="str">
        <f t="shared" ca="1" si="101"/>
        <v>UN0</v>
      </c>
      <c r="C1243" s="1">
        <v>46</v>
      </c>
      <c r="F1243" s="253">
        <v>1.2793000000000001</v>
      </c>
      <c r="G1243" s="253">
        <v>1.2818000000000001</v>
      </c>
      <c r="H1243" s="253">
        <v>1.2902</v>
      </c>
      <c r="I1243" s="253">
        <v>1.3090999999999999</v>
      </c>
      <c r="J1243" s="253">
        <v>1.3093999999999999</v>
      </c>
      <c r="K1243" s="253">
        <v>1.3078000000000001</v>
      </c>
      <c r="L1243" s="253">
        <v>1.3077000000000001</v>
      </c>
      <c r="M1243" s="253">
        <v>1.3088</v>
      </c>
      <c r="N1243" s="253">
        <v>1.3088</v>
      </c>
      <c r="O1243" s="253">
        <v>1.3044</v>
      </c>
      <c r="P1243" s="253">
        <v>1.2985</v>
      </c>
      <c r="Q1243" s="253">
        <v>1.3010999999999999</v>
      </c>
      <c r="R1243" s="253">
        <v>1.2997000000000001</v>
      </c>
      <c r="S1243" s="253">
        <v>1.3035000000000001</v>
      </c>
      <c r="T1243" s="253">
        <v>1.3035000000000001</v>
      </c>
      <c r="U1243" s="253">
        <v>1.3083</v>
      </c>
      <c r="V1243" s="253">
        <v>1.3088</v>
      </c>
      <c r="W1243" s="253">
        <v>1.3088</v>
      </c>
      <c r="X1243" s="253">
        <v>1.3088</v>
      </c>
      <c r="Y1243" s="253">
        <v>1.3088</v>
      </c>
      <c r="Z1243" s="247">
        <f ca="1">[1]ExtEntry!$R46</f>
        <v>1.0680000000000001</v>
      </c>
      <c r="AB1243" s="320">
        <v>-819.24499999999944</v>
      </c>
      <c r="AC1243" s="320">
        <v>43995.000000000007</v>
      </c>
      <c r="AD1243" s="320">
        <v>53350.000000000022</v>
      </c>
      <c r="AE1243" s="320">
        <v>52879.999999999993</v>
      </c>
      <c r="AF1243" s="320">
        <v>57050.000000000015</v>
      </c>
      <c r="AG1243" s="320">
        <v>58850.000000000022</v>
      </c>
      <c r="AH1243" s="320">
        <v>69259.999999999985</v>
      </c>
      <c r="AI1243" s="320">
        <v>64589.999999999978</v>
      </c>
      <c r="AJ1243" s="320">
        <v>64629.999999999993</v>
      </c>
      <c r="AK1243" s="320">
        <v>67980.000000000015</v>
      </c>
      <c r="AL1243" s="320">
        <v>60725.000000000022</v>
      </c>
      <c r="AM1243" s="320">
        <v>69815</v>
      </c>
      <c r="AN1243" s="320">
        <v>64720.000000000029</v>
      </c>
      <c r="AO1243" s="320">
        <v>59829.999999999985</v>
      </c>
      <c r="AP1243" s="320">
        <v>62543.999999999985</v>
      </c>
      <c r="AQ1243" s="320">
        <v>59269.999999999985</v>
      </c>
      <c r="AR1243" s="320">
        <v>1998.0000000000018</v>
      </c>
      <c r="AS1243" s="320">
        <v>1998.0000000000018</v>
      </c>
      <c r="AT1243" s="320">
        <v>3470.0000000000273</v>
      </c>
      <c r="AU1243" s="320">
        <v>6878.00000000002</v>
      </c>
      <c r="AV1243" s="320">
        <f ca="1">Calc!Z46</f>
        <v>-2481.7449999999994</v>
      </c>
      <c r="AX1243" s="88" t="str">
        <f t="shared" ca="1" si="102"/>
        <v>UN0</v>
      </c>
    </row>
    <row r="1244" spans="1:50" hidden="1">
      <c r="A1244" s="88" t="str">
        <f t="shared" ca="1" si="101"/>
        <v>UNIT</v>
      </c>
      <c r="C1244" s="1">
        <v>47</v>
      </c>
      <c r="F1244" s="253">
        <v>1.0088999999999999</v>
      </c>
      <c r="G1244" s="253">
        <v>1.0121</v>
      </c>
      <c r="H1244" s="253">
        <v>1.0125</v>
      </c>
      <c r="I1244" s="253">
        <v>1.0710999999999999</v>
      </c>
      <c r="J1244" s="253">
        <v>1.0702</v>
      </c>
      <c r="K1244" s="253">
        <v>1.0696000000000001</v>
      </c>
      <c r="L1244" s="253">
        <v>1.0682</v>
      </c>
      <c r="M1244" s="253">
        <v>1.0703</v>
      </c>
      <c r="N1244" s="253">
        <v>1.0703</v>
      </c>
      <c r="O1244" s="253">
        <v>1.0660000000000001</v>
      </c>
      <c r="P1244" s="253">
        <v>1.0705</v>
      </c>
      <c r="Q1244" s="253">
        <v>1.0669</v>
      </c>
      <c r="R1244" s="253">
        <v>1.0704</v>
      </c>
      <c r="S1244" s="253">
        <v>1.0698000000000001</v>
      </c>
      <c r="T1244" s="253">
        <v>1.0698000000000001</v>
      </c>
      <c r="U1244" s="253">
        <v>1.0736000000000001</v>
      </c>
      <c r="V1244" s="253">
        <v>1.0701000000000001</v>
      </c>
      <c r="W1244" s="253">
        <v>1.0701000000000001</v>
      </c>
      <c r="X1244" s="253">
        <v>1.0701000000000001</v>
      </c>
      <c r="Y1244" s="253">
        <v>1.0701000000000001</v>
      </c>
      <c r="Z1244" s="247">
        <f ca="1">[1]ExtEntry!$R47</f>
        <v>1.5403</v>
      </c>
      <c r="AB1244" s="320">
        <v>-23972.068000000007</v>
      </c>
      <c r="AC1244" s="320">
        <v>-1099.2449999999983</v>
      </c>
      <c r="AD1244" s="320">
        <v>-1134.244999999999</v>
      </c>
      <c r="AE1244" s="320">
        <v>-1204.2449999999999</v>
      </c>
      <c r="AF1244" s="320">
        <v>-1134.244999999999</v>
      </c>
      <c r="AG1244" s="320">
        <v>-1816.7449999999999</v>
      </c>
      <c r="AH1244" s="320">
        <v>-1624.2449999999983</v>
      </c>
      <c r="AI1244" s="320">
        <v>-1484.244999999999</v>
      </c>
      <c r="AJ1244" s="320">
        <v>-1746.744999999999</v>
      </c>
      <c r="AK1244" s="320">
        <v>-1869.2449999999994</v>
      </c>
      <c r="AL1244" s="320">
        <v>-1991.7449999999985</v>
      </c>
      <c r="AM1244" s="320">
        <v>-1974.2449999999983</v>
      </c>
      <c r="AN1244" s="320">
        <v>-1921.744999999999</v>
      </c>
      <c r="AO1244" s="320">
        <v>-1991.7449999999985</v>
      </c>
      <c r="AP1244" s="320">
        <v>-1484.244999999999</v>
      </c>
      <c r="AQ1244" s="320">
        <v>-1939.2449999999992</v>
      </c>
      <c r="AR1244" s="320">
        <v>-1904.2449999999985</v>
      </c>
      <c r="AS1244" s="320">
        <v>-1904.2449999999985</v>
      </c>
      <c r="AT1244" s="320">
        <v>-2201.744999999999</v>
      </c>
      <c r="AU1244" s="320">
        <v>-2481.7449999999994</v>
      </c>
      <c r="AV1244" s="320">
        <f ca="1">Calc!Z47</f>
        <v>-23875.500000000004</v>
      </c>
      <c r="AX1244" s="88" t="str">
        <f t="shared" ca="1" si="102"/>
        <v>UNIT</v>
      </c>
    </row>
    <row r="1245" spans="1:50" hidden="1">
      <c r="A1245" s="88" t="str">
        <f t="shared" ca="1" si="101"/>
        <v>AVGO</v>
      </c>
      <c r="C1245" s="1">
        <v>48</v>
      </c>
      <c r="F1245" s="253">
        <v>1.5744</v>
      </c>
      <c r="G1245" s="253">
        <v>1.5692999999999999</v>
      </c>
      <c r="H1245" s="253">
        <v>1.5682</v>
      </c>
      <c r="I1245" s="253">
        <v>1.5357000000000001</v>
      </c>
      <c r="J1245" s="253">
        <v>1.5389999999999999</v>
      </c>
      <c r="K1245" s="253">
        <v>1.5358000000000001</v>
      </c>
      <c r="L1245" s="253">
        <v>1.5363</v>
      </c>
      <c r="M1245" s="253">
        <v>1.5359</v>
      </c>
      <c r="N1245" s="253">
        <v>1.5359</v>
      </c>
      <c r="O1245" s="253">
        <v>1.5388999999999999</v>
      </c>
      <c r="P1245" s="253">
        <v>1.5479000000000001</v>
      </c>
      <c r="Q1245" s="253">
        <v>1.5508</v>
      </c>
      <c r="R1245" s="253">
        <v>1.5410999999999999</v>
      </c>
      <c r="S1245" s="253">
        <v>1.5427999999999999</v>
      </c>
      <c r="T1245" s="253">
        <v>1.5427999999999999</v>
      </c>
      <c r="U1245" s="253">
        <v>1.5399</v>
      </c>
      <c r="V1245" s="253">
        <v>1.5399</v>
      </c>
      <c r="W1245" s="253">
        <v>1.5399</v>
      </c>
      <c r="X1245" s="253">
        <v>1.5399</v>
      </c>
      <c r="Y1245" s="253">
        <v>1.5399</v>
      </c>
      <c r="Z1245" s="247">
        <f ca="1">[1]ExtEntry!$R48</f>
        <v>1.1964999999999999</v>
      </c>
      <c r="AB1245" s="320">
        <v>30670.600008000009</v>
      </c>
      <c r="AC1245" s="320">
        <v>-23483.728000000006</v>
      </c>
      <c r="AD1245" s="320">
        <v>-24243.368000000009</v>
      </c>
      <c r="AE1245" s="320">
        <v>-27064.888000000006</v>
      </c>
      <c r="AF1245" s="320">
        <v>-26522.288000000008</v>
      </c>
      <c r="AG1245" s="320">
        <v>-24677.448000000011</v>
      </c>
      <c r="AH1245" s="320">
        <v>-23375.20800000001</v>
      </c>
      <c r="AI1245" s="320">
        <v>-24351.888000000006</v>
      </c>
      <c r="AJ1245" s="320">
        <v>-24351.888000000006</v>
      </c>
      <c r="AK1245" s="320">
        <v>-30754.568000000007</v>
      </c>
      <c r="AL1245" s="320">
        <v>-31731.248000000003</v>
      </c>
      <c r="AM1245" s="320">
        <v>-28909.728000000006</v>
      </c>
      <c r="AN1245" s="320">
        <v>-29018.248000000003</v>
      </c>
      <c r="AO1245" s="320">
        <v>-28584.168000000005</v>
      </c>
      <c r="AP1245" s="320">
        <v>-26769.500000000007</v>
      </c>
      <c r="AQ1245" s="320">
        <v>-26769.500000000007</v>
      </c>
      <c r="AR1245" s="320">
        <v>-27131.250000000007</v>
      </c>
      <c r="AS1245" s="320">
        <v>-27131.250000000007</v>
      </c>
      <c r="AT1245" s="320">
        <v>-25322.500000000007</v>
      </c>
      <c r="AU1245" s="320">
        <v>-23875.500000000004</v>
      </c>
      <c r="AV1245" s="320">
        <f ca="1">Calc!Z48</f>
        <v>4725</v>
      </c>
      <c r="AX1245" s="88" t="str">
        <f t="shared" ca="1" si="102"/>
        <v>AVGO</v>
      </c>
    </row>
    <row r="1246" spans="1:50" hidden="1">
      <c r="A1246" s="88" t="str">
        <f t="shared" ca="1" si="101"/>
        <v>VLVLY</v>
      </c>
      <c r="C1246" s="1">
        <v>49</v>
      </c>
      <c r="F1246" s="253">
        <v>0.90769999999999995</v>
      </c>
      <c r="G1246" s="253">
        <v>0.90739999999999998</v>
      </c>
      <c r="H1246" s="253">
        <v>0.90600000000000003</v>
      </c>
      <c r="I1246" s="253">
        <v>0.92849999999999999</v>
      </c>
      <c r="J1246" s="253">
        <v>0.92830000000000001</v>
      </c>
      <c r="K1246" s="253">
        <v>0.9284</v>
      </c>
      <c r="L1246" s="253">
        <v>0.92469999999999997</v>
      </c>
      <c r="M1246" s="253">
        <v>0.92649999999999999</v>
      </c>
      <c r="N1246" s="253">
        <v>0.92649999999999999</v>
      </c>
      <c r="O1246" s="253">
        <v>0.92490000000000006</v>
      </c>
      <c r="P1246" s="253">
        <v>0.92749999999999999</v>
      </c>
      <c r="Q1246" s="253">
        <v>0.9264</v>
      </c>
      <c r="R1246" s="253">
        <v>0.9264</v>
      </c>
      <c r="S1246" s="253">
        <v>0.91520000000000001</v>
      </c>
      <c r="T1246" s="253">
        <v>0.91520000000000001</v>
      </c>
      <c r="U1246" s="253">
        <v>0.92649999999999999</v>
      </c>
      <c r="V1246" s="253">
        <v>0.92090000000000005</v>
      </c>
      <c r="W1246" s="253">
        <v>0.92090000000000005</v>
      </c>
      <c r="X1246" s="253">
        <v>0.92090000000000005</v>
      </c>
      <c r="Y1246" s="253">
        <v>0.9163</v>
      </c>
      <c r="Z1246" s="247">
        <f ca="1">[1]ExtEntry!$R49</f>
        <v>0.91510000000000002</v>
      </c>
      <c r="AB1246" s="320">
        <v>6630.0000000000027</v>
      </c>
      <c r="AC1246" s="320">
        <v>6810.0000000000036</v>
      </c>
      <c r="AD1246" s="320">
        <v>6930.0000000000018</v>
      </c>
      <c r="AE1246" s="320">
        <v>7440.0000000000009</v>
      </c>
      <c r="AF1246" s="320">
        <v>7905.0000000000045</v>
      </c>
      <c r="AG1246" s="320">
        <v>6645</v>
      </c>
      <c r="AH1246" s="320">
        <v>6525.0000000000018</v>
      </c>
      <c r="AI1246" s="320">
        <v>5685.0000000000036</v>
      </c>
      <c r="AJ1246" s="320">
        <v>5685.0000000000036</v>
      </c>
      <c r="AK1246" s="320">
        <v>5715.0000000000036</v>
      </c>
      <c r="AL1246" s="320">
        <v>5325.1500000000005</v>
      </c>
      <c r="AM1246" s="320">
        <v>5532.0000000000036</v>
      </c>
      <c r="AN1246" s="320">
        <v>6015.0000000000027</v>
      </c>
      <c r="AO1246" s="320">
        <v>3315.0000000000014</v>
      </c>
      <c r="AP1246" s="320">
        <v>4410.0000000000018</v>
      </c>
      <c r="AQ1246" s="320">
        <v>4770</v>
      </c>
      <c r="AR1246" s="320">
        <v>4545.0000000000018</v>
      </c>
      <c r="AS1246" s="320">
        <v>4545.0000000000018</v>
      </c>
      <c r="AT1246" s="320">
        <v>4890.0000000000027</v>
      </c>
      <c r="AU1246" s="320">
        <v>5190.0000000000009</v>
      </c>
      <c r="AV1246" s="320">
        <f ca="1">Calc!Z49</f>
        <v>5190.0000000000009</v>
      </c>
      <c r="AX1246" s="88" t="str">
        <f t="shared" ca="1" si="102"/>
        <v>VLVLY</v>
      </c>
    </row>
    <row r="1247" spans="1:50" hidden="1">
      <c r="A1247" s="88" t="str">
        <f t="shared" ca="1" si="101"/>
        <v>VONN</v>
      </c>
      <c r="C1247" s="1">
        <v>50</v>
      </c>
      <c r="F1247" s="253">
        <v>1.0304</v>
      </c>
      <c r="G1247" s="253">
        <v>1.0302</v>
      </c>
      <c r="H1247" s="253">
        <v>1.0330999999999999</v>
      </c>
      <c r="I1247" s="253">
        <v>1.0251999999999999</v>
      </c>
      <c r="J1247" s="253">
        <v>1.0215000000000001</v>
      </c>
      <c r="K1247" s="253">
        <v>1.0190999999999999</v>
      </c>
      <c r="L1247" s="253">
        <v>1.0167999999999999</v>
      </c>
      <c r="M1247" s="253">
        <v>1.0202</v>
      </c>
      <c r="N1247" s="253">
        <v>1.0202</v>
      </c>
      <c r="O1247" s="253">
        <v>1.0141</v>
      </c>
      <c r="P1247" s="253">
        <v>1.0185999999999999</v>
      </c>
      <c r="Q1247" s="253">
        <v>1.0196000000000001</v>
      </c>
      <c r="R1247" s="253">
        <v>1.0192000000000001</v>
      </c>
      <c r="S1247" s="253">
        <v>0.9899</v>
      </c>
      <c r="T1247" s="253">
        <v>0.9899</v>
      </c>
      <c r="U1247" s="253">
        <v>0.99680000000000002</v>
      </c>
      <c r="V1247" s="253">
        <v>0.99439999999999995</v>
      </c>
      <c r="W1247" s="253">
        <v>0.99439999999999995</v>
      </c>
      <c r="X1247" s="253">
        <v>0.99439999999999995</v>
      </c>
      <c r="Y1247" s="253">
        <v>0.99439999999999995</v>
      </c>
      <c r="Z1247" s="247">
        <f ca="1">[1]ExtEntry!$R50</f>
        <v>1.0084</v>
      </c>
      <c r="AB1247" s="320">
        <v>1799.9999999999973</v>
      </c>
      <c r="AC1247" s="320">
        <v>1399.9999999999914</v>
      </c>
      <c r="AD1247" s="320">
        <v>1199.9999999999886</v>
      </c>
      <c r="AE1247" s="320">
        <v>1599.9999999999943</v>
      </c>
      <c r="AF1247" s="320">
        <v>2399.9999999999914</v>
      </c>
      <c r="AG1247" s="320">
        <v>3199.9999999999886</v>
      </c>
      <c r="AH1247" s="320">
        <v>3799.9999999999973</v>
      </c>
      <c r="AI1247" s="320">
        <v>4399.9999999999918</v>
      </c>
      <c r="AJ1247" s="320">
        <v>3599.9999999999945</v>
      </c>
      <c r="AK1247" s="320">
        <v>2599.9999999999945</v>
      </c>
      <c r="AL1247" s="320">
        <v>3000</v>
      </c>
      <c r="AM1247" s="320">
        <v>2000</v>
      </c>
      <c r="AN1247" s="320">
        <v>0</v>
      </c>
      <c r="AO1247" s="320">
        <v>109.99999999999943</v>
      </c>
      <c r="AP1247" s="320">
        <v>210.00000000000085</v>
      </c>
      <c r="AQ1247" s="320">
        <v>-189.99999999999773</v>
      </c>
      <c r="AR1247" s="320">
        <v>1409.9999999999966</v>
      </c>
      <c r="AS1247" s="320">
        <v>1409.9999999999966</v>
      </c>
      <c r="AT1247" s="320">
        <v>2210.0000000000009</v>
      </c>
      <c r="AU1247" s="320">
        <v>2409.9999999999964</v>
      </c>
      <c r="AV1247" s="320">
        <f ca="1">Calc!Z50</f>
        <v>2409.9999999999964</v>
      </c>
      <c r="AX1247" s="88" t="str">
        <f t="shared" ca="1" si="102"/>
        <v>VONN</v>
      </c>
    </row>
    <row r="1248" spans="1:50" hidden="1">
      <c r="A1248" s="88" t="str">
        <f t="shared" ca="1" si="101"/>
        <v>VTRS</v>
      </c>
      <c r="C1248" s="1">
        <v>51</v>
      </c>
      <c r="F1248" s="253">
        <v>0.89019999999999999</v>
      </c>
      <c r="G1248" s="253">
        <v>0.88890000000000002</v>
      </c>
      <c r="H1248" s="253">
        <v>0.88959999999999995</v>
      </c>
      <c r="I1248" s="253">
        <v>0.89329999999999998</v>
      </c>
      <c r="J1248" s="253">
        <v>0.89339999999999997</v>
      </c>
      <c r="K1248" s="253">
        <v>0.89439999999999997</v>
      </c>
      <c r="L1248" s="253">
        <v>0.8931</v>
      </c>
      <c r="M1248" s="253">
        <v>0.89539999999999997</v>
      </c>
      <c r="N1248" s="253">
        <v>0.89539999999999997</v>
      </c>
      <c r="O1248" s="253">
        <v>0.89149999999999996</v>
      </c>
      <c r="P1248" s="253">
        <v>0.89359999999999995</v>
      </c>
      <c r="Q1248" s="253">
        <v>0.8921</v>
      </c>
      <c r="R1248" s="253">
        <v>0.89259999999999995</v>
      </c>
      <c r="S1248" s="253">
        <v>0.88970000000000005</v>
      </c>
      <c r="T1248" s="253">
        <v>0.88970000000000005</v>
      </c>
      <c r="U1248" s="253">
        <v>0.89319999999999999</v>
      </c>
      <c r="V1248" s="253">
        <v>0.89280000000000004</v>
      </c>
      <c r="W1248" s="253">
        <v>0.89280000000000004</v>
      </c>
      <c r="X1248" s="253">
        <v>0.89280000000000004</v>
      </c>
      <c r="Y1248" s="253">
        <v>0.89280000000000004</v>
      </c>
      <c r="Z1248" s="247">
        <f ca="1">[1]ExtEntry!$R51</f>
        <v>0.89270000000000005</v>
      </c>
      <c r="AB1248" s="320">
        <v>370.99999999999687</v>
      </c>
      <c r="AC1248" s="320">
        <v>2199.9999999999977</v>
      </c>
      <c r="AD1248" s="320">
        <v>3149.999999999995</v>
      </c>
      <c r="AE1248" s="320">
        <v>3249.9999999999927</v>
      </c>
      <c r="AF1248" s="320">
        <v>3649.9999999999932</v>
      </c>
      <c r="AG1248" s="320">
        <v>3399.9999999999986</v>
      </c>
      <c r="AH1248" s="320">
        <v>2549.9999999999991</v>
      </c>
      <c r="AI1248" s="320">
        <v>2649.9999999999968</v>
      </c>
      <c r="AJ1248" s="320">
        <v>2649.9999999999968</v>
      </c>
      <c r="AK1248" s="320">
        <v>1999.999999999993</v>
      </c>
      <c r="AL1248" s="320">
        <v>2349.9999999999945</v>
      </c>
      <c r="AM1248" s="320">
        <v>2574.9999999999941</v>
      </c>
      <c r="AN1248" s="320">
        <v>3199.9999999999941</v>
      </c>
      <c r="AO1248" s="320">
        <v>3549.9999999999955</v>
      </c>
      <c r="AP1248" s="320">
        <v>4249.9999999999982</v>
      </c>
      <c r="AQ1248" s="320">
        <v>4649.9999999999982</v>
      </c>
      <c r="AR1248" s="320">
        <v>4749.9999999999964</v>
      </c>
      <c r="AS1248" s="320">
        <v>4749.9999999999964</v>
      </c>
      <c r="AT1248" s="320">
        <v>4249.9999999999982</v>
      </c>
      <c r="AU1248" s="320">
        <v>4449.9999999999936</v>
      </c>
      <c r="AV1248" s="320">
        <f ca="1">Calc!Z51</f>
        <v>4449.9999999999936</v>
      </c>
      <c r="AX1248" s="88" t="str">
        <f t="shared" ca="1" si="102"/>
        <v>VTRS</v>
      </c>
    </row>
    <row r="1249" spans="1:50" hidden="1">
      <c r="A1249" s="88" t="str">
        <f t="shared" ca="1" si="101"/>
        <v>WBA</v>
      </c>
      <c r="C1249" s="1">
        <v>52</v>
      </c>
      <c r="F1249" s="253">
        <v>0.81640000000000001</v>
      </c>
      <c r="G1249" s="253">
        <v>0.81640000000000001</v>
      </c>
      <c r="H1249" s="253">
        <v>0.81640000000000001</v>
      </c>
      <c r="I1249" s="253">
        <v>0.81640000000000001</v>
      </c>
      <c r="J1249" s="253">
        <v>0.81640000000000001</v>
      </c>
      <c r="K1249" s="253">
        <v>0.81640000000000001</v>
      </c>
      <c r="L1249" s="253">
        <v>0.81640000000000001</v>
      </c>
      <c r="M1249" s="253">
        <v>0.81640000000000001</v>
      </c>
      <c r="N1249" s="253">
        <v>0.81640000000000001</v>
      </c>
      <c r="O1249" s="253">
        <v>0.81640000000000001</v>
      </c>
      <c r="P1249" s="253">
        <v>0.81640000000000001</v>
      </c>
      <c r="Q1249" s="253">
        <v>0.81640000000000001</v>
      </c>
      <c r="R1249" s="253">
        <v>0.81640000000000001</v>
      </c>
      <c r="S1249" s="253">
        <v>0.81640000000000001</v>
      </c>
      <c r="T1249" s="253">
        <v>0.81640000000000001</v>
      </c>
      <c r="U1249" s="253">
        <v>0.81640000000000001</v>
      </c>
      <c r="V1249" s="253">
        <v>0.81640000000000001</v>
      </c>
      <c r="W1249" s="253">
        <v>0.81640000000000001</v>
      </c>
      <c r="X1249" s="253">
        <v>0.81640000000000001</v>
      </c>
      <c r="Y1249" s="253">
        <v>0.81640000000000001</v>
      </c>
      <c r="Z1249" s="247">
        <f ca="1">[1]ExtEntry!$R52</f>
        <v>0.81640000000000001</v>
      </c>
      <c r="AB1249" s="320">
        <v>5760.2999999999993</v>
      </c>
      <c r="AC1249" s="320">
        <v>5760.2999999999993</v>
      </c>
      <c r="AD1249" s="320">
        <v>5760.2999999999993</v>
      </c>
      <c r="AE1249" s="320">
        <v>5760.2999999999993</v>
      </c>
      <c r="AF1249" s="320">
        <v>5760.2999999999993</v>
      </c>
      <c r="AG1249" s="320">
        <v>5760.2999999999993</v>
      </c>
      <c r="AH1249" s="320">
        <v>5760.2999999999993</v>
      </c>
      <c r="AI1249" s="320">
        <v>5760.2999999999993</v>
      </c>
      <c r="AJ1249" s="320">
        <v>5760.2999999999993</v>
      </c>
      <c r="AK1249" s="320">
        <v>5760.2999999999993</v>
      </c>
      <c r="AL1249" s="320">
        <v>5760.2999999999993</v>
      </c>
      <c r="AM1249" s="320">
        <v>5760.2999999999993</v>
      </c>
      <c r="AN1249" s="320">
        <v>5760.2999999999993</v>
      </c>
      <c r="AO1249" s="320">
        <v>5760.2999999999993</v>
      </c>
      <c r="AP1249" s="320">
        <v>5760.2999999999993</v>
      </c>
      <c r="AQ1249" s="320">
        <v>5760.2999999999993</v>
      </c>
      <c r="AR1249" s="320">
        <v>5760.2999999999993</v>
      </c>
      <c r="AS1249" s="320">
        <v>5760.2999999999993</v>
      </c>
      <c r="AT1249" s="320">
        <v>5760.2999999999993</v>
      </c>
      <c r="AU1249" s="320">
        <v>5760.2999999999993</v>
      </c>
      <c r="AV1249" s="320">
        <f ca="1">Calc!Z52</f>
        <v>5760.2999999999993</v>
      </c>
      <c r="AX1249" s="88" t="str">
        <f t="shared" ca="1" si="102"/>
        <v>WBA</v>
      </c>
    </row>
    <row r="1250" spans="1:50" hidden="1">
      <c r="A1250" s="88" t="str">
        <f t="shared" ca="1" si="101"/>
        <v>XOM</v>
      </c>
      <c r="C1250" s="1">
        <v>53</v>
      </c>
      <c r="F1250" s="253">
        <v>0.49220000000000003</v>
      </c>
      <c r="G1250" s="253">
        <v>0.4879</v>
      </c>
      <c r="H1250" s="253">
        <v>0.48399999999999999</v>
      </c>
      <c r="I1250" s="253">
        <v>0.46810000000000002</v>
      </c>
      <c r="J1250" s="253">
        <v>0.46850000000000003</v>
      </c>
      <c r="K1250" s="253">
        <v>0.46639999999999998</v>
      </c>
      <c r="L1250" s="253">
        <v>0.46650000000000003</v>
      </c>
      <c r="M1250" s="253">
        <v>0.46629999999999999</v>
      </c>
      <c r="N1250" s="253">
        <v>0.46629999999999999</v>
      </c>
      <c r="O1250" s="253">
        <v>0.47320000000000001</v>
      </c>
      <c r="P1250" s="253">
        <v>0.46899999999999997</v>
      </c>
      <c r="Q1250" s="253">
        <v>0.46910000000000002</v>
      </c>
      <c r="R1250" s="253">
        <v>0.46949999999999997</v>
      </c>
      <c r="S1250" s="253">
        <v>0.46889999999999998</v>
      </c>
      <c r="T1250" s="253">
        <v>0.46889999999999998</v>
      </c>
      <c r="U1250" s="253">
        <v>0.46710000000000002</v>
      </c>
      <c r="V1250" s="253">
        <v>0.46710000000000002</v>
      </c>
      <c r="W1250" s="253">
        <v>0.46710000000000002</v>
      </c>
      <c r="X1250" s="253">
        <v>0.46710000000000002</v>
      </c>
      <c r="Y1250" s="253">
        <v>0.46710000000000002</v>
      </c>
      <c r="Z1250" s="247">
        <f ca="1">[1]ExtEntry!$R53</f>
        <v>0.4662</v>
      </c>
      <c r="AB1250" s="320">
        <v>-998.99999999999955</v>
      </c>
      <c r="AC1250" s="320">
        <v>-1427.9999999999973</v>
      </c>
      <c r="AD1250" s="320">
        <v>-1654.5000000000002</v>
      </c>
      <c r="AE1250" s="320">
        <v>-1853.9999999999977</v>
      </c>
      <c r="AF1250" s="320">
        <v>-1270.4999999999998</v>
      </c>
      <c r="AG1250" s="320">
        <v>-971.99999999999841</v>
      </c>
      <c r="AH1250" s="320">
        <v>-1028.9999999999977</v>
      </c>
      <c r="AI1250" s="320">
        <v>-1373.9999999999995</v>
      </c>
      <c r="AJ1250" s="320">
        <v>-1373.9999999999995</v>
      </c>
      <c r="AK1250" s="320">
        <v>-1577.9999999999973</v>
      </c>
      <c r="AL1250" s="320">
        <v>-1553.9999999999977</v>
      </c>
      <c r="AM1250" s="320">
        <v>-1714.4999999999968</v>
      </c>
      <c r="AN1250" s="320">
        <v>-2054.9999999999982</v>
      </c>
      <c r="AO1250" s="320">
        <v>-1575</v>
      </c>
      <c r="AP1250" s="320">
        <v>-1435.4999999999991</v>
      </c>
      <c r="AQ1250" s="320">
        <v>-1436.9999999999977</v>
      </c>
      <c r="AR1250" s="320">
        <v>-827.99999999999727</v>
      </c>
      <c r="AS1250" s="320">
        <v>-827.99999999999727</v>
      </c>
      <c r="AT1250" s="320">
        <v>-461.99999999999761</v>
      </c>
      <c r="AU1250" s="320">
        <v>-626.99999999999682</v>
      </c>
      <c r="AV1250" s="320">
        <f ca="1">Calc!Z53</f>
        <v>-629.99999999999829</v>
      </c>
      <c r="AX1250" s="88" t="str">
        <f t="shared" ca="1" si="102"/>
        <v>XOM</v>
      </c>
    </row>
    <row r="1251" spans="1:50" hidden="1">
      <c r="A1251" s="88" t="str">
        <f t="shared" ca="1" si="101"/>
        <v>XPER</v>
      </c>
      <c r="C1251" s="1">
        <v>54</v>
      </c>
      <c r="F1251" s="253">
        <v>1.145</v>
      </c>
      <c r="G1251" s="253">
        <v>1.145</v>
      </c>
      <c r="H1251" s="253">
        <v>1.145</v>
      </c>
      <c r="I1251" s="253">
        <v>1.145</v>
      </c>
      <c r="J1251" s="253">
        <v>1.135</v>
      </c>
      <c r="K1251" s="253">
        <v>1.135</v>
      </c>
      <c r="L1251" s="253">
        <v>1.135</v>
      </c>
      <c r="M1251" s="253">
        <v>1.135</v>
      </c>
      <c r="N1251" s="253">
        <v>1.135</v>
      </c>
      <c r="O1251" s="253">
        <v>1.1379999999999999</v>
      </c>
      <c r="P1251" s="253">
        <v>1.1379999999999999</v>
      </c>
      <c r="Q1251" s="253">
        <v>1.1379999999999999</v>
      </c>
      <c r="R1251" s="253">
        <v>1.1379999999999999</v>
      </c>
      <c r="S1251" s="253">
        <v>1.1579999999999999</v>
      </c>
      <c r="T1251" s="253">
        <v>1.1579999999999999</v>
      </c>
      <c r="U1251" s="253">
        <v>1.1579999999999999</v>
      </c>
      <c r="V1251" s="253">
        <v>1.1579999999999999</v>
      </c>
      <c r="W1251" s="253">
        <v>1.1579999999999999</v>
      </c>
      <c r="X1251" s="253">
        <v>1.1579999999999999</v>
      </c>
      <c r="Y1251" s="253">
        <v>1.1459999999999999</v>
      </c>
      <c r="Z1251" s="247">
        <f ca="1">[1]ExtEntry!$R54</f>
        <v>1.1459999999999999</v>
      </c>
      <c r="AB1251" s="320">
        <v>-13839.000000000004</v>
      </c>
      <c r="AC1251" s="320">
        <v>-14280.000000000002</v>
      </c>
      <c r="AD1251" s="320">
        <v>-13902.000000000002</v>
      </c>
      <c r="AE1251" s="320">
        <v>-13188.000000000002</v>
      </c>
      <c r="AF1251" s="320">
        <v>-12684.000000000002</v>
      </c>
      <c r="AG1251" s="320">
        <v>-13860.000000000004</v>
      </c>
      <c r="AH1251" s="320">
        <v>-13608.000000000005</v>
      </c>
      <c r="AI1251" s="320">
        <v>200.00000000000017</v>
      </c>
      <c r="AJ1251" s="320">
        <v>200.00000000000017</v>
      </c>
      <c r="AK1251" s="320">
        <v>-649.99999999999943</v>
      </c>
      <c r="AL1251" s="320">
        <v>249.99999999999912</v>
      </c>
      <c r="AM1251" s="320">
        <v>550.50000000000045</v>
      </c>
      <c r="AN1251" s="320">
        <v>299.99999999999807</v>
      </c>
      <c r="AO1251" s="320">
        <v>-249.99999999999912</v>
      </c>
      <c r="AP1251" s="320">
        <v>350.00000000000142</v>
      </c>
      <c r="AQ1251" s="320">
        <v>600.00000000000057</v>
      </c>
      <c r="AR1251" s="320">
        <v>-500.00000000000267</v>
      </c>
      <c r="AS1251" s="320">
        <v>-550.00000000000159</v>
      </c>
      <c r="AT1251" s="320">
        <v>-249.99999999999912</v>
      </c>
      <c r="AU1251" s="320">
        <v>150.00000000000125</v>
      </c>
      <c r="AV1251" s="320">
        <f ca="1">Calc!Z54</f>
        <v>49.999999999998934</v>
      </c>
      <c r="AX1251" s="88" t="str">
        <f t="shared" ca="1" si="102"/>
        <v>XPER</v>
      </c>
    </row>
    <row r="1252" spans="1:50" hidden="1">
      <c r="A1252" s="88" t="str">
        <f t="shared" ca="1" si="101"/>
        <v>MVEALDNE</v>
      </c>
      <c r="C1252" s="1">
        <v>55</v>
      </c>
      <c r="F1252" s="253">
        <v>0.99170000000000003</v>
      </c>
      <c r="G1252" s="253">
        <v>0.98880000000000001</v>
      </c>
      <c r="H1252" s="253">
        <v>0.98829999999999996</v>
      </c>
      <c r="I1252" s="253">
        <v>1.042</v>
      </c>
      <c r="J1252" s="253">
        <v>1.0416000000000001</v>
      </c>
      <c r="K1252" s="253">
        <v>1.0409999999999999</v>
      </c>
      <c r="L1252" s="253">
        <v>1.042</v>
      </c>
      <c r="M1252" s="253">
        <v>1.042</v>
      </c>
      <c r="N1252" s="253">
        <v>1.042</v>
      </c>
      <c r="O1252" s="253">
        <v>1.0416000000000001</v>
      </c>
      <c r="P1252" s="253">
        <v>1.0415000000000001</v>
      </c>
      <c r="Q1252" s="253">
        <v>1.0416000000000001</v>
      </c>
      <c r="R1252" s="253">
        <v>1.0415000000000001</v>
      </c>
      <c r="S1252" s="253">
        <v>1.0349999999999999</v>
      </c>
      <c r="T1252" s="253">
        <v>1.0349999999999999</v>
      </c>
      <c r="U1252" s="253">
        <v>1.0337000000000001</v>
      </c>
      <c r="V1252" s="253">
        <v>1.0339</v>
      </c>
      <c r="W1252" s="253">
        <v>1.0339</v>
      </c>
      <c r="X1252" s="253">
        <v>1.0339</v>
      </c>
      <c r="Y1252" s="253">
        <v>1.0339</v>
      </c>
      <c r="Z1252" s="247">
        <f ca="1">[1]ExtEntry!$R55</f>
        <v>1.0333000000000001</v>
      </c>
      <c r="AB1252" s="320">
        <v>-1845.7300000000009</v>
      </c>
      <c r="AC1252" s="320">
        <v>-1805.7300000000009</v>
      </c>
      <c r="AD1252" s="320">
        <v>-1565.7300000000007</v>
      </c>
      <c r="AE1252" s="320">
        <v>-1765.7300000000009</v>
      </c>
      <c r="AF1252" s="320">
        <v>-1805.7300000000009</v>
      </c>
      <c r="AG1252" s="320">
        <v>-2365.7300000000014</v>
      </c>
      <c r="AH1252" s="320">
        <v>-2725.7300000000018</v>
      </c>
      <c r="AI1252" s="320">
        <v>-2725.7300000000018</v>
      </c>
      <c r="AJ1252" s="320">
        <v>-2725.7300000000018</v>
      </c>
      <c r="AK1252" s="320">
        <v>-2405.7300000000014</v>
      </c>
      <c r="AL1252" s="320">
        <v>-2365.7300000000014</v>
      </c>
      <c r="AM1252" s="320">
        <v>-2405.7300000000014</v>
      </c>
      <c r="AN1252" s="320">
        <v>-2565.7300000000018</v>
      </c>
      <c r="AO1252" s="320">
        <v>-2565.7300000000018</v>
      </c>
      <c r="AP1252" s="320">
        <v>-2765.7300000000018</v>
      </c>
      <c r="AQ1252" s="320">
        <v>-2565.7300000000018</v>
      </c>
      <c r="AR1252" s="320">
        <v>-2365.7300000000014</v>
      </c>
      <c r="AS1252" s="320">
        <v>-2365.7300000000014</v>
      </c>
      <c r="AT1252" s="320">
        <v>-2405.7300000000014</v>
      </c>
      <c r="AU1252" s="320">
        <v>-2645.7300000000018</v>
      </c>
      <c r="AV1252" s="320">
        <f ca="1">Calc!Z55</f>
        <v>-2645.7300000000018</v>
      </c>
      <c r="AX1252" s="88" t="str">
        <f t="shared" ca="1" si="102"/>
        <v>MVEALDNE</v>
      </c>
    </row>
    <row r="1253" spans="1:50" hidden="1">
      <c r="A1253" s="88" t="str">
        <f t="shared" ca="1" si="101"/>
        <v>MVEDDD</v>
      </c>
      <c r="C1253" s="1">
        <v>56</v>
      </c>
      <c r="F1253" s="253">
        <v>2.1194999999999999</v>
      </c>
      <c r="G1253" s="253">
        <v>2.1150000000000002</v>
      </c>
      <c r="H1253" s="253">
        <v>2.1158000000000001</v>
      </c>
      <c r="I1253" s="253">
        <v>2.1880000000000002</v>
      </c>
      <c r="J1253" s="253">
        <v>2.1848999999999998</v>
      </c>
      <c r="K1253" s="253">
        <v>2.1829999999999998</v>
      </c>
      <c r="L1253" s="253">
        <v>2.1808999999999998</v>
      </c>
      <c r="M1253" s="253">
        <v>2.1838000000000002</v>
      </c>
      <c r="N1253" s="253">
        <v>2.1838000000000002</v>
      </c>
      <c r="O1253" s="253">
        <v>2.1762999999999999</v>
      </c>
      <c r="P1253" s="253">
        <v>2.1745000000000001</v>
      </c>
      <c r="Q1253" s="253">
        <v>2.1745999999999999</v>
      </c>
      <c r="R1253" s="253">
        <v>2.1697000000000002</v>
      </c>
      <c r="S1253" s="253">
        <v>2.1758000000000002</v>
      </c>
      <c r="T1253" s="253">
        <v>2.1758000000000002</v>
      </c>
      <c r="U1253" s="253">
        <v>2.1718000000000002</v>
      </c>
      <c r="V1253" s="253">
        <v>2.1789000000000001</v>
      </c>
      <c r="W1253" s="253">
        <v>2.1789000000000001</v>
      </c>
      <c r="X1253" s="253">
        <v>2.1789000000000001</v>
      </c>
      <c r="Y1253" s="253">
        <v>2.1789000000000001</v>
      </c>
      <c r="Z1253" s="247">
        <f ca="1">[1]ExtEntry!$R56</f>
        <v>2.1852999999999998</v>
      </c>
      <c r="AB1253" s="320">
        <v>5200</v>
      </c>
      <c r="AC1253" s="320">
        <v>4499.9999999999973</v>
      </c>
      <c r="AD1253" s="320">
        <v>4150</v>
      </c>
      <c r="AE1253" s="320">
        <v>5449.9999999999991</v>
      </c>
      <c r="AF1253" s="320">
        <v>6699.9999999999991</v>
      </c>
      <c r="AG1253" s="320">
        <v>6849.9999999999964</v>
      </c>
      <c r="AH1253" s="320">
        <v>7949.9999999999991</v>
      </c>
      <c r="AI1253" s="320">
        <v>7300</v>
      </c>
      <c r="AJ1253" s="320">
        <v>7300</v>
      </c>
      <c r="AK1253" s="320">
        <v>6599.9999999999973</v>
      </c>
      <c r="AL1253" s="320">
        <v>6299.9999999999991</v>
      </c>
      <c r="AM1253" s="320">
        <v>7999.9999999999982</v>
      </c>
      <c r="AN1253" s="320">
        <v>8099.9999999999964</v>
      </c>
      <c r="AO1253" s="320">
        <v>6599.9999999999973</v>
      </c>
      <c r="AP1253" s="320">
        <v>13350</v>
      </c>
      <c r="AQ1253" s="320">
        <v>9200</v>
      </c>
      <c r="AR1253" s="320">
        <v>5549.9999999999973</v>
      </c>
      <c r="AS1253" s="320">
        <v>5549.9999999999973</v>
      </c>
      <c r="AT1253" s="320">
        <v>6250</v>
      </c>
      <c r="AU1253" s="320">
        <v>6749.9999999999982</v>
      </c>
      <c r="AV1253" s="320">
        <f ca="1">Calc!Z56</f>
        <v>6799.9999999999973</v>
      </c>
      <c r="AX1253" s="88" t="str">
        <f t="shared" ca="1" si="102"/>
        <v>MVEDDD</v>
      </c>
    </row>
    <row r="1254" spans="1:50" hidden="1">
      <c r="A1254" s="88" t="str">
        <f t="shared" ca="1" si="101"/>
        <v>MVEDSY</v>
      </c>
      <c r="C1254" s="1">
        <v>57</v>
      </c>
      <c r="F1254" s="253">
        <v>0.68710000000000004</v>
      </c>
      <c r="G1254" s="253" t="e" vm="411">
        <v>#VALUE!</v>
      </c>
      <c r="H1254" s="253" t="e" vm="411">
        <v>#VALUE!</v>
      </c>
      <c r="I1254" s="253" t="e" vm="411">
        <v>#VALUE!</v>
      </c>
      <c r="J1254" s="253" t="e" vm="411">
        <v>#VALUE!</v>
      </c>
      <c r="K1254" s="253" t="e" vm="411">
        <v>#VALUE!</v>
      </c>
      <c r="L1254" s="253">
        <v>0.67400000000000004</v>
      </c>
      <c r="M1254" s="253">
        <v>0.67410000000000003</v>
      </c>
      <c r="N1254" s="253">
        <v>0.67410000000000003</v>
      </c>
      <c r="O1254" s="253">
        <v>0.67359999999999998</v>
      </c>
      <c r="P1254" s="253">
        <v>0.67330000000000001</v>
      </c>
      <c r="Q1254" s="253">
        <v>0.67420000000000002</v>
      </c>
      <c r="R1254" s="253">
        <v>0.67320000000000002</v>
      </c>
      <c r="S1254" s="253">
        <v>0.67569999999999997</v>
      </c>
      <c r="T1254" s="253">
        <v>0.67569999999999997</v>
      </c>
      <c r="U1254" s="253">
        <v>0.67879999999999996</v>
      </c>
      <c r="V1254" s="253">
        <v>0.68259999999999998</v>
      </c>
      <c r="W1254" s="253">
        <v>0.68259999999999998</v>
      </c>
      <c r="X1254" s="253">
        <v>0.68330000000000002</v>
      </c>
      <c r="Y1254" s="253">
        <v>0.68330000000000002</v>
      </c>
      <c r="Z1254" s="247">
        <f ca="1">[1]ExtEntry!$R57</f>
        <v>0.68200000000000005</v>
      </c>
      <c r="AB1254" s="320">
        <v>-2865</v>
      </c>
      <c r="AC1254" s="320">
        <v>-43770</v>
      </c>
      <c r="AD1254" s="320">
        <v>-43785</v>
      </c>
      <c r="AE1254" s="320">
        <v>-43755</v>
      </c>
      <c r="AF1254" s="320">
        <v>-43740</v>
      </c>
      <c r="AG1254" s="320">
        <v>-44017.799999999996</v>
      </c>
      <c r="AH1254" s="320">
        <v>-2174.9999999999991</v>
      </c>
      <c r="AI1254" s="320">
        <v>-1934.9999999999986</v>
      </c>
      <c r="AJ1254" s="320">
        <v>-1289.9999999999991</v>
      </c>
      <c r="AK1254" s="320">
        <v>-2115</v>
      </c>
      <c r="AL1254" s="320">
        <v>-2804.9999999999964</v>
      </c>
      <c r="AM1254" s="320">
        <v>-2009.9999999999998</v>
      </c>
      <c r="AN1254" s="320">
        <v>-1259.9999999999998</v>
      </c>
      <c r="AO1254" s="320">
        <v>-1335.0000000000009</v>
      </c>
      <c r="AP1254" s="320">
        <v>-659.99999999999659</v>
      </c>
      <c r="AQ1254" s="320">
        <v>75.000000000001066</v>
      </c>
      <c r="AR1254" s="320">
        <v>-149.99999999999682</v>
      </c>
      <c r="AS1254" s="320">
        <v>-149.99999999999682</v>
      </c>
      <c r="AT1254" s="320">
        <v>-6014.9999999999973</v>
      </c>
      <c r="AU1254" s="320">
        <v>-6794.9999999999964</v>
      </c>
      <c r="AV1254" s="320">
        <f ca="1">Calc!Z57</f>
        <v>-6794.9999999999964</v>
      </c>
      <c r="AX1254" s="88" t="str">
        <f t="shared" ca="1" si="102"/>
        <v>MVEDSY</v>
      </c>
    </row>
    <row r="1255" spans="1:50" hidden="1">
      <c r="A1255" s="88" t="str">
        <f t="shared" ca="1" si="101"/>
        <v>MVEEOAN</v>
      </c>
      <c r="C1255" s="1">
        <v>58</v>
      </c>
      <c r="F1255" s="253">
        <v>0.70030000000000003</v>
      </c>
      <c r="G1255" s="253">
        <v>0.7056</v>
      </c>
      <c r="H1255" s="253">
        <v>0.7056</v>
      </c>
      <c r="I1255" s="253">
        <v>0.72050000000000003</v>
      </c>
      <c r="J1255" s="253">
        <v>0.72089999999999999</v>
      </c>
      <c r="K1255" s="253">
        <v>0.71989999999999998</v>
      </c>
      <c r="L1255" s="253">
        <v>0.72009999999999996</v>
      </c>
      <c r="M1255" s="253">
        <v>0.72009999999999996</v>
      </c>
      <c r="N1255" s="253">
        <v>0.72009999999999996</v>
      </c>
      <c r="O1255" s="253">
        <v>0.7177</v>
      </c>
      <c r="P1255" s="253">
        <v>0.72060000000000002</v>
      </c>
      <c r="Q1255" s="253">
        <v>0.72050000000000003</v>
      </c>
      <c r="R1255" s="253">
        <v>0.72060000000000002</v>
      </c>
      <c r="S1255" s="253">
        <v>0.72060000000000002</v>
      </c>
      <c r="T1255" s="253">
        <v>0.72060000000000002</v>
      </c>
      <c r="U1255" s="253">
        <v>0.71760000000000002</v>
      </c>
      <c r="V1255" s="253">
        <v>0.72070000000000001</v>
      </c>
      <c r="W1255" s="253">
        <v>0.72070000000000001</v>
      </c>
      <c r="X1255" s="253">
        <v>0.72070000000000001</v>
      </c>
      <c r="Y1255" s="253">
        <v>0.72070000000000001</v>
      </c>
      <c r="Z1255" s="247">
        <f ca="1">[1]ExtEntry!$R58</f>
        <v>0.72009999999999996</v>
      </c>
      <c r="AB1255" s="320">
        <v>49.449999999999989</v>
      </c>
      <c r="AC1255" s="320">
        <v>50.099999999999994</v>
      </c>
      <c r="AD1255" s="320">
        <v>51</v>
      </c>
      <c r="AE1255" s="320">
        <v>49</v>
      </c>
      <c r="AF1255" s="320">
        <v>50.600000000000009</v>
      </c>
      <c r="AG1255" s="320">
        <v>50.549999999999983</v>
      </c>
      <c r="AH1255" s="320">
        <v>51.199999999999989</v>
      </c>
      <c r="AI1255" s="320">
        <v>51.150000000000006</v>
      </c>
      <c r="AJ1255" s="320">
        <v>51.199999999999989</v>
      </c>
      <c r="AK1255" s="320">
        <v>52.000000000000014</v>
      </c>
      <c r="AL1255" s="320">
        <v>53.100000000000009</v>
      </c>
      <c r="AM1255" s="320">
        <v>51.399999999999991</v>
      </c>
      <c r="AN1255" s="320">
        <v>51.899999999999991</v>
      </c>
      <c r="AO1255" s="320">
        <v>52.099999999999994</v>
      </c>
      <c r="AP1255" s="320">
        <v>53.600000000000009</v>
      </c>
      <c r="AQ1255" s="320">
        <v>53.049999999999983</v>
      </c>
      <c r="AR1255" s="320">
        <v>50.400000000000006</v>
      </c>
      <c r="AS1255" s="320">
        <v>50.400000000000006</v>
      </c>
      <c r="AT1255" s="320">
        <v>49.2</v>
      </c>
      <c r="AU1255" s="320">
        <v>49.999999999999986</v>
      </c>
      <c r="AV1255" s="320">
        <f ca="1">Calc!Z58</f>
        <v>50.25</v>
      </c>
      <c r="AX1255" s="88" t="str">
        <f t="shared" ca="1" si="102"/>
        <v>MVEEOAN</v>
      </c>
    </row>
    <row r="1256" spans="1:50" hidden="1">
      <c r="A1256" s="88" t="str">
        <f t="shared" ca="1" si="101"/>
        <v>MVEENI</v>
      </c>
      <c r="C1256" s="1">
        <v>59</v>
      </c>
      <c r="F1256" s="253">
        <v>1.1001000000000001</v>
      </c>
      <c r="G1256" s="253">
        <v>1.1007</v>
      </c>
      <c r="H1256" s="253">
        <v>1.1006</v>
      </c>
      <c r="I1256" s="253">
        <v>1.0837000000000001</v>
      </c>
      <c r="J1256" s="253">
        <v>1.0841000000000001</v>
      </c>
      <c r="K1256" s="253">
        <v>1.0834999999999999</v>
      </c>
      <c r="L1256" s="253">
        <v>1.0831999999999999</v>
      </c>
      <c r="M1256" s="253">
        <v>1.0837000000000001</v>
      </c>
      <c r="N1256" s="253">
        <v>1.0837000000000001</v>
      </c>
      <c r="O1256" s="253">
        <v>1.0801000000000001</v>
      </c>
      <c r="P1256" s="253">
        <v>1.0807</v>
      </c>
      <c r="Q1256" s="253">
        <v>1.0831999999999999</v>
      </c>
      <c r="R1256" s="253">
        <v>1.0819000000000001</v>
      </c>
      <c r="S1256" s="253">
        <v>1.079</v>
      </c>
      <c r="T1256" s="253">
        <v>1.079</v>
      </c>
      <c r="U1256" s="253">
        <v>1.0827</v>
      </c>
      <c r="V1256" s="253">
        <v>1.0833999999999999</v>
      </c>
      <c r="W1256" s="253">
        <v>1.0833999999999999</v>
      </c>
      <c r="X1256" s="253">
        <v>1.0833999999999999</v>
      </c>
      <c r="Y1256" s="253">
        <v>1.0833999999999999</v>
      </c>
      <c r="Z1256" s="247">
        <f ca="1">[1]ExtEntry!$R59</f>
        <v>1.0790999999999999</v>
      </c>
      <c r="AB1256" s="320">
        <v>16976</v>
      </c>
      <c r="AC1256" s="320">
        <v>15247.999999999991</v>
      </c>
      <c r="AD1256" s="320">
        <v>16207.999999999998</v>
      </c>
      <c r="AE1256" s="320">
        <v>15327.999999999989</v>
      </c>
      <c r="AF1256" s="320">
        <v>15567.999999999998</v>
      </c>
      <c r="AG1256" s="320">
        <v>17711.999999999989</v>
      </c>
      <c r="AH1256" s="320">
        <v>18607.999999999989</v>
      </c>
      <c r="AI1256" s="320">
        <v>19343.999999999993</v>
      </c>
      <c r="AJ1256" s="320">
        <v>17935.999999999993</v>
      </c>
      <c r="AK1256" s="320">
        <v>16095.999999999989</v>
      </c>
      <c r="AL1256" s="320">
        <v>13919.999999999987</v>
      </c>
      <c r="AM1256" s="320">
        <v>14095.999999999989</v>
      </c>
      <c r="AN1256" s="320">
        <v>14447.999999999993</v>
      </c>
      <c r="AO1256" s="320">
        <v>15071.999999999989</v>
      </c>
      <c r="AP1256" s="320">
        <v>15327.999999999989</v>
      </c>
      <c r="AQ1256" s="320">
        <v>15519.999999999996</v>
      </c>
      <c r="AR1256" s="320">
        <v>17327.999999999989</v>
      </c>
      <c r="AS1256" s="320">
        <v>17327.999999999989</v>
      </c>
      <c r="AT1256" s="320">
        <v>21007.999999999996</v>
      </c>
      <c r="AU1256" s="320">
        <v>23007.999999999996</v>
      </c>
      <c r="AV1256" s="320">
        <f ca="1">Calc!Z59</f>
        <v>23007.999999999996</v>
      </c>
      <c r="AX1256" s="88" t="str">
        <f t="shared" ca="1" si="102"/>
        <v>MVEENI</v>
      </c>
    </row>
    <row r="1257" spans="1:50" hidden="1">
      <c r="A1257" s="88" t="str">
        <f t="shared" ca="1" si="101"/>
        <v>MVEEPIX</v>
      </c>
      <c r="C1257" s="1">
        <v>60</v>
      </c>
      <c r="F1257" s="253">
        <v>1.5955999999999999</v>
      </c>
      <c r="G1257" s="253">
        <v>1.5857000000000001</v>
      </c>
      <c r="H1257" s="253">
        <v>1.5745</v>
      </c>
      <c r="I1257" s="253">
        <v>1.5464</v>
      </c>
      <c r="J1257" s="253">
        <v>1.5424</v>
      </c>
      <c r="K1257" s="253">
        <v>1.5499000000000001</v>
      </c>
      <c r="L1257" s="253">
        <v>1.5470999999999999</v>
      </c>
      <c r="M1257" s="253">
        <v>1.5513999999999999</v>
      </c>
      <c r="N1257" s="253">
        <v>1.5513999999999999</v>
      </c>
      <c r="O1257" s="253">
        <v>1.5513999999999999</v>
      </c>
      <c r="P1257" s="253">
        <v>1.5513999999999999</v>
      </c>
      <c r="Q1257" s="253">
        <v>1.5513999999999999</v>
      </c>
      <c r="R1257" s="253">
        <v>1.5513999999999999</v>
      </c>
      <c r="S1257" s="253">
        <v>1.5513999999999999</v>
      </c>
      <c r="T1257" s="253">
        <v>1.5513999999999999</v>
      </c>
      <c r="U1257" s="253">
        <v>1.5513999999999999</v>
      </c>
      <c r="V1257" s="253">
        <v>1.5513999999999999</v>
      </c>
      <c r="W1257" s="253">
        <v>1.5513999999999999</v>
      </c>
      <c r="X1257" s="253">
        <v>1.5513999999999999</v>
      </c>
      <c r="Y1257" s="253">
        <v>1.5513999999999999</v>
      </c>
      <c r="Z1257" s="247">
        <f ca="1">[1]ExtEntry!$R60</f>
        <v>1.5513999999999999</v>
      </c>
      <c r="AB1257" s="320">
        <v>-15278</v>
      </c>
      <c r="AC1257" s="320">
        <v>-15290</v>
      </c>
      <c r="AD1257" s="320">
        <v>-15141</v>
      </c>
      <c r="AE1257" s="320">
        <v>-15026</v>
      </c>
      <c r="AF1257" s="320">
        <v>-15139</v>
      </c>
      <c r="AG1257" s="320">
        <v>-15149.999999999998</v>
      </c>
      <c r="AH1257" s="320">
        <v>-15188</v>
      </c>
      <c r="AI1257" s="320">
        <v>-15188</v>
      </c>
      <c r="AJ1257" s="320">
        <v>-15188</v>
      </c>
      <c r="AK1257" s="320">
        <v>-15188</v>
      </c>
      <c r="AL1257" s="320">
        <v>-15188</v>
      </c>
      <c r="AM1257" s="320">
        <v>-15188</v>
      </c>
      <c r="AN1257" s="320">
        <v>-15188</v>
      </c>
      <c r="AO1257" s="320">
        <v>-15188</v>
      </c>
      <c r="AP1257" s="320">
        <v>-15188</v>
      </c>
      <c r="AQ1257" s="320">
        <v>-15188</v>
      </c>
      <c r="AR1257" s="320">
        <v>-15188</v>
      </c>
      <c r="AS1257" s="320">
        <v>-15188</v>
      </c>
      <c r="AT1257" s="320">
        <v>-15188</v>
      </c>
      <c r="AU1257" s="320">
        <v>-15188</v>
      </c>
      <c r="AV1257" s="320">
        <f ca="1">Calc!Z60</f>
        <v>-15188</v>
      </c>
      <c r="AX1257" s="88" t="str">
        <f t="shared" ca="1" si="102"/>
        <v>MVEEPIX</v>
      </c>
    </row>
    <row r="1258" spans="1:50" hidden="1">
      <c r="A1258" s="88" t="str">
        <f t="shared" ca="1" si="101"/>
        <v>MVEGLE</v>
      </c>
      <c r="C1258" s="1">
        <v>61</v>
      </c>
      <c r="F1258" s="253">
        <v>1.5660000000000001</v>
      </c>
      <c r="G1258" s="253">
        <v>1.5669999999999999</v>
      </c>
      <c r="H1258" s="253">
        <v>1.5665</v>
      </c>
      <c r="I1258" s="253">
        <v>1.5979000000000001</v>
      </c>
      <c r="J1258" s="253">
        <v>1.5981000000000001</v>
      </c>
      <c r="K1258" s="253">
        <v>1.589</v>
      </c>
      <c r="L1258" s="253">
        <v>1.5983000000000001</v>
      </c>
      <c r="M1258" s="253">
        <v>1.5980000000000001</v>
      </c>
      <c r="N1258" s="253">
        <v>1.5980000000000001</v>
      </c>
      <c r="O1258" s="253">
        <v>1.5924</v>
      </c>
      <c r="P1258" s="253">
        <v>1.6016999999999999</v>
      </c>
      <c r="Q1258" s="253">
        <v>1.5999000000000001</v>
      </c>
      <c r="R1258" s="253">
        <v>1.5998000000000001</v>
      </c>
      <c r="S1258" s="253">
        <v>1.5733999999999999</v>
      </c>
      <c r="T1258" s="253">
        <v>1.5733999999999999</v>
      </c>
      <c r="U1258" s="253">
        <v>1.5734999999999999</v>
      </c>
      <c r="V1258" s="253">
        <v>1.5686</v>
      </c>
      <c r="W1258" s="253">
        <v>1.5686</v>
      </c>
      <c r="X1258" s="253">
        <v>1.5591999999999999</v>
      </c>
      <c r="Y1258" s="253">
        <v>1.5591999999999999</v>
      </c>
      <c r="Z1258" s="247">
        <f ca="1">[1]ExtEntry!$R61</f>
        <v>1.5581</v>
      </c>
      <c r="AB1258" s="320">
        <v>-4915.300000000012</v>
      </c>
      <c r="AC1258" s="320">
        <v>-5432.700000000008</v>
      </c>
      <c r="AD1258" s="320">
        <v>-4517.3000000000065</v>
      </c>
      <c r="AE1258" s="320">
        <v>-4716.3000000000093</v>
      </c>
      <c r="AF1258" s="320">
        <v>-4716.3000000000093</v>
      </c>
      <c r="AG1258" s="320">
        <v>-11522.100000000013</v>
      </c>
      <c r="AH1258" s="320">
        <v>-9293.3000000000029</v>
      </c>
      <c r="AI1258" s="320">
        <v>-640.00000000000057</v>
      </c>
      <c r="AJ1258" s="320">
        <v>-879.99999999999545</v>
      </c>
      <c r="AK1258" s="320">
        <v>-1920.0000000000018</v>
      </c>
      <c r="AL1258" s="320">
        <v>680.00000000000682</v>
      </c>
      <c r="AM1258" s="320">
        <v>1760.000000000005</v>
      </c>
      <c r="AN1258" s="320">
        <v>3680.0000000000068</v>
      </c>
      <c r="AO1258" s="320">
        <v>-380.00000000000256</v>
      </c>
      <c r="AP1258" s="320">
        <v>-1020.0000000000032</v>
      </c>
      <c r="AQ1258" s="320">
        <v>-900.00000000000568</v>
      </c>
      <c r="AR1258" s="320">
        <v>-1140.0000000000005</v>
      </c>
      <c r="AS1258" s="320">
        <v>-1140.0000000000005</v>
      </c>
      <c r="AT1258" s="320">
        <v>-440.00000000000483</v>
      </c>
      <c r="AU1258" s="320">
        <v>-340.00000000000341</v>
      </c>
      <c r="AV1258" s="320">
        <f ca="1">Calc!Z61</f>
        <v>-340.00000000000341</v>
      </c>
      <c r="AX1258" s="88" t="str">
        <f t="shared" ca="1" si="102"/>
        <v>MVEGLE</v>
      </c>
    </row>
    <row r="1259" spans="1:50" hidden="1">
      <c r="A1259" s="88" t="str">
        <f t="shared" ca="1" si="101"/>
        <v>MVEORA</v>
      </c>
      <c r="C1259" s="1">
        <v>62</v>
      </c>
      <c r="F1259" s="253">
        <v>0.27379999999999999</v>
      </c>
      <c r="G1259" s="253">
        <v>1.2377</v>
      </c>
      <c r="H1259" s="253">
        <v>0.27229999999999999</v>
      </c>
      <c r="I1259" s="253">
        <v>0.30819999999999997</v>
      </c>
      <c r="J1259" s="253">
        <v>0.3085</v>
      </c>
      <c r="K1259" s="253">
        <v>0.30259999999999998</v>
      </c>
      <c r="L1259" s="253">
        <v>0.3085</v>
      </c>
      <c r="M1259" s="253">
        <v>0.30830000000000002</v>
      </c>
      <c r="N1259" s="253">
        <v>0.30830000000000002</v>
      </c>
      <c r="O1259" s="253">
        <v>0.30659999999999998</v>
      </c>
      <c r="P1259" s="253">
        <v>0.31</v>
      </c>
      <c r="Q1259" s="253">
        <v>0.30909999999999999</v>
      </c>
      <c r="R1259" s="253">
        <v>0.30769999999999997</v>
      </c>
      <c r="S1259" s="253">
        <v>0.31259999999999999</v>
      </c>
      <c r="T1259" s="253">
        <v>0.31259999999999999</v>
      </c>
      <c r="U1259" s="253">
        <v>0.31</v>
      </c>
      <c r="V1259" s="253">
        <v>0.3095</v>
      </c>
      <c r="W1259" s="253">
        <v>0.3095</v>
      </c>
      <c r="X1259" s="253">
        <v>0.30930000000000002</v>
      </c>
      <c r="Y1259" s="253">
        <v>0.30930000000000002</v>
      </c>
      <c r="Z1259" s="247">
        <f ca="1">[1]ExtEntry!$R62</f>
        <v>0.30830000000000002</v>
      </c>
      <c r="AB1259" s="320">
        <v>-1950.0000000000011</v>
      </c>
      <c r="AC1259" s="320">
        <v>94859.999999999985</v>
      </c>
      <c r="AD1259" s="320">
        <v>-1934.9999999999986</v>
      </c>
      <c r="AE1259" s="320">
        <v>-2444.9999999999986</v>
      </c>
      <c r="AF1259" s="320">
        <v>-3089.9999999999982</v>
      </c>
      <c r="AG1259" s="320">
        <v>-3404.9999999999995</v>
      </c>
      <c r="AH1259" s="320">
        <v>-2879.9999999999973</v>
      </c>
      <c r="AI1259" s="320">
        <v>-2369.9999999999973</v>
      </c>
      <c r="AJ1259" s="320">
        <v>-2309.9999999999986</v>
      </c>
      <c r="AK1259" s="320">
        <v>-2760</v>
      </c>
      <c r="AL1259" s="320">
        <v>-2339.9999999999982</v>
      </c>
      <c r="AM1259" s="320">
        <v>-1004.9999999999973</v>
      </c>
      <c r="AN1259" s="320">
        <v>-794.99999999999636</v>
      </c>
      <c r="AO1259" s="320">
        <v>-44.999999999996376</v>
      </c>
      <c r="AP1259" s="320">
        <v>-569.99999999999852</v>
      </c>
      <c r="AQ1259" s="320">
        <v>-674.99999999999898</v>
      </c>
      <c r="AR1259" s="320">
        <v>-839.99999999999807</v>
      </c>
      <c r="AS1259" s="320">
        <v>-839.99999999999807</v>
      </c>
      <c r="AT1259" s="320">
        <v>-599.99999999999784</v>
      </c>
      <c r="AU1259" s="320">
        <v>-1289.9999999999991</v>
      </c>
      <c r="AV1259" s="320">
        <f ca="1">Calc!Z62</f>
        <v>-1289.9999999999991</v>
      </c>
      <c r="AX1259" s="88" t="str">
        <f t="shared" ca="1" si="102"/>
        <v>MVEORA</v>
      </c>
    </row>
    <row r="1260" spans="1:50" hidden="1">
      <c r="A1260" s="88" t="str">
        <f t="shared" ref="A1260:A1293" ca="1" si="103">A1161</f>
        <v>MVERWE</v>
      </c>
      <c r="C1260" s="1">
        <v>63</v>
      </c>
      <c r="F1260" s="253">
        <v>0.46550000000000002</v>
      </c>
      <c r="G1260" s="253">
        <v>0.47399999999999998</v>
      </c>
      <c r="H1260" s="253">
        <v>0.47410000000000002</v>
      </c>
      <c r="I1260" s="253">
        <v>0.51449999999999996</v>
      </c>
      <c r="J1260" s="253">
        <v>0.51370000000000005</v>
      </c>
      <c r="K1260" s="253">
        <v>0.51719999999999999</v>
      </c>
      <c r="L1260" s="253">
        <v>0.51739999999999997</v>
      </c>
      <c r="M1260" s="253">
        <v>0.51849999999999996</v>
      </c>
      <c r="N1260" s="253">
        <v>0.51849999999999996</v>
      </c>
      <c r="O1260" s="253">
        <v>0.5222</v>
      </c>
      <c r="P1260" s="253">
        <v>0.51570000000000005</v>
      </c>
      <c r="Q1260" s="253">
        <v>0.51870000000000005</v>
      </c>
      <c r="R1260" s="253">
        <v>0.51549999999999996</v>
      </c>
      <c r="S1260" s="253">
        <v>0.51639999999999997</v>
      </c>
      <c r="T1260" s="253">
        <v>0.51639999999999997</v>
      </c>
      <c r="U1260" s="253">
        <v>0.50360000000000005</v>
      </c>
      <c r="V1260" s="253">
        <v>0.51600000000000001</v>
      </c>
      <c r="W1260" s="253">
        <v>0.51600000000000001</v>
      </c>
      <c r="X1260" s="253">
        <v>0.51759999999999995</v>
      </c>
      <c r="Y1260" s="253">
        <v>0.51759999999999995</v>
      </c>
      <c r="Z1260" s="247">
        <f ca="1">[1]ExtEntry!$R63</f>
        <v>0.51729999999999998</v>
      </c>
      <c r="AB1260" s="320">
        <v>4.6850000000000023</v>
      </c>
      <c r="AC1260" s="320">
        <v>4.8250000000000028</v>
      </c>
      <c r="AD1260" s="320">
        <v>5.9450000000000003</v>
      </c>
      <c r="AE1260" s="320">
        <v>5.8350000000000009</v>
      </c>
      <c r="AF1260" s="320">
        <v>6.125</v>
      </c>
      <c r="AG1260" s="320">
        <v>6.625</v>
      </c>
      <c r="AH1260" s="320">
        <v>7.3950000000000031</v>
      </c>
      <c r="AI1260" s="320">
        <v>7.125</v>
      </c>
      <c r="AJ1260" s="320">
        <v>7.4450000000000003</v>
      </c>
      <c r="AK1260" s="320">
        <v>7.865000000000002</v>
      </c>
      <c r="AL1260" s="320">
        <v>7.4849999999999994</v>
      </c>
      <c r="AM1260" s="320">
        <v>7.5949999999999989</v>
      </c>
      <c r="AN1260" s="320">
        <v>8.2850000000000037</v>
      </c>
      <c r="AO1260" s="320">
        <v>7.9650000000000034</v>
      </c>
      <c r="AP1260" s="320">
        <v>7.8250000000000028</v>
      </c>
      <c r="AQ1260" s="320">
        <v>7.375</v>
      </c>
      <c r="AR1260" s="320">
        <v>7.125</v>
      </c>
      <c r="AS1260" s="320">
        <v>7.125</v>
      </c>
      <c r="AT1260" s="320">
        <v>6.9050000000000011</v>
      </c>
      <c r="AU1260" s="320">
        <v>7.384999999999998</v>
      </c>
      <c r="AV1260" s="320">
        <f ca="1">Calc!Z63</f>
        <v>7.4750000000000014</v>
      </c>
      <c r="AX1260" s="88" t="str">
        <f t="shared" ca="1" si="102"/>
        <v>MVERWE</v>
      </c>
    </row>
    <row r="1261" spans="1:50" hidden="1">
      <c r="A1261" s="88" t="str">
        <f t="shared" ca="1" si="103"/>
        <v>MVESAP</v>
      </c>
      <c r="C1261" s="1">
        <v>64</v>
      </c>
      <c r="F1261" s="253">
        <v>1.1701999999999999</v>
      </c>
      <c r="G1261" s="253">
        <v>1.1707000000000001</v>
      </c>
      <c r="H1261" s="253">
        <v>1.1693</v>
      </c>
      <c r="I1261" s="253">
        <v>0.99119999999999997</v>
      </c>
      <c r="J1261" s="253">
        <v>0.99109999999999998</v>
      </c>
      <c r="K1261" s="253">
        <v>0.99070000000000003</v>
      </c>
      <c r="L1261" s="253">
        <v>0.99160000000000004</v>
      </c>
      <c r="M1261" s="253">
        <v>0.99219999999999997</v>
      </c>
      <c r="N1261" s="253">
        <v>0.99219999999999997</v>
      </c>
      <c r="O1261" s="253">
        <v>0.9879</v>
      </c>
      <c r="P1261" s="253">
        <v>0.99119999999999997</v>
      </c>
      <c r="Q1261" s="253">
        <v>0.9909</v>
      </c>
      <c r="R1261" s="253">
        <v>0.99129999999999996</v>
      </c>
      <c r="S1261" s="253">
        <v>0.99099999999999999</v>
      </c>
      <c r="T1261" s="253">
        <v>0.99099999999999999</v>
      </c>
      <c r="U1261" s="253">
        <v>0.98560000000000003</v>
      </c>
      <c r="V1261" s="253">
        <v>0.9919</v>
      </c>
      <c r="W1261" s="253">
        <v>0.9919</v>
      </c>
      <c r="X1261" s="253">
        <v>0.99260000000000004</v>
      </c>
      <c r="Y1261" s="253">
        <v>0.99260000000000004</v>
      </c>
      <c r="Z1261" s="247">
        <f ca="1">[1]ExtEntry!$R64</f>
        <v>0.9919</v>
      </c>
      <c r="AB1261" s="320">
        <v>-5069.9999999999991</v>
      </c>
      <c r="AC1261" s="320">
        <v>-4600</v>
      </c>
      <c r="AD1261" s="320">
        <v>-4619.9999999999991</v>
      </c>
      <c r="AE1261" s="320">
        <v>-3760.0000000000023</v>
      </c>
      <c r="AF1261" s="320">
        <v>-4150</v>
      </c>
      <c r="AG1261" s="320">
        <v>-3180.0000000000009</v>
      </c>
      <c r="AH1261" s="320">
        <v>-2740.0000000000036</v>
      </c>
      <c r="AI1261" s="320">
        <v>-2619.9999999999991</v>
      </c>
      <c r="AJ1261" s="320">
        <v>-2580.0000000000009</v>
      </c>
      <c r="AK1261" s="320">
        <v>-3900</v>
      </c>
      <c r="AL1261" s="320">
        <v>-3640.0000000000036</v>
      </c>
      <c r="AM1261" s="320">
        <v>-3340.0000000000036</v>
      </c>
      <c r="AN1261" s="320">
        <v>-3540.0000000000036</v>
      </c>
      <c r="AO1261" s="320">
        <v>-3990.0000000000036</v>
      </c>
      <c r="AP1261" s="320">
        <v>-2460.0000000000023</v>
      </c>
      <c r="AQ1261" s="320">
        <v>-2100</v>
      </c>
      <c r="AR1261" s="320">
        <v>-2810.0000000000023</v>
      </c>
      <c r="AS1261" s="320">
        <v>-2810.0000000000023</v>
      </c>
      <c r="AT1261" s="320">
        <v>-1780.0000000000011</v>
      </c>
      <c r="AU1261" s="320">
        <v>-3510.0000000000023</v>
      </c>
      <c r="AV1261" s="320">
        <f ca="1">Calc!Z64</f>
        <v>-3510.0000000000023</v>
      </c>
      <c r="AX1261" s="88" t="str">
        <f t="shared" ca="1" si="102"/>
        <v>MVESAP</v>
      </c>
    </row>
    <row r="1262" spans="1:50" hidden="1">
      <c r="A1262" s="88" t="str">
        <f t="shared" ca="1" si="103"/>
        <v>MVEUN0</v>
      </c>
      <c r="C1262" s="1">
        <v>65</v>
      </c>
      <c r="F1262" s="253">
        <v>1.0088999999999999</v>
      </c>
      <c r="G1262" s="253">
        <v>1.0121</v>
      </c>
      <c r="H1262" s="253">
        <v>1.0125</v>
      </c>
      <c r="I1262" s="253">
        <v>1.0710999999999999</v>
      </c>
      <c r="J1262" s="253">
        <v>1.0702</v>
      </c>
      <c r="K1262" s="253">
        <v>1.0696000000000001</v>
      </c>
      <c r="L1262" s="253">
        <v>1.0682</v>
      </c>
      <c r="M1262" s="253">
        <v>1.0703</v>
      </c>
      <c r="N1262" s="253">
        <v>1.0703</v>
      </c>
      <c r="O1262" s="253">
        <v>1.0660000000000001</v>
      </c>
      <c r="P1262" s="253">
        <v>1.0705</v>
      </c>
      <c r="Q1262" s="253">
        <v>1.0669</v>
      </c>
      <c r="R1262" s="253">
        <v>1.0704</v>
      </c>
      <c r="S1262" s="253">
        <v>1.0698000000000001</v>
      </c>
      <c r="T1262" s="253">
        <v>1.0698000000000001</v>
      </c>
      <c r="U1262" s="253">
        <v>1.0736000000000001</v>
      </c>
      <c r="V1262" s="253">
        <v>1.0701000000000001</v>
      </c>
      <c r="W1262" s="253">
        <v>1.0701000000000001</v>
      </c>
      <c r="X1262" s="253">
        <v>1.0701000000000001</v>
      </c>
      <c r="Y1262" s="253">
        <v>1.0701000000000001</v>
      </c>
      <c r="Z1262" s="247">
        <f ca="1">[1]ExtEntry!$R65</f>
        <v>1.0680000000000001</v>
      </c>
      <c r="AB1262" s="320">
        <v>-98.474999999999937</v>
      </c>
      <c r="AC1262" s="320">
        <v>-129.67499999999984</v>
      </c>
      <c r="AD1262" s="320">
        <v>-133.57499999999987</v>
      </c>
      <c r="AE1262" s="320">
        <v>-141.375</v>
      </c>
      <c r="AF1262" s="320">
        <v>-133.57499999999987</v>
      </c>
      <c r="AG1262" s="320">
        <v>-209.625</v>
      </c>
      <c r="AH1262" s="320">
        <v>-188.17499999999984</v>
      </c>
      <c r="AI1262" s="320">
        <v>-172.57499999999987</v>
      </c>
      <c r="AJ1262" s="320">
        <v>-201.82499999999987</v>
      </c>
      <c r="AK1262" s="320">
        <v>-215.47499999999994</v>
      </c>
      <c r="AL1262" s="320">
        <v>-229.12499999999986</v>
      </c>
      <c r="AM1262" s="320">
        <v>-227.17499999999984</v>
      </c>
      <c r="AN1262" s="320">
        <v>-221.32499999999987</v>
      </c>
      <c r="AO1262" s="320">
        <v>-229.12499999999986</v>
      </c>
      <c r="AP1262" s="320">
        <v>-172.57499999999987</v>
      </c>
      <c r="AQ1262" s="320">
        <v>-223.27499999999992</v>
      </c>
      <c r="AR1262" s="320">
        <v>-219.37499999999986</v>
      </c>
      <c r="AS1262" s="320">
        <v>-219.37499999999986</v>
      </c>
      <c r="AT1262" s="320">
        <v>-252.52499999999992</v>
      </c>
      <c r="AU1262" s="320">
        <v>-283.72499999999997</v>
      </c>
      <c r="AV1262" s="320">
        <f ca="1">Calc!Z65</f>
        <v>-283.72499999999997</v>
      </c>
      <c r="AX1262" s="88" t="str">
        <f t="shared" ca="1" si="102"/>
        <v>MVEUN0</v>
      </c>
    </row>
    <row r="1263" spans="1:50" hidden="1">
      <c r="A1263" s="88" t="str">
        <f t="shared" ca="1" si="103"/>
        <v>SAFAAPL</v>
      </c>
      <c r="C1263" s="1">
        <v>66</v>
      </c>
      <c r="F1263" s="253">
        <v>1.0927</v>
      </c>
      <c r="G1263" s="253">
        <v>1.0931</v>
      </c>
      <c r="H1263" s="253">
        <v>1.0944</v>
      </c>
      <c r="I1263" s="253">
        <v>1.0840000000000001</v>
      </c>
      <c r="J1263" s="253">
        <v>1.0834999999999999</v>
      </c>
      <c r="K1263" s="253">
        <v>1.0839000000000001</v>
      </c>
      <c r="L1263" s="253">
        <v>1.0837000000000001</v>
      </c>
      <c r="M1263" s="253">
        <v>1.0837000000000001</v>
      </c>
      <c r="N1263" s="253">
        <v>1.0837000000000001</v>
      </c>
      <c r="O1263" s="253">
        <v>1.0884</v>
      </c>
      <c r="P1263" s="253">
        <v>1.0873999999999999</v>
      </c>
      <c r="Q1263" s="253">
        <v>1.0872999999999999</v>
      </c>
      <c r="R1263" s="253">
        <v>1.0864</v>
      </c>
      <c r="S1263" s="253">
        <v>1.0848</v>
      </c>
      <c r="T1263" s="253">
        <v>1.0848</v>
      </c>
      <c r="U1263" s="253">
        <v>1.0827</v>
      </c>
      <c r="V1263" s="253">
        <v>1.0826</v>
      </c>
      <c r="W1263" s="253">
        <v>1.0826</v>
      </c>
      <c r="X1263" s="253">
        <v>1.0826</v>
      </c>
      <c r="Y1263" s="253">
        <v>1.0826</v>
      </c>
      <c r="Z1263" s="247">
        <f ca="1">[1]ExtEntry!$R66</f>
        <v>1.0834999999999999</v>
      </c>
      <c r="AB1263" s="320">
        <v>15809.378999999997</v>
      </c>
      <c r="AC1263" s="320">
        <v>16190.699999999995</v>
      </c>
      <c r="AD1263" s="320">
        <v>16428.499999999993</v>
      </c>
      <c r="AE1263" s="320">
        <v>16915.699999999997</v>
      </c>
      <c r="AF1263" s="320">
        <v>17173.799999999992</v>
      </c>
      <c r="AG1263" s="320">
        <v>16727.2</v>
      </c>
      <c r="AH1263" s="320">
        <v>17185.399999999998</v>
      </c>
      <c r="AI1263" s="320">
        <v>16019.599999999995</v>
      </c>
      <c r="AJ1263" s="320">
        <v>16019.599999999995</v>
      </c>
      <c r="AK1263" s="320">
        <v>14169.399999999996</v>
      </c>
      <c r="AL1263" s="320">
        <v>14201.3</v>
      </c>
      <c r="AM1263" s="320">
        <v>14673.999999999998</v>
      </c>
      <c r="AN1263" s="320">
        <v>14108.499999999993</v>
      </c>
      <c r="AO1263" s="320">
        <v>15512.099999999995</v>
      </c>
      <c r="AP1263" s="320">
        <v>18397.599999999999</v>
      </c>
      <c r="AQ1263" s="320">
        <v>18551.299999999992</v>
      </c>
      <c r="AR1263" s="320">
        <v>17298.499999999993</v>
      </c>
      <c r="AS1263" s="320">
        <v>17298.499999999993</v>
      </c>
      <c r="AT1263" s="320">
        <v>17626.199999999993</v>
      </c>
      <c r="AU1263" s="320">
        <v>18565.799999999996</v>
      </c>
      <c r="AV1263" s="320">
        <f ca="1">Calc!Z66</f>
        <v>18565.799999999996</v>
      </c>
      <c r="AX1263" s="88" t="str">
        <f t="shared" ca="1" si="102"/>
        <v>SAFAAPL</v>
      </c>
    </row>
    <row r="1264" spans="1:50" hidden="1">
      <c r="A1264" s="88" t="str">
        <f t="shared" ca="1" si="103"/>
        <v>SAFAMZN</v>
      </c>
      <c r="C1264" s="1">
        <v>67</v>
      </c>
      <c r="F1264" s="253">
        <v>1.2873000000000001</v>
      </c>
      <c r="G1264" s="253">
        <v>1.2867999999999999</v>
      </c>
      <c r="H1264" s="253">
        <v>1.2815000000000001</v>
      </c>
      <c r="I1264" s="253">
        <v>1.2830999999999999</v>
      </c>
      <c r="J1264" s="253">
        <v>1.2826</v>
      </c>
      <c r="K1264" s="253">
        <v>1.2836000000000001</v>
      </c>
      <c r="L1264" s="253">
        <v>1.2827999999999999</v>
      </c>
      <c r="M1264" s="253">
        <v>1.2830999999999999</v>
      </c>
      <c r="N1264" s="253">
        <v>1.2830999999999999</v>
      </c>
      <c r="O1264" s="253">
        <v>1.2786999999999999</v>
      </c>
      <c r="P1264" s="253">
        <v>1.2814000000000001</v>
      </c>
      <c r="Q1264" s="253">
        <v>1.2835000000000001</v>
      </c>
      <c r="R1264" s="253">
        <v>1.2847</v>
      </c>
      <c r="S1264" s="253">
        <v>1.2862</v>
      </c>
      <c r="T1264" s="253">
        <v>1.2862</v>
      </c>
      <c r="U1264" s="253">
        <v>1.2845</v>
      </c>
      <c r="V1264" s="253">
        <v>1.2831999999999999</v>
      </c>
      <c r="W1264" s="253">
        <v>1.2831999999999999</v>
      </c>
      <c r="X1264" s="253">
        <v>1.2831999999999999</v>
      </c>
      <c r="Y1264" s="253">
        <v>1.2831999999999999</v>
      </c>
      <c r="Z1264" s="247">
        <f ca="1">[1]ExtEntry!$R67</f>
        <v>1.2842</v>
      </c>
      <c r="AB1264" s="320">
        <v>3890.0000000000005</v>
      </c>
      <c r="AC1264" s="320">
        <v>3159.9999999999964</v>
      </c>
      <c r="AD1264" s="320">
        <v>3689.9999999999977</v>
      </c>
      <c r="AE1264" s="320">
        <v>4579.9999999999982</v>
      </c>
      <c r="AF1264" s="320">
        <v>3129.9999999999955</v>
      </c>
      <c r="AG1264" s="320">
        <v>4265.0000000000009</v>
      </c>
      <c r="AH1264" s="320">
        <v>5984.9999999999991</v>
      </c>
      <c r="AI1264" s="320">
        <v>7245.0000000000045</v>
      </c>
      <c r="AJ1264" s="320">
        <v>7245.0000000000045</v>
      </c>
      <c r="AK1264" s="320">
        <v>3409.9999999999964</v>
      </c>
      <c r="AL1264" s="320">
        <v>1569.9999999999932</v>
      </c>
      <c r="AM1264" s="320">
        <v>954.99999999999829</v>
      </c>
      <c r="AN1264" s="320">
        <v>609.99999999999943</v>
      </c>
      <c r="AO1264" s="320">
        <v>-105.00000000000398</v>
      </c>
      <c r="AP1264" s="320">
        <v>1614.999999999995</v>
      </c>
      <c r="AQ1264" s="320">
        <v>4390.0000000000009</v>
      </c>
      <c r="AR1264" s="320">
        <v>2349.9999999999945</v>
      </c>
      <c r="AS1264" s="320">
        <v>2349.9999999999945</v>
      </c>
      <c r="AT1264" s="320">
        <v>3920.0000000000018</v>
      </c>
      <c r="AU1264" s="320">
        <v>5480.0000000000036</v>
      </c>
      <c r="AV1264" s="320">
        <f ca="1">Calc!Z67</f>
        <v>5480.0000000000036</v>
      </c>
      <c r="AX1264" s="88" t="str">
        <f t="shared" ca="1" si="102"/>
        <v>SAFAMZN</v>
      </c>
    </row>
    <row r="1265" spans="1:50" hidden="1">
      <c r="A1265" s="88" t="str">
        <f t="shared" ca="1" si="103"/>
        <v>SAFASML</v>
      </c>
      <c r="C1265" s="1">
        <v>68</v>
      </c>
      <c r="F1265" s="253">
        <v>1.9275</v>
      </c>
      <c r="G1265" s="253">
        <v>1.859</v>
      </c>
      <c r="H1265" s="253">
        <v>1.8672</v>
      </c>
      <c r="I1265" s="253">
        <v>1.8751</v>
      </c>
      <c r="J1265" s="253">
        <v>1.8733</v>
      </c>
      <c r="K1265" s="253">
        <v>1.9643999999999999</v>
      </c>
      <c r="L1265" s="253">
        <v>1.9613</v>
      </c>
      <c r="M1265" s="253">
        <v>1.9598</v>
      </c>
      <c r="N1265" s="253">
        <v>1.9598</v>
      </c>
      <c r="O1265" s="253">
        <v>1.9577</v>
      </c>
      <c r="P1265" s="253">
        <v>1.9578</v>
      </c>
      <c r="Q1265" s="253">
        <v>1.9605999999999999</v>
      </c>
      <c r="R1265" s="253">
        <v>1.9593</v>
      </c>
      <c r="S1265" s="253">
        <v>1.962</v>
      </c>
      <c r="T1265" s="253">
        <v>1.962</v>
      </c>
      <c r="U1265" s="253">
        <v>1.9623999999999999</v>
      </c>
      <c r="V1265" s="253">
        <v>1.9639</v>
      </c>
      <c r="W1265" s="253">
        <v>1.9639</v>
      </c>
      <c r="X1265" s="253">
        <v>1.9639</v>
      </c>
      <c r="Y1265" s="253">
        <v>1.9639</v>
      </c>
      <c r="Z1265" s="247">
        <f ca="1">[1]ExtEntry!$R68</f>
        <v>1.9605999999999999</v>
      </c>
      <c r="AB1265" s="320">
        <v>16127.3</v>
      </c>
      <c r="AC1265" s="320">
        <v>26108.600000000002</v>
      </c>
      <c r="AD1265" s="320">
        <v>28571.199999999997</v>
      </c>
      <c r="AE1265" s="320">
        <v>30454.200000000004</v>
      </c>
      <c r="AF1265" s="320">
        <v>30597.7</v>
      </c>
      <c r="AG1265" s="320">
        <v>19578.299999999996</v>
      </c>
      <c r="AH1265" s="320">
        <v>17968.299999999996</v>
      </c>
      <c r="AI1265" s="320">
        <v>17828.299999999996</v>
      </c>
      <c r="AJ1265" s="320">
        <v>17303.299999999996</v>
      </c>
      <c r="AK1265" s="320">
        <v>17422.3</v>
      </c>
      <c r="AL1265" s="320">
        <v>17604.3</v>
      </c>
      <c r="AM1265" s="320">
        <v>19452.3</v>
      </c>
      <c r="AN1265" s="320">
        <v>19760.299999999996</v>
      </c>
      <c r="AO1265" s="320">
        <v>19641.300000000003</v>
      </c>
      <c r="AP1265" s="320">
        <v>21272.3</v>
      </c>
      <c r="AQ1265" s="320">
        <v>20628.299999999996</v>
      </c>
      <c r="AR1265" s="320">
        <v>19249.3</v>
      </c>
      <c r="AS1265" s="320">
        <v>19249.3</v>
      </c>
      <c r="AT1265" s="320">
        <v>20481.300000000003</v>
      </c>
      <c r="AU1265" s="320">
        <v>20950.299999999996</v>
      </c>
      <c r="AV1265" s="320">
        <f ca="1">Calc!Z68</f>
        <v>20950.299999999996</v>
      </c>
      <c r="AX1265" s="88" t="str">
        <f t="shared" ca="1" si="102"/>
        <v>SAFASML</v>
      </c>
    </row>
    <row r="1266" spans="1:50" hidden="1">
      <c r="A1266" s="88" t="str">
        <f t="shared" ca="1" si="103"/>
        <v>SAFDDD</v>
      </c>
      <c r="C1266" s="1">
        <v>69</v>
      </c>
      <c r="F1266" s="253">
        <v>2.1194999999999999</v>
      </c>
      <c r="G1266" s="253">
        <v>2.1150000000000002</v>
      </c>
      <c r="H1266" s="253">
        <v>2.1158000000000001</v>
      </c>
      <c r="I1266" s="253">
        <v>2.1880000000000002</v>
      </c>
      <c r="J1266" s="253">
        <v>2.1848999999999998</v>
      </c>
      <c r="K1266" s="253">
        <v>2.1829999999999998</v>
      </c>
      <c r="L1266" s="253">
        <v>2.1808999999999998</v>
      </c>
      <c r="M1266" s="253">
        <v>2.1838000000000002</v>
      </c>
      <c r="N1266" s="253">
        <v>2.1838000000000002</v>
      </c>
      <c r="O1266" s="253">
        <v>2.1762999999999999</v>
      </c>
      <c r="P1266" s="253">
        <v>2.1745000000000001</v>
      </c>
      <c r="Q1266" s="253">
        <v>2.1745999999999999</v>
      </c>
      <c r="R1266" s="253">
        <v>2.1697000000000002</v>
      </c>
      <c r="S1266" s="253">
        <v>2.1758000000000002</v>
      </c>
      <c r="T1266" s="253">
        <v>2.1758000000000002</v>
      </c>
      <c r="U1266" s="253">
        <v>2.1718000000000002</v>
      </c>
      <c r="V1266" s="253">
        <v>2.1789000000000001</v>
      </c>
      <c r="W1266" s="253">
        <v>2.1789000000000001</v>
      </c>
      <c r="X1266" s="253">
        <v>2.1789000000000001</v>
      </c>
      <c r="Y1266" s="253">
        <v>2.1789000000000001</v>
      </c>
      <c r="Z1266" s="247">
        <f ca="1">[1]ExtEntry!$R69</f>
        <v>2.1852999999999998</v>
      </c>
      <c r="AB1266" s="320">
        <v>21861.000000000004</v>
      </c>
      <c r="AC1266" s="320">
        <v>20390.999999999996</v>
      </c>
      <c r="AD1266" s="320">
        <v>19656.000000000004</v>
      </c>
      <c r="AE1266" s="320">
        <v>22386</v>
      </c>
      <c r="AF1266" s="320">
        <v>25011</v>
      </c>
      <c r="AG1266" s="320">
        <v>25325.999999999993</v>
      </c>
      <c r="AH1266" s="320">
        <v>27636</v>
      </c>
      <c r="AI1266" s="320">
        <v>26271.000000000004</v>
      </c>
      <c r="AJ1266" s="320">
        <v>26271.000000000004</v>
      </c>
      <c r="AK1266" s="320">
        <v>24800.999999999996</v>
      </c>
      <c r="AL1266" s="320">
        <v>24171</v>
      </c>
      <c r="AM1266" s="320">
        <v>27741</v>
      </c>
      <c r="AN1266" s="320">
        <v>27950.999999999993</v>
      </c>
      <c r="AO1266" s="320">
        <v>24800.999999999996</v>
      </c>
      <c r="AP1266" s="320">
        <v>38976</v>
      </c>
      <c r="AQ1266" s="320">
        <v>30261</v>
      </c>
      <c r="AR1266" s="320">
        <v>22595.999999999996</v>
      </c>
      <c r="AS1266" s="320">
        <v>22595.999999999996</v>
      </c>
      <c r="AT1266" s="320">
        <v>24066.000000000004</v>
      </c>
      <c r="AU1266" s="320">
        <v>25116</v>
      </c>
      <c r="AV1266" s="320">
        <f ca="1">Calc!Z69</f>
        <v>25220.999999999996</v>
      </c>
      <c r="AX1266" s="88" t="str">
        <f t="shared" ca="1" si="102"/>
        <v>SAFDDD</v>
      </c>
    </row>
    <row r="1267" spans="1:50" hidden="1">
      <c r="A1267" s="88" t="str">
        <f t="shared" ca="1" si="103"/>
        <v>SAFDIS</v>
      </c>
      <c r="C1267" s="1">
        <v>70</v>
      </c>
      <c r="F1267" s="253">
        <v>1.5461</v>
      </c>
      <c r="G1267" s="253">
        <v>1.5456000000000001</v>
      </c>
      <c r="H1267" s="253">
        <v>1.5418000000000001</v>
      </c>
      <c r="I1267" s="253">
        <v>1.554</v>
      </c>
      <c r="J1267" s="253">
        <v>1.5546</v>
      </c>
      <c r="K1267" s="253">
        <v>1.5543</v>
      </c>
      <c r="L1267" s="253">
        <v>1.5543</v>
      </c>
      <c r="M1267" s="253">
        <v>1.5544</v>
      </c>
      <c r="N1267" s="253">
        <v>1.5544</v>
      </c>
      <c r="O1267" s="253">
        <v>1.5532999999999999</v>
      </c>
      <c r="P1267" s="253">
        <v>1.5557000000000001</v>
      </c>
      <c r="Q1267" s="253">
        <v>1.5542</v>
      </c>
      <c r="R1267" s="253">
        <v>1.5543</v>
      </c>
      <c r="S1267" s="253">
        <v>1.5552999999999999</v>
      </c>
      <c r="T1267" s="253">
        <v>1.5552999999999999</v>
      </c>
      <c r="U1267" s="253">
        <v>1.5546</v>
      </c>
      <c r="V1267" s="253">
        <v>1.5536000000000001</v>
      </c>
      <c r="W1267" s="253">
        <v>1.5536000000000001</v>
      </c>
      <c r="X1267" s="253">
        <v>1.5536000000000001</v>
      </c>
      <c r="Y1267" s="253">
        <v>1.5536000000000001</v>
      </c>
      <c r="Z1267" s="247">
        <f ca="1">[1]ExtEntry!$R70</f>
        <v>1.5541</v>
      </c>
      <c r="AB1267" s="320">
        <v>3808.9500000000016</v>
      </c>
      <c r="AC1267" s="320">
        <v>3932.9000000000033</v>
      </c>
      <c r="AD1267" s="320">
        <v>2897.7500000000018</v>
      </c>
      <c r="AE1267" s="320">
        <v>2378.4999999999982</v>
      </c>
      <c r="AF1267" s="320">
        <v>2599.5999999999967</v>
      </c>
      <c r="AG1267" s="320">
        <v>-217.30000000000572</v>
      </c>
      <c r="AH1267" s="320">
        <v>-577.70000000000186</v>
      </c>
      <c r="AI1267" s="320">
        <v>-1054.7000000000048</v>
      </c>
      <c r="AJ1267" s="320">
        <v>-1054.7000000000048</v>
      </c>
      <c r="AK1267" s="320">
        <v>-1425.6999999999989</v>
      </c>
      <c r="AL1267" s="320">
        <v>-961.94999999999879</v>
      </c>
      <c r="AM1267" s="320">
        <v>-516.75000000000455</v>
      </c>
      <c r="AN1267" s="320">
        <v>-1635.0500000000043</v>
      </c>
      <c r="AO1267" s="320">
        <v>-1224.3000000000011</v>
      </c>
      <c r="AP1267" s="320">
        <v>-530</v>
      </c>
      <c r="AQ1267" s="320">
        <v>704.89999999999907</v>
      </c>
      <c r="AR1267" s="320">
        <v>63.599999999994878</v>
      </c>
      <c r="AS1267" s="320">
        <v>63.599999999994878</v>
      </c>
      <c r="AT1267" s="320">
        <v>21.199999999995782</v>
      </c>
      <c r="AU1267" s="320">
        <v>-694.30000000000121</v>
      </c>
      <c r="AV1267" s="320">
        <f ca="1">Calc!Z70</f>
        <v>-688.99999999999852</v>
      </c>
      <c r="AX1267" s="88" t="str">
        <f t="shared" ca="1" si="102"/>
        <v>SAFDIS</v>
      </c>
    </row>
    <row r="1268" spans="1:50" hidden="1">
      <c r="A1268" s="88" t="str">
        <f t="shared" ca="1" si="103"/>
        <v>SAFGM</v>
      </c>
      <c r="C1268" s="1">
        <v>71</v>
      </c>
      <c r="F1268" s="253">
        <v>1.3386</v>
      </c>
      <c r="G1268" s="253">
        <v>1.3379000000000001</v>
      </c>
      <c r="H1268" s="253">
        <v>1.3364</v>
      </c>
      <c r="I1268" s="253">
        <v>1.4046000000000001</v>
      </c>
      <c r="J1268" s="253">
        <v>1.4071</v>
      </c>
      <c r="K1268" s="253">
        <v>1.4073</v>
      </c>
      <c r="L1268" s="253">
        <v>1.4097</v>
      </c>
      <c r="M1268" s="253">
        <v>1.4074</v>
      </c>
      <c r="N1268" s="253">
        <v>1.4074</v>
      </c>
      <c r="O1268" s="253">
        <v>1.4211</v>
      </c>
      <c r="P1268" s="253">
        <v>1.4162999999999999</v>
      </c>
      <c r="Q1268" s="253">
        <v>1.4129</v>
      </c>
      <c r="R1268" s="253">
        <v>1.4107000000000001</v>
      </c>
      <c r="S1268" s="253">
        <v>1.4096</v>
      </c>
      <c r="T1268" s="253">
        <v>1.4096</v>
      </c>
      <c r="U1268" s="253">
        <v>1.4077</v>
      </c>
      <c r="V1268" s="253">
        <v>1.4006000000000001</v>
      </c>
      <c r="W1268" s="253">
        <v>1.4006000000000001</v>
      </c>
      <c r="X1268" s="253">
        <v>1.4006000000000001</v>
      </c>
      <c r="Y1268" s="253">
        <v>1.4006000000000001</v>
      </c>
      <c r="Z1268" s="247">
        <f ca="1">[1]ExtEntry!$R71</f>
        <v>1.4</v>
      </c>
      <c r="AB1268" s="320">
        <v>0</v>
      </c>
      <c r="AC1268" s="320">
        <v>0</v>
      </c>
      <c r="AD1268" s="320">
        <v>0</v>
      </c>
      <c r="AE1268" s="320">
        <v>0</v>
      </c>
      <c r="AF1268" s="320">
        <v>0</v>
      </c>
      <c r="AG1268" s="320">
        <v>0</v>
      </c>
      <c r="AH1268" s="320">
        <v>0</v>
      </c>
      <c r="AI1268" s="320">
        <v>0</v>
      </c>
      <c r="AJ1268" s="320">
        <v>0</v>
      </c>
      <c r="AK1268" s="320">
        <v>0</v>
      </c>
      <c r="AL1268" s="320">
        <v>0</v>
      </c>
      <c r="AM1268" s="320">
        <v>0</v>
      </c>
      <c r="AN1268" s="320">
        <v>0</v>
      </c>
      <c r="AO1268" s="320">
        <v>0</v>
      </c>
      <c r="AP1268" s="320">
        <v>0</v>
      </c>
      <c r="AQ1268" s="320">
        <v>0</v>
      </c>
      <c r="AR1268" s="320">
        <v>0</v>
      </c>
      <c r="AS1268" s="320">
        <v>0</v>
      </c>
      <c r="AT1268" s="320">
        <v>0</v>
      </c>
      <c r="AU1268" s="320">
        <v>0</v>
      </c>
      <c r="AV1268" s="320">
        <f ca="1">Calc!Z71</f>
        <v>0</v>
      </c>
      <c r="AX1268" s="88" t="str">
        <f t="shared" ca="1" si="102"/>
        <v>SAFGM</v>
      </c>
    </row>
    <row r="1269" spans="1:50" hidden="1">
      <c r="A1269" s="88" t="str">
        <f t="shared" ca="1" si="103"/>
        <v>SAFIAG</v>
      </c>
      <c r="C1269" s="1">
        <v>72</v>
      </c>
      <c r="F1269" s="253">
        <v>2.8018000000000001</v>
      </c>
      <c r="G1269" s="253">
        <v>2.8001999999999998</v>
      </c>
      <c r="H1269" s="253">
        <v>2.7949000000000002</v>
      </c>
      <c r="I1269" s="253">
        <v>2.8875000000000002</v>
      </c>
      <c r="J1269" s="253">
        <v>2.8885000000000001</v>
      </c>
      <c r="K1269" s="253">
        <v>2.8854000000000002</v>
      </c>
      <c r="L1269" s="253">
        <v>2.8858000000000001</v>
      </c>
      <c r="M1269" s="253">
        <v>2.8837000000000002</v>
      </c>
      <c r="N1269" s="253">
        <v>2.8837000000000002</v>
      </c>
      <c r="O1269" s="253">
        <v>2.8866999999999998</v>
      </c>
      <c r="P1269" s="253">
        <v>2.8881000000000001</v>
      </c>
      <c r="Q1269" s="253">
        <v>2.8883000000000001</v>
      </c>
      <c r="R1269" s="253">
        <v>2.8873000000000002</v>
      </c>
      <c r="S1269" s="253">
        <v>2.8868</v>
      </c>
      <c r="T1269" s="253">
        <v>2.8868</v>
      </c>
      <c r="U1269" s="253">
        <v>2.8875999999999999</v>
      </c>
      <c r="V1269" s="253">
        <v>2.8881999999999999</v>
      </c>
      <c r="W1269" s="253">
        <v>2.8881999999999999</v>
      </c>
      <c r="X1269" s="253">
        <v>2.8881999999999999</v>
      </c>
      <c r="Y1269" s="253">
        <v>2.8881999999999999</v>
      </c>
      <c r="Z1269" s="247">
        <f ca="1">[1]ExtEntry!$R72</f>
        <v>2.8862999999999999</v>
      </c>
      <c r="AB1269" s="320">
        <v>0</v>
      </c>
      <c r="AC1269" s="320">
        <v>0</v>
      </c>
      <c r="AD1269" s="320">
        <v>0</v>
      </c>
      <c r="AE1269" s="320">
        <v>0</v>
      </c>
      <c r="AF1269" s="320">
        <v>0</v>
      </c>
      <c r="AG1269" s="320">
        <v>0</v>
      </c>
      <c r="AH1269" s="320">
        <v>0</v>
      </c>
      <c r="AI1269" s="320">
        <v>0</v>
      </c>
      <c r="AJ1269" s="320">
        <v>0</v>
      </c>
      <c r="AK1269" s="320">
        <v>0</v>
      </c>
      <c r="AL1269" s="320">
        <v>0</v>
      </c>
      <c r="AM1269" s="320">
        <v>0</v>
      </c>
      <c r="AN1269" s="320">
        <v>0</v>
      </c>
      <c r="AO1269" s="320">
        <v>0</v>
      </c>
      <c r="AP1269" s="320">
        <v>0</v>
      </c>
      <c r="AQ1269" s="320">
        <v>0</v>
      </c>
      <c r="AR1269" s="320">
        <v>0</v>
      </c>
      <c r="AS1269" s="320">
        <v>0</v>
      </c>
      <c r="AT1269" s="320">
        <v>0</v>
      </c>
      <c r="AU1269" s="320">
        <v>0</v>
      </c>
      <c r="AV1269" s="320">
        <f ca="1">Calc!Z72</f>
        <v>0</v>
      </c>
      <c r="AX1269" s="88" t="str">
        <f t="shared" ca="1" si="102"/>
        <v>SAFIAG</v>
      </c>
    </row>
    <row r="1270" spans="1:50" hidden="1">
      <c r="A1270" s="88" t="str">
        <f t="shared" ca="1" si="103"/>
        <v>SAFMRNA</v>
      </c>
      <c r="C1270" s="1">
        <v>73</v>
      </c>
      <c r="F1270" s="253">
        <v>2.0005000000000002</v>
      </c>
      <c r="G1270" s="253">
        <v>2.0044</v>
      </c>
      <c r="H1270" s="253">
        <v>2.0068999999999999</v>
      </c>
      <c r="I1270" s="253">
        <v>2.0093999999999999</v>
      </c>
      <c r="J1270" s="253">
        <v>2.0076999999999998</v>
      </c>
      <c r="K1270" s="253">
        <v>2.0127000000000002</v>
      </c>
      <c r="L1270" s="253">
        <v>2.0106000000000002</v>
      </c>
      <c r="M1270" s="253">
        <v>2.0135000000000001</v>
      </c>
      <c r="N1270" s="253">
        <v>2.0135000000000001</v>
      </c>
      <c r="O1270" s="253">
        <v>1.9895</v>
      </c>
      <c r="P1270" s="253">
        <v>2.0064000000000002</v>
      </c>
      <c r="Q1270" s="253">
        <v>2.0082</v>
      </c>
      <c r="R1270" s="253">
        <v>2.0034000000000001</v>
      </c>
      <c r="S1270" s="253">
        <v>2.0114000000000001</v>
      </c>
      <c r="T1270" s="253">
        <v>2.0114000000000001</v>
      </c>
      <c r="U1270" s="253">
        <v>2.0127999999999999</v>
      </c>
      <c r="V1270" s="253">
        <v>2.0123000000000002</v>
      </c>
      <c r="W1270" s="253">
        <v>2.0123000000000002</v>
      </c>
      <c r="X1270" s="253">
        <v>2.0123000000000002</v>
      </c>
      <c r="Y1270" s="253">
        <v>2.0123000000000002</v>
      </c>
      <c r="Z1270" s="247">
        <f ca="1">[1]ExtEntry!$R73</f>
        <v>2.0135000000000001</v>
      </c>
      <c r="AB1270" s="320">
        <v>-41112.000000000015</v>
      </c>
      <c r="AC1270" s="320">
        <v>-38947.800000000017</v>
      </c>
      <c r="AD1270" s="320">
        <v>-33637.800000000003</v>
      </c>
      <c r="AE1270" s="320">
        <v>-31327.800000000007</v>
      </c>
      <c r="AF1270" s="320">
        <v>-30967.800000000014</v>
      </c>
      <c r="AG1270" s="320">
        <v>-34417.80000000001</v>
      </c>
      <c r="AH1270" s="320">
        <v>-32677.800000000007</v>
      </c>
      <c r="AI1270" s="320">
        <v>-33847.800000000003</v>
      </c>
      <c r="AJ1270" s="320">
        <v>-33847.800000000003</v>
      </c>
      <c r="AK1270" s="320">
        <v>-36217.800000000017</v>
      </c>
      <c r="AL1270" s="320">
        <v>-37687.80000000001</v>
      </c>
      <c r="AM1270" s="320">
        <v>-33172.80000000001</v>
      </c>
      <c r="AN1270" s="320">
        <v>-35017.80000000001</v>
      </c>
      <c r="AO1270" s="320">
        <v>-38407.800000000003</v>
      </c>
      <c r="AP1270" s="320">
        <v>-34717.800000000017</v>
      </c>
      <c r="AQ1270" s="320">
        <v>-33967.800000000017</v>
      </c>
      <c r="AR1270" s="320">
        <v>-35887.800000000003</v>
      </c>
      <c r="AS1270" s="320">
        <v>-35887.800000000003</v>
      </c>
      <c r="AT1270" s="320">
        <v>-37687.80000000001</v>
      </c>
      <c r="AU1270" s="320">
        <v>-36217.800000000017</v>
      </c>
      <c r="AV1270" s="320">
        <f ca="1">Calc!Z73</f>
        <v>-36217.800000000017</v>
      </c>
      <c r="AX1270" s="88" t="str">
        <f t="shared" ca="1" si="102"/>
        <v>SAFMRNA</v>
      </c>
    </row>
    <row r="1271" spans="1:50" hidden="1">
      <c r="A1271" s="88" t="str">
        <f t="shared" ca="1" si="103"/>
        <v>BLNK</v>
      </c>
      <c r="C1271" s="1">
        <v>74</v>
      </c>
      <c r="F1271" s="253">
        <v>3.5139</v>
      </c>
      <c r="G1271" s="253">
        <v>3.5468999999999999</v>
      </c>
      <c r="H1271" s="253">
        <v>3.5407000000000002</v>
      </c>
      <c r="I1271" s="253">
        <v>3.4918</v>
      </c>
      <c r="J1271" s="253">
        <v>3.4948000000000001</v>
      </c>
      <c r="K1271" s="253">
        <v>3.4781</v>
      </c>
      <c r="L1271" s="253">
        <v>3.4666000000000001</v>
      </c>
      <c r="M1271" s="253">
        <v>3.4903</v>
      </c>
      <c r="N1271" s="253">
        <v>3.4903</v>
      </c>
      <c r="O1271" s="253">
        <v>3.4116</v>
      </c>
      <c r="P1271" s="253">
        <v>3.4411999999999998</v>
      </c>
      <c r="Q1271" s="253">
        <v>3.4312999999999998</v>
      </c>
      <c r="R1271" s="253">
        <v>3.4558</v>
      </c>
      <c r="S1271" s="253">
        <v>3.4805999999999999</v>
      </c>
      <c r="T1271" s="253">
        <v>3.4805999999999999</v>
      </c>
      <c r="U1271" s="253">
        <v>3.4935</v>
      </c>
      <c r="V1271" s="253">
        <v>3.4971999999999999</v>
      </c>
      <c r="W1271" s="253">
        <v>3.4971999999999999</v>
      </c>
      <c r="X1271" s="253">
        <v>3.4971999999999999</v>
      </c>
      <c r="Y1271" s="253">
        <v>3.4971999999999999</v>
      </c>
      <c r="Z1271" s="247">
        <f ca="1">[1]ExtEntry!$R74</f>
        <v>3.4965999999999999</v>
      </c>
      <c r="AB1271" s="320">
        <v>28720</v>
      </c>
      <c r="AC1271" s="320">
        <v>25119.999999999996</v>
      </c>
      <c r="AD1271" s="320">
        <v>31920</v>
      </c>
      <c r="AE1271" s="320">
        <v>29920</v>
      </c>
      <c r="AF1271" s="320">
        <v>39520</v>
      </c>
      <c r="AG1271" s="320">
        <v>54320.000000000007</v>
      </c>
      <c r="AH1271" s="320">
        <v>51519.999999999993</v>
      </c>
      <c r="AI1271" s="320">
        <v>48720</v>
      </c>
      <c r="AJ1271" s="320">
        <v>48720</v>
      </c>
      <c r="AK1271" s="320">
        <v>48720</v>
      </c>
      <c r="AL1271" s="320">
        <v>50320</v>
      </c>
      <c r="AM1271" s="320">
        <v>46120</v>
      </c>
      <c r="AN1271" s="320">
        <v>35920</v>
      </c>
      <c r="AO1271" s="320">
        <v>32320.000000000004</v>
      </c>
      <c r="AP1271" s="320">
        <v>35119.999999999993</v>
      </c>
      <c r="AQ1271" s="320">
        <v>30320</v>
      </c>
      <c r="AR1271" s="320">
        <v>31120</v>
      </c>
      <c r="AS1271" s="320">
        <v>31120</v>
      </c>
      <c r="AT1271" s="320">
        <v>31120</v>
      </c>
      <c r="AU1271" s="320">
        <v>36720</v>
      </c>
      <c r="AV1271" s="320">
        <f ca="1">Calc!Z74</f>
        <v>36720</v>
      </c>
      <c r="AX1271" s="88" t="str">
        <f t="shared" ca="1" si="102"/>
        <v>BLNK</v>
      </c>
    </row>
    <row r="1272" spans="1:50" hidden="1">
      <c r="A1272" s="88" t="str">
        <f t="shared" ca="1" si="103"/>
        <v>ENI</v>
      </c>
      <c r="C1272" s="1">
        <v>75</v>
      </c>
      <c r="F1272" s="253">
        <v>1.1001000000000001</v>
      </c>
      <c r="G1272" s="253">
        <v>1.1007</v>
      </c>
      <c r="H1272" s="253">
        <v>1.1006</v>
      </c>
      <c r="I1272" s="253">
        <v>1.0837000000000001</v>
      </c>
      <c r="J1272" s="253">
        <v>1.0841000000000001</v>
      </c>
      <c r="K1272" s="253">
        <v>1.0834999999999999</v>
      </c>
      <c r="L1272" s="253">
        <v>1.0831999999999999</v>
      </c>
      <c r="M1272" s="253">
        <v>1.0837000000000001</v>
      </c>
      <c r="N1272" s="253">
        <v>1.0837000000000001</v>
      </c>
      <c r="O1272" s="253">
        <v>1.0801000000000001</v>
      </c>
      <c r="P1272" s="253">
        <v>1.0807</v>
      </c>
      <c r="Q1272" s="253">
        <v>1.0831999999999999</v>
      </c>
      <c r="R1272" s="253">
        <v>1.0819000000000001</v>
      </c>
      <c r="S1272" s="253">
        <v>1.079</v>
      </c>
      <c r="T1272" s="253">
        <v>1.079</v>
      </c>
      <c r="U1272" s="253">
        <v>1.0827</v>
      </c>
      <c r="V1272" s="253">
        <v>1.0833999999999999</v>
      </c>
      <c r="W1272" s="253">
        <v>1.0833999999999999</v>
      </c>
      <c r="X1272" s="253">
        <v>1.0833999999999999</v>
      </c>
      <c r="Y1272" s="253">
        <v>1.0833999999999999</v>
      </c>
      <c r="Z1272" s="247">
        <f ca="1">[1]ExtEntry!$R75</f>
        <v>1.0790999999999999</v>
      </c>
      <c r="AB1272" s="320">
        <v>2122.1200000000154</v>
      </c>
      <c r="AC1272" s="320">
        <v>-40.039999999995587</v>
      </c>
      <c r="AD1272" s="320">
        <v>1161.1600000000144</v>
      </c>
      <c r="AE1272" s="320">
        <v>60.060000000002276</v>
      </c>
      <c r="AF1272" s="320">
        <v>360.36000000001366</v>
      </c>
      <c r="AG1272" s="320">
        <v>3043.0400000000027</v>
      </c>
      <c r="AH1272" s="320">
        <v>4164.1600000000035</v>
      </c>
      <c r="AI1272" s="320">
        <v>5085.080000000009</v>
      </c>
      <c r="AJ1272" s="320">
        <v>3323.3200000000074</v>
      </c>
      <c r="AK1272" s="320">
        <v>1021.0200000000032</v>
      </c>
      <c r="AL1272" s="320">
        <v>-1701.6999999999994</v>
      </c>
      <c r="AM1272" s="320">
        <v>-1481.4799999999968</v>
      </c>
      <c r="AN1272" s="320">
        <v>-1041.039999999992</v>
      </c>
      <c r="AO1272" s="320">
        <v>-260.259999999998</v>
      </c>
      <c r="AP1272" s="320">
        <v>60.060000000002276</v>
      </c>
      <c r="AQ1272" s="320">
        <v>300.30000000001138</v>
      </c>
      <c r="AR1272" s="320">
        <v>2562.5600000000022</v>
      </c>
      <c r="AS1272" s="320">
        <v>2562.5600000000022</v>
      </c>
      <c r="AT1272" s="320">
        <v>7167.1600000000108</v>
      </c>
      <c r="AU1272" s="320">
        <v>9669.6600000000108</v>
      </c>
      <c r="AV1272" s="320">
        <f ca="1">Calc!Z75</f>
        <v>9669.6600000000108</v>
      </c>
      <c r="AX1272" s="88" t="str">
        <f t="shared" ca="1" si="102"/>
        <v>ENI</v>
      </c>
    </row>
    <row r="1273" spans="1:50" hidden="1">
      <c r="A1273" s="88" t="str">
        <f t="shared" ca="1" si="103"/>
        <v>EZJ</v>
      </c>
      <c r="C1273" s="1">
        <v>76</v>
      </c>
      <c r="F1273" s="253">
        <v>2.7866</v>
      </c>
      <c r="G1273" s="253">
        <v>2.7833999999999999</v>
      </c>
      <c r="H1273" s="253">
        <v>2.7745000000000002</v>
      </c>
      <c r="I1273" s="253">
        <v>2.8784999999999998</v>
      </c>
      <c r="J1273" s="253">
        <v>2.8788999999999998</v>
      </c>
      <c r="K1273" s="253">
        <v>2.8778000000000001</v>
      </c>
      <c r="L1273" s="253">
        <v>2.8774999999999999</v>
      </c>
      <c r="M1273" s="253">
        <v>2.8746999999999998</v>
      </c>
      <c r="N1273" s="253">
        <v>2.8746999999999998</v>
      </c>
      <c r="O1273" s="253">
        <v>2.879</v>
      </c>
      <c r="P1273" s="253">
        <v>2.8786</v>
      </c>
      <c r="Q1273" s="253">
        <v>2.8797999999999999</v>
      </c>
      <c r="R1273" s="253">
        <v>2.8778999999999999</v>
      </c>
      <c r="S1273" s="253">
        <v>2.8683000000000001</v>
      </c>
      <c r="T1273" s="253">
        <v>2.8683000000000001</v>
      </c>
      <c r="U1273" s="253">
        <v>2.8752</v>
      </c>
      <c r="V1273" s="253">
        <v>2.8776999999999999</v>
      </c>
      <c r="W1273" s="253">
        <v>2.8776999999999999</v>
      </c>
      <c r="X1273" s="253">
        <v>2.8776999999999999</v>
      </c>
      <c r="Y1273" s="253">
        <v>2.8776999999999999</v>
      </c>
      <c r="Z1273" s="247">
        <f ca="1">[1]ExtEntry!$R76</f>
        <v>2.8824999999999998</v>
      </c>
      <c r="AB1273" s="320">
        <v>1918.0000000000064</v>
      </c>
      <c r="AC1273" s="320">
        <v>2598.0000000000018</v>
      </c>
      <c r="AD1273" s="320">
        <v>2258.0000000000041</v>
      </c>
      <c r="AE1273" s="320">
        <v>2418.0000000000064</v>
      </c>
      <c r="AF1273" s="320">
        <v>4058.0000000000041</v>
      </c>
      <c r="AG1273" s="320">
        <v>2877.9999999999973</v>
      </c>
      <c r="AH1273" s="320">
        <v>4098.0000000000018</v>
      </c>
      <c r="AI1273" s="320">
        <v>4098.0000000000018</v>
      </c>
      <c r="AJ1273" s="320">
        <v>3943.3600000000069</v>
      </c>
      <c r="AK1273" s="320">
        <v>2598.0000000000018</v>
      </c>
      <c r="AL1273" s="320">
        <v>10038</v>
      </c>
      <c r="AM1273" s="320">
        <v>5938</v>
      </c>
      <c r="AN1273" s="320">
        <v>7738</v>
      </c>
      <c r="AO1273" s="320">
        <v>7377.9999999999982</v>
      </c>
      <c r="AP1273" s="320">
        <v>6998.0000000000027</v>
      </c>
      <c r="AQ1273" s="320">
        <v>5858.0000000000045</v>
      </c>
      <c r="AR1273" s="320">
        <v>8458.0000000000055</v>
      </c>
      <c r="AS1273" s="320">
        <v>8458.0000000000055</v>
      </c>
      <c r="AT1273" s="320">
        <v>5698.0000000000027</v>
      </c>
      <c r="AU1273" s="320">
        <v>7018.0000000000064</v>
      </c>
      <c r="AV1273" s="320">
        <f ca="1">Calc!Z76</f>
        <v>7018.0000000000064</v>
      </c>
      <c r="AX1273" s="88" t="str">
        <f t="shared" ca="1" si="102"/>
        <v>EZJ</v>
      </c>
    </row>
    <row r="1274" spans="1:50" hidden="1">
      <c r="A1274" s="88" t="str">
        <f t="shared" ca="1" si="103"/>
        <v>F</v>
      </c>
      <c r="C1274" s="1">
        <v>77</v>
      </c>
      <c r="F1274" s="253">
        <v>1.5374000000000001</v>
      </c>
      <c r="G1274" s="253">
        <v>1.5373000000000001</v>
      </c>
      <c r="H1274" s="253">
        <v>1.5334000000000001</v>
      </c>
      <c r="I1274" s="253">
        <v>1.6003000000000001</v>
      </c>
      <c r="J1274" s="253">
        <v>1.6008</v>
      </c>
      <c r="K1274" s="253">
        <v>1.5999000000000001</v>
      </c>
      <c r="L1274" s="253">
        <v>1.6027</v>
      </c>
      <c r="M1274" s="253">
        <v>1.6032</v>
      </c>
      <c r="N1274" s="253">
        <v>1.6032</v>
      </c>
      <c r="O1274" s="253">
        <v>1.6045</v>
      </c>
      <c r="P1274" s="253">
        <v>1.6054999999999999</v>
      </c>
      <c r="Q1274" s="253">
        <v>1.6039000000000001</v>
      </c>
      <c r="R1274" s="253">
        <v>1.6032999999999999</v>
      </c>
      <c r="S1274" s="253">
        <v>1.6012999999999999</v>
      </c>
      <c r="T1274" s="253">
        <v>1.6012999999999999</v>
      </c>
      <c r="U1274" s="253">
        <v>1.6025</v>
      </c>
      <c r="V1274" s="253">
        <v>1.6001000000000001</v>
      </c>
      <c r="W1274" s="253">
        <v>1.6001000000000001</v>
      </c>
      <c r="X1274" s="253">
        <v>1.6001000000000001</v>
      </c>
      <c r="Y1274" s="253">
        <v>1.6001000000000001</v>
      </c>
      <c r="Z1274" s="247">
        <f ca="1">[1]ExtEntry!$R77</f>
        <v>1.6007</v>
      </c>
      <c r="AB1274" s="320">
        <v>8153.1000000000022</v>
      </c>
      <c r="AC1274" s="320">
        <v>8160.0000000000018</v>
      </c>
      <c r="AD1274" s="320">
        <v>9105</v>
      </c>
      <c r="AE1274" s="320">
        <v>9000</v>
      </c>
      <c r="AF1274" s="320">
        <v>10275.000000000002</v>
      </c>
      <c r="AG1274" s="320">
        <v>8070.0000000000036</v>
      </c>
      <c r="AH1274" s="320">
        <v>7529.9999999999991</v>
      </c>
      <c r="AI1274" s="320">
        <v>6855</v>
      </c>
      <c r="AJ1274" s="320">
        <v>6795.0000000000018</v>
      </c>
      <c r="AK1274" s="320">
        <v>6930.0000000000018</v>
      </c>
      <c r="AL1274" s="320">
        <v>7289.9999999999991</v>
      </c>
      <c r="AM1274" s="320">
        <v>7500</v>
      </c>
      <c r="AN1274" s="320">
        <v>7529.9999999999991</v>
      </c>
      <c r="AO1274" s="320">
        <v>8055.0000000000018</v>
      </c>
      <c r="AP1274" s="320">
        <v>0</v>
      </c>
      <c r="AQ1274" s="320">
        <v>0</v>
      </c>
      <c r="AR1274" s="320">
        <v>0</v>
      </c>
      <c r="AS1274" s="320">
        <v>0</v>
      </c>
      <c r="AT1274" s="320">
        <v>0</v>
      </c>
      <c r="AU1274" s="320">
        <v>0</v>
      </c>
      <c r="AV1274" s="320">
        <f ca="1">Calc!Z77</f>
        <v>0</v>
      </c>
      <c r="AX1274" s="88" t="str">
        <f t="shared" ca="1" si="102"/>
        <v>F</v>
      </c>
    </row>
    <row r="1275" spans="1:50" hidden="1">
      <c r="A1275" s="88" t="str">
        <f t="shared" ca="1" si="103"/>
        <v>GLE</v>
      </c>
      <c r="C1275" s="1">
        <v>78</v>
      </c>
      <c r="F1275" s="253">
        <v>1.5660000000000001</v>
      </c>
      <c r="G1275" s="253">
        <v>1.5669999999999999</v>
      </c>
      <c r="H1275" s="253">
        <v>1.5665</v>
      </c>
      <c r="I1275" s="253">
        <v>1.5979000000000001</v>
      </c>
      <c r="J1275" s="253">
        <v>1.5981000000000001</v>
      </c>
      <c r="K1275" s="253">
        <v>1.589</v>
      </c>
      <c r="L1275" s="253">
        <v>1.5983000000000001</v>
      </c>
      <c r="M1275" s="253">
        <v>1.5980000000000001</v>
      </c>
      <c r="N1275" s="253">
        <v>1.5980000000000001</v>
      </c>
      <c r="O1275" s="253">
        <v>1.5924</v>
      </c>
      <c r="P1275" s="253">
        <v>1.6016999999999999</v>
      </c>
      <c r="Q1275" s="253">
        <v>1.5999000000000001</v>
      </c>
      <c r="R1275" s="253">
        <v>1.5998000000000001</v>
      </c>
      <c r="S1275" s="253">
        <v>1.5733999999999999</v>
      </c>
      <c r="T1275" s="253">
        <v>1.5733999999999999</v>
      </c>
      <c r="U1275" s="253">
        <v>1.5734999999999999</v>
      </c>
      <c r="V1275" s="253">
        <v>1.5686</v>
      </c>
      <c r="W1275" s="253">
        <v>1.5686</v>
      </c>
      <c r="X1275" s="253">
        <v>1.5591999999999999</v>
      </c>
      <c r="Y1275" s="253">
        <v>1.5591999999999999</v>
      </c>
      <c r="Z1275" s="247">
        <f ca="1">[1]ExtEntry!$R78</f>
        <v>1.5581</v>
      </c>
      <c r="AB1275" s="320">
        <v>0</v>
      </c>
      <c r="AC1275" s="320">
        <v>0</v>
      </c>
      <c r="AD1275" s="320">
        <v>0</v>
      </c>
      <c r="AE1275" s="320">
        <v>0</v>
      </c>
      <c r="AF1275" s="320">
        <v>0</v>
      </c>
      <c r="AG1275" s="320">
        <v>0</v>
      </c>
      <c r="AH1275" s="320">
        <v>0</v>
      </c>
      <c r="AI1275" s="320">
        <v>0</v>
      </c>
      <c r="AJ1275" s="320">
        <v>0</v>
      </c>
      <c r="AK1275" s="320">
        <v>0</v>
      </c>
      <c r="AL1275" s="320">
        <v>0</v>
      </c>
      <c r="AM1275" s="320">
        <v>0</v>
      </c>
      <c r="AN1275" s="320">
        <v>0</v>
      </c>
      <c r="AO1275" s="320">
        <v>0</v>
      </c>
      <c r="AP1275" s="320">
        <v>0</v>
      </c>
      <c r="AQ1275" s="320">
        <v>0</v>
      </c>
      <c r="AR1275" s="320">
        <v>0</v>
      </c>
      <c r="AS1275" s="320">
        <v>0</v>
      </c>
      <c r="AT1275" s="320">
        <v>0</v>
      </c>
      <c r="AU1275" s="320">
        <v>0</v>
      </c>
      <c r="AV1275" s="320">
        <f ca="1">Calc!Z78</f>
        <v>0</v>
      </c>
      <c r="AX1275" s="88" t="str">
        <f t="shared" ca="1" si="102"/>
        <v>GLE</v>
      </c>
    </row>
    <row r="1276" spans="1:50" hidden="1">
      <c r="A1276" s="88" t="str">
        <f t="shared" ca="1" si="103"/>
        <v>GNRC</v>
      </c>
      <c r="C1276" s="1">
        <v>79</v>
      </c>
      <c r="F1276" s="253">
        <v>1.6536</v>
      </c>
      <c r="G1276" s="253">
        <v>1.6479999999999999</v>
      </c>
      <c r="H1276" s="253">
        <v>1.6433</v>
      </c>
      <c r="I1276" s="253">
        <v>1.6900999999999999</v>
      </c>
      <c r="J1276" s="253">
        <v>1.6893</v>
      </c>
      <c r="K1276" s="253">
        <v>1.6918</v>
      </c>
      <c r="L1276" s="253">
        <v>1.6907000000000001</v>
      </c>
      <c r="M1276" s="253">
        <v>1.6903999999999999</v>
      </c>
      <c r="N1276" s="253">
        <v>1.6903999999999999</v>
      </c>
      <c r="O1276" s="253">
        <v>1.6737</v>
      </c>
      <c r="P1276" s="253">
        <v>1.6818</v>
      </c>
      <c r="Q1276" s="253">
        <v>1.6713</v>
      </c>
      <c r="R1276" s="253">
        <v>1.6700999999999999</v>
      </c>
      <c r="S1276" s="253">
        <v>1.6694</v>
      </c>
      <c r="T1276" s="253">
        <v>1.6694</v>
      </c>
      <c r="U1276" s="253">
        <v>1.6822999999999999</v>
      </c>
      <c r="V1276" s="253">
        <v>1.6833</v>
      </c>
      <c r="W1276" s="253">
        <v>1.6833</v>
      </c>
      <c r="X1276" s="253">
        <v>1.6833</v>
      </c>
      <c r="Y1276" s="253">
        <v>1.6833</v>
      </c>
      <c r="Z1276" s="247">
        <f ca="1">[1]ExtEntry!$R79</f>
        <v>1.6861999999999999</v>
      </c>
      <c r="AB1276" s="320">
        <v>-162.00000000000045</v>
      </c>
      <c r="AC1276" s="320">
        <v>140.00000000000341</v>
      </c>
      <c r="AD1276" s="320">
        <v>220.00000000000455</v>
      </c>
      <c r="AE1276" s="320">
        <v>662.00000000000045</v>
      </c>
      <c r="AF1276" s="320">
        <v>-206.00000000000023</v>
      </c>
      <c r="AG1276" s="320">
        <v>64.00000000000432</v>
      </c>
      <c r="AH1276" s="320">
        <v>927.00000000000387</v>
      </c>
      <c r="AI1276" s="320">
        <v>1043.9999999999998</v>
      </c>
      <c r="AJ1276" s="320">
        <v>1043.9999999999998</v>
      </c>
      <c r="AK1276" s="320">
        <v>1484.0000000000032</v>
      </c>
      <c r="AL1276" s="320">
        <v>3445.0000000000045</v>
      </c>
      <c r="AM1276" s="320">
        <v>5319</v>
      </c>
      <c r="AN1276" s="320">
        <v>5191.0000000000027</v>
      </c>
      <c r="AO1276" s="320">
        <v>4758.0000000000036</v>
      </c>
      <c r="AP1276" s="320">
        <v>5814.0000000000045</v>
      </c>
      <c r="AQ1276" s="320">
        <v>5164.0000000000045</v>
      </c>
      <c r="AR1276" s="320">
        <v>-20.999999999997954</v>
      </c>
      <c r="AS1276" s="320">
        <v>-20.999999999997954</v>
      </c>
      <c r="AT1276" s="320">
        <v>1763.9999999999986</v>
      </c>
      <c r="AU1276" s="320">
        <v>2654.9999999999982</v>
      </c>
      <c r="AV1276" s="320">
        <f ca="1">Calc!Z79</f>
        <v>2636.9999999999977</v>
      </c>
      <c r="AX1276" s="88" t="str">
        <f t="shared" ca="1" si="102"/>
        <v>GNRC</v>
      </c>
    </row>
    <row r="1277" spans="1:50" hidden="1">
      <c r="A1277" s="88" t="str">
        <f t="shared" ca="1" si="103"/>
        <v>GS</v>
      </c>
      <c r="C1277" s="1">
        <v>80</v>
      </c>
      <c r="F1277" s="253">
        <v>1.4171</v>
      </c>
      <c r="G1277" s="253">
        <v>1.4174</v>
      </c>
      <c r="H1277" s="253">
        <v>1.4153</v>
      </c>
      <c r="I1277" s="253">
        <v>1.4077</v>
      </c>
      <c r="J1277" s="253">
        <v>1.4081999999999999</v>
      </c>
      <c r="K1277" s="253">
        <v>1.4063000000000001</v>
      </c>
      <c r="L1277" s="253">
        <v>1.4072</v>
      </c>
      <c r="M1277" s="253">
        <v>1.4068000000000001</v>
      </c>
      <c r="N1277" s="253">
        <v>1.4068000000000001</v>
      </c>
      <c r="O1277" s="253">
        <v>1.4111</v>
      </c>
      <c r="P1277" s="253">
        <v>1.4076</v>
      </c>
      <c r="Q1277" s="253">
        <v>1.4106000000000001</v>
      </c>
      <c r="R1277" s="253">
        <v>1.4108000000000001</v>
      </c>
      <c r="S1277" s="253">
        <v>1.4138999999999999</v>
      </c>
      <c r="T1277" s="253">
        <v>1.4138999999999999</v>
      </c>
      <c r="U1277" s="253">
        <v>1.4085000000000001</v>
      </c>
      <c r="V1277" s="253">
        <v>1.4088000000000001</v>
      </c>
      <c r="W1277" s="253">
        <v>1.4088000000000001</v>
      </c>
      <c r="X1277" s="253">
        <v>1.4088000000000001</v>
      </c>
      <c r="Y1277" s="253">
        <v>1.4088000000000001</v>
      </c>
      <c r="Z1277" s="247">
        <f ca="1">[1]ExtEntry!$R80</f>
        <v>1.4097</v>
      </c>
      <c r="AB1277" s="320">
        <v>0</v>
      </c>
      <c r="AC1277" s="320">
        <v>0</v>
      </c>
      <c r="AD1277" s="320">
        <v>0</v>
      </c>
      <c r="AE1277" s="320">
        <v>0</v>
      </c>
      <c r="AF1277" s="320">
        <v>0</v>
      </c>
      <c r="AG1277" s="320">
        <v>0</v>
      </c>
      <c r="AH1277" s="320">
        <v>0</v>
      </c>
      <c r="AI1277" s="320">
        <v>0</v>
      </c>
      <c r="AJ1277" s="320">
        <v>0</v>
      </c>
      <c r="AK1277" s="320">
        <v>0</v>
      </c>
      <c r="AL1277" s="320">
        <v>0</v>
      </c>
      <c r="AM1277" s="320">
        <v>0</v>
      </c>
      <c r="AN1277" s="320">
        <v>0</v>
      </c>
      <c r="AO1277" s="320">
        <v>0</v>
      </c>
      <c r="AP1277" s="320">
        <v>0</v>
      </c>
      <c r="AQ1277" s="320">
        <v>0</v>
      </c>
      <c r="AR1277" s="320">
        <v>0</v>
      </c>
      <c r="AS1277" s="320">
        <v>0</v>
      </c>
      <c r="AT1277" s="320">
        <v>0</v>
      </c>
      <c r="AU1277" s="320">
        <v>0</v>
      </c>
      <c r="AV1277" s="320">
        <f ca="1">Calc!Z80</f>
        <v>0</v>
      </c>
      <c r="AX1277" s="88" t="str">
        <f t="shared" ca="1" si="102"/>
        <v>GS</v>
      </c>
    </row>
    <row r="1278" spans="1:50" hidden="1">
      <c r="A1278" s="88" t="str">
        <f t="shared" ca="1" si="103"/>
        <v>LAZR</v>
      </c>
      <c r="C1278" s="1">
        <v>81</v>
      </c>
      <c r="F1278" s="253">
        <v>2.0516000000000001</v>
      </c>
      <c r="G1278" s="253">
        <v>2.0543</v>
      </c>
      <c r="H1278" s="253">
        <v>2.0482999999999998</v>
      </c>
      <c r="I1278" s="253">
        <v>2.0478999999999998</v>
      </c>
      <c r="J1278" s="253">
        <v>2.0405000000000002</v>
      </c>
      <c r="K1278" s="253">
        <v>2.0451999999999999</v>
      </c>
      <c r="L1278" s="253">
        <v>2.0449999999999999</v>
      </c>
      <c r="M1278" s="253">
        <v>2.0495000000000001</v>
      </c>
      <c r="N1278" s="253">
        <v>2.0495000000000001</v>
      </c>
      <c r="O1278" s="253">
        <v>2.0206</v>
      </c>
      <c r="P1278" s="253">
        <v>2.0285000000000002</v>
      </c>
      <c r="Q1278" s="253">
        <v>2.0266000000000002</v>
      </c>
      <c r="R1278" s="253">
        <v>2.0381</v>
      </c>
      <c r="S1278" s="253">
        <v>2.0424000000000002</v>
      </c>
      <c r="T1278" s="253">
        <v>2.0424000000000002</v>
      </c>
      <c r="U1278" s="253">
        <v>2.0501</v>
      </c>
      <c r="V1278" s="253">
        <v>2.0550000000000002</v>
      </c>
      <c r="W1278" s="253">
        <v>2.0550000000000002</v>
      </c>
      <c r="X1278" s="253">
        <v>2.0550000000000002</v>
      </c>
      <c r="Y1278" s="253">
        <v>2.0550000000000002</v>
      </c>
      <c r="Z1278" s="247">
        <f ca="1">[1]ExtEntry!$R81</f>
        <v>2.0575000000000001</v>
      </c>
      <c r="AB1278" s="320">
        <v>-42736.210000000006</v>
      </c>
      <c r="AC1278" s="320">
        <v>-43700.91</v>
      </c>
      <c r="AD1278" s="320">
        <v>-43170.325000000004</v>
      </c>
      <c r="AE1278" s="320">
        <v>-41192.69</v>
      </c>
      <c r="AF1278" s="320">
        <v>-38491.53</v>
      </c>
      <c r="AG1278" s="320">
        <v>-42350.330000000009</v>
      </c>
      <c r="AH1278" s="320">
        <v>-40806.810000000005</v>
      </c>
      <c r="AI1278" s="320">
        <v>-41867.979999999996</v>
      </c>
      <c r="AJ1278" s="320">
        <v>-41867.979999999996</v>
      </c>
      <c r="AK1278" s="320">
        <v>-41867.979999999996</v>
      </c>
      <c r="AL1278" s="320">
        <v>-41964.450000000004</v>
      </c>
      <c r="AM1278" s="320">
        <v>-42784.445000000007</v>
      </c>
      <c r="AN1278" s="320">
        <v>-43893.850000000006</v>
      </c>
      <c r="AO1278" s="320">
        <v>-43411.5</v>
      </c>
      <c r="AP1278" s="320">
        <v>-42832.68</v>
      </c>
      <c r="AQ1278" s="320">
        <v>-44617.375</v>
      </c>
      <c r="AR1278" s="320">
        <v>-45533.840000000004</v>
      </c>
      <c r="AS1278" s="320">
        <v>-45533.840000000004</v>
      </c>
      <c r="AT1278" s="320">
        <v>-45823.25</v>
      </c>
      <c r="AU1278" s="320">
        <v>-40710.340000000004</v>
      </c>
      <c r="AV1278" s="320">
        <f ca="1">Calc!Z81</f>
        <v>-40710.340000000004</v>
      </c>
      <c r="AX1278" s="88" t="str">
        <f t="shared" ca="1" si="102"/>
        <v>LAZR</v>
      </c>
    </row>
    <row r="1279" spans="1:50" hidden="1">
      <c r="A1279" s="88" t="str">
        <f t="shared" ca="1" si="103"/>
        <v>LUV</v>
      </c>
      <c r="C1279" s="1">
        <v>82</v>
      </c>
      <c r="F1279" s="253">
        <v>1.2073</v>
      </c>
      <c r="G1279" s="253">
        <v>1.2071000000000001</v>
      </c>
      <c r="H1279" s="253">
        <v>1.2002999999999999</v>
      </c>
      <c r="I1279" s="253">
        <v>1.2322</v>
      </c>
      <c r="J1279" s="253">
        <v>1.2323</v>
      </c>
      <c r="K1279" s="253">
        <v>1.2327999999999999</v>
      </c>
      <c r="L1279" s="253">
        <v>1.2321</v>
      </c>
      <c r="M1279" s="253">
        <v>1.2334000000000001</v>
      </c>
      <c r="N1279" s="253">
        <v>1.2334000000000001</v>
      </c>
      <c r="O1279" s="253">
        <v>1.2284999999999999</v>
      </c>
      <c r="P1279" s="253">
        <v>1.2310000000000001</v>
      </c>
      <c r="Q1279" s="253">
        <v>1.2228000000000001</v>
      </c>
      <c r="R1279" s="253">
        <v>1.2251000000000001</v>
      </c>
      <c r="S1279" s="253">
        <v>1.2244999999999999</v>
      </c>
      <c r="T1279" s="253">
        <v>1.2244999999999999</v>
      </c>
      <c r="U1279" s="253">
        <v>1.2297</v>
      </c>
      <c r="V1279" s="253">
        <v>1.2293000000000001</v>
      </c>
      <c r="W1279" s="253">
        <v>1.2293000000000001</v>
      </c>
      <c r="X1279" s="253">
        <v>1.2293000000000001</v>
      </c>
      <c r="Y1279" s="253">
        <v>1.2293000000000001</v>
      </c>
      <c r="Z1279" s="247">
        <f ca="1">[1]ExtEntry!$R82</f>
        <v>1.2307999999999999</v>
      </c>
      <c r="AB1279" s="320">
        <v>2355.1199999999981</v>
      </c>
      <c r="AC1279" s="320">
        <v>1461.120000000001</v>
      </c>
      <c r="AD1279" s="320">
        <v>1905.1199999999981</v>
      </c>
      <c r="AE1279" s="320">
        <v>1935.1200000000049</v>
      </c>
      <c r="AF1279" s="320">
        <v>2193.1200000000003</v>
      </c>
      <c r="AG1279" s="320">
        <v>2031.1200000000028</v>
      </c>
      <c r="AH1279" s="320">
        <v>2121.1200000000063</v>
      </c>
      <c r="AI1279" s="320">
        <v>1203.1200000000013</v>
      </c>
      <c r="AJ1279" s="320">
        <v>1179.1200000000017</v>
      </c>
      <c r="AK1279" s="320">
        <v>1431.1200000000028</v>
      </c>
      <c r="AL1279" s="320">
        <v>3249.1200000000035</v>
      </c>
      <c r="AM1279" s="320">
        <v>3687.1200000000058</v>
      </c>
      <c r="AN1279" s="320">
        <v>3111.1200000000013</v>
      </c>
      <c r="AO1279" s="320">
        <v>3387.1200000000058</v>
      </c>
      <c r="AP1279" s="320">
        <v>4449.1200000000035</v>
      </c>
      <c r="AQ1279" s="320">
        <v>4785.1200000000044</v>
      </c>
      <c r="AR1279" s="320">
        <v>3627.1200000000008</v>
      </c>
      <c r="AS1279" s="320">
        <v>3627.1200000000008</v>
      </c>
      <c r="AT1279" s="320">
        <v>1143.1200000000003</v>
      </c>
      <c r="AU1279" s="320">
        <v>1791.1199999999994</v>
      </c>
      <c r="AV1279" s="320">
        <f ca="1">Calc!Z82</f>
        <v>1803.1200000000056</v>
      </c>
      <c r="AX1279" s="88" t="str">
        <f t="shared" ca="1" si="102"/>
        <v>LUV</v>
      </c>
    </row>
    <row r="1280" spans="1:50" hidden="1">
      <c r="A1280" s="88" t="str">
        <f t="shared" ca="1" si="103"/>
        <v>MA</v>
      </c>
      <c r="C1280" s="1">
        <v>83</v>
      </c>
      <c r="F1280" s="253">
        <v>0.97189999999999999</v>
      </c>
      <c r="G1280" s="253">
        <v>0.97060000000000002</v>
      </c>
      <c r="H1280" s="253">
        <v>0.96750000000000003</v>
      </c>
      <c r="I1280" s="253">
        <v>0.92710000000000004</v>
      </c>
      <c r="J1280" s="253">
        <v>0.92669999999999997</v>
      </c>
      <c r="K1280" s="253">
        <v>0.92700000000000005</v>
      </c>
      <c r="L1280" s="253">
        <v>0.9264</v>
      </c>
      <c r="M1280" s="253">
        <v>0.9274</v>
      </c>
      <c r="N1280" s="253">
        <v>0.9274</v>
      </c>
      <c r="O1280" s="253">
        <v>0.92810000000000004</v>
      </c>
      <c r="P1280" s="253">
        <v>0.92949999999999999</v>
      </c>
      <c r="Q1280" s="253">
        <v>0.92689999999999995</v>
      </c>
      <c r="R1280" s="253">
        <v>0.92869999999999997</v>
      </c>
      <c r="S1280" s="253">
        <v>0.92910000000000004</v>
      </c>
      <c r="T1280" s="253">
        <v>0.92910000000000004</v>
      </c>
      <c r="U1280" s="253">
        <v>0.92810000000000004</v>
      </c>
      <c r="V1280" s="253">
        <v>0.92759999999999998</v>
      </c>
      <c r="W1280" s="253">
        <v>0.92759999999999998</v>
      </c>
      <c r="X1280" s="253">
        <v>0.92759999999999998</v>
      </c>
      <c r="Y1280" s="253">
        <v>0.92759999999999998</v>
      </c>
      <c r="Z1280" s="247">
        <f ca="1">[1]ExtEntry!$R83</f>
        <v>0.92759999999999998</v>
      </c>
      <c r="AB1280" s="320">
        <v>108.50000000000364</v>
      </c>
      <c r="AC1280" s="320">
        <v>291.99999999999591</v>
      </c>
      <c r="AD1280" s="320">
        <v>823.00000000000182</v>
      </c>
      <c r="AE1280" s="320">
        <v>1157.000000000005</v>
      </c>
      <c r="AF1280" s="320">
        <v>1458.0000000000041</v>
      </c>
      <c r="AG1280" s="320">
        <v>1395.0000000000045</v>
      </c>
      <c r="AH1280" s="320">
        <v>1051.9999999999982</v>
      </c>
      <c r="AI1280" s="320">
        <v>-125.99999999999909</v>
      </c>
      <c r="AJ1280" s="320">
        <v>-134.00000000000318</v>
      </c>
      <c r="AK1280" s="320">
        <v>-663.99999999999864</v>
      </c>
      <c r="AL1280" s="320">
        <v>181.00000000000591</v>
      </c>
      <c r="AM1280" s="320">
        <v>-220.50000000000409</v>
      </c>
      <c r="AN1280" s="320">
        <v>-1580.9999999999945</v>
      </c>
      <c r="AO1280" s="320">
        <v>-491.99999999999591</v>
      </c>
      <c r="AP1280" s="320">
        <v>77.999999999997272</v>
      </c>
      <c r="AQ1280" s="320">
        <v>608.00000000000409</v>
      </c>
      <c r="AR1280" s="320">
        <v>537.99999999999955</v>
      </c>
      <c r="AS1280" s="320">
        <v>537.99999999999955</v>
      </c>
      <c r="AT1280" s="320">
        <v>796.00000000000364</v>
      </c>
      <c r="AU1280" s="320">
        <v>834.00000000000318</v>
      </c>
      <c r="AV1280" s="320">
        <f ca="1">Calc!Z83</f>
        <v>777.99999999999727</v>
      </c>
      <c r="AX1280" s="88" t="str">
        <f t="shared" ca="1" si="102"/>
        <v>MA</v>
      </c>
    </row>
    <row r="1281" spans="1:135" hidden="1">
      <c r="A1281" s="88" t="str">
        <f t="shared" ca="1" si="103"/>
        <v>NVAX</v>
      </c>
      <c r="C1281" s="1">
        <v>84</v>
      </c>
      <c r="F1281" s="253">
        <v>2.7410999999999999</v>
      </c>
      <c r="G1281" s="253">
        <v>2.7423999999999999</v>
      </c>
      <c r="H1281" s="253">
        <v>2.7456999999999998</v>
      </c>
      <c r="I1281" s="253">
        <v>2.6846000000000001</v>
      </c>
      <c r="J1281" s="253">
        <v>2.6848999999999998</v>
      </c>
      <c r="K1281" s="253">
        <v>2.6911</v>
      </c>
      <c r="L1281" s="253">
        <v>2.6876000000000002</v>
      </c>
      <c r="M1281" s="253">
        <v>2.6926000000000001</v>
      </c>
      <c r="N1281" s="253">
        <v>2.6926000000000001</v>
      </c>
      <c r="O1281" s="253">
        <v>2.6835</v>
      </c>
      <c r="P1281" s="253">
        <v>2.6890000000000001</v>
      </c>
      <c r="Q1281" s="253">
        <v>2.6829999999999998</v>
      </c>
      <c r="R1281" s="253">
        <v>2.6861000000000002</v>
      </c>
      <c r="S1281" s="253">
        <v>2.698</v>
      </c>
      <c r="T1281" s="253">
        <v>2.698</v>
      </c>
      <c r="U1281" s="253">
        <v>2.6922999999999999</v>
      </c>
      <c r="V1281" s="253">
        <v>2.6934999999999998</v>
      </c>
      <c r="W1281" s="253">
        <v>2.6934999999999998</v>
      </c>
      <c r="X1281" s="253">
        <v>2.6934999999999998</v>
      </c>
      <c r="Y1281" s="253">
        <v>2.6934999999999998</v>
      </c>
      <c r="Z1281" s="247">
        <f ca="1">[1]ExtEntry!$R84</f>
        <v>2.6943000000000001</v>
      </c>
      <c r="AB1281" s="320">
        <v>-5377.5000000000009</v>
      </c>
      <c r="AC1281" s="320">
        <v>-4860</v>
      </c>
      <c r="AD1281" s="320">
        <v>-1125</v>
      </c>
      <c r="AE1281" s="320">
        <v>-899.99999999999682</v>
      </c>
      <c r="AF1281" s="320">
        <v>-1304.9999999999961</v>
      </c>
      <c r="AG1281" s="320">
        <v>-2384.9999999999973</v>
      </c>
      <c r="AH1281" s="320">
        <v>-3820.5000000000009</v>
      </c>
      <c r="AI1281" s="320">
        <v>-5220.0000000000009</v>
      </c>
      <c r="AJ1281" s="320">
        <v>-5220.0000000000009</v>
      </c>
      <c r="AK1281" s="320">
        <v>-5085.0000000000036</v>
      </c>
      <c r="AL1281" s="320">
        <v>-3864.599999999994</v>
      </c>
      <c r="AM1281" s="320">
        <v>-3302.099999999994</v>
      </c>
      <c r="AN1281" s="320">
        <v>-5709.5999999999949</v>
      </c>
      <c r="AO1281" s="320">
        <v>-7419.5999999999985</v>
      </c>
      <c r="AP1281" s="320">
        <v>-4314.6000000000004</v>
      </c>
      <c r="AQ1281" s="320">
        <v>-5214.5999999999976</v>
      </c>
      <c r="AR1281" s="320">
        <v>-5799.5999999999931</v>
      </c>
      <c r="AS1281" s="320">
        <v>-5799.5999999999931</v>
      </c>
      <c r="AT1281" s="320">
        <v>-6249.5999999999995</v>
      </c>
      <c r="AU1281" s="320">
        <v>-5529.5999999999985</v>
      </c>
      <c r="AV1281" s="320">
        <f ca="1">Calc!Z84</f>
        <v>-5529.5999999999985</v>
      </c>
      <c r="AX1281" s="88" t="str">
        <f t="shared" ca="1" si="102"/>
        <v>NVAX</v>
      </c>
    </row>
    <row r="1282" spans="1:135" hidden="1">
      <c r="A1282" s="88" t="str">
        <f t="shared" ca="1" si="103"/>
        <v>NVS</v>
      </c>
      <c r="C1282" s="1">
        <v>85</v>
      </c>
      <c r="F1282" s="253">
        <v>0.62909999999999999</v>
      </c>
      <c r="G1282" s="253">
        <v>0.62839999999999996</v>
      </c>
      <c r="H1282" s="253">
        <v>0.63270000000000004</v>
      </c>
      <c r="I1282" s="253">
        <v>0.60199999999999998</v>
      </c>
      <c r="J1282" s="253">
        <v>0.60260000000000002</v>
      </c>
      <c r="K1282" s="253">
        <v>0.60270000000000001</v>
      </c>
      <c r="L1282" s="253">
        <v>0.60219999999999996</v>
      </c>
      <c r="M1282" s="253">
        <v>0.60309999999999997</v>
      </c>
      <c r="N1282" s="253">
        <v>0.60309999999999997</v>
      </c>
      <c r="O1282" s="253">
        <v>0.59750000000000003</v>
      </c>
      <c r="P1282" s="253">
        <v>0.60270000000000001</v>
      </c>
      <c r="Q1282" s="253">
        <v>0.60109999999999997</v>
      </c>
      <c r="R1282" s="253">
        <v>0.60219999999999996</v>
      </c>
      <c r="S1282" s="253">
        <v>0.60050000000000003</v>
      </c>
      <c r="T1282" s="253">
        <v>0.60050000000000003</v>
      </c>
      <c r="U1282" s="253">
        <v>0.60270000000000001</v>
      </c>
      <c r="V1282" s="253">
        <v>0.60289999999999999</v>
      </c>
      <c r="W1282" s="253">
        <v>0.60289999999999999</v>
      </c>
      <c r="X1282" s="253">
        <v>0.60289999999999999</v>
      </c>
      <c r="Y1282" s="253">
        <v>0.60289999999999999</v>
      </c>
      <c r="Z1282" s="247">
        <f ca="1">[1]ExtEntry!$R85</f>
        <v>0.60289999999999999</v>
      </c>
      <c r="AB1282" s="320">
        <v>0</v>
      </c>
      <c r="AC1282" s="320">
        <v>0</v>
      </c>
      <c r="AD1282" s="320">
        <v>0</v>
      </c>
      <c r="AE1282" s="320">
        <v>0</v>
      </c>
      <c r="AF1282" s="320">
        <v>0</v>
      </c>
      <c r="AG1282" s="320">
        <v>0</v>
      </c>
      <c r="AH1282" s="320">
        <v>0</v>
      </c>
      <c r="AI1282" s="320">
        <v>0</v>
      </c>
      <c r="AJ1282" s="320">
        <v>0</v>
      </c>
      <c r="AK1282" s="320">
        <v>0</v>
      </c>
      <c r="AL1282" s="320">
        <v>0</v>
      </c>
      <c r="AM1282" s="320">
        <v>0</v>
      </c>
      <c r="AN1282" s="320">
        <v>0</v>
      </c>
      <c r="AO1282" s="320">
        <v>0</v>
      </c>
      <c r="AP1282" s="320">
        <v>0</v>
      </c>
      <c r="AQ1282" s="320">
        <v>0</v>
      </c>
      <c r="AR1282" s="320">
        <v>0</v>
      </c>
      <c r="AS1282" s="320">
        <v>0</v>
      </c>
      <c r="AT1282" s="320">
        <v>0</v>
      </c>
      <c r="AU1282" s="320">
        <v>0</v>
      </c>
      <c r="AV1282" s="320">
        <f ca="1">Calc!Z85</f>
        <v>0</v>
      </c>
      <c r="AX1282" s="88" t="str">
        <f t="shared" ca="1" si="102"/>
        <v>NVS</v>
      </c>
    </row>
    <row r="1283" spans="1:135" hidden="1">
      <c r="A1283" s="88" t="str">
        <f t="shared" ca="1" si="103"/>
        <v>ORA</v>
      </c>
      <c r="C1283" s="1">
        <v>86</v>
      </c>
      <c r="F1283" s="253">
        <v>0.27379999999999999</v>
      </c>
      <c r="G1283" s="253">
        <v>0.27179999999999999</v>
      </c>
      <c r="H1283" s="253">
        <v>0.27229999999999999</v>
      </c>
      <c r="I1283" s="253">
        <v>0.30819999999999997</v>
      </c>
      <c r="J1283" s="253">
        <v>0.3085</v>
      </c>
      <c r="K1283" s="253">
        <v>0.30259999999999998</v>
      </c>
      <c r="L1283" s="253">
        <v>0.3085</v>
      </c>
      <c r="M1283" s="253">
        <v>0.30830000000000002</v>
      </c>
      <c r="N1283" s="253">
        <v>0.30830000000000002</v>
      </c>
      <c r="O1283" s="253">
        <v>0.30659999999999998</v>
      </c>
      <c r="P1283" s="253">
        <v>0.31</v>
      </c>
      <c r="Q1283" s="253">
        <v>0.30909999999999999</v>
      </c>
      <c r="R1283" s="253">
        <v>0.30769999999999997</v>
      </c>
      <c r="S1283" s="253">
        <v>0.31259999999999999</v>
      </c>
      <c r="T1283" s="253">
        <v>0.31259999999999999</v>
      </c>
      <c r="U1283" s="253">
        <v>0.31</v>
      </c>
      <c r="V1283" s="253">
        <v>0.3095</v>
      </c>
      <c r="W1283" s="253">
        <v>0.3095</v>
      </c>
      <c r="X1283" s="253">
        <v>0.30930000000000002</v>
      </c>
      <c r="Y1283" s="253">
        <v>0.30930000000000002</v>
      </c>
      <c r="Z1283" s="247">
        <f ca="1">[1]ExtEntry!$R86</f>
        <v>0.30830000000000002</v>
      </c>
      <c r="AB1283" s="320">
        <v>-53.999999999999915</v>
      </c>
      <c r="AC1283" s="320">
        <v>78.000000000001535</v>
      </c>
      <c r="AD1283" s="320">
        <v>-47.999999999998977</v>
      </c>
      <c r="AE1283" s="320">
        <v>-251.99999999999889</v>
      </c>
      <c r="AF1283" s="320">
        <v>-509.99999999999875</v>
      </c>
      <c r="AG1283" s="320">
        <v>-635.9999999999992</v>
      </c>
      <c r="AH1283" s="320">
        <v>-425.99999999999841</v>
      </c>
      <c r="AI1283" s="320">
        <v>-221.99999999999847</v>
      </c>
      <c r="AJ1283" s="320">
        <v>-197.99999999999898</v>
      </c>
      <c r="AK1283" s="320">
        <v>-377.99999999999943</v>
      </c>
      <c r="AL1283" s="320">
        <v>-209.99999999999872</v>
      </c>
      <c r="AM1283" s="320">
        <v>324.00000000000159</v>
      </c>
      <c r="AN1283" s="320">
        <v>408.00000000000193</v>
      </c>
      <c r="AO1283" s="320">
        <v>708.00000000000193</v>
      </c>
      <c r="AP1283" s="320">
        <v>498.00000000000114</v>
      </c>
      <c r="AQ1283" s="320">
        <v>456.00000000000091</v>
      </c>
      <c r="AR1283" s="320">
        <v>390.00000000000125</v>
      </c>
      <c r="AS1283" s="320">
        <v>390.00000000000125</v>
      </c>
      <c r="AT1283" s="320">
        <v>486.00000000000136</v>
      </c>
      <c r="AU1283" s="320">
        <v>210.00000000000085</v>
      </c>
      <c r="AV1283" s="320">
        <f ca="1">Calc!Z86</f>
        <v>210.00000000000085</v>
      </c>
      <c r="AX1283" s="88" t="str">
        <f t="shared" ca="1" si="102"/>
        <v>ORA</v>
      </c>
    </row>
    <row r="1284" spans="1:135" hidden="1">
      <c r="A1284" s="88" t="str">
        <f t="shared" ca="1" si="103"/>
        <v>OXY</v>
      </c>
      <c r="C1284" s="1">
        <v>87</v>
      </c>
      <c r="F1284" s="253">
        <v>0.95599999999999996</v>
      </c>
      <c r="G1284" s="253">
        <v>0.95640000000000003</v>
      </c>
      <c r="H1284" s="253">
        <v>0.95089999999999997</v>
      </c>
      <c r="I1284" s="253">
        <v>0.92379999999999995</v>
      </c>
      <c r="J1284" s="253">
        <v>0.92930000000000001</v>
      </c>
      <c r="K1284" s="253">
        <v>0.92559999999999998</v>
      </c>
      <c r="L1284" s="253">
        <v>0.92759999999999998</v>
      </c>
      <c r="M1284" s="253">
        <v>0.92469999999999997</v>
      </c>
      <c r="N1284" s="253">
        <v>0.92469999999999997</v>
      </c>
      <c r="O1284" s="253">
        <v>0.95309999999999995</v>
      </c>
      <c r="P1284" s="253">
        <v>0.9405</v>
      </c>
      <c r="Q1284" s="253">
        <v>0.94230000000000003</v>
      </c>
      <c r="R1284" s="253">
        <v>0.93979999999999997</v>
      </c>
      <c r="S1284" s="253">
        <v>0.94369999999999998</v>
      </c>
      <c r="T1284" s="253">
        <v>0.94369999999999998</v>
      </c>
      <c r="U1284" s="253">
        <v>0.93069999999999997</v>
      </c>
      <c r="V1284" s="253">
        <v>0.93079999999999996</v>
      </c>
      <c r="W1284" s="253">
        <v>0.93079999999999996</v>
      </c>
      <c r="X1284" s="253">
        <v>0.93079999999999996</v>
      </c>
      <c r="Y1284" s="253">
        <v>0.93079999999999996</v>
      </c>
      <c r="Z1284" s="247">
        <f ca="1">[1]ExtEntry!$R87</f>
        <v>0.92989999999999995</v>
      </c>
      <c r="AB1284" s="320">
        <v>975.00000000000136</v>
      </c>
      <c r="AC1284" s="320">
        <v>19.999999999996021</v>
      </c>
      <c r="AD1284" s="320">
        <v>489.99999999999488</v>
      </c>
      <c r="AE1284" s="320">
        <v>-3020.0000000000032</v>
      </c>
      <c r="AF1284" s="320">
        <v>-2395.0000000000032</v>
      </c>
      <c r="AG1284" s="320">
        <v>-1914.9999999999991</v>
      </c>
      <c r="AH1284" s="320">
        <v>-2190.000000000005</v>
      </c>
      <c r="AI1284" s="320">
        <v>-2719.9999999999991</v>
      </c>
      <c r="AJ1284" s="320">
        <v>-2719.9999999999991</v>
      </c>
      <c r="AK1284" s="320">
        <v>-4810.0000000000018</v>
      </c>
      <c r="AL1284" s="320">
        <v>-4960.0000000000009</v>
      </c>
      <c r="AM1284" s="320">
        <v>-5385.0000000000055</v>
      </c>
      <c r="AN1284" s="320">
        <v>-6200.0000000000027</v>
      </c>
      <c r="AO1284" s="320">
        <v>-6340.0000000000036</v>
      </c>
      <c r="AP1284" s="320">
        <v>-6210.0000000000009</v>
      </c>
      <c r="AQ1284" s="320">
        <v>-6330.0000000000055</v>
      </c>
      <c r="AR1284" s="320">
        <v>-5505.0000000000027</v>
      </c>
      <c r="AS1284" s="320">
        <v>-5505.0000000000027</v>
      </c>
      <c r="AT1284" s="320">
        <v>-4359.9999999999991</v>
      </c>
      <c r="AU1284" s="320">
        <v>-4660.0000000000036</v>
      </c>
      <c r="AV1284" s="320">
        <f ca="1">Calc!Z87</f>
        <v>-4670.0000000000018</v>
      </c>
      <c r="AX1284" s="88" t="str">
        <f t="shared" ca="1" si="102"/>
        <v>OXY</v>
      </c>
    </row>
    <row r="1285" spans="1:135" ht="24" hidden="1" customHeight="1">
      <c r="A1285" s="88" t="str">
        <f t="shared" ca="1" si="103"/>
        <v>PFE</v>
      </c>
      <c r="C1285" s="1">
        <v>88</v>
      </c>
      <c r="F1285" s="253">
        <v>0.50139999999999996</v>
      </c>
      <c r="G1285" s="253">
        <v>0.50080000000000002</v>
      </c>
      <c r="H1285" s="253">
        <v>0.51119999999999999</v>
      </c>
      <c r="I1285" s="253">
        <v>0.50180000000000002</v>
      </c>
      <c r="J1285" s="253">
        <v>0.50260000000000005</v>
      </c>
      <c r="K1285" s="253">
        <v>0.50600000000000001</v>
      </c>
      <c r="L1285" s="253">
        <v>0.505</v>
      </c>
      <c r="M1285" s="253">
        <v>0.50749999999999995</v>
      </c>
      <c r="N1285" s="253">
        <v>0.50749999999999995</v>
      </c>
      <c r="O1285" s="253">
        <v>0.51</v>
      </c>
      <c r="P1285" s="253">
        <v>0.51049999999999995</v>
      </c>
      <c r="Q1285" s="253">
        <v>0.51190000000000002</v>
      </c>
      <c r="R1285" s="253">
        <v>0.51200000000000001</v>
      </c>
      <c r="S1285" s="253">
        <v>0.51149999999999995</v>
      </c>
      <c r="T1285" s="253">
        <v>0.51149999999999995</v>
      </c>
      <c r="U1285" s="253">
        <v>0.5091</v>
      </c>
      <c r="V1285" s="253">
        <v>0.50880000000000003</v>
      </c>
      <c r="W1285" s="253">
        <v>0.50880000000000003</v>
      </c>
      <c r="X1285" s="253">
        <v>0.50880000000000003</v>
      </c>
      <c r="Y1285" s="253">
        <v>0.50880000000000003</v>
      </c>
      <c r="Z1285" s="247">
        <f ca="1">[1]ExtEntry!$R88</f>
        <v>0.5091</v>
      </c>
      <c r="AB1285" s="320">
        <v>-1856.1599999999999</v>
      </c>
      <c r="AC1285" s="320">
        <v>856.00000000000023</v>
      </c>
      <c r="AD1285" s="320">
        <v>3656</v>
      </c>
      <c r="AE1285" s="320">
        <v>3447.9999999999964</v>
      </c>
      <c r="AF1285" s="320">
        <v>3879.9999999999955</v>
      </c>
      <c r="AG1285" s="320">
        <v>2119.9999999999991</v>
      </c>
      <c r="AH1285" s="320">
        <v>1183.9999999999975</v>
      </c>
      <c r="AI1285" s="320">
        <v>471.99999999999704</v>
      </c>
      <c r="AJ1285" s="320">
        <v>479.99999999999545</v>
      </c>
      <c r="AK1285" s="320">
        <v>-376.00000000000477</v>
      </c>
      <c r="AL1285" s="320">
        <v>-664.00000000000432</v>
      </c>
      <c r="AM1285" s="320">
        <v>-943.99999999999977</v>
      </c>
      <c r="AN1285" s="320">
        <v>-1136.0000000000014</v>
      </c>
      <c r="AO1285" s="320">
        <v>-687.99999999999955</v>
      </c>
      <c r="AP1285" s="320">
        <v>-408.00000000000409</v>
      </c>
      <c r="AQ1285" s="320">
        <v>-184.00000000000318</v>
      </c>
      <c r="AR1285" s="320">
        <v>-328.00000000000296</v>
      </c>
      <c r="AS1285" s="320">
        <v>-328.00000000000296</v>
      </c>
      <c r="AT1285" s="320">
        <v>-408.00000000000409</v>
      </c>
      <c r="AU1285" s="320">
        <v>-256.00000000000023</v>
      </c>
      <c r="AV1285" s="320">
        <f ca="1">Calc!Z88</f>
        <v>-287.99999999999955</v>
      </c>
      <c r="AX1285" s="88" t="str">
        <f t="shared" ca="1" si="102"/>
        <v>PFE</v>
      </c>
    </row>
    <row r="1286" spans="1:135" hidden="1">
      <c r="A1286" s="88" t="str">
        <f t="shared" ca="1" si="103"/>
        <v>RIG</v>
      </c>
      <c r="C1286" s="1">
        <v>89</v>
      </c>
      <c r="F1286" s="253">
        <v>2.6846999999999999</v>
      </c>
      <c r="G1286" s="253">
        <v>2.6787000000000001</v>
      </c>
      <c r="H1286" s="253">
        <v>2.6747000000000001</v>
      </c>
      <c r="I1286" s="253">
        <v>2.6364000000000001</v>
      </c>
      <c r="J1286" s="253">
        <v>2.6349</v>
      </c>
      <c r="K1286" s="253">
        <v>2.6343000000000001</v>
      </c>
      <c r="L1286" s="253">
        <v>2.6309999999999998</v>
      </c>
      <c r="M1286" s="253">
        <v>2.6356999999999999</v>
      </c>
      <c r="N1286" s="253">
        <v>2.6356999999999999</v>
      </c>
      <c r="O1286" s="253">
        <v>2.6311</v>
      </c>
      <c r="P1286" s="253">
        <v>2.6339999999999999</v>
      </c>
      <c r="Q1286" s="253">
        <v>2.6372</v>
      </c>
      <c r="R1286" s="253">
        <v>2.6307</v>
      </c>
      <c r="S1286" s="253">
        <v>2.6320999999999999</v>
      </c>
      <c r="T1286" s="253">
        <v>2.6320999999999999</v>
      </c>
      <c r="U1286" s="253">
        <v>2.6360999999999999</v>
      </c>
      <c r="V1286" s="253">
        <v>2.6358000000000001</v>
      </c>
      <c r="W1286" s="253">
        <v>2.6358000000000001</v>
      </c>
      <c r="X1286" s="253">
        <v>2.6358000000000001</v>
      </c>
      <c r="Y1286" s="253">
        <v>2.6358000000000001</v>
      </c>
      <c r="Z1286" s="247">
        <f ca="1">[1]ExtEntry!$R89</f>
        <v>2.6339999999999999</v>
      </c>
      <c r="AB1286" s="320">
        <v>-3639.9999999999973</v>
      </c>
      <c r="AC1286" s="320">
        <v>-3444.9999999999959</v>
      </c>
      <c r="AD1286" s="320">
        <v>-2014.9999999999975</v>
      </c>
      <c r="AE1286" s="320">
        <v>-1104.9999999999995</v>
      </c>
      <c r="AF1286" s="320">
        <v>-194.99999999999585</v>
      </c>
      <c r="AG1286" s="320">
        <v>1104.9999999999995</v>
      </c>
      <c r="AH1286" s="320">
        <v>324.99999999999886</v>
      </c>
      <c r="AI1286" s="320">
        <v>-714.99999999999636</v>
      </c>
      <c r="AJ1286" s="320">
        <v>-649.99999999999773</v>
      </c>
      <c r="AK1286" s="320">
        <v>-2405.0000000000009</v>
      </c>
      <c r="AL1286" s="320">
        <v>-3444.9999999999959</v>
      </c>
      <c r="AM1286" s="320">
        <v>-1169.9999999999982</v>
      </c>
      <c r="AN1286" s="320">
        <v>-2014.9999999999975</v>
      </c>
      <c r="AO1286" s="320">
        <v>-1560.0000000000014</v>
      </c>
      <c r="AP1286" s="320">
        <v>-1234.9999999999968</v>
      </c>
      <c r="AQ1286" s="320">
        <v>-974.99999999999659</v>
      </c>
      <c r="AR1286" s="320">
        <v>584.99999999999909</v>
      </c>
      <c r="AS1286" s="320">
        <v>584.99999999999909</v>
      </c>
      <c r="AT1286" s="320">
        <v>6564.9999999999982</v>
      </c>
      <c r="AU1286" s="320">
        <v>6695.0000000000018</v>
      </c>
      <c r="AV1286" s="320">
        <f ca="1">Calc!Z89</f>
        <v>6760</v>
      </c>
      <c r="AX1286" s="88" t="str">
        <f t="shared" ca="1" si="102"/>
        <v>RIG</v>
      </c>
    </row>
    <row r="1287" spans="1:135">
      <c r="A1287" s="88" t="str">
        <f t="shared" ca="1" si="103"/>
        <v>RRC</v>
      </c>
      <c r="C1287" s="1">
        <v>90</v>
      </c>
      <c r="F1287" s="253">
        <v>0.51160000000000005</v>
      </c>
      <c r="G1287" s="253">
        <v>0.51139999999999997</v>
      </c>
      <c r="H1287" s="253">
        <v>0.51380000000000003</v>
      </c>
      <c r="I1287" s="253">
        <v>0.504</v>
      </c>
      <c r="J1287" s="253">
        <v>0.50639999999999996</v>
      </c>
      <c r="K1287" s="253">
        <v>0.50600000000000001</v>
      </c>
      <c r="L1287" s="253">
        <v>0.50490000000000002</v>
      </c>
      <c r="M1287" s="253">
        <v>0.50529999999999997</v>
      </c>
      <c r="N1287" s="253">
        <v>0.50529999999999997</v>
      </c>
      <c r="O1287" s="253">
        <v>0.52100000000000002</v>
      </c>
      <c r="P1287" s="253">
        <v>0.51280000000000003</v>
      </c>
      <c r="Q1287" s="253">
        <v>0.51680000000000004</v>
      </c>
      <c r="R1287" s="253">
        <v>0.51139999999999997</v>
      </c>
      <c r="S1287" s="253">
        <v>0.51600000000000001</v>
      </c>
      <c r="T1287" s="253">
        <v>0.51600000000000001</v>
      </c>
      <c r="U1287" s="253">
        <v>0.50819999999999999</v>
      </c>
      <c r="V1287" s="253">
        <v>0.50870000000000004</v>
      </c>
      <c r="W1287" s="253">
        <v>0.50870000000000004</v>
      </c>
      <c r="X1287" s="253">
        <v>0.50870000000000004</v>
      </c>
      <c r="Y1287" s="253">
        <v>0.50870000000000004</v>
      </c>
      <c r="Z1287" s="247">
        <f ca="1">[1]ExtEntry!$R90</f>
        <v>0.50939999999999996</v>
      </c>
      <c r="AB1287" s="320">
        <v>0</v>
      </c>
      <c r="AC1287" s="320">
        <v>0</v>
      </c>
      <c r="AD1287" s="320">
        <v>0</v>
      </c>
      <c r="AE1287" s="320">
        <v>0</v>
      </c>
      <c r="AF1287" s="320">
        <v>0</v>
      </c>
      <c r="AG1287" s="320">
        <v>0</v>
      </c>
      <c r="AH1287" s="320">
        <v>0</v>
      </c>
      <c r="AI1287" s="320">
        <v>0</v>
      </c>
      <c r="AJ1287" s="320">
        <v>0</v>
      </c>
      <c r="AK1287" s="320">
        <v>0</v>
      </c>
      <c r="AL1287" s="320">
        <v>0</v>
      </c>
      <c r="AM1287" s="320">
        <v>0</v>
      </c>
      <c r="AN1287" s="320">
        <v>0</v>
      </c>
      <c r="AO1287" s="320">
        <v>0</v>
      </c>
      <c r="AP1287" s="320">
        <v>0</v>
      </c>
      <c r="AQ1287" s="320">
        <v>0</v>
      </c>
      <c r="AR1287" s="320">
        <v>0</v>
      </c>
      <c r="AS1287" s="320">
        <v>0</v>
      </c>
      <c r="AT1287" s="320">
        <v>0</v>
      </c>
      <c r="AU1287" s="320">
        <v>0</v>
      </c>
      <c r="AV1287" s="320">
        <f ca="1">Calc!Z90</f>
        <v>0</v>
      </c>
      <c r="AX1287" s="88" t="str">
        <f t="shared" ca="1" si="102"/>
        <v>RRC</v>
      </c>
    </row>
    <row r="1288" spans="1:135">
      <c r="A1288" s="88" t="str">
        <f t="shared" ca="1" si="103"/>
        <v>XYZ</v>
      </c>
      <c r="C1288" s="1">
        <v>91</v>
      </c>
      <c r="F1288" s="245">
        <v>2.7279</v>
      </c>
      <c r="G1288" s="245">
        <v>2.7275</v>
      </c>
      <c r="H1288" s="245">
        <v>2.7145000000000001</v>
      </c>
      <c r="I1288" s="245">
        <v>2.7320000000000002</v>
      </c>
      <c r="J1288" s="245">
        <v>2.7288000000000001</v>
      </c>
      <c r="K1288" s="245">
        <v>2.7313000000000001</v>
      </c>
      <c r="L1288" s="245">
        <v>2.7263999999999999</v>
      </c>
      <c r="M1288" s="245">
        <v>2.7315999999999998</v>
      </c>
      <c r="N1288" s="245">
        <v>2.7315999999999998</v>
      </c>
      <c r="O1288" s="245">
        <v>2.7019000000000002</v>
      </c>
      <c r="P1288" s="245">
        <v>2.7223999999999999</v>
      </c>
      <c r="Q1288" s="245">
        <v>2.7181000000000002</v>
      </c>
      <c r="R1288" s="245">
        <v>2.7231000000000001</v>
      </c>
      <c r="S1288" s="245">
        <v>2.7235999999999998</v>
      </c>
      <c r="T1288" s="245">
        <v>2.7235999999999998</v>
      </c>
      <c r="U1288" s="245">
        <v>2.7315</v>
      </c>
      <c r="V1288" s="245">
        <v>2.7307000000000001</v>
      </c>
      <c r="W1288" s="245">
        <v>2.7307000000000001</v>
      </c>
      <c r="X1288" s="245">
        <v>2.7307000000000001</v>
      </c>
      <c r="Y1288" s="245">
        <v>2.7307000000000001</v>
      </c>
      <c r="Z1288" s="247">
        <f ca="1">[1]ExtEntry!$R91</f>
        <v>2.7320000000000002</v>
      </c>
      <c r="AB1288" s="320">
        <v>-905.99999999999454</v>
      </c>
      <c r="AC1288" s="320">
        <v>-2802.0000000000009</v>
      </c>
      <c r="AD1288" s="320">
        <v>-2118.0000000000009</v>
      </c>
      <c r="AE1288" s="320">
        <v>-84.000000000000341</v>
      </c>
      <c r="AF1288" s="320">
        <v>15.000000000003411</v>
      </c>
      <c r="AG1288" s="320">
        <v>1260.000000000005</v>
      </c>
      <c r="AH1288" s="320">
        <v>2520.0000000000018</v>
      </c>
      <c r="AI1288" s="320">
        <v>2358.0000000000041</v>
      </c>
      <c r="AJ1288" s="320">
        <v>2345.9999999999982</v>
      </c>
      <c r="AK1288" s="320">
        <v>-1152.0000000000009</v>
      </c>
      <c r="AL1288" s="320">
        <v>-455.99999999999454</v>
      </c>
      <c r="AM1288" s="320">
        <v>-581.99999999999932</v>
      </c>
      <c r="AN1288" s="320">
        <v>-1434.0000000000005</v>
      </c>
      <c r="AO1288" s="320">
        <v>-1043.9999999999968</v>
      </c>
      <c r="AP1288" s="320">
        <v>-263.99999999999864</v>
      </c>
      <c r="AQ1288" s="320">
        <v>461.99999999999761</v>
      </c>
      <c r="AR1288" s="320">
        <v>-605.99999999999454</v>
      </c>
      <c r="AS1288" s="320">
        <v>-605.99999999999454</v>
      </c>
      <c r="AT1288" s="320">
        <v>965.99999999999966</v>
      </c>
      <c r="AU1288" s="320">
        <v>1560.000000000005</v>
      </c>
      <c r="AV1288" s="320">
        <f ca="1">Calc!Z91</f>
        <v>1560.000000000005</v>
      </c>
      <c r="AX1288" s="88" t="str">
        <f t="shared" ca="1" si="102"/>
        <v>XYZ</v>
      </c>
    </row>
    <row r="1289" spans="1:135">
      <c r="A1289" s="88" t="str">
        <f t="shared" ca="1" si="103"/>
        <v>THC</v>
      </c>
      <c r="C1289" s="1">
        <v>92</v>
      </c>
      <c r="F1289" s="253">
        <v>1.5226999999999999</v>
      </c>
      <c r="G1289" s="253">
        <v>1.522</v>
      </c>
      <c r="H1289" s="253">
        <v>1.5234000000000001</v>
      </c>
      <c r="I1289" s="253">
        <v>1.5328999999999999</v>
      </c>
      <c r="J1289" s="253">
        <v>1.532</v>
      </c>
      <c r="K1289" s="253">
        <v>1.5322</v>
      </c>
      <c r="L1289" s="253">
        <v>1.5315000000000001</v>
      </c>
      <c r="M1289" s="253">
        <v>1.5314000000000001</v>
      </c>
      <c r="N1289" s="253">
        <v>1.5314000000000001</v>
      </c>
      <c r="O1289" s="253">
        <v>1.5458000000000001</v>
      </c>
      <c r="P1289" s="253">
        <v>1.5418000000000001</v>
      </c>
      <c r="Q1289" s="253">
        <v>1.5374000000000001</v>
      </c>
      <c r="R1289" s="253">
        <v>1.5347999999999999</v>
      </c>
      <c r="S1289" s="253">
        <v>1.5344</v>
      </c>
      <c r="T1289" s="253">
        <v>1.5344</v>
      </c>
      <c r="U1289" s="253">
        <v>1.5319</v>
      </c>
      <c r="V1289" s="253">
        <v>1.5318000000000001</v>
      </c>
      <c r="W1289" s="253">
        <v>1.5318000000000001</v>
      </c>
      <c r="X1289" s="253">
        <v>1.5318000000000001</v>
      </c>
      <c r="Y1289" s="253">
        <v>1.5318000000000001</v>
      </c>
      <c r="Z1289" s="247">
        <f ca="1">[1]ExtEntry!$R92</f>
        <v>1.5310999999999999</v>
      </c>
      <c r="AB1289" s="320">
        <v>48489.999999999978</v>
      </c>
      <c r="AC1289" s="320">
        <v>50699.999999999985</v>
      </c>
      <c r="AD1289" s="320">
        <v>49160</v>
      </c>
      <c r="AE1289" s="320">
        <v>51199.999999999985</v>
      </c>
      <c r="AF1289" s="320">
        <v>50819.999999999993</v>
      </c>
      <c r="AG1289" s="320">
        <v>52759.999999999993</v>
      </c>
      <c r="AH1289" s="320">
        <v>-228.0000000000058</v>
      </c>
      <c r="AI1289" s="320">
        <v>-1917.0000000000045</v>
      </c>
      <c r="AJ1289" s="320">
        <v>-1917.0000000000045</v>
      </c>
      <c r="AK1289" s="320">
        <v>-3382.5000000000018</v>
      </c>
      <c r="AL1289" s="320">
        <v>-1437.0000000000061</v>
      </c>
      <c r="AM1289" s="320">
        <v>-972.00000000000273</v>
      </c>
      <c r="AN1289" s="320">
        <v>-633.00000000000409</v>
      </c>
      <c r="AO1289" s="320">
        <v>-372.00000000000273</v>
      </c>
      <c r="AP1289" s="320">
        <v>244.49999999999932</v>
      </c>
      <c r="AQ1289" s="320">
        <v>336.00000000000136</v>
      </c>
      <c r="AR1289" s="320">
        <v>1163.9999999999986</v>
      </c>
      <c r="AS1289" s="320">
        <v>1163.9999999999986</v>
      </c>
      <c r="AT1289" s="320">
        <v>1700.9999999999964</v>
      </c>
      <c r="AU1289" s="320">
        <v>2741.9999999999959</v>
      </c>
      <c r="AV1289" s="320">
        <f ca="1">Calc!Z92</f>
        <v>2741.9999999999959</v>
      </c>
      <c r="AX1289" s="88" t="str">
        <f t="shared" ca="1" si="102"/>
        <v>THC</v>
      </c>
    </row>
    <row r="1290" spans="1:135">
      <c r="A1290" s="88" t="str">
        <f t="shared" ca="1" si="103"/>
        <v>X</v>
      </c>
      <c r="C1290" s="1">
        <v>93</v>
      </c>
      <c r="F1290" s="245">
        <v>1.8781000000000001</v>
      </c>
      <c r="G1290" s="245">
        <v>1.8781000000000001</v>
      </c>
      <c r="H1290" s="245">
        <v>1.8781000000000001</v>
      </c>
      <c r="I1290" s="245">
        <v>1.8781000000000001</v>
      </c>
      <c r="J1290" s="245">
        <v>1.8781000000000001</v>
      </c>
      <c r="K1290" s="245">
        <v>1.8781000000000001</v>
      </c>
      <c r="L1290" s="245">
        <v>1.8781000000000001</v>
      </c>
      <c r="M1290" s="245">
        <v>1.8781000000000001</v>
      </c>
      <c r="N1290" s="245">
        <v>1.8781000000000001</v>
      </c>
      <c r="O1290" s="245">
        <v>1.8781000000000001</v>
      </c>
      <c r="P1290" s="245">
        <v>1.8781000000000001</v>
      </c>
      <c r="Q1290" s="245">
        <v>1.8781000000000001</v>
      </c>
      <c r="R1290" s="245">
        <v>1.8781000000000001</v>
      </c>
      <c r="S1290" s="245">
        <v>1.8781000000000001</v>
      </c>
      <c r="T1290" s="245">
        <v>1.8781000000000001</v>
      </c>
      <c r="U1290" s="245">
        <v>1.8781000000000001</v>
      </c>
      <c r="V1290" s="245">
        <v>1.8781000000000001</v>
      </c>
      <c r="W1290" s="245">
        <v>1.8781000000000001</v>
      </c>
      <c r="X1290" s="245">
        <v>1.8781000000000001</v>
      </c>
      <c r="Y1290" s="245">
        <v>1.8781000000000001</v>
      </c>
      <c r="Z1290" s="247">
        <f ca="1">[1]ExtEntry!$R93</f>
        <v>1.8781000000000001</v>
      </c>
      <c r="AB1290" s="320">
        <v>238.82794000000004</v>
      </c>
      <c r="AC1290" s="320">
        <v>238.82794000000004</v>
      </c>
      <c r="AD1290" s="320">
        <v>238.82794000000004</v>
      </c>
      <c r="AE1290" s="320">
        <v>238.82794000000004</v>
      </c>
      <c r="AF1290" s="320">
        <v>238.82794000000004</v>
      </c>
      <c r="AG1290" s="320">
        <v>238.82794000000004</v>
      </c>
      <c r="AH1290" s="320">
        <v>238.82794000000004</v>
      </c>
      <c r="AI1290" s="320">
        <v>238.82794000000004</v>
      </c>
      <c r="AJ1290" s="320">
        <v>238.82794000000004</v>
      </c>
      <c r="AK1290" s="320">
        <v>238.82794000000004</v>
      </c>
      <c r="AL1290" s="320">
        <v>238.82794000000004</v>
      </c>
      <c r="AM1290" s="320">
        <v>238.82794000000004</v>
      </c>
      <c r="AN1290" s="320">
        <v>238.82794000000004</v>
      </c>
      <c r="AO1290" s="320">
        <v>238.82794000000004</v>
      </c>
      <c r="AP1290" s="320">
        <v>238.82794000000004</v>
      </c>
      <c r="AQ1290" s="320">
        <v>238.82794000000004</v>
      </c>
      <c r="AR1290" s="320">
        <v>238.82794000000004</v>
      </c>
      <c r="AS1290" s="320">
        <v>238.82794000000004</v>
      </c>
      <c r="AT1290" s="320">
        <v>238.82794000000004</v>
      </c>
      <c r="AU1290" s="320">
        <v>238.82794000000004</v>
      </c>
      <c r="AV1290" s="320">
        <f ca="1">Calc!Z93</f>
        <v>238.82794000000004</v>
      </c>
      <c r="AX1290" s="88" t="str">
        <f t="shared" ca="1" si="102"/>
        <v>X</v>
      </c>
    </row>
    <row r="1291" spans="1:135">
      <c r="A1291" s="88" t="str">
        <f t="shared" ca="1" si="103"/>
        <v>JBEOAN</v>
      </c>
      <c r="C1291" s="1">
        <v>94</v>
      </c>
      <c r="F1291" s="348">
        <v>0.62690000000000001</v>
      </c>
      <c r="G1291" s="348">
        <v>0.62690000000000001</v>
      </c>
      <c r="H1291" s="245">
        <v>0.62690000000000001</v>
      </c>
      <c r="I1291" s="245">
        <v>0.62690000000000001</v>
      </c>
      <c r="J1291" s="245">
        <v>0.62690000000000001</v>
      </c>
      <c r="K1291" s="245">
        <v>0.58640000000000003</v>
      </c>
      <c r="L1291" s="245">
        <v>0.58640000000000003</v>
      </c>
      <c r="M1291" s="245">
        <v>0.58640000000000003</v>
      </c>
      <c r="N1291" s="245">
        <v>0.58640000000000003</v>
      </c>
      <c r="O1291" s="245">
        <v>0.58640000000000003</v>
      </c>
      <c r="P1291" s="245">
        <v>0.58640000000000003</v>
      </c>
      <c r="Q1291" s="245">
        <v>0.58640000000000003</v>
      </c>
      <c r="R1291" s="245">
        <v>0.58640000000000003</v>
      </c>
      <c r="S1291" s="245">
        <v>0.58640000000000003</v>
      </c>
      <c r="T1291" s="245">
        <v>0.58640000000000003</v>
      </c>
      <c r="U1291" s="245">
        <v>0.58640000000000003</v>
      </c>
      <c r="V1291" s="245">
        <v>0.58640000000000003</v>
      </c>
      <c r="W1291" s="245">
        <v>0.58640000000000003</v>
      </c>
      <c r="X1291" s="245">
        <v>0.58640000000000003</v>
      </c>
      <c r="Y1291" s="245">
        <v>0.58640000000000003</v>
      </c>
      <c r="Z1291" s="247">
        <f ca="1">[1]ExtEntry!$R94</f>
        <v>0.72009999999999996</v>
      </c>
      <c r="AB1291" s="320">
        <v>385191.60000000003</v>
      </c>
      <c r="AC1291" s="320">
        <v>382261.8</v>
      </c>
      <c r="AD1291" s="320">
        <v>380719.80000000005</v>
      </c>
      <c r="AE1291" s="320">
        <v>387041.99999999994</v>
      </c>
      <c r="AF1291" s="320">
        <v>394443.6</v>
      </c>
      <c r="AG1291" s="320">
        <v>386887.80000000005</v>
      </c>
      <c r="AH1291" s="320">
        <v>388275.6</v>
      </c>
      <c r="AI1291" s="320">
        <v>401691.00000000006</v>
      </c>
      <c r="AJ1291" s="320">
        <v>400919.99999999994</v>
      </c>
      <c r="AK1291" s="320">
        <v>382416.00000000006</v>
      </c>
      <c r="AL1291" s="320">
        <v>375322.80000000005</v>
      </c>
      <c r="AM1291" s="320">
        <v>386579.39999999997</v>
      </c>
      <c r="AN1291" s="320">
        <v>386733.6</v>
      </c>
      <c r="AO1291" s="320">
        <v>371313.60000000003</v>
      </c>
      <c r="AP1291" s="320">
        <v>378561</v>
      </c>
      <c r="AQ1291" s="320">
        <v>395214.6</v>
      </c>
      <c r="AR1291" s="320">
        <v>386579.39999999997</v>
      </c>
      <c r="AS1291" s="320">
        <v>386579.39999999997</v>
      </c>
      <c r="AT1291" s="320">
        <v>388892.4</v>
      </c>
      <c r="AU1291" s="320">
        <v>404620.79999999993</v>
      </c>
      <c r="AV1291" s="320">
        <f ca="1">Calc!Z94</f>
        <v>6325.0000000000027</v>
      </c>
      <c r="AX1291" s="88" t="str">
        <f t="shared" ca="1" si="102"/>
        <v>JBEOAN</v>
      </c>
    </row>
    <row r="1292" spans="1:135">
      <c r="A1292" s="88" t="str">
        <f t="shared" si="103"/>
        <v>LOCK</v>
      </c>
      <c r="C1292" s="1">
        <v>95</v>
      </c>
      <c r="F1292" s="348">
        <v>1.9275</v>
      </c>
      <c r="G1292" s="245">
        <v>1.9398</v>
      </c>
      <c r="H1292" s="245">
        <v>1.9459</v>
      </c>
      <c r="I1292" s="245">
        <v>1.9605999999999999</v>
      </c>
      <c r="J1292" s="1207">
        <v>1.9583999999999999</v>
      </c>
      <c r="K1292" s="247">
        <v>1.9643999999999999</v>
      </c>
      <c r="L1292" s="1208">
        <v>1.9613</v>
      </c>
      <c r="M1292" s="243">
        <v>1.9598</v>
      </c>
      <c r="N1292" s="245">
        <v>1.9598</v>
      </c>
      <c r="O1292" s="1209">
        <v>1.9577</v>
      </c>
      <c r="P1292" s="1209">
        <v>1.9578</v>
      </c>
      <c r="Q1292" s="245">
        <v>1.9605999999999999</v>
      </c>
      <c r="R1292" s="249">
        <v>1.9593</v>
      </c>
      <c r="S1292" s="245">
        <v>1.962</v>
      </c>
      <c r="T1292" s="245">
        <v>1.962</v>
      </c>
      <c r="U1292" s="245">
        <v>1.9623999999999999</v>
      </c>
      <c r="V1292" s="245">
        <v>1.9639</v>
      </c>
      <c r="W1292" s="1210">
        <v>1.9639</v>
      </c>
      <c r="X1292" s="347">
        <v>1.9639</v>
      </c>
      <c r="Y1292" s="245">
        <v>1.9639</v>
      </c>
      <c r="Z1292" s="247">
        <f ca="1">[1]ExtEntry!$R95</f>
        <v>0.58640000000000003</v>
      </c>
      <c r="AB1292" s="320">
        <v>50879.999999999993</v>
      </c>
      <c r="AC1292" s="320">
        <v>20872.000000000004</v>
      </c>
      <c r="AD1292" s="320">
        <v>23531.999999999993</v>
      </c>
      <c r="AE1292" s="320">
        <v>30772.000000000004</v>
      </c>
      <c r="AF1292" s="320">
        <v>31272.000000000004</v>
      </c>
      <c r="AG1292" s="320">
        <v>30211.999999999989</v>
      </c>
      <c r="AH1292" s="320">
        <v>25611.999999999989</v>
      </c>
      <c r="AI1292" s="320">
        <v>25211.999999999989</v>
      </c>
      <c r="AJ1292" s="320">
        <v>23711.999999999989</v>
      </c>
      <c r="AK1292" s="320">
        <v>24052</v>
      </c>
      <c r="AL1292" s="320">
        <v>24572.000000000004</v>
      </c>
      <c r="AM1292" s="320">
        <v>29852</v>
      </c>
      <c r="AN1292" s="320">
        <v>30731.999999999993</v>
      </c>
      <c r="AO1292" s="320">
        <v>30392.000000000007</v>
      </c>
      <c r="AP1292" s="320">
        <v>35052</v>
      </c>
      <c r="AQ1292" s="320">
        <v>33211.999999999985</v>
      </c>
      <c r="AR1292" s="320">
        <v>29272.000000000004</v>
      </c>
      <c r="AS1292" s="320">
        <v>29272.000000000004</v>
      </c>
      <c r="AT1292" s="320">
        <v>32792.000000000007</v>
      </c>
      <c r="AU1292" s="320">
        <v>34131.999999999993</v>
      </c>
      <c r="AV1292" s="320">
        <f ca="1">Calc!Z95</f>
        <v>403387.19999999995</v>
      </c>
      <c r="AX1292" s="88" t="str">
        <f t="shared" si="102"/>
        <v>LOCK</v>
      </c>
      <c r="DN1292" t="e">
        <f>-Tab2ReBuy[[#This Row],[RevBuy3]]</f>
        <v>#VALUE!</v>
      </c>
      <c r="DO1292" t="e">
        <f>-Tab2ReBuy[[#This Row],[RevBuy3]]</f>
        <v>#VALUE!</v>
      </c>
      <c r="DP1292" t="e">
        <f>-Tab2ReBuy[[#This Row],[RevBuy4]]</f>
        <v>#VALUE!</v>
      </c>
      <c r="DQ1292" t="e">
        <f>-Tab2ReBuy[[#This Row],[RevBuy4]]</f>
        <v>#VALUE!</v>
      </c>
      <c r="DR1292" t="e">
        <f>-Tab2ReBuy[[#This Row],[RevBuy5]]</f>
        <v>#VALUE!</v>
      </c>
      <c r="DS1292" t="e">
        <f>-Tab2ReBuy[[#This Row],[RevBuy5]]</f>
        <v>#VALUE!</v>
      </c>
      <c r="DT1292" t="e">
        <f>-Tab2ReBuy[[#This Row],[RevBuy6]]</f>
        <v>#VALUE!</v>
      </c>
      <c r="DU1292" t="e">
        <f>-Tab2ReBuy[[#This Row],[RevBuy6]]</f>
        <v>#VALUE!</v>
      </c>
      <c r="DV1292" t="e">
        <f>-Tab2ReBuy[[#This Row],[RevBuy7]]</f>
        <v>#VALUE!</v>
      </c>
      <c r="DW1292" t="e">
        <f>-Tab2ReBuy[[#This Row],[RevBuy7]]</f>
        <v>#VALUE!</v>
      </c>
      <c r="DX1292" t="e">
        <f>-Tab2ReBuy[[#This Row],[RevBuy8]]</f>
        <v>#VALUE!</v>
      </c>
      <c r="DY1292" t="e">
        <f>-Tab2ReBuy[[#This Row],[RevBuy8]]</f>
        <v>#VALUE!</v>
      </c>
      <c r="DZ1292" t="e">
        <f>-Tab2ReBuy[[#This Row],[RevBuy9]]</f>
        <v>#VALUE!</v>
      </c>
      <c r="EA1292" t="e">
        <f>-Tab2ReBuy[[#This Row],[RevBuy9]]</f>
        <v>#VALUE!</v>
      </c>
      <c r="EB1292" t="e">
        <f>-Tab2ReBuy[[#This Row],[RevBuy10]]</f>
        <v>#VALUE!</v>
      </c>
      <c r="EC1292" t="e">
        <f>-Tab2ReBuy[[#This Row],[RevBuy10]]</f>
        <v>#VALUE!</v>
      </c>
      <c r="ED1292" t="e">
        <f>-Tab2ReBuy[[#This Row],[RevBuy11]]</f>
        <v>#VALUE!</v>
      </c>
      <c r="EE1292" t="e">
        <f>-Tab2ReBuy[[#This Row],[RevBuy11]]</f>
        <v>#VALUE!</v>
      </c>
    </row>
    <row r="1293" spans="1:135" ht="23" customHeight="1">
      <c r="A1293" s="88" t="str">
        <f t="shared" si="103"/>
        <v>Total</v>
      </c>
      <c r="C1293" s="1">
        <v>96</v>
      </c>
      <c r="F1293" s="348">
        <v>0.70030000000000003</v>
      </c>
      <c r="G1293" s="245">
        <v>0.7056</v>
      </c>
      <c r="H1293" s="245">
        <v>0.7056</v>
      </c>
      <c r="I1293" s="245">
        <v>0.72050000000000003</v>
      </c>
      <c r="J1293" s="245">
        <v>0.72089999999999999</v>
      </c>
      <c r="K1293" s="245">
        <v>0.71989999999999998</v>
      </c>
      <c r="L1293" s="245">
        <v>0.72009999999999996</v>
      </c>
      <c r="M1293" s="245">
        <v>0.72009999999999996</v>
      </c>
      <c r="N1293" s="245">
        <v>0.72009999999999996</v>
      </c>
      <c r="O1293" s="245">
        <v>0.7177</v>
      </c>
      <c r="P1293" s="245">
        <v>0.72060000000000002</v>
      </c>
      <c r="Q1293" s="245">
        <v>0.72050000000000003</v>
      </c>
      <c r="R1293" s="245">
        <v>0.72060000000000002</v>
      </c>
      <c r="S1293" s="245">
        <v>0.72060000000000002</v>
      </c>
      <c r="T1293" s="245">
        <v>0.72060000000000002</v>
      </c>
      <c r="U1293" s="245">
        <v>0.71760000000000002</v>
      </c>
      <c r="V1293" s="245">
        <v>0.72070000000000001</v>
      </c>
      <c r="W1293" s="245">
        <v>0.72070000000000001</v>
      </c>
      <c r="X1293" s="245">
        <v>0.72070000000000001</v>
      </c>
      <c r="Y1293" s="245">
        <v>0.72070000000000001</v>
      </c>
      <c r="Z1293" s="247">
        <f>[1]ExtEntry!$R96</f>
        <v>0</v>
      </c>
      <c r="AB1293" s="320">
        <v>5924.9999999999936</v>
      </c>
      <c r="AC1293" s="320">
        <v>6250</v>
      </c>
      <c r="AD1293" s="320">
        <v>6699.9999999999991</v>
      </c>
      <c r="AE1293" s="320">
        <v>5700.0000000000027</v>
      </c>
      <c r="AF1293" s="320">
        <v>6500.0000000000036</v>
      </c>
      <c r="AG1293" s="320">
        <v>6474.9999999999909</v>
      </c>
      <c r="AH1293" s="320">
        <v>6799.9999999999973</v>
      </c>
      <c r="AI1293" s="320">
        <v>6775.0000000000018</v>
      </c>
      <c r="AJ1293" s="320">
        <v>6799.9999999999973</v>
      </c>
      <c r="AK1293" s="320">
        <v>7200.0000000000064</v>
      </c>
      <c r="AL1293" s="320">
        <v>7750.0000000000036</v>
      </c>
      <c r="AM1293" s="320">
        <v>6899.9999999999955</v>
      </c>
      <c r="AN1293" s="320">
        <v>7149.9999999999982</v>
      </c>
      <c r="AO1293" s="320">
        <v>7249.9999999999964</v>
      </c>
      <c r="AP1293" s="320">
        <v>8000.0000000000073</v>
      </c>
      <c r="AQ1293" s="320">
        <v>7724.9999999999909</v>
      </c>
      <c r="AR1293" s="320">
        <v>6400.0000000000055</v>
      </c>
      <c r="AS1293" s="320">
        <v>6400.0000000000055</v>
      </c>
      <c r="AT1293" s="320">
        <v>5800.0000000000009</v>
      </c>
      <c r="AU1293" s="320">
        <v>6199.9999999999918</v>
      </c>
      <c r="AV1293" s="320" t="e">
        <f ca="1">Calc!Z96</f>
        <v>#VALUE!</v>
      </c>
      <c r="AX1293" s="88" t="str">
        <f t="shared" si="102"/>
        <v>Total</v>
      </c>
    </row>
    <row r="1294" spans="1:135" ht="23" customHeight="1">
      <c r="A1294" s="88"/>
      <c r="J1294"/>
      <c r="K1294"/>
      <c r="L1294"/>
      <c r="M1294"/>
      <c r="O1294"/>
      <c r="P1294"/>
      <c r="R1294"/>
      <c r="W1294"/>
      <c r="X1294"/>
      <c r="AX1294" s="88"/>
    </row>
    <row r="1295" spans="1:135" ht="23" customHeight="1">
      <c r="A1295" s="88"/>
      <c r="J1295"/>
      <c r="K1295"/>
      <c r="L1295"/>
      <c r="M1295"/>
      <c r="O1295"/>
      <c r="P1295"/>
      <c r="R1295"/>
      <c r="W1295"/>
      <c r="X1295"/>
      <c r="AX1295" s="88"/>
    </row>
    <row r="1296" spans="1:135" ht="23" customHeight="1">
      <c r="A1296" s="88"/>
      <c r="F1296" s="112"/>
      <c r="G1296" s="112"/>
      <c r="H1296" s="112"/>
      <c r="I1296" s="112"/>
      <c r="J1296" s="112"/>
      <c r="K1296" s="112"/>
      <c r="L1296" s="112"/>
      <c r="M1296" s="112"/>
      <c r="N1296" s="112"/>
      <c r="O1296" s="112"/>
      <c r="P1296" s="112"/>
      <c r="Q1296" s="112"/>
      <c r="R1296" s="112"/>
      <c r="S1296" s="112"/>
      <c r="T1296" s="112"/>
      <c r="U1296" s="112"/>
      <c r="V1296" s="112"/>
      <c r="W1296" s="112"/>
      <c r="X1296" s="112"/>
      <c r="Y1296" s="112"/>
      <c r="Z1296" s="112"/>
      <c r="AB1296" s="93" cm="1">
        <f t="array" aca="1" ref="AB1296" ca="1">_xlfn.XLOOKUP(DataShiftChartTicker,ListTickers,Tab2ReBuy[RevBuy0])</f>
        <v>3196.0000000000036</v>
      </c>
      <c r="AC1296" s="93" cm="1">
        <f t="array" aca="1" ref="AC1296" ca="1">_xlfn.XLOOKUP(DataShiftChartTicker,ListTickers,Tab2ReBuy[RevBuy1])</f>
        <v>205.99999999999739</v>
      </c>
      <c r="AD1296" s="93" cm="1">
        <f t="array" aca="1" ref="AD1296" ca="1">_xlfn.XLOOKUP(DataShiftChartTicker,ListTickers,Tab2ReBuy[RevBuy2])</f>
        <v>-124.00000000000091</v>
      </c>
      <c r="AE1296" s="93" cm="1">
        <f t="array" aca="1" ref="AE1296" ca="1">_xlfn.XLOOKUP(DataShiftChartTicker,ListTickers,Tab2ReBuy[RevBuy3])</f>
        <v>-221.0000000000008</v>
      </c>
      <c r="AF1296" s="93" cm="1">
        <f t="array" aca="1" ref="AF1296" ca="1">_xlfn.XLOOKUP(DataShiftChartTicker,ListTickers,Tab2ReBuy[RevBuy4])</f>
        <v>-307.00000000000216</v>
      </c>
      <c r="AG1296" s="93" cm="1">
        <f t="array" aca="1" ref="AG1296" ca="1">_xlfn.XLOOKUP(DataShiftChartTicker,ListTickers,Tab2ReBuy[RevBuy5])</f>
        <v>-328.00000000000011</v>
      </c>
      <c r="AH1296" s="93" cm="1">
        <f t="array" aca="1" ref="AH1296" ca="1">_xlfn.XLOOKUP(DataShiftChartTicker,ListTickers,Tab2ReBuy[RevBuy6])</f>
        <v>-618.00000000000068</v>
      </c>
      <c r="AI1296" s="93" cm="1">
        <f t="array" aca="1" ref="AI1296" ca="1">_xlfn.XLOOKUP(DataShiftChartTicker,ListTickers,Tab2ReBuy[RevBuy7])</f>
        <v>17.99999999999784</v>
      </c>
      <c r="AJ1296" s="93" cm="1">
        <f t="array" aca="1" ref="AJ1296" ca="1">_xlfn.XLOOKUP(DataShiftChartTicker,ListTickers,Tab2ReBuy[RevBuy8])</f>
        <v>21.999999999999886</v>
      </c>
      <c r="AK1296" s="93" cm="1">
        <f t="array" aca="1" ref="AK1296" ca="1">_xlfn.XLOOKUP(DataShiftChartTicker,ListTickers,Tab2ReBuy[RevBuy9])</f>
        <v>-816.0000000000025</v>
      </c>
      <c r="AL1296" s="93" cm="1">
        <f t="array" aca="1" ref="AL1296" ca="1">_xlfn.XLOOKUP(DataShiftChartTicker,ListTickers,Tab2ReBuy[RevBuy10])</f>
        <v>-1044.0000000000027</v>
      </c>
      <c r="AM1296" s="93" cm="1">
        <f t="array" aca="1" ref="AM1296" ca="1">_xlfn.XLOOKUP(DataShiftChartTicker,ListTickers,Tab2ReBuy[RevBuy11])</f>
        <v>-1664.0000000000014</v>
      </c>
      <c r="AN1296" s="93" cm="1">
        <f t="array" aca="1" ref="AN1296" ca="1">_xlfn.XLOOKUP(DataShiftChartTicker,ListTickers,Tab2ReBuy[RevBuy12])</f>
        <v>-2586.0000000000014</v>
      </c>
      <c r="AO1296" s="93" cm="1">
        <f t="array" aca="1" ref="AO1296" ca="1">_xlfn.XLOOKUP(DataShiftChartTicker,ListTickers,Tab2ReBuy[RevBuy13])</f>
        <v>-1090.0000000000005</v>
      </c>
      <c r="AP1296" s="93" cm="1">
        <f t="array" aca="1" ref="AP1296" ca="1">_xlfn.XLOOKUP(DataShiftChartTicker,ListTickers,Tab2ReBuy[RevBuy14])</f>
        <v>-674.99999999999716</v>
      </c>
      <c r="AQ1296" s="93" cm="1">
        <f t="array" aca="1" ref="AQ1296" ca="1">_xlfn.XLOOKUP(DataShiftChartTicker,ListTickers,Tab2ReBuy[RevBuy15])</f>
        <v>7914.9999999999918</v>
      </c>
      <c r="AR1296" s="93" cm="1">
        <f t="array" aca="1" ref="AR1296" ca="1">_xlfn.XLOOKUP(DataShiftChartTicker,ListTickers,Tab2ReBuy[RevBuy16])</f>
        <v>7219.9999999999991</v>
      </c>
      <c r="AS1296" s="93" cm="1">
        <f t="array" aca="1" ref="AS1296" ca="1">_xlfn.XLOOKUP(DataShiftChartTicker,ListTickers,Tab2ReBuy[RevBuy17])</f>
        <v>7219.9999999999991</v>
      </c>
      <c r="AT1296" s="93" cm="1">
        <f t="array" aca="1" ref="AT1296" ca="1">_xlfn.XLOOKUP(DataShiftChartTicker,ListTickers,Tab2ReBuy[RevBuy18])</f>
        <v>5359.9999999999991</v>
      </c>
      <c r="AU1296" s="93" cm="1">
        <f t="array" aca="1" ref="AU1296" ca="1">_xlfn.XLOOKUP(DataShiftChartTicker,ListTickers,Tab2ReBuy[RevBuy19])</f>
        <v>10890</v>
      </c>
      <c r="AV1296" s="93" cm="1">
        <f t="array" aca="1" ref="AV1296" ca="1">_xlfn.XLOOKUP(DataShiftChartTicker,ListTickers,Tab2ReBuy[RevBuy20])</f>
        <v>13886.999999999989</v>
      </c>
      <c r="AX1296" s="88"/>
    </row>
    <row r="1297" spans="1:50" ht="23" customHeight="1">
      <c r="A1297" s="88"/>
      <c r="F1297" s="117">
        <f t="shared" ref="F1297:Z1297" ca="1" si="104">F1198</f>
        <v>45929</v>
      </c>
      <c r="G1297" s="117">
        <f t="shared" ca="1" si="104"/>
        <v>45930</v>
      </c>
      <c r="H1297" s="117">
        <f t="shared" ca="1" si="104"/>
        <v>45931</v>
      </c>
      <c r="I1297" s="117">
        <f t="shared" ca="1" si="104"/>
        <v>45932</v>
      </c>
      <c r="J1297" s="117">
        <f t="shared" ca="1" si="104"/>
        <v>45933</v>
      </c>
      <c r="K1297" s="117">
        <f t="shared" ca="1" si="104"/>
        <v>45936</v>
      </c>
      <c r="L1297" s="117">
        <f t="shared" ca="1" si="104"/>
        <v>45937</v>
      </c>
      <c r="M1297" s="117">
        <f t="shared" ca="1" si="104"/>
        <v>45938</v>
      </c>
      <c r="N1297" s="117">
        <f t="shared" ca="1" si="104"/>
        <v>45939</v>
      </c>
      <c r="O1297" s="117">
        <f t="shared" ca="1" si="104"/>
        <v>45940</v>
      </c>
      <c r="P1297" s="117">
        <f t="shared" ca="1" si="104"/>
        <v>45943</v>
      </c>
      <c r="Q1297" s="117">
        <f t="shared" ca="1" si="104"/>
        <v>45944</v>
      </c>
      <c r="R1297" s="117">
        <f t="shared" ca="1" si="104"/>
        <v>45945</v>
      </c>
      <c r="S1297" s="117">
        <f t="shared" ca="1" si="104"/>
        <v>45946</v>
      </c>
      <c r="T1297" s="117">
        <f t="shared" ca="1" si="104"/>
        <v>45947</v>
      </c>
      <c r="U1297" s="117">
        <f t="shared" ca="1" si="104"/>
        <v>45950</v>
      </c>
      <c r="V1297" s="117">
        <f t="shared" ca="1" si="104"/>
        <v>45951</v>
      </c>
      <c r="W1297" s="117">
        <f t="shared" ca="1" si="104"/>
        <v>45952</v>
      </c>
      <c r="X1297" s="117">
        <f t="shared" ca="1" si="104"/>
        <v>45953</v>
      </c>
      <c r="Y1297" s="117">
        <f t="shared" ca="1" si="104"/>
        <v>45954</v>
      </c>
      <c r="Z1297" s="117">
        <f t="shared" ca="1" si="104"/>
        <v>45956</v>
      </c>
      <c r="AB1297" s="117">
        <f t="shared" ref="AB1297:AV1297" ca="1" si="105">F1198</f>
        <v>45929</v>
      </c>
      <c r="AC1297" s="117">
        <f t="shared" ca="1" si="105"/>
        <v>45930</v>
      </c>
      <c r="AD1297" s="117">
        <f t="shared" ca="1" si="105"/>
        <v>45931</v>
      </c>
      <c r="AE1297" s="117">
        <f t="shared" ca="1" si="105"/>
        <v>45932</v>
      </c>
      <c r="AF1297" s="117">
        <f t="shared" ca="1" si="105"/>
        <v>45933</v>
      </c>
      <c r="AG1297" s="117">
        <f t="shared" ca="1" si="105"/>
        <v>45936</v>
      </c>
      <c r="AH1297" s="117">
        <f t="shared" ca="1" si="105"/>
        <v>45937</v>
      </c>
      <c r="AI1297" s="117">
        <f t="shared" ca="1" si="105"/>
        <v>45938</v>
      </c>
      <c r="AJ1297" s="117">
        <f t="shared" ca="1" si="105"/>
        <v>45939</v>
      </c>
      <c r="AK1297" s="117">
        <f t="shared" ca="1" si="105"/>
        <v>45940</v>
      </c>
      <c r="AL1297" s="117">
        <f t="shared" ca="1" si="105"/>
        <v>45943</v>
      </c>
      <c r="AM1297" s="117">
        <f t="shared" ca="1" si="105"/>
        <v>45944</v>
      </c>
      <c r="AN1297" s="117">
        <f t="shared" ca="1" si="105"/>
        <v>45945</v>
      </c>
      <c r="AO1297" s="117">
        <f t="shared" ca="1" si="105"/>
        <v>45946</v>
      </c>
      <c r="AP1297" s="117">
        <f t="shared" ca="1" si="105"/>
        <v>45947</v>
      </c>
      <c r="AQ1297" s="117">
        <f t="shared" ca="1" si="105"/>
        <v>45950</v>
      </c>
      <c r="AR1297" s="117">
        <f t="shared" ca="1" si="105"/>
        <v>45951</v>
      </c>
      <c r="AS1297" s="117">
        <f t="shared" ca="1" si="105"/>
        <v>45952</v>
      </c>
      <c r="AT1297" s="117">
        <f t="shared" ca="1" si="105"/>
        <v>45953</v>
      </c>
      <c r="AU1297" s="117">
        <f t="shared" ca="1" si="105"/>
        <v>45954</v>
      </c>
      <c r="AV1297" s="117">
        <f t="shared" ca="1" si="105"/>
        <v>45956</v>
      </c>
      <c r="AX1297" s="88"/>
    </row>
    <row r="1298" spans="1:50" ht="23" customHeight="1">
      <c r="A1298" s="88"/>
      <c r="F1298" s="282" t="s">
        <v>2466</v>
      </c>
      <c r="G1298" s="282" t="s">
        <v>2467</v>
      </c>
      <c r="H1298" s="282" t="s">
        <v>2468</v>
      </c>
      <c r="I1298" s="282" t="s">
        <v>2469</v>
      </c>
      <c r="J1298" s="282" t="s">
        <v>2470</v>
      </c>
      <c r="K1298" s="282" t="s">
        <v>2471</v>
      </c>
      <c r="L1298" s="282" t="s">
        <v>2472</v>
      </c>
      <c r="M1298" s="282" t="s">
        <v>2473</v>
      </c>
      <c r="N1298" s="282" t="s">
        <v>2474</v>
      </c>
      <c r="O1298" s="282" t="s">
        <v>2475</v>
      </c>
      <c r="P1298" s="282" t="s">
        <v>2476</v>
      </c>
      <c r="Q1298" s="282" t="s">
        <v>2477</v>
      </c>
      <c r="R1298" s="282" t="s">
        <v>2478</v>
      </c>
      <c r="S1298" s="282" t="s">
        <v>2479</v>
      </c>
      <c r="T1298" s="282" t="s">
        <v>2480</v>
      </c>
      <c r="U1298" s="282" t="s">
        <v>2481</v>
      </c>
      <c r="V1298" s="282" t="s">
        <v>2482</v>
      </c>
      <c r="W1298" s="282" t="s">
        <v>2483</v>
      </c>
      <c r="X1298" s="282" t="s">
        <v>2484</v>
      </c>
      <c r="Y1298" s="282" t="s">
        <v>2485</v>
      </c>
      <c r="Z1298" s="282" t="s">
        <v>2486</v>
      </c>
      <c r="AB1298" s="281" t="s">
        <v>1507</v>
      </c>
      <c r="AC1298" s="281" t="s">
        <v>1508</v>
      </c>
      <c r="AD1298" s="281" t="s">
        <v>1509</v>
      </c>
      <c r="AE1298" s="281" t="s">
        <v>1510</v>
      </c>
      <c r="AF1298" s="281" t="s">
        <v>1511</v>
      </c>
      <c r="AG1298" s="281" t="s">
        <v>1512</v>
      </c>
      <c r="AH1298" s="281" t="s">
        <v>1513</v>
      </c>
      <c r="AI1298" s="281" t="s">
        <v>1514</v>
      </c>
      <c r="AJ1298" s="281" t="s">
        <v>1515</v>
      </c>
      <c r="AK1298" s="281" t="s">
        <v>1516</v>
      </c>
      <c r="AL1298" s="281" t="s">
        <v>1517</v>
      </c>
      <c r="AM1298" s="281" t="s">
        <v>1518</v>
      </c>
      <c r="AN1298" s="281" t="s">
        <v>1519</v>
      </c>
      <c r="AO1298" s="281" t="s">
        <v>1520</v>
      </c>
      <c r="AP1298" s="281" t="s">
        <v>1521</v>
      </c>
      <c r="AQ1298" s="281" t="s">
        <v>1522</v>
      </c>
      <c r="AR1298" s="281" t="s">
        <v>1523</v>
      </c>
      <c r="AS1298" s="281" t="s">
        <v>1524</v>
      </c>
      <c r="AT1298" s="281" t="s">
        <v>1525</v>
      </c>
      <c r="AU1298" s="281" t="s">
        <v>1526</v>
      </c>
      <c r="AV1298" s="281" t="s">
        <v>1527</v>
      </c>
      <c r="AX1298" s="88"/>
    </row>
    <row r="1299" spans="1:50" ht="23" customHeight="1">
      <c r="A1299" s="88" t="str">
        <f t="shared" ref="A1299:A1358" ca="1" si="106">A1200</f>
        <v>AAPL</v>
      </c>
      <c r="F1299" s="1082">
        <v>10500</v>
      </c>
      <c r="G1299" s="1082">
        <v>10500</v>
      </c>
      <c r="H1299" s="1082">
        <v>10500</v>
      </c>
      <c r="I1299" s="1082">
        <v>10500</v>
      </c>
      <c r="J1299" s="1082">
        <v>10500</v>
      </c>
      <c r="K1299" s="1082">
        <v>10500</v>
      </c>
      <c r="L1299" s="1082">
        <v>10500</v>
      </c>
      <c r="M1299" s="1082">
        <v>10300</v>
      </c>
      <c r="N1299" s="1082">
        <v>10300</v>
      </c>
      <c r="O1299" s="1082">
        <v>10500</v>
      </c>
      <c r="P1299" s="1082">
        <v>10500</v>
      </c>
      <c r="Q1299" s="1082">
        <v>10500</v>
      </c>
      <c r="R1299" s="1082">
        <v>10500</v>
      </c>
      <c r="S1299" s="1082">
        <v>10500</v>
      </c>
      <c r="T1299" s="1082">
        <v>10500</v>
      </c>
      <c r="U1299" s="1082">
        <v>10000</v>
      </c>
      <c r="V1299" s="1082">
        <v>10000</v>
      </c>
      <c r="W1299" s="1082">
        <v>10000</v>
      </c>
      <c r="X1299" s="1082">
        <v>10000</v>
      </c>
      <c r="Y1299" s="1082">
        <v>10000</v>
      </c>
      <c r="Z1299" s="1082">
        <f ca="1">Calc!G3</f>
        <v>10000</v>
      </c>
      <c r="AB1299" s="320">
        <v>-2346.0450000000037</v>
      </c>
      <c r="AC1299" s="320">
        <v>-2740.5150000000021</v>
      </c>
      <c r="AD1299" s="320">
        <v>-2986.5149999999999</v>
      </c>
      <c r="AE1299" s="320">
        <v>-3490.5150000000021</v>
      </c>
      <c r="AF1299" s="320">
        <v>-3757.5149999999981</v>
      </c>
      <c r="AG1299" s="320">
        <v>-3295.515000000009</v>
      </c>
      <c r="AH1299" s="320">
        <v>-3769.515000000004</v>
      </c>
      <c r="AI1299" s="320">
        <v>-83.999999999997499</v>
      </c>
      <c r="AJ1299" s="320">
        <v>-83.999999999997499</v>
      </c>
      <c r="AK1299" s="320">
        <v>1192.0000000000016</v>
      </c>
      <c r="AL1299" s="320">
        <v>1169.9999999999989</v>
      </c>
      <c r="AM1299" s="320">
        <v>843.99999999999977</v>
      </c>
      <c r="AN1299" s="320">
        <v>1234.0000000000032</v>
      </c>
      <c r="AO1299" s="320">
        <v>266.0000000000025</v>
      </c>
      <c r="AP1299" s="320">
        <v>-1724.0000000000009</v>
      </c>
      <c r="AQ1299" s="320">
        <v>405.00000000000114</v>
      </c>
      <c r="AR1299" s="320">
        <v>2564.9999999999977</v>
      </c>
      <c r="AS1299" s="320">
        <v>2564.9999999999977</v>
      </c>
      <c r="AT1299" s="320">
        <v>2000</v>
      </c>
      <c r="AU1299" s="320">
        <v>379.99999999999545</v>
      </c>
      <c r="AV1299" s="320">
        <f ca="1">Calc!AH3</f>
        <v>379.99999999999545</v>
      </c>
      <c r="AX1299" s="88" t="str">
        <f t="shared" ref="AX1299:AX1362" ca="1" si="107">A1299</f>
        <v>AAPL</v>
      </c>
    </row>
    <row r="1300" spans="1:50" ht="23" customHeight="1">
      <c r="A1300" s="88" t="str">
        <f t="shared" ca="1" si="106"/>
        <v>ADEA</v>
      </c>
      <c r="F1300" s="1082">
        <v>5000</v>
      </c>
      <c r="G1300" s="1082">
        <v>5000</v>
      </c>
      <c r="H1300" s="1082">
        <v>5000</v>
      </c>
      <c r="I1300" s="1082">
        <v>5000</v>
      </c>
      <c r="J1300" s="1082">
        <v>5000</v>
      </c>
      <c r="K1300" s="1082">
        <v>5000</v>
      </c>
      <c r="L1300" s="1082">
        <v>5000</v>
      </c>
      <c r="M1300" s="1082">
        <v>5000</v>
      </c>
      <c r="N1300" s="1082">
        <v>5000</v>
      </c>
      <c r="O1300" s="1082">
        <v>5000</v>
      </c>
      <c r="P1300" s="1082">
        <v>5000</v>
      </c>
      <c r="Q1300" s="1082">
        <v>5000</v>
      </c>
      <c r="R1300" s="1082">
        <v>5000</v>
      </c>
      <c r="S1300" s="1082">
        <v>5000</v>
      </c>
      <c r="T1300" s="1082">
        <v>5000</v>
      </c>
      <c r="U1300" s="1082">
        <v>5000</v>
      </c>
      <c r="V1300" s="1082">
        <v>5000</v>
      </c>
      <c r="W1300" s="1082">
        <v>5000</v>
      </c>
      <c r="X1300" s="1082">
        <v>5000</v>
      </c>
      <c r="Y1300" s="1082">
        <v>5000</v>
      </c>
      <c r="Z1300" s="1082">
        <f ca="1">Calc!G4</f>
        <v>5000</v>
      </c>
      <c r="AB1300" s="320">
        <v>210.00000000000085</v>
      </c>
      <c r="AC1300" s="320">
        <v>59.999999999998721</v>
      </c>
      <c r="AD1300" s="320">
        <v>-230.00000000000043</v>
      </c>
      <c r="AE1300" s="320">
        <v>-460.00000000000085</v>
      </c>
      <c r="AF1300" s="320">
        <v>-429.99999999999972</v>
      </c>
      <c r="AG1300" s="320">
        <v>-230.00000000000043</v>
      </c>
      <c r="AH1300" s="320">
        <v>320.00000000000028</v>
      </c>
      <c r="AI1300" s="320">
        <v>439.99999999999773</v>
      </c>
      <c r="AJ1300" s="320">
        <v>439.99999999999773</v>
      </c>
      <c r="AK1300" s="320">
        <v>1109.9999999999995</v>
      </c>
      <c r="AL1300" s="320">
        <v>280.00000000000114</v>
      </c>
      <c r="AM1300" s="320">
        <v>-320.00000000000028</v>
      </c>
      <c r="AN1300" s="320">
        <v>250</v>
      </c>
      <c r="AO1300" s="320">
        <v>300.00000000000068</v>
      </c>
      <c r="AP1300" s="320">
        <v>70.000000000000284</v>
      </c>
      <c r="AQ1300" s="320">
        <v>-150.00000000000213</v>
      </c>
      <c r="AR1300" s="320">
        <v>39.999999999999147</v>
      </c>
      <c r="AS1300" s="320">
        <v>39.999999999999147</v>
      </c>
      <c r="AT1300" s="320">
        <v>89.999999999999858</v>
      </c>
      <c r="AU1300" s="320">
        <v>-240.00000000000199</v>
      </c>
      <c r="AV1300" s="320">
        <f ca="1">Calc!AH4</f>
        <v>-240.00000000000199</v>
      </c>
      <c r="AX1300" s="88" t="str">
        <f t="shared" ca="1" si="107"/>
        <v>ADEA</v>
      </c>
    </row>
    <row r="1301" spans="1:50" ht="23" customHeight="1">
      <c r="A1301" s="88" t="str">
        <f t="shared" ca="1" si="106"/>
        <v>AET</v>
      </c>
      <c r="F1301" s="1082">
        <v>780000</v>
      </c>
      <c r="G1301" s="1082">
        <v>780000</v>
      </c>
      <c r="H1301" s="1082">
        <v>780000</v>
      </c>
      <c r="I1301" s="1082">
        <v>780000</v>
      </c>
      <c r="J1301" s="1082">
        <v>780000</v>
      </c>
      <c r="K1301" s="1082">
        <v>780000</v>
      </c>
      <c r="L1301" s="1082">
        <v>780000</v>
      </c>
      <c r="M1301" s="1082">
        <v>800000</v>
      </c>
      <c r="N1301" s="1082">
        <v>800000</v>
      </c>
      <c r="O1301" s="1082">
        <v>820000</v>
      </c>
      <c r="P1301" s="1082">
        <v>820000</v>
      </c>
      <c r="Q1301" s="1082">
        <v>820000</v>
      </c>
      <c r="R1301" s="1082">
        <v>820000</v>
      </c>
      <c r="S1301" s="1082">
        <v>820000</v>
      </c>
      <c r="T1301" s="1082">
        <v>820000</v>
      </c>
      <c r="U1301" s="1082">
        <v>820000</v>
      </c>
      <c r="V1301" s="1082">
        <v>820000</v>
      </c>
      <c r="W1301" s="1082">
        <v>820000</v>
      </c>
      <c r="X1301" s="1082">
        <v>820000</v>
      </c>
      <c r="Y1301" s="1082">
        <v>820000</v>
      </c>
      <c r="Z1301" s="1082">
        <f ca="1">Calc!G5</f>
        <v>820000</v>
      </c>
      <c r="AB1301" s="320">
        <v>581.99999999999932</v>
      </c>
      <c r="AC1301" s="320">
        <v>561.99999999999909</v>
      </c>
      <c r="AD1301" s="320">
        <v>961.99999999999898</v>
      </c>
      <c r="AE1301" s="320">
        <v>842.00000000000011</v>
      </c>
      <c r="AF1301" s="320">
        <v>1042.0000000000002</v>
      </c>
      <c r="AG1301" s="320">
        <v>1142.0000000000002</v>
      </c>
      <c r="AH1301" s="320">
        <v>1121.9999999999998</v>
      </c>
      <c r="AI1301" s="320">
        <v>1281.9999999999993</v>
      </c>
      <c r="AJ1301" s="320">
        <v>1366.799999999999</v>
      </c>
      <c r="AK1301" s="320">
        <v>1742.0000000000002</v>
      </c>
      <c r="AL1301" s="320">
        <v>1822</v>
      </c>
      <c r="AM1301" s="320">
        <v>1981.9999999999995</v>
      </c>
      <c r="AN1301" s="320">
        <v>2201.9999999999995</v>
      </c>
      <c r="AO1301" s="320">
        <v>2001.9999999999998</v>
      </c>
      <c r="AP1301" s="320">
        <v>1942.0000000000002</v>
      </c>
      <c r="AQ1301" s="320">
        <v>1801.9999999999998</v>
      </c>
      <c r="AR1301" s="320">
        <v>1722</v>
      </c>
      <c r="AS1301" s="320">
        <v>1722</v>
      </c>
      <c r="AT1301" s="320">
        <v>1522</v>
      </c>
      <c r="AU1301" s="320">
        <v>1242.0000000000002</v>
      </c>
      <c r="AV1301" s="320">
        <f ca="1">Calc!AH5</f>
        <v>1242.0000000000002</v>
      </c>
      <c r="AX1301" s="88" t="str">
        <f t="shared" ca="1" si="107"/>
        <v>AET</v>
      </c>
    </row>
    <row r="1302" spans="1:50" ht="23" customHeight="1">
      <c r="A1302" s="88" t="str">
        <f t="shared" ca="1" si="106"/>
        <v>AMZN</v>
      </c>
      <c r="F1302" s="1082">
        <v>12000</v>
      </c>
      <c r="G1302" s="1082">
        <v>12000</v>
      </c>
      <c r="H1302" s="1082">
        <v>12000</v>
      </c>
      <c r="I1302" s="1082">
        <v>12000</v>
      </c>
      <c r="J1302" s="1082">
        <v>12000</v>
      </c>
      <c r="K1302" s="1082">
        <v>12000</v>
      </c>
      <c r="L1302" s="1082">
        <v>12000</v>
      </c>
      <c r="M1302" s="1082">
        <v>12000</v>
      </c>
      <c r="N1302" s="1082">
        <v>12000</v>
      </c>
      <c r="O1302" s="1082">
        <v>12000</v>
      </c>
      <c r="P1302" s="1082">
        <v>12000</v>
      </c>
      <c r="Q1302" s="1082">
        <v>12000</v>
      </c>
      <c r="R1302" s="1082">
        <v>12000</v>
      </c>
      <c r="S1302" s="1082">
        <v>12000</v>
      </c>
      <c r="T1302" s="1082">
        <v>12000</v>
      </c>
      <c r="U1302" s="1082">
        <v>12000</v>
      </c>
      <c r="V1302" s="1082">
        <v>12000</v>
      </c>
      <c r="W1302" s="1082">
        <v>12000</v>
      </c>
      <c r="X1302" s="1082">
        <v>12000</v>
      </c>
      <c r="Y1302" s="1082">
        <v>12000</v>
      </c>
      <c r="Z1302" s="1082">
        <f ca="1">Calc!G6</f>
        <v>12000</v>
      </c>
      <c r="AB1302" s="320">
        <v>96.999999999997044</v>
      </c>
      <c r="AC1302" s="320">
        <v>388.99999999999864</v>
      </c>
      <c r="AD1302" s="320">
        <v>176.99999999999818</v>
      </c>
      <c r="AE1302" s="320">
        <v>-179.00000000000205</v>
      </c>
      <c r="AF1302" s="320">
        <v>400.99999999999909</v>
      </c>
      <c r="AG1302" s="320">
        <v>-53.000000000002956</v>
      </c>
      <c r="AH1302" s="320">
        <v>-741.0000000000025</v>
      </c>
      <c r="AI1302" s="320">
        <v>-1245.0000000000045</v>
      </c>
      <c r="AJ1302" s="320">
        <v>-1245.0000000000045</v>
      </c>
      <c r="AK1302" s="320">
        <v>288.99999999999864</v>
      </c>
      <c r="AL1302" s="320">
        <v>1025</v>
      </c>
      <c r="AM1302" s="320">
        <v>1270.999999999998</v>
      </c>
      <c r="AN1302" s="320">
        <v>1408.9999999999975</v>
      </c>
      <c r="AO1302" s="320">
        <v>1694.9999999999989</v>
      </c>
      <c r="AP1302" s="320">
        <v>1006.9999999999993</v>
      </c>
      <c r="AQ1302" s="320">
        <v>-103.00000000000296</v>
      </c>
      <c r="AR1302" s="320">
        <v>712.99999999999955</v>
      </c>
      <c r="AS1302" s="320">
        <v>712.99999999999955</v>
      </c>
      <c r="AT1302" s="320">
        <v>84.999999999996589</v>
      </c>
      <c r="AU1302" s="320">
        <v>-539.00000000000432</v>
      </c>
      <c r="AV1302" s="320">
        <f ca="1">Calc!AH6</f>
        <v>-539.00000000000432</v>
      </c>
      <c r="AX1302" s="88" t="str">
        <f t="shared" ca="1" si="107"/>
        <v>AMZN</v>
      </c>
    </row>
    <row r="1303" spans="1:50" ht="23" customHeight="1">
      <c r="A1303" s="88" t="str">
        <f t="shared" ca="1" si="106"/>
        <v>ALDNE</v>
      </c>
      <c r="F1303" s="1082">
        <v>2530000</v>
      </c>
      <c r="G1303" s="1082">
        <v>2530000</v>
      </c>
      <c r="H1303" s="1082">
        <v>2530000</v>
      </c>
      <c r="I1303" s="1082">
        <v>2530000</v>
      </c>
      <c r="J1303" s="1082">
        <v>2530000</v>
      </c>
      <c r="K1303" s="1082">
        <v>2530000</v>
      </c>
      <c r="L1303" s="1082">
        <v>2530000</v>
      </c>
      <c r="M1303" s="1082">
        <v>2530000</v>
      </c>
      <c r="N1303" s="1082">
        <v>2530000</v>
      </c>
      <c r="O1303" s="1082">
        <v>2530000</v>
      </c>
      <c r="P1303" s="1082">
        <v>2530000</v>
      </c>
      <c r="Q1303" s="1082">
        <v>2530000</v>
      </c>
      <c r="R1303" s="1082">
        <v>2530000</v>
      </c>
      <c r="S1303" s="1082">
        <v>2530000</v>
      </c>
      <c r="T1303" s="1082">
        <v>2530000</v>
      </c>
      <c r="U1303" s="1082">
        <v>2530000</v>
      </c>
      <c r="V1303" s="1082">
        <v>2530000</v>
      </c>
      <c r="W1303" s="1082">
        <v>2530000</v>
      </c>
      <c r="X1303" s="1082">
        <v>2530000</v>
      </c>
      <c r="Y1303" s="1082">
        <v>2530000</v>
      </c>
      <c r="Z1303" s="1082">
        <f ca="1">Calc!G7</f>
        <v>2530000</v>
      </c>
      <c r="AB1303" s="320">
        <v>0</v>
      </c>
      <c r="AC1303" s="320">
        <v>0</v>
      </c>
      <c r="AD1303" s="320">
        <v>0</v>
      </c>
      <c r="AE1303" s="320">
        <v>0</v>
      </c>
      <c r="AF1303" s="320">
        <v>0</v>
      </c>
      <c r="AG1303" s="320">
        <v>0</v>
      </c>
      <c r="AH1303" s="320">
        <v>0</v>
      </c>
      <c r="AI1303" s="320">
        <v>0</v>
      </c>
      <c r="AJ1303" s="320">
        <v>0</v>
      </c>
      <c r="AK1303" s="320">
        <v>0</v>
      </c>
      <c r="AL1303" s="320">
        <v>0</v>
      </c>
      <c r="AM1303" s="320">
        <v>0</v>
      </c>
      <c r="AN1303" s="320">
        <v>0</v>
      </c>
      <c r="AO1303" s="320">
        <v>0</v>
      </c>
      <c r="AP1303" s="320">
        <v>0</v>
      </c>
      <c r="AQ1303" s="320">
        <v>0</v>
      </c>
      <c r="AR1303" s="320">
        <v>0</v>
      </c>
      <c r="AS1303" s="320">
        <v>0</v>
      </c>
      <c r="AT1303" s="320">
        <v>0</v>
      </c>
      <c r="AU1303" s="320">
        <v>0</v>
      </c>
      <c r="AV1303" s="320">
        <f ca="1">Calc!AH7</f>
        <v>0</v>
      </c>
      <c r="AX1303" s="88" t="str">
        <f t="shared" ca="1" si="107"/>
        <v>ALDNE</v>
      </c>
    </row>
    <row r="1304" spans="1:50" ht="23" customHeight="1">
      <c r="A1304" s="88" t="str">
        <f t="shared" ca="1" si="106"/>
        <v>ASML</v>
      </c>
      <c r="F1304" s="1082">
        <v>3800</v>
      </c>
      <c r="G1304" s="1082">
        <v>4100</v>
      </c>
      <c r="H1304" s="1082">
        <v>4100</v>
      </c>
      <c r="I1304" s="1082">
        <v>3900</v>
      </c>
      <c r="J1304" s="1082">
        <v>3900</v>
      </c>
      <c r="K1304" s="1082">
        <v>3800</v>
      </c>
      <c r="L1304" s="1082">
        <v>3800</v>
      </c>
      <c r="M1304" s="1082">
        <v>3800</v>
      </c>
      <c r="N1304" s="1082">
        <v>3800</v>
      </c>
      <c r="O1304" s="1082">
        <v>4000</v>
      </c>
      <c r="P1304" s="1082">
        <v>4000</v>
      </c>
      <c r="Q1304" s="1082">
        <v>4000</v>
      </c>
      <c r="R1304" s="1082">
        <v>3900</v>
      </c>
      <c r="S1304" s="1082">
        <v>3800</v>
      </c>
      <c r="T1304" s="1082">
        <v>3800</v>
      </c>
      <c r="U1304" s="1082">
        <v>3800</v>
      </c>
      <c r="V1304" s="1082">
        <v>3800</v>
      </c>
      <c r="W1304" s="1082">
        <v>3800</v>
      </c>
      <c r="X1304" s="1082">
        <v>3800</v>
      </c>
      <c r="Y1304" s="1082">
        <v>3700</v>
      </c>
      <c r="Z1304" s="1082">
        <f ca="1">Calc!G8</f>
        <v>3700</v>
      </c>
      <c r="AB1304" s="320">
        <v>810.00000000001364</v>
      </c>
      <c r="AC1304" s="320">
        <v>-770.00000000000455</v>
      </c>
      <c r="AD1304" s="320">
        <v>-3429.9999999999955</v>
      </c>
      <c r="AE1304" s="320">
        <v>600</v>
      </c>
      <c r="AF1304" s="320">
        <v>100</v>
      </c>
      <c r="AG1304" s="320">
        <v>2640.0000000000091</v>
      </c>
      <c r="AH1304" s="320">
        <v>4940.0000000000091</v>
      </c>
      <c r="AI1304" s="320">
        <v>5140.0000000000091</v>
      </c>
      <c r="AJ1304" s="320">
        <v>5890.0000000000091</v>
      </c>
      <c r="AK1304" s="320">
        <v>5720.0000000000045</v>
      </c>
      <c r="AL1304" s="320">
        <v>5460.0000000000018</v>
      </c>
      <c r="AM1304" s="320">
        <v>2820.0000000000045</v>
      </c>
      <c r="AN1304" s="320">
        <v>1580.0000000000068</v>
      </c>
      <c r="AO1304" s="320">
        <v>-1309.9000000000046</v>
      </c>
      <c r="AP1304" s="320">
        <v>-3639.9</v>
      </c>
      <c r="AQ1304" s="320">
        <v>-2719.8999999999955</v>
      </c>
      <c r="AR1304" s="320">
        <v>-749.90000000000236</v>
      </c>
      <c r="AS1304" s="320">
        <v>-749.90000000000236</v>
      </c>
      <c r="AT1304" s="320">
        <v>-2509.9000000000046</v>
      </c>
      <c r="AU1304" s="320">
        <v>35.000000000002274</v>
      </c>
      <c r="AV1304" s="320">
        <f ca="1">Calc!AH8</f>
        <v>35.000000000002274</v>
      </c>
      <c r="AX1304" s="88" t="str">
        <f t="shared" ca="1" si="107"/>
        <v>ASML</v>
      </c>
    </row>
    <row r="1305" spans="1:50" ht="23" hidden="1" customHeight="1">
      <c r="A1305" s="88" t="str">
        <f t="shared" ca="1" si="106"/>
        <v>AZN</v>
      </c>
      <c r="F1305" s="1082">
        <v>1000</v>
      </c>
      <c r="G1305" s="1082">
        <v>350</v>
      </c>
      <c r="H1305" s="1082">
        <v>350</v>
      </c>
      <c r="I1305" s="1082">
        <v>350</v>
      </c>
      <c r="J1305" s="1082">
        <v>350</v>
      </c>
      <c r="K1305" s="1082">
        <v>350</v>
      </c>
      <c r="L1305" s="1082">
        <v>350</v>
      </c>
      <c r="M1305" s="1082">
        <v>190</v>
      </c>
      <c r="N1305" s="1082">
        <v>190</v>
      </c>
      <c r="O1305" s="1082">
        <v>400</v>
      </c>
      <c r="P1305" s="1082">
        <v>400</v>
      </c>
      <c r="Q1305" s="1082">
        <v>400</v>
      </c>
      <c r="R1305" s="1082">
        <v>400</v>
      </c>
      <c r="S1305" s="1082">
        <v>400</v>
      </c>
      <c r="T1305" s="1082">
        <v>400</v>
      </c>
      <c r="U1305" s="1082">
        <v>400</v>
      </c>
      <c r="V1305" s="1082">
        <v>400</v>
      </c>
      <c r="W1305" s="1082">
        <v>400</v>
      </c>
      <c r="X1305" s="1082">
        <v>400</v>
      </c>
      <c r="Y1305" s="1082">
        <v>400</v>
      </c>
      <c r="Z1305" s="1082">
        <f ca="1">Calc!G9</f>
        <v>500</v>
      </c>
      <c r="AB1305" s="320">
        <v>11100.000000000022</v>
      </c>
      <c r="AC1305" s="320">
        <v>-14742.000000000007</v>
      </c>
      <c r="AD1305" s="320">
        <v>-15438</v>
      </c>
      <c r="AE1305" s="320">
        <v>-16396.000000000004</v>
      </c>
      <c r="AF1305" s="320">
        <v>-16434.000000000004</v>
      </c>
      <c r="AG1305" s="320">
        <v>-16042.000000000007</v>
      </c>
      <c r="AH1305" s="320">
        <v>-17860.000000000004</v>
      </c>
      <c r="AI1305" s="320">
        <v>171.19999999999891</v>
      </c>
      <c r="AJ1305" s="320">
        <v>171.19999999999891</v>
      </c>
      <c r="AK1305" s="320">
        <v>-1697.6000000000022</v>
      </c>
      <c r="AL1305" s="320">
        <v>313.59999999999673</v>
      </c>
      <c r="AM1305" s="320">
        <v>-752.00000000000728</v>
      </c>
      <c r="AN1305" s="320">
        <v>-1289.6000000000004</v>
      </c>
      <c r="AO1305" s="320">
        <v>-518.40000000000146</v>
      </c>
      <c r="AP1305" s="320">
        <v>-504.00000000000546</v>
      </c>
      <c r="AQ1305" s="320">
        <v>548.799999999992</v>
      </c>
      <c r="AR1305" s="320">
        <v>926.39999999999418</v>
      </c>
      <c r="AS1305" s="320">
        <v>926.39999999999418</v>
      </c>
      <c r="AT1305" s="320">
        <v>287.99999999999272</v>
      </c>
      <c r="AU1305" s="320">
        <v>-1286.4000000000033</v>
      </c>
      <c r="AV1305" s="320">
        <f ca="1">Calc!AH9</f>
        <v>1464.9999999999964</v>
      </c>
      <c r="AX1305" s="88" t="str">
        <f t="shared" ca="1" si="107"/>
        <v>AZN</v>
      </c>
    </row>
    <row r="1306" spans="1:50" ht="23" hidden="1" customHeight="1">
      <c r="A1306" s="88" t="str">
        <f t="shared" ca="1" si="106"/>
        <v>BLDP</v>
      </c>
      <c r="F1306" s="1082">
        <v>26000</v>
      </c>
      <c r="G1306" s="1082">
        <v>1000</v>
      </c>
      <c r="H1306" s="1082">
        <v>1000</v>
      </c>
      <c r="I1306" s="1082">
        <v>1000</v>
      </c>
      <c r="J1306" s="1082">
        <v>1000</v>
      </c>
      <c r="K1306" s="1082">
        <v>1000</v>
      </c>
      <c r="L1306" s="1082">
        <v>1000</v>
      </c>
      <c r="M1306" s="1082">
        <v>500</v>
      </c>
      <c r="N1306" s="1082">
        <v>500</v>
      </c>
      <c r="O1306" s="1082">
        <v>500</v>
      </c>
      <c r="P1306" s="1082">
        <v>500</v>
      </c>
      <c r="Q1306" s="1082">
        <v>500</v>
      </c>
      <c r="R1306" s="1082">
        <v>500</v>
      </c>
      <c r="S1306" s="1082">
        <v>500</v>
      </c>
      <c r="T1306" s="1082">
        <v>500</v>
      </c>
      <c r="U1306" s="1082">
        <v>500</v>
      </c>
      <c r="V1306" s="1082">
        <v>500</v>
      </c>
      <c r="W1306" s="1082">
        <v>500</v>
      </c>
      <c r="X1306" s="1082">
        <v>500</v>
      </c>
      <c r="Y1306" s="1082">
        <v>500</v>
      </c>
      <c r="Z1306" s="1082">
        <f ca="1">Calc!G10</f>
        <v>20000</v>
      </c>
      <c r="AB1306" s="320">
        <v>-7448.9999999999991</v>
      </c>
      <c r="AC1306" s="320">
        <v>5580.0000000000127</v>
      </c>
      <c r="AD1306" s="320">
        <v>-9699.9999999999891</v>
      </c>
      <c r="AE1306" s="320">
        <v>-8280.0000000000018</v>
      </c>
      <c r="AF1306" s="320">
        <v>-11599.999999999995</v>
      </c>
      <c r="AG1306" s="320">
        <v>-12719.999999999998</v>
      </c>
      <c r="AH1306" s="320">
        <v>-11739.99999999998</v>
      </c>
      <c r="AI1306" s="320">
        <v>589.99999999999636</v>
      </c>
      <c r="AJ1306" s="320">
        <v>589.99999999999636</v>
      </c>
      <c r="AK1306" s="320">
        <v>854.99999999999682</v>
      </c>
      <c r="AL1306" s="320">
        <v>549.99999999999716</v>
      </c>
      <c r="AM1306" s="320">
        <v>637.50000000000284</v>
      </c>
      <c r="AN1306" s="320">
        <v>1195.0000000000002</v>
      </c>
      <c r="AO1306" s="320">
        <v>765.00000000000057</v>
      </c>
      <c r="AP1306" s="320">
        <v>1174.9999999999973</v>
      </c>
      <c r="AQ1306" s="320">
        <v>1500</v>
      </c>
      <c r="AR1306" s="320">
        <v>1394.9999999999959</v>
      </c>
      <c r="AS1306" s="320">
        <v>1394.9999999999959</v>
      </c>
      <c r="AT1306" s="320">
        <v>1409.9999999999966</v>
      </c>
      <c r="AU1306" s="320">
        <v>1464.9999999999964</v>
      </c>
      <c r="AV1306" s="320">
        <f ca="1">Calc!AH10</f>
        <v>-539.40000000000055</v>
      </c>
      <c r="AX1306" s="88" t="str">
        <f t="shared" ca="1" si="107"/>
        <v>BLDP</v>
      </c>
    </row>
    <row r="1307" spans="1:50" ht="23" hidden="1" customHeight="1">
      <c r="A1307" s="88" t="str">
        <f t="shared" ca="1" si="106"/>
        <v>BMRA</v>
      </c>
      <c r="F1307" s="1082">
        <v>12500</v>
      </c>
      <c r="G1307" s="1082">
        <v>26000</v>
      </c>
      <c r="H1307" s="1082">
        <v>26000</v>
      </c>
      <c r="I1307" s="1082">
        <v>26000</v>
      </c>
      <c r="J1307" s="1082">
        <v>26000</v>
      </c>
      <c r="K1307" s="1082">
        <v>26000</v>
      </c>
      <c r="L1307" s="1082">
        <v>26000</v>
      </c>
      <c r="M1307" s="1082">
        <v>26000</v>
      </c>
      <c r="N1307" s="1082">
        <v>26000</v>
      </c>
      <c r="O1307" s="1082">
        <v>20000</v>
      </c>
      <c r="P1307" s="1082">
        <v>20000</v>
      </c>
      <c r="Q1307" s="1082">
        <v>20000</v>
      </c>
      <c r="R1307" s="1082">
        <v>20000</v>
      </c>
      <c r="S1307" s="1082">
        <v>20000</v>
      </c>
      <c r="T1307" s="1082">
        <v>20000</v>
      </c>
      <c r="U1307" s="1082">
        <v>20000</v>
      </c>
      <c r="V1307" s="1082">
        <v>20000</v>
      </c>
      <c r="W1307" s="1082">
        <v>20000</v>
      </c>
      <c r="X1307" s="1082">
        <v>20000</v>
      </c>
      <c r="Y1307" s="1082">
        <v>20000</v>
      </c>
      <c r="Z1307" s="1082">
        <f ca="1">Calc!G11</f>
        <v>12500</v>
      </c>
      <c r="AB1307" s="320">
        <v>0</v>
      </c>
      <c r="AC1307" s="320">
        <v>-7600.0000000000027</v>
      </c>
      <c r="AD1307" s="320">
        <v>-10000</v>
      </c>
      <c r="AE1307" s="320">
        <v>-9100.0000000000018</v>
      </c>
      <c r="AF1307" s="320">
        <v>-15699.999999999998</v>
      </c>
      <c r="AG1307" s="320">
        <v>-16700</v>
      </c>
      <c r="AH1307" s="320">
        <v>-16500</v>
      </c>
      <c r="AI1307" s="320">
        <v>-16299.999999999998</v>
      </c>
      <c r="AJ1307" s="320">
        <v>-16299.999999999998</v>
      </c>
      <c r="AK1307" s="320">
        <v>-839.40000000000214</v>
      </c>
      <c r="AL1307" s="320">
        <v>-3779.4000000000005</v>
      </c>
      <c r="AM1307" s="320">
        <v>-2549.4000000000005</v>
      </c>
      <c r="AN1307" s="320">
        <v>-1919.4000000000005</v>
      </c>
      <c r="AO1307" s="320">
        <v>-1679.4000000000003</v>
      </c>
      <c r="AP1307" s="320">
        <v>-1739.4000000000017</v>
      </c>
      <c r="AQ1307" s="320">
        <v>120.59999999999872</v>
      </c>
      <c r="AR1307" s="320">
        <v>420.60000000000031</v>
      </c>
      <c r="AS1307" s="320">
        <v>420.60000000000031</v>
      </c>
      <c r="AT1307" s="320">
        <v>420.60000000000031</v>
      </c>
      <c r="AU1307" s="320">
        <v>-539.40000000000055</v>
      </c>
      <c r="AV1307" s="320">
        <f ca="1">Calc!AH11</f>
        <v>0</v>
      </c>
      <c r="AX1307" s="88" t="str">
        <f t="shared" ca="1" si="107"/>
        <v>BMRA</v>
      </c>
    </row>
    <row r="1308" spans="1:50" ht="23" hidden="1" customHeight="1">
      <c r="A1308" s="88" t="str">
        <f t="shared" ca="1" si="106"/>
        <v>C</v>
      </c>
      <c r="F1308" s="1082">
        <v>5</v>
      </c>
      <c r="G1308" s="1082">
        <v>12500</v>
      </c>
      <c r="H1308" s="1082">
        <v>12500</v>
      </c>
      <c r="I1308" s="1082">
        <v>12500</v>
      </c>
      <c r="J1308" s="1082">
        <v>12500</v>
      </c>
      <c r="K1308" s="1082">
        <v>12500</v>
      </c>
      <c r="L1308" s="1082">
        <v>12500</v>
      </c>
      <c r="M1308" s="1082">
        <v>12500</v>
      </c>
      <c r="N1308" s="1082">
        <v>12500</v>
      </c>
      <c r="O1308" s="1082">
        <v>12500</v>
      </c>
      <c r="P1308" s="1082">
        <v>12500</v>
      </c>
      <c r="Q1308" s="1082">
        <v>12500</v>
      </c>
      <c r="R1308" s="1082">
        <v>12500</v>
      </c>
      <c r="S1308" s="1082">
        <v>12500</v>
      </c>
      <c r="T1308" s="1082">
        <v>12500</v>
      </c>
      <c r="U1308" s="1082">
        <v>12500</v>
      </c>
      <c r="V1308" s="1082">
        <v>12500</v>
      </c>
      <c r="W1308" s="1082">
        <v>12500</v>
      </c>
      <c r="X1308" s="1082">
        <v>12500</v>
      </c>
      <c r="Y1308" s="1082">
        <v>12500</v>
      </c>
      <c r="Z1308" s="1082">
        <f ca="1">Calc!G12</f>
        <v>5</v>
      </c>
      <c r="AB1308" s="320">
        <v>-547.67500000000007</v>
      </c>
      <c r="AC1308" s="320">
        <v>0</v>
      </c>
      <c r="AD1308" s="320">
        <v>0</v>
      </c>
      <c r="AE1308" s="320">
        <v>0</v>
      </c>
      <c r="AF1308" s="320">
        <v>0</v>
      </c>
      <c r="AG1308" s="320">
        <v>0</v>
      </c>
      <c r="AH1308" s="320">
        <v>0</v>
      </c>
      <c r="AI1308" s="320">
        <v>0</v>
      </c>
      <c r="AJ1308" s="320">
        <v>0</v>
      </c>
      <c r="AK1308" s="320">
        <v>0</v>
      </c>
      <c r="AL1308" s="320">
        <v>0</v>
      </c>
      <c r="AM1308" s="320">
        <v>0</v>
      </c>
      <c r="AN1308" s="320">
        <v>0</v>
      </c>
      <c r="AO1308" s="320">
        <v>0</v>
      </c>
      <c r="AP1308" s="320">
        <v>0</v>
      </c>
      <c r="AQ1308" s="320">
        <v>0</v>
      </c>
      <c r="AR1308" s="320">
        <v>0</v>
      </c>
      <c r="AS1308" s="320">
        <v>0</v>
      </c>
      <c r="AT1308" s="320">
        <v>0</v>
      </c>
      <c r="AU1308" s="320">
        <v>0</v>
      </c>
      <c r="AV1308" s="320">
        <f ca="1">Calc!AH12</f>
        <v>-133.47500000000011</v>
      </c>
      <c r="AX1308" s="88" t="str">
        <f t="shared" ca="1" si="107"/>
        <v>C</v>
      </c>
    </row>
    <row r="1309" spans="1:50" ht="23" hidden="1" customHeight="1">
      <c r="A1309" s="88" t="str">
        <f t="shared" ca="1" si="106"/>
        <v>CSCO</v>
      </c>
      <c r="F1309" s="1082">
        <v>2000</v>
      </c>
      <c r="G1309" s="1082">
        <v>5</v>
      </c>
      <c r="H1309" s="1082">
        <v>5</v>
      </c>
      <c r="I1309" s="1082">
        <v>5</v>
      </c>
      <c r="J1309" s="1082">
        <v>5</v>
      </c>
      <c r="K1309" s="1082">
        <v>5</v>
      </c>
      <c r="L1309" s="1082">
        <v>5</v>
      </c>
      <c r="M1309" s="1082">
        <v>5</v>
      </c>
      <c r="N1309" s="1082">
        <v>5</v>
      </c>
      <c r="O1309" s="1082">
        <v>5</v>
      </c>
      <c r="P1309" s="1082">
        <v>5</v>
      </c>
      <c r="Q1309" s="1082">
        <v>5</v>
      </c>
      <c r="R1309" s="1082">
        <v>5</v>
      </c>
      <c r="S1309" s="1082">
        <v>5</v>
      </c>
      <c r="T1309" s="1082">
        <v>5</v>
      </c>
      <c r="U1309" s="1082">
        <v>5</v>
      </c>
      <c r="V1309" s="1082">
        <v>5</v>
      </c>
      <c r="W1309" s="1082">
        <v>5</v>
      </c>
      <c r="X1309" s="1082">
        <v>5</v>
      </c>
      <c r="Y1309" s="1082">
        <v>5</v>
      </c>
      <c r="Z1309" s="1082">
        <f ca="1">Calc!G13</f>
        <v>1000</v>
      </c>
      <c r="AB1309" s="320">
        <v>794.99999999998749</v>
      </c>
      <c r="AC1309" s="320">
        <v>-390.9249999999995</v>
      </c>
      <c r="AD1309" s="320">
        <v>-126.82499999999941</v>
      </c>
      <c r="AE1309" s="320">
        <v>5.225000000000648</v>
      </c>
      <c r="AF1309" s="320">
        <v>-32.300000000000324</v>
      </c>
      <c r="AG1309" s="320">
        <v>-40.37499999999973</v>
      </c>
      <c r="AH1309" s="320">
        <v>62.225000000000108</v>
      </c>
      <c r="AI1309" s="320">
        <v>138.22499999999985</v>
      </c>
      <c r="AJ1309" s="320">
        <v>138.22499999999985</v>
      </c>
      <c r="AK1309" s="320">
        <v>123.02500000000016</v>
      </c>
      <c r="AL1309" s="320">
        <v>-231.32500000000022</v>
      </c>
      <c r="AM1309" s="320">
        <v>-177.83999999999997</v>
      </c>
      <c r="AN1309" s="320">
        <v>104.02499999999989</v>
      </c>
      <c r="AO1309" s="320">
        <v>28.975000000000648</v>
      </c>
      <c r="AP1309" s="320">
        <v>-181.92500000000058</v>
      </c>
      <c r="AQ1309" s="320">
        <v>-83.125</v>
      </c>
      <c r="AR1309" s="320">
        <v>100.22500000000065</v>
      </c>
      <c r="AS1309" s="320">
        <v>100.22500000000065</v>
      </c>
      <c r="AT1309" s="320">
        <v>67.925000000000324</v>
      </c>
      <c r="AU1309" s="320">
        <v>-134.90000000000015</v>
      </c>
      <c r="AV1309" s="320">
        <f ca="1">Calc!AH13</f>
        <v>-1289.999999999992</v>
      </c>
      <c r="AX1309" s="88" t="str">
        <f t="shared" ca="1" si="107"/>
        <v>CSCO</v>
      </c>
    </row>
    <row r="1310" spans="1:50" ht="23" hidden="1" customHeight="1">
      <c r="A1310" s="88" t="str">
        <f t="shared" ca="1" si="106"/>
        <v>CVS</v>
      </c>
      <c r="F1310" s="1082">
        <v>1</v>
      </c>
      <c r="G1310" s="1082">
        <v>2000</v>
      </c>
      <c r="H1310" s="1082">
        <v>2000</v>
      </c>
      <c r="I1310" s="1082">
        <v>2000</v>
      </c>
      <c r="J1310" s="1082">
        <v>2000</v>
      </c>
      <c r="K1310" s="1082">
        <v>2000</v>
      </c>
      <c r="L1310" s="1082">
        <v>2000</v>
      </c>
      <c r="M1310" s="1082">
        <v>2000</v>
      </c>
      <c r="N1310" s="1082">
        <v>2000</v>
      </c>
      <c r="O1310" s="1082">
        <v>2000</v>
      </c>
      <c r="P1310" s="1082">
        <v>2000</v>
      </c>
      <c r="Q1310" s="1082">
        <v>1000</v>
      </c>
      <c r="R1310" s="1082">
        <v>1000</v>
      </c>
      <c r="S1310" s="1082">
        <v>1000</v>
      </c>
      <c r="T1310" s="1082">
        <v>1000</v>
      </c>
      <c r="U1310" s="1082">
        <v>1000</v>
      </c>
      <c r="V1310" s="1082">
        <v>1000</v>
      </c>
      <c r="W1310" s="1082">
        <v>1000</v>
      </c>
      <c r="X1310" s="1082">
        <v>1000</v>
      </c>
      <c r="Y1310" s="1082">
        <v>1000</v>
      </c>
      <c r="Z1310" s="1082">
        <f ca="1">Calc!G14</f>
        <v>1</v>
      </c>
      <c r="AB1310" s="320">
        <v>-227.83499999999802</v>
      </c>
      <c r="AC1310" s="320">
        <v>-100.00000000000853</v>
      </c>
      <c r="AD1310" s="320">
        <v>-430.00000000000682</v>
      </c>
      <c r="AE1310" s="320">
        <v>9.9999999999909051</v>
      </c>
      <c r="AF1310" s="320">
        <v>399.99999999999147</v>
      </c>
      <c r="AG1310" s="320">
        <v>-665.00000000000625</v>
      </c>
      <c r="AH1310" s="320">
        <v>-2010.000000000005</v>
      </c>
      <c r="AI1310" s="320">
        <v>-1640.0000000000005</v>
      </c>
      <c r="AJ1310" s="320">
        <v>-1640.0000000000005</v>
      </c>
      <c r="AK1310" s="320">
        <v>859.99999999999943</v>
      </c>
      <c r="AL1310" s="320">
        <v>-340.00000000000341</v>
      </c>
      <c r="AM1310" s="320">
        <v>-84.999999999993747</v>
      </c>
      <c r="AN1310" s="320">
        <v>250</v>
      </c>
      <c r="AO1310" s="320">
        <v>-789.99999999999204</v>
      </c>
      <c r="AP1310" s="320">
        <v>-1310.0000000000023</v>
      </c>
      <c r="AQ1310" s="320">
        <v>-1379.9999999999955</v>
      </c>
      <c r="AR1310" s="320">
        <v>-1319.9999999999932</v>
      </c>
      <c r="AS1310" s="320">
        <v>-1319.9999999999932</v>
      </c>
      <c r="AT1310" s="320">
        <v>-929.99999999999261</v>
      </c>
      <c r="AU1310" s="320">
        <v>-1289.999999999992</v>
      </c>
      <c r="AV1310" s="320">
        <f ca="1">Calc!AH14</f>
        <v>-1804.005000000001</v>
      </c>
      <c r="AX1310" s="88" t="str">
        <f t="shared" ca="1" si="107"/>
        <v>CVS</v>
      </c>
    </row>
    <row r="1311" spans="1:50" ht="23" hidden="1" customHeight="1">
      <c r="A1311" s="88" t="str">
        <f t="shared" ca="1" si="106"/>
        <v>DDD</v>
      </c>
      <c r="F1311" s="1082">
        <v>100000</v>
      </c>
      <c r="G1311" s="1082">
        <v>1</v>
      </c>
      <c r="H1311" s="1082">
        <v>1</v>
      </c>
      <c r="I1311" s="1082">
        <v>1</v>
      </c>
      <c r="J1311" s="1082">
        <v>1</v>
      </c>
      <c r="K1311" s="1082">
        <v>1</v>
      </c>
      <c r="L1311" s="1082">
        <v>1</v>
      </c>
      <c r="M1311" s="1082">
        <v>1</v>
      </c>
      <c r="N1311" s="1082">
        <v>1</v>
      </c>
      <c r="O1311" s="1082">
        <v>1</v>
      </c>
      <c r="P1311" s="1082">
        <v>1</v>
      </c>
      <c r="Q1311" s="1082">
        <v>1</v>
      </c>
      <c r="R1311" s="1082">
        <v>1</v>
      </c>
      <c r="S1311" s="1082">
        <v>1</v>
      </c>
      <c r="T1311" s="1082">
        <v>1</v>
      </c>
      <c r="U1311" s="1082">
        <v>1</v>
      </c>
      <c r="V1311" s="1082">
        <v>1</v>
      </c>
      <c r="W1311" s="1082">
        <v>1</v>
      </c>
      <c r="X1311" s="1082">
        <v>1</v>
      </c>
      <c r="Y1311" s="1082">
        <v>1</v>
      </c>
      <c r="Z1311" s="1082">
        <f ca="1">Calc!G15</f>
        <v>85000</v>
      </c>
      <c r="AB1311" s="320">
        <v>25049.999999999993</v>
      </c>
      <c r="AC1311" s="320">
        <v>-178.03500000000085</v>
      </c>
      <c r="AD1311" s="320">
        <v>-541.57499999999925</v>
      </c>
      <c r="AE1311" s="320">
        <v>-685.99499999999887</v>
      </c>
      <c r="AF1311" s="320">
        <v>-698.44499999999812</v>
      </c>
      <c r="AG1311" s="320">
        <v>-606.31500000000051</v>
      </c>
      <c r="AH1311" s="320">
        <v>-563.98500000000013</v>
      </c>
      <c r="AI1311" s="320">
        <v>-514.18499999999949</v>
      </c>
      <c r="AJ1311" s="320">
        <v>-511.69499999999817</v>
      </c>
      <c r="AK1311" s="320">
        <v>-937.48500000000013</v>
      </c>
      <c r="AL1311" s="320">
        <v>-1243.755000000001</v>
      </c>
      <c r="AM1311" s="320">
        <v>-1599.8249999999994</v>
      </c>
      <c r="AN1311" s="320">
        <v>-1672.0350000000008</v>
      </c>
      <c r="AO1311" s="320">
        <v>-1950.9149999999984</v>
      </c>
      <c r="AP1311" s="320">
        <v>-1933.4850000000001</v>
      </c>
      <c r="AQ1311" s="320">
        <v>-2075.4149999999986</v>
      </c>
      <c r="AR1311" s="320">
        <v>-1831.3950000000009</v>
      </c>
      <c r="AS1311" s="320">
        <v>-1831.3950000000009</v>
      </c>
      <c r="AT1311" s="320">
        <v>-1589.8649999999977</v>
      </c>
      <c r="AU1311" s="320">
        <v>-1796.5350000000008</v>
      </c>
      <c r="AV1311" s="320">
        <f ca="1">Calc!AH15</f>
        <v>200.00000000000017</v>
      </c>
      <c r="AX1311" s="88" t="str">
        <f t="shared" ca="1" si="107"/>
        <v>DDD</v>
      </c>
    </row>
    <row r="1312" spans="1:50" ht="23" hidden="1" customHeight="1">
      <c r="A1312" s="88" t="str">
        <f t="shared" ca="1" si="106"/>
        <v>DIS</v>
      </c>
      <c r="F1312" s="1082">
        <v>1000</v>
      </c>
      <c r="G1312" s="1082">
        <v>100000</v>
      </c>
      <c r="H1312" s="1082">
        <v>100000</v>
      </c>
      <c r="I1312" s="1082">
        <v>100000</v>
      </c>
      <c r="J1312" s="1082">
        <v>100000</v>
      </c>
      <c r="K1312" s="1082">
        <v>95000</v>
      </c>
      <c r="L1312" s="1082">
        <v>85000</v>
      </c>
      <c r="M1312" s="1082">
        <v>85000</v>
      </c>
      <c r="N1312" s="1082">
        <v>85000</v>
      </c>
      <c r="O1312" s="1082">
        <v>85000</v>
      </c>
      <c r="P1312" s="1082">
        <v>85000</v>
      </c>
      <c r="Q1312" s="1082">
        <v>85000</v>
      </c>
      <c r="R1312" s="1082">
        <v>85000</v>
      </c>
      <c r="S1312" s="1082">
        <v>85000</v>
      </c>
      <c r="T1312" s="1082">
        <v>85000</v>
      </c>
      <c r="U1312" s="1082">
        <v>85000</v>
      </c>
      <c r="V1312" s="1082">
        <v>85000</v>
      </c>
      <c r="W1312" s="1082">
        <v>85000</v>
      </c>
      <c r="X1312" s="1082">
        <v>85000</v>
      </c>
      <c r="Y1312" s="1082">
        <v>85000</v>
      </c>
      <c r="Z1312" s="1082">
        <f ca="1">Calc!G16</f>
        <v>1000</v>
      </c>
      <c r="AB1312" s="320">
        <v>4067.999999999995</v>
      </c>
      <c r="AC1312" s="320">
        <v>26099.999999999996</v>
      </c>
      <c r="AD1312" s="320">
        <v>26624.999999999993</v>
      </c>
      <c r="AE1312" s="320">
        <v>24674.999999999993</v>
      </c>
      <c r="AF1312" s="320">
        <v>22799.999999999993</v>
      </c>
      <c r="AG1312" s="320">
        <v>-274.99999999999858</v>
      </c>
      <c r="AH1312" s="320">
        <v>-950.00000000000193</v>
      </c>
      <c r="AI1312" s="320">
        <v>-300.0000000000025</v>
      </c>
      <c r="AJ1312" s="320">
        <v>-300.0000000000025</v>
      </c>
      <c r="AK1312" s="320">
        <v>400.00000000000034</v>
      </c>
      <c r="AL1312" s="320">
        <v>699.99999999999841</v>
      </c>
      <c r="AM1312" s="320">
        <v>-1000.0000000000009</v>
      </c>
      <c r="AN1312" s="320">
        <v>-1099.9999999999989</v>
      </c>
      <c r="AO1312" s="320">
        <v>400.00000000000034</v>
      </c>
      <c r="AP1312" s="320">
        <v>-6350.0000000000027</v>
      </c>
      <c r="AQ1312" s="320">
        <v>-2200.0000000000018</v>
      </c>
      <c r="AR1312" s="320">
        <v>1450.0000000000002</v>
      </c>
      <c r="AS1312" s="320">
        <v>1450.0000000000002</v>
      </c>
      <c r="AT1312" s="320">
        <v>749.99999999999739</v>
      </c>
      <c r="AU1312" s="320">
        <v>249.99999999999912</v>
      </c>
      <c r="AV1312" s="320">
        <f ca="1">Calc!AH16</f>
        <v>6159.9999999999909</v>
      </c>
      <c r="AX1312" s="88" t="str">
        <f t="shared" ca="1" si="107"/>
        <v>DIS</v>
      </c>
    </row>
    <row r="1313" spans="1:50" ht="23" hidden="1" customHeight="1">
      <c r="A1313" s="88" t="str">
        <f t="shared" ca="1" si="106"/>
        <v>DSY</v>
      </c>
      <c r="F1313" s="1082">
        <v>6000</v>
      </c>
      <c r="G1313" s="1082">
        <v>1000</v>
      </c>
      <c r="H1313" s="1082">
        <v>1000</v>
      </c>
      <c r="I1313" s="1082">
        <v>1000</v>
      </c>
      <c r="J1313" s="1082">
        <v>1000</v>
      </c>
      <c r="K1313" s="1082">
        <v>1000</v>
      </c>
      <c r="L1313" s="1082">
        <v>1000</v>
      </c>
      <c r="M1313" s="1082">
        <v>1000</v>
      </c>
      <c r="N1313" s="1082">
        <v>1000</v>
      </c>
      <c r="O1313" s="1082">
        <v>1000</v>
      </c>
      <c r="P1313" s="1082">
        <v>1000</v>
      </c>
      <c r="Q1313" s="1082">
        <v>1000</v>
      </c>
      <c r="R1313" s="1082">
        <v>1000</v>
      </c>
      <c r="S1313" s="1082">
        <v>1000</v>
      </c>
      <c r="T1313" s="1082">
        <v>1000</v>
      </c>
      <c r="U1313" s="1082">
        <v>1000</v>
      </c>
      <c r="V1313" s="1082">
        <v>1000</v>
      </c>
      <c r="W1313" s="1082">
        <v>1000</v>
      </c>
      <c r="X1313" s="1082">
        <v>1000</v>
      </c>
      <c r="Y1313" s="1082">
        <v>1000</v>
      </c>
      <c r="Z1313" s="1082">
        <f ca="1">Calc!G17</f>
        <v>4000</v>
      </c>
      <c r="AB1313" s="320">
        <v>5189.9999999999991</v>
      </c>
      <c r="AC1313" s="320">
        <v>3919.9999999999932</v>
      </c>
      <c r="AD1313" s="320">
        <v>5155.9999999999945</v>
      </c>
      <c r="AE1313" s="320">
        <v>5775.9999999999991</v>
      </c>
      <c r="AF1313" s="320">
        <v>5512</v>
      </c>
      <c r="AG1313" s="320">
        <v>5448.0000000000018</v>
      </c>
      <c r="AH1313" s="320">
        <v>5991.9999999999964</v>
      </c>
      <c r="AI1313" s="320">
        <v>6712</v>
      </c>
      <c r="AJ1313" s="320">
        <v>6712</v>
      </c>
      <c r="AK1313" s="320">
        <v>7271.9999999999909</v>
      </c>
      <c r="AL1313" s="320">
        <v>6571.9999999999909</v>
      </c>
      <c r="AM1313" s="320">
        <v>5900</v>
      </c>
      <c r="AN1313" s="320">
        <v>7588</v>
      </c>
      <c r="AO1313" s="320">
        <v>6967.9999999999945</v>
      </c>
      <c r="AP1313" s="320">
        <v>5919.9999999999927</v>
      </c>
      <c r="AQ1313" s="320">
        <v>4055.9999999999945</v>
      </c>
      <c r="AR1313" s="320">
        <v>5024.0000000000009</v>
      </c>
      <c r="AS1313" s="320">
        <v>5024.0000000000009</v>
      </c>
      <c r="AT1313" s="320">
        <v>5088</v>
      </c>
      <c r="AU1313" s="320">
        <v>6167.9999999999945</v>
      </c>
      <c r="AV1313" s="320">
        <f ca="1">Calc!AH17</f>
        <v>6899.9999999999982</v>
      </c>
      <c r="AX1313" s="88" t="str">
        <f t="shared" ca="1" si="107"/>
        <v>DSY</v>
      </c>
    </row>
    <row r="1314" spans="1:50" ht="23" hidden="1" customHeight="1">
      <c r="A1314" s="88" t="str">
        <f t="shared" ca="1" si="106"/>
        <v>DVA</v>
      </c>
      <c r="F1314" s="1082">
        <v>1000</v>
      </c>
      <c r="G1314" s="1082">
        <v>6000</v>
      </c>
      <c r="H1314" s="1082">
        <v>6000</v>
      </c>
      <c r="I1314" s="1082">
        <v>6000</v>
      </c>
      <c r="J1314" s="1082">
        <v>6000</v>
      </c>
      <c r="K1314" s="1082">
        <v>6000</v>
      </c>
      <c r="L1314" s="1082">
        <v>4000</v>
      </c>
      <c r="M1314" s="1082">
        <v>4000</v>
      </c>
      <c r="N1314" s="1082">
        <v>4000</v>
      </c>
      <c r="O1314" s="1082">
        <v>4000</v>
      </c>
      <c r="P1314" s="1082">
        <v>4000</v>
      </c>
      <c r="Q1314" s="1082">
        <v>4000</v>
      </c>
      <c r="R1314" s="1082">
        <v>4000</v>
      </c>
      <c r="S1314" s="1082">
        <v>4000</v>
      </c>
      <c r="T1314" s="1082">
        <v>4000</v>
      </c>
      <c r="U1314" s="1082">
        <v>4000</v>
      </c>
      <c r="V1314" s="1082">
        <v>4000</v>
      </c>
      <c r="W1314" s="1082">
        <v>4000</v>
      </c>
      <c r="X1314" s="1082">
        <v>4000</v>
      </c>
      <c r="Y1314" s="1082">
        <v>4000</v>
      </c>
      <c r="Z1314" s="1082">
        <f ca="1">Calc!G18</f>
        <v>1400</v>
      </c>
      <c r="AB1314" s="320">
        <v>8662</v>
      </c>
      <c r="AC1314" s="320">
        <v>5089.9999999999982</v>
      </c>
      <c r="AD1314" s="320">
        <v>5114.9999999999982</v>
      </c>
      <c r="AE1314" s="320">
        <v>4659.9999999999982</v>
      </c>
      <c r="AF1314" s="320">
        <v>4749.9999999999982</v>
      </c>
      <c r="AG1314" s="320">
        <v>4819.9999999999982</v>
      </c>
      <c r="AH1314" s="320">
        <v>740.00000000000205</v>
      </c>
      <c r="AI1314" s="320">
        <v>420.00000000000171</v>
      </c>
      <c r="AJ1314" s="320">
        <v>-439.99999999999773</v>
      </c>
      <c r="AK1314" s="320">
        <v>660.00000000000364</v>
      </c>
      <c r="AL1314" s="320">
        <v>1579.9999999999982</v>
      </c>
      <c r="AM1314" s="320">
        <v>520.00000000000318</v>
      </c>
      <c r="AN1314" s="320">
        <v>-479.99999999999687</v>
      </c>
      <c r="AO1314" s="320">
        <v>-379.99999999999545</v>
      </c>
      <c r="AP1314" s="320">
        <v>-1280.0000000000011</v>
      </c>
      <c r="AQ1314" s="320">
        <v>-2259.9999999999982</v>
      </c>
      <c r="AR1314" s="320">
        <v>-1960.0000000000009</v>
      </c>
      <c r="AS1314" s="320">
        <v>-1960.0000000000009</v>
      </c>
      <c r="AT1314" s="320">
        <v>5859.9999999999991</v>
      </c>
      <c r="AU1314" s="320">
        <v>6899.9999999999982</v>
      </c>
      <c r="AV1314" s="320">
        <f ca="1">Calc!AH18</f>
        <v>9012</v>
      </c>
      <c r="AX1314" s="88" t="str">
        <f t="shared" ca="1" si="107"/>
        <v>DVA</v>
      </c>
    </row>
    <row r="1315" spans="1:50" ht="23" hidden="1" customHeight="1">
      <c r="A1315" s="88" t="str">
        <f t="shared" ca="1" si="106"/>
        <v>DXC</v>
      </c>
      <c r="F1315" s="1082">
        <v>6000</v>
      </c>
      <c r="G1315" s="1082">
        <v>1000</v>
      </c>
      <c r="H1315" s="1082">
        <v>1000</v>
      </c>
      <c r="I1315" s="1082">
        <v>1000</v>
      </c>
      <c r="J1315" s="1082">
        <v>1000</v>
      </c>
      <c r="K1315" s="1082">
        <v>1000</v>
      </c>
      <c r="L1315" s="1082">
        <v>1000</v>
      </c>
      <c r="M1315" s="1082">
        <v>1400</v>
      </c>
      <c r="N1315" s="1082">
        <v>1400</v>
      </c>
      <c r="O1315" s="1082">
        <v>1400</v>
      </c>
      <c r="P1315" s="1082">
        <v>1400</v>
      </c>
      <c r="Q1315" s="1082">
        <v>1400</v>
      </c>
      <c r="R1315" s="1082">
        <v>1400</v>
      </c>
      <c r="S1315" s="1082">
        <v>1400</v>
      </c>
      <c r="T1315" s="1082">
        <v>1400</v>
      </c>
      <c r="U1315" s="1082">
        <v>1400</v>
      </c>
      <c r="V1315" s="1082">
        <v>1400</v>
      </c>
      <c r="W1315" s="1082">
        <v>1400</v>
      </c>
      <c r="X1315" s="1082">
        <v>1400</v>
      </c>
      <c r="Y1315" s="1082">
        <v>1400</v>
      </c>
      <c r="Z1315" s="1082">
        <f ca="1">Calc!G19</f>
        <v>6000</v>
      </c>
      <c r="AB1315" s="320">
        <v>26180</v>
      </c>
      <c r="AC1315" s="320">
        <v>7539.9999999999982</v>
      </c>
      <c r="AD1315" s="320">
        <v>7539.9999999999982</v>
      </c>
      <c r="AE1315" s="320">
        <v>7848.0000000000018</v>
      </c>
      <c r="AF1315" s="320">
        <v>8224</v>
      </c>
      <c r="AG1315" s="320">
        <v>8272.0000000000036</v>
      </c>
      <c r="AH1315" s="320">
        <v>9518</v>
      </c>
      <c r="AI1315" s="320">
        <v>10156</v>
      </c>
      <c r="AJ1315" s="320">
        <v>10136.000000000002</v>
      </c>
      <c r="AK1315" s="320">
        <v>11132</v>
      </c>
      <c r="AL1315" s="320">
        <v>10043.200000000001</v>
      </c>
      <c r="AM1315" s="320">
        <v>9977.9999999999964</v>
      </c>
      <c r="AN1315" s="320">
        <v>10588</v>
      </c>
      <c r="AO1315" s="320">
        <v>10336.000000000002</v>
      </c>
      <c r="AP1315" s="320">
        <v>9467.9999999999945</v>
      </c>
      <c r="AQ1315" s="320">
        <v>9324</v>
      </c>
      <c r="AR1315" s="320">
        <v>9055.9999999999945</v>
      </c>
      <c r="AS1315" s="320">
        <v>9055.9999999999945</v>
      </c>
      <c r="AT1315" s="320">
        <v>9479.9999999999964</v>
      </c>
      <c r="AU1315" s="320">
        <v>9012</v>
      </c>
      <c r="AV1315" s="320">
        <f ca="1">Calc!AH19</f>
        <v>27120.000000000004</v>
      </c>
      <c r="AX1315" s="88" t="str">
        <f t="shared" ca="1" si="107"/>
        <v>DXC</v>
      </c>
    </row>
    <row r="1316" spans="1:50" ht="23" hidden="1" customHeight="1">
      <c r="A1316" s="88" t="str">
        <f t="shared" ca="1" si="106"/>
        <v>EOAN</v>
      </c>
      <c r="F1316" s="1082">
        <v>3750</v>
      </c>
      <c r="G1316" s="1082">
        <v>6000</v>
      </c>
      <c r="H1316" s="1082">
        <v>6000</v>
      </c>
      <c r="I1316" s="1082">
        <v>6000</v>
      </c>
      <c r="J1316" s="1082">
        <v>6000</v>
      </c>
      <c r="K1316" s="1082">
        <v>6000</v>
      </c>
      <c r="L1316" s="1082">
        <v>6000</v>
      </c>
      <c r="M1316" s="1082">
        <v>6000</v>
      </c>
      <c r="N1316" s="1082">
        <v>6000</v>
      </c>
      <c r="O1316" s="1082">
        <v>6000</v>
      </c>
      <c r="P1316" s="1082">
        <v>6000</v>
      </c>
      <c r="Q1316" s="1082">
        <v>6000</v>
      </c>
      <c r="R1316" s="1082">
        <v>6000</v>
      </c>
      <c r="S1316" s="1082">
        <v>6000</v>
      </c>
      <c r="T1316" s="1082">
        <v>6000</v>
      </c>
      <c r="U1316" s="1082">
        <v>6000</v>
      </c>
      <c r="V1316" s="1082">
        <v>6000</v>
      </c>
      <c r="W1316" s="1082">
        <v>6000</v>
      </c>
      <c r="X1316" s="1082">
        <v>6000</v>
      </c>
      <c r="Y1316" s="1082">
        <v>6000</v>
      </c>
      <c r="Z1316" s="1082">
        <f ca="1">Calc!G20</f>
        <v>550</v>
      </c>
      <c r="AB1316" s="320">
        <v>-512.49999999999568</v>
      </c>
      <c r="AC1316" s="320">
        <v>26759.999999999996</v>
      </c>
      <c r="AD1316" s="320">
        <v>26100</v>
      </c>
      <c r="AE1316" s="320">
        <v>26920</v>
      </c>
      <c r="AF1316" s="320">
        <v>26080</v>
      </c>
      <c r="AG1316" s="320">
        <v>28160.000000000004</v>
      </c>
      <c r="AH1316" s="320">
        <v>27920</v>
      </c>
      <c r="AI1316" s="320">
        <v>26960</v>
      </c>
      <c r="AJ1316" s="320">
        <v>26960</v>
      </c>
      <c r="AK1316" s="320">
        <v>28380.000000000004</v>
      </c>
      <c r="AL1316" s="320">
        <v>28020.000000000004</v>
      </c>
      <c r="AM1316" s="320">
        <v>28759.999999999996</v>
      </c>
      <c r="AN1316" s="320">
        <v>30000</v>
      </c>
      <c r="AO1316" s="320">
        <v>29880.000000000004</v>
      </c>
      <c r="AP1316" s="320">
        <v>29300.000000000004</v>
      </c>
      <c r="AQ1316" s="320">
        <v>28180</v>
      </c>
      <c r="AR1316" s="320">
        <v>28200.000000000004</v>
      </c>
      <c r="AS1316" s="320">
        <v>28200.000000000004</v>
      </c>
      <c r="AT1316" s="320">
        <v>27800.000000000004</v>
      </c>
      <c r="AU1316" s="320">
        <v>27120.000000000004</v>
      </c>
      <c r="AV1316" s="320">
        <f ca="1">Calc!AH20</f>
        <v>112.00000000000045</v>
      </c>
      <c r="AX1316" s="88" t="str">
        <f t="shared" ca="1" si="107"/>
        <v>EOAN</v>
      </c>
    </row>
    <row r="1317" spans="1:50" ht="23" hidden="1" customHeight="1">
      <c r="A1317" s="88" t="str">
        <f t="shared" ca="1" si="106"/>
        <v>EPIX</v>
      </c>
      <c r="F1317" s="1082">
        <v>30000</v>
      </c>
      <c r="G1317" s="1082">
        <v>3750</v>
      </c>
      <c r="H1317" s="1082">
        <v>3750</v>
      </c>
      <c r="I1317" s="1082">
        <v>3750</v>
      </c>
      <c r="J1317" s="1082">
        <v>3750</v>
      </c>
      <c r="K1317" s="1082">
        <v>550</v>
      </c>
      <c r="L1317" s="1082">
        <v>550</v>
      </c>
      <c r="M1317" s="1082">
        <v>550</v>
      </c>
      <c r="N1317" s="1082">
        <v>550</v>
      </c>
      <c r="O1317" s="1082">
        <v>550</v>
      </c>
      <c r="P1317" s="1082">
        <v>550</v>
      </c>
      <c r="Q1317" s="1082">
        <v>550</v>
      </c>
      <c r="R1317" s="1082">
        <v>550</v>
      </c>
      <c r="S1317" s="1082">
        <v>550</v>
      </c>
      <c r="T1317" s="1082">
        <v>550</v>
      </c>
      <c r="U1317" s="1082">
        <v>550</v>
      </c>
      <c r="V1317" s="1082">
        <v>550</v>
      </c>
      <c r="W1317" s="1082">
        <v>550</v>
      </c>
      <c r="X1317" s="1082">
        <v>550</v>
      </c>
      <c r="Y1317" s="1082">
        <v>550</v>
      </c>
      <c r="Z1317" s="1082">
        <f ca="1">Calc!G21</f>
        <v>30000</v>
      </c>
      <c r="AB1317" s="320">
        <v>55778</v>
      </c>
      <c r="AC1317" s="320">
        <v>-674.99999999999898</v>
      </c>
      <c r="AD1317" s="320">
        <v>-899.99999999999864</v>
      </c>
      <c r="AE1317" s="320">
        <v>-400.00000000000034</v>
      </c>
      <c r="AF1317" s="320">
        <v>-800.00000000000068</v>
      </c>
      <c r="AG1317" s="320">
        <v>16.000000000008185</v>
      </c>
      <c r="AH1317" s="320">
        <v>-191.99999999999591</v>
      </c>
      <c r="AI1317" s="320">
        <v>-175.99999999999909</v>
      </c>
      <c r="AJ1317" s="320">
        <v>-191.99999999999591</v>
      </c>
      <c r="AK1317" s="320">
        <v>-448.00000000000182</v>
      </c>
      <c r="AL1317" s="320">
        <v>-800</v>
      </c>
      <c r="AM1317" s="320">
        <v>-255.99999999999454</v>
      </c>
      <c r="AN1317" s="320">
        <v>-415.99999999999682</v>
      </c>
      <c r="AO1317" s="320">
        <v>-479.99999999999545</v>
      </c>
      <c r="AP1317" s="320">
        <v>-960.00000000000227</v>
      </c>
      <c r="AQ1317" s="320">
        <v>-783.99999999999181</v>
      </c>
      <c r="AR1317" s="320">
        <v>63.999999999998636</v>
      </c>
      <c r="AS1317" s="320">
        <v>63.999999999998636</v>
      </c>
      <c r="AT1317" s="320">
        <v>448.00000000000182</v>
      </c>
      <c r="AU1317" s="320">
        <v>192.00000000000728</v>
      </c>
      <c r="AV1317" s="320">
        <f ca="1">Calc!AH21</f>
        <v>55687.999999999993</v>
      </c>
      <c r="AX1317" s="88" t="str">
        <f t="shared" ca="1" si="107"/>
        <v>EPIX</v>
      </c>
    </row>
    <row r="1318" spans="1:50" ht="23" hidden="1" customHeight="1">
      <c r="A1318" s="88" t="str">
        <f t="shared" ca="1" si="106"/>
        <v>GM</v>
      </c>
      <c r="F1318" s="1082">
        <v>10</v>
      </c>
      <c r="G1318" s="1082">
        <v>30000</v>
      </c>
      <c r="H1318" s="1082">
        <v>30000</v>
      </c>
      <c r="I1318" s="1082">
        <v>30000</v>
      </c>
      <c r="J1318" s="1082">
        <v>30000</v>
      </c>
      <c r="K1318" s="1082">
        <v>30000</v>
      </c>
      <c r="L1318" s="1082">
        <v>30000</v>
      </c>
      <c r="M1318" s="1082">
        <v>30000</v>
      </c>
      <c r="N1318" s="1082">
        <v>30000</v>
      </c>
      <c r="O1318" s="1082">
        <v>30000</v>
      </c>
      <c r="P1318" s="1082">
        <v>30000</v>
      </c>
      <c r="Q1318" s="1082">
        <v>30000</v>
      </c>
      <c r="R1318" s="1082">
        <v>30000</v>
      </c>
      <c r="S1318" s="1082">
        <v>30000</v>
      </c>
      <c r="T1318" s="1082">
        <v>30000</v>
      </c>
      <c r="U1318" s="1082">
        <v>30000</v>
      </c>
      <c r="V1318" s="1082">
        <v>30000</v>
      </c>
      <c r="W1318" s="1082">
        <v>30000</v>
      </c>
      <c r="X1318" s="1082">
        <v>30000</v>
      </c>
      <c r="Y1318" s="1082">
        <v>30000</v>
      </c>
      <c r="Z1318" s="1082">
        <f ca="1">Calc!G22</f>
        <v>10</v>
      </c>
      <c r="AB1318" s="320">
        <v>-13050.179999999995</v>
      </c>
      <c r="AC1318" s="320">
        <v>55790</v>
      </c>
      <c r="AD1318" s="320">
        <v>55641</v>
      </c>
      <c r="AE1318" s="320">
        <v>55526</v>
      </c>
      <c r="AF1318" s="320">
        <v>55638.999999999993</v>
      </c>
      <c r="AG1318" s="320">
        <v>55649.999999999993</v>
      </c>
      <c r="AH1318" s="320">
        <v>55687.999999999993</v>
      </c>
      <c r="AI1318" s="320">
        <v>55687.999999999993</v>
      </c>
      <c r="AJ1318" s="320">
        <v>55687.999999999993</v>
      </c>
      <c r="AK1318" s="320">
        <v>55687.999999999993</v>
      </c>
      <c r="AL1318" s="320">
        <v>55687.999999999993</v>
      </c>
      <c r="AM1318" s="320">
        <v>55687.999999999993</v>
      </c>
      <c r="AN1318" s="320">
        <v>55687.999999999993</v>
      </c>
      <c r="AO1318" s="320">
        <v>55687.999999999993</v>
      </c>
      <c r="AP1318" s="320">
        <v>55687.999999999993</v>
      </c>
      <c r="AQ1318" s="320">
        <v>55687.999999999993</v>
      </c>
      <c r="AR1318" s="320">
        <v>55687.999999999993</v>
      </c>
      <c r="AS1318" s="320">
        <v>55687.999999999993</v>
      </c>
      <c r="AT1318" s="320">
        <v>55687.999999999993</v>
      </c>
      <c r="AU1318" s="320">
        <v>55687.999999999993</v>
      </c>
      <c r="AV1318" s="320">
        <f ca="1">Calc!AH22</f>
        <v>-21806.729999999992</v>
      </c>
      <c r="AX1318" s="88" t="str">
        <f t="shared" ca="1" si="107"/>
        <v>GM</v>
      </c>
    </row>
    <row r="1319" spans="1:50" ht="23" hidden="1" customHeight="1">
      <c r="A1319" s="88" t="str">
        <f t="shared" ca="1" si="106"/>
        <v>HPE</v>
      </c>
      <c r="F1319" s="1082">
        <v>10000</v>
      </c>
      <c r="G1319" s="1082">
        <v>10</v>
      </c>
      <c r="H1319" s="1082">
        <v>10</v>
      </c>
      <c r="I1319" s="1082">
        <v>10</v>
      </c>
      <c r="J1319" s="1082">
        <v>10</v>
      </c>
      <c r="K1319" s="1082">
        <v>10</v>
      </c>
      <c r="L1319" s="1082">
        <v>10</v>
      </c>
      <c r="M1319" s="1082">
        <v>10</v>
      </c>
      <c r="N1319" s="1082">
        <v>10</v>
      </c>
      <c r="O1319" s="1082">
        <v>10</v>
      </c>
      <c r="P1319" s="1082">
        <v>10</v>
      </c>
      <c r="Q1319" s="1082">
        <v>10</v>
      </c>
      <c r="R1319" s="1082">
        <v>10</v>
      </c>
      <c r="S1319" s="1082">
        <v>10</v>
      </c>
      <c r="T1319" s="1082">
        <v>10</v>
      </c>
      <c r="U1319" s="1082">
        <v>10</v>
      </c>
      <c r="V1319" s="1082">
        <v>10</v>
      </c>
      <c r="W1319" s="1082">
        <v>10</v>
      </c>
      <c r="X1319" s="1082">
        <v>10</v>
      </c>
      <c r="Y1319" s="1082">
        <v>10</v>
      </c>
      <c r="Z1319" s="1082">
        <f ca="1">Calc!G23</f>
        <v>11000</v>
      </c>
      <c r="AB1319" s="320">
        <v>560.20000000000186</v>
      </c>
      <c r="AC1319" s="320">
        <v>-13193.729999999998</v>
      </c>
      <c r="AD1319" s="320">
        <v>-13560.029999999995</v>
      </c>
      <c r="AE1319" s="320">
        <v>-11609.729999999996</v>
      </c>
      <c r="AF1319" s="320">
        <v>-12372.03</v>
      </c>
      <c r="AG1319" s="320">
        <v>-9540.630000000001</v>
      </c>
      <c r="AH1319" s="320">
        <v>-8684.2799999999988</v>
      </c>
      <c r="AI1319" s="320">
        <v>-8223.9299999999948</v>
      </c>
      <c r="AJ1319" s="320">
        <v>-8204.1299999999992</v>
      </c>
      <c r="AK1319" s="320">
        <v>-7897.2299999999968</v>
      </c>
      <c r="AL1319" s="320">
        <v>-9421.8299999999963</v>
      </c>
      <c r="AM1319" s="320">
        <v>-10184.030999999995</v>
      </c>
      <c r="AN1319" s="320">
        <v>-9609.93</v>
      </c>
      <c r="AO1319" s="320">
        <v>-10639.53</v>
      </c>
      <c r="AP1319" s="320">
        <v>-10283.130000000001</v>
      </c>
      <c r="AQ1319" s="320">
        <v>-18787.229999999996</v>
      </c>
      <c r="AR1319" s="320">
        <v>-19490.12999999999</v>
      </c>
      <c r="AS1319" s="320">
        <v>-19490.12999999999</v>
      </c>
      <c r="AT1319" s="320">
        <v>-19009.979999999992</v>
      </c>
      <c r="AU1319" s="320">
        <v>-21816.629999999997</v>
      </c>
      <c r="AV1319" s="320">
        <f ca="1">Calc!AH23</f>
        <v>3084.0000000000005</v>
      </c>
      <c r="AX1319" s="88" t="str">
        <f t="shared" ca="1" si="107"/>
        <v>HPE</v>
      </c>
    </row>
    <row r="1320" spans="1:50" ht="23" hidden="1" customHeight="1">
      <c r="A1320" s="88" t="str">
        <f t="shared" ca="1" si="106"/>
        <v>HPQ</v>
      </c>
      <c r="F1320" s="1082">
        <v>1000</v>
      </c>
      <c r="G1320" s="1082">
        <v>10000</v>
      </c>
      <c r="H1320" s="1082">
        <v>10000</v>
      </c>
      <c r="I1320" s="1082">
        <v>9200</v>
      </c>
      <c r="J1320" s="1082">
        <v>9200</v>
      </c>
      <c r="K1320" s="1082">
        <v>9200</v>
      </c>
      <c r="L1320" s="1082">
        <v>8000</v>
      </c>
      <c r="M1320" s="1082">
        <v>8000</v>
      </c>
      <c r="N1320" s="1082">
        <v>8000</v>
      </c>
      <c r="O1320" s="1082">
        <v>9200</v>
      </c>
      <c r="P1320" s="1082">
        <v>9200</v>
      </c>
      <c r="Q1320" s="1082">
        <v>9200</v>
      </c>
      <c r="R1320" s="1082">
        <v>9200</v>
      </c>
      <c r="S1320" s="1082">
        <v>9200</v>
      </c>
      <c r="T1320" s="1082">
        <v>11000</v>
      </c>
      <c r="U1320" s="1082">
        <v>11000</v>
      </c>
      <c r="V1320" s="1082">
        <v>11000</v>
      </c>
      <c r="W1320" s="1082">
        <v>11000</v>
      </c>
      <c r="X1320" s="1082">
        <v>11000</v>
      </c>
      <c r="Y1320" s="1082">
        <v>11000</v>
      </c>
      <c r="Z1320" s="1082">
        <f ca="1">Calc!G24</f>
        <v>5000</v>
      </c>
      <c r="AB1320" s="320">
        <v>1179.9999999999927</v>
      </c>
      <c r="AC1320" s="320">
        <v>-159.99999999999659</v>
      </c>
      <c r="AD1320" s="320">
        <v>-949.99999999999568</v>
      </c>
      <c r="AE1320" s="320">
        <v>264.00000000000148</v>
      </c>
      <c r="AF1320" s="320">
        <v>315.99999999999966</v>
      </c>
      <c r="AG1320" s="320">
        <v>-71.999999999999886</v>
      </c>
      <c r="AH1320" s="320">
        <v>-5.9999999999988063</v>
      </c>
      <c r="AI1320" s="320">
        <v>-215.99999999999966</v>
      </c>
      <c r="AJ1320" s="320">
        <v>-215.99999999999966</v>
      </c>
      <c r="AK1320" s="320">
        <v>1565.9999999999995</v>
      </c>
      <c r="AL1320" s="320">
        <v>1296.0000000000023</v>
      </c>
      <c r="AM1320" s="320">
        <v>786.00000000000136</v>
      </c>
      <c r="AN1320" s="320">
        <v>4260.0000000000009</v>
      </c>
      <c r="AO1320" s="320">
        <v>3731.9999999999991</v>
      </c>
      <c r="AP1320" s="320">
        <v>3852.0000000000009</v>
      </c>
      <c r="AQ1320" s="320">
        <v>3360.0000000000009</v>
      </c>
      <c r="AR1320" s="320">
        <v>3558</v>
      </c>
      <c r="AS1320" s="320">
        <v>3576.0000000000005</v>
      </c>
      <c r="AT1320" s="320">
        <v>3444.0000000000014</v>
      </c>
      <c r="AU1320" s="320">
        <v>3084.0000000000005</v>
      </c>
      <c r="AV1320" s="320">
        <f ca="1">Calc!AH24</f>
        <v>1280.0000000000011</v>
      </c>
      <c r="AX1320" s="88" t="str">
        <f t="shared" ca="1" si="107"/>
        <v>HPQ</v>
      </c>
    </row>
    <row r="1321" spans="1:50" ht="23" hidden="1" customHeight="1">
      <c r="A1321" s="88" t="str">
        <f t="shared" ca="1" si="106"/>
        <v>IAG</v>
      </c>
      <c r="F1321" s="1082">
        <v>270000</v>
      </c>
      <c r="G1321" s="1082">
        <v>1000</v>
      </c>
      <c r="H1321" s="1082">
        <v>1000</v>
      </c>
      <c r="I1321" s="1082">
        <v>1000</v>
      </c>
      <c r="J1321" s="1082">
        <v>1000</v>
      </c>
      <c r="K1321" s="1082">
        <v>1000</v>
      </c>
      <c r="L1321" s="1082">
        <v>1000</v>
      </c>
      <c r="M1321" s="1082">
        <v>1000</v>
      </c>
      <c r="N1321" s="1082">
        <v>1000</v>
      </c>
      <c r="O1321" s="1082">
        <v>5000</v>
      </c>
      <c r="P1321" s="1082">
        <v>5000</v>
      </c>
      <c r="Q1321" s="1082">
        <v>4000</v>
      </c>
      <c r="R1321" s="1082">
        <v>5000</v>
      </c>
      <c r="S1321" s="1082">
        <v>5000</v>
      </c>
      <c r="T1321" s="1082">
        <v>5000</v>
      </c>
      <c r="U1321" s="1082">
        <v>5000</v>
      </c>
      <c r="V1321" s="1082">
        <v>5000</v>
      </c>
      <c r="W1321" s="1082">
        <v>5000</v>
      </c>
      <c r="X1321" s="1082">
        <v>5000</v>
      </c>
      <c r="Y1321" s="1082">
        <v>5000</v>
      </c>
      <c r="Z1321" s="1082">
        <f ca="1">Calc!G25</f>
        <v>200000</v>
      </c>
      <c r="AB1321" s="320">
        <v>-106.27500000000312</v>
      </c>
      <c r="AC1321" s="320">
        <v>-520.00000000001023</v>
      </c>
      <c r="AD1321" s="320">
        <v>1559.9999999999882</v>
      </c>
      <c r="AE1321" s="320">
        <v>2459.9999999999936</v>
      </c>
      <c r="AF1321" s="320">
        <v>1759.9999999999909</v>
      </c>
      <c r="AG1321" s="320">
        <v>2079.9999999999982</v>
      </c>
      <c r="AH1321" s="320">
        <v>199.99999999998863</v>
      </c>
      <c r="AI1321" s="320">
        <v>439.99999999999773</v>
      </c>
      <c r="AJ1321" s="320">
        <v>439.99999999999773</v>
      </c>
      <c r="AK1321" s="320">
        <v>-1040.0000000000064</v>
      </c>
      <c r="AL1321" s="320">
        <v>-5820.0000000000073</v>
      </c>
      <c r="AM1321" s="320">
        <v>260.00000000000159</v>
      </c>
      <c r="AN1321" s="320">
        <v>1725.0000000000014</v>
      </c>
      <c r="AO1321" s="320">
        <v>1570.0000000000002</v>
      </c>
      <c r="AP1321" s="320">
        <v>1285.0000000000002</v>
      </c>
      <c r="AQ1321" s="320">
        <v>780.00000000000114</v>
      </c>
      <c r="AR1321" s="320">
        <v>1280.0000000000011</v>
      </c>
      <c r="AS1321" s="320">
        <v>1280.0000000000011</v>
      </c>
      <c r="AT1321" s="320">
        <v>1115.000000000002</v>
      </c>
      <c r="AU1321" s="320">
        <v>1280.0000000000011</v>
      </c>
      <c r="AV1321" s="320">
        <f ca="1">Calc!AH25</f>
        <v>-760.00000000000239</v>
      </c>
      <c r="AX1321" s="88" t="str">
        <f t="shared" ca="1" si="107"/>
        <v>IAG</v>
      </c>
    </row>
    <row r="1322" spans="1:50" ht="23" hidden="1" customHeight="1">
      <c r="A1322" s="88" t="str">
        <f t="shared" ca="1" si="106"/>
        <v>KR</v>
      </c>
      <c r="F1322" s="1082">
        <v>2660</v>
      </c>
      <c r="G1322" s="1082">
        <v>270000</v>
      </c>
      <c r="H1322" s="1082">
        <v>270000</v>
      </c>
      <c r="I1322" s="1082">
        <v>270000</v>
      </c>
      <c r="J1322" s="1082">
        <v>260000</v>
      </c>
      <c r="K1322" s="1082">
        <v>260000</v>
      </c>
      <c r="L1322" s="1082">
        <v>250000</v>
      </c>
      <c r="M1322" s="1082">
        <v>240000</v>
      </c>
      <c r="N1322" s="1082">
        <v>240000</v>
      </c>
      <c r="O1322" s="1082">
        <v>240000</v>
      </c>
      <c r="P1322" s="1082">
        <v>240000</v>
      </c>
      <c r="Q1322" s="1082">
        <v>240000</v>
      </c>
      <c r="R1322" s="1082">
        <v>240000</v>
      </c>
      <c r="S1322" s="1082">
        <v>240000</v>
      </c>
      <c r="T1322" s="1082">
        <v>240000</v>
      </c>
      <c r="U1322" s="1082">
        <v>240000</v>
      </c>
      <c r="V1322" s="1082">
        <v>230000</v>
      </c>
      <c r="W1322" s="1082">
        <v>230000</v>
      </c>
      <c r="X1322" s="1082">
        <v>220000</v>
      </c>
      <c r="Y1322" s="1082">
        <v>200000</v>
      </c>
      <c r="Z1322" s="1082">
        <f ca="1">Calc!G26</f>
        <v>5000</v>
      </c>
      <c r="AB1322" s="320">
        <v>5824.9999999999891</v>
      </c>
      <c r="AC1322" s="320">
        <v>-301.2750000000031</v>
      </c>
      <c r="AD1322" s="320">
        <v>351.97500000000133</v>
      </c>
      <c r="AE1322" s="320">
        <v>-350.02500000000316</v>
      </c>
      <c r="AF1322" s="320">
        <v>-119.99999999999888</v>
      </c>
      <c r="AG1322" s="320">
        <v>-509.99999999999659</v>
      </c>
      <c r="AH1322" s="320">
        <v>-299.00000000000091</v>
      </c>
      <c r="AI1322" s="320">
        <v>189.99999999999775</v>
      </c>
      <c r="AJ1322" s="320">
        <v>659.9999999999967</v>
      </c>
      <c r="AK1322" s="320">
        <v>650</v>
      </c>
      <c r="AL1322" s="320">
        <v>669.99999999999886</v>
      </c>
      <c r="AM1322" s="320">
        <v>719.99999999999886</v>
      </c>
      <c r="AN1322" s="320">
        <v>839.99999999999773</v>
      </c>
      <c r="AO1322" s="320">
        <v>2350</v>
      </c>
      <c r="AP1322" s="320">
        <v>1869.9999999999989</v>
      </c>
      <c r="AQ1322" s="320">
        <v>2089.9999999999977</v>
      </c>
      <c r="AR1322" s="320">
        <v>19.999999999998863</v>
      </c>
      <c r="AS1322" s="320">
        <v>19.999999999998863</v>
      </c>
      <c r="AT1322" s="320">
        <v>150.99999999999909</v>
      </c>
      <c r="AU1322" s="320">
        <v>-760.00000000000239</v>
      </c>
      <c r="AV1322" s="320">
        <f ca="1">Calc!AH26</f>
        <v>4709.9999999999936</v>
      </c>
      <c r="AX1322" s="88" t="str">
        <f t="shared" ca="1" si="107"/>
        <v>KR</v>
      </c>
    </row>
    <row r="1323" spans="1:50" ht="23" hidden="1" customHeight="1">
      <c r="A1323" s="88" t="str">
        <f t="shared" ca="1" si="106"/>
        <v>LNSR</v>
      </c>
      <c r="F1323" s="1082">
        <v>0</v>
      </c>
      <c r="G1323" s="1082">
        <v>2660</v>
      </c>
      <c r="H1323" s="1082">
        <v>2660</v>
      </c>
      <c r="I1323" s="1082">
        <v>2660</v>
      </c>
      <c r="J1323" s="1082">
        <v>2660</v>
      </c>
      <c r="K1323" s="1082">
        <v>2660</v>
      </c>
      <c r="L1323" s="1082">
        <v>2660</v>
      </c>
      <c r="M1323" s="1082">
        <v>2660</v>
      </c>
      <c r="N1323" s="1082">
        <v>2660</v>
      </c>
      <c r="O1323" s="1082">
        <v>2660</v>
      </c>
      <c r="P1323" s="1082">
        <v>2660</v>
      </c>
      <c r="Q1323" s="1082">
        <v>2660</v>
      </c>
      <c r="R1323" s="1082">
        <v>2660</v>
      </c>
      <c r="S1323" s="1082">
        <v>2660</v>
      </c>
      <c r="T1323" s="1082">
        <v>4000</v>
      </c>
      <c r="U1323" s="1082">
        <v>4000</v>
      </c>
      <c r="V1323" s="1082">
        <v>4000</v>
      </c>
      <c r="W1323" s="1082">
        <v>4000</v>
      </c>
      <c r="X1323" s="1082">
        <v>4000</v>
      </c>
      <c r="Y1323" s="1082">
        <v>5000</v>
      </c>
      <c r="Z1323" s="1082">
        <f ca="1">Calc!G27</f>
        <v>0</v>
      </c>
      <c r="AB1323" s="320">
        <v>-10995.599999999997</v>
      </c>
      <c r="AC1323" s="320">
        <v>4409.9999999999964</v>
      </c>
      <c r="AD1323" s="320">
        <v>5329.9999999999982</v>
      </c>
      <c r="AE1323" s="320">
        <v>5449.9999999999891</v>
      </c>
      <c r="AF1323" s="320">
        <v>5519.9999999999964</v>
      </c>
      <c r="AG1323" s="320">
        <v>4939.9999999999982</v>
      </c>
      <c r="AH1323" s="320">
        <v>3699.9999999999886</v>
      </c>
      <c r="AI1323" s="320">
        <v>4259.9999999999909</v>
      </c>
      <c r="AJ1323" s="320">
        <v>4259.9999999999909</v>
      </c>
      <c r="AK1323" s="320">
        <v>4694.9999999999927</v>
      </c>
      <c r="AL1323" s="320">
        <v>2689.9999999999977</v>
      </c>
      <c r="AM1323" s="320">
        <v>2714.9999999999891</v>
      </c>
      <c r="AN1323" s="320">
        <v>2929.9999999999927</v>
      </c>
      <c r="AO1323" s="320">
        <v>2829.9999999999982</v>
      </c>
      <c r="AP1323" s="320">
        <v>2659.9999999999964</v>
      </c>
      <c r="AQ1323" s="320">
        <v>4209.9999999999936</v>
      </c>
      <c r="AR1323" s="320">
        <v>3209.9999999999936</v>
      </c>
      <c r="AS1323" s="320">
        <v>3209.9999999999936</v>
      </c>
      <c r="AT1323" s="320">
        <v>3159.9999999999964</v>
      </c>
      <c r="AU1323" s="320">
        <v>4719.9999999999991</v>
      </c>
      <c r="AV1323" s="320">
        <f ca="1">Calc!AH27</f>
        <v>-10530</v>
      </c>
      <c r="AX1323" s="88" t="str">
        <f t="shared" ca="1" si="107"/>
        <v>LNSR</v>
      </c>
    </row>
    <row r="1324" spans="1:50" ht="23" hidden="1" customHeight="1">
      <c r="A1324" s="88" t="str">
        <f t="shared" ca="1" si="106"/>
        <v>LUMN</v>
      </c>
      <c r="F1324" s="1082">
        <v>1000</v>
      </c>
      <c r="G1324" s="1082">
        <v>0</v>
      </c>
      <c r="H1324" s="1082">
        <v>0</v>
      </c>
      <c r="I1324" s="1082">
        <v>0</v>
      </c>
      <c r="J1324" s="1082">
        <v>0</v>
      </c>
      <c r="K1324" s="1082">
        <v>0</v>
      </c>
      <c r="L1324" s="1082">
        <v>0</v>
      </c>
      <c r="M1324" s="1082">
        <v>0</v>
      </c>
      <c r="N1324" s="1082">
        <v>0</v>
      </c>
      <c r="O1324" s="1082">
        <v>0</v>
      </c>
      <c r="P1324" s="1082">
        <v>0</v>
      </c>
      <c r="Q1324" s="1082">
        <v>0</v>
      </c>
      <c r="R1324" s="1082">
        <v>0</v>
      </c>
      <c r="S1324" s="1082">
        <v>0</v>
      </c>
      <c r="T1324" s="1082">
        <v>0</v>
      </c>
      <c r="U1324" s="1082">
        <v>0</v>
      </c>
      <c r="V1324" s="1082">
        <v>0</v>
      </c>
      <c r="W1324" s="1082">
        <v>0</v>
      </c>
      <c r="X1324" s="1082">
        <v>0</v>
      </c>
      <c r="Y1324" s="1082">
        <v>0</v>
      </c>
      <c r="Z1324" s="1082">
        <f ca="1">Calc!G28</f>
        <v>10</v>
      </c>
      <c r="AB1324" s="320">
        <v>-288.10000000000002</v>
      </c>
      <c r="AC1324" s="320">
        <v>-11669.999999999996</v>
      </c>
      <c r="AD1324" s="320">
        <v>-11429.999999999996</v>
      </c>
      <c r="AE1324" s="320">
        <v>-11909.999999999996</v>
      </c>
      <c r="AF1324" s="320">
        <v>-11189.999999999996</v>
      </c>
      <c r="AG1324" s="320">
        <v>-10799.999999999998</v>
      </c>
      <c r="AH1324" s="320">
        <v>-11159.999999999996</v>
      </c>
      <c r="AI1324" s="320">
        <v>-10589.999999999998</v>
      </c>
      <c r="AJ1324" s="320">
        <v>-10589.999999999998</v>
      </c>
      <c r="AK1324" s="320">
        <v>-10530</v>
      </c>
      <c r="AL1324" s="320">
        <v>-10559.999999999998</v>
      </c>
      <c r="AM1324" s="320">
        <v>-9719.9999999999945</v>
      </c>
      <c r="AN1324" s="320">
        <v>-10079.999999999998</v>
      </c>
      <c r="AO1324" s="320">
        <v>-10169.999999999996</v>
      </c>
      <c r="AP1324" s="320">
        <v>-11459.999999999996</v>
      </c>
      <c r="AQ1324" s="320">
        <v>-11399.999999999996</v>
      </c>
      <c r="AR1324" s="320">
        <v>-11280</v>
      </c>
      <c r="AS1324" s="320">
        <v>-11280</v>
      </c>
      <c r="AT1324" s="320">
        <v>-10559.999999999998</v>
      </c>
      <c r="AU1324" s="320">
        <v>-10530</v>
      </c>
      <c r="AV1324" s="320">
        <f ca="1">Calc!AH28</f>
        <v>-1277.1000000000001</v>
      </c>
      <c r="AX1324" s="88" t="str">
        <f t="shared" ca="1" si="107"/>
        <v>LUMN</v>
      </c>
    </row>
    <row r="1325" spans="1:50" ht="23" hidden="1" customHeight="1">
      <c r="A1325" s="88" t="str">
        <f t="shared" ca="1" si="106"/>
        <v>MRNA</v>
      </c>
      <c r="F1325" s="1082">
        <v>12000</v>
      </c>
      <c r="G1325" s="1082">
        <v>1000</v>
      </c>
      <c r="H1325" s="1082">
        <v>1000</v>
      </c>
      <c r="I1325" s="1082">
        <v>1000</v>
      </c>
      <c r="J1325" s="1082">
        <v>1000</v>
      </c>
      <c r="K1325" s="1082">
        <v>1000</v>
      </c>
      <c r="L1325" s="1082">
        <v>1000</v>
      </c>
      <c r="M1325" s="1082">
        <v>10</v>
      </c>
      <c r="N1325" s="1082">
        <v>10</v>
      </c>
      <c r="O1325" s="1082">
        <v>10</v>
      </c>
      <c r="P1325" s="1082">
        <v>10</v>
      </c>
      <c r="Q1325" s="1082">
        <v>10</v>
      </c>
      <c r="R1325" s="1082">
        <v>10</v>
      </c>
      <c r="S1325" s="1082">
        <v>10</v>
      </c>
      <c r="T1325" s="1082">
        <v>10</v>
      </c>
      <c r="U1325" s="1082">
        <v>10</v>
      </c>
      <c r="V1325" s="1082">
        <v>10</v>
      </c>
      <c r="W1325" s="1082">
        <v>10</v>
      </c>
      <c r="X1325" s="1082">
        <v>10</v>
      </c>
      <c r="Y1325" s="1082">
        <v>10</v>
      </c>
      <c r="Z1325" s="1082">
        <f ca="1">Calc!G29</f>
        <v>12000</v>
      </c>
      <c r="AB1325" s="320">
        <v>94697.1</v>
      </c>
      <c r="AC1325" s="320">
        <v>-565.00000000000034</v>
      </c>
      <c r="AD1325" s="320">
        <v>-515.00000000000057</v>
      </c>
      <c r="AE1325" s="320">
        <v>-825.00000000000023</v>
      </c>
      <c r="AF1325" s="320">
        <v>-995.00000000000011</v>
      </c>
      <c r="AG1325" s="320">
        <v>-1345.0000000000007</v>
      </c>
      <c r="AH1325" s="320">
        <v>-1495</v>
      </c>
      <c r="AI1325" s="320">
        <v>-54.4500000000006</v>
      </c>
      <c r="AJ1325" s="320">
        <v>-49.499999999999822</v>
      </c>
      <c r="AK1325" s="320">
        <v>49.499999999999822</v>
      </c>
      <c r="AL1325" s="320">
        <v>-69.300000000000281</v>
      </c>
      <c r="AM1325" s="320">
        <v>-371.25</v>
      </c>
      <c r="AN1325" s="320">
        <v>-222.75000000000054</v>
      </c>
      <c r="AO1325" s="320">
        <v>-99.000000000000526</v>
      </c>
      <c r="AP1325" s="320">
        <v>-351.45000000000044</v>
      </c>
      <c r="AQ1325" s="320">
        <v>-371.25</v>
      </c>
      <c r="AR1325" s="320">
        <v>-247.5</v>
      </c>
      <c r="AS1325" s="320">
        <v>-247.5</v>
      </c>
      <c r="AT1325" s="320">
        <v>-975.15000000000032</v>
      </c>
      <c r="AU1325" s="320">
        <v>-1272.150000000001</v>
      </c>
      <c r="AV1325" s="320">
        <f ca="1">Calc!AH29</f>
        <v>92250</v>
      </c>
      <c r="AX1325" s="88" t="str">
        <f t="shared" ca="1" si="107"/>
        <v>MRNA</v>
      </c>
    </row>
    <row r="1326" spans="1:50" ht="23" hidden="1" customHeight="1">
      <c r="A1326" s="88" t="str">
        <f t="shared" ca="1" si="106"/>
        <v>MSFT</v>
      </c>
      <c r="F1326" s="1082">
        <v>9800</v>
      </c>
      <c r="G1326" s="1082">
        <v>12000</v>
      </c>
      <c r="H1326" s="1082">
        <v>12000</v>
      </c>
      <c r="I1326" s="1082">
        <v>12000</v>
      </c>
      <c r="J1326" s="1082">
        <v>12000</v>
      </c>
      <c r="K1326" s="1082">
        <v>12000</v>
      </c>
      <c r="L1326" s="1082">
        <v>12000</v>
      </c>
      <c r="M1326" s="1082">
        <v>12000</v>
      </c>
      <c r="N1326" s="1082">
        <v>12000</v>
      </c>
      <c r="O1326" s="1082">
        <v>12000</v>
      </c>
      <c r="P1326" s="1082">
        <v>12000</v>
      </c>
      <c r="Q1326" s="1082">
        <v>12000</v>
      </c>
      <c r="R1326" s="1082">
        <v>12000</v>
      </c>
      <c r="S1326" s="1082">
        <v>12000</v>
      </c>
      <c r="T1326" s="1082">
        <v>12000</v>
      </c>
      <c r="U1326" s="1082">
        <v>12000</v>
      </c>
      <c r="V1326" s="1082">
        <v>12000</v>
      </c>
      <c r="W1326" s="1082">
        <v>12000</v>
      </c>
      <c r="X1326" s="1082">
        <v>12000</v>
      </c>
      <c r="Y1326" s="1082">
        <v>12000</v>
      </c>
      <c r="Z1326" s="1082">
        <f ca="1">Calc!G30</f>
        <v>9800</v>
      </c>
      <c r="AB1326" s="320">
        <v>78.980000000001382</v>
      </c>
      <c r="AC1326" s="320">
        <v>93615</v>
      </c>
      <c r="AD1326" s="320">
        <v>90959.999999999985</v>
      </c>
      <c r="AE1326" s="320">
        <v>89804.999999999985</v>
      </c>
      <c r="AF1326" s="320">
        <v>89625</v>
      </c>
      <c r="AG1326" s="320">
        <v>91349.999999999985</v>
      </c>
      <c r="AH1326" s="320">
        <v>90479.999999999985</v>
      </c>
      <c r="AI1326" s="320">
        <v>91064.999999999985</v>
      </c>
      <c r="AJ1326" s="320">
        <v>91064.999999999985</v>
      </c>
      <c r="AK1326" s="320">
        <v>92250</v>
      </c>
      <c r="AL1326" s="320">
        <v>92984.999999999985</v>
      </c>
      <c r="AM1326" s="320">
        <v>90727.5</v>
      </c>
      <c r="AN1326" s="320">
        <v>91649.999999999985</v>
      </c>
      <c r="AO1326" s="320">
        <v>93344.999999999985</v>
      </c>
      <c r="AP1326" s="320">
        <v>91500</v>
      </c>
      <c r="AQ1326" s="320">
        <v>91125</v>
      </c>
      <c r="AR1326" s="320">
        <v>92084.999999999985</v>
      </c>
      <c r="AS1326" s="320">
        <v>92084.999999999985</v>
      </c>
      <c r="AT1326" s="320">
        <v>92984.999999999985</v>
      </c>
      <c r="AU1326" s="320">
        <v>92250</v>
      </c>
      <c r="AV1326" s="320">
        <f ca="1">Calc!AH30</f>
        <v>46.499999999991815</v>
      </c>
      <c r="AX1326" s="88" t="str">
        <f t="shared" ca="1" si="107"/>
        <v>MSFT</v>
      </c>
    </row>
    <row r="1327" spans="1:50" ht="23" hidden="1" customHeight="1">
      <c r="A1327" s="88" t="str">
        <f t="shared" ca="1" si="106"/>
        <v>NEE</v>
      </c>
      <c r="F1327" s="1082">
        <v>1200</v>
      </c>
      <c r="G1327" s="1082">
        <v>9800</v>
      </c>
      <c r="H1327" s="1082">
        <v>9800</v>
      </c>
      <c r="I1327" s="1082">
        <v>9800</v>
      </c>
      <c r="J1327" s="1082">
        <v>9800</v>
      </c>
      <c r="K1327" s="1082">
        <v>9650</v>
      </c>
      <c r="L1327" s="1082">
        <v>9650</v>
      </c>
      <c r="M1327" s="1082">
        <v>9650</v>
      </c>
      <c r="N1327" s="1082">
        <v>9650</v>
      </c>
      <c r="O1327" s="1082">
        <v>9800</v>
      </c>
      <c r="P1327" s="1082">
        <v>9800</v>
      </c>
      <c r="Q1327" s="1082">
        <v>9800</v>
      </c>
      <c r="R1327" s="1082">
        <v>9800</v>
      </c>
      <c r="S1327" s="1082">
        <v>9800</v>
      </c>
      <c r="T1327" s="1082">
        <v>9800</v>
      </c>
      <c r="U1327" s="1082">
        <v>9800</v>
      </c>
      <c r="V1327" s="1082">
        <v>9800</v>
      </c>
      <c r="W1327" s="1082">
        <v>9800</v>
      </c>
      <c r="X1327" s="1082">
        <v>9800</v>
      </c>
      <c r="Y1327" s="1082">
        <v>9800</v>
      </c>
      <c r="Z1327" s="1082">
        <f ca="1">Calc!G31</f>
        <v>400</v>
      </c>
      <c r="AB1327" s="320">
        <v>1132.000000000005</v>
      </c>
      <c r="AC1327" s="320">
        <v>-541.00000000000819</v>
      </c>
      <c r="AD1327" s="320">
        <v>-893.00000000000637</v>
      </c>
      <c r="AE1327" s="320">
        <v>-99.000000000000909</v>
      </c>
      <c r="AF1327" s="320">
        <v>-421.00000000000364</v>
      </c>
      <c r="AG1327" s="320">
        <v>-9.0000000000088676</v>
      </c>
      <c r="AH1327" s="320">
        <v>-139.50000000000955</v>
      </c>
      <c r="AI1327" s="320">
        <v>227.99999999999727</v>
      </c>
      <c r="AJ1327" s="320">
        <v>227.99999999999727</v>
      </c>
      <c r="AK1327" s="320">
        <v>1480.5000000000007</v>
      </c>
      <c r="AL1327" s="320">
        <v>1552.4999999999864</v>
      </c>
      <c r="AM1327" s="320">
        <v>1714.4849999999963</v>
      </c>
      <c r="AN1327" s="320">
        <v>1846.4999999999918</v>
      </c>
      <c r="AO1327" s="320">
        <v>1550.9999999999877</v>
      </c>
      <c r="AP1327" s="320">
        <v>1069.4999999999993</v>
      </c>
      <c r="AQ1327" s="320">
        <v>938.99999999999864</v>
      </c>
      <c r="AR1327" s="320">
        <v>506.99999999999932</v>
      </c>
      <c r="AS1327" s="320">
        <v>506.99999999999932</v>
      </c>
      <c r="AT1327" s="320">
        <v>504.00000000000205</v>
      </c>
      <c r="AU1327" s="320">
        <v>46.499999999991815</v>
      </c>
      <c r="AV1327" s="320">
        <f ca="1">Calc!AH31</f>
        <v>88.500000000000512</v>
      </c>
      <c r="AX1327" s="88" t="str">
        <f t="shared" ca="1" si="107"/>
        <v>NEE</v>
      </c>
    </row>
    <row r="1328" spans="1:50" ht="23" hidden="1" customHeight="1">
      <c r="A1328" s="88" t="str">
        <f t="shared" ca="1" si="106"/>
        <v>NEM</v>
      </c>
      <c r="F1328" s="1082">
        <v>14000</v>
      </c>
      <c r="G1328" s="1082">
        <v>1200</v>
      </c>
      <c r="H1328" s="1082">
        <v>1200</v>
      </c>
      <c r="I1328" s="1082">
        <v>1200</v>
      </c>
      <c r="J1328" s="1082">
        <v>1200</v>
      </c>
      <c r="K1328" s="1082">
        <v>700</v>
      </c>
      <c r="L1328" s="1082">
        <v>700</v>
      </c>
      <c r="M1328" s="1082">
        <v>700</v>
      </c>
      <c r="N1328" s="1082">
        <v>700</v>
      </c>
      <c r="O1328" s="1082">
        <v>700</v>
      </c>
      <c r="P1328" s="1082">
        <v>400</v>
      </c>
      <c r="Q1328" s="1082">
        <v>400</v>
      </c>
      <c r="R1328" s="1082">
        <v>400</v>
      </c>
      <c r="S1328" s="1082">
        <v>400</v>
      </c>
      <c r="T1328" s="1082">
        <v>400</v>
      </c>
      <c r="U1328" s="1082">
        <v>400</v>
      </c>
      <c r="V1328" s="1082">
        <v>400</v>
      </c>
      <c r="W1328" s="1082">
        <v>400</v>
      </c>
      <c r="X1328" s="1082">
        <v>400</v>
      </c>
      <c r="Y1328" s="1082">
        <v>400</v>
      </c>
      <c r="Z1328" s="1082">
        <f ca="1">Calc!G32</f>
        <v>17000</v>
      </c>
      <c r="AB1328" s="320">
        <v>65.379999999998972</v>
      </c>
      <c r="AC1328" s="320">
        <v>1242.0000000000045</v>
      </c>
      <c r="AD1328" s="320">
        <v>-1957.9999999999984</v>
      </c>
      <c r="AE1328" s="320">
        <v>-1462.9999999999939</v>
      </c>
      <c r="AF1328" s="320">
        <v>-3362.9999999999995</v>
      </c>
      <c r="AG1328" s="320">
        <v>-725.00000000000136</v>
      </c>
      <c r="AH1328" s="320">
        <v>-1109.9999999999995</v>
      </c>
      <c r="AI1328" s="320">
        <v>-929.99999999999977</v>
      </c>
      <c r="AJ1328" s="320">
        <v>-934.99999999999523</v>
      </c>
      <c r="AK1328" s="320">
        <v>-1225.0000000000014</v>
      </c>
      <c r="AL1328" s="320">
        <v>20.999999999997954</v>
      </c>
      <c r="AM1328" s="320">
        <v>-325.50000000000239</v>
      </c>
      <c r="AN1328" s="320">
        <v>-103.49999999999966</v>
      </c>
      <c r="AO1328" s="320">
        <v>52.499999999999147</v>
      </c>
      <c r="AP1328" s="320">
        <v>-21.000000000002217</v>
      </c>
      <c r="AQ1328" s="320">
        <v>214.50000000000102</v>
      </c>
      <c r="AR1328" s="320">
        <v>556.50000000000114</v>
      </c>
      <c r="AS1328" s="320">
        <v>556.50000000000114</v>
      </c>
      <c r="AT1328" s="320">
        <v>430.50000000000068</v>
      </c>
      <c r="AU1328" s="320">
        <v>88.500000000000512</v>
      </c>
      <c r="AV1328" s="320">
        <f ca="1">Calc!AH32</f>
        <v>10849.999999999995</v>
      </c>
      <c r="AX1328" s="88" t="str">
        <f t="shared" ca="1" si="107"/>
        <v>NEM</v>
      </c>
    </row>
    <row r="1329" spans="1:50" ht="23" hidden="1" customHeight="1">
      <c r="A1329" s="88" t="str">
        <f t="shared" ca="1" si="106"/>
        <v>NFLX</v>
      </c>
      <c r="F1329" s="1082">
        <v>600</v>
      </c>
      <c r="G1329" s="1082">
        <v>14000</v>
      </c>
      <c r="H1329" s="1082">
        <v>14000</v>
      </c>
      <c r="I1329" s="1082">
        <v>14000</v>
      </c>
      <c r="J1329" s="1082">
        <v>14000</v>
      </c>
      <c r="K1329" s="1082">
        <v>14000</v>
      </c>
      <c r="L1329" s="1082">
        <v>14000</v>
      </c>
      <c r="M1329" s="1082">
        <v>14000</v>
      </c>
      <c r="N1329" s="1082">
        <v>14000</v>
      </c>
      <c r="O1329" s="1082">
        <v>14000</v>
      </c>
      <c r="P1329" s="1082">
        <v>14000</v>
      </c>
      <c r="Q1329" s="1082">
        <v>14000</v>
      </c>
      <c r="R1329" s="1082">
        <v>14000</v>
      </c>
      <c r="S1329" s="1082">
        <v>14000</v>
      </c>
      <c r="T1329" s="1082">
        <v>13000</v>
      </c>
      <c r="U1329" s="1082">
        <v>17000</v>
      </c>
      <c r="V1329" s="1082">
        <v>17000</v>
      </c>
      <c r="W1329" s="1082">
        <v>17000</v>
      </c>
      <c r="X1329" s="1082">
        <v>15000</v>
      </c>
      <c r="Y1329" s="1082">
        <v>17000</v>
      </c>
      <c r="Z1329" s="1082">
        <f ca="1">Calc!G33</f>
        <v>3000</v>
      </c>
      <c r="AB1329" s="320">
        <v>3196.0000000000036</v>
      </c>
      <c r="AC1329" s="320">
        <v>205.99999999999739</v>
      </c>
      <c r="AD1329" s="320">
        <v>-124.00000000000091</v>
      </c>
      <c r="AE1329" s="320">
        <v>-221.0000000000008</v>
      </c>
      <c r="AF1329" s="320">
        <v>-307.00000000000216</v>
      </c>
      <c r="AG1329" s="320">
        <v>-328.00000000000011</v>
      </c>
      <c r="AH1329" s="320">
        <v>-618.00000000000068</v>
      </c>
      <c r="AI1329" s="320">
        <v>17.99999999999784</v>
      </c>
      <c r="AJ1329" s="320">
        <v>21.999999999999886</v>
      </c>
      <c r="AK1329" s="320">
        <v>-816.0000000000025</v>
      </c>
      <c r="AL1329" s="320">
        <v>-1044.0000000000027</v>
      </c>
      <c r="AM1329" s="320">
        <v>-1664.0000000000014</v>
      </c>
      <c r="AN1329" s="320">
        <v>-2586.0000000000014</v>
      </c>
      <c r="AO1329" s="320">
        <v>-1090.0000000000005</v>
      </c>
      <c r="AP1329" s="320">
        <v>-674.99999999999716</v>
      </c>
      <c r="AQ1329" s="320">
        <v>7914.9999999999918</v>
      </c>
      <c r="AR1329" s="320">
        <v>7219.9999999999991</v>
      </c>
      <c r="AS1329" s="320">
        <v>7219.9999999999991</v>
      </c>
      <c r="AT1329" s="320">
        <v>5359.9999999999991</v>
      </c>
      <c r="AU1329" s="320">
        <v>10890</v>
      </c>
      <c r="AV1329" s="320">
        <f ca="1">Calc!AH33</f>
        <v>13886.999999999989</v>
      </c>
      <c r="AX1329" s="88" t="str">
        <f t="shared" ca="1" si="107"/>
        <v>NFLX</v>
      </c>
    </row>
    <row r="1330" spans="1:50" ht="23" hidden="1" customHeight="1">
      <c r="A1330" s="88" t="str">
        <f t="shared" ca="1" si="106"/>
        <v>NOTE</v>
      </c>
      <c r="F1330" s="1082">
        <v>26667</v>
      </c>
      <c r="G1330" s="1082">
        <v>600</v>
      </c>
      <c r="H1330" s="1082">
        <v>600</v>
      </c>
      <c r="I1330" s="1082">
        <v>600</v>
      </c>
      <c r="J1330" s="1082">
        <v>600</v>
      </c>
      <c r="K1330" s="1082">
        <v>800</v>
      </c>
      <c r="L1330" s="1082">
        <v>800</v>
      </c>
      <c r="M1330" s="1082">
        <v>700</v>
      </c>
      <c r="N1330" s="1082">
        <v>700</v>
      </c>
      <c r="O1330" s="1082">
        <v>700</v>
      </c>
      <c r="P1330" s="1082">
        <v>700</v>
      </c>
      <c r="Q1330" s="1082">
        <v>700</v>
      </c>
      <c r="R1330" s="1082">
        <v>800</v>
      </c>
      <c r="S1330" s="1082">
        <v>800</v>
      </c>
      <c r="T1330" s="1082">
        <v>700</v>
      </c>
      <c r="U1330" s="1082">
        <v>700</v>
      </c>
      <c r="V1330" s="1082">
        <v>2000</v>
      </c>
      <c r="W1330" s="1082">
        <v>2000</v>
      </c>
      <c r="X1330" s="1082">
        <v>2500</v>
      </c>
      <c r="Y1330" s="1082">
        <v>3000</v>
      </c>
      <c r="Z1330" s="1082">
        <f ca="1">Calc!G34</f>
        <v>26667</v>
      </c>
      <c r="AB1330" s="320">
        <v>0</v>
      </c>
      <c r="AC1330" s="320">
        <v>4319.9999999999818</v>
      </c>
      <c r="AD1330" s="320">
        <v>9923.9999999999782</v>
      </c>
      <c r="AE1330" s="320">
        <v>11598.000000000002</v>
      </c>
      <c r="AF1330" s="320">
        <v>13440.000000000009</v>
      </c>
      <c r="AG1330" s="320">
        <v>5892.0000000000073</v>
      </c>
      <c r="AH1330" s="320">
        <v>1253.9999999999964</v>
      </c>
      <c r="AI1330" s="320">
        <v>425.99999999999909</v>
      </c>
      <c r="AJ1330" s="320">
        <v>425.99999999999909</v>
      </c>
      <c r="AK1330" s="320">
        <v>1629.9999999999955</v>
      </c>
      <c r="AL1330" s="320">
        <v>1998.0000000000018</v>
      </c>
      <c r="AM1330" s="320">
        <v>2875</v>
      </c>
      <c r="AN1330" s="320">
        <v>5174.0000000000009</v>
      </c>
      <c r="AO1330" s="320">
        <v>3597.0000000000027</v>
      </c>
      <c r="AP1330" s="320">
        <v>-500</v>
      </c>
      <c r="AQ1330" s="320">
        <v>-778.99999999999636</v>
      </c>
      <c r="AR1330" s="320">
        <v>11719.000000000005</v>
      </c>
      <c r="AS1330" s="320">
        <v>11719.000000000005</v>
      </c>
      <c r="AT1330" s="320">
        <v>11997.000000000004</v>
      </c>
      <c r="AU1330" s="320">
        <v>13886.999999999989</v>
      </c>
      <c r="AV1330" s="320">
        <f ca="1">Calc!AH34</f>
        <v>0</v>
      </c>
      <c r="AX1330" s="88" t="str">
        <f t="shared" ca="1" si="107"/>
        <v>NOTE</v>
      </c>
    </row>
    <row r="1331" spans="1:50" ht="23" hidden="1" customHeight="1">
      <c r="A1331" s="88" t="str">
        <f t="shared" ca="1" si="106"/>
        <v>PAAS</v>
      </c>
      <c r="F1331" s="1082">
        <v>2500</v>
      </c>
      <c r="G1331" s="1082">
        <v>26667</v>
      </c>
      <c r="H1331" s="1082">
        <v>26667</v>
      </c>
      <c r="I1331" s="1082">
        <v>26667</v>
      </c>
      <c r="J1331" s="1082">
        <v>26667</v>
      </c>
      <c r="K1331" s="1082">
        <v>26667</v>
      </c>
      <c r="L1331" s="1082">
        <v>26667</v>
      </c>
      <c r="M1331" s="1082">
        <v>26667</v>
      </c>
      <c r="N1331" s="1082">
        <v>26667</v>
      </c>
      <c r="O1331" s="1082">
        <v>26667</v>
      </c>
      <c r="P1331" s="1082">
        <v>26667</v>
      </c>
      <c r="Q1331" s="1082">
        <v>26667</v>
      </c>
      <c r="R1331" s="1082">
        <v>26667</v>
      </c>
      <c r="S1331" s="1082">
        <v>26667</v>
      </c>
      <c r="T1331" s="1082">
        <v>26667</v>
      </c>
      <c r="U1331" s="1082">
        <v>26667</v>
      </c>
      <c r="V1331" s="1082">
        <v>26667</v>
      </c>
      <c r="W1331" s="1082">
        <v>26667</v>
      </c>
      <c r="X1331" s="1082">
        <v>26667</v>
      </c>
      <c r="Y1331" s="1082">
        <v>26667</v>
      </c>
      <c r="Z1331" s="1082">
        <f ca="1">Calc!G35</f>
        <v>4000</v>
      </c>
      <c r="AB1331" s="320">
        <v>7.7500000000014779</v>
      </c>
      <c r="AC1331" s="320">
        <v>0</v>
      </c>
      <c r="AD1331" s="320">
        <v>0</v>
      </c>
      <c r="AE1331" s="320">
        <v>0</v>
      </c>
      <c r="AF1331" s="320">
        <v>0</v>
      </c>
      <c r="AG1331" s="320">
        <v>0</v>
      </c>
      <c r="AH1331" s="320">
        <v>0</v>
      </c>
      <c r="AI1331" s="320">
        <v>0</v>
      </c>
      <c r="AJ1331" s="320">
        <v>0</v>
      </c>
      <c r="AK1331" s="320">
        <v>0</v>
      </c>
      <c r="AL1331" s="320">
        <v>0</v>
      </c>
      <c r="AM1331" s="320">
        <v>0</v>
      </c>
      <c r="AN1331" s="320">
        <v>0</v>
      </c>
      <c r="AO1331" s="320">
        <v>0</v>
      </c>
      <c r="AP1331" s="320">
        <v>0</v>
      </c>
      <c r="AQ1331" s="320">
        <v>0</v>
      </c>
      <c r="AR1331" s="320">
        <v>0</v>
      </c>
      <c r="AS1331" s="320">
        <v>0</v>
      </c>
      <c r="AT1331" s="320">
        <v>0</v>
      </c>
      <c r="AU1331" s="320">
        <v>0</v>
      </c>
      <c r="AV1331" s="320">
        <f ca="1">Calc!AH35</f>
        <v>1480.2499999999982</v>
      </c>
      <c r="AX1331" s="88" t="str">
        <f t="shared" ca="1" si="107"/>
        <v>PAAS</v>
      </c>
    </row>
    <row r="1332" spans="1:50" ht="23" hidden="1" customHeight="1">
      <c r="A1332" s="88" t="str">
        <f t="shared" ca="1" si="106"/>
        <v>PROF</v>
      </c>
      <c r="F1332" s="1082">
        <v>6000</v>
      </c>
      <c r="G1332" s="1082">
        <v>2500</v>
      </c>
      <c r="H1332" s="1082">
        <v>2500</v>
      </c>
      <c r="I1332" s="1082">
        <v>2500</v>
      </c>
      <c r="J1332" s="1082">
        <v>2500</v>
      </c>
      <c r="K1332" s="1082">
        <v>2500</v>
      </c>
      <c r="L1332" s="1082">
        <v>2500</v>
      </c>
      <c r="M1332" s="1082">
        <v>2500</v>
      </c>
      <c r="N1332" s="1082">
        <v>2500</v>
      </c>
      <c r="O1332" s="1082">
        <v>2500</v>
      </c>
      <c r="P1332" s="1082">
        <v>2500</v>
      </c>
      <c r="Q1332" s="1082">
        <v>2500</v>
      </c>
      <c r="R1332" s="1082">
        <v>2500</v>
      </c>
      <c r="S1332" s="1082">
        <v>2500</v>
      </c>
      <c r="T1332" s="1082">
        <v>2500</v>
      </c>
      <c r="U1332" s="1082">
        <v>4000</v>
      </c>
      <c r="V1332" s="1082">
        <v>4000</v>
      </c>
      <c r="W1332" s="1082">
        <v>4000</v>
      </c>
      <c r="X1332" s="1082">
        <v>4000</v>
      </c>
      <c r="Y1332" s="1082">
        <v>4000</v>
      </c>
      <c r="Z1332" s="1082">
        <f ca="1">Calc!G36</f>
        <v>4000</v>
      </c>
      <c r="AB1332" s="320">
        <v>3660</v>
      </c>
      <c r="AC1332" s="320">
        <v>282.75000000000006</v>
      </c>
      <c r="AD1332" s="320">
        <v>0.25000000000119371</v>
      </c>
      <c r="AE1332" s="320">
        <v>55.250000000000909</v>
      </c>
      <c r="AF1332" s="320">
        <v>130.2500000000002</v>
      </c>
      <c r="AG1332" s="320">
        <v>-19.750000000001933</v>
      </c>
      <c r="AH1332" s="320">
        <v>-239.7500000000008</v>
      </c>
      <c r="AI1332" s="320">
        <v>370.24999999999864</v>
      </c>
      <c r="AJ1332" s="320">
        <v>375.25000000000119</v>
      </c>
      <c r="AK1332" s="320">
        <v>-779.75</v>
      </c>
      <c r="AL1332" s="320">
        <v>-129.75000000000136</v>
      </c>
      <c r="AM1332" s="320">
        <v>-879.75000000000136</v>
      </c>
      <c r="AN1332" s="320">
        <v>-1364.7500000000009</v>
      </c>
      <c r="AO1332" s="320">
        <v>430.25000000000091</v>
      </c>
      <c r="AP1332" s="320">
        <v>-24.750000000000938</v>
      </c>
      <c r="AQ1332" s="320">
        <v>1932.7499999999986</v>
      </c>
      <c r="AR1332" s="320">
        <v>1712.7499999999998</v>
      </c>
      <c r="AS1332" s="320">
        <v>1712.7499999999998</v>
      </c>
      <c r="AT1332" s="320">
        <v>1545.2499999999993</v>
      </c>
      <c r="AU1332" s="320">
        <v>1485.2500000000007</v>
      </c>
      <c r="AV1332" s="320">
        <f ca="1">Calc!AH36</f>
        <v>220.00000000000063</v>
      </c>
      <c r="AX1332" s="88" t="str">
        <f t="shared" ca="1" si="107"/>
        <v>PROF</v>
      </c>
    </row>
    <row r="1333" spans="1:50" ht="23" hidden="1" customHeight="1">
      <c r="A1333" s="88" t="str">
        <f t="shared" ca="1" si="106"/>
        <v>POET</v>
      </c>
      <c r="F1333" s="1082">
        <v>50000</v>
      </c>
      <c r="G1333" s="1082">
        <v>6000</v>
      </c>
      <c r="H1333" s="1082">
        <v>6000</v>
      </c>
      <c r="I1333" s="1082">
        <v>6000</v>
      </c>
      <c r="J1333" s="1082">
        <v>6000</v>
      </c>
      <c r="K1333" s="1082">
        <v>6000</v>
      </c>
      <c r="L1333" s="1082">
        <v>6000</v>
      </c>
      <c r="M1333" s="1082">
        <v>6000</v>
      </c>
      <c r="N1333" s="1082">
        <v>6000</v>
      </c>
      <c r="O1333" s="1082">
        <v>6000</v>
      </c>
      <c r="P1333" s="1082">
        <v>6000</v>
      </c>
      <c r="Q1333" s="1082">
        <v>4000</v>
      </c>
      <c r="R1333" s="1082">
        <v>4000</v>
      </c>
      <c r="S1333" s="1082">
        <v>4000</v>
      </c>
      <c r="T1333" s="1082">
        <v>4000</v>
      </c>
      <c r="U1333" s="1082">
        <v>4000</v>
      </c>
      <c r="V1333" s="1082">
        <v>4000</v>
      </c>
      <c r="W1333" s="1082">
        <v>4000</v>
      </c>
      <c r="X1333" s="1082">
        <v>4000</v>
      </c>
      <c r="Y1333" s="1082">
        <v>4000</v>
      </c>
      <c r="Z1333" s="1082">
        <f ca="1">Calc!G37</f>
        <v>45000</v>
      </c>
      <c r="AB1333" s="320">
        <v>2644.2499999999991</v>
      </c>
      <c r="AC1333" s="320">
        <v>4080</v>
      </c>
      <c r="AD1333" s="320">
        <v>3979.9999999999986</v>
      </c>
      <c r="AE1333" s="320">
        <v>3240</v>
      </c>
      <c r="AF1333" s="320">
        <v>2510</v>
      </c>
      <c r="AG1333" s="320">
        <v>939.99999999999955</v>
      </c>
      <c r="AH1333" s="320">
        <v>379.99999999999898</v>
      </c>
      <c r="AI1333" s="320">
        <v>599.99999999999966</v>
      </c>
      <c r="AJ1333" s="320">
        <v>599.99999999999966</v>
      </c>
      <c r="AK1333" s="320">
        <v>1899.9999999999986</v>
      </c>
      <c r="AL1333" s="320">
        <v>2199.9999999999991</v>
      </c>
      <c r="AM1333" s="320">
        <v>20.00000000000135</v>
      </c>
      <c r="AN1333" s="320">
        <v>100.00000000000142</v>
      </c>
      <c r="AO1333" s="320">
        <v>160.00000000000014</v>
      </c>
      <c r="AP1333" s="320">
        <v>-339.99999999999989</v>
      </c>
      <c r="AQ1333" s="320">
        <v>-500</v>
      </c>
      <c r="AR1333" s="320">
        <v>380.0000000000008</v>
      </c>
      <c r="AS1333" s="320">
        <v>380.0000000000008</v>
      </c>
      <c r="AT1333" s="320">
        <v>608.00000000000057</v>
      </c>
      <c r="AU1333" s="320">
        <v>220.00000000000063</v>
      </c>
      <c r="AV1333" s="320">
        <f ca="1">Calc!AH37</f>
        <v>2099.9999999999995</v>
      </c>
      <c r="AX1333" s="88" t="str">
        <f t="shared" ca="1" si="107"/>
        <v>POET</v>
      </c>
    </row>
    <row r="1334" spans="1:50" ht="23" hidden="1" customHeight="1">
      <c r="A1334" s="88" t="str">
        <f t="shared" ca="1" si="106"/>
        <v>PW</v>
      </c>
      <c r="F1334" s="1082">
        <v>10000</v>
      </c>
      <c r="G1334" s="1082">
        <v>50000</v>
      </c>
      <c r="H1334" s="1082">
        <v>50000</v>
      </c>
      <c r="I1334" s="1082">
        <v>50000</v>
      </c>
      <c r="J1334" s="1082">
        <v>50000</v>
      </c>
      <c r="K1334" s="1082">
        <v>47500</v>
      </c>
      <c r="L1334" s="1082">
        <v>45000</v>
      </c>
      <c r="M1334" s="1082">
        <v>45000</v>
      </c>
      <c r="N1334" s="1082">
        <v>45000</v>
      </c>
      <c r="O1334" s="1082">
        <v>45000</v>
      </c>
      <c r="P1334" s="1082">
        <v>45000</v>
      </c>
      <c r="Q1334" s="1082">
        <v>45000</v>
      </c>
      <c r="R1334" s="1082">
        <v>45000</v>
      </c>
      <c r="S1334" s="1082">
        <v>45000</v>
      </c>
      <c r="T1334" s="1082">
        <v>45000</v>
      </c>
      <c r="U1334" s="1082">
        <v>45000</v>
      </c>
      <c r="V1334" s="1082">
        <v>45000</v>
      </c>
      <c r="W1334" s="1082">
        <v>45000</v>
      </c>
      <c r="X1334" s="1082">
        <v>45000</v>
      </c>
      <c r="Y1334" s="1082">
        <v>45000</v>
      </c>
      <c r="Z1334" s="1082">
        <f ca="1">Calc!G38</f>
        <v>10000</v>
      </c>
      <c r="AB1334" s="320">
        <v>1413.4211999999998</v>
      </c>
      <c r="AC1334" s="320">
        <v>2400</v>
      </c>
      <c r="AD1334" s="320">
        <v>1399.9999999999991</v>
      </c>
      <c r="AE1334" s="320">
        <v>0</v>
      </c>
      <c r="AF1334" s="320">
        <v>700.00000000000057</v>
      </c>
      <c r="AG1334" s="320">
        <v>-1199.9999999999989</v>
      </c>
      <c r="AH1334" s="320">
        <v>-375.00000000000091</v>
      </c>
      <c r="AI1334" s="320">
        <v>625</v>
      </c>
      <c r="AJ1334" s="320">
        <v>625</v>
      </c>
      <c r="AK1334" s="320">
        <v>1600.0000000000014</v>
      </c>
      <c r="AL1334" s="320">
        <v>49.999999999998934</v>
      </c>
      <c r="AM1334" s="320">
        <v>1712.5000000000011</v>
      </c>
      <c r="AN1334" s="320">
        <v>3775.0000000000018</v>
      </c>
      <c r="AO1334" s="320">
        <v>5125.0000000000018</v>
      </c>
      <c r="AP1334" s="320">
        <v>3700.0000000000009</v>
      </c>
      <c r="AQ1334" s="320">
        <v>4050.0000000000005</v>
      </c>
      <c r="AR1334" s="320">
        <v>4250</v>
      </c>
      <c r="AS1334" s="320">
        <v>4250</v>
      </c>
      <c r="AT1334" s="320">
        <v>4400.0000000000018</v>
      </c>
      <c r="AU1334" s="320">
        <v>2099.9999999999995</v>
      </c>
      <c r="AV1334" s="320">
        <f ca="1">Calc!AH38</f>
        <v>2364.2190000000001</v>
      </c>
      <c r="AX1334" s="88" t="str">
        <f t="shared" ca="1" si="107"/>
        <v>PW</v>
      </c>
    </row>
    <row r="1335" spans="1:50" ht="23" hidden="1" customHeight="1">
      <c r="A1335" s="88" t="str">
        <f t="shared" ca="1" si="106"/>
        <v>RIGL</v>
      </c>
      <c r="F1335" s="1082">
        <v>4000</v>
      </c>
      <c r="G1335" s="1082">
        <v>10000</v>
      </c>
      <c r="H1335" s="1082">
        <v>10000</v>
      </c>
      <c r="I1335" s="1082">
        <v>10000</v>
      </c>
      <c r="J1335" s="1082">
        <v>10000</v>
      </c>
      <c r="K1335" s="1082">
        <v>10000</v>
      </c>
      <c r="L1335" s="1082">
        <v>10000</v>
      </c>
      <c r="M1335" s="1082">
        <v>10000</v>
      </c>
      <c r="N1335" s="1082">
        <v>10000</v>
      </c>
      <c r="O1335" s="1082">
        <v>10000</v>
      </c>
      <c r="P1335" s="1082">
        <v>10000</v>
      </c>
      <c r="Q1335" s="1082">
        <v>10000</v>
      </c>
      <c r="R1335" s="1082">
        <v>10000</v>
      </c>
      <c r="S1335" s="1082">
        <v>10000</v>
      </c>
      <c r="T1335" s="1082">
        <v>10000</v>
      </c>
      <c r="U1335" s="1082">
        <v>10000</v>
      </c>
      <c r="V1335" s="1082">
        <v>10000</v>
      </c>
      <c r="W1335" s="1082">
        <v>10000</v>
      </c>
      <c r="X1335" s="1082">
        <v>10000</v>
      </c>
      <c r="Y1335" s="1082">
        <v>10000</v>
      </c>
      <c r="Z1335" s="1082">
        <f ca="1">Calc!G39</f>
        <v>2000</v>
      </c>
      <c r="AB1335" s="320">
        <v>9980</v>
      </c>
      <c r="AC1335" s="320">
        <v>1593.18</v>
      </c>
      <c r="AD1335" s="320">
        <v>1593.18</v>
      </c>
      <c r="AE1335" s="320">
        <v>1507.2084000000002</v>
      </c>
      <c r="AF1335" s="320">
        <v>1593.18</v>
      </c>
      <c r="AG1335" s="320">
        <v>1503</v>
      </c>
      <c r="AH1335" s="320">
        <v>1631.0556000000001</v>
      </c>
      <c r="AI1335" s="320">
        <v>1773.2394000000004</v>
      </c>
      <c r="AJ1335" s="320">
        <v>1773.2394000000004</v>
      </c>
      <c r="AK1335" s="320">
        <v>1905.8040000000001</v>
      </c>
      <c r="AL1335" s="320">
        <v>2009.2103999999999</v>
      </c>
      <c r="AM1335" s="320">
        <v>1923.8400000000001</v>
      </c>
      <c r="AN1335" s="320">
        <v>1924.1405999999999</v>
      </c>
      <c r="AO1335" s="320">
        <v>2163.1176</v>
      </c>
      <c r="AP1335" s="320">
        <v>2281.2534000000001</v>
      </c>
      <c r="AQ1335" s="320">
        <v>2332.3553999999999</v>
      </c>
      <c r="AR1335" s="320">
        <v>2496.4830000000002</v>
      </c>
      <c r="AS1335" s="320">
        <v>2496.4830000000002</v>
      </c>
      <c r="AT1335" s="320">
        <v>2570.13</v>
      </c>
      <c r="AU1335" s="320">
        <v>2364.2190000000001</v>
      </c>
      <c r="AV1335" s="320">
        <f ca="1">Calc!AH39</f>
        <v>-99.999999999994316</v>
      </c>
      <c r="AX1335" s="88" t="str">
        <f t="shared" ca="1" si="107"/>
        <v>RIGL</v>
      </c>
    </row>
    <row r="1336" spans="1:50" ht="23" hidden="1" customHeight="1">
      <c r="A1336" s="88" t="str">
        <f t="shared" ca="1" si="106"/>
        <v>RWE</v>
      </c>
      <c r="F1336" s="1082">
        <v>50</v>
      </c>
      <c r="G1336" s="1082">
        <v>4000</v>
      </c>
      <c r="H1336" s="1082">
        <v>4000</v>
      </c>
      <c r="I1336" s="1082">
        <v>4000</v>
      </c>
      <c r="J1336" s="1082">
        <v>4000</v>
      </c>
      <c r="K1336" s="1082">
        <v>4000</v>
      </c>
      <c r="L1336" s="1082">
        <v>4000</v>
      </c>
      <c r="M1336" s="1082">
        <v>4000</v>
      </c>
      <c r="N1336" s="1082">
        <v>4000</v>
      </c>
      <c r="O1336" s="1082">
        <v>4000</v>
      </c>
      <c r="P1336" s="1082">
        <v>4000</v>
      </c>
      <c r="Q1336" s="1082">
        <v>4000</v>
      </c>
      <c r="R1336" s="1082">
        <v>4000</v>
      </c>
      <c r="S1336" s="1082">
        <v>4000</v>
      </c>
      <c r="T1336" s="1082">
        <v>4000</v>
      </c>
      <c r="U1336" s="1082">
        <v>2000</v>
      </c>
      <c r="V1336" s="1082">
        <v>2000</v>
      </c>
      <c r="W1336" s="1082">
        <v>2000</v>
      </c>
      <c r="X1336" s="1082">
        <v>2000</v>
      </c>
      <c r="Y1336" s="1082">
        <v>2000</v>
      </c>
      <c r="Z1336" s="1082">
        <f ca="1">Calc!G40</f>
        <v>50</v>
      </c>
      <c r="AB1336" s="320">
        <v>-14144.000000000005</v>
      </c>
      <c r="AC1336" s="320">
        <v>10390</v>
      </c>
      <c r="AD1336" s="320">
        <v>10559.999999999998</v>
      </c>
      <c r="AE1336" s="320">
        <v>10599.999999999998</v>
      </c>
      <c r="AF1336" s="320">
        <v>10180</v>
      </c>
      <c r="AG1336" s="320">
        <v>9219.9999999999982</v>
      </c>
      <c r="AH1336" s="320">
        <v>9959.9999999999982</v>
      </c>
      <c r="AI1336" s="320">
        <v>10320</v>
      </c>
      <c r="AJ1336" s="320">
        <v>10320</v>
      </c>
      <c r="AK1336" s="320">
        <v>11890</v>
      </c>
      <c r="AL1336" s="320">
        <v>11340</v>
      </c>
      <c r="AM1336" s="320">
        <v>10640</v>
      </c>
      <c r="AN1336" s="320">
        <v>10610</v>
      </c>
      <c r="AO1336" s="320">
        <v>10779.999999999998</v>
      </c>
      <c r="AP1336" s="320">
        <v>9259.9999999999982</v>
      </c>
      <c r="AQ1336" s="320">
        <v>-699.99999999999568</v>
      </c>
      <c r="AR1336" s="320">
        <v>-1539.9999999999991</v>
      </c>
      <c r="AS1336" s="320">
        <v>-1539.9999999999991</v>
      </c>
      <c r="AT1336" s="320">
        <v>1060.0000000000023</v>
      </c>
      <c r="AU1336" s="320">
        <v>-99.999999999994316</v>
      </c>
      <c r="AV1336" s="320">
        <f ca="1">Calc!AH40</f>
        <v>-23072.000000000004</v>
      </c>
      <c r="AX1336" s="88" t="str">
        <f t="shared" ca="1" si="107"/>
        <v>RWE</v>
      </c>
    </row>
    <row r="1337" spans="1:50" ht="23" hidden="1" customHeight="1">
      <c r="A1337" s="88" t="str">
        <f t="shared" ca="1" si="106"/>
        <v>SAP</v>
      </c>
      <c r="F1337" s="1082">
        <v>3500</v>
      </c>
      <c r="G1337" s="1082">
        <v>50</v>
      </c>
      <c r="H1337" s="1082">
        <v>50</v>
      </c>
      <c r="I1337" s="1082">
        <v>50</v>
      </c>
      <c r="J1337" s="1082">
        <v>50</v>
      </c>
      <c r="K1337" s="1082">
        <v>50</v>
      </c>
      <c r="L1337" s="1082">
        <v>50</v>
      </c>
      <c r="M1337" s="1082">
        <v>50</v>
      </c>
      <c r="N1337" s="1082">
        <v>50</v>
      </c>
      <c r="O1337" s="1082">
        <v>50</v>
      </c>
      <c r="P1337" s="1082">
        <v>50</v>
      </c>
      <c r="Q1337" s="1082">
        <v>50</v>
      </c>
      <c r="R1337" s="1082">
        <v>50</v>
      </c>
      <c r="S1337" s="1082">
        <v>50</v>
      </c>
      <c r="T1337" s="1082">
        <v>50</v>
      </c>
      <c r="U1337" s="1082">
        <v>50</v>
      </c>
      <c r="V1337" s="1082">
        <v>50</v>
      </c>
      <c r="W1337" s="1082">
        <v>50</v>
      </c>
      <c r="X1337" s="1082">
        <v>50</v>
      </c>
      <c r="Y1337" s="1082">
        <v>50</v>
      </c>
      <c r="Z1337" s="1082">
        <f ca="1">Calc!G41</f>
        <v>3800</v>
      </c>
      <c r="AB1337" s="320">
        <v>19750</v>
      </c>
      <c r="AC1337" s="320">
        <v>-14592.000000000007</v>
      </c>
      <c r="AD1337" s="320">
        <v>-18176</v>
      </c>
      <c r="AE1337" s="320">
        <v>-17824</v>
      </c>
      <c r="AF1337" s="320">
        <v>-18752</v>
      </c>
      <c r="AG1337" s="320">
        <v>-20352</v>
      </c>
      <c r="AH1337" s="320">
        <v>-22816.000000000007</v>
      </c>
      <c r="AI1337" s="320">
        <v>-21952</v>
      </c>
      <c r="AJ1337" s="320">
        <v>-22976</v>
      </c>
      <c r="AK1337" s="320">
        <v>-24320.000000000004</v>
      </c>
      <c r="AL1337" s="320">
        <v>-23103.999999999996</v>
      </c>
      <c r="AM1337" s="320">
        <v>-23455.999999999993</v>
      </c>
      <c r="AN1337" s="320">
        <v>-25664.000000000011</v>
      </c>
      <c r="AO1337" s="320">
        <v>-24640.000000000007</v>
      </c>
      <c r="AP1337" s="320">
        <v>-24192.000000000007</v>
      </c>
      <c r="AQ1337" s="320">
        <v>-22752</v>
      </c>
      <c r="AR1337" s="320">
        <v>-21952</v>
      </c>
      <c r="AS1337" s="320">
        <v>-21952</v>
      </c>
      <c r="AT1337" s="320">
        <v>-21248</v>
      </c>
      <c r="AU1337" s="320">
        <v>-22783.999999999993</v>
      </c>
      <c r="AV1337" s="320">
        <f ca="1">Calc!AH41</f>
        <v>890.00000000000341</v>
      </c>
      <c r="AX1337" s="88" t="str">
        <f t="shared" ca="1" si="107"/>
        <v>SAP</v>
      </c>
    </row>
    <row r="1338" spans="1:50" ht="23" hidden="1" customHeight="1">
      <c r="A1338" s="88" t="str">
        <f t="shared" ca="1" si="106"/>
        <v>SHECY</v>
      </c>
      <c r="F1338" s="1082">
        <v>23000</v>
      </c>
      <c r="G1338" s="1082">
        <v>3500</v>
      </c>
      <c r="H1338" s="1082">
        <v>3500</v>
      </c>
      <c r="I1338" s="1082">
        <v>4000</v>
      </c>
      <c r="J1338" s="1082">
        <v>4000</v>
      </c>
      <c r="K1338" s="1082">
        <v>4000</v>
      </c>
      <c r="L1338" s="1082">
        <v>4000</v>
      </c>
      <c r="M1338" s="1082">
        <v>4000</v>
      </c>
      <c r="N1338" s="1082">
        <v>3800</v>
      </c>
      <c r="O1338" s="1082">
        <v>3800</v>
      </c>
      <c r="P1338" s="1082">
        <v>3800</v>
      </c>
      <c r="Q1338" s="1082">
        <v>3800</v>
      </c>
      <c r="R1338" s="1082">
        <v>3800</v>
      </c>
      <c r="S1338" s="1082">
        <v>3800</v>
      </c>
      <c r="T1338" s="1082">
        <v>3800</v>
      </c>
      <c r="U1338" s="1082">
        <v>3800</v>
      </c>
      <c r="V1338" s="1082">
        <v>3800</v>
      </c>
      <c r="W1338" s="1082">
        <v>3800</v>
      </c>
      <c r="X1338" s="1082">
        <v>3800</v>
      </c>
      <c r="Y1338" s="1082">
        <v>3800</v>
      </c>
      <c r="Z1338" s="1082">
        <f ca="1">Calc!G42</f>
        <v>22368</v>
      </c>
      <c r="AB1338" s="320">
        <v>4836.0000000000018</v>
      </c>
      <c r="AC1338" s="320">
        <v>18575.000000000004</v>
      </c>
      <c r="AD1338" s="320">
        <v>18625</v>
      </c>
      <c r="AE1338" s="320">
        <v>16475.000000000007</v>
      </c>
      <c r="AF1338" s="320">
        <v>17450.000000000004</v>
      </c>
      <c r="AG1338" s="320">
        <v>15025.000000000005</v>
      </c>
      <c r="AH1338" s="320">
        <v>13925.000000000011</v>
      </c>
      <c r="AI1338" s="320">
        <v>13625</v>
      </c>
      <c r="AJ1338" s="320">
        <v>-39.999999999997726</v>
      </c>
      <c r="AK1338" s="320">
        <v>1280.0000000000011</v>
      </c>
      <c r="AL1338" s="320">
        <v>1020.0000000000045</v>
      </c>
      <c r="AM1338" s="320">
        <v>720.00000000000455</v>
      </c>
      <c r="AN1338" s="320">
        <v>920.00000000000455</v>
      </c>
      <c r="AO1338" s="320">
        <v>1370.0000000000045</v>
      </c>
      <c r="AP1338" s="320">
        <v>-159.99999999999659</v>
      </c>
      <c r="AQ1338" s="320">
        <v>-519.99999999999886</v>
      </c>
      <c r="AR1338" s="320">
        <v>190.00000000000341</v>
      </c>
      <c r="AS1338" s="320">
        <v>190.00000000000341</v>
      </c>
      <c r="AT1338" s="320">
        <v>-839.99999999999773</v>
      </c>
      <c r="AU1338" s="320">
        <v>890.00000000000341</v>
      </c>
      <c r="AV1338" s="320">
        <f ca="1">Calc!AH42</f>
        <v>549.83999999999946</v>
      </c>
      <c r="AX1338" s="88" t="str">
        <f t="shared" ca="1" si="107"/>
        <v>SHECY</v>
      </c>
    </row>
    <row r="1339" spans="1:50" ht="23" hidden="1" customHeight="1">
      <c r="A1339" s="88" t="str">
        <f t="shared" ca="1" si="106"/>
        <v>SSYS</v>
      </c>
      <c r="F1339" s="1082">
        <v>16000</v>
      </c>
      <c r="G1339" s="1082">
        <v>23000</v>
      </c>
      <c r="H1339" s="1082">
        <v>23000</v>
      </c>
      <c r="I1339" s="1082">
        <v>23000</v>
      </c>
      <c r="J1339" s="1082">
        <v>23000</v>
      </c>
      <c r="K1339" s="1082">
        <v>23000</v>
      </c>
      <c r="L1339" s="1082">
        <v>23000</v>
      </c>
      <c r="M1339" s="1082">
        <v>23000</v>
      </c>
      <c r="N1339" s="1082">
        <v>23000</v>
      </c>
      <c r="O1339" s="1082">
        <v>23000</v>
      </c>
      <c r="P1339" s="1082">
        <v>23000</v>
      </c>
      <c r="Q1339" s="1082">
        <v>22851</v>
      </c>
      <c r="R1339" s="1082">
        <v>22368</v>
      </c>
      <c r="S1339" s="1082">
        <v>22368</v>
      </c>
      <c r="T1339" s="1082">
        <v>22368</v>
      </c>
      <c r="U1339" s="1082">
        <v>22368</v>
      </c>
      <c r="V1339" s="1082">
        <v>22368</v>
      </c>
      <c r="W1339" s="1082">
        <v>22368</v>
      </c>
      <c r="X1339" s="1082">
        <v>22368</v>
      </c>
      <c r="Y1339" s="1082">
        <v>22368</v>
      </c>
      <c r="Z1339" s="1082">
        <f ca="1">Calc!G43</f>
        <v>16000</v>
      </c>
      <c r="AB1339" s="320">
        <v>4312.5999000000002</v>
      </c>
      <c r="AC1339" s="320">
        <v>4721</v>
      </c>
      <c r="AD1339" s="320">
        <v>4561</v>
      </c>
      <c r="AE1339" s="320">
        <v>4500.2</v>
      </c>
      <c r="AF1339" s="320">
        <v>3881</v>
      </c>
      <c r="AG1339" s="320">
        <v>3941.0000000000027</v>
      </c>
      <c r="AH1339" s="320">
        <v>4241</v>
      </c>
      <c r="AI1339" s="320">
        <v>4291</v>
      </c>
      <c r="AJ1339" s="320">
        <v>4291</v>
      </c>
      <c r="AK1339" s="320">
        <v>4741</v>
      </c>
      <c r="AL1339" s="320">
        <v>4451.0000000000009</v>
      </c>
      <c r="AM1339" s="320">
        <v>-0.50659999999987804</v>
      </c>
      <c r="AN1339" s="320">
        <v>56.87999999999991</v>
      </c>
      <c r="AO1339" s="320">
        <v>25.279999999999461</v>
      </c>
      <c r="AP1339" s="320">
        <v>126.39999999999955</v>
      </c>
      <c r="AQ1339" s="320">
        <v>170.63999999999973</v>
      </c>
      <c r="AR1339" s="320">
        <v>316</v>
      </c>
      <c r="AS1339" s="320">
        <v>316</v>
      </c>
      <c r="AT1339" s="320">
        <v>246.48000000000036</v>
      </c>
      <c r="AU1339" s="320">
        <v>549.83999999999946</v>
      </c>
      <c r="AV1339" s="320">
        <f ca="1">Calc!AH43</f>
        <v>2332.5999000000002</v>
      </c>
      <c r="AX1339" s="88" t="str">
        <f t="shared" ca="1" si="107"/>
        <v>SSYS</v>
      </c>
    </row>
    <row r="1340" spans="1:50" ht="23" hidden="1" customHeight="1">
      <c r="A1340" s="88" t="str">
        <f t="shared" ca="1" si="106"/>
        <v>TSLA</v>
      </c>
      <c r="F1340" s="1082">
        <v>10</v>
      </c>
      <c r="G1340" s="1082">
        <v>16000</v>
      </c>
      <c r="H1340" s="1082">
        <v>16000</v>
      </c>
      <c r="I1340" s="1082">
        <v>16000</v>
      </c>
      <c r="J1340" s="1082">
        <v>16000</v>
      </c>
      <c r="K1340" s="1082">
        <v>16000</v>
      </c>
      <c r="L1340" s="1082">
        <v>16000</v>
      </c>
      <c r="M1340" s="1082">
        <v>16000</v>
      </c>
      <c r="N1340" s="1082">
        <v>16000</v>
      </c>
      <c r="O1340" s="1082">
        <v>16000</v>
      </c>
      <c r="P1340" s="1082">
        <v>16000</v>
      </c>
      <c r="Q1340" s="1082">
        <v>16000</v>
      </c>
      <c r="R1340" s="1082">
        <v>16000</v>
      </c>
      <c r="S1340" s="1082">
        <v>16000</v>
      </c>
      <c r="T1340" s="1082">
        <v>16000</v>
      </c>
      <c r="U1340" s="1082">
        <v>16000</v>
      </c>
      <c r="V1340" s="1082">
        <v>16000</v>
      </c>
      <c r="W1340" s="1082">
        <v>16000</v>
      </c>
      <c r="X1340" s="1082">
        <v>16000</v>
      </c>
      <c r="Y1340" s="1082">
        <v>16000</v>
      </c>
      <c r="Z1340" s="1082">
        <f ca="1">Calc!G44</f>
        <v>1</v>
      </c>
      <c r="AB1340" s="320">
        <v>-41749.500000000007</v>
      </c>
      <c r="AC1340" s="320">
        <v>4702.5999000000029</v>
      </c>
      <c r="AD1340" s="320">
        <v>5062.5999000000002</v>
      </c>
      <c r="AE1340" s="320">
        <v>3562.5999000000002</v>
      </c>
      <c r="AF1340" s="320">
        <v>3382.5998999999988</v>
      </c>
      <c r="AG1340" s="320">
        <v>3652.5998999999983</v>
      </c>
      <c r="AH1340" s="320">
        <v>3832.5999000000002</v>
      </c>
      <c r="AI1340" s="320">
        <v>4072.5999000000002</v>
      </c>
      <c r="AJ1340" s="320">
        <v>4072.5999000000002</v>
      </c>
      <c r="AK1340" s="320">
        <v>5692.5999000000029</v>
      </c>
      <c r="AL1340" s="320">
        <v>5722.599900000002</v>
      </c>
      <c r="AM1340" s="320">
        <v>3895.5999000000024</v>
      </c>
      <c r="AN1340" s="320">
        <v>3862.5998999999993</v>
      </c>
      <c r="AO1340" s="320">
        <v>5542.5999000000011</v>
      </c>
      <c r="AP1340" s="320">
        <v>982.59990000000209</v>
      </c>
      <c r="AQ1340" s="320">
        <v>1252.5999000000018</v>
      </c>
      <c r="AR1340" s="320">
        <v>4402.5998999999983</v>
      </c>
      <c r="AS1340" s="320">
        <v>4402.5998999999983</v>
      </c>
      <c r="AT1340" s="320">
        <v>2962.5999000000024</v>
      </c>
      <c r="AU1340" s="320">
        <v>2332.5999000000002</v>
      </c>
      <c r="AV1340" s="320">
        <f ca="1">Calc!AH44</f>
        <v>-55.620000000000061</v>
      </c>
      <c r="AX1340" s="88" t="str">
        <f t="shared" ca="1" si="107"/>
        <v>TSLA</v>
      </c>
    </row>
    <row r="1341" spans="1:50" ht="23" hidden="1" customHeight="1">
      <c r="A1341" s="88" t="str">
        <f t="shared" ca="1" si="106"/>
        <v>TSM</v>
      </c>
      <c r="F1341" s="1082">
        <v>4500</v>
      </c>
      <c r="G1341" s="1082">
        <v>10</v>
      </c>
      <c r="H1341" s="1082">
        <v>10</v>
      </c>
      <c r="I1341" s="1082">
        <v>10</v>
      </c>
      <c r="J1341" s="1082">
        <v>10</v>
      </c>
      <c r="K1341" s="1082">
        <v>10</v>
      </c>
      <c r="L1341" s="1082">
        <v>10</v>
      </c>
      <c r="M1341" s="1082">
        <v>10</v>
      </c>
      <c r="N1341" s="1082">
        <v>10</v>
      </c>
      <c r="O1341" s="1082">
        <v>10</v>
      </c>
      <c r="P1341" s="1082">
        <v>1</v>
      </c>
      <c r="Q1341" s="1082">
        <v>1</v>
      </c>
      <c r="R1341" s="1082">
        <v>1</v>
      </c>
      <c r="S1341" s="1082">
        <v>1</v>
      </c>
      <c r="T1341" s="1082">
        <v>1</v>
      </c>
      <c r="U1341" s="1082">
        <v>1</v>
      </c>
      <c r="V1341" s="1082">
        <v>1</v>
      </c>
      <c r="W1341" s="1082">
        <v>1</v>
      </c>
      <c r="X1341" s="1082">
        <v>1</v>
      </c>
      <c r="Y1341" s="1082">
        <v>1</v>
      </c>
      <c r="Z1341" s="1082">
        <f ca="1">Calc!G45</f>
        <v>4800</v>
      </c>
      <c r="AB1341" s="320">
        <v>-6095.0000000000273</v>
      </c>
      <c r="AC1341" s="320">
        <v>-43208.100000000006</v>
      </c>
      <c r="AD1341" s="320">
        <v>-48956.69999999999</v>
      </c>
      <c r="AE1341" s="320">
        <v>-39807.299999999996</v>
      </c>
      <c r="AF1341" s="320">
        <v>-37400.999999999993</v>
      </c>
      <c r="AG1341" s="320">
        <v>-38672.399999999987</v>
      </c>
      <c r="AH1341" s="320">
        <v>-40856.399999999994</v>
      </c>
      <c r="AI1341" s="320">
        <v>-39627.900000000009</v>
      </c>
      <c r="AJ1341" s="320">
        <v>-39627.900000000009</v>
      </c>
      <c r="AK1341" s="320">
        <v>-39768.299999999988</v>
      </c>
      <c r="AL1341" s="320">
        <v>-15.299999999999898</v>
      </c>
      <c r="AM1341" s="320">
        <v>-53.100899999999569</v>
      </c>
      <c r="AN1341" s="320">
        <v>-10.889999999999816</v>
      </c>
      <c r="AO1341" s="320">
        <v>-105.92999999999984</v>
      </c>
      <c r="AP1341" s="320">
        <v>-179.00999999999988</v>
      </c>
      <c r="AQ1341" s="320">
        <v>-135.54000000000002</v>
      </c>
      <c r="AR1341" s="320">
        <v>-102.87000000000006</v>
      </c>
      <c r="AS1341" s="320">
        <v>-102.87000000000006</v>
      </c>
      <c r="AT1341" s="320">
        <v>-192.95999999999998</v>
      </c>
      <c r="AU1341" s="320">
        <v>-55.620000000000061</v>
      </c>
      <c r="AV1341" s="320">
        <f ca="1">Calc!AH45</f>
        <v>719.99999999999886</v>
      </c>
      <c r="AX1341" s="88" t="str">
        <f t="shared" ca="1" si="107"/>
        <v>TSM</v>
      </c>
    </row>
    <row r="1342" spans="1:50" ht="23" hidden="1" customHeight="1">
      <c r="A1342" s="88" t="str">
        <f t="shared" ca="1" si="106"/>
        <v>UN0</v>
      </c>
      <c r="F1342" s="1082">
        <v>3000</v>
      </c>
      <c r="G1342" s="1082">
        <v>4500</v>
      </c>
      <c r="H1342" s="1082">
        <v>4500</v>
      </c>
      <c r="I1342" s="1082">
        <v>4500</v>
      </c>
      <c r="J1342" s="1082">
        <v>4500</v>
      </c>
      <c r="K1342" s="1082">
        <v>4500</v>
      </c>
      <c r="L1342" s="1082">
        <v>4500</v>
      </c>
      <c r="M1342" s="1082">
        <v>4500</v>
      </c>
      <c r="N1342" s="1082">
        <v>4500</v>
      </c>
      <c r="O1342" s="1082">
        <v>4500</v>
      </c>
      <c r="P1342" s="1082">
        <v>4500</v>
      </c>
      <c r="Q1342" s="1082">
        <v>4500</v>
      </c>
      <c r="R1342" s="1082">
        <v>4500</v>
      </c>
      <c r="S1342" s="1082">
        <v>4000</v>
      </c>
      <c r="T1342" s="1082">
        <v>4000</v>
      </c>
      <c r="U1342" s="1082">
        <v>4000</v>
      </c>
      <c r="V1342" s="1082">
        <v>4800</v>
      </c>
      <c r="W1342" s="1082">
        <v>4800</v>
      </c>
      <c r="X1342" s="1082">
        <v>4800</v>
      </c>
      <c r="Y1342" s="1082">
        <v>4800</v>
      </c>
      <c r="Z1342" s="1082">
        <f ca="1">Calc!G46</f>
        <v>3000</v>
      </c>
      <c r="AB1342" s="320">
        <v>3289.5694999999996</v>
      </c>
      <c r="AC1342" s="320">
        <v>-10655.000000000029</v>
      </c>
      <c r="AD1342" s="320">
        <v>-20010.000000000047</v>
      </c>
      <c r="AE1342" s="320">
        <v>-19540.000000000022</v>
      </c>
      <c r="AF1342" s="320">
        <v>-23710.000000000036</v>
      </c>
      <c r="AG1342" s="320">
        <v>-25510.000000000047</v>
      </c>
      <c r="AH1342" s="320">
        <v>-35920.000000000015</v>
      </c>
      <c r="AI1342" s="320">
        <v>-31250</v>
      </c>
      <c r="AJ1342" s="320">
        <v>-31290.000000000022</v>
      </c>
      <c r="AK1342" s="320">
        <v>-34640.000000000044</v>
      </c>
      <c r="AL1342" s="320">
        <v>-27385.000000000047</v>
      </c>
      <c r="AM1342" s="320">
        <v>-36475.000000000022</v>
      </c>
      <c r="AN1342" s="320">
        <v>-31380.000000000051</v>
      </c>
      <c r="AO1342" s="320">
        <v>659.99999999999659</v>
      </c>
      <c r="AP1342" s="320">
        <v>-697.00000000000273</v>
      </c>
      <c r="AQ1342" s="320">
        <v>939.99999999999773</v>
      </c>
      <c r="AR1342" s="320">
        <v>3750</v>
      </c>
      <c r="AS1342" s="320">
        <v>3750</v>
      </c>
      <c r="AT1342" s="320">
        <v>2829.9999999999841</v>
      </c>
      <c r="AU1342" s="320">
        <v>699.99999999998863</v>
      </c>
      <c r="AV1342" s="320">
        <f ca="1">Calc!AH46</f>
        <v>4952.0694999999996</v>
      </c>
      <c r="AX1342" s="88" t="str">
        <f t="shared" ca="1" si="107"/>
        <v>UN0</v>
      </c>
    </row>
    <row r="1343" spans="1:50" ht="23" hidden="1" customHeight="1">
      <c r="A1343" s="88" t="str">
        <f t="shared" ca="1" si="106"/>
        <v>UNIT</v>
      </c>
      <c r="F1343" s="1082">
        <v>18087</v>
      </c>
      <c r="G1343" s="1082">
        <v>3000</v>
      </c>
      <c r="H1343" s="1082">
        <v>3000</v>
      </c>
      <c r="I1343" s="1082">
        <v>3000</v>
      </c>
      <c r="J1343" s="1082">
        <v>3000</v>
      </c>
      <c r="K1343" s="1082">
        <v>3000</v>
      </c>
      <c r="L1343" s="1082">
        <v>3000</v>
      </c>
      <c r="M1343" s="1082">
        <v>3000</v>
      </c>
      <c r="N1343" s="1082">
        <v>3000</v>
      </c>
      <c r="O1343" s="1082">
        <v>3000</v>
      </c>
      <c r="P1343" s="1082">
        <v>3000</v>
      </c>
      <c r="Q1343" s="1082">
        <v>3000</v>
      </c>
      <c r="R1343" s="1082">
        <v>3000</v>
      </c>
      <c r="S1343" s="1082">
        <v>3000</v>
      </c>
      <c r="T1343" s="1082">
        <v>3000</v>
      </c>
      <c r="U1343" s="1082">
        <v>3000</v>
      </c>
      <c r="V1343" s="1082">
        <v>3000</v>
      </c>
      <c r="W1343" s="1082">
        <v>3000</v>
      </c>
      <c r="X1343" s="1082">
        <v>3000</v>
      </c>
      <c r="Y1343" s="1082">
        <v>3000</v>
      </c>
      <c r="Z1343" s="1082">
        <f ca="1">Calc!G47</f>
        <v>7235</v>
      </c>
      <c r="AB1343" s="320">
        <v>0</v>
      </c>
      <c r="AC1343" s="320">
        <v>3569.5694999999987</v>
      </c>
      <c r="AD1343" s="320">
        <v>3604.5694999999992</v>
      </c>
      <c r="AE1343" s="320">
        <v>3674.5695000000001</v>
      </c>
      <c r="AF1343" s="320">
        <v>3604.5694999999992</v>
      </c>
      <c r="AG1343" s="320">
        <v>4287.0695000000005</v>
      </c>
      <c r="AH1343" s="320">
        <v>4094.5694999999987</v>
      </c>
      <c r="AI1343" s="320">
        <v>3954.5694999999992</v>
      </c>
      <c r="AJ1343" s="320">
        <v>4217.0694999999987</v>
      </c>
      <c r="AK1343" s="320">
        <v>4339.5694999999996</v>
      </c>
      <c r="AL1343" s="320">
        <v>4462.0694999999987</v>
      </c>
      <c r="AM1343" s="320">
        <v>4444.5694999999987</v>
      </c>
      <c r="AN1343" s="320">
        <v>4392.0694999999987</v>
      </c>
      <c r="AO1343" s="320">
        <v>4462.0694999999987</v>
      </c>
      <c r="AP1343" s="320">
        <v>3954.5694999999992</v>
      </c>
      <c r="AQ1343" s="320">
        <v>4409.5694999999996</v>
      </c>
      <c r="AR1343" s="320">
        <v>4374.5694999999987</v>
      </c>
      <c r="AS1343" s="320">
        <v>4374.5694999999987</v>
      </c>
      <c r="AT1343" s="320">
        <v>4672.0694999999996</v>
      </c>
      <c r="AU1343" s="320">
        <v>4952.0694999999996</v>
      </c>
      <c r="AV1343" s="320">
        <f ca="1">Calc!AH47</f>
        <v>0</v>
      </c>
      <c r="AX1343" s="88" t="str">
        <f t="shared" ca="1" si="107"/>
        <v>UNIT</v>
      </c>
    </row>
    <row r="1344" spans="1:50" ht="23" hidden="1" customHeight="1">
      <c r="A1344" s="88" t="str">
        <f t="shared" ca="1" si="106"/>
        <v>AVGO</v>
      </c>
      <c r="F1344" s="1082">
        <v>350</v>
      </c>
      <c r="G1344" s="1082">
        <v>18087</v>
      </c>
      <c r="H1344" s="1082">
        <v>18087</v>
      </c>
      <c r="I1344" s="1082">
        <v>18087</v>
      </c>
      <c r="J1344" s="1082">
        <v>18087</v>
      </c>
      <c r="K1344" s="1082">
        <v>18087</v>
      </c>
      <c r="L1344" s="1082">
        <v>18087</v>
      </c>
      <c r="M1344" s="1082">
        <v>18087</v>
      </c>
      <c r="N1344" s="1082">
        <v>18087</v>
      </c>
      <c r="O1344" s="1082">
        <v>18087</v>
      </c>
      <c r="P1344" s="1082">
        <v>18087</v>
      </c>
      <c r="Q1344" s="1082">
        <v>18087</v>
      </c>
      <c r="R1344" s="1082">
        <v>18087</v>
      </c>
      <c r="S1344" s="1082">
        <v>18087</v>
      </c>
      <c r="T1344" s="1082">
        <v>7235</v>
      </c>
      <c r="U1344" s="1082">
        <v>7235</v>
      </c>
      <c r="V1344" s="1082">
        <v>7235</v>
      </c>
      <c r="W1344" s="1082">
        <v>7235</v>
      </c>
      <c r="X1344" s="1082">
        <v>7235</v>
      </c>
      <c r="Y1344" s="1082">
        <v>7235</v>
      </c>
      <c r="Z1344" s="1082">
        <f ca="1">Calc!G48</f>
        <v>400</v>
      </c>
      <c r="AB1344" s="320">
        <v>-15004.000000000007</v>
      </c>
      <c r="AC1344" s="320">
        <v>0</v>
      </c>
      <c r="AD1344" s="320">
        <v>0</v>
      </c>
      <c r="AE1344" s="320">
        <v>0</v>
      </c>
      <c r="AF1344" s="320">
        <v>0</v>
      </c>
      <c r="AG1344" s="320">
        <v>0</v>
      </c>
      <c r="AH1344" s="320">
        <v>0</v>
      </c>
      <c r="AI1344" s="320">
        <v>0</v>
      </c>
      <c r="AJ1344" s="320">
        <v>0</v>
      </c>
      <c r="AK1344" s="320">
        <v>0</v>
      </c>
      <c r="AL1344" s="320">
        <v>0</v>
      </c>
      <c r="AM1344" s="320">
        <v>0</v>
      </c>
      <c r="AN1344" s="320">
        <v>0</v>
      </c>
      <c r="AO1344" s="320">
        <v>0</v>
      </c>
      <c r="AP1344" s="320">
        <v>0</v>
      </c>
      <c r="AQ1344" s="320">
        <v>0</v>
      </c>
      <c r="AR1344" s="320">
        <v>0</v>
      </c>
      <c r="AS1344" s="320">
        <v>0</v>
      </c>
      <c r="AT1344" s="320">
        <v>0</v>
      </c>
      <c r="AU1344" s="320">
        <v>0</v>
      </c>
      <c r="AV1344" s="320">
        <f ca="1">Calc!AH48</f>
        <v>-1286.4000000000033</v>
      </c>
      <c r="AX1344" s="88" t="str">
        <f t="shared" ca="1" si="107"/>
        <v>AVGO</v>
      </c>
    </row>
    <row r="1345" spans="1:50" ht="23" hidden="1" customHeight="1">
      <c r="A1345" s="88" t="str">
        <f t="shared" ca="1" si="106"/>
        <v>VLVLY</v>
      </c>
      <c r="F1345" s="1082">
        <v>1500</v>
      </c>
      <c r="G1345" s="1082">
        <v>1500</v>
      </c>
      <c r="H1345" s="1082">
        <v>1500</v>
      </c>
      <c r="I1345" s="1082">
        <v>1500</v>
      </c>
      <c r="J1345" s="1082">
        <v>1500</v>
      </c>
      <c r="K1345" s="1082">
        <v>1500</v>
      </c>
      <c r="L1345" s="1082">
        <v>1500</v>
      </c>
      <c r="M1345" s="1082">
        <v>1500</v>
      </c>
      <c r="N1345" s="1082">
        <v>1500</v>
      </c>
      <c r="O1345" s="1082">
        <v>1500</v>
      </c>
      <c r="P1345" s="1082">
        <v>1500</v>
      </c>
      <c r="Q1345" s="1082">
        <v>1500</v>
      </c>
      <c r="R1345" s="1082">
        <v>1500</v>
      </c>
      <c r="S1345" s="1082">
        <v>1500</v>
      </c>
      <c r="T1345" s="1082">
        <v>1500</v>
      </c>
      <c r="U1345" s="1082">
        <v>1500</v>
      </c>
      <c r="V1345" s="1082">
        <v>1500</v>
      </c>
      <c r="W1345" s="1082">
        <v>1500</v>
      </c>
      <c r="X1345" s="1082">
        <v>1500</v>
      </c>
      <c r="Y1345" s="1082">
        <v>1500</v>
      </c>
      <c r="Z1345" s="1082">
        <f ca="1">Calc!G49</f>
        <v>1500</v>
      </c>
      <c r="AB1345" s="320">
        <v>754.99999999999898</v>
      </c>
      <c r="AC1345" s="320">
        <v>694.99999999999852</v>
      </c>
      <c r="AD1345" s="320">
        <v>654.99999999999932</v>
      </c>
      <c r="AE1345" s="320">
        <v>484.99999999999943</v>
      </c>
      <c r="AF1345" s="320">
        <v>329.99999999999829</v>
      </c>
      <c r="AG1345" s="320">
        <v>750</v>
      </c>
      <c r="AH1345" s="320">
        <v>789.99999999999909</v>
      </c>
      <c r="AI1345" s="320">
        <v>1069.9999999999984</v>
      </c>
      <c r="AJ1345" s="320">
        <v>1069.9999999999984</v>
      </c>
      <c r="AK1345" s="320">
        <v>1059.9999999999986</v>
      </c>
      <c r="AL1345" s="320">
        <v>1189.9499999999996</v>
      </c>
      <c r="AM1345" s="320">
        <v>1120.9999999999986</v>
      </c>
      <c r="AN1345" s="320">
        <v>959.99999999999909</v>
      </c>
      <c r="AO1345" s="320">
        <v>1859.9999999999995</v>
      </c>
      <c r="AP1345" s="320">
        <v>1494.9999999999993</v>
      </c>
      <c r="AQ1345" s="320">
        <v>1375</v>
      </c>
      <c r="AR1345" s="320">
        <v>1449.9999999999993</v>
      </c>
      <c r="AS1345" s="320">
        <v>1449.9999999999993</v>
      </c>
      <c r="AT1345" s="320">
        <v>1334.9999999999991</v>
      </c>
      <c r="AU1345" s="320">
        <v>1234.9999999999995</v>
      </c>
      <c r="AV1345" s="320">
        <f ca="1">Calc!AH49</f>
        <v>1234.9999999999995</v>
      </c>
      <c r="AX1345" s="88" t="str">
        <f t="shared" ca="1" si="107"/>
        <v>VLVLY</v>
      </c>
    </row>
    <row r="1346" spans="1:50" ht="23" hidden="1" customHeight="1">
      <c r="A1346" s="88" t="str">
        <f t="shared" ca="1" si="106"/>
        <v>VONN</v>
      </c>
      <c r="F1346" s="1082">
        <v>16000</v>
      </c>
      <c r="G1346" s="1082">
        <v>16000</v>
      </c>
      <c r="H1346" s="1082">
        <v>16000</v>
      </c>
      <c r="I1346" s="1082">
        <v>16000</v>
      </c>
      <c r="J1346" s="1082">
        <v>15000</v>
      </c>
      <c r="K1346" s="1082">
        <v>15000</v>
      </c>
      <c r="L1346" s="1082">
        <v>15000</v>
      </c>
      <c r="M1346" s="1082">
        <v>14000</v>
      </c>
      <c r="N1346" s="1082">
        <v>14000</v>
      </c>
      <c r="O1346" s="1082">
        <v>14000</v>
      </c>
      <c r="P1346" s="1082">
        <v>14000</v>
      </c>
      <c r="Q1346" s="1082">
        <v>14000</v>
      </c>
      <c r="R1346" s="1082">
        <v>15000</v>
      </c>
      <c r="S1346" s="1082">
        <v>16000</v>
      </c>
      <c r="T1346" s="1082">
        <v>16000</v>
      </c>
      <c r="U1346" s="1082">
        <v>16000</v>
      </c>
      <c r="V1346" s="1082">
        <v>16000</v>
      </c>
      <c r="W1346" s="1082">
        <v>16000</v>
      </c>
      <c r="X1346" s="1082">
        <v>16000</v>
      </c>
      <c r="Y1346" s="1082">
        <v>16000</v>
      </c>
      <c r="Z1346" s="1082">
        <f ca="1">Calc!G50</f>
        <v>16000</v>
      </c>
      <c r="AB1346" s="320">
        <v>1716.9999999999957</v>
      </c>
      <c r="AC1346" s="320">
        <v>1918.9999999999986</v>
      </c>
      <c r="AD1346" s="320">
        <v>2020</v>
      </c>
      <c r="AE1346" s="320">
        <v>1817.999999999997</v>
      </c>
      <c r="AF1346" s="320">
        <v>-199.99999999999574</v>
      </c>
      <c r="AG1346" s="320">
        <v>-599.99999999999432</v>
      </c>
      <c r="AH1346" s="320">
        <v>-899.99999999999864</v>
      </c>
      <c r="AI1346" s="320">
        <v>403.99999999999858</v>
      </c>
      <c r="AJ1346" s="320">
        <v>807.99999999999716</v>
      </c>
      <c r="AK1346" s="320">
        <v>1312.999999999997</v>
      </c>
      <c r="AL1346" s="320">
        <v>1110.9999999999943</v>
      </c>
      <c r="AM1346" s="320">
        <v>1615.9999999999943</v>
      </c>
      <c r="AN1346" s="320">
        <v>2020</v>
      </c>
      <c r="AO1346" s="320">
        <v>2827.9999999999973</v>
      </c>
      <c r="AP1346" s="320">
        <v>2726.9999999999959</v>
      </c>
      <c r="AQ1346" s="320">
        <v>3130.9999999999941</v>
      </c>
      <c r="AR1346" s="320">
        <v>1515</v>
      </c>
      <c r="AS1346" s="320">
        <v>1515</v>
      </c>
      <c r="AT1346" s="320">
        <v>706.99999999999568</v>
      </c>
      <c r="AU1346" s="320">
        <v>505</v>
      </c>
      <c r="AV1346" s="320">
        <f ca="1">Calc!AH50</f>
        <v>505</v>
      </c>
      <c r="AX1346" s="88" t="str">
        <f t="shared" ca="1" si="107"/>
        <v>VONN</v>
      </c>
    </row>
    <row r="1347" spans="1:50" ht="23" hidden="1" customHeight="1">
      <c r="A1347" s="88" t="str">
        <f t="shared" ca="1" si="106"/>
        <v>VTRS</v>
      </c>
      <c r="F1347" s="1082">
        <v>10000</v>
      </c>
      <c r="G1347" s="1082">
        <v>10000</v>
      </c>
      <c r="H1347" s="1082">
        <v>10000</v>
      </c>
      <c r="I1347" s="1082">
        <v>10000</v>
      </c>
      <c r="J1347" s="1082">
        <v>10000</v>
      </c>
      <c r="K1347" s="1082">
        <v>10000</v>
      </c>
      <c r="L1347" s="1082">
        <v>10000</v>
      </c>
      <c r="M1347" s="1082">
        <v>10000</v>
      </c>
      <c r="N1347" s="1082">
        <v>10000</v>
      </c>
      <c r="O1347" s="1082">
        <v>10000</v>
      </c>
      <c r="P1347" s="1082">
        <v>10000</v>
      </c>
      <c r="Q1347" s="1082">
        <v>10000</v>
      </c>
      <c r="R1347" s="1082">
        <v>5000</v>
      </c>
      <c r="S1347" s="1082">
        <v>5000</v>
      </c>
      <c r="T1347" s="1082">
        <v>5000</v>
      </c>
      <c r="U1347" s="1082">
        <v>5000</v>
      </c>
      <c r="V1347" s="1082">
        <v>5000</v>
      </c>
      <c r="W1347" s="1082">
        <v>5000</v>
      </c>
      <c r="X1347" s="1082">
        <v>5000</v>
      </c>
      <c r="Y1347" s="1082">
        <v>5000</v>
      </c>
      <c r="Z1347" s="1082">
        <f ca="1">Calc!G51</f>
        <v>5000</v>
      </c>
      <c r="AB1347" s="320">
        <v>5228.9999999999991</v>
      </c>
      <c r="AC1347" s="320">
        <v>3399.9999999999986</v>
      </c>
      <c r="AD1347" s="320">
        <v>2450.0000000000009</v>
      </c>
      <c r="AE1347" s="320">
        <v>2350.0000000000032</v>
      </c>
      <c r="AF1347" s="320">
        <v>1950.0000000000027</v>
      </c>
      <c r="AG1347" s="320">
        <v>2199.9999999999977</v>
      </c>
      <c r="AH1347" s="320">
        <v>3049.9999999999973</v>
      </c>
      <c r="AI1347" s="320">
        <v>2949.9999999999991</v>
      </c>
      <c r="AJ1347" s="320">
        <v>2949.9999999999991</v>
      </c>
      <c r="AK1347" s="320">
        <v>3600.0000000000032</v>
      </c>
      <c r="AL1347" s="320">
        <v>3250.0000000000018</v>
      </c>
      <c r="AM1347" s="320">
        <v>3025.0000000000023</v>
      </c>
      <c r="AN1347" s="320">
        <v>-149.99999999999682</v>
      </c>
      <c r="AO1347" s="320">
        <v>-499.99999999999824</v>
      </c>
      <c r="AP1347" s="320">
        <v>-1200.0000000000011</v>
      </c>
      <c r="AQ1347" s="320">
        <v>-1600.0000000000014</v>
      </c>
      <c r="AR1347" s="320">
        <v>-1699.9999999999993</v>
      </c>
      <c r="AS1347" s="320">
        <v>-1699.9999999999993</v>
      </c>
      <c r="AT1347" s="320">
        <v>-1200.0000000000011</v>
      </c>
      <c r="AU1347" s="320">
        <v>-1399.9999999999968</v>
      </c>
      <c r="AV1347" s="320">
        <f ca="1">Calc!AH51</f>
        <v>-1399.9999999999968</v>
      </c>
      <c r="AX1347" s="88" t="str">
        <f t="shared" ca="1" si="107"/>
        <v>VTRS</v>
      </c>
    </row>
    <row r="1348" spans="1:50" ht="23" hidden="1" customHeight="1">
      <c r="A1348" s="88" t="str">
        <f t="shared" ca="1" si="106"/>
        <v>WBA</v>
      </c>
      <c r="F1348" s="1082">
        <v>3000</v>
      </c>
      <c r="G1348" s="1082">
        <v>3000</v>
      </c>
      <c r="H1348" s="1082">
        <v>3000</v>
      </c>
      <c r="I1348" s="1082">
        <v>3000</v>
      </c>
      <c r="J1348" s="1082">
        <v>3000</v>
      </c>
      <c r="K1348" s="1082">
        <v>3000</v>
      </c>
      <c r="L1348" s="1082">
        <v>3000</v>
      </c>
      <c r="M1348" s="1082">
        <v>3000</v>
      </c>
      <c r="N1348" s="1082">
        <v>3000</v>
      </c>
      <c r="O1348" s="1082">
        <v>3000</v>
      </c>
      <c r="P1348" s="1082">
        <v>3000</v>
      </c>
      <c r="Q1348" s="1082">
        <v>3000</v>
      </c>
      <c r="R1348" s="1082">
        <v>3000</v>
      </c>
      <c r="S1348" s="1082">
        <v>3000</v>
      </c>
      <c r="T1348" s="1082">
        <v>3000</v>
      </c>
      <c r="U1348" s="1082">
        <v>3000</v>
      </c>
      <c r="V1348" s="1082">
        <v>3000</v>
      </c>
      <c r="W1348" s="1082">
        <v>3000</v>
      </c>
      <c r="X1348" s="1082">
        <v>3000</v>
      </c>
      <c r="Y1348" s="1082">
        <v>3000</v>
      </c>
      <c r="Z1348" s="1082">
        <f ca="1">Calc!G52</f>
        <v>3000</v>
      </c>
      <c r="AB1348" s="320">
        <v>-2915.6000000000049</v>
      </c>
      <c r="AC1348" s="320">
        <v>-2915.6000000000049</v>
      </c>
      <c r="AD1348" s="320">
        <v>-2915.6000000000049</v>
      </c>
      <c r="AE1348" s="320">
        <v>-2915.6000000000049</v>
      </c>
      <c r="AF1348" s="320">
        <v>-2915.6000000000049</v>
      </c>
      <c r="AG1348" s="320">
        <v>-2915.6000000000049</v>
      </c>
      <c r="AH1348" s="320">
        <v>-2915.6000000000049</v>
      </c>
      <c r="AI1348" s="320">
        <v>-2915.6000000000049</v>
      </c>
      <c r="AJ1348" s="320">
        <v>-2915.6000000000049</v>
      </c>
      <c r="AK1348" s="320">
        <v>-2915.6000000000049</v>
      </c>
      <c r="AL1348" s="320">
        <v>-2915.6000000000049</v>
      </c>
      <c r="AM1348" s="320">
        <v>-2915.6000000000049</v>
      </c>
      <c r="AN1348" s="320">
        <v>-2915.6000000000049</v>
      </c>
      <c r="AO1348" s="320">
        <v>-2915.6000000000049</v>
      </c>
      <c r="AP1348" s="320">
        <v>-2915.6000000000049</v>
      </c>
      <c r="AQ1348" s="320">
        <v>-2915.6000000000049</v>
      </c>
      <c r="AR1348" s="320">
        <v>-2915.6000000000049</v>
      </c>
      <c r="AS1348" s="320">
        <v>-2915.6000000000049</v>
      </c>
      <c r="AT1348" s="320">
        <v>-2915.6000000000049</v>
      </c>
      <c r="AU1348" s="320">
        <v>-2915.6000000000049</v>
      </c>
      <c r="AV1348" s="320">
        <f ca="1">Calc!AH52</f>
        <v>-2915.6000000000049</v>
      </c>
      <c r="AX1348" s="88" t="str">
        <f t="shared" ca="1" si="107"/>
        <v>WBA</v>
      </c>
    </row>
    <row r="1349" spans="1:50" ht="23" hidden="1" customHeight="1">
      <c r="A1349" s="88" t="str">
        <f t="shared" ca="1" si="106"/>
        <v>XOM</v>
      </c>
      <c r="F1349" s="1082">
        <v>500</v>
      </c>
      <c r="G1349" s="1082">
        <v>500</v>
      </c>
      <c r="H1349" s="1082">
        <v>500</v>
      </c>
      <c r="I1349" s="1082">
        <v>500</v>
      </c>
      <c r="J1349" s="1082">
        <v>500</v>
      </c>
      <c r="K1349" s="1082">
        <v>500</v>
      </c>
      <c r="L1349" s="1082">
        <v>500</v>
      </c>
      <c r="M1349" s="1082">
        <v>500</v>
      </c>
      <c r="N1349" s="1082">
        <v>500</v>
      </c>
      <c r="O1349" s="1082">
        <v>500</v>
      </c>
      <c r="P1349" s="1082">
        <v>500</v>
      </c>
      <c r="Q1349" s="1082">
        <v>500</v>
      </c>
      <c r="R1349" s="1082">
        <v>500</v>
      </c>
      <c r="S1349" s="1082">
        <v>500</v>
      </c>
      <c r="T1349" s="1082">
        <v>500</v>
      </c>
      <c r="U1349" s="1082">
        <v>500</v>
      </c>
      <c r="V1349" s="1082">
        <v>500</v>
      </c>
      <c r="W1349" s="1082">
        <v>500</v>
      </c>
      <c r="X1349" s="1082">
        <v>500</v>
      </c>
      <c r="Y1349" s="1082">
        <v>500</v>
      </c>
      <c r="Z1349" s="1082">
        <f ca="1">Calc!G53</f>
        <v>500</v>
      </c>
      <c r="AB1349" s="320">
        <v>-12221.999999999985</v>
      </c>
      <c r="AC1349" s="320">
        <v>-9647.9999999999982</v>
      </c>
      <c r="AD1349" s="320">
        <v>-8288.9999999999818</v>
      </c>
      <c r="AE1349" s="320">
        <v>-7091.9999999999964</v>
      </c>
      <c r="AF1349" s="320">
        <v>-10592.999999999984</v>
      </c>
      <c r="AG1349" s="320">
        <v>-12383.999999999993</v>
      </c>
      <c r="AH1349" s="320">
        <v>-12041.999999999996</v>
      </c>
      <c r="AI1349" s="320">
        <v>-9971.9999999999854</v>
      </c>
      <c r="AJ1349" s="320">
        <v>-9971.9999999999854</v>
      </c>
      <c r="AK1349" s="320">
        <v>-8747.9999999999982</v>
      </c>
      <c r="AL1349" s="320">
        <v>-8891.9999999999964</v>
      </c>
      <c r="AM1349" s="320">
        <v>-7929.0000000000018</v>
      </c>
      <c r="AN1349" s="320">
        <v>-5885.9999999999927</v>
      </c>
      <c r="AO1349" s="320">
        <v>-8765.9999999999818</v>
      </c>
      <c r="AP1349" s="320">
        <v>-9602.9999999999891</v>
      </c>
      <c r="AQ1349" s="320">
        <v>-9593.9999999999964</v>
      </c>
      <c r="AR1349" s="320">
        <v>-13247.999999999998</v>
      </c>
      <c r="AS1349" s="320">
        <v>-13247.999999999998</v>
      </c>
      <c r="AT1349" s="320">
        <v>-15443.999999999996</v>
      </c>
      <c r="AU1349" s="320">
        <v>-14454.000000000002</v>
      </c>
      <c r="AV1349" s="320">
        <f ca="1">Calc!AH53</f>
        <v>-14435.999999999993</v>
      </c>
      <c r="AX1349" s="88" t="str">
        <f t="shared" ca="1" si="107"/>
        <v>XOM</v>
      </c>
    </row>
    <row r="1350" spans="1:50" ht="23" hidden="1" customHeight="1">
      <c r="A1350" s="88" t="str">
        <f t="shared" ca="1" si="106"/>
        <v>XPER</v>
      </c>
      <c r="F1350" s="1082">
        <v>5000</v>
      </c>
      <c r="G1350" s="1082">
        <v>5000</v>
      </c>
      <c r="H1350" s="1082">
        <v>5000</v>
      </c>
      <c r="I1350" s="1082">
        <v>5000</v>
      </c>
      <c r="J1350" s="1082">
        <v>5000</v>
      </c>
      <c r="K1350" s="1082">
        <v>5000</v>
      </c>
      <c r="L1350" s="1082">
        <v>5000</v>
      </c>
      <c r="M1350" s="1082">
        <v>10000</v>
      </c>
      <c r="N1350" s="1082">
        <v>10000</v>
      </c>
      <c r="O1350" s="1082">
        <v>10000</v>
      </c>
      <c r="P1350" s="1082">
        <v>10000</v>
      </c>
      <c r="Q1350" s="1082">
        <v>10000</v>
      </c>
      <c r="R1350" s="1082">
        <v>10000</v>
      </c>
      <c r="S1350" s="1082">
        <v>10000</v>
      </c>
      <c r="T1350" s="1082">
        <v>10000</v>
      </c>
      <c r="U1350" s="1082">
        <v>10000</v>
      </c>
      <c r="V1350" s="1082">
        <v>10000</v>
      </c>
      <c r="W1350" s="1082">
        <v>10000</v>
      </c>
      <c r="X1350" s="1082">
        <v>10000</v>
      </c>
      <c r="Y1350" s="1082">
        <v>10000</v>
      </c>
      <c r="Z1350" s="1082">
        <f ca="1">Calc!G54</f>
        <v>10000</v>
      </c>
      <c r="AB1350" s="320">
        <v>28548.000000000004</v>
      </c>
      <c r="AC1350" s="320">
        <v>29304.000000000004</v>
      </c>
      <c r="AD1350" s="320">
        <v>28656.000000000004</v>
      </c>
      <c r="AE1350" s="320">
        <v>27432.000000000004</v>
      </c>
      <c r="AF1350" s="320">
        <v>26568.000000000004</v>
      </c>
      <c r="AG1350" s="320">
        <v>28584.000000000004</v>
      </c>
      <c r="AH1350" s="320">
        <v>28152.000000000007</v>
      </c>
      <c r="AI1350" s="320">
        <v>27720.000000000004</v>
      </c>
      <c r="AJ1350" s="320">
        <v>27720.000000000004</v>
      </c>
      <c r="AK1350" s="320">
        <v>28944.000000000004</v>
      </c>
      <c r="AL1350" s="320">
        <v>27648.000000000004</v>
      </c>
      <c r="AM1350" s="320">
        <v>27215.280000000002</v>
      </c>
      <c r="AN1350" s="320">
        <v>27576.000000000007</v>
      </c>
      <c r="AO1350" s="320">
        <v>28368.000000000004</v>
      </c>
      <c r="AP1350" s="320">
        <v>27504.000000000004</v>
      </c>
      <c r="AQ1350" s="320">
        <v>27144.000000000004</v>
      </c>
      <c r="AR1350" s="320">
        <v>28728.000000000007</v>
      </c>
      <c r="AS1350" s="320">
        <v>28800.000000000007</v>
      </c>
      <c r="AT1350" s="320">
        <v>28368.000000000004</v>
      </c>
      <c r="AU1350" s="320">
        <v>27792.000000000004</v>
      </c>
      <c r="AV1350" s="320">
        <f ca="1">Calc!AH54</f>
        <v>27936.000000000007</v>
      </c>
      <c r="AX1350" s="88" t="str">
        <f t="shared" ca="1" si="107"/>
        <v>XPER</v>
      </c>
    </row>
    <row r="1351" spans="1:50" ht="23" hidden="1" customHeight="1">
      <c r="A1351" s="88" t="str">
        <f t="shared" ca="1" si="106"/>
        <v>MVEALDNE</v>
      </c>
      <c r="F1351" s="1082">
        <v>505000</v>
      </c>
      <c r="G1351" s="1082">
        <v>505000</v>
      </c>
      <c r="H1351" s="1082">
        <v>505000</v>
      </c>
      <c r="I1351" s="1082">
        <v>505000</v>
      </c>
      <c r="J1351" s="1082">
        <v>505000</v>
      </c>
      <c r="K1351" s="1082">
        <v>505000</v>
      </c>
      <c r="L1351" s="1082">
        <v>505000</v>
      </c>
      <c r="M1351" s="1082">
        <v>505000</v>
      </c>
      <c r="N1351" s="1082">
        <v>505000</v>
      </c>
      <c r="O1351" s="1082">
        <v>505000</v>
      </c>
      <c r="P1351" s="1082">
        <v>505000</v>
      </c>
      <c r="Q1351" s="1082">
        <v>505000</v>
      </c>
      <c r="R1351" s="1082">
        <v>505000</v>
      </c>
      <c r="S1351" s="1082">
        <v>505000</v>
      </c>
      <c r="T1351" s="1082">
        <v>505000</v>
      </c>
      <c r="U1351" s="1082">
        <v>505000</v>
      </c>
      <c r="V1351" s="1082">
        <v>505000</v>
      </c>
      <c r="W1351" s="1082">
        <v>505000</v>
      </c>
      <c r="X1351" s="1082">
        <v>505000</v>
      </c>
      <c r="Y1351" s="1082">
        <v>505000</v>
      </c>
      <c r="Z1351" s="1082">
        <f ca="1">Calc!G55</f>
        <v>505000</v>
      </c>
      <c r="AB1351" s="320">
        <v>0</v>
      </c>
      <c r="AC1351" s="320">
        <v>0</v>
      </c>
      <c r="AD1351" s="320">
        <v>0</v>
      </c>
      <c r="AE1351" s="320">
        <v>0</v>
      </c>
      <c r="AF1351" s="320">
        <v>0</v>
      </c>
      <c r="AG1351" s="320">
        <v>0</v>
      </c>
      <c r="AH1351" s="320">
        <v>0</v>
      </c>
      <c r="AI1351" s="320">
        <v>0</v>
      </c>
      <c r="AJ1351" s="320">
        <v>0</v>
      </c>
      <c r="AK1351" s="320">
        <v>0</v>
      </c>
      <c r="AL1351" s="320">
        <v>0</v>
      </c>
      <c r="AM1351" s="320">
        <v>0</v>
      </c>
      <c r="AN1351" s="320">
        <v>0</v>
      </c>
      <c r="AO1351" s="320">
        <v>0</v>
      </c>
      <c r="AP1351" s="320">
        <v>0</v>
      </c>
      <c r="AQ1351" s="320">
        <v>0</v>
      </c>
      <c r="AR1351" s="320">
        <v>0</v>
      </c>
      <c r="AS1351" s="320">
        <v>0</v>
      </c>
      <c r="AT1351" s="320">
        <v>0</v>
      </c>
      <c r="AU1351" s="320">
        <v>0</v>
      </c>
      <c r="AV1351" s="320">
        <f ca="1">Calc!AH55</f>
        <v>0</v>
      </c>
      <c r="AX1351" s="88" t="str">
        <f t="shared" ca="1" si="107"/>
        <v>MVEALDNE</v>
      </c>
    </row>
    <row r="1352" spans="1:50" ht="23" hidden="1" customHeight="1">
      <c r="A1352" s="88" t="str">
        <f t="shared" ca="1" si="106"/>
        <v>MVEDDD</v>
      </c>
      <c r="F1352" s="1082">
        <v>10000</v>
      </c>
      <c r="G1352" s="1082">
        <v>10000</v>
      </c>
      <c r="H1352" s="1082">
        <v>10000</v>
      </c>
      <c r="I1352" s="1082">
        <v>10000</v>
      </c>
      <c r="J1352" s="1082">
        <v>10000</v>
      </c>
      <c r="K1352" s="1082">
        <v>10000</v>
      </c>
      <c r="L1352" s="1082">
        <v>10000</v>
      </c>
      <c r="M1352" s="1082">
        <v>10000</v>
      </c>
      <c r="N1352" s="1082">
        <v>10000</v>
      </c>
      <c r="O1352" s="1082">
        <v>10000</v>
      </c>
      <c r="P1352" s="1082">
        <v>10000</v>
      </c>
      <c r="Q1352" s="1082">
        <v>10000</v>
      </c>
      <c r="R1352" s="1082">
        <v>10000</v>
      </c>
      <c r="S1352" s="1082">
        <v>10000</v>
      </c>
      <c r="T1352" s="1082">
        <v>10000</v>
      </c>
      <c r="U1352" s="1082">
        <v>10000</v>
      </c>
      <c r="V1352" s="1082">
        <v>10000</v>
      </c>
      <c r="W1352" s="1082">
        <v>10000</v>
      </c>
      <c r="X1352" s="1082">
        <v>10000</v>
      </c>
      <c r="Y1352" s="1082">
        <v>10000</v>
      </c>
      <c r="Z1352" s="1082">
        <f ca="1">Calc!G56</f>
        <v>10000</v>
      </c>
      <c r="AB1352" s="320">
        <v>2749.9999999999991</v>
      </c>
      <c r="AC1352" s="320">
        <v>3100.0000000000005</v>
      </c>
      <c r="AD1352" s="320">
        <v>3274.9999999999991</v>
      </c>
      <c r="AE1352" s="320">
        <v>2624.9999999999995</v>
      </c>
      <c r="AF1352" s="320">
        <v>1999.9999999999995</v>
      </c>
      <c r="AG1352" s="320">
        <v>1925.0000000000011</v>
      </c>
      <c r="AH1352" s="320">
        <v>1374.9999999999995</v>
      </c>
      <c r="AI1352" s="320">
        <v>1699.9999999999993</v>
      </c>
      <c r="AJ1352" s="320">
        <v>1699.9999999999993</v>
      </c>
      <c r="AK1352" s="320">
        <v>2050.0000000000009</v>
      </c>
      <c r="AL1352" s="320">
        <v>2199.9999999999995</v>
      </c>
      <c r="AM1352" s="320">
        <v>1350</v>
      </c>
      <c r="AN1352" s="320">
        <v>1300.0000000000011</v>
      </c>
      <c r="AO1352" s="320">
        <v>2050.0000000000009</v>
      </c>
      <c r="AP1352" s="320">
        <v>-1325.0000000000007</v>
      </c>
      <c r="AQ1352" s="320">
        <v>749.99999999999955</v>
      </c>
      <c r="AR1352" s="320">
        <v>2575.0000000000005</v>
      </c>
      <c r="AS1352" s="320">
        <v>2575.0000000000005</v>
      </c>
      <c r="AT1352" s="320">
        <v>2224.9999999999991</v>
      </c>
      <c r="AU1352" s="320">
        <v>1975</v>
      </c>
      <c r="AV1352" s="320">
        <f ca="1">Calc!AH56</f>
        <v>1950.0000000000007</v>
      </c>
      <c r="AX1352" s="88" t="str">
        <f t="shared" ca="1" si="107"/>
        <v>MVEDDD</v>
      </c>
    </row>
    <row r="1353" spans="1:50" ht="23" hidden="1" customHeight="1">
      <c r="A1353" s="88" t="str">
        <f t="shared" ca="1" si="106"/>
        <v>MVEDSY</v>
      </c>
      <c r="F1353" s="1082">
        <v>12000</v>
      </c>
      <c r="G1353" s="1082">
        <v>12000</v>
      </c>
      <c r="H1353" s="1082">
        <v>12000</v>
      </c>
      <c r="I1353" s="1082">
        <v>12000</v>
      </c>
      <c r="J1353" s="1082">
        <v>12000</v>
      </c>
      <c r="K1353" s="1082">
        <v>12000</v>
      </c>
      <c r="L1353" s="1082">
        <v>12000</v>
      </c>
      <c r="M1353" s="1082">
        <v>12000</v>
      </c>
      <c r="N1353" s="1082">
        <v>12000</v>
      </c>
      <c r="O1353" s="1082">
        <v>12000</v>
      </c>
      <c r="P1353" s="1082">
        <v>12000</v>
      </c>
      <c r="Q1353" s="1082">
        <v>12000</v>
      </c>
      <c r="R1353" s="1082">
        <v>12000</v>
      </c>
      <c r="S1353" s="1082">
        <v>12000</v>
      </c>
      <c r="T1353" s="1082">
        <v>12000</v>
      </c>
      <c r="U1353" s="1082">
        <v>12000</v>
      </c>
      <c r="V1353" s="1082">
        <v>12000</v>
      </c>
      <c r="W1353" s="1082">
        <v>12000</v>
      </c>
      <c r="X1353" s="1082">
        <v>12000</v>
      </c>
      <c r="Y1353" s="1082">
        <v>12000</v>
      </c>
      <c r="Z1353" s="1082">
        <f ca="1">Calc!G57</f>
        <v>12000</v>
      </c>
      <c r="AB1353" s="320">
        <v>11700</v>
      </c>
      <c r="AC1353" s="320">
        <v>38970</v>
      </c>
      <c r="AD1353" s="320">
        <v>38980</v>
      </c>
      <c r="AE1353" s="320">
        <v>38960</v>
      </c>
      <c r="AF1353" s="320">
        <v>38949.999999999993</v>
      </c>
      <c r="AG1353" s="320">
        <v>39135.199999999997</v>
      </c>
      <c r="AH1353" s="320">
        <v>11239.999999999998</v>
      </c>
      <c r="AI1353" s="320">
        <v>11079.999999999998</v>
      </c>
      <c r="AJ1353" s="320">
        <v>10649.999999999998</v>
      </c>
      <c r="AK1353" s="320">
        <v>11200</v>
      </c>
      <c r="AL1353" s="320">
        <v>11659.999999999996</v>
      </c>
      <c r="AM1353" s="320">
        <v>11129.999999999998</v>
      </c>
      <c r="AN1353" s="320">
        <v>10629.999999999998</v>
      </c>
      <c r="AO1353" s="320">
        <v>10680</v>
      </c>
      <c r="AP1353" s="320">
        <v>10229.999999999996</v>
      </c>
      <c r="AQ1353" s="320">
        <v>9739.9999999999982</v>
      </c>
      <c r="AR1353" s="320">
        <v>9889.9999999999964</v>
      </c>
      <c r="AS1353" s="320">
        <v>9889.9999999999964</v>
      </c>
      <c r="AT1353" s="320">
        <v>13799.999999999996</v>
      </c>
      <c r="AU1353" s="320">
        <v>14319.999999999996</v>
      </c>
      <c r="AV1353" s="320">
        <f ca="1">Calc!AH57</f>
        <v>14319.999999999996</v>
      </c>
      <c r="AX1353" s="88" t="str">
        <f t="shared" ca="1" si="107"/>
        <v>MVEDSY</v>
      </c>
    </row>
    <row r="1354" spans="1:50" ht="23" hidden="1" customHeight="1">
      <c r="A1354" s="88" t="str">
        <f t="shared" ca="1" si="106"/>
        <v>MVEEOAN</v>
      </c>
      <c r="F1354" s="1082">
        <v>10</v>
      </c>
      <c r="G1354" s="1082">
        <v>10</v>
      </c>
      <c r="H1354" s="1082">
        <v>10</v>
      </c>
      <c r="I1354" s="1082">
        <v>10</v>
      </c>
      <c r="J1354" s="1082">
        <v>10</v>
      </c>
      <c r="K1354" s="1082">
        <v>10</v>
      </c>
      <c r="L1354" s="1082">
        <v>10</v>
      </c>
      <c r="M1354" s="1082">
        <v>10</v>
      </c>
      <c r="N1354" s="1082">
        <v>10</v>
      </c>
      <c r="O1354" s="1082">
        <v>10</v>
      </c>
      <c r="P1354" s="1082">
        <v>10</v>
      </c>
      <c r="Q1354" s="1082">
        <v>10</v>
      </c>
      <c r="R1354" s="1082">
        <v>10</v>
      </c>
      <c r="S1354" s="1082">
        <v>10</v>
      </c>
      <c r="T1354" s="1082">
        <v>10</v>
      </c>
      <c r="U1354" s="1082">
        <v>10</v>
      </c>
      <c r="V1354" s="1082">
        <v>10</v>
      </c>
      <c r="W1354" s="1082">
        <v>10</v>
      </c>
      <c r="X1354" s="1082">
        <v>10</v>
      </c>
      <c r="Y1354" s="1082">
        <v>10</v>
      </c>
      <c r="Z1354" s="1082">
        <f ca="1">Calc!G58</f>
        <v>10</v>
      </c>
      <c r="AB1354" s="320">
        <v>-10300.549999999996</v>
      </c>
      <c r="AC1354" s="320">
        <v>-10494.9</v>
      </c>
      <c r="AD1354" s="320">
        <v>-10763.999999999998</v>
      </c>
      <c r="AE1354" s="320">
        <v>-10166.000000000002</v>
      </c>
      <c r="AF1354" s="320">
        <v>-10644.400000000001</v>
      </c>
      <c r="AG1354" s="320">
        <v>-10629.449999999993</v>
      </c>
      <c r="AH1354" s="320">
        <v>-10823.799999999997</v>
      </c>
      <c r="AI1354" s="320">
        <v>-10808.85</v>
      </c>
      <c r="AJ1354" s="320">
        <v>-10823.799999999997</v>
      </c>
      <c r="AK1354" s="320">
        <v>-11063.000000000004</v>
      </c>
      <c r="AL1354" s="320">
        <v>-11391.900000000001</v>
      </c>
      <c r="AM1354" s="320">
        <v>-10883.599999999997</v>
      </c>
      <c r="AN1354" s="320">
        <v>-11033.099999999999</v>
      </c>
      <c r="AO1354" s="320">
        <v>-11092.899999999998</v>
      </c>
      <c r="AP1354" s="320">
        <v>-11541.400000000003</v>
      </c>
      <c r="AQ1354" s="320">
        <v>-11376.949999999993</v>
      </c>
      <c r="AR1354" s="320">
        <v>-10584.600000000002</v>
      </c>
      <c r="AS1354" s="320">
        <v>-10584.600000000002</v>
      </c>
      <c r="AT1354" s="320">
        <v>-10225.799999999999</v>
      </c>
      <c r="AU1354" s="320">
        <v>-10464.999999999995</v>
      </c>
      <c r="AV1354" s="320">
        <f ca="1">Calc!AH58</f>
        <v>-10539.750000000002</v>
      </c>
      <c r="AX1354" s="88" t="str">
        <f t="shared" ca="1" si="107"/>
        <v>MVEEOAN</v>
      </c>
    </row>
    <row r="1355" spans="1:50" ht="23" hidden="1" customHeight="1">
      <c r="A1355" s="88" t="str">
        <f t="shared" ca="1" si="106"/>
        <v>MVEENI</v>
      </c>
      <c r="F1355" s="1082">
        <v>40000</v>
      </c>
      <c r="G1355" s="1082">
        <v>40000</v>
      </c>
      <c r="H1355" s="1082">
        <v>40000</v>
      </c>
      <c r="I1355" s="1082">
        <v>40000</v>
      </c>
      <c r="J1355" s="1082">
        <v>40000</v>
      </c>
      <c r="K1355" s="1082">
        <v>36000</v>
      </c>
      <c r="L1355" s="1082">
        <v>36000</v>
      </c>
      <c r="M1355" s="1082">
        <v>36000</v>
      </c>
      <c r="N1355" s="1082">
        <v>36000</v>
      </c>
      <c r="O1355" s="1082">
        <v>36000</v>
      </c>
      <c r="P1355" s="1082">
        <v>36000</v>
      </c>
      <c r="Q1355" s="1082">
        <v>36000</v>
      </c>
      <c r="R1355" s="1082">
        <v>36000</v>
      </c>
      <c r="S1355" s="1082">
        <v>36000</v>
      </c>
      <c r="T1355" s="1082">
        <v>36000</v>
      </c>
      <c r="U1355" s="1082">
        <v>36000</v>
      </c>
      <c r="V1355" s="1082">
        <v>36000</v>
      </c>
      <c r="W1355" s="1082">
        <v>36000</v>
      </c>
      <c r="X1355" s="1082">
        <v>36000</v>
      </c>
      <c r="Y1355" s="1082">
        <v>36000</v>
      </c>
      <c r="Z1355" s="1082">
        <f ca="1">Calc!G59</f>
        <v>36000</v>
      </c>
      <c r="AB1355" s="320">
        <v>-5136.00000000001</v>
      </c>
      <c r="AC1355" s="320">
        <v>-3408.0000000000014</v>
      </c>
      <c r="AD1355" s="320">
        <v>-4368.0000000000091</v>
      </c>
      <c r="AE1355" s="320">
        <v>-3487.9999999999995</v>
      </c>
      <c r="AF1355" s="320">
        <v>-3728.0000000000086</v>
      </c>
      <c r="AG1355" s="320">
        <v>-216.00000000000108</v>
      </c>
      <c r="AH1355" s="320">
        <v>-664.00000000000148</v>
      </c>
      <c r="AI1355" s="320">
        <v>-1032.0000000000036</v>
      </c>
      <c r="AJ1355" s="320">
        <v>-328.00000000000296</v>
      </c>
      <c r="AK1355" s="320">
        <v>591.99999999999875</v>
      </c>
      <c r="AL1355" s="320">
        <v>1679.9999999999998</v>
      </c>
      <c r="AM1355" s="320">
        <v>1591.9999999999986</v>
      </c>
      <c r="AN1355" s="320">
        <v>1415.9999999999968</v>
      </c>
      <c r="AO1355" s="320">
        <v>1103.9999999999991</v>
      </c>
      <c r="AP1355" s="320">
        <v>975.99999999999909</v>
      </c>
      <c r="AQ1355" s="320">
        <v>879.99999999999545</v>
      </c>
      <c r="AR1355" s="320">
        <v>-24.000000000000909</v>
      </c>
      <c r="AS1355" s="320">
        <v>-24.000000000000909</v>
      </c>
      <c r="AT1355" s="320">
        <v>-1864.0000000000043</v>
      </c>
      <c r="AU1355" s="320">
        <v>-2864.0000000000045</v>
      </c>
      <c r="AV1355" s="320">
        <f ca="1">Calc!AH59</f>
        <v>-2864.0000000000045</v>
      </c>
      <c r="AX1355" s="88" t="str">
        <f t="shared" ca="1" si="107"/>
        <v>MVEENI</v>
      </c>
    </row>
    <row r="1356" spans="1:50" ht="23" hidden="1" customHeight="1">
      <c r="A1356" s="88" t="str">
        <f t="shared" ca="1" si="106"/>
        <v>MVEEPIX</v>
      </c>
      <c r="F1356" s="1082">
        <v>12000</v>
      </c>
      <c r="G1356" s="1082">
        <v>12000</v>
      </c>
      <c r="H1356" s="1082">
        <v>12000</v>
      </c>
      <c r="I1356" s="1082">
        <v>12000</v>
      </c>
      <c r="J1356" s="1082">
        <v>12000</v>
      </c>
      <c r="K1356" s="1082">
        <v>12000</v>
      </c>
      <c r="L1356" s="1082">
        <v>12000</v>
      </c>
      <c r="M1356" s="1082">
        <v>12000</v>
      </c>
      <c r="N1356" s="1082">
        <v>12000</v>
      </c>
      <c r="O1356" s="1082">
        <v>12000</v>
      </c>
      <c r="P1356" s="1082">
        <v>12000</v>
      </c>
      <c r="Q1356" s="1082">
        <v>12000</v>
      </c>
      <c r="R1356" s="1082">
        <v>12000</v>
      </c>
      <c r="S1356" s="1082">
        <v>12000</v>
      </c>
      <c r="T1356" s="1082">
        <v>12000</v>
      </c>
      <c r="U1356" s="1082">
        <v>12000</v>
      </c>
      <c r="V1356" s="1082">
        <v>12000</v>
      </c>
      <c r="W1356" s="1082">
        <v>12000</v>
      </c>
      <c r="X1356" s="1082">
        <v>12000</v>
      </c>
      <c r="Y1356" s="1082">
        <v>12000</v>
      </c>
      <c r="Z1356" s="1082">
        <f ca="1">Calc!G60</f>
        <v>12000</v>
      </c>
      <c r="AB1356" s="320">
        <v>0</v>
      </c>
      <c r="AC1356" s="320">
        <v>0</v>
      </c>
      <c r="AD1356" s="320">
        <v>0</v>
      </c>
      <c r="AE1356" s="320">
        <v>0</v>
      </c>
      <c r="AF1356" s="320">
        <v>0</v>
      </c>
      <c r="AG1356" s="320">
        <v>0</v>
      </c>
      <c r="AH1356" s="320">
        <v>0</v>
      </c>
      <c r="AI1356" s="320">
        <v>0</v>
      </c>
      <c r="AJ1356" s="320">
        <v>0</v>
      </c>
      <c r="AK1356" s="320">
        <v>0</v>
      </c>
      <c r="AL1356" s="320">
        <v>0</v>
      </c>
      <c r="AM1356" s="320">
        <v>0</v>
      </c>
      <c r="AN1356" s="320">
        <v>0</v>
      </c>
      <c r="AO1356" s="320">
        <v>0</v>
      </c>
      <c r="AP1356" s="320">
        <v>0</v>
      </c>
      <c r="AQ1356" s="320">
        <v>0</v>
      </c>
      <c r="AR1356" s="320">
        <v>0</v>
      </c>
      <c r="AS1356" s="320">
        <v>0</v>
      </c>
      <c r="AT1356" s="320">
        <v>0</v>
      </c>
      <c r="AU1356" s="320">
        <v>0</v>
      </c>
      <c r="AV1356" s="320">
        <f ca="1">Calc!AH60</f>
        <v>0</v>
      </c>
      <c r="AX1356" s="88" t="str">
        <f t="shared" ca="1" si="107"/>
        <v>MVEEPIX</v>
      </c>
    </row>
    <row r="1357" spans="1:50" ht="23" hidden="1" customHeight="1">
      <c r="A1357" s="88" t="str">
        <f t="shared" ca="1" si="106"/>
        <v>MVEGLE</v>
      </c>
      <c r="F1357" s="1082">
        <v>2000</v>
      </c>
      <c r="G1357" s="1082">
        <v>2000</v>
      </c>
      <c r="H1357" s="1082">
        <v>2000</v>
      </c>
      <c r="I1357" s="1082">
        <v>2000</v>
      </c>
      <c r="J1357" s="1082">
        <v>2000</v>
      </c>
      <c r="K1357" s="1082">
        <v>2000</v>
      </c>
      <c r="L1357" s="1082">
        <v>4000</v>
      </c>
      <c r="M1357" s="1082">
        <v>6000</v>
      </c>
      <c r="N1357" s="1082">
        <v>6000</v>
      </c>
      <c r="O1357" s="1082">
        <v>6000</v>
      </c>
      <c r="P1357" s="1082">
        <v>6000</v>
      </c>
      <c r="Q1357" s="1082">
        <v>6000</v>
      </c>
      <c r="R1357" s="1082">
        <v>6000</v>
      </c>
      <c r="S1357" s="1082">
        <v>7000</v>
      </c>
      <c r="T1357" s="1082">
        <v>7000</v>
      </c>
      <c r="U1357" s="1082">
        <v>7000</v>
      </c>
      <c r="V1357" s="1082">
        <v>7000</v>
      </c>
      <c r="W1357" s="1082">
        <v>7000</v>
      </c>
      <c r="X1357" s="1082">
        <v>7000</v>
      </c>
      <c r="Y1357" s="1082">
        <v>7000</v>
      </c>
      <c r="Z1357" s="1082">
        <f ca="1">Calc!G61</f>
        <v>7000</v>
      </c>
      <c r="AB1357" s="320">
        <v>-9149.9999999999982</v>
      </c>
      <c r="AC1357" s="320">
        <v>-8890</v>
      </c>
      <c r="AD1357" s="320">
        <v>-9350.0000000000018</v>
      </c>
      <c r="AE1357" s="320">
        <v>-9250</v>
      </c>
      <c r="AF1357" s="320">
        <v>-9250</v>
      </c>
      <c r="AG1357" s="320">
        <v>-5829.9999999999982</v>
      </c>
      <c r="AH1357" s="320">
        <v>-6950.0000000000027</v>
      </c>
      <c r="AI1357" s="320">
        <v>-6890.0000000000009</v>
      </c>
      <c r="AJ1357" s="320">
        <v>-6770.0000000000027</v>
      </c>
      <c r="AK1357" s="320">
        <v>-6250</v>
      </c>
      <c r="AL1357" s="320">
        <v>-7550.0000000000045</v>
      </c>
      <c r="AM1357" s="320">
        <v>-8090.0000000000036</v>
      </c>
      <c r="AN1357" s="320">
        <v>-9050.0000000000036</v>
      </c>
      <c r="AO1357" s="320">
        <v>-6170.0000000000018</v>
      </c>
      <c r="AP1357" s="320">
        <v>-5530.0000000000009</v>
      </c>
      <c r="AQ1357" s="320">
        <v>-5649.9999999999982</v>
      </c>
      <c r="AR1357" s="320">
        <v>-5410.0000000000036</v>
      </c>
      <c r="AS1357" s="320">
        <v>-5410.0000000000036</v>
      </c>
      <c r="AT1357" s="320">
        <v>-6109.9999999999991</v>
      </c>
      <c r="AU1357" s="320">
        <v>-6210.0000000000009</v>
      </c>
      <c r="AV1357" s="320">
        <f ca="1">Calc!AH61</f>
        <v>-6210.0000000000009</v>
      </c>
      <c r="AX1357" s="88" t="str">
        <f t="shared" ca="1" si="107"/>
        <v>MVEGLE</v>
      </c>
    </row>
    <row r="1358" spans="1:50" ht="23" hidden="1" customHeight="1">
      <c r="A1358" s="88" t="str">
        <f t="shared" ca="1" si="106"/>
        <v>MVEORA</v>
      </c>
      <c r="F1358" s="1082">
        <v>19800</v>
      </c>
      <c r="G1358" s="1082">
        <v>19800</v>
      </c>
      <c r="H1358" s="1082">
        <v>19800</v>
      </c>
      <c r="I1358" s="1082">
        <v>19800</v>
      </c>
      <c r="J1358" s="1082">
        <v>19800</v>
      </c>
      <c r="K1358" s="1082">
        <v>19800</v>
      </c>
      <c r="L1358" s="1082">
        <v>19800</v>
      </c>
      <c r="M1358" s="1082">
        <v>19800</v>
      </c>
      <c r="N1358" s="1082">
        <v>19800</v>
      </c>
      <c r="O1358" s="1082">
        <v>19800</v>
      </c>
      <c r="P1358" s="1082">
        <v>19800</v>
      </c>
      <c r="Q1358" s="1082">
        <v>19800</v>
      </c>
      <c r="R1358" s="1082">
        <v>19800</v>
      </c>
      <c r="S1358" s="1082">
        <v>19800</v>
      </c>
      <c r="T1358" s="1082">
        <v>19800</v>
      </c>
      <c r="U1358" s="1082">
        <v>19800</v>
      </c>
      <c r="V1358" s="1082">
        <v>19800</v>
      </c>
      <c r="W1358" s="1082">
        <v>19800</v>
      </c>
      <c r="X1358" s="1082">
        <v>19800</v>
      </c>
      <c r="Y1358" s="1082">
        <v>19800</v>
      </c>
      <c r="Z1358" s="1082">
        <f ca="1">Calc!G62</f>
        <v>19800</v>
      </c>
      <c r="AB1358" s="320">
        <v>53.999999999999915</v>
      </c>
      <c r="AC1358" s="320">
        <v>-38670</v>
      </c>
      <c r="AD1358" s="320">
        <v>47.999999999998977</v>
      </c>
      <c r="AE1358" s="320">
        <v>251.99999999999889</v>
      </c>
      <c r="AF1358" s="320">
        <v>509.99999999999875</v>
      </c>
      <c r="AG1358" s="320">
        <v>635.9999999999992</v>
      </c>
      <c r="AH1358" s="320">
        <v>425.99999999999841</v>
      </c>
      <c r="AI1358" s="320">
        <v>221.99999999999847</v>
      </c>
      <c r="AJ1358" s="320">
        <v>197.99999999999898</v>
      </c>
      <c r="AK1358" s="320">
        <v>377.99999999999943</v>
      </c>
      <c r="AL1358" s="320">
        <v>209.99999999999872</v>
      </c>
      <c r="AM1358" s="320">
        <v>-324.00000000000159</v>
      </c>
      <c r="AN1358" s="320">
        <v>-408.00000000000193</v>
      </c>
      <c r="AO1358" s="320">
        <v>-708.00000000000193</v>
      </c>
      <c r="AP1358" s="320">
        <v>-498.00000000000114</v>
      </c>
      <c r="AQ1358" s="320">
        <v>-456.00000000000091</v>
      </c>
      <c r="AR1358" s="320">
        <v>-390.00000000000125</v>
      </c>
      <c r="AS1358" s="320">
        <v>-390.00000000000125</v>
      </c>
      <c r="AT1358" s="320">
        <v>-486.00000000000136</v>
      </c>
      <c r="AU1358" s="320">
        <v>-210.00000000000085</v>
      </c>
      <c r="AV1358" s="320">
        <f ca="1">Calc!AH62</f>
        <v>-210.00000000000085</v>
      </c>
      <c r="AX1358" s="88" t="str">
        <f t="shared" ca="1" si="107"/>
        <v>MVEORA</v>
      </c>
    </row>
    <row r="1359" spans="1:50" ht="23" hidden="1" customHeight="1">
      <c r="A1359" s="88" t="str">
        <f t="shared" ref="A1359:A1392" ca="1" si="108">A1260</f>
        <v>MVERWE</v>
      </c>
      <c r="F1359" s="1082">
        <v>1</v>
      </c>
      <c r="G1359" s="1082">
        <v>1</v>
      </c>
      <c r="H1359" s="1082">
        <v>1</v>
      </c>
      <c r="I1359" s="1082">
        <v>1</v>
      </c>
      <c r="J1359" s="1082">
        <v>1</v>
      </c>
      <c r="K1359" s="1082">
        <v>1</v>
      </c>
      <c r="L1359" s="1082">
        <v>1</v>
      </c>
      <c r="M1359" s="1082">
        <v>1</v>
      </c>
      <c r="N1359" s="1082">
        <v>1</v>
      </c>
      <c r="O1359" s="1082">
        <v>1</v>
      </c>
      <c r="P1359" s="1082">
        <v>1</v>
      </c>
      <c r="Q1359" s="1082">
        <v>1</v>
      </c>
      <c r="R1359" s="1082">
        <v>1</v>
      </c>
      <c r="S1359" s="1082">
        <v>1</v>
      </c>
      <c r="T1359" s="1082">
        <v>1</v>
      </c>
      <c r="U1359" s="1082">
        <v>1</v>
      </c>
      <c r="V1359" s="1082">
        <v>1</v>
      </c>
      <c r="W1359" s="1082">
        <v>1</v>
      </c>
      <c r="X1359" s="1082">
        <v>1</v>
      </c>
      <c r="Y1359" s="1082">
        <v>1</v>
      </c>
      <c r="Z1359" s="1082">
        <f ca="1">Calc!G63</f>
        <v>1</v>
      </c>
      <c r="AB1359" s="320">
        <v>-17675.580000000005</v>
      </c>
      <c r="AC1359" s="320">
        <v>-18235.44000000001</v>
      </c>
      <c r="AD1359" s="320">
        <v>-22714.32</v>
      </c>
      <c r="AE1359" s="320">
        <v>-22274.43</v>
      </c>
      <c r="AF1359" s="320">
        <v>-23434.14</v>
      </c>
      <c r="AG1359" s="320">
        <v>-25433.64</v>
      </c>
      <c r="AH1359" s="320">
        <v>-28512.87000000001</v>
      </c>
      <c r="AI1359" s="320">
        <v>-27433.14</v>
      </c>
      <c r="AJ1359" s="320">
        <v>-28712.82</v>
      </c>
      <c r="AK1359" s="320">
        <v>-30392.400000000005</v>
      </c>
      <c r="AL1359" s="320">
        <v>-28872.779999999995</v>
      </c>
      <c r="AM1359" s="320">
        <v>-29312.669999999995</v>
      </c>
      <c r="AN1359" s="320">
        <v>-32071.980000000014</v>
      </c>
      <c r="AO1359" s="320">
        <v>-30792.30000000001</v>
      </c>
      <c r="AP1359" s="320">
        <v>-30232.44000000001</v>
      </c>
      <c r="AQ1359" s="320">
        <v>-28432.89</v>
      </c>
      <c r="AR1359" s="320">
        <v>-27433.14</v>
      </c>
      <c r="AS1359" s="320">
        <v>-27433.14</v>
      </c>
      <c r="AT1359" s="320">
        <v>-26553.360000000001</v>
      </c>
      <c r="AU1359" s="320">
        <v>-28472.87999999999</v>
      </c>
      <c r="AV1359" s="320">
        <f ca="1">Calc!AH63</f>
        <v>-28832.790000000005</v>
      </c>
      <c r="AX1359" s="88" t="str">
        <f t="shared" ca="1" si="107"/>
        <v>MVERWE</v>
      </c>
    </row>
    <row r="1360" spans="1:50" ht="23" hidden="1" customHeight="1">
      <c r="A1360" s="88" t="str">
        <f t="shared" ca="1" si="108"/>
        <v>MVESAP</v>
      </c>
      <c r="F1360" s="1082">
        <v>401</v>
      </c>
      <c r="G1360" s="1082">
        <v>401</v>
      </c>
      <c r="H1360" s="1082">
        <v>401</v>
      </c>
      <c r="I1360" s="1082">
        <v>401</v>
      </c>
      <c r="J1360" s="1082">
        <v>401</v>
      </c>
      <c r="K1360" s="1082">
        <v>401</v>
      </c>
      <c r="L1360" s="1082">
        <v>401</v>
      </c>
      <c r="M1360" s="1082">
        <v>401</v>
      </c>
      <c r="N1360" s="1082">
        <v>401</v>
      </c>
      <c r="O1360" s="1082">
        <v>401</v>
      </c>
      <c r="P1360" s="1082">
        <v>401</v>
      </c>
      <c r="Q1360" s="1082">
        <v>401</v>
      </c>
      <c r="R1360" s="1082">
        <v>401</v>
      </c>
      <c r="S1360" s="1082">
        <v>401</v>
      </c>
      <c r="T1360" s="1082">
        <v>401</v>
      </c>
      <c r="U1360" s="1082">
        <v>401</v>
      </c>
      <c r="V1360" s="1082">
        <v>401</v>
      </c>
      <c r="W1360" s="1082">
        <v>401</v>
      </c>
      <c r="X1360" s="1082">
        <v>401</v>
      </c>
      <c r="Y1360" s="1082">
        <v>401</v>
      </c>
      <c r="Z1360" s="1082">
        <f ca="1">Calc!G64</f>
        <v>401</v>
      </c>
      <c r="AB1360" s="320">
        <v>20965.000000000004</v>
      </c>
      <c r="AC1360" s="320">
        <v>19790.000000000007</v>
      </c>
      <c r="AD1360" s="320">
        <v>19840.000000000004</v>
      </c>
      <c r="AE1360" s="320">
        <v>17690.000000000011</v>
      </c>
      <c r="AF1360" s="320">
        <v>18665.000000000007</v>
      </c>
      <c r="AG1360" s="320">
        <v>16240.000000000009</v>
      </c>
      <c r="AH1360" s="320">
        <v>15140.000000000015</v>
      </c>
      <c r="AI1360" s="320">
        <v>14840.000000000004</v>
      </c>
      <c r="AJ1360" s="320">
        <v>14740.000000000009</v>
      </c>
      <c r="AK1360" s="320">
        <v>18040.000000000007</v>
      </c>
      <c r="AL1360" s="320">
        <v>17390.000000000015</v>
      </c>
      <c r="AM1360" s="320">
        <v>16640.000000000015</v>
      </c>
      <c r="AN1360" s="320">
        <v>17140.000000000015</v>
      </c>
      <c r="AO1360" s="320">
        <v>18265.000000000015</v>
      </c>
      <c r="AP1360" s="320">
        <v>14440.000000000013</v>
      </c>
      <c r="AQ1360" s="320">
        <v>13540.000000000005</v>
      </c>
      <c r="AR1360" s="320">
        <v>15315.000000000013</v>
      </c>
      <c r="AS1360" s="320">
        <v>15315.000000000013</v>
      </c>
      <c r="AT1360" s="320">
        <v>12740.000000000009</v>
      </c>
      <c r="AU1360" s="320">
        <v>17065.000000000011</v>
      </c>
      <c r="AV1360" s="320">
        <f ca="1">Calc!AH64</f>
        <v>17065.000000000011</v>
      </c>
      <c r="AX1360" s="88" t="str">
        <f t="shared" ca="1" si="107"/>
        <v>MVESAP</v>
      </c>
    </row>
    <row r="1361" spans="1:50" ht="23" hidden="1" customHeight="1">
      <c r="A1361" s="88" t="str">
        <f t="shared" ca="1" si="108"/>
        <v>MVEUN0</v>
      </c>
      <c r="F1361" s="1082">
        <v>560</v>
      </c>
      <c r="G1361" s="1082">
        <v>560</v>
      </c>
      <c r="H1361" s="1082">
        <v>560</v>
      </c>
      <c r="I1361" s="1082">
        <v>560</v>
      </c>
      <c r="J1361" s="1082">
        <v>560</v>
      </c>
      <c r="K1361" s="1082">
        <v>560</v>
      </c>
      <c r="L1361" s="1082">
        <v>560</v>
      </c>
      <c r="M1361" s="1082">
        <v>560</v>
      </c>
      <c r="N1361" s="1082">
        <v>560</v>
      </c>
      <c r="O1361" s="1082">
        <v>560</v>
      </c>
      <c r="P1361" s="1082">
        <v>560</v>
      </c>
      <c r="Q1361" s="1082">
        <v>560</v>
      </c>
      <c r="R1361" s="1082">
        <v>560</v>
      </c>
      <c r="S1361" s="1082">
        <v>560</v>
      </c>
      <c r="T1361" s="1082">
        <v>560</v>
      </c>
      <c r="U1361" s="1082">
        <v>560</v>
      </c>
      <c r="V1361" s="1082">
        <v>560</v>
      </c>
      <c r="W1361" s="1082">
        <v>560</v>
      </c>
      <c r="X1361" s="1082">
        <v>560</v>
      </c>
      <c r="Y1361" s="1082">
        <v>560</v>
      </c>
      <c r="Z1361" s="1082">
        <f ca="1">Calc!G65</f>
        <v>560</v>
      </c>
      <c r="AB1361" s="320">
        <v>5382.64</v>
      </c>
      <c r="AC1361" s="320">
        <v>5773.0399999999991</v>
      </c>
      <c r="AD1361" s="320">
        <v>5821.84</v>
      </c>
      <c r="AE1361" s="320">
        <v>5919.4400000000014</v>
      </c>
      <c r="AF1361" s="320">
        <v>5821.84</v>
      </c>
      <c r="AG1361" s="320">
        <v>6773.4400000000014</v>
      </c>
      <c r="AH1361" s="320">
        <v>6505.0399999999991</v>
      </c>
      <c r="AI1361" s="320">
        <v>6309.84</v>
      </c>
      <c r="AJ1361" s="320">
        <v>6675.84</v>
      </c>
      <c r="AK1361" s="320">
        <v>6846.64</v>
      </c>
      <c r="AL1361" s="320">
        <v>7017.44</v>
      </c>
      <c r="AM1361" s="320">
        <v>6993.0399999999991</v>
      </c>
      <c r="AN1361" s="320">
        <v>6919.84</v>
      </c>
      <c r="AO1361" s="320">
        <v>7017.44</v>
      </c>
      <c r="AP1361" s="320">
        <v>6309.84</v>
      </c>
      <c r="AQ1361" s="320">
        <v>6944.24</v>
      </c>
      <c r="AR1361" s="320">
        <v>6895.44</v>
      </c>
      <c r="AS1361" s="320">
        <v>6895.44</v>
      </c>
      <c r="AT1361" s="320">
        <v>7310.24</v>
      </c>
      <c r="AU1361" s="320">
        <v>7700.64</v>
      </c>
      <c r="AV1361" s="320">
        <f ca="1">Calc!AH65</f>
        <v>7700.64</v>
      </c>
      <c r="AX1361" s="88" t="str">
        <f t="shared" ca="1" si="107"/>
        <v>MVEUN0</v>
      </c>
    </row>
    <row r="1362" spans="1:50" ht="23" hidden="1" customHeight="1">
      <c r="A1362" s="88" t="str">
        <f t="shared" ca="1" si="108"/>
        <v>SAFAAPL</v>
      </c>
      <c r="F1362" s="1082">
        <v>500</v>
      </c>
      <c r="G1362" s="1082">
        <v>500</v>
      </c>
      <c r="H1362" s="1082">
        <v>500</v>
      </c>
      <c r="I1362" s="1082">
        <v>500</v>
      </c>
      <c r="J1362" s="1082">
        <v>500</v>
      </c>
      <c r="K1362" s="1082">
        <v>350</v>
      </c>
      <c r="L1362" s="1082">
        <v>350</v>
      </c>
      <c r="M1362" s="1082">
        <v>350</v>
      </c>
      <c r="N1362" s="1082">
        <v>350</v>
      </c>
      <c r="O1362" s="1082">
        <v>350</v>
      </c>
      <c r="P1362" s="1082">
        <v>350</v>
      </c>
      <c r="Q1362" s="1082">
        <v>350</v>
      </c>
      <c r="R1362" s="1082">
        <v>350</v>
      </c>
      <c r="S1362" s="1082">
        <v>350</v>
      </c>
      <c r="T1362" s="1082">
        <v>350</v>
      </c>
      <c r="U1362" s="1082">
        <v>350</v>
      </c>
      <c r="V1362" s="1082">
        <v>350</v>
      </c>
      <c r="W1362" s="1082">
        <v>350</v>
      </c>
      <c r="X1362" s="1082">
        <v>350</v>
      </c>
      <c r="Y1362" s="1082">
        <v>350</v>
      </c>
      <c r="Z1362" s="1082">
        <f ca="1">Calc!G66</f>
        <v>350</v>
      </c>
      <c r="AB1362" s="320">
        <v>-6931.5299999999979</v>
      </c>
      <c r="AC1362" s="320">
        <v>-7325.9999999999964</v>
      </c>
      <c r="AD1362" s="320">
        <v>-7571.9999999999945</v>
      </c>
      <c r="AE1362" s="320">
        <v>-8075.9999999999964</v>
      </c>
      <c r="AF1362" s="320">
        <v>-8342.9999999999927</v>
      </c>
      <c r="AG1362" s="320">
        <v>527.99999999999727</v>
      </c>
      <c r="AH1362" s="320">
        <v>290.99999999999966</v>
      </c>
      <c r="AI1362" s="320">
        <v>894.00000000000114</v>
      </c>
      <c r="AJ1362" s="320">
        <v>894.00000000000114</v>
      </c>
      <c r="AK1362" s="320">
        <v>1851.0000000000005</v>
      </c>
      <c r="AL1362" s="320">
        <v>1834.4999999999984</v>
      </c>
      <c r="AM1362" s="320">
        <v>1589.9999999999991</v>
      </c>
      <c r="AN1362" s="320">
        <v>1882.5000000000018</v>
      </c>
      <c r="AO1362" s="320">
        <v>1156.5000000000011</v>
      </c>
      <c r="AP1362" s="320">
        <v>-336.00000000000136</v>
      </c>
      <c r="AQ1362" s="320">
        <v>-415.49999999999727</v>
      </c>
      <c r="AR1362" s="320">
        <v>232.50000000000171</v>
      </c>
      <c r="AS1362" s="320">
        <v>232.50000000000171</v>
      </c>
      <c r="AT1362" s="320">
        <v>63.000000000002387</v>
      </c>
      <c r="AU1362" s="320">
        <v>-422.99999999999898</v>
      </c>
      <c r="AV1362" s="320">
        <f ca="1">Calc!AH66</f>
        <v>-422.99999999999898</v>
      </c>
      <c r="AX1362" s="88" t="str">
        <f t="shared" ca="1" si="107"/>
        <v>SAFAAPL</v>
      </c>
    </row>
    <row r="1363" spans="1:50" ht="23" hidden="1" customHeight="1">
      <c r="A1363" s="88" t="str">
        <f t="shared" ca="1" si="108"/>
        <v>SAFAMZN</v>
      </c>
      <c r="F1363" s="1082">
        <v>2000</v>
      </c>
      <c r="G1363" s="1082">
        <v>2000</v>
      </c>
      <c r="H1363" s="1082">
        <v>2000</v>
      </c>
      <c r="I1363" s="1082">
        <v>2000</v>
      </c>
      <c r="J1363" s="1082">
        <v>2000</v>
      </c>
      <c r="K1363" s="1082">
        <v>2000</v>
      </c>
      <c r="L1363" s="1082">
        <v>2000</v>
      </c>
      <c r="M1363" s="1082">
        <v>2000</v>
      </c>
      <c r="N1363" s="1082">
        <v>2000</v>
      </c>
      <c r="O1363" s="1082">
        <v>2000</v>
      </c>
      <c r="P1363" s="1082">
        <v>2000</v>
      </c>
      <c r="Q1363" s="1082">
        <v>2000</v>
      </c>
      <c r="R1363" s="1082">
        <v>2000</v>
      </c>
      <c r="S1363" s="1082">
        <v>2000</v>
      </c>
      <c r="T1363" s="1082">
        <v>2000</v>
      </c>
      <c r="U1363" s="1082">
        <v>1500</v>
      </c>
      <c r="V1363" s="1082">
        <v>1500</v>
      </c>
      <c r="W1363" s="1082">
        <v>1500</v>
      </c>
      <c r="X1363" s="1082">
        <v>1500</v>
      </c>
      <c r="Y1363" s="1082">
        <v>1500</v>
      </c>
      <c r="Z1363" s="1082">
        <f ca="1">Calc!G67</f>
        <v>1500</v>
      </c>
      <c r="AB1363" s="320">
        <v>5844.9999999999991</v>
      </c>
      <c r="AC1363" s="320">
        <v>6575.0000000000027</v>
      </c>
      <c r="AD1363" s="320">
        <v>6045.0000000000018</v>
      </c>
      <c r="AE1363" s="320">
        <v>5155.0000000000009</v>
      </c>
      <c r="AF1363" s="320">
        <v>6605.0000000000036</v>
      </c>
      <c r="AG1363" s="320">
        <v>5469.9999999999991</v>
      </c>
      <c r="AH1363" s="320">
        <v>3750</v>
      </c>
      <c r="AI1363" s="320">
        <v>2489.999999999995</v>
      </c>
      <c r="AJ1363" s="320">
        <v>2489.999999999995</v>
      </c>
      <c r="AK1363" s="320">
        <v>6325.0000000000027</v>
      </c>
      <c r="AL1363" s="320">
        <v>8165.0000000000064</v>
      </c>
      <c r="AM1363" s="320">
        <v>8780.0000000000018</v>
      </c>
      <c r="AN1363" s="320">
        <v>9125</v>
      </c>
      <c r="AO1363" s="320">
        <v>9840.0000000000036</v>
      </c>
      <c r="AP1363" s="320">
        <v>8120.0000000000045</v>
      </c>
      <c r="AQ1363" s="320">
        <v>-189.99999999999773</v>
      </c>
      <c r="AR1363" s="320">
        <v>1850.0000000000086</v>
      </c>
      <c r="AS1363" s="320">
        <v>1850.0000000000086</v>
      </c>
      <c r="AT1363" s="320">
        <v>280.00000000000114</v>
      </c>
      <c r="AU1363" s="320">
        <v>-1280.0000000000011</v>
      </c>
      <c r="AV1363" s="320">
        <f ca="1">Calc!AH67</f>
        <v>-1280.0000000000011</v>
      </c>
      <c r="AX1363" s="88" t="str">
        <f t="shared" ref="AX1363:AX1426" ca="1" si="109">A1363</f>
        <v>SAFAMZN</v>
      </c>
    </row>
    <row r="1364" spans="1:50" ht="23" hidden="1" customHeight="1">
      <c r="A1364" s="88" t="str">
        <f t="shared" ca="1" si="108"/>
        <v>SAFASML</v>
      </c>
      <c r="F1364" s="1082">
        <v>250</v>
      </c>
      <c r="G1364" s="1082">
        <v>250</v>
      </c>
      <c r="H1364" s="1082">
        <v>250</v>
      </c>
      <c r="I1364" s="1082">
        <v>250</v>
      </c>
      <c r="J1364" s="1082">
        <v>250</v>
      </c>
      <c r="K1364" s="1082">
        <v>250</v>
      </c>
      <c r="L1364" s="1082">
        <v>250</v>
      </c>
      <c r="M1364" s="1082">
        <v>250</v>
      </c>
      <c r="N1364" s="1082">
        <v>250</v>
      </c>
      <c r="O1364" s="1082">
        <v>250</v>
      </c>
      <c r="P1364" s="1082">
        <v>250</v>
      </c>
      <c r="Q1364" s="1082">
        <v>250</v>
      </c>
      <c r="R1364" s="1082">
        <v>250</v>
      </c>
      <c r="S1364" s="1082">
        <v>250</v>
      </c>
      <c r="T1364" s="1082">
        <v>250</v>
      </c>
      <c r="U1364" s="1082">
        <v>250</v>
      </c>
      <c r="V1364" s="1082">
        <v>250</v>
      </c>
      <c r="W1364" s="1082">
        <v>250</v>
      </c>
      <c r="X1364" s="1082">
        <v>250</v>
      </c>
      <c r="Y1364" s="1082">
        <v>250</v>
      </c>
      <c r="Z1364" s="1082">
        <f ca="1">Calc!G68</f>
        <v>250</v>
      </c>
      <c r="AB1364" s="320">
        <v>-8926.1999999999971</v>
      </c>
      <c r="AC1364" s="320">
        <v>-16626.059999999998</v>
      </c>
      <c r="AD1364" s="320">
        <v>-18525.779999999995</v>
      </c>
      <c r="AE1364" s="320">
        <v>-19978.38</v>
      </c>
      <c r="AF1364" s="320">
        <v>-20089.079999999998</v>
      </c>
      <c r="AG1364" s="320">
        <v>-11588.399999999994</v>
      </c>
      <c r="AH1364" s="320">
        <v>-10346.399999999994</v>
      </c>
      <c r="AI1364" s="320">
        <v>-10238.399999999994</v>
      </c>
      <c r="AJ1364" s="320">
        <v>-9833.3999999999942</v>
      </c>
      <c r="AK1364" s="320">
        <v>-9925.1999999999971</v>
      </c>
      <c r="AL1364" s="320">
        <v>-10065.599999999999</v>
      </c>
      <c r="AM1364" s="320">
        <v>-11491.199999999997</v>
      </c>
      <c r="AN1364" s="320">
        <v>-11728.799999999996</v>
      </c>
      <c r="AO1364" s="320">
        <v>-11637</v>
      </c>
      <c r="AP1364" s="320">
        <v>-12895.199999999997</v>
      </c>
      <c r="AQ1364" s="320">
        <v>-12398.399999999994</v>
      </c>
      <c r="AR1364" s="320">
        <v>-11334.599999999999</v>
      </c>
      <c r="AS1364" s="320">
        <v>-11334.599999999999</v>
      </c>
      <c r="AT1364" s="320">
        <v>-12285</v>
      </c>
      <c r="AU1364" s="320">
        <v>-12646.799999999996</v>
      </c>
      <c r="AV1364" s="320">
        <f ca="1">Calc!AH68</f>
        <v>-12646.799999999996</v>
      </c>
      <c r="AX1364" s="88" t="str">
        <f t="shared" ca="1" si="109"/>
        <v>SAFASML</v>
      </c>
    </row>
    <row r="1365" spans="1:50" ht="23" hidden="1" customHeight="1">
      <c r="A1365" s="88" t="str">
        <f t="shared" ca="1" si="108"/>
        <v>SAFDDD</v>
      </c>
      <c r="F1365" s="1082">
        <v>121000</v>
      </c>
      <c r="G1365" s="1082">
        <v>121000</v>
      </c>
      <c r="H1365" s="1082">
        <v>121000</v>
      </c>
      <c r="I1365" s="1082">
        <v>121000</v>
      </c>
      <c r="J1365" s="1082">
        <v>121000</v>
      </c>
      <c r="K1365" s="1082">
        <v>110000</v>
      </c>
      <c r="L1365" s="1082">
        <v>110000</v>
      </c>
      <c r="M1365" s="1082">
        <v>110000</v>
      </c>
      <c r="N1365" s="1082">
        <v>110000</v>
      </c>
      <c r="O1365" s="1082">
        <v>110000</v>
      </c>
      <c r="P1365" s="1082">
        <v>110000</v>
      </c>
      <c r="Q1365" s="1082">
        <v>110000</v>
      </c>
      <c r="R1365" s="1082">
        <v>110000</v>
      </c>
      <c r="S1365" s="1082">
        <v>110000</v>
      </c>
      <c r="T1365" s="1082">
        <v>110000</v>
      </c>
      <c r="U1365" s="1082">
        <v>110000</v>
      </c>
      <c r="V1365" s="1082">
        <v>110000</v>
      </c>
      <c r="W1365" s="1082">
        <v>110000</v>
      </c>
      <c r="X1365" s="1082">
        <v>110000</v>
      </c>
      <c r="Y1365" s="1082">
        <v>110000</v>
      </c>
      <c r="Z1365" s="1082">
        <f ca="1">Calc!G69</f>
        <v>110000</v>
      </c>
      <c r="AB1365" s="320">
        <v>7554.9999999999982</v>
      </c>
      <c r="AC1365" s="320">
        <v>7905</v>
      </c>
      <c r="AD1365" s="320">
        <v>8079.9999999999982</v>
      </c>
      <c r="AE1365" s="320">
        <v>7429.9999999999991</v>
      </c>
      <c r="AF1365" s="320">
        <v>6804.9999999999991</v>
      </c>
      <c r="AG1365" s="320">
        <v>275.00000000000392</v>
      </c>
      <c r="AH1365" s="320">
        <v>-934.99999999999966</v>
      </c>
      <c r="AI1365" s="320">
        <v>-220.0000000000002</v>
      </c>
      <c r="AJ1365" s="320">
        <v>-220.0000000000002</v>
      </c>
      <c r="AK1365" s="320">
        <v>550.00000000000296</v>
      </c>
      <c r="AL1365" s="320">
        <v>880.0000000000008</v>
      </c>
      <c r="AM1365" s="320">
        <v>-989.99999999999841</v>
      </c>
      <c r="AN1365" s="320">
        <v>-1099.9999999999961</v>
      </c>
      <c r="AO1365" s="320">
        <v>550.00000000000296</v>
      </c>
      <c r="AP1365" s="320">
        <v>-6875</v>
      </c>
      <c r="AQ1365" s="320">
        <v>-2309.9999999999995</v>
      </c>
      <c r="AR1365" s="320">
        <v>1705.0000000000027</v>
      </c>
      <c r="AS1365" s="320">
        <v>1705.0000000000027</v>
      </c>
      <c r="AT1365" s="320">
        <v>934.99999999999966</v>
      </c>
      <c r="AU1365" s="320">
        <v>385.00000000000159</v>
      </c>
      <c r="AV1365" s="320">
        <f ca="1">Calc!AH69</f>
        <v>330.00000000000273</v>
      </c>
      <c r="AX1365" s="88" t="str">
        <f t="shared" ca="1" si="109"/>
        <v>SAFDDD</v>
      </c>
    </row>
    <row r="1366" spans="1:50" ht="23" hidden="1" customHeight="1">
      <c r="A1366" s="88" t="str">
        <f t="shared" ca="1" si="108"/>
        <v>SAFDIS</v>
      </c>
      <c r="F1366" s="1082">
        <v>670</v>
      </c>
      <c r="G1366" s="1082">
        <v>670</v>
      </c>
      <c r="H1366" s="1082">
        <v>670</v>
      </c>
      <c r="I1366" s="1082">
        <v>670</v>
      </c>
      <c r="J1366" s="1082">
        <v>670</v>
      </c>
      <c r="K1366" s="1082">
        <v>1200</v>
      </c>
      <c r="L1366" s="1082">
        <v>1200</v>
      </c>
      <c r="M1366" s="1082">
        <v>1200</v>
      </c>
      <c r="N1366" s="1082">
        <v>1200</v>
      </c>
      <c r="O1366" s="1082">
        <v>1200</v>
      </c>
      <c r="P1366" s="1082">
        <v>1200</v>
      </c>
      <c r="Q1366" s="1082">
        <v>1200</v>
      </c>
      <c r="R1366" s="1082">
        <v>1200</v>
      </c>
      <c r="S1366" s="1082">
        <v>1200</v>
      </c>
      <c r="T1366" s="1082">
        <v>1200</v>
      </c>
      <c r="U1366" s="1082">
        <v>1200</v>
      </c>
      <c r="V1366" s="1082">
        <v>1200</v>
      </c>
      <c r="W1366" s="1082">
        <v>1200</v>
      </c>
      <c r="X1366" s="1082">
        <v>1200</v>
      </c>
      <c r="Y1366" s="1082">
        <v>1200</v>
      </c>
      <c r="Z1366" s="1082">
        <f ca="1">Calc!G70</f>
        <v>1200</v>
      </c>
      <c r="AB1366" s="320">
        <v>2862.7499999999991</v>
      </c>
      <c r="AC1366" s="320">
        <v>2801.6999999999985</v>
      </c>
      <c r="AD1366" s="320">
        <v>3311.5499999999988</v>
      </c>
      <c r="AE1366" s="320">
        <v>3567.3000000000006</v>
      </c>
      <c r="AF1366" s="320">
        <v>3458.4000000000015</v>
      </c>
      <c r="AG1366" s="320">
        <v>3432.0000000000018</v>
      </c>
      <c r="AH1366" s="320">
        <v>3656.3999999999996</v>
      </c>
      <c r="AI1366" s="320">
        <v>3953.4000000000015</v>
      </c>
      <c r="AJ1366" s="320">
        <v>3953.4000000000015</v>
      </c>
      <c r="AK1366" s="320">
        <v>4184.3999999999978</v>
      </c>
      <c r="AL1366" s="320">
        <v>3895.6499999999974</v>
      </c>
      <c r="AM1366" s="320">
        <v>3618.4500000000012</v>
      </c>
      <c r="AN1366" s="320">
        <v>4314.7500000000009</v>
      </c>
      <c r="AO1366" s="320">
        <v>4058.9999999999991</v>
      </c>
      <c r="AP1366" s="320">
        <v>3626.6999999999985</v>
      </c>
      <c r="AQ1366" s="320">
        <v>2857.7999999999988</v>
      </c>
      <c r="AR1366" s="320">
        <v>3257.1000000000013</v>
      </c>
      <c r="AS1366" s="320">
        <v>3257.1000000000013</v>
      </c>
      <c r="AT1366" s="320">
        <v>3283.5000000000009</v>
      </c>
      <c r="AU1366" s="320">
        <v>3728.9999999999991</v>
      </c>
      <c r="AV1366" s="320">
        <f ca="1">Calc!AH70</f>
        <v>3725.6999999999975</v>
      </c>
      <c r="AX1366" s="88" t="str">
        <f t="shared" ca="1" si="109"/>
        <v>SAFDIS</v>
      </c>
    </row>
    <row r="1367" spans="1:50" ht="23" hidden="1" customHeight="1">
      <c r="A1367" s="88" t="str">
        <f t="shared" ca="1" si="108"/>
        <v>SAFGM</v>
      </c>
      <c r="F1367" s="1082">
        <v>0</v>
      </c>
      <c r="G1367" s="1082">
        <v>0</v>
      </c>
      <c r="H1367" s="1082">
        <v>0</v>
      </c>
      <c r="I1367" s="1082">
        <v>0</v>
      </c>
      <c r="J1367" s="1082">
        <v>0</v>
      </c>
      <c r="K1367" s="1082">
        <v>0</v>
      </c>
      <c r="L1367" s="1082">
        <v>0</v>
      </c>
      <c r="M1367" s="1082">
        <v>0</v>
      </c>
      <c r="N1367" s="1082">
        <v>0</v>
      </c>
      <c r="O1367" s="1082">
        <v>0</v>
      </c>
      <c r="P1367" s="1082">
        <v>0</v>
      </c>
      <c r="Q1367" s="1082">
        <v>0</v>
      </c>
      <c r="R1367" s="1082">
        <v>0</v>
      </c>
      <c r="S1367" s="1082">
        <v>0</v>
      </c>
      <c r="T1367" s="1082">
        <v>0</v>
      </c>
      <c r="U1367" s="1082">
        <v>0</v>
      </c>
      <c r="V1367" s="1082">
        <v>0</v>
      </c>
      <c r="W1367" s="1082">
        <v>0</v>
      </c>
      <c r="X1367" s="1082">
        <v>0</v>
      </c>
      <c r="Y1367" s="1082">
        <v>0</v>
      </c>
      <c r="Z1367" s="1082">
        <f ca="1">Calc!G71</f>
        <v>0</v>
      </c>
      <c r="AB1367" s="320">
        <v>-24363.199999999993</v>
      </c>
      <c r="AC1367" s="320">
        <v>-24653.199999999997</v>
      </c>
      <c r="AD1367" s="320">
        <v>-25393.199999999993</v>
      </c>
      <c r="AE1367" s="320">
        <v>-21453.199999999997</v>
      </c>
      <c r="AF1367" s="320">
        <v>-22993.200000000001</v>
      </c>
      <c r="AG1367" s="320">
        <v>-17273.200000000004</v>
      </c>
      <c r="AH1367" s="320">
        <v>-15543.199999999999</v>
      </c>
      <c r="AI1367" s="320">
        <v>-14613.199999999992</v>
      </c>
      <c r="AJ1367" s="320">
        <v>-14573.2</v>
      </c>
      <c r="AK1367" s="320">
        <v>-13953.199999999995</v>
      </c>
      <c r="AL1367" s="320">
        <v>-17033.199999999993</v>
      </c>
      <c r="AM1367" s="320">
        <v>-18572.999999999993</v>
      </c>
      <c r="AN1367" s="320">
        <v>-17413.200000000004</v>
      </c>
      <c r="AO1367" s="320">
        <v>-19493.2</v>
      </c>
      <c r="AP1367" s="320">
        <v>-18773.200000000004</v>
      </c>
      <c r="AQ1367" s="320">
        <v>-35953.199999999997</v>
      </c>
      <c r="AR1367" s="320">
        <v>-37373.199999999983</v>
      </c>
      <c r="AS1367" s="320">
        <v>-37373.199999999983</v>
      </c>
      <c r="AT1367" s="320">
        <v>-36403.199999999983</v>
      </c>
      <c r="AU1367" s="320">
        <v>-42073.2</v>
      </c>
      <c r="AV1367" s="320">
        <f ca="1">Calc!AH71</f>
        <v>-42053.19999999999</v>
      </c>
      <c r="AX1367" s="88" t="str">
        <f t="shared" ca="1" si="109"/>
        <v>SAFGM</v>
      </c>
    </row>
    <row r="1368" spans="1:50" ht="23" hidden="1" customHeight="1">
      <c r="A1368" s="88" t="str">
        <f t="shared" ca="1" si="108"/>
        <v>SAFIAG</v>
      </c>
      <c r="F1368" s="1082">
        <v>0</v>
      </c>
      <c r="G1368" s="1082">
        <v>0</v>
      </c>
      <c r="H1368" s="1082">
        <v>0</v>
      </c>
      <c r="I1368" s="1082">
        <v>0</v>
      </c>
      <c r="J1368" s="1082">
        <v>0</v>
      </c>
      <c r="K1368" s="1082">
        <v>0</v>
      </c>
      <c r="L1368" s="1082">
        <v>0</v>
      </c>
      <c r="M1368" s="1082">
        <v>0</v>
      </c>
      <c r="N1368" s="1082">
        <v>0</v>
      </c>
      <c r="O1368" s="1082">
        <v>0</v>
      </c>
      <c r="P1368" s="1082">
        <v>0</v>
      </c>
      <c r="Q1368" s="1082">
        <v>0</v>
      </c>
      <c r="R1368" s="1082">
        <v>0</v>
      </c>
      <c r="S1368" s="1082">
        <v>0</v>
      </c>
      <c r="T1368" s="1082">
        <v>0</v>
      </c>
      <c r="U1368" s="1082">
        <v>0</v>
      </c>
      <c r="V1368" s="1082">
        <v>0</v>
      </c>
      <c r="W1368" s="1082">
        <v>0</v>
      </c>
      <c r="X1368" s="1082">
        <v>0</v>
      </c>
      <c r="Y1368" s="1082">
        <v>0</v>
      </c>
      <c r="Z1368" s="1082">
        <f ca="1">Calc!G72</f>
        <v>0</v>
      </c>
      <c r="AB1368" s="320">
        <v>-82180.000000000015</v>
      </c>
      <c r="AC1368" s="320">
        <v>-84180</v>
      </c>
      <c r="AD1368" s="320">
        <v>-77479.999999999971</v>
      </c>
      <c r="AE1368" s="320">
        <v>-84680</v>
      </c>
      <c r="AF1368" s="320">
        <v>-83880</v>
      </c>
      <c r="AG1368" s="320">
        <v>-87779.999999999985</v>
      </c>
      <c r="AH1368" s="320">
        <v>-98079.999999999985</v>
      </c>
      <c r="AI1368" s="320">
        <v>-110880</v>
      </c>
      <c r="AJ1368" s="320">
        <v>-106180</v>
      </c>
      <c r="AK1368" s="320">
        <v>-106279.99999999999</v>
      </c>
      <c r="AL1368" s="320">
        <v>-106079.99999999999</v>
      </c>
      <c r="AM1368" s="320">
        <v>-105579.99999999999</v>
      </c>
      <c r="AN1368" s="320">
        <v>-104380</v>
      </c>
      <c r="AO1368" s="320">
        <v>-89279.999999999985</v>
      </c>
      <c r="AP1368" s="320">
        <v>-94079.999999999985</v>
      </c>
      <c r="AQ1368" s="320">
        <v>-91880</v>
      </c>
      <c r="AR1368" s="320">
        <v>-100680</v>
      </c>
      <c r="AS1368" s="320">
        <v>-100680</v>
      </c>
      <c r="AT1368" s="320">
        <v>-101579.99999999999</v>
      </c>
      <c r="AU1368" s="320">
        <v>-108079.99999999999</v>
      </c>
      <c r="AV1368" s="320">
        <f ca="1">Calc!AH72</f>
        <v>-108079.99999999999</v>
      </c>
      <c r="AX1368" s="88" t="str">
        <f t="shared" ca="1" si="109"/>
        <v>SAFIAG</v>
      </c>
    </row>
    <row r="1369" spans="1:50" ht="23" hidden="1" customHeight="1">
      <c r="A1369" s="88" t="str">
        <f t="shared" ca="1" si="108"/>
        <v>SAFMRNA</v>
      </c>
      <c r="F1369" s="1082">
        <v>5000</v>
      </c>
      <c r="G1369" s="1082">
        <v>5000</v>
      </c>
      <c r="H1369" s="1082">
        <v>5000</v>
      </c>
      <c r="I1369" s="1082">
        <v>5000</v>
      </c>
      <c r="J1369" s="1082">
        <v>5000</v>
      </c>
      <c r="K1369" s="1082">
        <v>5000</v>
      </c>
      <c r="L1369" s="1082">
        <v>5000</v>
      </c>
      <c r="M1369" s="1082">
        <v>5000</v>
      </c>
      <c r="N1369" s="1082">
        <v>5000</v>
      </c>
      <c r="O1369" s="1082">
        <v>5000</v>
      </c>
      <c r="P1369" s="1082">
        <v>5000</v>
      </c>
      <c r="Q1369" s="1082">
        <v>5000</v>
      </c>
      <c r="R1369" s="1082">
        <v>5000</v>
      </c>
      <c r="S1369" s="1082">
        <v>5000</v>
      </c>
      <c r="T1369" s="1082">
        <v>5000</v>
      </c>
      <c r="U1369" s="1082">
        <v>5000</v>
      </c>
      <c r="V1369" s="1082">
        <v>5000</v>
      </c>
      <c r="W1369" s="1082">
        <v>5000</v>
      </c>
      <c r="X1369" s="1082">
        <v>5000</v>
      </c>
      <c r="Y1369" s="1082">
        <v>5000</v>
      </c>
      <c r="Z1369" s="1082">
        <f ca="1">Calc!G73</f>
        <v>5000</v>
      </c>
      <c r="AB1369" s="320">
        <v>19798.28</v>
      </c>
      <c r="AC1369" s="320">
        <v>19654</v>
      </c>
      <c r="AD1369" s="320">
        <v>19300</v>
      </c>
      <c r="AE1369" s="320">
        <v>19145.999999999996</v>
      </c>
      <c r="AF1369" s="320">
        <v>19122</v>
      </c>
      <c r="AG1369" s="320">
        <v>19352</v>
      </c>
      <c r="AH1369" s="320">
        <v>19236</v>
      </c>
      <c r="AI1369" s="320">
        <v>19314</v>
      </c>
      <c r="AJ1369" s="320">
        <v>19314</v>
      </c>
      <c r="AK1369" s="320">
        <v>19472</v>
      </c>
      <c r="AL1369" s="320">
        <v>19570</v>
      </c>
      <c r="AM1369" s="320">
        <v>19269</v>
      </c>
      <c r="AN1369" s="320">
        <v>19392</v>
      </c>
      <c r="AO1369" s="320">
        <v>19617.999999999996</v>
      </c>
      <c r="AP1369" s="320">
        <v>19372</v>
      </c>
      <c r="AQ1369" s="320">
        <v>19322</v>
      </c>
      <c r="AR1369" s="320">
        <v>19450</v>
      </c>
      <c r="AS1369" s="320">
        <v>19450</v>
      </c>
      <c r="AT1369" s="320">
        <v>19570</v>
      </c>
      <c r="AU1369" s="320">
        <v>19472</v>
      </c>
      <c r="AV1369" s="320">
        <f ca="1">Calc!AH73</f>
        <v>19472</v>
      </c>
      <c r="AX1369" s="88" t="str">
        <f t="shared" ca="1" si="109"/>
        <v>SAFMRNA</v>
      </c>
    </row>
    <row r="1370" spans="1:50" ht="23" hidden="1" customHeight="1">
      <c r="A1370" s="88" t="str">
        <f t="shared" ca="1" si="108"/>
        <v>BLNK</v>
      </c>
      <c r="F1370" s="1082">
        <v>132000</v>
      </c>
      <c r="G1370" s="1082">
        <v>132000</v>
      </c>
      <c r="H1370" s="1082">
        <v>132000</v>
      </c>
      <c r="I1370" s="1082">
        <v>132000</v>
      </c>
      <c r="J1370" s="1082">
        <v>132000</v>
      </c>
      <c r="K1370" s="1082">
        <v>132000</v>
      </c>
      <c r="L1370" s="1082">
        <v>132000</v>
      </c>
      <c r="M1370" s="1082">
        <v>132000</v>
      </c>
      <c r="N1370" s="1082">
        <v>132000</v>
      </c>
      <c r="O1370" s="1082">
        <v>132000</v>
      </c>
      <c r="P1370" s="1082">
        <v>132000</v>
      </c>
      <c r="Q1370" s="1082">
        <v>132000</v>
      </c>
      <c r="R1370" s="1082">
        <v>120000</v>
      </c>
      <c r="S1370" s="1082">
        <v>120000</v>
      </c>
      <c r="T1370" s="1082">
        <v>120000</v>
      </c>
      <c r="U1370" s="1082">
        <v>120000</v>
      </c>
      <c r="V1370" s="1082">
        <v>120000</v>
      </c>
      <c r="W1370" s="1082">
        <v>120000</v>
      </c>
      <c r="X1370" s="1082">
        <v>120000</v>
      </c>
      <c r="Y1370" s="1082">
        <v>120000</v>
      </c>
      <c r="Z1370" s="1082">
        <f ca="1">Calc!G74</f>
        <v>120000</v>
      </c>
      <c r="AB1370" s="320">
        <v>-5879.9999999999991</v>
      </c>
      <c r="AC1370" s="320">
        <v>-3359.9999999999968</v>
      </c>
      <c r="AD1370" s="320">
        <v>-8120.0000000000009</v>
      </c>
      <c r="AE1370" s="320">
        <v>-6720</v>
      </c>
      <c r="AF1370" s="320">
        <v>-13440</v>
      </c>
      <c r="AG1370" s="320">
        <v>-23800.000000000004</v>
      </c>
      <c r="AH1370" s="320">
        <v>-21839.999999999993</v>
      </c>
      <c r="AI1370" s="320">
        <v>-19880</v>
      </c>
      <c r="AJ1370" s="320">
        <v>-19880</v>
      </c>
      <c r="AK1370" s="320">
        <v>-19880</v>
      </c>
      <c r="AL1370" s="320">
        <v>-21000</v>
      </c>
      <c r="AM1370" s="320">
        <v>-18060</v>
      </c>
      <c r="AN1370" s="320">
        <v>0</v>
      </c>
      <c r="AO1370" s="320">
        <v>1079.9999999999982</v>
      </c>
      <c r="AP1370" s="320">
        <v>240.00000000000023</v>
      </c>
      <c r="AQ1370" s="320">
        <v>1679.9999999999989</v>
      </c>
      <c r="AR1370" s="320">
        <v>1439.9999999999986</v>
      </c>
      <c r="AS1370" s="320">
        <v>1439.9999999999986</v>
      </c>
      <c r="AT1370" s="320">
        <v>1439.9999999999986</v>
      </c>
      <c r="AU1370" s="320">
        <v>-240.00000000000023</v>
      </c>
      <c r="AV1370" s="320">
        <f ca="1">Calc!AH74</f>
        <v>-240.00000000000023</v>
      </c>
      <c r="AX1370" s="88" t="str">
        <f t="shared" ca="1" si="109"/>
        <v>BLNK</v>
      </c>
    </row>
    <row r="1371" spans="1:50" ht="23" hidden="1" customHeight="1">
      <c r="A1371" s="88" t="str">
        <f t="shared" ca="1" si="108"/>
        <v>ENI</v>
      </c>
      <c r="F1371" s="1082">
        <v>22000</v>
      </c>
      <c r="G1371" s="1082">
        <v>22000</v>
      </c>
      <c r="H1371" s="1082">
        <v>22000</v>
      </c>
      <c r="I1371" s="1082">
        <v>22000</v>
      </c>
      <c r="J1371" s="1082">
        <v>22000</v>
      </c>
      <c r="K1371" s="1082">
        <v>22000</v>
      </c>
      <c r="L1371" s="1082">
        <v>22000</v>
      </c>
      <c r="M1371" s="1082">
        <v>22000</v>
      </c>
      <c r="N1371" s="1082">
        <v>22000</v>
      </c>
      <c r="O1371" s="1082">
        <v>22000</v>
      </c>
      <c r="P1371" s="1082">
        <v>22000</v>
      </c>
      <c r="Q1371" s="1082">
        <v>22000</v>
      </c>
      <c r="R1371" s="1082">
        <v>22000</v>
      </c>
      <c r="S1371" s="1082">
        <v>22000</v>
      </c>
      <c r="T1371" s="1082">
        <v>22000</v>
      </c>
      <c r="U1371" s="1082">
        <v>22000</v>
      </c>
      <c r="V1371" s="1082">
        <v>22000</v>
      </c>
      <c r="W1371" s="1082">
        <v>22000</v>
      </c>
      <c r="X1371" s="1082">
        <v>22000</v>
      </c>
      <c r="Y1371" s="1082">
        <v>22000</v>
      </c>
      <c r="Z1371" s="1082">
        <f ca="1">Calc!G75</f>
        <v>22000</v>
      </c>
      <c r="AB1371" s="320">
        <v>256.00000000000023</v>
      </c>
      <c r="AC1371" s="320">
        <v>688.00000000000239</v>
      </c>
      <c r="AD1371" s="320">
        <v>448.0000000000004</v>
      </c>
      <c r="AE1371" s="320">
        <v>668.00000000000284</v>
      </c>
      <c r="AF1371" s="320">
        <v>608.00000000000057</v>
      </c>
      <c r="AG1371" s="320">
        <v>72.000000000002728</v>
      </c>
      <c r="AH1371" s="320">
        <v>-151.99999999999747</v>
      </c>
      <c r="AI1371" s="320">
        <v>-335.99999999999852</v>
      </c>
      <c r="AJ1371" s="320">
        <v>16.000000000001791</v>
      </c>
      <c r="AK1371" s="320">
        <v>476.00000000000261</v>
      </c>
      <c r="AL1371" s="320">
        <v>1020.0000000000032</v>
      </c>
      <c r="AM1371" s="320">
        <v>976.00000000000261</v>
      </c>
      <c r="AN1371" s="320">
        <v>888.00000000000171</v>
      </c>
      <c r="AO1371" s="320">
        <v>732.00000000000284</v>
      </c>
      <c r="AP1371" s="320">
        <v>668.00000000000284</v>
      </c>
      <c r="AQ1371" s="320">
        <v>620.00000000000102</v>
      </c>
      <c r="AR1371" s="320">
        <v>168.00000000000281</v>
      </c>
      <c r="AS1371" s="320">
        <v>168.00000000000281</v>
      </c>
      <c r="AT1371" s="320">
        <v>-751.99999999999886</v>
      </c>
      <c r="AU1371" s="320">
        <v>-1251.9999999999989</v>
      </c>
      <c r="AV1371" s="320">
        <f ca="1">Calc!AH75</f>
        <v>-1251.9999999999989</v>
      </c>
      <c r="AX1371" s="88" t="str">
        <f t="shared" ca="1" si="109"/>
        <v>ENI</v>
      </c>
    </row>
    <row r="1372" spans="1:50" ht="23" hidden="1" customHeight="1">
      <c r="A1372" s="88" t="str">
        <f t="shared" ca="1" si="108"/>
        <v>EZJ</v>
      </c>
      <c r="F1372" s="1082">
        <v>40000</v>
      </c>
      <c r="G1372" s="1082">
        <v>40000</v>
      </c>
      <c r="H1372" s="1082">
        <v>40000</v>
      </c>
      <c r="I1372" s="1082">
        <v>40000</v>
      </c>
      <c r="J1372" s="1082">
        <v>40000</v>
      </c>
      <c r="K1372" s="1082">
        <v>40000</v>
      </c>
      <c r="L1372" s="1082">
        <v>40000</v>
      </c>
      <c r="M1372" s="1082">
        <v>40000</v>
      </c>
      <c r="N1372" s="1082">
        <v>40000</v>
      </c>
      <c r="O1372" s="1082">
        <v>40000</v>
      </c>
      <c r="P1372" s="1082">
        <v>40000</v>
      </c>
      <c r="Q1372" s="1082">
        <v>40000</v>
      </c>
      <c r="R1372" s="1082">
        <v>40000</v>
      </c>
      <c r="S1372" s="1082">
        <v>40000</v>
      </c>
      <c r="T1372" s="1082">
        <v>40000</v>
      </c>
      <c r="U1372" s="1082">
        <v>40000</v>
      </c>
      <c r="V1372" s="1082">
        <v>30000</v>
      </c>
      <c r="W1372" s="1082">
        <v>30000</v>
      </c>
      <c r="X1372" s="1082">
        <v>30000</v>
      </c>
      <c r="Y1372" s="1082">
        <v>30000</v>
      </c>
      <c r="Z1372" s="1082">
        <f ca="1">Calc!G76</f>
        <v>30000</v>
      </c>
      <c r="AB1372" s="320">
        <v>15048.000000000005</v>
      </c>
      <c r="AC1372" s="320">
        <v>14436.000000000009</v>
      </c>
      <c r="AD1372" s="320">
        <v>14742.000000000007</v>
      </c>
      <c r="AE1372" s="320">
        <v>14598.000000000005</v>
      </c>
      <c r="AF1372" s="320">
        <v>13122.000000000007</v>
      </c>
      <c r="AG1372" s="320">
        <v>14184.000000000013</v>
      </c>
      <c r="AH1372" s="320">
        <v>13086.000000000009</v>
      </c>
      <c r="AI1372" s="320">
        <v>13086.000000000009</v>
      </c>
      <c r="AJ1372" s="320">
        <v>13225.176000000003</v>
      </c>
      <c r="AK1372" s="320">
        <v>14436.000000000009</v>
      </c>
      <c r="AL1372" s="320">
        <v>7740.0000000000109</v>
      </c>
      <c r="AM1372" s="320">
        <v>11430.000000000009</v>
      </c>
      <c r="AN1372" s="320">
        <v>9810.0000000000109</v>
      </c>
      <c r="AO1372" s="320">
        <v>10134.000000000013</v>
      </c>
      <c r="AP1372" s="320">
        <v>10476.000000000009</v>
      </c>
      <c r="AQ1372" s="320">
        <v>11502.000000000007</v>
      </c>
      <c r="AR1372" s="320">
        <v>230.00000000000114</v>
      </c>
      <c r="AS1372" s="320">
        <v>230.00000000000114</v>
      </c>
      <c r="AT1372" s="320">
        <v>1610.0000000000023</v>
      </c>
      <c r="AU1372" s="320">
        <v>950</v>
      </c>
      <c r="AV1372" s="320">
        <f ca="1">Calc!AH76</f>
        <v>950</v>
      </c>
      <c r="AX1372" s="88" t="str">
        <f t="shared" ca="1" si="109"/>
        <v>EZJ</v>
      </c>
    </row>
    <row r="1373" spans="1:50" ht="23" hidden="1" customHeight="1">
      <c r="A1373" s="88" t="str">
        <f t="shared" ca="1" si="108"/>
        <v>F</v>
      </c>
      <c r="F1373" s="1082">
        <v>3000</v>
      </c>
      <c r="G1373" s="1082">
        <v>3000</v>
      </c>
      <c r="H1373" s="1082">
        <v>3000</v>
      </c>
      <c r="I1373" s="1082">
        <v>3000</v>
      </c>
      <c r="J1373" s="1082">
        <v>3000</v>
      </c>
      <c r="K1373" s="1082">
        <v>3000</v>
      </c>
      <c r="L1373" s="1082">
        <v>3000</v>
      </c>
      <c r="M1373" s="1082">
        <v>3000</v>
      </c>
      <c r="N1373" s="1082">
        <v>3000</v>
      </c>
      <c r="O1373" s="1082">
        <v>3000</v>
      </c>
      <c r="P1373" s="1082">
        <v>3000</v>
      </c>
      <c r="Q1373" s="1082">
        <v>3000</v>
      </c>
      <c r="R1373" s="1082">
        <v>3000</v>
      </c>
      <c r="S1373" s="1082">
        <v>3000</v>
      </c>
      <c r="T1373" s="1082">
        <v>0</v>
      </c>
      <c r="U1373" s="1082">
        <v>0</v>
      </c>
      <c r="V1373" s="1082">
        <v>0</v>
      </c>
      <c r="W1373" s="1082">
        <v>0</v>
      </c>
      <c r="X1373" s="1082">
        <v>0</v>
      </c>
      <c r="Y1373" s="1082">
        <v>0</v>
      </c>
      <c r="Z1373" s="1082">
        <f ca="1">Calc!G77</f>
        <v>0</v>
      </c>
      <c r="AB1373" s="320">
        <v>-1085.3999999999999</v>
      </c>
      <c r="AC1373" s="320">
        <v>-1089.9999999999998</v>
      </c>
      <c r="AD1373" s="320">
        <v>-1719.9999999999989</v>
      </c>
      <c r="AE1373" s="320">
        <v>-1649.9999999999986</v>
      </c>
      <c r="AF1373" s="320">
        <v>-2500</v>
      </c>
      <c r="AG1373" s="320">
        <v>-1030.0000000000011</v>
      </c>
      <c r="AH1373" s="320">
        <v>-669.99999999999818</v>
      </c>
      <c r="AI1373" s="320">
        <v>-219.99999999999886</v>
      </c>
      <c r="AJ1373" s="320">
        <v>-179.99999999999972</v>
      </c>
      <c r="AK1373" s="320">
        <v>-269.99999999999955</v>
      </c>
      <c r="AL1373" s="320">
        <v>-509.99999999999801</v>
      </c>
      <c r="AM1373" s="320">
        <v>-649.99999999999864</v>
      </c>
      <c r="AN1373" s="320">
        <v>-669.99999999999818</v>
      </c>
      <c r="AO1373" s="320">
        <v>-1019.9999999999995</v>
      </c>
      <c r="AP1373" s="320">
        <v>44.999999999996376</v>
      </c>
      <c r="AQ1373" s="320">
        <v>-1650.000000000002</v>
      </c>
      <c r="AR1373" s="320">
        <v>-1305.0000000000016</v>
      </c>
      <c r="AS1373" s="320">
        <v>-1305.0000000000016</v>
      </c>
      <c r="AT1373" s="320">
        <v>-870.00000000000273</v>
      </c>
      <c r="AU1373" s="320">
        <v>-5430.0000000000018</v>
      </c>
      <c r="AV1373" s="320">
        <f ca="1">Calc!AH77</f>
        <v>-5460.0000000000009</v>
      </c>
      <c r="AX1373" s="88" t="str">
        <f t="shared" ca="1" si="109"/>
        <v>F</v>
      </c>
    </row>
    <row r="1374" spans="1:50" ht="23" hidden="1" customHeight="1">
      <c r="A1374" s="88" t="str">
        <f t="shared" ca="1" si="108"/>
        <v>GLE</v>
      </c>
      <c r="F1374" s="1082">
        <v>0</v>
      </c>
      <c r="G1374" s="1082">
        <v>0</v>
      </c>
      <c r="H1374" s="1082">
        <v>0</v>
      </c>
      <c r="I1374" s="1082">
        <v>0</v>
      </c>
      <c r="J1374" s="1082">
        <v>0</v>
      </c>
      <c r="K1374" s="1082">
        <v>0</v>
      </c>
      <c r="L1374" s="1082">
        <v>0</v>
      </c>
      <c r="M1374" s="1082">
        <v>0</v>
      </c>
      <c r="N1374" s="1082">
        <v>0</v>
      </c>
      <c r="O1374" s="1082">
        <v>0</v>
      </c>
      <c r="P1374" s="1082">
        <v>0</v>
      </c>
      <c r="Q1374" s="1082">
        <v>0</v>
      </c>
      <c r="R1374" s="1082">
        <v>0</v>
      </c>
      <c r="S1374" s="1082">
        <v>0</v>
      </c>
      <c r="T1374" s="1082">
        <v>0</v>
      </c>
      <c r="U1374" s="1082">
        <v>0</v>
      </c>
      <c r="V1374" s="1082">
        <v>0</v>
      </c>
      <c r="W1374" s="1082">
        <v>0</v>
      </c>
      <c r="X1374" s="1082">
        <v>0</v>
      </c>
      <c r="Y1374" s="1082">
        <v>0</v>
      </c>
      <c r="Z1374" s="1082">
        <f ca="1">Calc!G78</f>
        <v>0</v>
      </c>
      <c r="AB1374" s="320">
        <v>-51039.999999999993</v>
      </c>
      <c r="AC1374" s="320">
        <v>-50519.999999999993</v>
      </c>
      <c r="AD1374" s="320">
        <v>-51440</v>
      </c>
      <c r="AE1374" s="320">
        <v>-51239.999999999993</v>
      </c>
      <c r="AF1374" s="320">
        <v>-51239.999999999993</v>
      </c>
      <c r="AG1374" s="320">
        <v>-44399.999999999993</v>
      </c>
      <c r="AH1374" s="320">
        <v>-46640</v>
      </c>
      <c r="AI1374" s="320">
        <v>-46519.999999999993</v>
      </c>
      <c r="AJ1374" s="320">
        <v>-46280</v>
      </c>
      <c r="AK1374" s="320">
        <v>-45239.999999999993</v>
      </c>
      <c r="AL1374" s="320">
        <v>-47840</v>
      </c>
      <c r="AM1374" s="320">
        <v>-48920</v>
      </c>
      <c r="AN1374" s="320">
        <v>-50840</v>
      </c>
      <c r="AO1374" s="320">
        <v>-45080</v>
      </c>
      <c r="AP1374" s="320">
        <v>-43800</v>
      </c>
      <c r="AQ1374" s="320">
        <v>-44039.999999999993</v>
      </c>
      <c r="AR1374" s="320">
        <v>-43560</v>
      </c>
      <c r="AS1374" s="320">
        <v>-43560</v>
      </c>
      <c r="AT1374" s="320">
        <v>-44959.999999999993</v>
      </c>
      <c r="AU1374" s="320">
        <v>-45160</v>
      </c>
      <c r="AV1374" s="320">
        <f ca="1">Calc!AH78</f>
        <v>-45160</v>
      </c>
      <c r="AX1374" s="88" t="str">
        <f t="shared" ca="1" si="109"/>
        <v>GLE</v>
      </c>
    </row>
    <row r="1375" spans="1:50" ht="23" hidden="1" customHeight="1">
      <c r="A1375" s="88" t="str">
        <f t="shared" ca="1" si="108"/>
        <v>GNRC</v>
      </c>
      <c r="F1375" s="1082">
        <v>800</v>
      </c>
      <c r="G1375" s="1082">
        <v>800</v>
      </c>
      <c r="H1375" s="1082">
        <v>800</v>
      </c>
      <c r="I1375" s="1082">
        <v>800</v>
      </c>
      <c r="J1375" s="1082">
        <v>800</v>
      </c>
      <c r="K1375" s="1082">
        <v>800</v>
      </c>
      <c r="L1375" s="1082">
        <v>800</v>
      </c>
      <c r="M1375" s="1082">
        <v>800</v>
      </c>
      <c r="N1375" s="1082">
        <v>800</v>
      </c>
      <c r="O1375" s="1082">
        <v>800</v>
      </c>
      <c r="P1375" s="1082">
        <v>800</v>
      </c>
      <c r="Q1375" s="1082">
        <v>800</v>
      </c>
      <c r="R1375" s="1082">
        <v>600</v>
      </c>
      <c r="S1375" s="1082">
        <v>600</v>
      </c>
      <c r="T1375" s="1082">
        <v>600</v>
      </c>
      <c r="U1375" s="1082">
        <v>600</v>
      </c>
      <c r="V1375" s="1082">
        <v>900</v>
      </c>
      <c r="W1375" s="1082">
        <v>900</v>
      </c>
      <c r="X1375" s="1082">
        <v>900</v>
      </c>
      <c r="Y1375" s="1082">
        <v>900</v>
      </c>
      <c r="Z1375" s="1082">
        <f ca="1">Calc!G79</f>
        <v>900</v>
      </c>
      <c r="AB1375" s="320">
        <v>14412.000000000005</v>
      </c>
      <c r="AC1375" s="320">
        <v>13505.999999999995</v>
      </c>
      <c r="AD1375" s="320">
        <v>13265.999999999991</v>
      </c>
      <c r="AE1375" s="320">
        <v>11940.000000000004</v>
      </c>
      <c r="AF1375" s="320">
        <v>14544.000000000005</v>
      </c>
      <c r="AG1375" s="320">
        <v>13733.999999999993</v>
      </c>
      <c r="AH1375" s="320">
        <v>11144.999999999993</v>
      </c>
      <c r="AI1375" s="320">
        <v>10794.000000000005</v>
      </c>
      <c r="AJ1375" s="320">
        <v>10794.000000000005</v>
      </c>
      <c r="AK1375" s="320">
        <v>9473.9999999999945</v>
      </c>
      <c r="AL1375" s="320">
        <v>3590.9999999999909</v>
      </c>
      <c r="AM1375" s="320">
        <v>-2030.9999999999945</v>
      </c>
      <c r="AN1375" s="320">
        <v>-129.00000000000205</v>
      </c>
      <c r="AO1375" s="320">
        <v>303.99999999999636</v>
      </c>
      <c r="AP1375" s="320">
        <v>-752.00000000000387</v>
      </c>
      <c r="AQ1375" s="320">
        <v>-102.00000000000387</v>
      </c>
      <c r="AR1375" s="320">
        <v>1783.9999999999975</v>
      </c>
      <c r="AS1375" s="320">
        <v>1783.9999999999975</v>
      </c>
      <c r="AT1375" s="320">
        <v>593.99999999999977</v>
      </c>
      <c r="AU1375" s="320">
        <v>0</v>
      </c>
      <c r="AV1375" s="320">
        <f ca="1">Calc!AH79</f>
        <v>12.000000000000455</v>
      </c>
      <c r="AX1375" s="88" t="str">
        <f t="shared" ca="1" si="109"/>
        <v>GNRC</v>
      </c>
    </row>
    <row r="1376" spans="1:50" ht="23" hidden="1" customHeight="1">
      <c r="A1376" s="88" t="str">
        <f t="shared" ca="1" si="108"/>
        <v>GS</v>
      </c>
      <c r="F1376" s="1082">
        <v>0</v>
      </c>
      <c r="G1376" s="1082">
        <v>0</v>
      </c>
      <c r="H1376" s="1082">
        <v>0</v>
      </c>
      <c r="I1376" s="1082">
        <v>0</v>
      </c>
      <c r="J1376" s="1082">
        <v>0</v>
      </c>
      <c r="K1376" s="1082">
        <v>0</v>
      </c>
      <c r="L1376" s="1082">
        <v>0</v>
      </c>
      <c r="M1376" s="1082">
        <v>0</v>
      </c>
      <c r="N1376" s="1082">
        <v>0</v>
      </c>
      <c r="O1376" s="1082">
        <v>0</v>
      </c>
      <c r="P1376" s="1082">
        <v>0</v>
      </c>
      <c r="Q1376" s="1082">
        <v>0</v>
      </c>
      <c r="R1376" s="1082">
        <v>0</v>
      </c>
      <c r="S1376" s="1082">
        <v>0</v>
      </c>
      <c r="T1376" s="1082">
        <v>0</v>
      </c>
      <c r="U1376" s="1082">
        <v>0</v>
      </c>
      <c r="V1376" s="1082">
        <v>0</v>
      </c>
      <c r="W1376" s="1082">
        <v>0</v>
      </c>
      <c r="X1376" s="1082">
        <v>0</v>
      </c>
      <c r="Y1376" s="1082">
        <v>0</v>
      </c>
      <c r="Z1376" s="1082">
        <f ca="1">Calc!G80</f>
        <v>0</v>
      </c>
      <c r="AB1376" s="320">
        <v>-17073.800000000007</v>
      </c>
      <c r="AC1376" s="320">
        <v>-16434.000000000004</v>
      </c>
      <c r="AD1376" s="320">
        <v>-15420.000000000004</v>
      </c>
      <c r="AE1376" s="320">
        <v>-14799</v>
      </c>
      <c r="AF1376" s="320">
        <v>-15813</v>
      </c>
      <c r="AG1376" s="320">
        <v>-15799</v>
      </c>
      <c r="AH1376" s="320">
        <v>-14512</v>
      </c>
      <c r="AI1376" s="320">
        <v>-14834.000000000004</v>
      </c>
      <c r="AJ1376" s="320">
        <v>-14806.000000000005</v>
      </c>
      <c r="AK1376" s="320">
        <v>-15601</v>
      </c>
      <c r="AL1376" s="320">
        <v>-13924</v>
      </c>
      <c r="AM1376" s="320">
        <v>-13226</v>
      </c>
      <c r="AN1376" s="320">
        <v>-12642.000000000007</v>
      </c>
      <c r="AO1376" s="320">
        <v>-11887</v>
      </c>
      <c r="AP1376" s="320">
        <v>-13119.000000000005</v>
      </c>
      <c r="AQ1376" s="320">
        <v>-12717.000000000007</v>
      </c>
      <c r="AR1376" s="320">
        <v>-11268.000000000007</v>
      </c>
      <c r="AS1376" s="320">
        <v>-11268.000000000007</v>
      </c>
      <c r="AT1376" s="320">
        <v>-11911.000000000002</v>
      </c>
      <c r="AU1376" s="320">
        <v>-15197.000000000004</v>
      </c>
      <c r="AV1376" s="320">
        <f ca="1">Calc!AH80</f>
        <v>-15198.000000000002</v>
      </c>
      <c r="AX1376" s="88" t="str">
        <f t="shared" ca="1" si="109"/>
        <v>GS</v>
      </c>
    </row>
    <row r="1377" spans="1:50" ht="23" hidden="1" customHeight="1">
      <c r="A1377" s="88" t="str">
        <f t="shared" ca="1" si="108"/>
        <v>LAZR</v>
      </c>
      <c r="F1377" s="1082">
        <v>15518</v>
      </c>
      <c r="G1377" s="1082">
        <v>15518</v>
      </c>
      <c r="H1377" s="1082">
        <v>15518</v>
      </c>
      <c r="I1377" s="1082">
        <v>15518</v>
      </c>
      <c r="J1377" s="1082">
        <v>15518</v>
      </c>
      <c r="K1377" s="1082">
        <v>15518</v>
      </c>
      <c r="L1377" s="1082">
        <v>15518</v>
      </c>
      <c r="M1377" s="1082">
        <v>15518</v>
      </c>
      <c r="N1377" s="1082">
        <v>15518</v>
      </c>
      <c r="O1377" s="1082">
        <v>15518</v>
      </c>
      <c r="P1377" s="1082">
        <v>15518</v>
      </c>
      <c r="Q1377" s="1082">
        <v>15518</v>
      </c>
      <c r="R1377" s="1082">
        <v>15518</v>
      </c>
      <c r="S1377" s="1082">
        <v>15518</v>
      </c>
      <c r="T1377" s="1082">
        <v>15518</v>
      </c>
      <c r="U1377" s="1082">
        <v>15518</v>
      </c>
      <c r="V1377" s="1082">
        <v>15518</v>
      </c>
      <c r="W1377" s="1082">
        <v>15518</v>
      </c>
      <c r="X1377" s="1082">
        <v>15518</v>
      </c>
      <c r="Y1377" s="1082">
        <v>15518</v>
      </c>
      <c r="Z1377" s="1082">
        <f ca="1">Calc!G81</f>
        <v>15518</v>
      </c>
      <c r="AB1377" s="320">
        <v>0</v>
      </c>
      <c r="AC1377" s="320">
        <v>0</v>
      </c>
      <c r="AD1377" s="320">
        <v>0</v>
      </c>
      <c r="AE1377" s="320">
        <v>0</v>
      </c>
      <c r="AF1377" s="320">
        <v>0</v>
      </c>
      <c r="AG1377" s="320">
        <v>0</v>
      </c>
      <c r="AH1377" s="320">
        <v>0</v>
      </c>
      <c r="AI1377" s="320">
        <v>0</v>
      </c>
      <c r="AJ1377" s="320">
        <v>0</v>
      </c>
      <c r="AK1377" s="320">
        <v>0</v>
      </c>
      <c r="AL1377" s="320">
        <v>0</v>
      </c>
      <c r="AM1377" s="320">
        <v>0</v>
      </c>
      <c r="AN1377" s="320">
        <v>0</v>
      </c>
      <c r="AO1377" s="320">
        <v>0</v>
      </c>
      <c r="AP1377" s="320">
        <v>0</v>
      </c>
      <c r="AQ1377" s="320">
        <v>0</v>
      </c>
      <c r="AR1377" s="320">
        <v>0</v>
      </c>
      <c r="AS1377" s="320">
        <v>0</v>
      </c>
      <c r="AT1377" s="320">
        <v>0</v>
      </c>
      <c r="AU1377" s="320">
        <v>0</v>
      </c>
      <c r="AV1377" s="320">
        <f ca="1">Calc!AH81</f>
        <v>0</v>
      </c>
      <c r="AX1377" s="88" t="str">
        <f t="shared" ca="1" si="109"/>
        <v>LAZR</v>
      </c>
    </row>
    <row r="1378" spans="1:50" ht="23" hidden="1" customHeight="1">
      <c r="A1378" s="88" t="str">
        <f t="shared" ca="1" si="108"/>
        <v>LUV</v>
      </c>
      <c r="F1378" s="1082">
        <v>1200</v>
      </c>
      <c r="G1378" s="1082">
        <v>1200</v>
      </c>
      <c r="H1378" s="1082">
        <v>1200</v>
      </c>
      <c r="I1378" s="1082">
        <v>1200</v>
      </c>
      <c r="J1378" s="1082">
        <v>1200</v>
      </c>
      <c r="K1378" s="1082">
        <v>1200</v>
      </c>
      <c r="L1378" s="1082">
        <v>1200</v>
      </c>
      <c r="M1378" s="1082">
        <v>1200</v>
      </c>
      <c r="N1378" s="1082">
        <v>1200</v>
      </c>
      <c r="O1378" s="1082">
        <v>1200</v>
      </c>
      <c r="P1378" s="1082">
        <v>1200</v>
      </c>
      <c r="Q1378" s="1082">
        <v>1200</v>
      </c>
      <c r="R1378" s="1082">
        <v>1200</v>
      </c>
      <c r="S1378" s="1082">
        <v>1200</v>
      </c>
      <c r="T1378" s="1082">
        <v>1200</v>
      </c>
      <c r="U1378" s="1082">
        <v>1200</v>
      </c>
      <c r="V1378" s="1082">
        <v>1200</v>
      </c>
      <c r="W1378" s="1082">
        <v>1200</v>
      </c>
      <c r="X1378" s="1082">
        <v>1200</v>
      </c>
      <c r="Y1378" s="1082">
        <v>1200</v>
      </c>
      <c r="Z1378" s="1082">
        <f ca="1">Calc!G82</f>
        <v>1200</v>
      </c>
      <c r="AB1378" s="320">
        <v>1183.8300000000004</v>
      </c>
      <c r="AC1378" s="320">
        <v>2077.8299999999972</v>
      </c>
      <c r="AD1378" s="320">
        <v>1633.8300000000004</v>
      </c>
      <c r="AE1378" s="320">
        <v>1603.8299999999936</v>
      </c>
      <c r="AF1378" s="320">
        <v>1345.8299999999981</v>
      </c>
      <c r="AG1378" s="320">
        <v>1507.8299999999956</v>
      </c>
      <c r="AH1378" s="320">
        <v>1417.8299999999922</v>
      </c>
      <c r="AI1378" s="320">
        <v>2335.8299999999972</v>
      </c>
      <c r="AJ1378" s="320">
        <v>2359.8299999999967</v>
      </c>
      <c r="AK1378" s="320">
        <v>2107.8299999999954</v>
      </c>
      <c r="AL1378" s="320">
        <v>289.82999999999493</v>
      </c>
      <c r="AM1378" s="320">
        <v>-148.17000000000746</v>
      </c>
      <c r="AN1378" s="320">
        <v>427.82999999999731</v>
      </c>
      <c r="AO1378" s="320">
        <v>151.82999999999254</v>
      </c>
      <c r="AP1378" s="320">
        <v>-910.17000000000507</v>
      </c>
      <c r="AQ1378" s="320">
        <v>-1246.1700000000064</v>
      </c>
      <c r="AR1378" s="320">
        <v>-88.170000000002346</v>
      </c>
      <c r="AS1378" s="320">
        <v>-88.170000000002346</v>
      </c>
      <c r="AT1378" s="320">
        <v>2395.8299999999981</v>
      </c>
      <c r="AU1378" s="320">
        <v>1747.829999999999</v>
      </c>
      <c r="AV1378" s="320">
        <f ca="1">Calc!AH82</f>
        <v>1735.8299999999929</v>
      </c>
      <c r="AX1378" s="88" t="str">
        <f t="shared" ca="1" si="109"/>
        <v>LUV</v>
      </c>
    </row>
    <row r="1379" spans="1:50" ht="23" hidden="1" customHeight="1">
      <c r="A1379" s="88" t="str">
        <f t="shared" ca="1" si="108"/>
        <v>MA</v>
      </c>
      <c r="F1379" s="1082">
        <v>200</v>
      </c>
      <c r="G1379" s="1082">
        <v>200</v>
      </c>
      <c r="H1379" s="1082">
        <v>200</v>
      </c>
      <c r="I1379" s="1082">
        <v>200</v>
      </c>
      <c r="J1379" s="1082">
        <v>200</v>
      </c>
      <c r="K1379" s="1082">
        <v>200</v>
      </c>
      <c r="L1379" s="1082">
        <v>200</v>
      </c>
      <c r="M1379" s="1082">
        <v>200</v>
      </c>
      <c r="N1379" s="1082">
        <v>200</v>
      </c>
      <c r="O1379" s="1082">
        <v>200</v>
      </c>
      <c r="P1379" s="1082">
        <v>200</v>
      </c>
      <c r="Q1379" s="1082">
        <v>200</v>
      </c>
      <c r="R1379" s="1082">
        <v>200</v>
      </c>
      <c r="S1379" s="1082">
        <v>200</v>
      </c>
      <c r="T1379" s="1082">
        <v>200</v>
      </c>
      <c r="U1379" s="1082">
        <v>200</v>
      </c>
      <c r="V1379" s="1082">
        <v>200</v>
      </c>
      <c r="W1379" s="1082">
        <v>200</v>
      </c>
      <c r="X1379" s="1082">
        <v>200</v>
      </c>
      <c r="Y1379" s="1082">
        <v>200</v>
      </c>
      <c r="Z1379" s="1082">
        <f ca="1">Calc!G83</f>
        <v>200</v>
      </c>
      <c r="AB1379" s="320">
        <v>2570.4999999999927</v>
      </c>
      <c r="AC1379" s="320">
        <v>2387.0000000000005</v>
      </c>
      <c r="AD1379" s="320">
        <v>1855.9999999999945</v>
      </c>
      <c r="AE1379" s="320">
        <v>1521.9999999999914</v>
      </c>
      <c r="AF1379" s="320">
        <v>1220.9999999999923</v>
      </c>
      <c r="AG1379" s="320">
        <v>1283.9999999999918</v>
      </c>
      <c r="AH1379" s="320">
        <v>1626.9999999999982</v>
      </c>
      <c r="AI1379" s="320">
        <v>2804.9999999999955</v>
      </c>
      <c r="AJ1379" s="320">
        <v>2812.9999999999995</v>
      </c>
      <c r="AK1379" s="320">
        <v>3342.999999999995</v>
      </c>
      <c r="AL1379" s="320">
        <v>2497.9999999999905</v>
      </c>
      <c r="AM1379" s="320">
        <v>2899.5000000000005</v>
      </c>
      <c r="AN1379" s="320">
        <v>4259.9999999999909</v>
      </c>
      <c r="AO1379" s="320">
        <v>3170.9999999999923</v>
      </c>
      <c r="AP1379" s="320">
        <v>2600.9999999999991</v>
      </c>
      <c r="AQ1379" s="320">
        <v>2070.9999999999923</v>
      </c>
      <c r="AR1379" s="320">
        <v>2140.9999999999968</v>
      </c>
      <c r="AS1379" s="320">
        <v>2140.9999999999968</v>
      </c>
      <c r="AT1379" s="320">
        <v>1882.9999999999927</v>
      </c>
      <c r="AU1379" s="320">
        <v>1844.9999999999932</v>
      </c>
      <c r="AV1379" s="320">
        <f ca="1">Calc!AH83</f>
        <v>1900.9999999999991</v>
      </c>
      <c r="AX1379" s="88" t="str">
        <f t="shared" ca="1" si="109"/>
        <v>MA</v>
      </c>
    </row>
    <row r="1380" spans="1:50" ht="23" hidden="1" customHeight="1">
      <c r="A1380" s="88" t="str">
        <f t="shared" ca="1" si="108"/>
        <v>NVAX</v>
      </c>
      <c r="F1380" s="1082">
        <v>11000</v>
      </c>
      <c r="G1380" s="1082">
        <v>11000</v>
      </c>
      <c r="H1380" s="1082">
        <v>11000</v>
      </c>
      <c r="I1380" s="1082">
        <v>11000</v>
      </c>
      <c r="J1380" s="1082">
        <v>11000</v>
      </c>
      <c r="K1380" s="1082">
        <v>11000</v>
      </c>
      <c r="L1380" s="1082">
        <v>11000</v>
      </c>
      <c r="M1380" s="1082">
        <v>11000</v>
      </c>
      <c r="N1380" s="1082">
        <v>11000</v>
      </c>
      <c r="O1380" s="1082">
        <v>11000</v>
      </c>
      <c r="P1380" s="1082">
        <v>6500</v>
      </c>
      <c r="Q1380" s="1082">
        <v>6500</v>
      </c>
      <c r="R1380" s="1082">
        <v>6500</v>
      </c>
      <c r="S1380" s="1082">
        <v>6500</v>
      </c>
      <c r="T1380" s="1082">
        <v>6500</v>
      </c>
      <c r="U1380" s="1082">
        <v>6500</v>
      </c>
      <c r="V1380" s="1082">
        <v>6500</v>
      </c>
      <c r="W1380" s="1082">
        <v>6500</v>
      </c>
      <c r="X1380" s="1082">
        <v>6500</v>
      </c>
      <c r="Y1380" s="1082">
        <v>6500</v>
      </c>
      <c r="Z1380" s="1082">
        <f ca="1">Calc!G84</f>
        <v>6500</v>
      </c>
      <c r="AB1380" s="320">
        <v>24009.999999999996</v>
      </c>
      <c r="AC1380" s="320">
        <v>23434.999999999996</v>
      </c>
      <c r="AD1380" s="320">
        <v>19284.999999999996</v>
      </c>
      <c r="AE1380" s="320">
        <v>19034.999999999993</v>
      </c>
      <c r="AF1380" s="320">
        <v>19484.999999999993</v>
      </c>
      <c r="AG1380" s="320">
        <v>20684.999999999993</v>
      </c>
      <c r="AH1380" s="320">
        <v>22279.999999999996</v>
      </c>
      <c r="AI1380" s="320">
        <v>23834.999999999996</v>
      </c>
      <c r="AJ1380" s="320">
        <v>23834.999999999996</v>
      </c>
      <c r="AK1380" s="320">
        <v>23685</v>
      </c>
      <c r="AL1380" s="320">
        <v>22334.999999999993</v>
      </c>
      <c r="AM1380" s="320">
        <v>21709.999999999993</v>
      </c>
      <c r="AN1380" s="320">
        <v>24384.999999999993</v>
      </c>
      <c r="AO1380" s="320">
        <v>26285</v>
      </c>
      <c r="AP1380" s="320">
        <v>22835</v>
      </c>
      <c r="AQ1380" s="320">
        <v>23834.999999999996</v>
      </c>
      <c r="AR1380" s="320">
        <v>24484.999999999993</v>
      </c>
      <c r="AS1380" s="320">
        <v>24484.999999999993</v>
      </c>
      <c r="AT1380" s="320">
        <v>24985</v>
      </c>
      <c r="AU1380" s="320">
        <v>24185</v>
      </c>
      <c r="AV1380" s="320">
        <f ca="1">Calc!AH84</f>
        <v>24185</v>
      </c>
      <c r="AX1380" s="88" t="str">
        <f t="shared" ca="1" si="109"/>
        <v>NVAX</v>
      </c>
    </row>
    <row r="1381" spans="1:50" ht="23" hidden="1" customHeight="1">
      <c r="A1381" s="88" t="str">
        <f t="shared" ca="1" si="108"/>
        <v>NVS</v>
      </c>
      <c r="F1381" s="1082">
        <v>0</v>
      </c>
      <c r="G1381" s="1082">
        <v>0</v>
      </c>
      <c r="H1381" s="1082">
        <v>0</v>
      </c>
      <c r="I1381" s="1082">
        <v>0</v>
      </c>
      <c r="J1381" s="1082">
        <v>0</v>
      </c>
      <c r="K1381" s="1082">
        <v>0</v>
      </c>
      <c r="L1381" s="1082">
        <v>0</v>
      </c>
      <c r="M1381" s="1082">
        <v>0</v>
      </c>
      <c r="N1381" s="1082">
        <v>0</v>
      </c>
      <c r="O1381" s="1082">
        <v>0</v>
      </c>
      <c r="P1381" s="1082">
        <v>0</v>
      </c>
      <c r="Q1381" s="1082">
        <v>0</v>
      </c>
      <c r="R1381" s="1082">
        <v>0</v>
      </c>
      <c r="S1381" s="1082">
        <v>0</v>
      </c>
      <c r="T1381" s="1082">
        <v>0</v>
      </c>
      <c r="U1381" s="1082">
        <v>0</v>
      </c>
      <c r="V1381" s="1082">
        <v>0</v>
      </c>
      <c r="W1381" s="1082">
        <v>0</v>
      </c>
      <c r="X1381" s="1082">
        <v>0</v>
      </c>
      <c r="Y1381" s="1082">
        <v>0</v>
      </c>
      <c r="Z1381" s="1082">
        <f ca="1">Calc!G85</f>
        <v>0</v>
      </c>
      <c r="AB1381" s="320">
        <v>-8369.8000000000029</v>
      </c>
      <c r="AC1381" s="320">
        <v>-10087.799999999999</v>
      </c>
      <c r="AD1381" s="320">
        <v>-11483.800000000003</v>
      </c>
      <c r="AE1381" s="320">
        <v>-11187.8</v>
      </c>
      <c r="AF1381" s="320">
        <v>-11751.799999999997</v>
      </c>
      <c r="AG1381" s="320">
        <v>-11419.800000000003</v>
      </c>
      <c r="AH1381" s="320">
        <v>-11719.800000000003</v>
      </c>
      <c r="AI1381" s="320">
        <v>-11219.800000000003</v>
      </c>
      <c r="AJ1381" s="320">
        <v>-11219.800000000003</v>
      </c>
      <c r="AK1381" s="320">
        <v>-10455.800000000005</v>
      </c>
      <c r="AL1381" s="320">
        <v>-10915.800000000007</v>
      </c>
      <c r="AM1381" s="320">
        <v>-10777.800000000008</v>
      </c>
      <c r="AN1381" s="320">
        <v>-11083.800000000003</v>
      </c>
      <c r="AO1381" s="320">
        <v>-11367.800000000005</v>
      </c>
      <c r="AP1381" s="320">
        <v>-11511.8</v>
      </c>
      <c r="AQ1381" s="320">
        <v>-11331.800000000005</v>
      </c>
      <c r="AR1381" s="320">
        <v>-11367.800000000005</v>
      </c>
      <c r="AS1381" s="320">
        <v>-11367.800000000005</v>
      </c>
      <c r="AT1381" s="320">
        <v>-11451.799999999997</v>
      </c>
      <c r="AU1381" s="320">
        <v>-10947.800000000001</v>
      </c>
      <c r="AV1381" s="320">
        <f ca="1">Calc!AH85</f>
        <v>-10939.800000000008</v>
      </c>
      <c r="AX1381" s="88" t="str">
        <f t="shared" ca="1" si="109"/>
        <v>NVS</v>
      </c>
    </row>
    <row r="1382" spans="1:50" hidden="1">
      <c r="A1382" s="88" t="str">
        <f t="shared" ca="1" si="108"/>
        <v>ORA</v>
      </c>
      <c r="F1382" s="1082">
        <v>1200</v>
      </c>
      <c r="G1382" s="1082">
        <v>1200</v>
      </c>
      <c r="H1382" s="1082">
        <v>1200</v>
      </c>
      <c r="I1382" s="1082">
        <v>1200</v>
      </c>
      <c r="J1382" s="1082">
        <v>1200</v>
      </c>
      <c r="K1382" s="1082">
        <v>1200</v>
      </c>
      <c r="L1382" s="1082">
        <v>1200</v>
      </c>
      <c r="M1382" s="1082">
        <v>1200</v>
      </c>
      <c r="N1382" s="1082">
        <v>1200</v>
      </c>
      <c r="O1382" s="1082">
        <v>1200</v>
      </c>
      <c r="P1382" s="1082">
        <v>1200</v>
      </c>
      <c r="Q1382" s="1082">
        <v>1200</v>
      </c>
      <c r="R1382" s="1082">
        <v>1200</v>
      </c>
      <c r="S1382" s="1082">
        <v>1200</v>
      </c>
      <c r="T1382" s="1082">
        <v>1200</v>
      </c>
      <c r="U1382" s="1082">
        <v>1200</v>
      </c>
      <c r="V1382" s="1082">
        <v>1200</v>
      </c>
      <c r="W1382" s="1082">
        <v>1200</v>
      </c>
      <c r="X1382" s="1082">
        <v>1200</v>
      </c>
      <c r="Y1382" s="1082">
        <v>1200</v>
      </c>
      <c r="Z1382" s="1082">
        <f ca="1">Calc!G86</f>
        <v>1200</v>
      </c>
      <c r="AB1382" s="320">
        <v>-3340</v>
      </c>
      <c r="AC1382" s="320">
        <v>-3560.0000000000023</v>
      </c>
      <c r="AD1382" s="320">
        <v>-3350.0000000000014</v>
      </c>
      <c r="AE1382" s="320">
        <v>-3010.0000000000014</v>
      </c>
      <c r="AF1382" s="320">
        <v>-2580.0000000000018</v>
      </c>
      <c r="AG1382" s="320">
        <v>-2370.0000000000009</v>
      </c>
      <c r="AH1382" s="320">
        <v>-2720.0000000000023</v>
      </c>
      <c r="AI1382" s="320">
        <v>-3060.0000000000023</v>
      </c>
      <c r="AJ1382" s="320">
        <v>-3100.0000000000014</v>
      </c>
      <c r="AK1382" s="320">
        <v>-2800.0000000000009</v>
      </c>
      <c r="AL1382" s="320">
        <v>-3080.0000000000018</v>
      </c>
      <c r="AM1382" s="320">
        <v>-3970.0000000000023</v>
      </c>
      <c r="AN1382" s="320">
        <v>-4110.0000000000027</v>
      </c>
      <c r="AO1382" s="320">
        <v>-4610.0000000000027</v>
      </c>
      <c r="AP1382" s="320">
        <v>-4260.0000000000018</v>
      </c>
      <c r="AQ1382" s="320">
        <v>-4190.0000000000009</v>
      </c>
      <c r="AR1382" s="320">
        <v>-4080.0000000000018</v>
      </c>
      <c r="AS1382" s="320">
        <v>-4080.0000000000018</v>
      </c>
      <c r="AT1382" s="320">
        <v>-4240.0000000000018</v>
      </c>
      <c r="AU1382" s="320">
        <v>-3780.0000000000009</v>
      </c>
      <c r="AV1382" s="320">
        <f ca="1">Calc!AH86</f>
        <v>-3780.0000000000009</v>
      </c>
      <c r="AX1382" s="88" t="str">
        <f t="shared" ca="1" si="109"/>
        <v>ORA</v>
      </c>
    </row>
    <row r="1383" spans="1:50" hidden="1">
      <c r="A1383" s="88" t="str">
        <f t="shared" ca="1" si="108"/>
        <v>OXY</v>
      </c>
      <c r="F1383" s="1082">
        <v>4000</v>
      </c>
      <c r="G1383" s="1082">
        <v>4000</v>
      </c>
      <c r="H1383" s="1082">
        <v>4000</v>
      </c>
      <c r="I1383" s="1082">
        <v>4000</v>
      </c>
      <c r="J1383" s="1082">
        <v>4000</v>
      </c>
      <c r="K1383" s="1082">
        <v>4000</v>
      </c>
      <c r="L1383" s="1082">
        <v>4000</v>
      </c>
      <c r="M1383" s="1082">
        <v>4000</v>
      </c>
      <c r="N1383" s="1082">
        <v>4000</v>
      </c>
      <c r="O1383" s="1082">
        <v>4000</v>
      </c>
      <c r="P1383" s="1082">
        <v>4000</v>
      </c>
      <c r="Q1383" s="1082">
        <v>4000</v>
      </c>
      <c r="R1383" s="1082">
        <v>4000</v>
      </c>
      <c r="S1383" s="1082">
        <v>4000</v>
      </c>
      <c r="T1383" s="1082">
        <v>4000</v>
      </c>
      <c r="U1383" s="1082">
        <v>4000</v>
      </c>
      <c r="V1383" s="1082">
        <v>4000</v>
      </c>
      <c r="W1383" s="1082">
        <v>4000</v>
      </c>
      <c r="X1383" s="1082">
        <v>4000</v>
      </c>
      <c r="Y1383" s="1082">
        <v>4000</v>
      </c>
      <c r="Z1383" s="1082">
        <f ca="1">Calc!G87</f>
        <v>4000</v>
      </c>
      <c r="AB1383" s="320">
        <v>3644.9999999999959</v>
      </c>
      <c r="AC1383" s="320">
        <v>4600.0000000000018</v>
      </c>
      <c r="AD1383" s="320">
        <v>4130.0000000000027</v>
      </c>
      <c r="AE1383" s="320">
        <v>7640.0000000000009</v>
      </c>
      <c r="AF1383" s="320">
        <v>7015.0000000000009</v>
      </c>
      <c r="AG1383" s="320">
        <v>6534.9999999999964</v>
      </c>
      <c r="AH1383" s="320">
        <v>6810.0000000000018</v>
      </c>
      <c r="AI1383" s="320">
        <v>7339.9999999999964</v>
      </c>
      <c r="AJ1383" s="320">
        <v>7339.9999999999964</v>
      </c>
      <c r="AK1383" s="320">
        <v>9430</v>
      </c>
      <c r="AL1383" s="320">
        <v>9579.9999999999982</v>
      </c>
      <c r="AM1383" s="320">
        <v>10005.000000000002</v>
      </c>
      <c r="AN1383" s="320">
        <v>10820</v>
      </c>
      <c r="AO1383" s="320">
        <v>10960</v>
      </c>
      <c r="AP1383" s="320">
        <v>10829.999999999998</v>
      </c>
      <c r="AQ1383" s="320">
        <v>10950.000000000004</v>
      </c>
      <c r="AR1383" s="320">
        <v>10125</v>
      </c>
      <c r="AS1383" s="320">
        <v>10125</v>
      </c>
      <c r="AT1383" s="320">
        <v>8979.9999999999964</v>
      </c>
      <c r="AU1383" s="320">
        <v>9280.0000000000018</v>
      </c>
      <c r="AV1383" s="320">
        <f ca="1">Calc!AH87</f>
        <v>9290</v>
      </c>
      <c r="AX1383" s="88" t="str">
        <f t="shared" ca="1" si="109"/>
        <v>OXY</v>
      </c>
    </row>
    <row r="1384" spans="1:50" hidden="1">
      <c r="A1384" s="88" t="str">
        <f t="shared" ca="1" si="108"/>
        <v>PFE</v>
      </c>
      <c r="F1384" s="1082">
        <v>1600</v>
      </c>
      <c r="G1384" s="1082">
        <v>1600</v>
      </c>
      <c r="H1384" s="1082">
        <v>1600</v>
      </c>
      <c r="I1384" s="1082">
        <v>1600</v>
      </c>
      <c r="J1384" s="1082">
        <v>1600</v>
      </c>
      <c r="K1384" s="1082">
        <v>1600</v>
      </c>
      <c r="L1384" s="1082">
        <v>1600</v>
      </c>
      <c r="M1384" s="1082">
        <v>1600</v>
      </c>
      <c r="N1384" s="1082">
        <v>1600</v>
      </c>
      <c r="O1384" s="1082">
        <v>1600</v>
      </c>
      <c r="P1384" s="1082">
        <v>1600</v>
      </c>
      <c r="Q1384" s="1082">
        <v>1600</v>
      </c>
      <c r="R1384" s="1082">
        <v>1600</v>
      </c>
      <c r="S1384" s="1082">
        <v>1600</v>
      </c>
      <c r="T1384" s="1082">
        <v>1600</v>
      </c>
      <c r="U1384" s="1082">
        <v>1600</v>
      </c>
      <c r="V1384" s="1082">
        <v>1600</v>
      </c>
      <c r="W1384" s="1082">
        <v>1600</v>
      </c>
      <c r="X1384" s="1082">
        <v>1600</v>
      </c>
      <c r="Y1384" s="1082">
        <v>1600</v>
      </c>
      <c r="Z1384" s="1082">
        <f ca="1">Calc!G88</f>
        <v>1600</v>
      </c>
      <c r="AB1384" s="320">
        <v>12305.822999999999</v>
      </c>
      <c r="AC1384" s="320">
        <v>8898.6719999999987</v>
      </c>
      <c r="AD1384" s="320">
        <v>5381.1719999999987</v>
      </c>
      <c r="AE1384" s="320">
        <v>5642.4720000000034</v>
      </c>
      <c r="AF1384" s="320">
        <v>5099.7720000000045</v>
      </c>
      <c r="AG1384" s="320">
        <v>7310.7719999999999</v>
      </c>
      <c r="AH1384" s="320">
        <v>8486.6220000000012</v>
      </c>
      <c r="AI1384" s="320">
        <v>9381.0720000000019</v>
      </c>
      <c r="AJ1384" s="320">
        <v>9371.0220000000045</v>
      </c>
      <c r="AK1384" s="320">
        <v>10446.372000000005</v>
      </c>
      <c r="AL1384" s="320">
        <v>10808.172000000004</v>
      </c>
      <c r="AM1384" s="320">
        <v>11159.921999999999</v>
      </c>
      <c r="AN1384" s="320">
        <v>11401.121999999999</v>
      </c>
      <c r="AO1384" s="320">
        <v>10838.321999999998</v>
      </c>
      <c r="AP1384" s="320">
        <v>10486.572000000004</v>
      </c>
      <c r="AQ1384" s="320">
        <v>10205.172000000002</v>
      </c>
      <c r="AR1384" s="320">
        <v>10386.072000000002</v>
      </c>
      <c r="AS1384" s="320">
        <v>10386.072000000002</v>
      </c>
      <c r="AT1384" s="320">
        <v>10486.572000000004</v>
      </c>
      <c r="AU1384" s="320">
        <v>10295.621999999999</v>
      </c>
      <c r="AV1384" s="320">
        <f ca="1">Calc!AH88</f>
        <v>10335.821999999998</v>
      </c>
      <c r="AX1384" s="88" t="str">
        <f t="shared" ca="1" si="109"/>
        <v>PFE</v>
      </c>
    </row>
    <row r="1385" spans="1:50" hidden="1">
      <c r="A1385" s="88" t="str">
        <f t="shared" ca="1" si="108"/>
        <v>RIG</v>
      </c>
      <c r="F1385" s="1082">
        <v>48000</v>
      </c>
      <c r="G1385" s="1082">
        <v>48000</v>
      </c>
      <c r="H1385" s="1082">
        <v>48000</v>
      </c>
      <c r="I1385" s="1082">
        <v>48000</v>
      </c>
      <c r="J1385" s="1082">
        <v>48000</v>
      </c>
      <c r="K1385" s="1082">
        <v>48000</v>
      </c>
      <c r="L1385" s="1082">
        <v>48000</v>
      </c>
      <c r="M1385" s="1082">
        <v>48000</v>
      </c>
      <c r="N1385" s="1082">
        <v>48000</v>
      </c>
      <c r="O1385" s="1082">
        <v>48000</v>
      </c>
      <c r="P1385" s="1082">
        <v>48000</v>
      </c>
      <c r="Q1385" s="1082">
        <v>48000</v>
      </c>
      <c r="R1385" s="1082">
        <v>48000</v>
      </c>
      <c r="S1385" s="1082">
        <v>48000</v>
      </c>
      <c r="T1385" s="1082">
        <v>48000</v>
      </c>
      <c r="U1385" s="1082">
        <v>48000</v>
      </c>
      <c r="V1385" s="1082">
        <v>48000</v>
      </c>
      <c r="W1385" s="1082">
        <v>48000</v>
      </c>
      <c r="X1385" s="1082">
        <v>48000</v>
      </c>
      <c r="Y1385" s="1082">
        <v>48000</v>
      </c>
      <c r="Z1385" s="1082">
        <f ca="1">Calc!G89</f>
        <v>48000</v>
      </c>
      <c r="AB1385" s="320">
        <v>8199.9000000000015</v>
      </c>
      <c r="AC1385" s="320">
        <v>8154.9000000000005</v>
      </c>
      <c r="AD1385" s="320">
        <v>7824.9000000000005</v>
      </c>
      <c r="AE1385" s="320">
        <v>7614.9000000000015</v>
      </c>
      <c r="AF1385" s="320">
        <v>7404.9000000000005</v>
      </c>
      <c r="AG1385" s="320">
        <v>7104.9000000000015</v>
      </c>
      <c r="AH1385" s="320">
        <v>7284.9000000000015</v>
      </c>
      <c r="AI1385" s="320">
        <v>7524.9000000000005</v>
      </c>
      <c r="AJ1385" s="320">
        <v>7509.9000000000005</v>
      </c>
      <c r="AK1385" s="320">
        <v>7914.9000000000015</v>
      </c>
      <c r="AL1385" s="320">
        <v>8154.9000000000005</v>
      </c>
      <c r="AM1385" s="320">
        <v>7629.9000000000015</v>
      </c>
      <c r="AN1385" s="320">
        <v>7824.9000000000005</v>
      </c>
      <c r="AO1385" s="320">
        <v>7719.9000000000015</v>
      </c>
      <c r="AP1385" s="320">
        <v>7644.9000000000005</v>
      </c>
      <c r="AQ1385" s="320">
        <v>7584.9000000000005</v>
      </c>
      <c r="AR1385" s="320">
        <v>7224.9000000000015</v>
      </c>
      <c r="AS1385" s="320">
        <v>7224.9000000000015</v>
      </c>
      <c r="AT1385" s="320">
        <v>5844.9000000000015</v>
      </c>
      <c r="AU1385" s="320">
        <v>5814.9000000000015</v>
      </c>
      <c r="AV1385" s="320">
        <f ca="1">Calc!AH89</f>
        <v>5799.9000000000015</v>
      </c>
      <c r="AX1385" s="88" t="str">
        <f t="shared" ca="1" si="109"/>
        <v>RIG</v>
      </c>
    </row>
    <row r="1386" spans="1:50">
      <c r="A1386" s="88" t="str">
        <f t="shared" ca="1" si="108"/>
        <v>RRC</v>
      </c>
      <c r="F1386" s="1082">
        <v>0</v>
      </c>
      <c r="G1386" s="1082">
        <v>0</v>
      </c>
      <c r="H1386" s="1082">
        <v>0</v>
      </c>
      <c r="I1386" s="1082">
        <v>0</v>
      </c>
      <c r="J1386" s="1082">
        <v>0</v>
      </c>
      <c r="K1386" s="1082">
        <v>0</v>
      </c>
      <c r="L1386" s="1082">
        <v>0</v>
      </c>
      <c r="M1386" s="1082">
        <v>0</v>
      </c>
      <c r="N1386" s="1082">
        <v>0</v>
      </c>
      <c r="O1386" s="1082">
        <v>0</v>
      </c>
      <c r="P1386" s="1082">
        <v>0</v>
      </c>
      <c r="Q1386" s="1082">
        <v>0</v>
      </c>
      <c r="R1386" s="1082">
        <v>0</v>
      </c>
      <c r="S1386" s="1082">
        <v>0</v>
      </c>
      <c r="T1386" s="1082">
        <v>0</v>
      </c>
      <c r="U1386" s="1082">
        <v>0</v>
      </c>
      <c r="V1386" s="1082">
        <v>0</v>
      </c>
      <c r="W1386" s="1082">
        <v>0</v>
      </c>
      <c r="X1386" s="1082">
        <v>0</v>
      </c>
      <c r="Y1386" s="1082">
        <v>0</v>
      </c>
      <c r="Z1386" s="1082">
        <f ca="1">Calc!G90</f>
        <v>0</v>
      </c>
      <c r="AB1386" s="320">
        <v>-8404.9999999999873</v>
      </c>
      <c r="AC1386" s="320">
        <v>-8904.9999999999945</v>
      </c>
      <c r="AD1386" s="320">
        <v>-19354.999999999975</v>
      </c>
      <c r="AE1386" s="320">
        <v>-13554.999999999993</v>
      </c>
      <c r="AF1386" s="320">
        <v>-11804.999999999985</v>
      </c>
      <c r="AG1386" s="320">
        <v>-17504.999999999989</v>
      </c>
      <c r="AH1386" s="320">
        <v>-18454.999999999978</v>
      </c>
      <c r="AI1386" s="320">
        <v>-13554.999999999993</v>
      </c>
      <c r="AJ1386" s="320">
        <v>-13554.999999999993</v>
      </c>
      <c r="AK1386" s="320">
        <v>-5554.9999999999854</v>
      </c>
      <c r="AL1386" s="320">
        <v>-1355.0000000000041</v>
      </c>
      <c r="AM1386" s="320">
        <v>-6905.0000000000009</v>
      </c>
      <c r="AN1386" s="320">
        <v>845.00000000002024</v>
      </c>
      <c r="AO1386" s="320">
        <v>-554.99999999998545</v>
      </c>
      <c r="AP1386" s="320">
        <v>-6355.0000000000036</v>
      </c>
      <c r="AQ1386" s="320">
        <v>-4604.9999999999973</v>
      </c>
      <c r="AR1386" s="320">
        <v>-1954.9999999999911</v>
      </c>
      <c r="AS1386" s="320">
        <v>-1954.9999999999911</v>
      </c>
      <c r="AT1386" s="320">
        <v>-8204.9999999999909</v>
      </c>
      <c r="AU1386" s="320">
        <v>-8729.9999999999764</v>
      </c>
      <c r="AV1386" s="320">
        <f ca="1">Calc!AH90</f>
        <v>-8804.9999999999782</v>
      </c>
      <c r="AX1386" s="88" t="str">
        <f t="shared" ca="1" si="109"/>
        <v>RRC</v>
      </c>
    </row>
    <row r="1387" spans="1:50">
      <c r="A1387" s="88" t="str">
        <f t="shared" ca="1" si="108"/>
        <v>XYZ</v>
      </c>
      <c r="F1387" s="1082">
        <v>600</v>
      </c>
      <c r="G1387" s="1082">
        <v>600</v>
      </c>
      <c r="H1387" s="1082">
        <v>600</v>
      </c>
      <c r="I1387" s="1082">
        <v>600</v>
      </c>
      <c r="J1387" s="1082">
        <v>600</v>
      </c>
      <c r="K1387" s="1082">
        <v>600</v>
      </c>
      <c r="L1387" s="1082">
        <v>600</v>
      </c>
      <c r="M1387" s="1082">
        <v>600</v>
      </c>
      <c r="N1387" s="1082">
        <v>600</v>
      </c>
      <c r="O1387" s="1082">
        <v>600</v>
      </c>
      <c r="P1387" s="1082">
        <v>600</v>
      </c>
      <c r="Q1387" s="1082">
        <v>600</v>
      </c>
      <c r="R1387" s="1082">
        <v>600</v>
      </c>
      <c r="S1387" s="1082">
        <v>600</v>
      </c>
      <c r="T1387" s="1082">
        <v>600</v>
      </c>
      <c r="U1387" s="1082">
        <v>600</v>
      </c>
      <c r="V1387" s="1082">
        <v>600</v>
      </c>
      <c r="W1387" s="1082">
        <v>600</v>
      </c>
      <c r="X1387" s="1082">
        <v>600</v>
      </c>
      <c r="Y1387" s="1082">
        <v>600</v>
      </c>
      <c r="Z1387" s="1082">
        <f ca="1">Calc!G91</f>
        <v>600</v>
      </c>
      <c r="AB1387" s="320">
        <v>-28340.000000000018</v>
      </c>
      <c r="AC1387" s="320">
        <v>-22019.999999999996</v>
      </c>
      <c r="AD1387" s="320">
        <v>-24299.999999999996</v>
      </c>
      <c r="AE1387" s="320">
        <v>-31080</v>
      </c>
      <c r="AF1387" s="320">
        <v>-31410.000000000011</v>
      </c>
      <c r="AG1387" s="320">
        <v>-35560.000000000015</v>
      </c>
      <c r="AH1387" s="320">
        <v>-39760.000000000007</v>
      </c>
      <c r="AI1387" s="320">
        <v>-39220.000000000015</v>
      </c>
      <c r="AJ1387" s="320">
        <v>-39179.999999999993</v>
      </c>
      <c r="AK1387" s="320">
        <v>-27519.999999999996</v>
      </c>
      <c r="AL1387" s="320">
        <v>-29840.000000000018</v>
      </c>
      <c r="AM1387" s="320">
        <v>-29420</v>
      </c>
      <c r="AN1387" s="320">
        <v>-26580</v>
      </c>
      <c r="AO1387" s="320">
        <v>-27880.000000000011</v>
      </c>
      <c r="AP1387" s="320">
        <v>-30480.000000000004</v>
      </c>
      <c r="AQ1387" s="320">
        <v>-32899.999999999993</v>
      </c>
      <c r="AR1387" s="320">
        <v>-29340.000000000018</v>
      </c>
      <c r="AS1387" s="320">
        <v>-29340.000000000018</v>
      </c>
      <c r="AT1387" s="320">
        <v>-34580</v>
      </c>
      <c r="AU1387" s="320">
        <v>-36560.000000000015</v>
      </c>
      <c r="AV1387" s="320">
        <f ca="1">Calc!AH91</f>
        <v>-36560.000000000015</v>
      </c>
      <c r="AX1387" s="88" t="str">
        <f t="shared" ca="1" si="109"/>
        <v>XYZ</v>
      </c>
    </row>
    <row r="1388" spans="1:50">
      <c r="A1388" s="88" t="str">
        <f t="shared" ca="1" si="108"/>
        <v>THC</v>
      </c>
      <c r="F1388" s="1082">
        <v>2200</v>
      </c>
      <c r="G1388" s="1082">
        <v>2200</v>
      </c>
      <c r="H1388" s="1082">
        <v>2200</v>
      </c>
      <c r="I1388" s="1082">
        <v>2200</v>
      </c>
      <c r="J1388" s="1082">
        <v>2200</v>
      </c>
      <c r="K1388" s="1082">
        <v>1200</v>
      </c>
      <c r="L1388" s="1082">
        <v>1500</v>
      </c>
      <c r="M1388" s="1082">
        <v>1500</v>
      </c>
      <c r="N1388" s="1082">
        <v>1500</v>
      </c>
      <c r="O1388" s="1082">
        <v>1500</v>
      </c>
      <c r="P1388" s="1082">
        <v>1500</v>
      </c>
      <c r="Q1388" s="1082">
        <v>1500</v>
      </c>
      <c r="R1388" s="1082">
        <v>1500</v>
      </c>
      <c r="S1388" s="1082">
        <v>1500</v>
      </c>
      <c r="T1388" s="1082">
        <v>1500</v>
      </c>
      <c r="U1388" s="1082">
        <v>1500</v>
      </c>
      <c r="V1388" s="1082">
        <v>1500</v>
      </c>
      <c r="W1388" s="1082">
        <v>1500</v>
      </c>
      <c r="X1388" s="1082">
        <v>1500</v>
      </c>
      <c r="Y1388" s="1082">
        <v>1500</v>
      </c>
      <c r="Z1388" s="1082">
        <f ca="1">Calc!G92</f>
        <v>1500</v>
      </c>
      <c r="AB1388" s="320">
        <v>-1597.4999999999966</v>
      </c>
      <c r="AC1388" s="320">
        <v>-2149.9999999999986</v>
      </c>
      <c r="AD1388" s="320">
        <v>-1765.0000000000005</v>
      </c>
      <c r="AE1388" s="320">
        <v>-2274.9999999999986</v>
      </c>
      <c r="AF1388" s="320">
        <v>-2179.9999999999995</v>
      </c>
      <c r="AG1388" s="320">
        <v>-400.00000000000568</v>
      </c>
      <c r="AH1388" s="320">
        <v>4060.0000000000023</v>
      </c>
      <c r="AI1388" s="320">
        <v>9689.9999999999982</v>
      </c>
      <c r="AJ1388" s="320">
        <v>9689.9999999999982</v>
      </c>
      <c r="AK1388" s="320">
        <v>14574.999999999989</v>
      </c>
      <c r="AL1388" s="320">
        <v>8090.0000000000036</v>
      </c>
      <c r="AM1388" s="320">
        <v>6539.9999999999918</v>
      </c>
      <c r="AN1388" s="320">
        <v>5409.9999999999964</v>
      </c>
      <c r="AO1388" s="320">
        <v>4539.9999999999918</v>
      </c>
      <c r="AP1388" s="320">
        <v>2484.9999999999854</v>
      </c>
      <c r="AQ1388" s="320">
        <v>2179.9999999999782</v>
      </c>
      <c r="AR1388" s="320">
        <v>-580.00000000001251</v>
      </c>
      <c r="AS1388" s="320">
        <v>-580.00000000001251</v>
      </c>
      <c r="AT1388" s="320">
        <v>-2370.0000000000045</v>
      </c>
      <c r="AU1388" s="320">
        <v>-5840.0000000000036</v>
      </c>
      <c r="AV1388" s="320">
        <f ca="1">Calc!AH92</f>
        <v>-5840.0000000000036</v>
      </c>
      <c r="AX1388" s="88" t="str">
        <f t="shared" ca="1" si="109"/>
        <v>THC</v>
      </c>
    </row>
    <row r="1389" spans="1:50">
      <c r="A1389" s="88" t="str">
        <f t="shared" ca="1" si="108"/>
        <v>X</v>
      </c>
      <c r="F1389" s="1082">
        <v>10</v>
      </c>
      <c r="G1389" s="1082">
        <v>10</v>
      </c>
      <c r="H1389" s="1082">
        <v>10</v>
      </c>
      <c r="I1389" s="1082">
        <v>10</v>
      </c>
      <c r="J1389" s="1082">
        <v>10</v>
      </c>
      <c r="K1389" s="1082">
        <v>10</v>
      </c>
      <c r="L1389" s="1082">
        <v>10</v>
      </c>
      <c r="M1389" s="1082">
        <v>10</v>
      </c>
      <c r="N1389" s="1082">
        <v>10</v>
      </c>
      <c r="O1389" s="1082">
        <v>10</v>
      </c>
      <c r="P1389" s="1082">
        <v>10</v>
      </c>
      <c r="Q1389" s="1082">
        <v>10</v>
      </c>
      <c r="R1389" s="1082">
        <v>10</v>
      </c>
      <c r="S1389" s="1082">
        <v>10</v>
      </c>
      <c r="T1389" s="1082">
        <v>10</v>
      </c>
      <c r="U1389" s="1082">
        <v>10</v>
      </c>
      <c r="V1389" s="1082">
        <v>10</v>
      </c>
      <c r="W1389" s="1082">
        <v>10</v>
      </c>
      <c r="X1389" s="1082">
        <v>10</v>
      </c>
      <c r="Y1389" s="1082">
        <v>10</v>
      </c>
      <c r="Z1389" s="1082">
        <f ca="1">Calc!G93</f>
        <v>10</v>
      </c>
      <c r="AB1389" s="320">
        <v>-29828.400000000009</v>
      </c>
      <c r="AC1389" s="320">
        <v>-29828.400000000009</v>
      </c>
      <c r="AD1389" s="320">
        <v>-29828.400000000009</v>
      </c>
      <c r="AE1389" s="320">
        <v>-29828.400000000009</v>
      </c>
      <c r="AF1389" s="320">
        <v>-29828.400000000009</v>
      </c>
      <c r="AG1389" s="320">
        <v>-29828.400000000009</v>
      </c>
      <c r="AH1389" s="320">
        <v>-29828.400000000009</v>
      </c>
      <c r="AI1389" s="320">
        <v>-29828.400000000009</v>
      </c>
      <c r="AJ1389" s="320">
        <v>-29828.400000000009</v>
      </c>
      <c r="AK1389" s="320">
        <v>-29828.400000000009</v>
      </c>
      <c r="AL1389" s="320">
        <v>-29828.400000000009</v>
      </c>
      <c r="AM1389" s="320">
        <v>-29828.400000000009</v>
      </c>
      <c r="AN1389" s="320">
        <v>-29828.400000000009</v>
      </c>
      <c r="AO1389" s="320">
        <v>-29828.400000000009</v>
      </c>
      <c r="AP1389" s="320">
        <v>-29828.400000000009</v>
      </c>
      <c r="AQ1389" s="320">
        <v>-29828.400000000009</v>
      </c>
      <c r="AR1389" s="320">
        <v>-29828.400000000009</v>
      </c>
      <c r="AS1389" s="320">
        <v>-29828.400000000009</v>
      </c>
      <c r="AT1389" s="320">
        <v>-29828.400000000009</v>
      </c>
      <c r="AU1389" s="320">
        <v>-29828.400000000009</v>
      </c>
      <c r="AV1389" s="320">
        <f ca="1">Calc!AH93</f>
        <v>-29828.400000000009</v>
      </c>
      <c r="AX1389" s="88" t="str">
        <f t="shared" ca="1" si="109"/>
        <v>X</v>
      </c>
    </row>
    <row r="1390" spans="1:50">
      <c r="A1390" s="88" t="str">
        <f t="shared" ca="1" si="108"/>
        <v>JBEOAN</v>
      </c>
      <c r="F1390" s="1082">
        <v>77100</v>
      </c>
      <c r="G1390" s="1082">
        <v>77100</v>
      </c>
      <c r="H1390" s="1082">
        <v>77100</v>
      </c>
      <c r="I1390" s="1082">
        <v>77100</v>
      </c>
      <c r="J1390" s="1082">
        <v>77100</v>
      </c>
      <c r="K1390" s="1082">
        <v>77100</v>
      </c>
      <c r="L1390" s="1082">
        <v>77100</v>
      </c>
      <c r="M1390" s="1082">
        <v>77100</v>
      </c>
      <c r="N1390" s="1082">
        <v>77100</v>
      </c>
      <c r="O1390" s="1082">
        <v>77100</v>
      </c>
      <c r="P1390" s="1082">
        <v>77100</v>
      </c>
      <c r="Q1390" s="1082">
        <v>77100</v>
      </c>
      <c r="R1390" s="1082">
        <v>77100</v>
      </c>
      <c r="S1390" s="1082">
        <v>77100</v>
      </c>
      <c r="T1390" s="1082">
        <v>77100</v>
      </c>
      <c r="U1390" s="1082">
        <v>77100</v>
      </c>
      <c r="V1390" s="1082">
        <v>77100</v>
      </c>
      <c r="W1390" s="1082">
        <v>77100</v>
      </c>
      <c r="X1390" s="1082">
        <v>77100</v>
      </c>
      <c r="Y1390" s="1082">
        <v>77100</v>
      </c>
      <c r="Z1390" s="1082">
        <f ca="1">Calc!G94</f>
        <v>18000</v>
      </c>
      <c r="AB1390" s="320">
        <v>0</v>
      </c>
      <c r="AC1390" s="320">
        <v>0</v>
      </c>
      <c r="AD1390" s="320">
        <v>0</v>
      </c>
      <c r="AE1390" s="320">
        <v>0</v>
      </c>
      <c r="AF1390" s="320">
        <v>0</v>
      </c>
      <c r="AG1390" s="320">
        <v>0</v>
      </c>
      <c r="AH1390" s="320">
        <v>0</v>
      </c>
      <c r="AI1390" s="320">
        <v>0</v>
      </c>
      <c r="AJ1390" s="320">
        <v>0</v>
      </c>
      <c r="AK1390" s="320">
        <v>0</v>
      </c>
      <c r="AL1390" s="320">
        <v>0</v>
      </c>
      <c r="AM1390" s="320">
        <v>0</v>
      </c>
      <c r="AN1390" s="320">
        <v>0</v>
      </c>
      <c r="AO1390" s="320">
        <v>0</v>
      </c>
      <c r="AP1390" s="320">
        <v>0</v>
      </c>
      <c r="AQ1390" s="320">
        <v>0</v>
      </c>
      <c r="AR1390" s="320">
        <v>0</v>
      </c>
      <c r="AS1390" s="320">
        <v>0</v>
      </c>
      <c r="AT1390" s="320">
        <v>0</v>
      </c>
      <c r="AU1390" s="320">
        <v>0</v>
      </c>
      <c r="AV1390" s="320">
        <f ca="1">Calc!AH94</f>
        <v>105.00000000000043</v>
      </c>
      <c r="AX1390" s="88" t="str">
        <f t="shared" ca="1" si="109"/>
        <v>JBEOAN</v>
      </c>
    </row>
    <row r="1391" spans="1:50">
      <c r="A1391" s="88" t="str">
        <f t="shared" si="108"/>
        <v>LOCK</v>
      </c>
      <c r="F1391" s="1082">
        <v>500</v>
      </c>
      <c r="G1391" s="1082">
        <v>200</v>
      </c>
      <c r="H1391" s="1082">
        <v>200</v>
      </c>
      <c r="I1391" s="1082">
        <v>200</v>
      </c>
      <c r="J1391" s="1082">
        <v>200</v>
      </c>
      <c r="K1391" s="1082">
        <v>200</v>
      </c>
      <c r="L1391" s="1082">
        <v>200</v>
      </c>
      <c r="M1391" s="1217">
        <v>200</v>
      </c>
      <c r="N1391" s="1082">
        <v>200</v>
      </c>
      <c r="O1391" s="1082">
        <v>200</v>
      </c>
      <c r="P1391" s="1082">
        <v>200</v>
      </c>
      <c r="Q1391" s="1082">
        <v>200</v>
      </c>
      <c r="R1391" s="1082">
        <v>200</v>
      </c>
      <c r="S1391" s="1082">
        <v>200</v>
      </c>
      <c r="T1391" s="1082">
        <v>200</v>
      </c>
      <c r="U1391" s="1082">
        <v>200</v>
      </c>
      <c r="V1391" s="1082">
        <v>200</v>
      </c>
      <c r="W1391" s="1082">
        <v>200</v>
      </c>
      <c r="X1391" s="1217">
        <v>200</v>
      </c>
      <c r="Y1391" s="1082">
        <v>200</v>
      </c>
      <c r="Z1391" s="1082">
        <f ca="1">Calc!G95</f>
        <v>77100</v>
      </c>
      <c r="AB1391" s="320">
        <v>0</v>
      </c>
      <c r="AC1391" s="320">
        <v>30.000000000006821</v>
      </c>
      <c r="AD1391" s="320">
        <v>-3959.9999999999795</v>
      </c>
      <c r="AE1391" s="320">
        <v>-14819.999999999993</v>
      </c>
      <c r="AF1391" s="320">
        <v>-15569.999999999993</v>
      </c>
      <c r="AG1391" s="320">
        <v>-13979.999999999973</v>
      </c>
      <c r="AH1391" s="320">
        <v>-7079.9999999999727</v>
      </c>
      <c r="AI1391" s="320">
        <v>-6479.9999999999727</v>
      </c>
      <c r="AJ1391" s="320">
        <v>-4229.9999999999727</v>
      </c>
      <c r="AK1391" s="320">
        <v>-4739.9999999999864</v>
      </c>
      <c r="AL1391" s="320">
        <v>-5519.9999999999927</v>
      </c>
      <c r="AM1391" s="320">
        <v>-13439.999999999985</v>
      </c>
      <c r="AN1391" s="320">
        <v>-14759.99999999998</v>
      </c>
      <c r="AO1391" s="320">
        <v>-14250</v>
      </c>
      <c r="AP1391" s="320">
        <v>-21239.999999999985</v>
      </c>
      <c r="AQ1391" s="320">
        <v>-18479.999999999971</v>
      </c>
      <c r="AR1391" s="320">
        <v>-12569.999999999993</v>
      </c>
      <c r="AS1391" s="320">
        <v>-12569.999999999993</v>
      </c>
      <c r="AT1391" s="320">
        <v>-17850</v>
      </c>
      <c r="AU1391" s="320">
        <v>-19859.999999999978</v>
      </c>
      <c r="AV1391" s="320">
        <f ca="1">Calc!AH95</f>
        <v>0</v>
      </c>
      <c r="AX1391" s="88" t="str">
        <f t="shared" si="109"/>
        <v>LOCK</v>
      </c>
    </row>
    <row r="1392" spans="1:50">
      <c r="A1392" s="88" t="str">
        <f t="shared" si="108"/>
        <v>Total</v>
      </c>
      <c r="F1392" s="1082">
        <v>21000</v>
      </c>
      <c r="G1392" s="1082">
        <v>21000</v>
      </c>
      <c r="H1392" s="1082">
        <v>21000</v>
      </c>
      <c r="I1392" s="1082">
        <v>21000</v>
      </c>
      <c r="J1392" s="1082">
        <v>21000</v>
      </c>
      <c r="K1392" s="1082">
        <v>18000</v>
      </c>
      <c r="L1392" s="1082">
        <v>18000</v>
      </c>
      <c r="M1392" s="1082">
        <v>18000</v>
      </c>
      <c r="N1392" s="1082">
        <v>18000</v>
      </c>
      <c r="O1392" s="1082">
        <v>18000</v>
      </c>
      <c r="P1392" s="1082">
        <v>18000</v>
      </c>
      <c r="Q1392" s="1082">
        <v>18000</v>
      </c>
      <c r="R1392" s="1082">
        <v>18000</v>
      </c>
      <c r="S1392" s="1082">
        <v>18000</v>
      </c>
      <c r="T1392" s="1082">
        <v>18000</v>
      </c>
      <c r="U1392" s="1082">
        <v>18000</v>
      </c>
      <c r="V1392" s="1082">
        <v>18000</v>
      </c>
      <c r="W1392" s="1082">
        <v>18000</v>
      </c>
      <c r="X1392" s="1082">
        <v>18000</v>
      </c>
      <c r="Y1392" s="1082">
        <v>18000</v>
      </c>
      <c r="Z1392" s="1082" t="e">
        <f ca="1">Calc!G96</f>
        <v>#VALUE!</v>
      </c>
      <c r="AB1392" s="320">
        <v>-539.99999999997783</v>
      </c>
      <c r="AC1392" s="320">
        <v>-1319.9999999999932</v>
      </c>
      <c r="AD1392" s="320">
        <v>-2399.9999999999914</v>
      </c>
      <c r="AE1392" s="320">
        <v>0</v>
      </c>
      <c r="AF1392" s="320">
        <v>-1920.0000000000018</v>
      </c>
      <c r="AG1392" s="320">
        <v>15.000000000007674</v>
      </c>
      <c r="AH1392" s="320">
        <v>-179.99999999999616</v>
      </c>
      <c r="AI1392" s="320">
        <v>-164.99999999999915</v>
      </c>
      <c r="AJ1392" s="320">
        <v>-179.99999999999616</v>
      </c>
      <c r="AK1392" s="320">
        <v>-420.00000000000171</v>
      </c>
      <c r="AL1392" s="320">
        <v>-750</v>
      </c>
      <c r="AM1392" s="320">
        <v>-239.99999999999488</v>
      </c>
      <c r="AN1392" s="320">
        <v>-389.99999999999704</v>
      </c>
      <c r="AO1392" s="320">
        <v>-449.99999999999574</v>
      </c>
      <c r="AP1392" s="320">
        <v>-900.00000000000216</v>
      </c>
      <c r="AQ1392" s="320">
        <v>-734.99999999999227</v>
      </c>
      <c r="AR1392" s="320">
        <v>59.999999999998721</v>
      </c>
      <c r="AS1392" s="320">
        <v>59.999999999998721</v>
      </c>
      <c r="AT1392" s="320">
        <v>420.00000000000171</v>
      </c>
      <c r="AU1392" s="320">
        <v>180.00000000000682</v>
      </c>
      <c r="AV1392" s="320" t="str">
        <f ca="1">Calc!AH96</f>
        <v/>
      </c>
      <c r="AX1392" s="88" t="str">
        <f t="shared" si="109"/>
        <v>Total</v>
      </c>
    </row>
    <row r="1393" spans="1:70">
      <c r="A1393" s="88"/>
      <c r="J1393"/>
      <c r="K1393"/>
      <c r="L1393"/>
      <c r="M1393"/>
      <c r="O1393"/>
      <c r="P1393"/>
      <c r="R1393"/>
      <c r="W1393"/>
      <c r="X1393"/>
      <c r="AX1393" s="88"/>
      <c r="BQ1393" t="s">
        <v>191</v>
      </c>
      <c r="BR1393" t="s">
        <v>2202</v>
      </c>
    </row>
    <row r="1394" spans="1:70">
      <c r="A1394" s="88"/>
      <c r="J1394"/>
      <c r="K1394"/>
      <c r="L1394"/>
      <c r="M1394"/>
      <c r="O1394"/>
      <c r="P1394"/>
      <c r="R1394"/>
      <c r="W1394"/>
      <c r="X1394"/>
      <c r="AX1394" s="88"/>
      <c r="BQ1394" t="s">
        <v>139</v>
      </c>
      <c r="BR1394" t="s">
        <v>2203</v>
      </c>
    </row>
    <row r="1395" spans="1:70" ht="26">
      <c r="A1395" s="88"/>
      <c r="F1395" s="112"/>
      <c r="G1395" s="112"/>
      <c r="H1395" s="112"/>
      <c r="I1395" s="112"/>
      <c r="J1395" s="112"/>
      <c r="K1395" s="112"/>
      <c r="L1395" s="112"/>
      <c r="M1395" s="112"/>
      <c r="N1395" s="112"/>
      <c r="O1395" s="112"/>
      <c r="P1395" s="112"/>
      <c r="Q1395" s="112"/>
      <c r="R1395" s="112"/>
      <c r="S1395" s="112"/>
      <c r="T1395" s="112"/>
      <c r="U1395" s="112"/>
      <c r="V1395" s="112"/>
      <c r="W1395" s="112"/>
      <c r="X1395" s="112"/>
      <c r="Y1395" s="112"/>
      <c r="Z1395" s="112"/>
      <c r="AX1395" s="88"/>
      <c r="BQ1395" t="s">
        <v>192</v>
      </c>
      <c r="BR1395" t="s">
        <v>1894</v>
      </c>
    </row>
    <row r="1396" spans="1:70">
      <c r="A1396" s="88"/>
      <c r="F1396" s="117">
        <f t="shared" ref="F1396:Z1396" ca="1" si="110">F1297</f>
        <v>45929</v>
      </c>
      <c r="G1396" s="117">
        <f t="shared" ca="1" si="110"/>
        <v>45930</v>
      </c>
      <c r="H1396" s="117">
        <f t="shared" ca="1" si="110"/>
        <v>45931</v>
      </c>
      <c r="I1396" s="117">
        <f t="shared" ca="1" si="110"/>
        <v>45932</v>
      </c>
      <c r="J1396" s="117">
        <f t="shared" ca="1" si="110"/>
        <v>45933</v>
      </c>
      <c r="K1396" s="117">
        <f t="shared" ca="1" si="110"/>
        <v>45936</v>
      </c>
      <c r="L1396" s="117">
        <f t="shared" ca="1" si="110"/>
        <v>45937</v>
      </c>
      <c r="M1396" s="117">
        <f t="shared" ca="1" si="110"/>
        <v>45938</v>
      </c>
      <c r="N1396" s="117">
        <f t="shared" ca="1" si="110"/>
        <v>45939</v>
      </c>
      <c r="O1396" s="117">
        <f t="shared" ca="1" si="110"/>
        <v>45940</v>
      </c>
      <c r="P1396" s="117">
        <f t="shared" ca="1" si="110"/>
        <v>45943</v>
      </c>
      <c r="Q1396" s="117">
        <f t="shared" ca="1" si="110"/>
        <v>45944</v>
      </c>
      <c r="R1396" s="117">
        <f t="shared" ca="1" si="110"/>
        <v>45945</v>
      </c>
      <c r="S1396" s="117">
        <f t="shared" ca="1" si="110"/>
        <v>45946</v>
      </c>
      <c r="T1396" s="117">
        <f t="shared" ca="1" si="110"/>
        <v>45947</v>
      </c>
      <c r="U1396" s="117">
        <f t="shared" ca="1" si="110"/>
        <v>45950</v>
      </c>
      <c r="V1396" s="117">
        <f t="shared" ca="1" si="110"/>
        <v>45951</v>
      </c>
      <c r="W1396" s="117">
        <f t="shared" ca="1" si="110"/>
        <v>45952</v>
      </c>
      <c r="X1396" s="117">
        <f t="shared" ca="1" si="110"/>
        <v>45953</v>
      </c>
      <c r="Y1396" s="117">
        <f t="shared" ca="1" si="110"/>
        <v>45954</v>
      </c>
      <c r="Z1396" s="117">
        <f t="shared" ca="1" si="110"/>
        <v>45956</v>
      </c>
      <c r="AB1396" s="117">
        <f t="shared" ref="AB1396:AV1396" ca="1" si="111">F1297</f>
        <v>45929</v>
      </c>
      <c r="AC1396" s="117">
        <f t="shared" ca="1" si="111"/>
        <v>45930</v>
      </c>
      <c r="AD1396" s="117">
        <f t="shared" ca="1" si="111"/>
        <v>45931</v>
      </c>
      <c r="AE1396" s="117">
        <f t="shared" ca="1" si="111"/>
        <v>45932</v>
      </c>
      <c r="AF1396" s="117">
        <f t="shared" ca="1" si="111"/>
        <v>45933</v>
      </c>
      <c r="AG1396" s="117">
        <f t="shared" ca="1" si="111"/>
        <v>45936</v>
      </c>
      <c r="AH1396" s="117">
        <f t="shared" ca="1" si="111"/>
        <v>45937</v>
      </c>
      <c r="AI1396" s="117">
        <f t="shared" ca="1" si="111"/>
        <v>45938</v>
      </c>
      <c r="AJ1396" s="117">
        <f t="shared" ca="1" si="111"/>
        <v>45939</v>
      </c>
      <c r="AK1396" s="117">
        <f t="shared" ca="1" si="111"/>
        <v>45940</v>
      </c>
      <c r="AL1396" s="117">
        <f t="shared" ca="1" si="111"/>
        <v>45943</v>
      </c>
      <c r="AM1396" s="117">
        <f t="shared" ca="1" si="111"/>
        <v>45944</v>
      </c>
      <c r="AN1396" s="117">
        <f t="shared" ca="1" si="111"/>
        <v>45945</v>
      </c>
      <c r="AO1396" s="117">
        <f t="shared" ca="1" si="111"/>
        <v>45946</v>
      </c>
      <c r="AP1396" s="117">
        <f t="shared" ca="1" si="111"/>
        <v>45947</v>
      </c>
      <c r="AQ1396" s="117">
        <f t="shared" ca="1" si="111"/>
        <v>45950</v>
      </c>
      <c r="AR1396" s="117">
        <f t="shared" ca="1" si="111"/>
        <v>45951</v>
      </c>
      <c r="AS1396" s="117">
        <f t="shared" ca="1" si="111"/>
        <v>45952</v>
      </c>
      <c r="AT1396" s="117">
        <f t="shared" ca="1" si="111"/>
        <v>45953</v>
      </c>
      <c r="AU1396" s="117">
        <f t="shared" ca="1" si="111"/>
        <v>45954</v>
      </c>
      <c r="AV1396" s="117">
        <f t="shared" ca="1" si="111"/>
        <v>45956</v>
      </c>
      <c r="AX1396" s="88"/>
      <c r="BQ1396" t="s">
        <v>193</v>
      </c>
      <c r="BR1396" t="s">
        <v>2204</v>
      </c>
    </row>
    <row r="1397" spans="1:70">
      <c r="A1397" s="88"/>
      <c r="F1397" s="785" t="s">
        <v>2174</v>
      </c>
      <c r="G1397" s="785" t="s">
        <v>2175</v>
      </c>
      <c r="H1397" s="785" t="s">
        <v>2176</v>
      </c>
      <c r="I1397" s="785" t="s">
        <v>2177</v>
      </c>
      <c r="J1397" s="785" t="s">
        <v>2178</v>
      </c>
      <c r="K1397" s="785" t="s">
        <v>2179</v>
      </c>
      <c r="L1397" s="785" t="s">
        <v>2180</v>
      </c>
      <c r="M1397" s="785" t="s">
        <v>2181</v>
      </c>
      <c r="N1397" s="785" t="s">
        <v>2182</v>
      </c>
      <c r="O1397" s="785" t="s">
        <v>2183</v>
      </c>
      <c r="P1397" s="785" t="s">
        <v>2184</v>
      </c>
      <c r="Q1397" s="785" t="s">
        <v>2185</v>
      </c>
      <c r="R1397" s="785" t="s">
        <v>2186</v>
      </c>
      <c r="S1397" s="785" t="s">
        <v>2187</v>
      </c>
      <c r="T1397" s="785" t="s">
        <v>2188</v>
      </c>
      <c r="U1397" s="785" t="s">
        <v>2189</v>
      </c>
      <c r="V1397" s="785" t="s">
        <v>2190</v>
      </c>
      <c r="W1397" s="785" t="s">
        <v>2191</v>
      </c>
      <c r="X1397" s="785" t="s">
        <v>2192</v>
      </c>
      <c r="Y1397" s="785" t="s">
        <v>2193</v>
      </c>
      <c r="Z1397" s="785" t="s">
        <v>2194</v>
      </c>
      <c r="AB1397" s="281" t="s">
        <v>1532</v>
      </c>
      <c r="AC1397" s="281" t="s">
        <v>1533</v>
      </c>
      <c r="AD1397" s="281" t="s">
        <v>1534</v>
      </c>
      <c r="AE1397" s="281" t="s">
        <v>1535</v>
      </c>
      <c r="AF1397" s="281" t="s">
        <v>1536</v>
      </c>
      <c r="AG1397" s="281" t="s">
        <v>1537</v>
      </c>
      <c r="AH1397" s="281" t="s">
        <v>1538</v>
      </c>
      <c r="AI1397" s="281" t="s">
        <v>1539</v>
      </c>
      <c r="AJ1397" s="281" t="s">
        <v>1540</v>
      </c>
      <c r="AK1397" s="281" t="s">
        <v>1541</v>
      </c>
      <c r="AL1397" s="281" t="s">
        <v>1542</v>
      </c>
      <c r="AM1397" s="281" t="s">
        <v>1543</v>
      </c>
      <c r="AN1397" s="281" t="s">
        <v>1544</v>
      </c>
      <c r="AO1397" s="281" t="s">
        <v>1545</v>
      </c>
      <c r="AP1397" s="281" t="s">
        <v>1546</v>
      </c>
      <c r="AQ1397" s="281" t="s">
        <v>1547</v>
      </c>
      <c r="AR1397" s="281" t="s">
        <v>1548</v>
      </c>
      <c r="AS1397" s="281" t="s">
        <v>1549</v>
      </c>
      <c r="AT1397" s="281" t="s">
        <v>1550</v>
      </c>
      <c r="AU1397" s="281" t="s">
        <v>1551</v>
      </c>
      <c r="AV1397" s="281" t="s">
        <v>1552</v>
      </c>
      <c r="AX1397" s="88"/>
      <c r="BQ1397" t="s">
        <v>2205</v>
      </c>
      <c r="BR1397" t="s">
        <v>1836</v>
      </c>
    </row>
    <row r="1398" spans="1:70">
      <c r="A1398" s="88" t="str">
        <f t="shared" ref="A1398:A1457" ca="1" si="112">A1299</f>
        <v>AAPL</v>
      </c>
      <c r="F1398" s="245">
        <v>1.0927</v>
      </c>
      <c r="G1398" s="245">
        <v>1.0931</v>
      </c>
      <c r="H1398" s="245">
        <v>1.0944</v>
      </c>
      <c r="I1398" s="245">
        <v>1.0840000000000001</v>
      </c>
      <c r="J1398" s="245">
        <v>1.0834999999999999</v>
      </c>
      <c r="K1398" s="245">
        <v>1.0839000000000001</v>
      </c>
      <c r="L1398" s="245">
        <v>1.0837000000000001</v>
      </c>
      <c r="M1398" s="245">
        <v>1.0837000000000001</v>
      </c>
      <c r="N1398" s="245">
        <v>1.0837000000000001</v>
      </c>
      <c r="O1398" s="245">
        <v>1.0884</v>
      </c>
      <c r="P1398" s="245">
        <v>1.0873999999999999</v>
      </c>
      <c r="Q1398" s="245">
        <v>1.0872999999999999</v>
      </c>
      <c r="R1398" s="245">
        <v>1.0864</v>
      </c>
      <c r="S1398" s="245">
        <v>1.0848</v>
      </c>
      <c r="T1398" s="245">
        <v>1.0848</v>
      </c>
      <c r="U1398" s="245">
        <v>1.0827</v>
      </c>
      <c r="V1398" s="245">
        <v>1.0826</v>
      </c>
      <c r="W1398" s="245">
        <v>1.0826</v>
      </c>
      <c r="X1398" s="245">
        <v>1.0826</v>
      </c>
      <c r="Y1398" s="245">
        <v>1.0826</v>
      </c>
      <c r="Z1398" s="247">
        <f ca="1">[1]ExtEntry!$R3</f>
        <v>1.0834999999999999</v>
      </c>
      <c r="AB1398" s="320">
        <v>1393233.05</v>
      </c>
      <c r="AC1398" s="320">
        <v>1400465</v>
      </c>
      <c r="AD1398" s="320">
        <v>1404975</v>
      </c>
      <c r="AE1398" s="320">
        <v>1414215</v>
      </c>
      <c r="AF1398" s="320">
        <v>1419110</v>
      </c>
      <c r="AG1398" s="320">
        <v>1410640</v>
      </c>
      <c r="AH1398" s="320">
        <v>1419330</v>
      </c>
      <c r="AI1398" s="320">
        <v>1346412</v>
      </c>
      <c r="AJ1398" s="320">
        <v>1346412</v>
      </c>
      <c r="AK1398" s="320">
        <v>1362130</v>
      </c>
      <c r="AL1398" s="320">
        <v>1362735</v>
      </c>
      <c r="AM1398" s="320">
        <v>1371700</v>
      </c>
      <c r="AN1398" s="320">
        <v>1360975</v>
      </c>
      <c r="AO1398" s="320">
        <v>1387595</v>
      </c>
      <c r="AP1398" s="320">
        <v>1442320</v>
      </c>
      <c r="AQ1398" s="320">
        <v>1313850</v>
      </c>
      <c r="AR1398" s="320">
        <v>1292250</v>
      </c>
      <c r="AS1398" s="320">
        <v>1292250</v>
      </c>
      <c r="AT1398" s="320">
        <v>1297900</v>
      </c>
      <c r="AU1398" s="320">
        <v>1314100</v>
      </c>
      <c r="AV1398" s="320">
        <f ca="1">IF(_xlfn.XLOOKUP(A1398,TabCalc[Ticker],ListExtra_n)&gt;0,             _xlfn.XLOOKUP(A1398,TabCalc[Ticker],ListExtra_n)*_xlfn.XLOOKUP(A1398,TabTRADER[ClickTick],TabTRADER[M])*_xlfn.XLOOKUP(A1398,TabCalc[Ticker],ListScale),               "")</f>
        <v>1314100</v>
      </c>
      <c r="AX1398" s="88" t="str">
        <f t="shared" ca="1" si="109"/>
        <v>AAPL</v>
      </c>
      <c r="BQ1398" t="s">
        <v>195</v>
      </c>
      <c r="BR1398" t="s">
        <v>702</v>
      </c>
    </row>
    <row r="1399" spans="1:70">
      <c r="A1399" s="88" t="str">
        <f t="shared" ca="1" si="112"/>
        <v>ADEA</v>
      </c>
      <c r="F1399" s="253">
        <v>2.5337999999999998</v>
      </c>
      <c r="G1399" s="253">
        <v>2.5324</v>
      </c>
      <c r="H1399" s="253">
        <v>2.5318000000000001</v>
      </c>
      <c r="I1399" s="253">
        <v>2.5760999999999998</v>
      </c>
      <c r="J1399" s="253">
        <v>2.5752000000000002</v>
      </c>
      <c r="K1399" s="253">
        <v>2.5739000000000001</v>
      </c>
      <c r="L1399" s="253">
        <v>2.5762</v>
      </c>
      <c r="M1399" s="253">
        <v>2.5771000000000002</v>
      </c>
      <c r="N1399" s="253">
        <v>2.5771000000000002</v>
      </c>
      <c r="O1399" s="253">
        <v>2.5834000000000001</v>
      </c>
      <c r="P1399" s="253">
        <v>2.5853000000000002</v>
      </c>
      <c r="Q1399" s="253">
        <v>2.5775999999999999</v>
      </c>
      <c r="R1399" s="253">
        <v>2.5731999999999999</v>
      </c>
      <c r="S1399" s="253">
        <v>2.5783999999999998</v>
      </c>
      <c r="T1399" s="253">
        <v>2.5783999999999998</v>
      </c>
      <c r="U1399" s="253">
        <v>2.5773000000000001</v>
      </c>
      <c r="V1399" s="253">
        <v>2.5766</v>
      </c>
      <c r="W1399" s="253">
        <v>2.5766</v>
      </c>
      <c r="X1399" s="253">
        <v>2.5766</v>
      </c>
      <c r="Y1399" s="253">
        <v>2.5766</v>
      </c>
      <c r="Z1399" s="247">
        <f ca="1">[1]ExtEntry!$R4</f>
        <v>2.5771999999999999</v>
      </c>
      <c r="AB1399" s="320"/>
      <c r="AC1399" s="320"/>
      <c r="AD1399" s="320"/>
      <c r="AE1399" s="320"/>
      <c r="AF1399" s="320"/>
      <c r="AG1399" s="320"/>
      <c r="AH1399" s="320"/>
      <c r="AI1399" s="320"/>
      <c r="AJ1399" s="320"/>
      <c r="AK1399" s="320"/>
      <c r="AL1399" s="320"/>
      <c r="AM1399" s="320"/>
      <c r="AN1399" s="320"/>
      <c r="AO1399" s="320"/>
      <c r="AP1399" s="320"/>
      <c r="AQ1399" s="320"/>
      <c r="AR1399" s="320"/>
      <c r="AS1399" s="320"/>
      <c r="AT1399" s="320"/>
      <c r="AU1399" s="320"/>
      <c r="AV1399" s="320" t="str">
        <f ca="1">IF(_xlfn.XLOOKUP(A1399,TabCalc[Ticker],ListExtra_n)&gt;0,             _xlfn.XLOOKUP(A1399,TabCalc[Ticker],ListExtra_n)*_xlfn.XLOOKUP(A1399,TabTRADER[ClickTick],TabTRADER[M])*_xlfn.XLOOKUP(A1399,TabCalc[Ticker],ListScale),               "")</f>
        <v/>
      </c>
      <c r="AX1399" s="88" t="str">
        <f t="shared" ca="1" si="109"/>
        <v>ADEA</v>
      </c>
      <c r="BQ1399" t="s">
        <v>2207</v>
      </c>
      <c r="BR1399" t="s">
        <v>2206</v>
      </c>
    </row>
    <row r="1400" spans="1:70">
      <c r="A1400" s="88" t="str">
        <f t="shared" ca="1" si="112"/>
        <v>AET</v>
      </c>
      <c r="F1400" s="245">
        <v>1.153</v>
      </c>
      <c r="G1400" s="245">
        <v>1.1521999999999999</v>
      </c>
      <c r="H1400" s="245">
        <v>1.149</v>
      </c>
      <c r="I1400" s="245">
        <v>1.1435</v>
      </c>
      <c r="J1400" s="245">
        <v>1.1443000000000001</v>
      </c>
      <c r="K1400" s="245">
        <v>1.1373</v>
      </c>
      <c r="L1400" s="245">
        <v>1.1393</v>
      </c>
      <c r="M1400" s="245">
        <v>1.1283000000000001</v>
      </c>
      <c r="N1400" s="245">
        <v>1.1283000000000001</v>
      </c>
      <c r="O1400" s="245">
        <v>1.1281000000000001</v>
      </c>
      <c r="P1400" s="245">
        <v>1.1482000000000001</v>
      </c>
      <c r="Q1400" s="245">
        <v>1.1486000000000001</v>
      </c>
      <c r="R1400" s="245">
        <v>1.1556999999999999</v>
      </c>
      <c r="S1400" s="245">
        <v>1.1795</v>
      </c>
      <c r="T1400" s="245">
        <v>1.1795</v>
      </c>
      <c r="U1400" s="245">
        <v>1.1778999999999999</v>
      </c>
      <c r="V1400" s="245">
        <v>1.1551</v>
      </c>
      <c r="W1400" s="245">
        <v>1.1551</v>
      </c>
      <c r="X1400" s="245">
        <v>1.1551</v>
      </c>
      <c r="Y1400" s="245">
        <v>1.1551</v>
      </c>
      <c r="Z1400" s="247">
        <f ca="1">[1]ExtEntry!$R5</f>
        <v>1.1262000000000001</v>
      </c>
      <c r="AB1400" s="320">
        <v>186580</v>
      </c>
      <c r="AC1400" s="320">
        <v>186960</v>
      </c>
      <c r="AD1400" s="320">
        <v>179360</v>
      </c>
      <c r="AE1400" s="320">
        <v>181640</v>
      </c>
      <c r="AF1400" s="320">
        <v>177840</v>
      </c>
      <c r="AG1400" s="320">
        <v>175940</v>
      </c>
      <c r="AH1400" s="320">
        <v>176320</v>
      </c>
      <c r="AI1400" s="320">
        <v>182400</v>
      </c>
      <c r="AJ1400" s="320">
        <v>180704</v>
      </c>
      <c r="AK1400" s="320">
        <v>181860</v>
      </c>
      <c r="AL1400" s="320">
        <v>180180</v>
      </c>
      <c r="AM1400" s="320">
        <v>176820</v>
      </c>
      <c r="AN1400" s="320">
        <v>172200</v>
      </c>
      <c r="AO1400" s="320">
        <v>176400</v>
      </c>
      <c r="AP1400" s="320">
        <v>177660</v>
      </c>
      <c r="AQ1400" s="320">
        <v>180600</v>
      </c>
      <c r="AR1400" s="320">
        <v>182280</v>
      </c>
      <c r="AS1400" s="320">
        <v>182280</v>
      </c>
      <c r="AT1400" s="320">
        <v>186480</v>
      </c>
      <c r="AU1400" s="320">
        <v>192360</v>
      </c>
      <c r="AV1400" s="320">
        <f ca="1">IF(_xlfn.XLOOKUP(A1400,TabCalc[Ticker],ListExtra_n)&gt;0,             _xlfn.XLOOKUP(A1400,TabCalc[Ticker],ListExtra_n)*_xlfn.XLOOKUP(A1400,TabTRADER[ClickTick],TabTRADER[M])*_xlfn.XLOOKUP(A1400,TabCalc[Ticker],ListScale),               "")</f>
        <v>192360</v>
      </c>
      <c r="AX1400" s="88" t="str">
        <f t="shared" ca="1" si="109"/>
        <v>AET</v>
      </c>
      <c r="BQ1400" t="s">
        <v>2208</v>
      </c>
      <c r="BR1400" t="s">
        <v>2209</v>
      </c>
    </row>
    <row r="1401" spans="1:70">
      <c r="A1401" s="88" t="str">
        <f t="shared" ca="1" si="112"/>
        <v>AMZN</v>
      </c>
      <c r="F1401" s="253">
        <v>1.2873000000000001</v>
      </c>
      <c r="G1401" s="253">
        <v>1.2867999999999999</v>
      </c>
      <c r="H1401" s="253">
        <v>1.2815000000000001</v>
      </c>
      <c r="I1401" s="253">
        <v>1.2830999999999999</v>
      </c>
      <c r="J1401" s="253">
        <v>1.2826</v>
      </c>
      <c r="K1401" s="253">
        <v>1.2836000000000001</v>
      </c>
      <c r="L1401" s="253">
        <v>1.2827999999999999</v>
      </c>
      <c r="M1401" s="253">
        <v>1.2830999999999999</v>
      </c>
      <c r="N1401" s="253">
        <v>1.2830999999999999</v>
      </c>
      <c r="O1401" s="253">
        <v>1.2786999999999999</v>
      </c>
      <c r="P1401" s="253">
        <v>1.2814000000000001</v>
      </c>
      <c r="Q1401" s="253">
        <v>1.2835000000000001</v>
      </c>
      <c r="R1401" s="253">
        <v>1.2847</v>
      </c>
      <c r="S1401" s="253">
        <v>1.2862</v>
      </c>
      <c r="T1401" s="253">
        <v>1.2862</v>
      </c>
      <c r="U1401" s="253">
        <v>1.2845</v>
      </c>
      <c r="V1401" s="253">
        <v>1.2831999999999999</v>
      </c>
      <c r="W1401" s="253">
        <v>1.2831999999999999</v>
      </c>
      <c r="X1401" s="253">
        <v>1.2831999999999999</v>
      </c>
      <c r="Y1401" s="253">
        <v>1.2831999999999999</v>
      </c>
      <c r="Z1401" s="247">
        <f ca="1">[1]ExtEntry!$R6</f>
        <v>1.2842</v>
      </c>
      <c r="AB1401" s="320">
        <v>884120</v>
      </c>
      <c r="AC1401" s="320">
        <v>878280</v>
      </c>
      <c r="AD1401" s="320">
        <v>882520</v>
      </c>
      <c r="AE1401" s="320">
        <v>889640</v>
      </c>
      <c r="AF1401" s="320">
        <v>878040</v>
      </c>
      <c r="AG1401" s="320">
        <v>887120</v>
      </c>
      <c r="AH1401" s="320">
        <v>900880</v>
      </c>
      <c r="AI1401" s="320">
        <v>910960</v>
      </c>
      <c r="AJ1401" s="320">
        <v>910960</v>
      </c>
      <c r="AK1401" s="320">
        <v>880280</v>
      </c>
      <c r="AL1401" s="320">
        <v>865560</v>
      </c>
      <c r="AM1401" s="320">
        <v>860640</v>
      </c>
      <c r="AN1401" s="320">
        <v>857880</v>
      </c>
      <c r="AO1401" s="320">
        <v>852160</v>
      </c>
      <c r="AP1401" s="320">
        <v>865920</v>
      </c>
      <c r="AQ1401" s="320">
        <v>888120</v>
      </c>
      <c r="AR1401" s="320">
        <v>871800</v>
      </c>
      <c r="AS1401" s="320">
        <v>871800</v>
      </c>
      <c r="AT1401" s="320">
        <v>884360</v>
      </c>
      <c r="AU1401" s="320">
        <v>896840</v>
      </c>
      <c r="AV1401" s="320">
        <f ca="1">IF(_xlfn.XLOOKUP(A1401,TabCalc[Ticker],ListExtra_n)&gt;0,             _xlfn.XLOOKUP(A1401,TabCalc[Ticker],ListExtra_n)*_xlfn.XLOOKUP(A1401,TabTRADER[ClickTick],TabTRADER[M])*_xlfn.XLOOKUP(A1401,TabCalc[Ticker],ListScale),               "")</f>
        <v>896840</v>
      </c>
      <c r="AX1401" s="88" t="str">
        <f t="shared" ca="1" si="109"/>
        <v>AMZN</v>
      </c>
      <c r="BQ1401" t="s">
        <v>2210</v>
      </c>
      <c r="BR1401" t="s">
        <v>662</v>
      </c>
    </row>
    <row r="1402" spans="1:70">
      <c r="A1402" s="88" t="str">
        <f t="shared" ca="1" si="112"/>
        <v>ALDNE</v>
      </c>
      <c r="F1402" s="245">
        <v>0.99170000000000003</v>
      </c>
      <c r="G1402" s="245">
        <v>0.98880000000000001</v>
      </c>
      <c r="H1402" s="245">
        <v>0.98829999999999996</v>
      </c>
      <c r="I1402" s="245">
        <v>1.042</v>
      </c>
      <c r="J1402" s="245">
        <v>1.0416000000000001</v>
      </c>
      <c r="K1402" s="245">
        <v>1.0409999999999999</v>
      </c>
      <c r="L1402" s="245">
        <v>1.042</v>
      </c>
      <c r="M1402" s="245">
        <v>1.042</v>
      </c>
      <c r="N1402" s="245">
        <v>1.042</v>
      </c>
      <c r="O1402" s="245">
        <v>1.0416000000000001</v>
      </c>
      <c r="P1402" s="245">
        <v>1.0415000000000001</v>
      </c>
      <c r="Q1402" s="245">
        <v>1.0416000000000001</v>
      </c>
      <c r="R1402" s="245">
        <v>1.0415000000000001</v>
      </c>
      <c r="S1402" s="245">
        <v>1.0349999999999999</v>
      </c>
      <c r="T1402" s="245">
        <v>1.0349999999999999</v>
      </c>
      <c r="U1402" s="245">
        <v>1.0337000000000001</v>
      </c>
      <c r="V1402" s="245">
        <v>1.0339</v>
      </c>
      <c r="W1402" s="245">
        <v>1.0339</v>
      </c>
      <c r="X1402" s="245">
        <v>1.0339</v>
      </c>
      <c r="Y1402" s="245">
        <v>1.0339</v>
      </c>
      <c r="Z1402" s="247">
        <f ca="1">[1]ExtEntry!$R7</f>
        <v>1.0333000000000001</v>
      </c>
      <c r="AB1402" s="320">
        <v>70968.7</v>
      </c>
      <c r="AC1402" s="320">
        <v>71132.600000000006</v>
      </c>
      <c r="AD1402" s="320">
        <v>72116</v>
      </c>
      <c r="AE1402" s="320">
        <v>71296.5</v>
      </c>
      <c r="AF1402" s="320">
        <v>71132.600000000006</v>
      </c>
      <c r="AG1402" s="320">
        <v>68838</v>
      </c>
      <c r="AH1402" s="320">
        <v>67362.899999999994</v>
      </c>
      <c r="AI1402" s="320">
        <v>67362.899999999994</v>
      </c>
      <c r="AJ1402" s="320">
        <v>67362.899999999994</v>
      </c>
      <c r="AK1402" s="320">
        <v>68674.099999999991</v>
      </c>
      <c r="AL1402" s="320">
        <v>68838</v>
      </c>
      <c r="AM1402" s="320">
        <v>68674.099999999991</v>
      </c>
      <c r="AN1402" s="320">
        <v>68018.5</v>
      </c>
      <c r="AO1402" s="320">
        <v>68018.5</v>
      </c>
      <c r="AP1402" s="320">
        <v>67199</v>
      </c>
      <c r="AQ1402" s="320">
        <v>68018.5</v>
      </c>
      <c r="AR1402" s="320">
        <v>68838</v>
      </c>
      <c r="AS1402" s="320">
        <v>68838</v>
      </c>
      <c r="AT1402" s="320">
        <v>68674.099999999991</v>
      </c>
      <c r="AU1402" s="320">
        <v>67690.7</v>
      </c>
      <c r="AV1402" s="320">
        <f ca="1">IF(_xlfn.XLOOKUP(A1402,TabCalc[Ticker],ListExtra_n)&gt;0,             _xlfn.XLOOKUP(A1402,TabCalc[Ticker],ListExtra_n)*_xlfn.XLOOKUP(A1402,TabTRADER[ClickTick],TabTRADER[M])*_xlfn.XLOOKUP(A1402,TabCalc[Ticker],ListScale),               "")</f>
        <v>67690.7</v>
      </c>
      <c r="AX1402" s="88" t="str">
        <f t="shared" ca="1" si="109"/>
        <v>ALDNE</v>
      </c>
      <c r="BQ1402" t="s">
        <v>199</v>
      </c>
      <c r="BR1402" t="s">
        <v>2211</v>
      </c>
    </row>
    <row r="1403" spans="1:70">
      <c r="A1403" s="88" t="str">
        <f t="shared" ca="1" si="112"/>
        <v>ASML</v>
      </c>
      <c r="F1403" s="253">
        <v>1.9275</v>
      </c>
      <c r="G1403" s="253">
        <v>1.9398</v>
      </c>
      <c r="H1403" s="253">
        <v>1.9459</v>
      </c>
      <c r="I1403" s="253">
        <v>1.9605999999999999</v>
      </c>
      <c r="J1403" s="253">
        <v>1.9583999999999999</v>
      </c>
      <c r="K1403" s="253">
        <v>1.9643999999999999</v>
      </c>
      <c r="L1403" s="253">
        <v>1.9613</v>
      </c>
      <c r="M1403" s="253">
        <v>1.9598</v>
      </c>
      <c r="N1403" s="253">
        <v>1.9598</v>
      </c>
      <c r="O1403" s="253">
        <v>1.9577</v>
      </c>
      <c r="P1403" s="253">
        <v>1.9578</v>
      </c>
      <c r="Q1403" s="253">
        <v>1.9605999999999999</v>
      </c>
      <c r="R1403" s="253">
        <v>1.9593</v>
      </c>
      <c r="S1403" s="253">
        <v>1.962</v>
      </c>
      <c r="T1403" s="253">
        <v>1.962</v>
      </c>
      <c r="U1403" s="253">
        <v>1.9623999999999999</v>
      </c>
      <c r="V1403" s="253">
        <v>1.9639</v>
      </c>
      <c r="W1403" s="253">
        <v>1.9639</v>
      </c>
      <c r="X1403" s="253">
        <v>1.9639</v>
      </c>
      <c r="Y1403" s="253">
        <v>1.9639</v>
      </c>
      <c r="Z1403" s="247">
        <f ca="1">[1]ExtEntry!$R8</f>
        <v>1.9605999999999999</v>
      </c>
      <c r="AB1403" s="320">
        <v>2724150</v>
      </c>
      <c r="AC1403" s="320">
        <v>2981160</v>
      </c>
      <c r="AD1403" s="320">
        <v>3029040</v>
      </c>
      <c r="AE1403" s="320">
        <v>2983840</v>
      </c>
      <c r="AF1403" s="320">
        <v>2992340</v>
      </c>
      <c r="AG1403" s="320">
        <v>2886840</v>
      </c>
      <c r="AH1403" s="320">
        <v>2810940</v>
      </c>
      <c r="AI1403" s="320">
        <v>2804340</v>
      </c>
      <c r="AJ1403" s="320">
        <v>2779590</v>
      </c>
      <c r="AK1403" s="320">
        <v>2954000</v>
      </c>
      <c r="AL1403" s="320">
        <v>2963100</v>
      </c>
      <c r="AM1403" s="320">
        <v>3055500</v>
      </c>
      <c r="AN1403" s="320">
        <v>2983160</v>
      </c>
      <c r="AO1403" s="320">
        <v>2889810</v>
      </c>
      <c r="AP1403" s="320">
        <v>2966700</v>
      </c>
      <c r="AQ1403" s="320">
        <v>2936340</v>
      </c>
      <c r="AR1403" s="320">
        <v>2871330</v>
      </c>
      <c r="AS1403" s="320">
        <v>2871330</v>
      </c>
      <c r="AT1403" s="320">
        <v>2929410</v>
      </c>
      <c r="AU1403" s="320">
        <v>2862080</v>
      </c>
      <c r="AV1403" s="320">
        <f ca="1">IF(_xlfn.XLOOKUP(A1403,TabCalc[Ticker],ListExtra_n)&gt;0,             _xlfn.XLOOKUP(A1403,TabCalc[Ticker],ListExtra_n)*_xlfn.XLOOKUP(A1403,TabTRADER[ClickTick],TabTRADER[M])*_xlfn.XLOOKUP(A1403,TabCalc[Ticker],ListScale),               "")</f>
        <v>2862080</v>
      </c>
      <c r="AX1403" s="88" t="str">
        <f t="shared" ca="1" si="109"/>
        <v>ASML</v>
      </c>
      <c r="BQ1403" t="s">
        <v>2212</v>
      </c>
      <c r="BR1403" t="s">
        <v>177</v>
      </c>
    </row>
    <row r="1404" spans="1:70" hidden="1">
      <c r="A1404" s="88" t="str">
        <f t="shared" ca="1" si="112"/>
        <v>AZN</v>
      </c>
      <c r="F1404" s="253">
        <v>0.36780000000000002</v>
      </c>
      <c r="G1404" s="253">
        <v>1.2061999999999999</v>
      </c>
      <c r="H1404" s="253">
        <v>1.2078</v>
      </c>
      <c r="I1404" s="253">
        <v>1.198</v>
      </c>
      <c r="J1404" s="253">
        <v>1.1968000000000001</v>
      </c>
      <c r="K1404" s="253">
        <v>1.1971000000000001</v>
      </c>
      <c r="L1404" s="253">
        <v>1.1972</v>
      </c>
      <c r="M1404" s="253">
        <v>1.196</v>
      </c>
      <c r="N1404" s="253">
        <v>1.196</v>
      </c>
      <c r="O1404" s="253">
        <v>1.2016</v>
      </c>
      <c r="P1404" s="253">
        <v>1.1875</v>
      </c>
      <c r="Q1404" s="253">
        <v>1.1926000000000001</v>
      </c>
      <c r="R1404" s="253">
        <v>1.1911</v>
      </c>
      <c r="S1404" s="253">
        <v>1.1914</v>
      </c>
      <c r="T1404" s="253">
        <v>1.1914</v>
      </c>
      <c r="U1404" s="253">
        <v>1.1951000000000001</v>
      </c>
      <c r="V1404" s="253">
        <v>1.1960999999999999</v>
      </c>
      <c r="W1404" s="253">
        <v>1.1960999999999999</v>
      </c>
      <c r="X1404" s="253">
        <v>1.1960999999999999</v>
      </c>
      <c r="Y1404" s="253">
        <v>1.1960999999999999</v>
      </c>
      <c r="Z1404" s="247">
        <f ca="1">[1]ExtEntry!$R9</f>
        <v>0.33900000000000002</v>
      </c>
      <c r="AB1404" s="320"/>
      <c r="AC1404" s="320">
        <v>52785.600000000006</v>
      </c>
      <c r="AD1404" s="320">
        <v>53342.399999999994</v>
      </c>
      <c r="AE1404" s="320">
        <v>54108.800000000003</v>
      </c>
      <c r="AF1404" s="320">
        <v>54139.199999999997</v>
      </c>
      <c r="AG1404" s="320">
        <v>53825.600000000006</v>
      </c>
      <c r="AH1404" s="320">
        <v>55280</v>
      </c>
      <c r="AI1404" s="320"/>
      <c r="AJ1404" s="320"/>
      <c r="AK1404" s="320">
        <v>74907</v>
      </c>
      <c r="AL1404" s="320">
        <v>72267.3</v>
      </c>
      <c r="AM1404" s="320">
        <v>73665.900000000009</v>
      </c>
      <c r="AN1404" s="320">
        <v>74371.5</v>
      </c>
      <c r="AO1404" s="320">
        <v>73359.3</v>
      </c>
      <c r="AP1404" s="320">
        <v>73340.400000000009</v>
      </c>
      <c r="AQ1404" s="320">
        <v>71958.600000000006</v>
      </c>
      <c r="AR1404" s="320">
        <v>71463</v>
      </c>
      <c r="AS1404" s="320">
        <v>71463</v>
      </c>
      <c r="AT1404" s="320">
        <v>72300.900000000009</v>
      </c>
      <c r="AU1404" s="320">
        <v>74367.3</v>
      </c>
      <c r="AV1404" s="320" t="str">
        <f ca="1">IF(_xlfn.XLOOKUP(A1404,TabCalc[Ticker],ListExtra_n)&gt;0,             _xlfn.XLOOKUP(A1404,TabCalc[Ticker],ListExtra_n)*_xlfn.XLOOKUP(A1404,TabTRADER[ClickTick],TabTRADER[M])*_xlfn.XLOOKUP(A1404,TabCalc[Ticker],ListScale),               "")</f>
        <v/>
      </c>
      <c r="AX1404" s="88" t="str">
        <f t="shared" ca="1" si="109"/>
        <v>AZN</v>
      </c>
      <c r="BQ1404" t="s">
        <v>179</v>
      </c>
      <c r="BR1404" t="s">
        <v>2213</v>
      </c>
    </row>
    <row r="1405" spans="1:70" hidden="1">
      <c r="A1405" s="88" t="str">
        <f t="shared" ca="1" si="112"/>
        <v>BLDP</v>
      </c>
      <c r="F1405" s="253">
        <v>1.9129</v>
      </c>
      <c r="G1405" s="253">
        <v>0.36630000000000001</v>
      </c>
      <c r="H1405" s="253">
        <v>0.36909999999999998</v>
      </c>
      <c r="I1405" s="253">
        <v>0.33560000000000001</v>
      </c>
      <c r="J1405" s="253">
        <v>0.33679999999999999</v>
      </c>
      <c r="K1405" s="253">
        <v>0.33829999999999999</v>
      </c>
      <c r="L1405" s="253">
        <v>0.33450000000000002</v>
      </c>
      <c r="M1405" s="253">
        <v>0.34010000000000001</v>
      </c>
      <c r="N1405" s="253">
        <v>0.34010000000000001</v>
      </c>
      <c r="O1405" s="253">
        <v>0.31490000000000001</v>
      </c>
      <c r="P1405" s="253">
        <v>0.32850000000000001</v>
      </c>
      <c r="Q1405" s="253">
        <v>0.32579999999999998</v>
      </c>
      <c r="R1405" s="253">
        <v>0.33</v>
      </c>
      <c r="S1405" s="253">
        <v>0.32929999999999998</v>
      </c>
      <c r="T1405" s="253">
        <v>0.32929999999999998</v>
      </c>
      <c r="U1405" s="253">
        <v>0.3387</v>
      </c>
      <c r="V1405" s="253">
        <v>0.33910000000000001</v>
      </c>
      <c r="W1405" s="253">
        <v>0.33910000000000001</v>
      </c>
      <c r="X1405" s="253">
        <v>0.33910000000000001</v>
      </c>
      <c r="Y1405" s="253">
        <v>0.33910000000000001</v>
      </c>
      <c r="Z1405" s="247">
        <f ca="1">[1]ExtEntry!$R10</f>
        <v>1.75</v>
      </c>
      <c r="AB1405" s="320">
        <v>43278.399999999994</v>
      </c>
      <c r="AC1405" s="320"/>
      <c r="AD1405" s="320"/>
      <c r="AE1405" s="320"/>
      <c r="AF1405" s="320"/>
      <c r="AG1405" s="320"/>
      <c r="AH1405" s="320"/>
      <c r="AI1405" s="320"/>
      <c r="AJ1405" s="320"/>
      <c r="AK1405" s="320"/>
      <c r="AL1405" s="320"/>
      <c r="AM1405" s="320"/>
      <c r="AN1405" s="320"/>
      <c r="AO1405" s="320"/>
      <c r="AP1405" s="320"/>
      <c r="AQ1405" s="320"/>
      <c r="AR1405" s="320"/>
      <c r="AS1405" s="320"/>
      <c r="AT1405" s="320"/>
      <c r="AU1405" s="320"/>
      <c r="AV1405" s="320">
        <f ca="1">IF(_xlfn.XLOOKUP(A1405,TabCalc[Ticker],ListExtra_n)&gt;0,             _xlfn.XLOOKUP(A1405,TabCalc[Ticker],ListExtra_n)*_xlfn.XLOOKUP(A1405,TabTRADER[ClickTick],TabTRADER[M])*_xlfn.XLOOKUP(A1405,TabCalc[Ticker],ListScale),               "")</f>
        <v>34400</v>
      </c>
      <c r="AX1405" s="88" t="str">
        <f t="shared" ca="1" si="109"/>
        <v>BLDP</v>
      </c>
      <c r="BQ1405" t="s">
        <v>1016</v>
      </c>
      <c r="BR1405" t="s">
        <v>2214</v>
      </c>
    </row>
    <row r="1406" spans="1:70" hidden="1">
      <c r="A1406" s="88" t="str">
        <f t="shared" ca="1" si="112"/>
        <v>BMRA</v>
      </c>
      <c r="F1406" s="253">
        <v>0.34289999999999998</v>
      </c>
      <c r="G1406" s="253">
        <v>1.9166000000000001</v>
      </c>
      <c r="H1406" s="253">
        <v>1.9313</v>
      </c>
      <c r="I1406" s="253">
        <v>1.9811000000000001</v>
      </c>
      <c r="J1406" s="253">
        <v>1.97</v>
      </c>
      <c r="K1406" s="253">
        <v>1.9951000000000001</v>
      </c>
      <c r="L1406" s="253">
        <v>2.0030999999999999</v>
      </c>
      <c r="M1406" s="253">
        <v>1.9772000000000001</v>
      </c>
      <c r="N1406" s="253">
        <v>1.9772000000000001</v>
      </c>
      <c r="O1406" s="253">
        <v>1.9704999999999999</v>
      </c>
      <c r="P1406" s="253">
        <v>1.9704999999999999</v>
      </c>
      <c r="Q1406" s="253">
        <v>1.8653</v>
      </c>
      <c r="R1406" s="253">
        <v>1.9767999999999999</v>
      </c>
      <c r="S1406" s="253">
        <v>1.9931000000000001</v>
      </c>
      <c r="T1406" s="253">
        <v>1.9931000000000001</v>
      </c>
      <c r="U1406" s="253">
        <v>1.9383999999999999</v>
      </c>
      <c r="V1406" s="253">
        <v>1.9851000000000001</v>
      </c>
      <c r="W1406" s="253">
        <v>1.9851000000000001</v>
      </c>
      <c r="X1406" s="253">
        <v>1.9228000000000001</v>
      </c>
      <c r="Y1406" s="253">
        <v>1.9228000000000001</v>
      </c>
      <c r="Z1406" s="247">
        <f ca="1">[1]ExtEntry!$R11</f>
        <v>0.27429999999999999</v>
      </c>
      <c r="AB1406" s="320"/>
      <c r="AC1406" s="320">
        <v>43520</v>
      </c>
      <c r="AD1406" s="320">
        <v>47360</v>
      </c>
      <c r="AE1406" s="320">
        <v>45920</v>
      </c>
      <c r="AF1406" s="320">
        <v>56480</v>
      </c>
      <c r="AG1406" s="320">
        <v>58080</v>
      </c>
      <c r="AH1406" s="320">
        <v>57760</v>
      </c>
      <c r="AI1406" s="320">
        <v>57440</v>
      </c>
      <c r="AJ1406" s="320">
        <v>57440</v>
      </c>
      <c r="AK1406" s="320">
        <v>34900</v>
      </c>
      <c r="AL1406" s="320">
        <v>39800</v>
      </c>
      <c r="AM1406" s="320">
        <v>37750</v>
      </c>
      <c r="AN1406" s="320">
        <v>36700</v>
      </c>
      <c r="AO1406" s="320">
        <v>36300</v>
      </c>
      <c r="AP1406" s="320">
        <v>36400</v>
      </c>
      <c r="AQ1406" s="320">
        <v>33300</v>
      </c>
      <c r="AR1406" s="320">
        <v>32800</v>
      </c>
      <c r="AS1406" s="320">
        <v>32800</v>
      </c>
      <c r="AT1406" s="320">
        <v>32800</v>
      </c>
      <c r="AU1406" s="320">
        <v>34400</v>
      </c>
      <c r="AV1406" s="320" t="str">
        <f ca="1">IF(_xlfn.XLOOKUP(A1406,TabCalc[Ticker],ListExtra_n)&gt;0,             _xlfn.XLOOKUP(A1406,TabCalc[Ticker],ListExtra_n)*_xlfn.XLOOKUP(A1406,TabTRADER[ClickTick],TabTRADER[M])*_xlfn.XLOOKUP(A1406,TabCalc[Ticker],ListScale),               "")</f>
        <v/>
      </c>
      <c r="AX1406" s="88" t="str">
        <f t="shared" ca="1" si="109"/>
        <v>BMRA</v>
      </c>
      <c r="BR1406" t="s">
        <v>2215</v>
      </c>
    </row>
    <row r="1407" spans="1:70" hidden="1">
      <c r="A1407" s="88" t="str">
        <f t="shared" ca="1" si="112"/>
        <v>C</v>
      </c>
      <c r="F1407" s="253">
        <v>1.3613</v>
      </c>
      <c r="G1407" s="253">
        <v>0.33879999999999999</v>
      </c>
      <c r="H1407" s="253">
        <v>0.33500000000000002</v>
      </c>
      <c r="I1407" s="253">
        <v>0.27550000000000002</v>
      </c>
      <c r="J1407" s="253">
        <v>0.2772</v>
      </c>
      <c r="K1407" s="253">
        <v>0.27460000000000001</v>
      </c>
      <c r="L1407" s="253">
        <v>0.27510000000000001</v>
      </c>
      <c r="M1407" s="253">
        <v>0.2762</v>
      </c>
      <c r="N1407" s="253">
        <v>0.2762</v>
      </c>
      <c r="O1407" s="253">
        <v>0.26819999999999999</v>
      </c>
      <c r="P1407" s="253">
        <v>0.27460000000000001</v>
      </c>
      <c r="Q1407" s="253">
        <v>0.2697</v>
      </c>
      <c r="R1407" s="253">
        <v>0.27229999999999999</v>
      </c>
      <c r="S1407" s="253">
        <v>0.2661</v>
      </c>
      <c r="T1407" s="253">
        <v>0.2661</v>
      </c>
      <c r="U1407" s="253">
        <v>0.27079999999999999</v>
      </c>
      <c r="V1407" s="253">
        <v>0.26950000000000002</v>
      </c>
      <c r="W1407" s="253">
        <v>0.26950000000000002</v>
      </c>
      <c r="X1407" s="253">
        <v>0.26950000000000002</v>
      </c>
      <c r="Y1407" s="253">
        <v>0.26950000000000002</v>
      </c>
      <c r="Z1407" s="247">
        <f ca="1">[1]ExtEntry!$R12</f>
        <v>1.3595999999999999</v>
      </c>
      <c r="AB1407" s="320"/>
      <c r="AC1407" s="320"/>
      <c r="AD1407" s="320"/>
      <c r="AE1407" s="320"/>
      <c r="AF1407" s="320"/>
      <c r="AG1407" s="320"/>
      <c r="AH1407" s="320"/>
      <c r="AI1407" s="320"/>
      <c r="AJ1407" s="320"/>
      <c r="AK1407" s="320"/>
      <c r="AL1407" s="320"/>
      <c r="AM1407" s="320"/>
      <c r="AN1407" s="320"/>
      <c r="AO1407" s="320"/>
      <c r="AP1407" s="320"/>
      <c r="AQ1407" s="320"/>
      <c r="AR1407" s="320"/>
      <c r="AS1407" s="320"/>
      <c r="AT1407" s="320"/>
      <c r="AU1407" s="320"/>
      <c r="AV1407" s="320" t="str">
        <f ca="1">IF(_xlfn.XLOOKUP(A1407,TabCalc[Ticker],ListExtra_n)&gt;0,             _xlfn.XLOOKUP(A1407,TabCalc[Ticker],ListExtra_n)*_xlfn.XLOOKUP(A1407,TabTRADER[ClickTick],TabTRADER[M])*_xlfn.XLOOKUP(A1407,TabCalc[Ticker],ListScale),               "")</f>
        <v/>
      </c>
      <c r="AX1407" s="88" t="str">
        <f t="shared" ca="1" si="109"/>
        <v>C</v>
      </c>
      <c r="BR1407" t="s">
        <v>2147</v>
      </c>
    </row>
    <row r="1408" spans="1:70" hidden="1">
      <c r="A1408" s="88" t="str">
        <f t="shared" ca="1" si="112"/>
        <v>CSCO</v>
      </c>
      <c r="F1408" s="253">
        <v>0.96750000000000003</v>
      </c>
      <c r="G1408" s="253">
        <v>1.361</v>
      </c>
      <c r="H1408" s="253">
        <v>1.3575999999999999</v>
      </c>
      <c r="I1408" s="253">
        <v>1.3592</v>
      </c>
      <c r="J1408" s="253">
        <v>1.3601000000000001</v>
      </c>
      <c r="K1408" s="253">
        <v>1.3586</v>
      </c>
      <c r="L1408" s="253">
        <v>1.3597999999999999</v>
      </c>
      <c r="M1408" s="253">
        <v>1.3583000000000001</v>
      </c>
      <c r="N1408" s="253">
        <v>1.3583000000000001</v>
      </c>
      <c r="O1408" s="253">
        <v>1.3695999999999999</v>
      </c>
      <c r="P1408" s="253">
        <v>1.3635999999999999</v>
      </c>
      <c r="Q1408" s="253">
        <v>1.3579000000000001</v>
      </c>
      <c r="R1408" s="253">
        <v>1.3584000000000001</v>
      </c>
      <c r="S1408" s="253">
        <v>1.3620000000000001</v>
      </c>
      <c r="T1408" s="253">
        <v>1.3620000000000001</v>
      </c>
      <c r="U1408" s="253">
        <v>1.3582000000000001</v>
      </c>
      <c r="V1408" s="253">
        <v>1.3587</v>
      </c>
      <c r="W1408" s="253">
        <v>1.3587</v>
      </c>
      <c r="X1408" s="253">
        <v>1.3587</v>
      </c>
      <c r="Y1408" s="253">
        <v>1.3587</v>
      </c>
      <c r="Z1408" s="247">
        <f ca="1">[1]ExtEntry!$R13</f>
        <v>0.94450000000000001</v>
      </c>
      <c r="AB1408" s="320"/>
      <c r="AC1408" s="320"/>
      <c r="AD1408" s="320"/>
      <c r="AE1408" s="320"/>
      <c r="AF1408" s="320"/>
      <c r="AG1408" s="320"/>
      <c r="AH1408" s="320"/>
      <c r="AI1408" s="320"/>
      <c r="AJ1408" s="320"/>
      <c r="AK1408" s="320"/>
      <c r="AL1408" s="320"/>
      <c r="AM1408" s="320"/>
      <c r="AN1408" s="320"/>
      <c r="AO1408" s="320"/>
      <c r="AP1408" s="320"/>
      <c r="AQ1408" s="320"/>
      <c r="AR1408" s="320"/>
      <c r="AS1408" s="320"/>
      <c r="AT1408" s="320"/>
      <c r="AU1408" s="320"/>
      <c r="AV1408" s="320" t="str">
        <f ca="1">IF(_xlfn.XLOOKUP(A1408,TabCalc[Ticker],ListExtra_n)&gt;0,             _xlfn.XLOOKUP(A1408,TabCalc[Ticker],ListExtra_n)*_xlfn.XLOOKUP(A1408,TabTRADER[ClickTick],TabTRADER[M])*_xlfn.XLOOKUP(A1408,TabCalc[Ticker],ListScale),               "")</f>
        <v/>
      </c>
      <c r="AX1408" s="88" t="str">
        <f t="shared" ca="1" si="109"/>
        <v>CSCO</v>
      </c>
    </row>
    <row r="1409" spans="1:50" hidden="1">
      <c r="A1409" s="88" t="str">
        <f t="shared" ca="1" si="112"/>
        <v>CVS</v>
      </c>
      <c r="F1409" s="253">
        <v>0.61060000000000003</v>
      </c>
      <c r="G1409" s="253">
        <v>0.96699999999999997</v>
      </c>
      <c r="H1409" s="253">
        <v>0.96640000000000004</v>
      </c>
      <c r="I1409" s="253">
        <v>0.94569999999999999</v>
      </c>
      <c r="J1409" s="253">
        <v>0.94620000000000004</v>
      </c>
      <c r="K1409" s="253">
        <v>0.94579999999999997</v>
      </c>
      <c r="L1409" s="253">
        <v>0.94550000000000001</v>
      </c>
      <c r="M1409" s="253">
        <v>0.94530000000000003</v>
      </c>
      <c r="N1409" s="253">
        <v>0.94530000000000003</v>
      </c>
      <c r="O1409" s="253">
        <v>0.94269999999999998</v>
      </c>
      <c r="P1409" s="253">
        <v>0.94720000000000004</v>
      </c>
      <c r="Q1409" s="253">
        <v>0.94430000000000003</v>
      </c>
      <c r="R1409" s="253">
        <v>0.94350000000000001</v>
      </c>
      <c r="S1409" s="253">
        <v>0.94199999999999995</v>
      </c>
      <c r="T1409" s="253">
        <v>0.94199999999999995</v>
      </c>
      <c r="U1409" s="253">
        <v>0.94450000000000001</v>
      </c>
      <c r="V1409" s="253">
        <v>0.94440000000000002</v>
      </c>
      <c r="W1409" s="253">
        <v>0.94440000000000002</v>
      </c>
      <c r="X1409" s="253">
        <v>0.94440000000000002</v>
      </c>
      <c r="Y1409" s="253">
        <v>0.94440000000000002</v>
      </c>
      <c r="Z1409" s="247">
        <f ca="1">[1]ExtEntry!$R14</f>
        <v>0.5978</v>
      </c>
      <c r="AB1409" s="320"/>
      <c r="AC1409" s="320"/>
      <c r="AD1409" s="320"/>
      <c r="AE1409" s="320"/>
      <c r="AF1409" s="320"/>
      <c r="AG1409" s="320"/>
      <c r="AH1409" s="320"/>
      <c r="AI1409" s="320"/>
      <c r="AJ1409" s="320"/>
      <c r="AK1409" s="320"/>
      <c r="AL1409" s="320"/>
      <c r="AM1409" s="320"/>
      <c r="AN1409" s="320"/>
      <c r="AO1409" s="320"/>
      <c r="AP1409" s="320"/>
      <c r="AQ1409" s="320"/>
      <c r="AR1409" s="320"/>
      <c r="AS1409" s="320"/>
      <c r="AT1409" s="320"/>
      <c r="AU1409" s="320"/>
      <c r="AV1409" s="320" t="str">
        <f ca="1">IF(_xlfn.XLOOKUP(A1409,TabCalc[Ticker],ListExtra_n)&gt;0,             _xlfn.XLOOKUP(A1409,TabCalc[Ticker],ListExtra_n)*_xlfn.XLOOKUP(A1409,TabTRADER[ClickTick],TabTRADER[M])*_xlfn.XLOOKUP(A1409,TabCalc[Ticker],ListScale),               "")</f>
        <v/>
      </c>
      <c r="AX1409" s="88" t="str">
        <f t="shared" ca="1" si="109"/>
        <v>CVS</v>
      </c>
    </row>
    <row r="1410" spans="1:50" hidden="1">
      <c r="A1410" s="88" t="str">
        <f t="shared" ca="1" si="112"/>
        <v>DDD</v>
      </c>
      <c r="F1410" s="253">
        <v>2.1194999999999999</v>
      </c>
      <c r="G1410" s="253">
        <v>0.61029999999999995</v>
      </c>
      <c r="H1410" s="253">
        <v>0.60980000000000001</v>
      </c>
      <c r="I1410" s="253">
        <v>0.60070000000000001</v>
      </c>
      <c r="J1410" s="253">
        <v>0.60019999999999996</v>
      </c>
      <c r="K1410" s="253">
        <v>0.60140000000000005</v>
      </c>
      <c r="L1410" s="253">
        <v>0.60050000000000003</v>
      </c>
      <c r="M1410" s="253">
        <v>0.60160000000000002</v>
      </c>
      <c r="N1410" s="253">
        <v>0.60160000000000002</v>
      </c>
      <c r="O1410" s="253">
        <v>0.59</v>
      </c>
      <c r="P1410" s="253">
        <v>0.59570000000000001</v>
      </c>
      <c r="Q1410" s="253">
        <v>0.59240000000000004</v>
      </c>
      <c r="R1410" s="253">
        <v>0.59289999999999998</v>
      </c>
      <c r="S1410" s="253">
        <v>0.58889999999999998</v>
      </c>
      <c r="T1410" s="253">
        <v>0.58889999999999998</v>
      </c>
      <c r="U1410" s="253">
        <v>0.59750000000000003</v>
      </c>
      <c r="V1410" s="253">
        <v>0.59709999999999996</v>
      </c>
      <c r="W1410" s="253">
        <v>0.59709999999999996</v>
      </c>
      <c r="X1410" s="253">
        <v>0.59709999999999996</v>
      </c>
      <c r="Y1410" s="253">
        <v>0.59709999999999996</v>
      </c>
      <c r="Z1410" s="247">
        <f ca="1">[1]ExtEntry!$R15</f>
        <v>2.1852999999999998</v>
      </c>
      <c r="AB1410" s="320">
        <v>178200</v>
      </c>
      <c r="AC1410" s="320"/>
      <c r="AD1410" s="320"/>
      <c r="AE1410" s="320"/>
      <c r="AF1410" s="320"/>
      <c r="AG1410" s="320"/>
      <c r="AH1410" s="320"/>
      <c r="AI1410" s="320"/>
      <c r="AJ1410" s="320"/>
      <c r="AK1410" s="320"/>
      <c r="AL1410" s="320"/>
      <c r="AM1410" s="320"/>
      <c r="AN1410" s="320"/>
      <c r="AO1410" s="320"/>
      <c r="AP1410" s="320"/>
      <c r="AQ1410" s="320"/>
      <c r="AR1410" s="320"/>
      <c r="AS1410" s="320"/>
      <c r="AT1410" s="320"/>
      <c r="AU1410" s="320"/>
      <c r="AV1410" s="320">
        <f ca="1">IF(_xlfn.XLOOKUP(A1410,TabCalc[Ticker],ListExtra_n)&gt;0,             _xlfn.XLOOKUP(A1410,TabCalc[Ticker],ListExtra_n)*_xlfn.XLOOKUP(A1410,TabTRADER[ClickTick],TabTRADER[M])*_xlfn.XLOOKUP(A1410,TabCalc[Ticker],ListScale),               "")</f>
        <v>140850</v>
      </c>
      <c r="AX1410" s="88" t="str">
        <f t="shared" ca="1" si="109"/>
        <v>DDD</v>
      </c>
    </row>
    <row r="1411" spans="1:50" hidden="1">
      <c r="A1411" s="88" t="str">
        <f t="shared" ca="1" si="112"/>
        <v>DIS</v>
      </c>
      <c r="F1411" s="253">
        <v>1.5461</v>
      </c>
      <c r="G1411" s="253">
        <v>2.1150000000000002</v>
      </c>
      <c r="H1411" s="253">
        <v>2.1158000000000001</v>
      </c>
      <c r="I1411" s="253">
        <v>2.1880000000000002</v>
      </c>
      <c r="J1411" s="253">
        <v>2.1848999999999998</v>
      </c>
      <c r="K1411" s="253">
        <v>2.1829999999999998</v>
      </c>
      <c r="L1411" s="253">
        <v>2.1808999999999998</v>
      </c>
      <c r="M1411" s="253">
        <v>2.1838000000000002</v>
      </c>
      <c r="N1411" s="253">
        <v>2.1838000000000002</v>
      </c>
      <c r="O1411" s="253">
        <v>2.1762999999999999</v>
      </c>
      <c r="P1411" s="253">
        <v>2.1745000000000001</v>
      </c>
      <c r="Q1411" s="253">
        <v>2.1745999999999999</v>
      </c>
      <c r="R1411" s="253">
        <v>2.1697000000000002</v>
      </c>
      <c r="S1411" s="253">
        <v>2.1758000000000002</v>
      </c>
      <c r="T1411" s="253">
        <v>2.1758000000000002</v>
      </c>
      <c r="U1411" s="253">
        <v>2.1718000000000002</v>
      </c>
      <c r="V1411" s="253">
        <v>2.1789000000000001</v>
      </c>
      <c r="W1411" s="253">
        <v>2.1789000000000001</v>
      </c>
      <c r="X1411" s="253">
        <v>2.1789000000000001</v>
      </c>
      <c r="Y1411" s="253">
        <v>2.1789000000000001</v>
      </c>
      <c r="Z1411" s="247">
        <f ca="1">[1]ExtEntry!$R16</f>
        <v>1.5541</v>
      </c>
      <c r="AB1411" s="320">
        <v>74291.75</v>
      </c>
      <c r="AC1411" s="320">
        <v>174000</v>
      </c>
      <c r="AD1411" s="320">
        <v>171900</v>
      </c>
      <c r="AE1411" s="320">
        <v>179700</v>
      </c>
      <c r="AF1411" s="320">
        <v>187200</v>
      </c>
      <c r="AG1411" s="320">
        <v>172425</v>
      </c>
      <c r="AH1411" s="320">
        <v>146025</v>
      </c>
      <c r="AI1411" s="320">
        <v>143100</v>
      </c>
      <c r="AJ1411" s="320">
        <v>143100</v>
      </c>
      <c r="AK1411" s="320">
        <v>139950</v>
      </c>
      <c r="AL1411" s="320">
        <v>138600</v>
      </c>
      <c r="AM1411" s="320">
        <v>146250</v>
      </c>
      <c r="AN1411" s="320">
        <v>146700</v>
      </c>
      <c r="AO1411" s="320">
        <v>139950</v>
      </c>
      <c r="AP1411" s="320">
        <v>170325</v>
      </c>
      <c r="AQ1411" s="320">
        <v>151650</v>
      </c>
      <c r="AR1411" s="320">
        <v>135225</v>
      </c>
      <c r="AS1411" s="320">
        <v>135225</v>
      </c>
      <c r="AT1411" s="320">
        <v>138375</v>
      </c>
      <c r="AU1411" s="320">
        <v>140625</v>
      </c>
      <c r="AV1411" s="320">
        <f ca="1">IF(_xlfn.XLOOKUP(A1411,TabCalc[Ticker],ListExtra_n)&gt;0,             _xlfn.XLOOKUP(A1411,TabCalc[Ticker],ListExtra_n)*_xlfn.XLOOKUP(A1411,TabTRADER[ClickTick],TabTRADER[M])*_xlfn.XLOOKUP(A1411,TabCalc[Ticker],ListScale),               "")</f>
        <v>72592</v>
      </c>
      <c r="AX1411" s="88" t="str">
        <f t="shared" ca="1" si="109"/>
        <v>DIS</v>
      </c>
    </row>
    <row r="1412" spans="1:50" hidden="1">
      <c r="A1412" s="88" t="str">
        <f t="shared" ca="1" si="112"/>
        <v>DSY</v>
      </c>
      <c r="F1412" s="253">
        <v>0.68710000000000004</v>
      </c>
      <c r="G1412" s="253">
        <v>1.5456000000000001</v>
      </c>
      <c r="H1412" s="253">
        <v>1.5418000000000001</v>
      </c>
      <c r="I1412" s="253">
        <v>1.554</v>
      </c>
      <c r="J1412" s="253">
        <v>1.5546</v>
      </c>
      <c r="K1412" s="253">
        <v>1.5543</v>
      </c>
      <c r="L1412" s="253">
        <v>1.5543</v>
      </c>
      <c r="M1412" s="253">
        <v>1.5544</v>
      </c>
      <c r="N1412" s="253">
        <v>1.5544</v>
      </c>
      <c r="O1412" s="253">
        <v>1.5532999999999999</v>
      </c>
      <c r="P1412" s="253">
        <v>1.5557000000000001</v>
      </c>
      <c r="Q1412" s="253">
        <v>1.5542</v>
      </c>
      <c r="R1412" s="253">
        <v>1.5543</v>
      </c>
      <c r="S1412" s="253">
        <v>1.5552999999999999</v>
      </c>
      <c r="T1412" s="253">
        <v>1.5552999999999999</v>
      </c>
      <c r="U1412" s="253">
        <v>1.5546</v>
      </c>
      <c r="V1412" s="253">
        <v>1.5536000000000001</v>
      </c>
      <c r="W1412" s="253">
        <v>1.5536000000000001</v>
      </c>
      <c r="X1412" s="253">
        <v>1.5536000000000001</v>
      </c>
      <c r="Y1412" s="253">
        <v>1.5536000000000001</v>
      </c>
      <c r="Z1412" s="247">
        <f ca="1">[1]ExtEntry!$R17</f>
        <v>0.68200000000000005</v>
      </c>
      <c r="AB1412" s="320">
        <v>162782.5</v>
      </c>
      <c r="AC1412" s="320">
        <v>74412</v>
      </c>
      <c r="AD1412" s="320">
        <v>73407.75</v>
      </c>
      <c r="AE1412" s="320">
        <v>72904</v>
      </c>
      <c r="AF1412" s="320">
        <v>73118.5</v>
      </c>
      <c r="AG1412" s="320">
        <v>73170.5</v>
      </c>
      <c r="AH1412" s="320">
        <v>72728.5</v>
      </c>
      <c r="AI1412" s="320">
        <v>72143.5</v>
      </c>
      <c r="AJ1412" s="320">
        <v>72143.5</v>
      </c>
      <c r="AK1412" s="320">
        <v>71688.5</v>
      </c>
      <c r="AL1412" s="320">
        <v>72257.25</v>
      </c>
      <c r="AM1412" s="320">
        <v>72803.25</v>
      </c>
      <c r="AN1412" s="320">
        <v>71431.75</v>
      </c>
      <c r="AO1412" s="320">
        <v>71935.5</v>
      </c>
      <c r="AP1412" s="320">
        <v>72787</v>
      </c>
      <c r="AQ1412" s="320">
        <v>74301.5</v>
      </c>
      <c r="AR1412" s="320">
        <v>73515</v>
      </c>
      <c r="AS1412" s="320">
        <v>73515</v>
      </c>
      <c r="AT1412" s="320">
        <v>73463</v>
      </c>
      <c r="AU1412" s="320">
        <v>72585.5</v>
      </c>
      <c r="AV1412" s="320">
        <f ca="1">IF(_xlfn.XLOOKUP(A1412,TabCalc[Ticker],ListExtra_n)&gt;0,             _xlfn.XLOOKUP(A1412,TabCalc[Ticker],ListExtra_n)*_xlfn.XLOOKUP(A1412,TabTRADER[ClickTick],TabTRADER[M])*_xlfn.XLOOKUP(A1412,TabCalc[Ticker],ListScale),               "")</f>
        <v>96337.5</v>
      </c>
      <c r="AX1412" s="88" t="str">
        <f t="shared" ca="1" si="109"/>
        <v>DSY</v>
      </c>
    </row>
    <row r="1413" spans="1:50" hidden="1">
      <c r="A1413" s="88" t="str">
        <f t="shared" ca="1" si="112"/>
        <v>DVA</v>
      </c>
      <c r="F1413" s="253">
        <v>1.1275999999999999</v>
      </c>
      <c r="G1413" s="253">
        <v>0.69110000000000005</v>
      </c>
      <c r="H1413" s="253">
        <v>0.69230000000000003</v>
      </c>
      <c r="I1413" s="253">
        <v>0.67410000000000003</v>
      </c>
      <c r="J1413" s="253">
        <v>0.67379999999999995</v>
      </c>
      <c r="K1413" s="253">
        <v>0.6754</v>
      </c>
      <c r="L1413" s="253">
        <v>0.67400000000000004</v>
      </c>
      <c r="M1413" s="253">
        <v>0.67410000000000003</v>
      </c>
      <c r="N1413" s="253">
        <v>0.67410000000000003</v>
      </c>
      <c r="O1413" s="253">
        <v>0.67359999999999998</v>
      </c>
      <c r="P1413" s="253">
        <v>0.67330000000000001</v>
      </c>
      <c r="Q1413" s="253">
        <v>0.67420000000000002</v>
      </c>
      <c r="R1413" s="253">
        <v>0.67320000000000002</v>
      </c>
      <c r="S1413" s="253">
        <v>0.67569999999999997</v>
      </c>
      <c r="T1413" s="253">
        <v>0.67569999999999997</v>
      </c>
      <c r="U1413" s="253">
        <v>0.67879999999999996</v>
      </c>
      <c r="V1413" s="253">
        <v>0.68259999999999998</v>
      </c>
      <c r="W1413" s="253">
        <v>0.68259999999999998</v>
      </c>
      <c r="X1413" s="253">
        <v>0.68330000000000002</v>
      </c>
      <c r="Y1413" s="253">
        <v>0.68330000000000002</v>
      </c>
      <c r="Z1413" s="247">
        <f ca="1">[1]ExtEntry!$R18</f>
        <v>1.1395999999999999</v>
      </c>
      <c r="AB1413" s="320"/>
      <c r="AC1413" s="320">
        <v>163932.5</v>
      </c>
      <c r="AD1413" s="320">
        <v>163645</v>
      </c>
      <c r="AE1413" s="320">
        <v>168877.5</v>
      </c>
      <c r="AF1413" s="320">
        <v>167842.5</v>
      </c>
      <c r="AG1413" s="320">
        <v>167037.5</v>
      </c>
      <c r="AH1413" s="320">
        <v>107887.5</v>
      </c>
      <c r="AI1413" s="320">
        <v>108487.5</v>
      </c>
      <c r="AJ1413" s="320">
        <v>110100</v>
      </c>
      <c r="AK1413" s="320">
        <v>108037.5</v>
      </c>
      <c r="AL1413" s="320">
        <v>106312.5</v>
      </c>
      <c r="AM1413" s="320">
        <v>108300</v>
      </c>
      <c r="AN1413" s="320">
        <v>110175</v>
      </c>
      <c r="AO1413" s="320">
        <v>109987.5</v>
      </c>
      <c r="AP1413" s="320">
        <v>111675</v>
      </c>
      <c r="AQ1413" s="320">
        <v>113512.5</v>
      </c>
      <c r="AR1413" s="320">
        <v>112950</v>
      </c>
      <c r="AS1413" s="320">
        <v>112950</v>
      </c>
      <c r="AT1413" s="320">
        <v>98287.5</v>
      </c>
      <c r="AU1413" s="320">
        <v>96337.5</v>
      </c>
      <c r="AV1413" s="320">
        <f ca="1">IF(_xlfn.XLOOKUP(A1413,TabCalc[Ticker],ListExtra_n)&gt;0,             _xlfn.XLOOKUP(A1413,TabCalc[Ticker],ListExtra_n)*_xlfn.XLOOKUP(A1413,TabTRADER[ClickTick],TabTRADER[M])*_xlfn.XLOOKUP(A1413,TabCalc[Ticker],ListScale),               "")</f>
        <v>51676</v>
      </c>
      <c r="AX1413" s="88" t="str">
        <f t="shared" ca="1" si="109"/>
        <v>DVA</v>
      </c>
    </row>
    <row r="1414" spans="1:50" hidden="1">
      <c r="A1414" s="88" t="str">
        <f t="shared" ca="1" si="112"/>
        <v>DXC</v>
      </c>
      <c r="F1414" s="253">
        <v>1.1355</v>
      </c>
      <c r="G1414" s="253">
        <v>1.1251</v>
      </c>
      <c r="H1414" s="253">
        <v>1.1244000000000001</v>
      </c>
      <c r="I1414" s="253">
        <v>1.1379999999999999</v>
      </c>
      <c r="J1414" s="253">
        <v>1.1384000000000001</v>
      </c>
      <c r="K1414" s="253">
        <v>1.1396999999999999</v>
      </c>
      <c r="L1414" s="253">
        <v>1.139</v>
      </c>
      <c r="M1414" s="253">
        <v>1.1392</v>
      </c>
      <c r="N1414" s="253">
        <v>1.1392</v>
      </c>
      <c r="O1414" s="253">
        <v>1.1489</v>
      </c>
      <c r="P1414" s="253">
        <v>1.1466000000000001</v>
      </c>
      <c r="Q1414" s="253">
        <v>1.1437999999999999</v>
      </c>
      <c r="R1414" s="253">
        <v>1.1437999999999999</v>
      </c>
      <c r="S1414" s="253">
        <v>1.1440999999999999</v>
      </c>
      <c r="T1414" s="253">
        <v>1.1440999999999999</v>
      </c>
      <c r="U1414" s="253">
        <v>1.1399999999999999</v>
      </c>
      <c r="V1414" s="253">
        <v>1.1397999999999999</v>
      </c>
      <c r="W1414" s="253">
        <v>1.1397999999999999</v>
      </c>
      <c r="X1414" s="253">
        <v>1.1397999999999999</v>
      </c>
      <c r="Y1414" s="253">
        <v>1.1397999999999999</v>
      </c>
      <c r="Z1414" s="247">
        <f ca="1">[1]ExtEntry!$R19</f>
        <v>1.1529</v>
      </c>
      <c r="AB1414" s="320">
        <v>56629.025000000001</v>
      </c>
      <c r="AC1414" s="320"/>
      <c r="AD1414" s="320"/>
      <c r="AE1414" s="320"/>
      <c r="AF1414" s="320"/>
      <c r="AG1414" s="320"/>
      <c r="AH1414" s="320"/>
      <c r="AI1414" s="320">
        <v>50532</v>
      </c>
      <c r="AJ1414" s="320">
        <v>50552</v>
      </c>
      <c r="AK1414" s="320">
        <v>49556</v>
      </c>
      <c r="AL1414" s="320">
        <v>50644.799999999996</v>
      </c>
      <c r="AM1414" s="320">
        <v>50710</v>
      </c>
      <c r="AN1414" s="320">
        <v>50100</v>
      </c>
      <c r="AO1414" s="320">
        <v>50352</v>
      </c>
      <c r="AP1414" s="320">
        <v>51220.000000000007</v>
      </c>
      <c r="AQ1414" s="320">
        <v>51364</v>
      </c>
      <c r="AR1414" s="320">
        <v>51632.000000000007</v>
      </c>
      <c r="AS1414" s="320">
        <v>51632.000000000007</v>
      </c>
      <c r="AT1414" s="320">
        <v>51208.000000000007</v>
      </c>
      <c r="AU1414" s="320">
        <v>51676</v>
      </c>
      <c r="AV1414" s="320">
        <f ca="1">IF(_xlfn.XLOOKUP(A1414,TabCalc[Ticker],ListExtra_n)&gt;0,             _xlfn.XLOOKUP(A1414,TabCalc[Ticker],ListExtra_n)*_xlfn.XLOOKUP(A1414,TabTRADER[ClickTick],TabTRADER[M])*_xlfn.XLOOKUP(A1414,TabCalc[Ticker],ListScale),               "")</f>
        <v>55662.939999999995</v>
      </c>
      <c r="AX1414" s="88" t="str">
        <f t="shared" ca="1" si="109"/>
        <v>DXC</v>
      </c>
    </row>
    <row r="1415" spans="1:50" hidden="1">
      <c r="A1415" s="88" t="str">
        <f t="shared" ca="1" si="112"/>
        <v>EOAN</v>
      </c>
      <c r="F1415" s="253">
        <v>0.70030000000000003</v>
      </c>
      <c r="G1415" s="253">
        <v>1.1298999999999999</v>
      </c>
      <c r="H1415" s="253">
        <v>1.1263000000000001</v>
      </c>
      <c r="I1415" s="253">
        <v>1.1499999999999999</v>
      </c>
      <c r="J1415" s="253">
        <v>1.1513</v>
      </c>
      <c r="K1415" s="253">
        <v>1.1516999999999999</v>
      </c>
      <c r="L1415" s="253">
        <v>1.153</v>
      </c>
      <c r="M1415" s="253">
        <v>1.1524000000000001</v>
      </c>
      <c r="N1415" s="253">
        <v>1.1524000000000001</v>
      </c>
      <c r="O1415" s="253">
        <v>1.1563000000000001</v>
      </c>
      <c r="P1415" s="253">
        <v>1.1533</v>
      </c>
      <c r="Q1415" s="253">
        <v>1.1519999999999999</v>
      </c>
      <c r="R1415" s="253">
        <v>1.1546000000000001</v>
      </c>
      <c r="S1415" s="253">
        <v>1.1571</v>
      </c>
      <c r="T1415" s="253">
        <v>1.1571</v>
      </c>
      <c r="U1415" s="253">
        <v>1.1538999999999999</v>
      </c>
      <c r="V1415" s="253">
        <v>1.1529</v>
      </c>
      <c r="W1415" s="253">
        <v>1.1529</v>
      </c>
      <c r="X1415" s="253">
        <v>1.1529</v>
      </c>
      <c r="Y1415" s="253">
        <v>1.1529</v>
      </c>
      <c r="Z1415" s="247">
        <f ca="1">[1]ExtEntry!$R20</f>
        <v>0.72009999999999996</v>
      </c>
      <c r="AB1415" s="320"/>
      <c r="AC1415" s="320">
        <v>56032.93</v>
      </c>
      <c r="AD1415" s="320">
        <v>56711.245000000003</v>
      </c>
      <c r="AE1415" s="320">
        <v>55868.49</v>
      </c>
      <c r="AF1415" s="320">
        <v>56731.8</v>
      </c>
      <c r="AG1415" s="320">
        <v>54594.079999999994</v>
      </c>
      <c r="AH1415" s="320">
        <v>54840.74</v>
      </c>
      <c r="AI1415" s="320">
        <v>55827.38</v>
      </c>
      <c r="AJ1415" s="320">
        <v>55827.38</v>
      </c>
      <c r="AK1415" s="320">
        <v>54367.974999999999</v>
      </c>
      <c r="AL1415" s="320">
        <v>54737.964999999997</v>
      </c>
      <c r="AM1415" s="320">
        <v>53977.43</v>
      </c>
      <c r="AN1415" s="320">
        <v>52703.020000000004</v>
      </c>
      <c r="AO1415" s="320">
        <v>52826.35</v>
      </c>
      <c r="AP1415" s="320">
        <v>53422.445</v>
      </c>
      <c r="AQ1415" s="320">
        <v>54573.525000000001</v>
      </c>
      <c r="AR1415" s="320">
        <v>54552.97</v>
      </c>
      <c r="AS1415" s="320">
        <v>54552.97</v>
      </c>
      <c r="AT1415" s="320">
        <v>54964.07</v>
      </c>
      <c r="AU1415" s="320">
        <v>55662.939999999995</v>
      </c>
      <c r="AV1415" s="320" t="str">
        <f ca="1">IF(_xlfn.XLOOKUP(A1415,TabCalc[Ticker],ListExtra_n)&gt;0,             _xlfn.XLOOKUP(A1415,TabCalc[Ticker],ListExtra_n)*_xlfn.XLOOKUP(A1415,TabTRADER[ClickTick],TabTRADER[M])*_xlfn.XLOOKUP(A1415,TabCalc[Ticker],ListScale),               "")</f>
        <v/>
      </c>
      <c r="AX1415" s="88" t="str">
        <f t="shared" ca="1" si="109"/>
        <v>EOAN</v>
      </c>
    </row>
    <row r="1416" spans="1:50" hidden="1">
      <c r="A1416" s="88" t="str">
        <f t="shared" ca="1" si="112"/>
        <v>EPIX</v>
      </c>
      <c r="F1416" s="253">
        <v>1.5955999999999999</v>
      </c>
      <c r="G1416" s="253">
        <v>0.7056</v>
      </c>
      <c r="H1416" s="253">
        <v>0.7056</v>
      </c>
      <c r="I1416" s="253">
        <v>0.72050000000000003</v>
      </c>
      <c r="J1416" s="253">
        <v>0.72089999999999999</v>
      </c>
      <c r="K1416" s="253">
        <v>0.71989999999999998</v>
      </c>
      <c r="L1416" s="253">
        <v>0.72009999999999996</v>
      </c>
      <c r="M1416" s="253">
        <v>0.72009999999999996</v>
      </c>
      <c r="N1416" s="253">
        <v>0.72009999999999996</v>
      </c>
      <c r="O1416" s="253">
        <v>0.7177</v>
      </c>
      <c r="P1416" s="253">
        <v>0.72060000000000002</v>
      </c>
      <c r="Q1416" s="253">
        <v>0.72050000000000003</v>
      </c>
      <c r="R1416" s="253">
        <v>0.72060000000000002</v>
      </c>
      <c r="S1416" s="253">
        <v>0.72060000000000002</v>
      </c>
      <c r="T1416" s="253">
        <v>0.72060000000000002</v>
      </c>
      <c r="U1416" s="253">
        <v>0.71760000000000002</v>
      </c>
      <c r="V1416" s="253">
        <v>0.72070000000000001</v>
      </c>
      <c r="W1416" s="253">
        <v>0.72070000000000001</v>
      </c>
      <c r="X1416" s="253">
        <v>0.72070000000000001</v>
      </c>
      <c r="Y1416" s="253">
        <v>0.72070000000000001</v>
      </c>
      <c r="Z1416" s="247">
        <f ca="1">[1]ExtEntry!$R21</f>
        <v>1.5513999999999999</v>
      </c>
      <c r="AB1416" s="320">
        <v>2366.5586000000003</v>
      </c>
      <c r="AC1416" s="320"/>
      <c r="AD1416" s="320"/>
      <c r="AE1416" s="320"/>
      <c r="AF1416" s="320"/>
      <c r="AG1416" s="320"/>
      <c r="AH1416" s="320"/>
      <c r="AI1416" s="320"/>
      <c r="AJ1416" s="320"/>
      <c r="AK1416" s="320"/>
      <c r="AL1416" s="320"/>
      <c r="AM1416" s="320"/>
      <c r="AN1416" s="320"/>
      <c r="AO1416" s="320"/>
      <c r="AP1416" s="320"/>
      <c r="AQ1416" s="320"/>
      <c r="AR1416" s="320"/>
      <c r="AS1416" s="320"/>
      <c r="AT1416" s="320"/>
      <c r="AU1416" s="320"/>
      <c r="AV1416" s="320">
        <f ca="1">IF(_xlfn.XLOOKUP(A1416,TabCalc[Ticker],ListExtra_n)&gt;0,             _xlfn.XLOOKUP(A1416,TabCalc[Ticker],ListExtra_n)*_xlfn.XLOOKUP(A1416,TabTRADER[ClickTick],TabTRADER[M])*_xlfn.XLOOKUP(A1416,TabCalc[Ticker],ListScale),               "")</f>
        <v>2477.3755999999998</v>
      </c>
      <c r="AX1416" s="88" t="str">
        <f t="shared" ca="1" si="109"/>
        <v>EPIX</v>
      </c>
    </row>
    <row r="1417" spans="1:50" hidden="1">
      <c r="A1417" s="88" t="str">
        <f t="shared" ca="1" si="112"/>
        <v>GM</v>
      </c>
      <c r="F1417" s="253">
        <v>1.3386</v>
      </c>
      <c r="G1417" s="253">
        <v>1.5857000000000001</v>
      </c>
      <c r="H1417" s="253">
        <v>1.5745</v>
      </c>
      <c r="I1417" s="253">
        <v>1.5464</v>
      </c>
      <c r="J1417" s="253">
        <v>1.5424</v>
      </c>
      <c r="K1417" s="253">
        <v>1.5499000000000001</v>
      </c>
      <c r="L1417" s="253">
        <v>1.5470999999999999</v>
      </c>
      <c r="M1417" s="253">
        <v>1.5513999999999999</v>
      </c>
      <c r="N1417" s="253">
        <v>1.5513999999999999</v>
      </c>
      <c r="O1417" s="253">
        <v>1.5513999999999999</v>
      </c>
      <c r="P1417" s="253">
        <v>1.5513999999999999</v>
      </c>
      <c r="Q1417" s="253">
        <v>1.5513999999999999</v>
      </c>
      <c r="R1417" s="253">
        <v>1.5513999999999999</v>
      </c>
      <c r="S1417" s="253">
        <v>1.5513999999999999</v>
      </c>
      <c r="T1417" s="253">
        <v>1.5513999999999999</v>
      </c>
      <c r="U1417" s="253">
        <v>1.5513999999999999</v>
      </c>
      <c r="V1417" s="253">
        <v>1.5513999999999999</v>
      </c>
      <c r="W1417" s="253">
        <v>1.5513999999999999</v>
      </c>
      <c r="X1417" s="253">
        <v>1.5513999999999999</v>
      </c>
      <c r="Y1417" s="253">
        <v>1.5513999999999999</v>
      </c>
      <c r="Z1417" s="247">
        <f ca="1">[1]ExtEntry!$R22</f>
        <v>1.4</v>
      </c>
      <c r="AB1417" s="320"/>
      <c r="AC1417" s="320">
        <v>2351.7829999999999</v>
      </c>
      <c r="AD1417" s="320">
        <v>2535.2467000000001</v>
      </c>
      <c r="AE1417" s="320">
        <v>2676.8462</v>
      </c>
      <c r="AF1417" s="320">
        <v>2537.7093</v>
      </c>
      <c r="AG1417" s="320">
        <v>2524.165</v>
      </c>
      <c r="AH1417" s="320">
        <v>2477.3755999999998</v>
      </c>
      <c r="AI1417" s="320">
        <v>2477.3755999999998</v>
      </c>
      <c r="AJ1417" s="320">
        <v>2477.3755999999998</v>
      </c>
      <c r="AK1417" s="320">
        <v>2477.3755999999998</v>
      </c>
      <c r="AL1417" s="320">
        <v>2477.3755999999998</v>
      </c>
      <c r="AM1417" s="320">
        <v>2477.3755999999998</v>
      </c>
      <c r="AN1417" s="320">
        <v>2477.3755999999998</v>
      </c>
      <c r="AO1417" s="320">
        <v>2477.3755999999998</v>
      </c>
      <c r="AP1417" s="320">
        <v>2477.3755999999998</v>
      </c>
      <c r="AQ1417" s="320">
        <v>2477.3755999999998</v>
      </c>
      <c r="AR1417" s="320">
        <v>2477.3755999999998</v>
      </c>
      <c r="AS1417" s="320">
        <v>2477.3755999999998</v>
      </c>
      <c r="AT1417" s="320">
        <v>2477.3755999999998</v>
      </c>
      <c r="AU1417" s="320">
        <v>2477.3755999999998</v>
      </c>
      <c r="AV1417" s="320" t="str">
        <f ca="1">IF(_xlfn.XLOOKUP(A1417,TabCalc[Ticker],ListExtra_n)&gt;0,             _xlfn.XLOOKUP(A1417,TabCalc[Ticker],ListExtra_n)*_xlfn.XLOOKUP(A1417,TabTRADER[ClickTick],TabTRADER[M])*_xlfn.XLOOKUP(A1417,TabCalc[Ticker],ListScale),               "")</f>
        <v/>
      </c>
      <c r="AX1417" s="88" t="str">
        <f t="shared" ca="1" si="109"/>
        <v>GM</v>
      </c>
    </row>
    <row r="1418" spans="1:50" hidden="1">
      <c r="A1418" s="88" t="str">
        <f t="shared" ca="1" si="112"/>
        <v>HPE</v>
      </c>
      <c r="F1418" s="253">
        <v>1.4536</v>
      </c>
      <c r="G1418" s="253">
        <v>1.3379000000000001</v>
      </c>
      <c r="H1418" s="253">
        <v>1.3364</v>
      </c>
      <c r="I1418" s="253">
        <v>1.4046000000000001</v>
      </c>
      <c r="J1418" s="253">
        <v>1.4071</v>
      </c>
      <c r="K1418" s="253">
        <v>1.4073</v>
      </c>
      <c r="L1418" s="253">
        <v>1.4097</v>
      </c>
      <c r="M1418" s="253">
        <v>1.4074</v>
      </c>
      <c r="N1418" s="253">
        <v>1.4074</v>
      </c>
      <c r="O1418" s="253">
        <v>1.4211</v>
      </c>
      <c r="P1418" s="253">
        <v>1.4162999999999999</v>
      </c>
      <c r="Q1418" s="253">
        <v>1.4129</v>
      </c>
      <c r="R1418" s="253">
        <v>1.4107000000000001</v>
      </c>
      <c r="S1418" s="253">
        <v>1.4096</v>
      </c>
      <c r="T1418" s="253">
        <v>1.4096</v>
      </c>
      <c r="U1418" s="253">
        <v>1.4077</v>
      </c>
      <c r="V1418" s="253">
        <v>1.4006000000000001</v>
      </c>
      <c r="W1418" s="253">
        <v>1.4006000000000001</v>
      </c>
      <c r="X1418" s="253">
        <v>1.4006000000000001</v>
      </c>
      <c r="Y1418" s="253">
        <v>1.4006000000000001</v>
      </c>
      <c r="Z1418" s="247">
        <f ca="1">[1]ExtEntry!$R23</f>
        <v>1.4478</v>
      </c>
      <c r="AB1418" s="320"/>
      <c r="AC1418" s="320"/>
      <c r="AD1418" s="320"/>
      <c r="AE1418" s="320"/>
      <c r="AF1418" s="320"/>
      <c r="AG1418" s="320"/>
      <c r="AH1418" s="320"/>
      <c r="AI1418" s="320"/>
      <c r="AJ1418" s="320"/>
      <c r="AK1418" s="320"/>
      <c r="AL1418" s="320"/>
      <c r="AM1418" s="320"/>
      <c r="AN1418" s="320"/>
      <c r="AO1418" s="320"/>
      <c r="AP1418" s="320"/>
      <c r="AQ1418" s="320"/>
      <c r="AR1418" s="320"/>
      <c r="AS1418" s="320"/>
      <c r="AT1418" s="320"/>
      <c r="AU1418" s="320"/>
      <c r="AV1418" s="320" t="str">
        <f ca="1">IF(_xlfn.XLOOKUP(A1418,TabCalc[Ticker],ListExtra_n)&gt;0,             _xlfn.XLOOKUP(A1418,TabCalc[Ticker],ListExtra_n)*_xlfn.XLOOKUP(A1418,TabTRADER[ClickTick],TabTRADER[M])*_xlfn.XLOOKUP(A1418,TabCalc[Ticker],ListScale),               "")</f>
        <v/>
      </c>
      <c r="AX1418" s="88" t="str">
        <f t="shared" ca="1" si="109"/>
        <v>HPE</v>
      </c>
    </row>
    <row r="1419" spans="1:50" hidden="1">
      <c r="A1419" s="88" t="str">
        <f t="shared" ca="1" si="112"/>
        <v>HPQ</v>
      </c>
      <c r="F1419" s="253">
        <v>1.3036000000000001</v>
      </c>
      <c r="G1419" s="253">
        <v>1.4543999999999999</v>
      </c>
      <c r="H1419" s="253">
        <v>1.4575</v>
      </c>
      <c r="I1419" s="253">
        <v>1.4435</v>
      </c>
      <c r="J1419" s="253">
        <v>1.4450000000000001</v>
      </c>
      <c r="K1419" s="253">
        <v>1.4442999999999999</v>
      </c>
      <c r="L1419" s="253">
        <v>1.4437</v>
      </c>
      <c r="M1419" s="253">
        <v>1.4428000000000001</v>
      </c>
      <c r="N1419" s="253">
        <v>1.4428000000000001</v>
      </c>
      <c r="O1419" s="253">
        <v>1.4388000000000001</v>
      </c>
      <c r="P1419" s="253">
        <v>1.4419999999999999</v>
      </c>
      <c r="Q1419" s="253">
        <v>1.4401999999999999</v>
      </c>
      <c r="R1419" s="253">
        <v>1.4415</v>
      </c>
      <c r="S1419" s="253">
        <v>1.4527000000000001</v>
      </c>
      <c r="T1419" s="253">
        <v>1.4527000000000001</v>
      </c>
      <c r="U1419" s="253">
        <v>1.4481999999999999</v>
      </c>
      <c r="V1419" s="253">
        <v>1.4474</v>
      </c>
      <c r="W1419" s="253">
        <v>1.4474</v>
      </c>
      <c r="X1419" s="253">
        <v>1.4474</v>
      </c>
      <c r="Y1419" s="253">
        <v>1.4474</v>
      </c>
      <c r="Z1419" s="247">
        <f ca="1">[1]ExtEntry!$R24</f>
        <v>1.2951999999999999</v>
      </c>
      <c r="AB1419" s="320"/>
      <c r="AC1419" s="320"/>
      <c r="AD1419" s="320"/>
      <c r="AE1419" s="320"/>
      <c r="AF1419" s="320"/>
      <c r="AG1419" s="320"/>
      <c r="AH1419" s="320"/>
      <c r="AI1419" s="320"/>
      <c r="AJ1419" s="320"/>
      <c r="AK1419" s="320"/>
      <c r="AL1419" s="320"/>
      <c r="AM1419" s="320"/>
      <c r="AN1419" s="320"/>
      <c r="AO1419" s="320"/>
      <c r="AP1419" s="320"/>
      <c r="AQ1419" s="320"/>
      <c r="AR1419" s="320"/>
      <c r="AS1419" s="320"/>
      <c r="AT1419" s="320"/>
      <c r="AU1419" s="320"/>
      <c r="AV1419" s="320">
        <f ca="1">IF(_xlfn.XLOOKUP(A1419,TabCalc[Ticker],ListExtra_n)&gt;0,             _xlfn.XLOOKUP(A1419,TabCalc[Ticker],ListExtra_n)*_xlfn.XLOOKUP(A1419,TabTRADER[ClickTick],TabTRADER[M])*_xlfn.XLOOKUP(A1419,TabCalc[Ticker],ListScale),               "")</f>
        <v>110640</v>
      </c>
      <c r="AX1419" s="88" t="str">
        <f t="shared" ca="1" si="109"/>
        <v>HPQ</v>
      </c>
    </row>
    <row r="1420" spans="1:50" hidden="1">
      <c r="A1420" s="88" t="str">
        <f t="shared" ca="1" si="112"/>
        <v>IAG</v>
      </c>
      <c r="F1420" s="253">
        <v>2.8018000000000001</v>
      </c>
      <c r="G1420" s="253">
        <v>1.3019000000000001</v>
      </c>
      <c r="H1420" s="253">
        <v>1.2999000000000001</v>
      </c>
      <c r="I1420" s="253">
        <v>1.2972999999999999</v>
      </c>
      <c r="J1420" s="253">
        <v>1.2979000000000001</v>
      </c>
      <c r="K1420" s="253">
        <v>1.2970999999999999</v>
      </c>
      <c r="L1420" s="253">
        <v>1.2977000000000001</v>
      </c>
      <c r="M1420" s="253">
        <v>1.2963</v>
      </c>
      <c r="N1420" s="253">
        <v>1.2963</v>
      </c>
      <c r="O1420" s="253">
        <v>1.3038000000000001</v>
      </c>
      <c r="P1420" s="253">
        <v>1.2934000000000001</v>
      </c>
      <c r="Q1420" s="253">
        <v>1.2858000000000001</v>
      </c>
      <c r="R1420" s="253">
        <v>1.2882</v>
      </c>
      <c r="S1420" s="253">
        <v>1.2937000000000001</v>
      </c>
      <c r="T1420" s="253">
        <v>1.2937000000000001</v>
      </c>
      <c r="U1420" s="253">
        <v>1.2951999999999999</v>
      </c>
      <c r="V1420" s="253">
        <v>1.2943</v>
      </c>
      <c r="W1420" s="253">
        <v>1.2943</v>
      </c>
      <c r="X1420" s="253">
        <v>1.2943</v>
      </c>
      <c r="Y1420" s="253">
        <v>1.2943</v>
      </c>
      <c r="Z1420" s="247">
        <f ca="1">[1]ExtEntry!$R25</f>
        <v>2.8862999999999999</v>
      </c>
      <c r="AB1420" s="320"/>
      <c r="AC1420" s="320"/>
      <c r="AD1420" s="320"/>
      <c r="AE1420" s="320"/>
      <c r="AF1420" s="320"/>
      <c r="AG1420" s="320"/>
      <c r="AH1420" s="320"/>
      <c r="AI1420" s="320"/>
      <c r="AJ1420" s="320"/>
      <c r="AK1420" s="320">
        <v>109360</v>
      </c>
      <c r="AL1420" s="320">
        <v>114140</v>
      </c>
      <c r="AM1420" s="320">
        <v>86040</v>
      </c>
      <c r="AN1420" s="320">
        <v>108860</v>
      </c>
      <c r="AO1420" s="320">
        <v>109480</v>
      </c>
      <c r="AP1420" s="320">
        <v>110620</v>
      </c>
      <c r="AQ1420" s="320">
        <v>112640</v>
      </c>
      <c r="AR1420" s="320">
        <v>110640</v>
      </c>
      <c r="AS1420" s="320">
        <v>110640</v>
      </c>
      <c r="AT1420" s="320">
        <v>111300</v>
      </c>
      <c r="AU1420" s="320">
        <v>110640</v>
      </c>
      <c r="AV1420" s="320" t="str">
        <f ca="1">IF(_xlfn.XLOOKUP(A1420,TabCalc[Ticker],ListExtra_n)&gt;0,             _xlfn.XLOOKUP(A1420,TabCalc[Ticker],ListExtra_n)*_xlfn.XLOOKUP(A1420,TabTRADER[ClickTick],TabTRADER[M])*_xlfn.XLOOKUP(A1420,TabCalc[Ticker],ListScale),               "")</f>
        <v/>
      </c>
      <c r="AX1420" s="88" t="str">
        <f t="shared" ca="1" si="109"/>
        <v>IAG</v>
      </c>
    </row>
    <row r="1421" spans="1:50" hidden="1">
      <c r="A1421" s="88" t="str">
        <f t="shared" ca="1" si="112"/>
        <v>KR</v>
      </c>
      <c r="F1421" s="253">
        <v>0.56510000000000005</v>
      </c>
      <c r="G1421" s="253">
        <v>2.8001999999999998</v>
      </c>
      <c r="H1421" s="253">
        <v>2.7949000000000002</v>
      </c>
      <c r="I1421" s="253">
        <v>2.8875000000000002</v>
      </c>
      <c r="J1421" s="253">
        <v>2.8885000000000001</v>
      </c>
      <c r="K1421" s="253">
        <v>2.8854000000000002</v>
      </c>
      <c r="L1421" s="253">
        <v>2.8858000000000001</v>
      </c>
      <c r="M1421" s="253">
        <v>2.8837000000000002</v>
      </c>
      <c r="N1421" s="253">
        <v>2.8837000000000002</v>
      </c>
      <c r="O1421" s="253">
        <v>2.8866999999999998</v>
      </c>
      <c r="P1421" s="253">
        <v>2.8881000000000001</v>
      </c>
      <c r="Q1421" s="253">
        <v>2.8883000000000001</v>
      </c>
      <c r="R1421" s="253">
        <v>2.8873000000000002</v>
      </c>
      <c r="S1421" s="253">
        <v>2.8868</v>
      </c>
      <c r="T1421" s="253">
        <v>2.8868</v>
      </c>
      <c r="U1421" s="253">
        <v>2.8875999999999999</v>
      </c>
      <c r="V1421" s="253">
        <v>2.8881999999999999</v>
      </c>
      <c r="W1421" s="253">
        <v>2.8881999999999999</v>
      </c>
      <c r="X1421" s="253">
        <v>2.8881999999999999</v>
      </c>
      <c r="Y1421" s="253">
        <v>2.8881999999999999</v>
      </c>
      <c r="Z1421" s="247">
        <f ca="1">[1]ExtEntry!$R26</f>
        <v>0.55230000000000001</v>
      </c>
      <c r="AB1421" s="320"/>
      <c r="AC1421" s="320"/>
      <c r="AD1421" s="320"/>
      <c r="AE1421" s="320"/>
      <c r="AF1421" s="320"/>
      <c r="AG1421" s="320"/>
      <c r="AH1421" s="320"/>
      <c r="AI1421" s="320"/>
      <c r="AJ1421" s="320"/>
      <c r="AK1421" s="320"/>
      <c r="AL1421" s="320"/>
      <c r="AM1421" s="320"/>
      <c r="AN1421" s="320"/>
      <c r="AO1421" s="320"/>
      <c r="AP1421" s="320"/>
      <c r="AQ1421" s="320"/>
      <c r="AR1421" s="320"/>
      <c r="AS1421" s="320"/>
      <c r="AT1421" s="320"/>
      <c r="AU1421" s="320"/>
      <c r="AV1421" s="320" t="str">
        <f ca="1">IF(_xlfn.XLOOKUP(A1421,TabCalc[Ticker],ListExtra_n)&gt;0,             _xlfn.XLOOKUP(A1421,TabCalc[Ticker],ListExtra_n)*_xlfn.XLOOKUP(A1421,TabTRADER[ClickTick],TabTRADER[M])*_xlfn.XLOOKUP(A1421,TabCalc[Ticker],ListScale),               "")</f>
        <v/>
      </c>
      <c r="AX1421" s="88" t="str">
        <f t="shared" ca="1" si="109"/>
        <v>KR</v>
      </c>
    </row>
    <row r="1422" spans="1:50" hidden="1">
      <c r="A1422" s="88" t="str">
        <f t="shared" ca="1" si="112"/>
        <v>LNSR</v>
      </c>
      <c r="F1422" s="253">
        <v>0.49170000000000003</v>
      </c>
      <c r="G1422" s="253">
        <v>0.56579999999999997</v>
      </c>
      <c r="H1422" s="253">
        <v>0.5665</v>
      </c>
      <c r="I1422" s="253">
        <v>0.55449999999999999</v>
      </c>
      <c r="J1422" s="253">
        <v>0.55449999999999999</v>
      </c>
      <c r="K1422" s="253">
        <v>0.55489999999999995</v>
      </c>
      <c r="L1422" s="253">
        <v>0.55400000000000005</v>
      </c>
      <c r="M1422" s="253">
        <v>0.55269999999999997</v>
      </c>
      <c r="N1422" s="253">
        <v>0.55269999999999997</v>
      </c>
      <c r="O1422" s="253">
        <v>0.55020000000000002</v>
      </c>
      <c r="P1422" s="253">
        <v>0.55400000000000005</v>
      </c>
      <c r="Q1422" s="253">
        <v>0.54920000000000002</v>
      </c>
      <c r="R1422" s="253">
        <v>0.55020000000000002</v>
      </c>
      <c r="S1422" s="253">
        <v>0.55020000000000002</v>
      </c>
      <c r="T1422" s="253">
        <v>0.55020000000000002</v>
      </c>
      <c r="U1422" s="253">
        <v>0.55189999999999995</v>
      </c>
      <c r="V1422" s="253">
        <v>0.55310000000000004</v>
      </c>
      <c r="W1422" s="253">
        <v>0.55310000000000004</v>
      </c>
      <c r="X1422" s="253">
        <v>0.55310000000000004</v>
      </c>
      <c r="Y1422" s="253">
        <v>0.55310000000000004</v>
      </c>
      <c r="Z1422" s="247">
        <f ca="1">[1]ExtEntry!$R27</f>
        <v>0.49120000000000003</v>
      </c>
      <c r="AB1422" s="320"/>
      <c r="AC1422" s="320"/>
      <c r="AD1422" s="320"/>
      <c r="AE1422" s="320"/>
      <c r="AF1422" s="320"/>
      <c r="AG1422" s="320"/>
      <c r="AH1422" s="320"/>
      <c r="AI1422" s="320"/>
      <c r="AJ1422" s="320"/>
      <c r="AK1422" s="320"/>
      <c r="AL1422" s="320"/>
      <c r="AM1422" s="320"/>
      <c r="AN1422" s="320"/>
      <c r="AO1422" s="320"/>
      <c r="AP1422" s="320"/>
      <c r="AQ1422" s="320"/>
      <c r="AR1422" s="320"/>
      <c r="AS1422" s="320"/>
      <c r="AT1422" s="320"/>
      <c r="AU1422" s="320"/>
      <c r="AV1422" s="320" t="str">
        <f ca="1">IF(_xlfn.XLOOKUP(A1422,TabCalc[Ticker],ListExtra_n)&gt;0,             _xlfn.XLOOKUP(A1422,TabCalc[Ticker],ListExtra_n)*_xlfn.XLOOKUP(A1422,TabTRADER[ClickTick],TabTRADER[M])*_xlfn.XLOOKUP(A1422,TabCalc[Ticker],ListScale),               "")</f>
        <v/>
      </c>
      <c r="AX1422" s="88" t="str">
        <f t="shared" ca="1" si="109"/>
        <v>LNSR</v>
      </c>
    </row>
    <row r="1423" spans="1:50" hidden="1">
      <c r="A1423" s="88" t="str">
        <f t="shared" ca="1" si="112"/>
        <v>LUMN</v>
      </c>
      <c r="F1423" s="253">
        <v>1.4234</v>
      </c>
      <c r="G1423" s="253">
        <v>0.48970000000000002</v>
      </c>
      <c r="H1423" s="253">
        <v>0.4899</v>
      </c>
      <c r="I1423" s="253">
        <v>0.49149999999999999</v>
      </c>
      <c r="J1423" s="253">
        <v>0.49049999999999999</v>
      </c>
      <c r="K1423" s="253">
        <v>0.49259999999999998</v>
      </c>
      <c r="L1423" s="253">
        <v>0.49159999999999998</v>
      </c>
      <c r="M1423" s="253">
        <v>0.49070000000000003</v>
      </c>
      <c r="N1423" s="253">
        <v>0.49070000000000003</v>
      </c>
      <c r="O1423" s="253">
        <v>0.50060000000000004</v>
      </c>
      <c r="P1423" s="253">
        <v>0.49590000000000001</v>
      </c>
      <c r="Q1423" s="253">
        <v>0.49609999999999999</v>
      </c>
      <c r="R1423" s="253">
        <v>0.501</v>
      </c>
      <c r="S1423" s="253">
        <v>0.49690000000000001</v>
      </c>
      <c r="T1423" s="253">
        <v>0.49690000000000001</v>
      </c>
      <c r="U1423" s="253">
        <v>0.49099999999999999</v>
      </c>
      <c r="V1423" s="253">
        <v>0.49099999999999999</v>
      </c>
      <c r="W1423" s="253">
        <v>0.49099999999999999</v>
      </c>
      <c r="X1423" s="253">
        <v>0.49099999999999999</v>
      </c>
      <c r="Y1423" s="253">
        <v>0.49099999999999999</v>
      </c>
      <c r="Z1423" s="247">
        <f ca="1">[1]ExtEntry!$R28</f>
        <v>1.3936999999999999</v>
      </c>
      <c r="AB1423" s="320"/>
      <c r="AC1423" s="320"/>
      <c r="AD1423" s="320"/>
      <c r="AE1423" s="320"/>
      <c r="AF1423" s="320"/>
      <c r="AG1423" s="320"/>
      <c r="AH1423" s="320"/>
      <c r="AI1423" s="320"/>
      <c r="AJ1423" s="320"/>
      <c r="AK1423" s="320"/>
      <c r="AL1423" s="320"/>
      <c r="AM1423" s="320"/>
      <c r="AN1423" s="320"/>
      <c r="AO1423" s="320"/>
      <c r="AP1423" s="320"/>
      <c r="AQ1423" s="320"/>
      <c r="AR1423" s="320"/>
      <c r="AS1423" s="320"/>
      <c r="AT1423" s="320"/>
      <c r="AU1423" s="320"/>
      <c r="AV1423" s="320" t="str">
        <f ca="1">IF(_xlfn.XLOOKUP(A1423,TabCalc[Ticker],ListExtra_n)&gt;0,             _xlfn.XLOOKUP(A1423,TabCalc[Ticker],ListExtra_n)*_xlfn.XLOOKUP(A1423,TabTRADER[ClickTick],TabTRADER[M])*_xlfn.XLOOKUP(A1423,TabCalc[Ticker],ListScale),               "")</f>
        <v/>
      </c>
      <c r="AX1423" s="88" t="str">
        <f t="shared" ca="1" si="109"/>
        <v>LUMN</v>
      </c>
    </row>
    <row r="1424" spans="1:50" hidden="1">
      <c r="A1424" s="88" t="str">
        <f t="shared" ca="1" si="112"/>
        <v>MRNA</v>
      </c>
      <c r="F1424" s="253">
        <v>2.0005000000000002</v>
      </c>
      <c r="G1424" s="253">
        <v>1.4251</v>
      </c>
      <c r="H1424" s="253">
        <v>1.4373</v>
      </c>
      <c r="I1424" s="253">
        <v>1.4019999999999999</v>
      </c>
      <c r="J1424" s="253">
        <v>1.3982000000000001</v>
      </c>
      <c r="K1424" s="253">
        <v>1.3936999999999999</v>
      </c>
      <c r="L1424" s="253">
        <v>1.3915999999999999</v>
      </c>
      <c r="M1424" s="253">
        <v>1.3968</v>
      </c>
      <c r="N1424" s="253">
        <v>1.3968</v>
      </c>
      <c r="O1424" s="253">
        <v>1.3741000000000001</v>
      </c>
      <c r="P1424" s="253">
        <v>1.3851</v>
      </c>
      <c r="Q1424" s="253">
        <v>1.3803000000000001</v>
      </c>
      <c r="R1424" s="253">
        <v>1.3767</v>
      </c>
      <c r="S1424" s="253">
        <v>1.3832</v>
      </c>
      <c r="T1424" s="253">
        <v>1.3832</v>
      </c>
      <c r="U1424" s="253">
        <v>1.3927</v>
      </c>
      <c r="V1424" s="253">
        <v>1.3926000000000001</v>
      </c>
      <c r="W1424" s="253">
        <v>1.3926000000000001</v>
      </c>
      <c r="X1424" s="253">
        <v>1.3926000000000001</v>
      </c>
      <c r="Y1424" s="253">
        <v>1.3926000000000001</v>
      </c>
      <c r="Z1424" s="247">
        <f ca="1">[1]ExtEntry!$R29</f>
        <v>2.0135000000000001</v>
      </c>
      <c r="AB1424" s="320">
        <v>296281.48</v>
      </c>
      <c r="AC1424" s="320"/>
      <c r="AD1424" s="320"/>
      <c r="AE1424" s="320"/>
      <c r="AF1424" s="320"/>
      <c r="AG1424" s="320"/>
      <c r="AH1424" s="320"/>
      <c r="AI1424" s="320"/>
      <c r="AJ1424" s="320"/>
      <c r="AK1424" s="320"/>
      <c r="AL1424" s="320"/>
      <c r="AM1424" s="320"/>
      <c r="AN1424" s="320"/>
      <c r="AO1424" s="320"/>
      <c r="AP1424" s="320"/>
      <c r="AQ1424" s="320"/>
      <c r="AR1424" s="320"/>
      <c r="AS1424" s="320"/>
      <c r="AT1424" s="320"/>
      <c r="AU1424" s="320"/>
      <c r="AV1424" s="320">
        <f ca="1">IF(_xlfn.XLOOKUP(A1424,TabCalc[Ticker],ListExtra_n)&gt;0,             _xlfn.XLOOKUP(A1424,TabCalc[Ticker],ListExtra_n)*_xlfn.XLOOKUP(A1424,TabTRADER[ClickTick],TabTRADER[M])*_xlfn.XLOOKUP(A1424,TabCalc[Ticker],ListScale),               "")</f>
        <v>315532</v>
      </c>
      <c r="AX1424" s="88" t="str">
        <f t="shared" ca="1" si="109"/>
        <v>MRNA</v>
      </c>
    </row>
    <row r="1425" spans="1:50" hidden="1">
      <c r="A1425" s="88" t="str">
        <f t="shared" ca="1" si="112"/>
        <v>MSFT</v>
      </c>
      <c r="F1425" s="253">
        <v>1.024</v>
      </c>
      <c r="G1425" s="253">
        <v>2.0044</v>
      </c>
      <c r="H1425" s="253">
        <v>2.0068999999999999</v>
      </c>
      <c r="I1425" s="253">
        <v>2.0093999999999999</v>
      </c>
      <c r="J1425" s="253">
        <v>2.0076999999999998</v>
      </c>
      <c r="K1425" s="253">
        <v>2.0127000000000002</v>
      </c>
      <c r="L1425" s="253">
        <v>2.0106000000000002</v>
      </c>
      <c r="M1425" s="253">
        <v>2.0135000000000001</v>
      </c>
      <c r="N1425" s="253">
        <v>2.0135000000000001</v>
      </c>
      <c r="O1425" s="253">
        <v>1.9895</v>
      </c>
      <c r="P1425" s="253">
        <v>2.0064000000000002</v>
      </c>
      <c r="Q1425" s="253">
        <v>2.0082</v>
      </c>
      <c r="R1425" s="253">
        <v>2.0034000000000001</v>
      </c>
      <c r="S1425" s="253">
        <v>2.0114000000000001</v>
      </c>
      <c r="T1425" s="253">
        <v>2.0114000000000001</v>
      </c>
      <c r="U1425" s="253">
        <v>2.0127999999999999</v>
      </c>
      <c r="V1425" s="253">
        <v>2.0123000000000002</v>
      </c>
      <c r="W1425" s="253">
        <v>2.0123000000000002</v>
      </c>
      <c r="X1425" s="253">
        <v>2.0123000000000002</v>
      </c>
      <c r="Y1425" s="253">
        <v>2.0123000000000002</v>
      </c>
      <c r="Z1425" s="247">
        <f ca="1">[1]ExtEntry!$R30</f>
        <v>1.0196000000000001</v>
      </c>
      <c r="AB1425" s="320"/>
      <c r="AC1425" s="320">
        <v>304794</v>
      </c>
      <c r="AD1425" s="320">
        <v>325680</v>
      </c>
      <c r="AE1425" s="320">
        <v>334766</v>
      </c>
      <c r="AF1425" s="320">
        <v>336182</v>
      </c>
      <c r="AG1425" s="320">
        <v>322612</v>
      </c>
      <c r="AH1425" s="320">
        <v>329456</v>
      </c>
      <c r="AI1425" s="320">
        <v>324854</v>
      </c>
      <c r="AJ1425" s="320">
        <v>324854</v>
      </c>
      <c r="AK1425" s="320">
        <v>315532</v>
      </c>
      <c r="AL1425" s="320">
        <v>309750</v>
      </c>
      <c r="AM1425" s="320">
        <v>327509</v>
      </c>
      <c r="AN1425" s="320">
        <v>320252</v>
      </c>
      <c r="AO1425" s="320">
        <v>306918</v>
      </c>
      <c r="AP1425" s="320">
        <v>321432</v>
      </c>
      <c r="AQ1425" s="320">
        <v>324382</v>
      </c>
      <c r="AR1425" s="320">
        <v>316830</v>
      </c>
      <c r="AS1425" s="320">
        <v>316830</v>
      </c>
      <c r="AT1425" s="320">
        <v>309750</v>
      </c>
      <c r="AU1425" s="320">
        <v>315532</v>
      </c>
      <c r="AV1425" s="320" t="str">
        <f ca="1">IF(_xlfn.XLOOKUP(A1425,TabCalc[Ticker],ListExtra_n)&gt;0,             _xlfn.XLOOKUP(A1425,TabCalc[Ticker],ListExtra_n)*_xlfn.XLOOKUP(A1425,TabTRADER[ClickTick],TabTRADER[M])*_xlfn.XLOOKUP(A1425,TabCalc[Ticker],ListScale),               "")</f>
        <v/>
      </c>
      <c r="AX1425" s="88" t="str">
        <f t="shared" ca="1" si="109"/>
        <v>MSFT</v>
      </c>
    </row>
    <row r="1426" spans="1:50" hidden="1">
      <c r="A1426" s="88" t="str">
        <f t="shared" ca="1" si="112"/>
        <v>NEE</v>
      </c>
      <c r="F1426" s="253">
        <v>0.65210000000000001</v>
      </c>
      <c r="G1426" s="253">
        <v>1.024</v>
      </c>
      <c r="H1426" s="253">
        <v>1.0237000000000001</v>
      </c>
      <c r="I1426" s="253">
        <v>1.0196000000000001</v>
      </c>
      <c r="J1426" s="253">
        <v>1.0202</v>
      </c>
      <c r="K1426" s="253">
        <v>1.0188999999999999</v>
      </c>
      <c r="L1426" s="253">
        <v>1.0189999999999999</v>
      </c>
      <c r="M1426" s="253">
        <v>1.0193000000000001</v>
      </c>
      <c r="N1426" s="253">
        <v>1.0193000000000001</v>
      </c>
      <c r="O1426" s="253">
        <v>1.0185</v>
      </c>
      <c r="P1426" s="253">
        <v>1.0203</v>
      </c>
      <c r="Q1426" s="253">
        <v>1.0203</v>
      </c>
      <c r="R1426" s="253">
        <v>1.0206</v>
      </c>
      <c r="S1426" s="253">
        <v>1.0205</v>
      </c>
      <c r="T1426" s="253">
        <v>1.0205</v>
      </c>
      <c r="U1426" s="253">
        <v>1.02</v>
      </c>
      <c r="V1426" s="253">
        <v>1.0199</v>
      </c>
      <c r="W1426" s="253">
        <v>1.0199</v>
      </c>
      <c r="X1426" s="253">
        <v>1.0199</v>
      </c>
      <c r="Y1426" s="253">
        <v>1.0199</v>
      </c>
      <c r="Z1426" s="247">
        <f ca="1">[1]ExtEntry!$R31</f>
        <v>0.67359999999999998</v>
      </c>
      <c r="AB1426" s="320"/>
      <c r="AC1426" s="320"/>
      <c r="AD1426" s="320"/>
      <c r="AE1426" s="320"/>
      <c r="AF1426" s="320"/>
      <c r="AG1426" s="320"/>
      <c r="AH1426" s="320"/>
      <c r="AI1426" s="320"/>
      <c r="AJ1426" s="320"/>
      <c r="AK1426" s="320"/>
      <c r="AL1426" s="320"/>
      <c r="AM1426" s="320"/>
      <c r="AN1426" s="320"/>
      <c r="AO1426" s="320"/>
      <c r="AP1426" s="320"/>
      <c r="AQ1426" s="320"/>
      <c r="AR1426" s="320"/>
      <c r="AS1426" s="320"/>
      <c r="AT1426" s="320"/>
      <c r="AU1426" s="320"/>
      <c r="AV1426" s="320" t="str">
        <f ca="1">IF(_xlfn.XLOOKUP(A1426,TabCalc[Ticker],ListExtra_n)&gt;0,             _xlfn.XLOOKUP(A1426,TabCalc[Ticker],ListExtra_n)*_xlfn.XLOOKUP(A1426,TabTRADER[ClickTick],TabTRADER[M])*_xlfn.XLOOKUP(A1426,TabCalc[Ticker],ListScale),               "")</f>
        <v/>
      </c>
      <c r="AX1426" s="88" t="str">
        <f t="shared" ca="1" si="109"/>
        <v>NEE</v>
      </c>
    </row>
    <row r="1427" spans="1:50" hidden="1">
      <c r="A1427" s="88" t="str">
        <f t="shared" ca="1" si="112"/>
        <v>NEM</v>
      </c>
      <c r="F1427" s="253">
        <v>0.35160000000000002</v>
      </c>
      <c r="G1427" s="253">
        <v>0.65339999999999998</v>
      </c>
      <c r="H1427" s="253">
        <v>0.65249999999999997</v>
      </c>
      <c r="I1427" s="253">
        <v>0.67490000000000006</v>
      </c>
      <c r="J1427" s="253">
        <v>0.67559999999999998</v>
      </c>
      <c r="K1427" s="253">
        <v>0.67459999999999998</v>
      </c>
      <c r="L1427" s="253">
        <v>0.67059999999999997</v>
      </c>
      <c r="M1427" s="253">
        <v>0.6754</v>
      </c>
      <c r="N1427" s="253">
        <v>0.6754</v>
      </c>
      <c r="O1427" s="253">
        <v>0.64510000000000001</v>
      </c>
      <c r="P1427" s="253">
        <v>0.65990000000000004</v>
      </c>
      <c r="Q1427" s="253">
        <v>0.65739999999999998</v>
      </c>
      <c r="R1427" s="253">
        <v>0.66010000000000002</v>
      </c>
      <c r="S1427" s="253">
        <v>0.66100000000000003</v>
      </c>
      <c r="T1427" s="253">
        <v>0.66100000000000003</v>
      </c>
      <c r="U1427" s="253">
        <v>0.67220000000000002</v>
      </c>
      <c r="V1427" s="253">
        <v>0.67279999999999995</v>
      </c>
      <c r="W1427" s="253">
        <v>0.67279999999999995</v>
      </c>
      <c r="X1427" s="253">
        <v>0.67279999999999995</v>
      </c>
      <c r="Y1427" s="253">
        <v>0.67279999999999995</v>
      </c>
      <c r="Z1427" s="247">
        <f ca="1">[1]ExtEntry!$R32</f>
        <v>0.35310000000000002</v>
      </c>
      <c r="AB1427" s="320"/>
      <c r="AC1427" s="320"/>
      <c r="AD1427" s="320"/>
      <c r="AE1427" s="320"/>
      <c r="AF1427" s="320"/>
      <c r="AG1427" s="320"/>
      <c r="AH1427" s="320"/>
      <c r="AI1427" s="320"/>
      <c r="AJ1427" s="320"/>
      <c r="AK1427" s="320"/>
      <c r="AL1427" s="320"/>
      <c r="AM1427" s="320"/>
      <c r="AN1427" s="320"/>
      <c r="AO1427" s="320"/>
      <c r="AP1427" s="320"/>
      <c r="AQ1427" s="320"/>
      <c r="AR1427" s="320"/>
      <c r="AS1427" s="320"/>
      <c r="AT1427" s="320"/>
      <c r="AU1427" s="320"/>
      <c r="AV1427" s="320">
        <f ca="1">IF(_xlfn.XLOOKUP(A1427,TabCalc[Ticker],ListExtra_n)&gt;0,             _xlfn.XLOOKUP(A1427,TabCalc[Ticker],ListExtra_n)*_xlfn.XLOOKUP(A1427,TabTRADER[ClickTick],TabTRADER[M])*_xlfn.XLOOKUP(A1427,TabCalc[Ticker],ListScale),               "")</f>
        <v>166740</v>
      </c>
      <c r="AX1427" s="88" t="str">
        <f t="shared" ref="AX1427:AX1490" ca="1" si="113">A1427</f>
        <v>NEM</v>
      </c>
    </row>
    <row r="1428" spans="1:50" hidden="1">
      <c r="A1428" s="88" t="str">
        <f t="shared" ca="1" si="112"/>
        <v>NFLX</v>
      </c>
      <c r="F1428" s="253">
        <v>1.5996999999999999</v>
      </c>
      <c r="G1428" s="253">
        <v>0.35289999999999999</v>
      </c>
      <c r="H1428" s="253">
        <v>0.35610000000000003</v>
      </c>
      <c r="I1428" s="253">
        <v>0.3533</v>
      </c>
      <c r="J1428" s="253">
        <v>0.35299999999999998</v>
      </c>
      <c r="K1428" s="253">
        <v>0.35249999999999998</v>
      </c>
      <c r="L1428" s="253">
        <v>0.35249999999999998</v>
      </c>
      <c r="M1428" s="253">
        <v>0.35320000000000001</v>
      </c>
      <c r="N1428" s="253">
        <v>0.35320000000000001</v>
      </c>
      <c r="O1428" s="253">
        <v>0.3513</v>
      </c>
      <c r="P1428" s="253">
        <v>0.34599999999999997</v>
      </c>
      <c r="Q1428" s="253">
        <v>0.34300000000000003</v>
      </c>
      <c r="R1428" s="253">
        <v>0.34089999999999998</v>
      </c>
      <c r="S1428" s="253">
        <v>0.34449999999999997</v>
      </c>
      <c r="T1428" s="253">
        <v>0.34449999999999997</v>
      </c>
      <c r="U1428" s="253">
        <v>0.34839999999999999</v>
      </c>
      <c r="V1428" s="253">
        <v>0.35349999999999998</v>
      </c>
      <c r="W1428" s="253">
        <v>0.35349999999999998</v>
      </c>
      <c r="X1428" s="253">
        <v>0.35349999999999998</v>
      </c>
      <c r="Y1428" s="253">
        <v>0.35349999999999998</v>
      </c>
      <c r="Z1428" s="247">
        <f ca="1">[1]ExtEntry!$R33</f>
        <v>1.5948</v>
      </c>
      <c r="AB1428" s="320"/>
      <c r="AC1428" s="320"/>
      <c r="AD1428" s="320"/>
      <c r="AE1428" s="320"/>
      <c r="AF1428" s="320"/>
      <c r="AG1428" s="320"/>
      <c r="AH1428" s="320"/>
      <c r="AI1428" s="320"/>
      <c r="AJ1428" s="320"/>
      <c r="AK1428" s="320"/>
      <c r="AL1428" s="320"/>
      <c r="AM1428" s="320"/>
      <c r="AN1428" s="320"/>
      <c r="AO1428" s="320"/>
      <c r="AP1428" s="320"/>
      <c r="AQ1428" s="320">
        <v>172610</v>
      </c>
      <c r="AR1428" s="320">
        <v>174000</v>
      </c>
      <c r="AS1428" s="320">
        <v>174000</v>
      </c>
      <c r="AT1428" s="320"/>
      <c r="AU1428" s="320">
        <v>166660</v>
      </c>
      <c r="AV1428" s="320" t="str">
        <f ca="1">IF(_xlfn.XLOOKUP(A1428,TabCalc[Ticker],ListExtra_n)&gt;0,             _xlfn.XLOOKUP(A1428,TabCalc[Ticker],ListExtra_n)*_xlfn.XLOOKUP(A1428,TabTRADER[ClickTick],TabTRADER[M])*_xlfn.XLOOKUP(A1428,TabCalc[Ticker],ListScale),               "")</f>
        <v/>
      </c>
      <c r="AX1428" s="88" t="str">
        <f t="shared" ca="1" si="113"/>
        <v>NFLX</v>
      </c>
    </row>
    <row r="1429" spans="1:50" hidden="1">
      <c r="A1429" s="88" t="str">
        <f t="shared" ca="1" si="112"/>
        <v>NOTE</v>
      </c>
      <c r="F1429" s="253">
        <v>0.55400000000000005</v>
      </c>
      <c r="G1429" s="253">
        <v>1.5974999999999999</v>
      </c>
      <c r="H1429" s="253">
        <v>1.5931999999999999</v>
      </c>
      <c r="I1429" s="253">
        <v>1.5931999999999999</v>
      </c>
      <c r="J1429" s="253">
        <v>1.5935999999999999</v>
      </c>
      <c r="K1429" s="253">
        <v>1.5926</v>
      </c>
      <c r="L1429" s="253">
        <v>1.5918000000000001</v>
      </c>
      <c r="M1429" s="253">
        <v>1.5908</v>
      </c>
      <c r="N1429" s="253">
        <v>1.5908</v>
      </c>
      <c r="O1429" s="253">
        <v>1.5780000000000001</v>
      </c>
      <c r="P1429" s="253">
        <v>1.5873999999999999</v>
      </c>
      <c r="Q1429" s="253">
        <v>1.5872999999999999</v>
      </c>
      <c r="R1429" s="253">
        <v>1.59</v>
      </c>
      <c r="S1429" s="253">
        <v>1.5902000000000001</v>
      </c>
      <c r="T1429" s="253">
        <v>1.5902000000000001</v>
      </c>
      <c r="U1429" s="253">
        <v>1.5896999999999999</v>
      </c>
      <c r="V1429" s="253">
        <v>1.5895999999999999</v>
      </c>
      <c r="W1429" s="253">
        <v>1.5895999999999999</v>
      </c>
      <c r="X1429" s="253">
        <v>1.5895999999999999</v>
      </c>
      <c r="Y1429" s="253">
        <v>1.5895999999999999</v>
      </c>
      <c r="Z1429" s="247">
        <f ca="1">[1]ExtEntry!$R34</f>
        <v>0.55330000000000001</v>
      </c>
      <c r="AB1429" s="320"/>
      <c r="AC1429" s="320"/>
      <c r="AD1429" s="320"/>
      <c r="AE1429" s="320"/>
      <c r="AF1429" s="320"/>
      <c r="AG1429" s="320"/>
      <c r="AH1429" s="320"/>
      <c r="AI1429" s="320"/>
      <c r="AJ1429" s="320"/>
      <c r="AK1429" s="320"/>
      <c r="AL1429" s="320"/>
      <c r="AM1429" s="320"/>
      <c r="AN1429" s="320"/>
      <c r="AO1429" s="320"/>
      <c r="AP1429" s="320"/>
      <c r="AQ1429" s="320"/>
      <c r="AR1429" s="320"/>
      <c r="AS1429" s="320"/>
      <c r="AT1429" s="320"/>
      <c r="AU1429" s="320"/>
      <c r="AV1429" s="320" t="str">
        <f ca="1">IF(_xlfn.XLOOKUP(A1429,TabCalc[Ticker],ListExtra_n)&gt;0,             _xlfn.XLOOKUP(A1429,TabCalc[Ticker],ListExtra_n)*_xlfn.XLOOKUP(A1429,TabTRADER[ClickTick],TabTRADER[M])*_xlfn.XLOOKUP(A1429,TabCalc[Ticker],ListScale),               "")</f>
        <v/>
      </c>
      <c r="AX1429" s="88" t="str">
        <f t="shared" ca="1" si="113"/>
        <v>NOTE</v>
      </c>
    </row>
    <row r="1430" spans="1:50" hidden="1">
      <c r="A1430" s="88" t="str">
        <f t="shared" ca="1" si="112"/>
        <v>PAAS</v>
      </c>
      <c r="F1430" s="253">
        <v>0.87580000000000002</v>
      </c>
      <c r="G1430" s="253">
        <v>0.55569999999999997</v>
      </c>
      <c r="H1430" s="253">
        <v>0.55169999999999997</v>
      </c>
      <c r="I1430" s="253">
        <v>0.54810000000000003</v>
      </c>
      <c r="J1430" s="253">
        <v>0.5444</v>
      </c>
      <c r="K1430" s="253">
        <v>0.54720000000000002</v>
      </c>
      <c r="L1430" s="253">
        <v>0.54320000000000002</v>
      </c>
      <c r="M1430" s="253">
        <v>0.54949999999999999</v>
      </c>
      <c r="N1430" s="253">
        <v>0.54949999999999999</v>
      </c>
      <c r="O1430" s="253">
        <v>0.53459999999999996</v>
      </c>
      <c r="P1430" s="253">
        <v>0.54559999999999997</v>
      </c>
      <c r="Q1430" s="253">
        <v>0.54079999999999995</v>
      </c>
      <c r="R1430" s="253">
        <v>0.54510000000000003</v>
      </c>
      <c r="S1430" s="253">
        <v>0.55630000000000002</v>
      </c>
      <c r="T1430" s="253">
        <v>0.55630000000000002</v>
      </c>
      <c r="U1430" s="253">
        <v>0.55169999999999997</v>
      </c>
      <c r="V1430" s="253">
        <v>0.55130000000000001</v>
      </c>
      <c r="W1430" s="253">
        <v>0.55130000000000001</v>
      </c>
      <c r="X1430" s="253">
        <v>0.55130000000000001</v>
      </c>
      <c r="Y1430" s="253">
        <v>0.55130000000000001</v>
      </c>
      <c r="Z1430" s="247">
        <f ca="1">[1]ExtEntry!$R35</f>
        <v>0.91439999999999999</v>
      </c>
      <c r="AB1430" s="320"/>
      <c r="AC1430" s="320"/>
      <c r="AD1430" s="320"/>
      <c r="AE1430" s="320"/>
      <c r="AF1430" s="320"/>
      <c r="AG1430" s="320"/>
      <c r="AH1430" s="320"/>
      <c r="AI1430" s="320"/>
      <c r="AJ1430" s="320"/>
      <c r="AK1430" s="320"/>
      <c r="AL1430" s="320"/>
      <c r="AM1430" s="320"/>
      <c r="AN1430" s="320"/>
      <c r="AO1430" s="320"/>
      <c r="AP1430" s="320"/>
      <c r="AQ1430" s="320"/>
      <c r="AR1430" s="320"/>
      <c r="AS1430" s="320"/>
      <c r="AT1430" s="320"/>
      <c r="AU1430" s="320"/>
      <c r="AV1430" s="320">
        <f ca="1">IF(_xlfn.XLOOKUP(A1430,TabCalc[Ticker],ListExtra_n)&gt;0,             _xlfn.XLOOKUP(A1430,TabCalc[Ticker],ListExtra_n)*_xlfn.XLOOKUP(A1430,TabTRADER[ClickTick],TabTRADER[M])*_xlfn.XLOOKUP(A1430,TabCalc[Ticker],ListScale),               "")</f>
        <v>36340</v>
      </c>
      <c r="AX1430" s="88" t="str">
        <f t="shared" ca="1" si="113"/>
        <v>PAAS</v>
      </c>
    </row>
    <row r="1431" spans="1:50" hidden="1">
      <c r="A1431" s="88" t="str">
        <f t="shared" ca="1" si="112"/>
        <v>PROF</v>
      </c>
      <c r="F1431" s="253">
        <v>0.38030000000000003</v>
      </c>
      <c r="G1431" s="253">
        <v>0.88160000000000005</v>
      </c>
      <c r="H1431" s="253">
        <v>0.88880000000000003</v>
      </c>
      <c r="I1431" s="253">
        <v>0.90110000000000001</v>
      </c>
      <c r="J1431" s="253">
        <v>0.89970000000000006</v>
      </c>
      <c r="K1431" s="253">
        <v>0.90190000000000003</v>
      </c>
      <c r="L1431" s="253">
        <v>0.90129999999999999</v>
      </c>
      <c r="M1431" s="253">
        <v>0.90090000000000003</v>
      </c>
      <c r="N1431" s="253">
        <v>0.90090000000000003</v>
      </c>
      <c r="O1431" s="253">
        <v>0.90139999999999998</v>
      </c>
      <c r="P1431" s="253">
        <v>0.90139999999999998</v>
      </c>
      <c r="Q1431" s="253">
        <v>0.89349999999999996</v>
      </c>
      <c r="R1431" s="253">
        <v>0.90049999999999997</v>
      </c>
      <c r="S1431" s="253">
        <v>0.90059999999999996</v>
      </c>
      <c r="T1431" s="253">
        <v>0.90059999999999996</v>
      </c>
      <c r="U1431" s="253">
        <v>0.89870000000000005</v>
      </c>
      <c r="V1431" s="253">
        <v>0.89970000000000006</v>
      </c>
      <c r="W1431" s="253">
        <v>0.89970000000000006</v>
      </c>
      <c r="X1431" s="253">
        <v>0.89970000000000006</v>
      </c>
      <c r="Y1431" s="253">
        <v>0.89970000000000006</v>
      </c>
      <c r="Z1431" s="247">
        <f ca="1">[1]ExtEntry!$R36</f>
        <v>0.32529999999999998</v>
      </c>
      <c r="AB1431" s="320"/>
      <c r="AC1431" s="320"/>
      <c r="AD1431" s="320"/>
      <c r="AE1431" s="320"/>
      <c r="AF1431" s="320"/>
      <c r="AG1431" s="320"/>
      <c r="AH1431" s="320"/>
      <c r="AI1431" s="320"/>
      <c r="AJ1431" s="320"/>
      <c r="AK1431" s="320"/>
      <c r="AL1431" s="320"/>
      <c r="AM1431" s="320"/>
      <c r="AN1431" s="320"/>
      <c r="AO1431" s="320"/>
      <c r="AP1431" s="320"/>
      <c r="AQ1431" s="320">
        <v>35435</v>
      </c>
      <c r="AR1431" s="320">
        <v>35875</v>
      </c>
      <c r="AS1431" s="320">
        <v>35875</v>
      </c>
      <c r="AT1431" s="320">
        <v>36210</v>
      </c>
      <c r="AU1431" s="320">
        <v>36330</v>
      </c>
      <c r="AV1431" s="320" t="str">
        <f ca="1">IF(_xlfn.XLOOKUP(A1431,TabCalc[Ticker],ListExtra_n)&gt;0,             _xlfn.XLOOKUP(A1431,TabCalc[Ticker],ListExtra_n)*_xlfn.XLOOKUP(A1431,TabTRADER[ClickTick],TabTRADER[M])*_xlfn.XLOOKUP(A1431,TabCalc[Ticker],ListScale),               "")</f>
        <v/>
      </c>
      <c r="AX1431" s="88" t="str">
        <f t="shared" ca="1" si="113"/>
        <v>PROF</v>
      </c>
    </row>
    <row r="1432" spans="1:50" hidden="1">
      <c r="A1432" s="88" t="str">
        <f t="shared" ca="1" si="112"/>
        <v>POET</v>
      </c>
      <c r="F1432" s="253">
        <v>0.38240000000000002</v>
      </c>
      <c r="G1432" s="253">
        <v>0.36799999999999999</v>
      </c>
      <c r="H1432" s="253">
        <v>0.35730000000000001</v>
      </c>
      <c r="I1432" s="253">
        <v>0.3513</v>
      </c>
      <c r="J1432" s="253">
        <v>0.34</v>
      </c>
      <c r="K1432" s="253">
        <v>0.35780000000000001</v>
      </c>
      <c r="L1432" s="253">
        <v>0.36990000000000001</v>
      </c>
      <c r="M1432" s="253">
        <v>0.3473</v>
      </c>
      <c r="N1432" s="253">
        <v>0.3473</v>
      </c>
      <c r="O1432" s="253">
        <v>0.34329999999999999</v>
      </c>
      <c r="P1432" s="253">
        <v>0.34329999999999999</v>
      </c>
      <c r="Q1432" s="253">
        <v>0.30869999999999997</v>
      </c>
      <c r="R1432" s="253">
        <v>0.34949999999999998</v>
      </c>
      <c r="S1432" s="253">
        <v>0.35539999999999999</v>
      </c>
      <c r="T1432" s="253">
        <v>0.35539999999999999</v>
      </c>
      <c r="U1432" s="253">
        <v>0.32869999999999999</v>
      </c>
      <c r="V1432" s="253">
        <v>0.35460000000000003</v>
      </c>
      <c r="W1432" s="253">
        <v>0.35460000000000003</v>
      </c>
      <c r="X1432" s="253">
        <v>0.35460000000000003</v>
      </c>
      <c r="Y1432" s="253">
        <v>0.35460000000000003</v>
      </c>
      <c r="Z1432" s="247">
        <f ca="1">[1]ExtEntry!$R37</f>
        <v>0.36220000000000002</v>
      </c>
      <c r="AB1432" s="320">
        <v>27211.5</v>
      </c>
      <c r="AC1432" s="320"/>
      <c r="AD1432" s="320"/>
      <c r="AE1432" s="320"/>
      <c r="AF1432" s="320"/>
      <c r="AG1432" s="320"/>
      <c r="AH1432" s="320"/>
      <c r="AI1432" s="320"/>
      <c r="AJ1432" s="320"/>
      <c r="AK1432" s="320"/>
      <c r="AL1432" s="320"/>
      <c r="AM1432" s="320"/>
      <c r="AN1432" s="320"/>
      <c r="AO1432" s="320"/>
      <c r="AP1432" s="320"/>
      <c r="AQ1432" s="320"/>
      <c r="AR1432" s="320"/>
      <c r="AS1432" s="320"/>
      <c r="AT1432" s="320"/>
      <c r="AU1432" s="320"/>
      <c r="AV1432" s="320" t="str">
        <f ca="1">IF(_xlfn.XLOOKUP(A1432,TabCalc[Ticker],ListExtra_n)&gt;0,             _xlfn.XLOOKUP(A1432,TabCalc[Ticker],ListExtra_n)*_xlfn.XLOOKUP(A1432,TabTRADER[ClickTick],TabTRADER[M])*_xlfn.XLOOKUP(A1432,TabCalc[Ticker],ListScale),               "")</f>
        <v/>
      </c>
      <c r="AX1432" s="88" t="str">
        <f t="shared" ca="1" si="113"/>
        <v>POET</v>
      </c>
    </row>
    <row r="1433" spans="1:50" hidden="1">
      <c r="A1433" s="88" t="str">
        <f t="shared" ca="1" si="112"/>
        <v>PW</v>
      </c>
      <c r="F1433" s="253">
        <v>1.5099</v>
      </c>
      <c r="G1433" s="253">
        <v>0.37530000000000002</v>
      </c>
      <c r="H1433" s="253">
        <v>0.37609999999999999</v>
      </c>
      <c r="I1433" s="253">
        <v>0.374</v>
      </c>
      <c r="J1433" s="253">
        <v>0.36659999999999998</v>
      </c>
      <c r="K1433" s="253">
        <v>0.37190000000000001</v>
      </c>
      <c r="L1433" s="253">
        <v>0.34770000000000001</v>
      </c>
      <c r="M1433" s="253">
        <v>0.3594</v>
      </c>
      <c r="N1433" s="253">
        <v>0.3594</v>
      </c>
      <c r="O1433" s="253">
        <v>0.28189999999999998</v>
      </c>
      <c r="P1433" s="253">
        <v>0.3044</v>
      </c>
      <c r="Q1433" s="253">
        <v>0.2802</v>
      </c>
      <c r="R1433" s="253">
        <v>0.31669999999999998</v>
      </c>
      <c r="S1433" s="253">
        <v>0.3448</v>
      </c>
      <c r="T1433" s="253">
        <v>0.3448</v>
      </c>
      <c r="U1433" s="253">
        <v>0.36009999999999998</v>
      </c>
      <c r="V1433" s="253">
        <v>0.36149999999999999</v>
      </c>
      <c r="W1433" s="253">
        <v>0.36149999999999999</v>
      </c>
      <c r="X1433" s="253">
        <v>0.36149999999999999</v>
      </c>
      <c r="Y1433" s="253">
        <v>0.36149999999999999</v>
      </c>
      <c r="Z1433" s="247">
        <f ca="1">[1]ExtEntry!$R38</f>
        <v>1.6061000000000001</v>
      </c>
      <c r="AB1433" s="320">
        <v>7488.6</v>
      </c>
      <c r="AC1433" s="320">
        <v>27700</v>
      </c>
      <c r="AD1433" s="320">
        <v>29700.000000000004</v>
      </c>
      <c r="AE1433" s="320">
        <v>32500</v>
      </c>
      <c r="AF1433" s="320">
        <v>31100</v>
      </c>
      <c r="AG1433" s="320">
        <v>19700</v>
      </c>
      <c r="AH1433" s="320"/>
      <c r="AI1433" s="320"/>
      <c r="AJ1433" s="320"/>
      <c r="AK1433" s="320"/>
      <c r="AL1433" s="320"/>
      <c r="AM1433" s="320"/>
      <c r="AN1433" s="320"/>
      <c r="AO1433" s="320"/>
      <c r="AP1433" s="320"/>
      <c r="AQ1433" s="320"/>
      <c r="AR1433" s="320"/>
      <c r="AS1433" s="320"/>
      <c r="AT1433" s="320"/>
      <c r="AU1433" s="320"/>
      <c r="AV1433" s="320">
        <f ca="1">IF(_xlfn.XLOOKUP(A1433,TabCalc[Ticker],ListExtra_n)&gt;0,             _xlfn.XLOOKUP(A1433,TabCalc[Ticker],ListExtra_n)*_xlfn.XLOOKUP(A1433,TabTRADER[ClickTick],TabTRADER[M])*_xlfn.XLOOKUP(A1433,TabCalc[Ticker],ListScale),               "")</f>
        <v>5274.5</v>
      </c>
      <c r="AX1433" s="88" t="str">
        <f t="shared" ca="1" si="113"/>
        <v>PW</v>
      </c>
    </row>
    <row r="1434" spans="1:50" hidden="1">
      <c r="A1434" s="88" t="str">
        <f t="shared" ca="1" si="112"/>
        <v>RIGL</v>
      </c>
      <c r="F1434" s="253">
        <v>1.2192000000000001</v>
      </c>
      <c r="G1434" s="253">
        <v>1.5163</v>
      </c>
      <c r="H1434" s="253">
        <v>1.5027999999999999</v>
      </c>
      <c r="I1434" s="253">
        <v>1.5895999999999999</v>
      </c>
      <c r="J1434" s="253">
        <v>1.5878000000000001</v>
      </c>
      <c r="K1434" s="253">
        <v>1.5894999999999999</v>
      </c>
      <c r="L1434" s="253">
        <v>1.5875999999999999</v>
      </c>
      <c r="M1434" s="253">
        <v>1.5923</v>
      </c>
      <c r="N1434" s="253">
        <v>1.5923</v>
      </c>
      <c r="O1434" s="253">
        <v>1.5942000000000001</v>
      </c>
      <c r="P1434" s="253">
        <v>1.5992999999999999</v>
      </c>
      <c r="Q1434" s="253">
        <v>1.6046</v>
      </c>
      <c r="R1434" s="253">
        <v>1.5988</v>
      </c>
      <c r="S1434" s="253">
        <v>1.6113999999999999</v>
      </c>
      <c r="T1434" s="253">
        <v>1.6113999999999999</v>
      </c>
      <c r="U1434" s="253">
        <v>1.6025</v>
      </c>
      <c r="V1434" s="253">
        <v>1.6032999999999999</v>
      </c>
      <c r="W1434" s="253">
        <v>1.6032999999999999</v>
      </c>
      <c r="X1434" s="253">
        <v>1.6032999999999999</v>
      </c>
      <c r="Y1434" s="253">
        <v>1.6032999999999999</v>
      </c>
      <c r="Z1434" s="247">
        <f ca="1">[1]ExtEntry!$R39</f>
        <v>1.2103999999999999</v>
      </c>
      <c r="AB1434" s="320">
        <v>37362</v>
      </c>
      <c r="AC1434" s="320">
        <v>7070</v>
      </c>
      <c r="AD1434" s="320">
        <v>7070</v>
      </c>
      <c r="AE1434" s="320">
        <v>7270.2</v>
      </c>
      <c r="AF1434" s="320">
        <v>7070</v>
      </c>
      <c r="AG1434" s="320">
        <v>7280</v>
      </c>
      <c r="AH1434" s="320">
        <v>6981.7999999999993</v>
      </c>
      <c r="AI1434" s="320">
        <v>6650.7</v>
      </c>
      <c r="AJ1434" s="320">
        <v>6650.7</v>
      </c>
      <c r="AK1434" s="320">
        <v>6342</v>
      </c>
      <c r="AL1434" s="320">
        <v>6101.2000000000007</v>
      </c>
      <c r="AM1434" s="320">
        <v>6300</v>
      </c>
      <c r="AN1434" s="320">
        <v>6299.3</v>
      </c>
      <c r="AO1434" s="320">
        <v>5742.8</v>
      </c>
      <c r="AP1434" s="320">
        <v>5467.7</v>
      </c>
      <c r="AQ1434" s="320">
        <v>5348.7</v>
      </c>
      <c r="AR1434" s="320">
        <v>4966.5</v>
      </c>
      <c r="AS1434" s="320">
        <v>4966.5</v>
      </c>
      <c r="AT1434" s="320">
        <v>4795</v>
      </c>
      <c r="AU1434" s="320">
        <v>5274.5</v>
      </c>
      <c r="AV1434" s="320" t="str">
        <f ca="1">IF(_xlfn.XLOOKUP(A1434,TabCalc[Ticker],ListExtra_n)&gt;0,             _xlfn.XLOOKUP(A1434,TabCalc[Ticker],ListExtra_n)*_xlfn.XLOOKUP(A1434,TabTRADER[ClickTick],TabTRADER[M])*_xlfn.XLOOKUP(A1434,TabCalc[Ticker],ListScale),               "")</f>
        <v/>
      </c>
      <c r="AX1434" s="88" t="str">
        <f t="shared" ca="1" si="113"/>
        <v>RIGL</v>
      </c>
    </row>
    <row r="1435" spans="1:50" hidden="1">
      <c r="A1435" s="88" t="str">
        <f t="shared" ca="1" si="112"/>
        <v>RWE</v>
      </c>
      <c r="F1435" s="253">
        <v>0.46550000000000002</v>
      </c>
      <c r="G1435" s="253">
        <v>1.2121</v>
      </c>
      <c r="H1435" s="253">
        <v>1.1981999999999999</v>
      </c>
      <c r="I1435" s="253">
        <v>1.2156</v>
      </c>
      <c r="J1435" s="253">
        <v>1.2156</v>
      </c>
      <c r="K1435" s="253">
        <v>1.2136</v>
      </c>
      <c r="L1435" s="253">
        <v>1.212</v>
      </c>
      <c r="M1435" s="253">
        <v>1.2136</v>
      </c>
      <c r="N1435" s="253">
        <v>1.2136</v>
      </c>
      <c r="O1435" s="253">
        <v>1.2136</v>
      </c>
      <c r="P1435" s="253">
        <v>1.2232000000000001</v>
      </c>
      <c r="Q1435" s="253">
        <v>1.2205999999999999</v>
      </c>
      <c r="R1435" s="253">
        <v>1.2163999999999999</v>
      </c>
      <c r="S1435" s="253">
        <v>1.2173</v>
      </c>
      <c r="T1435" s="253">
        <v>1.2173</v>
      </c>
      <c r="U1435" s="253">
        <v>1.2125999999999999</v>
      </c>
      <c r="V1435" s="253">
        <v>1.2112000000000001</v>
      </c>
      <c r="W1435" s="253">
        <v>1.2112000000000001</v>
      </c>
      <c r="X1435" s="253">
        <v>1.2112000000000001</v>
      </c>
      <c r="Y1435" s="253">
        <v>1.2112000000000001</v>
      </c>
      <c r="Z1435" s="247">
        <f ca="1">[1]ExtEntry!$R40</f>
        <v>0.51729999999999998</v>
      </c>
      <c r="AB1435" s="320"/>
      <c r="AC1435" s="320">
        <v>36829</v>
      </c>
      <c r="AD1435" s="320">
        <v>36608</v>
      </c>
      <c r="AE1435" s="320">
        <v>36556</v>
      </c>
      <c r="AF1435" s="320">
        <v>37102</v>
      </c>
      <c r="AG1435" s="320">
        <v>38350</v>
      </c>
      <c r="AH1435" s="320">
        <v>37388</v>
      </c>
      <c r="AI1435" s="320">
        <v>36920</v>
      </c>
      <c r="AJ1435" s="320">
        <v>36920</v>
      </c>
      <c r="AK1435" s="320">
        <v>34879</v>
      </c>
      <c r="AL1435" s="320">
        <v>35594</v>
      </c>
      <c r="AM1435" s="320">
        <v>36504</v>
      </c>
      <c r="AN1435" s="320">
        <v>36543</v>
      </c>
      <c r="AO1435" s="320">
        <v>36322</v>
      </c>
      <c r="AP1435" s="320">
        <v>38298</v>
      </c>
      <c r="AQ1435" s="320"/>
      <c r="AR1435" s="320"/>
      <c r="AS1435" s="320"/>
      <c r="AT1435" s="320"/>
      <c r="AU1435" s="320"/>
      <c r="AV1435" s="320" t="str">
        <f ca="1">IF(_xlfn.XLOOKUP(A1435,TabCalc[Ticker],ListExtra_n)&gt;0,             _xlfn.XLOOKUP(A1435,TabCalc[Ticker],ListExtra_n)*_xlfn.XLOOKUP(A1435,TabTRADER[ClickTick],TabTRADER[M])*_xlfn.XLOOKUP(A1435,TabCalc[Ticker],ListScale),               "")</f>
        <v/>
      </c>
      <c r="AX1435" s="88" t="str">
        <f t="shared" ca="1" si="113"/>
        <v>RWE</v>
      </c>
    </row>
    <row r="1436" spans="1:50" hidden="1">
      <c r="A1436" s="88" t="str">
        <f t="shared" ca="1" si="112"/>
        <v>SAP</v>
      </c>
      <c r="F1436" s="253">
        <v>1.1701999999999999</v>
      </c>
      <c r="G1436" s="253">
        <v>0.47399999999999998</v>
      </c>
      <c r="H1436" s="253">
        <v>0.47410000000000002</v>
      </c>
      <c r="I1436" s="253">
        <v>0.51449999999999996</v>
      </c>
      <c r="J1436" s="253">
        <v>0.51370000000000005</v>
      </c>
      <c r="K1436" s="253">
        <v>0.51719999999999999</v>
      </c>
      <c r="L1436" s="253">
        <v>0.51739999999999997</v>
      </c>
      <c r="M1436" s="253">
        <v>0.51849999999999996</v>
      </c>
      <c r="N1436" s="253">
        <v>0.51849999999999996</v>
      </c>
      <c r="O1436" s="253">
        <v>0.5222</v>
      </c>
      <c r="P1436" s="253">
        <v>0.51570000000000005</v>
      </c>
      <c r="Q1436" s="253">
        <v>0.51870000000000005</v>
      </c>
      <c r="R1436" s="253">
        <v>0.51549999999999996</v>
      </c>
      <c r="S1436" s="253">
        <v>0.51639999999999997</v>
      </c>
      <c r="T1436" s="253">
        <v>0.51639999999999997</v>
      </c>
      <c r="U1436" s="253">
        <v>0.50360000000000005</v>
      </c>
      <c r="V1436" s="253">
        <v>0.51600000000000001</v>
      </c>
      <c r="W1436" s="253">
        <v>0.51600000000000001</v>
      </c>
      <c r="X1436" s="253">
        <v>0.51759999999999995</v>
      </c>
      <c r="Y1436" s="253">
        <v>0.51759999999999995</v>
      </c>
      <c r="Z1436" s="247">
        <f ca="1">[1]ExtEntry!$R41</f>
        <v>0.9919</v>
      </c>
      <c r="AB1436" s="320">
        <v>451100</v>
      </c>
      <c r="AC1436" s="320"/>
      <c r="AD1436" s="320"/>
      <c r="AE1436" s="320"/>
      <c r="AF1436" s="320"/>
      <c r="AG1436" s="320"/>
      <c r="AH1436" s="320"/>
      <c r="AI1436" s="320"/>
      <c r="AJ1436" s="320"/>
      <c r="AK1436" s="320"/>
      <c r="AL1436" s="320"/>
      <c r="AM1436" s="320"/>
      <c r="AN1436" s="320"/>
      <c r="AO1436" s="320"/>
      <c r="AP1436" s="320"/>
      <c r="AQ1436" s="320"/>
      <c r="AR1436" s="320"/>
      <c r="AS1436" s="320"/>
      <c r="AT1436" s="320"/>
      <c r="AU1436" s="320"/>
      <c r="AV1436" s="320">
        <f ca="1">IF(_xlfn.XLOOKUP(A1436,TabCalc[Ticker],ListExtra_n)&gt;0,             _xlfn.XLOOKUP(A1436,TabCalc[Ticker],ListExtra_n)*_xlfn.XLOOKUP(A1436,TabTRADER[ClickTick],TabTRADER[M])*_xlfn.XLOOKUP(A1436,TabCalc[Ticker],ListScale),               "")</f>
        <v>536705</v>
      </c>
      <c r="AX1436" s="88" t="str">
        <f t="shared" ca="1" si="113"/>
        <v>SAP</v>
      </c>
    </row>
    <row r="1437" spans="1:50" hidden="1">
      <c r="A1437" s="88" t="str">
        <f t="shared" ca="1" si="112"/>
        <v>SHECY</v>
      </c>
      <c r="F1437" s="253">
        <v>1.4835</v>
      </c>
      <c r="G1437" s="253">
        <v>1.1707000000000001</v>
      </c>
      <c r="H1437" s="253">
        <v>1.1693</v>
      </c>
      <c r="I1437" s="253">
        <v>0.99119999999999997</v>
      </c>
      <c r="J1437" s="253">
        <v>0.99109999999999998</v>
      </c>
      <c r="K1437" s="253">
        <v>0.99070000000000003</v>
      </c>
      <c r="L1437" s="253">
        <v>0.99160000000000004</v>
      </c>
      <c r="M1437" s="253">
        <v>0.99219999999999997</v>
      </c>
      <c r="N1437" s="253">
        <v>0.99219999999999997</v>
      </c>
      <c r="O1437" s="253">
        <v>0.9879</v>
      </c>
      <c r="P1437" s="253">
        <v>0.99119999999999997</v>
      </c>
      <c r="Q1437" s="253">
        <v>0.9909</v>
      </c>
      <c r="R1437" s="253">
        <v>0.99129999999999996</v>
      </c>
      <c r="S1437" s="253">
        <v>0.99099999999999999</v>
      </c>
      <c r="T1437" s="253">
        <v>0.99099999999999999</v>
      </c>
      <c r="U1437" s="253">
        <v>0.98560000000000003</v>
      </c>
      <c r="V1437" s="253">
        <v>0.9919</v>
      </c>
      <c r="W1437" s="253">
        <v>0.9919</v>
      </c>
      <c r="X1437" s="253">
        <v>0.99260000000000004</v>
      </c>
      <c r="Y1437" s="253">
        <v>0.99260000000000004</v>
      </c>
      <c r="Z1437" s="247">
        <f ca="1">[1]ExtEntry!$R42</f>
        <v>1.5089999999999999</v>
      </c>
      <c r="AB1437" s="320">
        <v>169942.5</v>
      </c>
      <c r="AC1437" s="320">
        <v>455800</v>
      </c>
      <c r="AD1437" s="320">
        <v>455600</v>
      </c>
      <c r="AE1437" s="320">
        <v>580250</v>
      </c>
      <c r="AF1437" s="320">
        <v>575375</v>
      </c>
      <c r="AG1437" s="320">
        <v>587500</v>
      </c>
      <c r="AH1437" s="320">
        <v>593000</v>
      </c>
      <c r="AI1437" s="320">
        <v>594500</v>
      </c>
      <c r="AJ1437" s="320">
        <v>547400</v>
      </c>
      <c r="AK1437" s="320">
        <v>532220</v>
      </c>
      <c r="AL1437" s="320">
        <v>535210</v>
      </c>
      <c r="AM1437" s="320">
        <v>538660</v>
      </c>
      <c r="AN1437" s="320">
        <v>536360</v>
      </c>
      <c r="AO1437" s="320">
        <v>531185</v>
      </c>
      <c r="AP1437" s="320">
        <v>548780</v>
      </c>
      <c r="AQ1437" s="320">
        <v>552920</v>
      </c>
      <c r="AR1437" s="320">
        <v>544755</v>
      </c>
      <c r="AS1437" s="320">
        <v>544755</v>
      </c>
      <c r="AT1437" s="320">
        <v>556600</v>
      </c>
      <c r="AU1437" s="320">
        <v>536705</v>
      </c>
      <c r="AV1437" s="320">
        <f ca="1">IF(_xlfn.XLOOKUP(A1437,TabCalc[Ticker],ListExtra_n)&gt;0,             _xlfn.XLOOKUP(A1437,TabCalc[Ticker],ListExtra_n)*_xlfn.XLOOKUP(A1437,TabTRADER[ClickTick],TabTRADER[M])*_xlfn.XLOOKUP(A1437,TabCalc[Ticker],ListScale),               "")</f>
        <v>154631.56</v>
      </c>
      <c r="AX1437" s="88" t="str">
        <f t="shared" ca="1" si="113"/>
        <v>SHECY</v>
      </c>
    </row>
    <row r="1438" spans="1:50" hidden="1">
      <c r="A1438" s="88" t="str">
        <f t="shared" ca="1" si="112"/>
        <v>SSYS</v>
      </c>
      <c r="F1438" s="253">
        <v>1.5975999999999999</v>
      </c>
      <c r="G1438" s="253">
        <v>1.4843999999999999</v>
      </c>
      <c r="H1438" s="253">
        <v>1.4869000000000001</v>
      </c>
      <c r="I1438" s="253">
        <v>1.5165</v>
      </c>
      <c r="J1438" s="253">
        <v>1.5108999999999999</v>
      </c>
      <c r="K1438" s="253">
        <v>1.5333000000000001</v>
      </c>
      <c r="L1438" s="253">
        <v>1.5344</v>
      </c>
      <c r="M1438" s="253">
        <v>1.5278</v>
      </c>
      <c r="N1438" s="253">
        <v>1.5278</v>
      </c>
      <c r="O1438" s="253">
        <v>1.5268999999999999</v>
      </c>
      <c r="P1438" s="253">
        <v>1.5268999999999999</v>
      </c>
      <c r="Q1438" s="253">
        <v>1.5172000000000001</v>
      </c>
      <c r="R1438" s="253">
        <v>1.5262</v>
      </c>
      <c r="S1438" s="253">
        <v>1.5257000000000001</v>
      </c>
      <c r="T1438" s="253">
        <v>1.5257000000000001</v>
      </c>
      <c r="U1438" s="253">
        <v>1.5258</v>
      </c>
      <c r="V1438" s="253">
        <v>1.5137</v>
      </c>
      <c r="W1438" s="253">
        <v>1.5137</v>
      </c>
      <c r="X1438" s="253">
        <v>1.5149999999999999</v>
      </c>
      <c r="Y1438" s="253">
        <v>1.5089999999999999</v>
      </c>
      <c r="Z1438" s="247">
        <f ca="1">[1]ExtEntry!$R43</f>
        <v>1.6156999999999999</v>
      </c>
      <c r="AB1438" s="320"/>
      <c r="AC1438" s="320">
        <v>171150</v>
      </c>
      <c r="AD1438" s="320">
        <v>172830</v>
      </c>
      <c r="AE1438" s="320">
        <v>173468.40000000002</v>
      </c>
      <c r="AF1438" s="320">
        <v>179970</v>
      </c>
      <c r="AG1438" s="320">
        <v>179339.99999999997</v>
      </c>
      <c r="AH1438" s="320">
        <v>176190</v>
      </c>
      <c r="AI1438" s="320">
        <v>175665</v>
      </c>
      <c r="AJ1438" s="320">
        <v>175665</v>
      </c>
      <c r="AK1438" s="320">
        <v>170940</v>
      </c>
      <c r="AL1438" s="320">
        <v>173985</v>
      </c>
      <c r="AM1438" s="320">
        <v>171240.73339999997</v>
      </c>
      <c r="AN1438" s="320">
        <v>162328.6</v>
      </c>
      <c r="AO1438" s="320">
        <v>162822</v>
      </c>
      <c r="AP1438" s="320">
        <v>161243.12</v>
      </c>
      <c r="AQ1438" s="320">
        <v>160552.35999999999</v>
      </c>
      <c r="AR1438" s="320">
        <v>158282.72</v>
      </c>
      <c r="AS1438" s="320">
        <v>158282.72</v>
      </c>
      <c r="AT1438" s="320">
        <v>159368.19999999998</v>
      </c>
      <c r="AU1438" s="320">
        <v>154631.56</v>
      </c>
      <c r="AV1438" s="320" t="str">
        <f ca="1">IF(_xlfn.XLOOKUP(A1438,TabCalc[Ticker],ListExtra_n)&gt;0,             _xlfn.XLOOKUP(A1438,TabCalc[Ticker],ListExtra_n)*_xlfn.XLOOKUP(A1438,TabTRADER[ClickTick],TabTRADER[M])*_xlfn.XLOOKUP(A1438,TabCalc[Ticker],ListScale),               "")</f>
        <v/>
      </c>
      <c r="AX1438" s="88" t="str">
        <f t="shared" ca="1" si="113"/>
        <v>SSYS</v>
      </c>
    </row>
    <row r="1439" spans="1:50" hidden="1">
      <c r="A1439" s="88" t="str">
        <f t="shared" ca="1" si="112"/>
        <v>TSLA</v>
      </c>
      <c r="F1439" s="253">
        <v>2.0724</v>
      </c>
      <c r="G1439" s="253">
        <v>1.5935999999999999</v>
      </c>
      <c r="H1439" s="253">
        <v>1.591</v>
      </c>
      <c r="I1439" s="253">
        <v>1.6167</v>
      </c>
      <c r="J1439" s="253">
        <v>1.6133999999999999</v>
      </c>
      <c r="K1439" s="253">
        <v>1.6134999999999999</v>
      </c>
      <c r="L1439" s="253">
        <v>1.6134999999999999</v>
      </c>
      <c r="M1439" s="253">
        <v>1.6153999999999999</v>
      </c>
      <c r="N1439" s="253">
        <v>1.6153999999999999</v>
      </c>
      <c r="O1439" s="253">
        <v>1.6241000000000001</v>
      </c>
      <c r="P1439" s="253">
        <v>1.6181000000000001</v>
      </c>
      <c r="Q1439" s="253">
        <v>1.6180000000000001</v>
      </c>
      <c r="R1439" s="253">
        <v>1.6106</v>
      </c>
      <c r="S1439" s="253">
        <v>1.6175999999999999</v>
      </c>
      <c r="T1439" s="253">
        <v>1.6175999999999999</v>
      </c>
      <c r="U1439" s="253">
        <v>1.6105</v>
      </c>
      <c r="V1439" s="253">
        <v>1.611</v>
      </c>
      <c r="W1439" s="253">
        <v>1.611</v>
      </c>
      <c r="X1439" s="253">
        <v>1.611</v>
      </c>
      <c r="Y1439" s="253">
        <v>1.611</v>
      </c>
      <c r="Z1439" s="247">
        <f ca="1">[1]ExtEntry!$R44</f>
        <v>2.0724</v>
      </c>
      <c r="AB1439" s="320"/>
      <c r="AC1439" s="320"/>
      <c r="AD1439" s="320"/>
      <c r="AE1439" s="320"/>
      <c r="AF1439" s="320"/>
      <c r="AG1439" s="320"/>
      <c r="AH1439" s="320"/>
      <c r="AI1439" s="320"/>
      <c r="AJ1439" s="320"/>
      <c r="AK1439" s="320"/>
      <c r="AL1439" s="320"/>
      <c r="AM1439" s="320"/>
      <c r="AN1439" s="320"/>
      <c r="AO1439" s="320"/>
      <c r="AP1439" s="320"/>
      <c r="AQ1439" s="320"/>
      <c r="AR1439" s="320"/>
      <c r="AS1439" s="320"/>
      <c r="AT1439" s="320"/>
      <c r="AU1439" s="320"/>
      <c r="AV1439" s="320" t="str">
        <f ca="1">IF(_xlfn.XLOOKUP(A1439,TabCalc[Ticker],ListExtra_n)&gt;0,             _xlfn.XLOOKUP(A1439,TabCalc[Ticker],ListExtra_n)*_xlfn.XLOOKUP(A1439,TabTRADER[ClickTick],TabTRADER[M])*_xlfn.XLOOKUP(A1439,TabCalc[Ticker],ListScale),               "")</f>
        <v/>
      </c>
      <c r="AX1439" s="88" t="str">
        <f t="shared" ca="1" si="113"/>
        <v>TSLA</v>
      </c>
    </row>
    <row r="1440" spans="1:50" hidden="1">
      <c r="A1440" s="88" t="str">
        <f t="shared" ca="1" si="112"/>
        <v>TSM</v>
      </c>
      <c r="F1440" s="253">
        <v>1.2793000000000001</v>
      </c>
      <c r="G1440" s="253">
        <v>2.0783</v>
      </c>
      <c r="H1440" s="253">
        <v>2.0863</v>
      </c>
      <c r="I1440" s="253">
        <v>2.0691999999999999</v>
      </c>
      <c r="J1440" s="253">
        <v>2.0733999999999999</v>
      </c>
      <c r="K1440" s="253">
        <v>2.0708000000000002</v>
      </c>
      <c r="L1440" s="253">
        <v>2.0739000000000001</v>
      </c>
      <c r="M1440" s="253">
        <v>2.0718000000000001</v>
      </c>
      <c r="N1440" s="253">
        <v>2.0718000000000001</v>
      </c>
      <c r="O1440" s="253">
        <v>2.0808</v>
      </c>
      <c r="P1440" s="253">
        <v>2.0733999999999999</v>
      </c>
      <c r="Q1440" s="253">
        <v>2.0754999999999999</v>
      </c>
      <c r="R1440" s="253">
        <v>2.0739000000000001</v>
      </c>
      <c r="S1440" s="253">
        <v>2.0724999999999998</v>
      </c>
      <c r="T1440" s="253">
        <v>2.0724999999999998</v>
      </c>
      <c r="U1440" s="253">
        <v>2.0714999999999999</v>
      </c>
      <c r="V1440" s="253">
        <v>2.0720000000000001</v>
      </c>
      <c r="W1440" s="253">
        <v>2.0720000000000001</v>
      </c>
      <c r="X1440" s="253">
        <v>2.0720000000000001</v>
      </c>
      <c r="Y1440" s="253">
        <v>2.0720000000000001</v>
      </c>
      <c r="Z1440" s="247">
        <f ca="1">[1]ExtEntry!$R45</f>
        <v>1.3099000000000001</v>
      </c>
      <c r="AB1440" s="320">
        <v>686712.5</v>
      </c>
      <c r="AC1440" s="320"/>
      <c r="AD1440" s="320"/>
      <c r="AE1440" s="320"/>
      <c r="AF1440" s="320"/>
      <c r="AG1440" s="320"/>
      <c r="AH1440" s="320"/>
      <c r="AI1440" s="320"/>
      <c r="AJ1440" s="320"/>
      <c r="AK1440" s="320"/>
      <c r="AL1440" s="320"/>
      <c r="AM1440" s="320"/>
      <c r="AN1440" s="320"/>
      <c r="AO1440" s="320"/>
      <c r="AP1440" s="320"/>
      <c r="AQ1440" s="320"/>
      <c r="AR1440" s="320"/>
      <c r="AS1440" s="320"/>
      <c r="AT1440" s="320"/>
      <c r="AU1440" s="320"/>
      <c r="AV1440" s="320">
        <f ca="1">IF(_xlfn.XLOOKUP(A1440,TabCalc[Ticker],ListExtra_n)&gt;0,             _xlfn.XLOOKUP(A1440,TabCalc[Ticker],ListExtra_n)*_xlfn.XLOOKUP(A1440,TabTRADER[ClickTick],TabTRADER[M])*_xlfn.XLOOKUP(A1440,TabCalc[Ticker],ListScale),               "")</f>
        <v>825888</v>
      </c>
      <c r="AX1440" s="88" t="str">
        <f t="shared" ca="1" si="113"/>
        <v>TSM</v>
      </c>
    </row>
    <row r="1441" spans="1:50" hidden="1">
      <c r="A1441" s="88" t="str">
        <f t="shared" ca="1" si="112"/>
        <v>UN0</v>
      </c>
      <c r="F1441" s="253">
        <v>1.0088999999999999</v>
      </c>
      <c r="G1441" s="253">
        <v>1.2818000000000001</v>
      </c>
      <c r="H1441" s="253">
        <v>1.2902</v>
      </c>
      <c r="I1441" s="253">
        <v>1.3090999999999999</v>
      </c>
      <c r="J1441" s="253">
        <v>1.3093999999999999</v>
      </c>
      <c r="K1441" s="253">
        <v>1.3078000000000001</v>
      </c>
      <c r="L1441" s="253">
        <v>1.3077000000000001</v>
      </c>
      <c r="M1441" s="253">
        <v>1.3088</v>
      </c>
      <c r="N1441" s="253">
        <v>1.3088</v>
      </c>
      <c r="O1441" s="253">
        <v>1.3044</v>
      </c>
      <c r="P1441" s="253">
        <v>1.2985</v>
      </c>
      <c r="Q1441" s="253">
        <v>1.3010999999999999</v>
      </c>
      <c r="R1441" s="253">
        <v>1.2997000000000001</v>
      </c>
      <c r="S1441" s="253">
        <v>1.3035000000000001</v>
      </c>
      <c r="T1441" s="253">
        <v>1.3035000000000001</v>
      </c>
      <c r="U1441" s="253">
        <v>1.3083</v>
      </c>
      <c r="V1441" s="253">
        <v>1.3088</v>
      </c>
      <c r="W1441" s="253">
        <v>1.3088</v>
      </c>
      <c r="X1441" s="253">
        <v>1.3088</v>
      </c>
      <c r="Y1441" s="253">
        <v>1.3088</v>
      </c>
      <c r="Z1441" s="247">
        <f ca="1">[1]ExtEntry!$R46</f>
        <v>1.0680000000000001</v>
      </c>
      <c r="AB1441" s="320">
        <v>80270</v>
      </c>
      <c r="AC1441" s="320">
        <v>698112.5</v>
      </c>
      <c r="AD1441" s="320">
        <v>721500</v>
      </c>
      <c r="AE1441" s="320">
        <v>720325</v>
      </c>
      <c r="AF1441" s="320">
        <v>730750</v>
      </c>
      <c r="AG1441" s="320">
        <v>735250</v>
      </c>
      <c r="AH1441" s="320">
        <v>761275</v>
      </c>
      <c r="AI1441" s="320">
        <v>749599.99999999988</v>
      </c>
      <c r="AJ1441" s="320">
        <v>749700</v>
      </c>
      <c r="AK1441" s="320">
        <v>758075</v>
      </c>
      <c r="AL1441" s="320">
        <v>739937.5</v>
      </c>
      <c r="AM1441" s="320">
        <v>762662.5</v>
      </c>
      <c r="AN1441" s="320">
        <v>749925.00000000012</v>
      </c>
      <c r="AO1441" s="320">
        <v>590160</v>
      </c>
      <c r="AP1441" s="320">
        <v>595588</v>
      </c>
      <c r="AQ1441" s="320">
        <v>589040</v>
      </c>
      <c r="AR1441" s="320">
        <v>808919.99999999988</v>
      </c>
      <c r="AS1441" s="320">
        <v>808919.99999999988</v>
      </c>
      <c r="AT1441" s="320">
        <v>814072</v>
      </c>
      <c r="AU1441" s="320">
        <v>826000</v>
      </c>
      <c r="AV1441" s="320">
        <f ca="1">IF(_xlfn.XLOOKUP(A1441,TabCalc[Ticker],ListExtra_n)&gt;0,             _xlfn.XLOOKUP(A1441,TabCalc[Ticker],ListExtra_n)*_xlfn.XLOOKUP(A1441,TabTRADER[ClickTick],TabTRADER[M])*_xlfn.XLOOKUP(A1441,TabCalc[Ticker],ListScale),               "")</f>
        <v>69345</v>
      </c>
      <c r="AX1441" s="88" t="str">
        <f t="shared" ca="1" si="113"/>
        <v>UN0</v>
      </c>
    </row>
    <row r="1442" spans="1:50" hidden="1">
      <c r="A1442" s="88" t="str">
        <f t="shared" ca="1" si="112"/>
        <v>UNIT</v>
      </c>
      <c r="F1442" s="253">
        <v>1.5744</v>
      </c>
      <c r="G1442" s="253">
        <v>1.0121</v>
      </c>
      <c r="H1442" s="253">
        <v>1.0125</v>
      </c>
      <c r="I1442" s="253">
        <v>1.0710999999999999</v>
      </c>
      <c r="J1442" s="253">
        <v>1.0702</v>
      </c>
      <c r="K1442" s="253">
        <v>1.0696000000000001</v>
      </c>
      <c r="L1442" s="253">
        <v>1.0682</v>
      </c>
      <c r="M1442" s="253">
        <v>1.0703</v>
      </c>
      <c r="N1442" s="253">
        <v>1.0703</v>
      </c>
      <c r="O1442" s="253">
        <v>1.0660000000000001</v>
      </c>
      <c r="P1442" s="253">
        <v>1.0705</v>
      </c>
      <c r="Q1442" s="253">
        <v>1.0669</v>
      </c>
      <c r="R1442" s="253">
        <v>1.0704</v>
      </c>
      <c r="S1442" s="253">
        <v>1.0698000000000001</v>
      </c>
      <c r="T1442" s="253">
        <v>1.0698000000000001</v>
      </c>
      <c r="U1442" s="253">
        <v>1.0736000000000001</v>
      </c>
      <c r="V1442" s="253">
        <v>1.0701000000000001</v>
      </c>
      <c r="W1442" s="253">
        <v>1.0701000000000001</v>
      </c>
      <c r="X1442" s="253">
        <v>1.0701000000000001</v>
      </c>
      <c r="Y1442" s="253">
        <v>1.0701000000000001</v>
      </c>
      <c r="Z1442" s="247">
        <f ca="1">[1]ExtEntry!$R47</f>
        <v>1.5403</v>
      </c>
      <c r="AB1442" s="320">
        <v>97728.525000000009</v>
      </c>
      <c r="AC1442" s="320">
        <v>78430</v>
      </c>
      <c r="AD1442" s="320">
        <v>78200</v>
      </c>
      <c r="AE1442" s="320">
        <v>77740</v>
      </c>
      <c r="AF1442" s="320">
        <v>78200</v>
      </c>
      <c r="AG1442" s="320">
        <v>73715</v>
      </c>
      <c r="AH1442" s="320">
        <v>74980</v>
      </c>
      <c r="AI1442" s="320">
        <v>75900</v>
      </c>
      <c r="AJ1442" s="320">
        <v>74175</v>
      </c>
      <c r="AK1442" s="320">
        <v>73370</v>
      </c>
      <c r="AL1442" s="320">
        <v>72565</v>
      </c>
      <c r="AM1442" s="320">
        <v>72680</v>
      </c>
      <c r="AN1442" s="320">
        <v>73025</v>
      </c>
      <c r="AO1442" s="320">
        <v>72565</v>
      </c>
      <c r="AP1442" s="320">
        <v>75900</v>
      </c>
      <c r="AQ1442" s="320">
        <v>72910</v>
      </c>
      <c r="AR1442" s="320">
        <v>73140</v>
      </c>
      <c r="AS1442" s="320">
        <v>73140</v>
      </c>
      <c r="AT1442" s="320">
        <v>71185</v>
      </c>
      <c r="AU1442" s="320">
        <v>69345</v>
      </c>
      <c r="AV1442" s="320">
        <f ca="1">IF(_xlfn.XLOOKUP(A1442,TabCalc[Ticker],ListExtra_n)&gt;0,             _xlfn.XLOOKUP(A1442,TabCalc[Ticker],ListExtra_n)*_xlfn.XLOOKUP(A1442,TabTRADER[ClickTick],TabTRADER[M])*_xlfn.XLOOKUP(A1442,TabCalc[Ticker],ListScale),               "")</f>
        <v>31410</v>
      </c>
      <c r="AX1442" s="88" t="str">
        <f t="shared" ca="1" si="113"/>
        <v>UNIT</v>
      </c>
    </row>
    <row r="1443" spans="1:50" hidden="1">
      <c r="A1443" s="88" t="str">
        <f t="shared" ca="1" si="112"/>
        <v>AVGO</v>
      </c>
      <c r="F1443" s="253">
        <v>1.2087000000000001</v>
      </c>
      <c r="G1443" s="253">
        <v>1.5692999999999999</v>
      </c>
      <c r="H1443" s="253">
        <v>1.5682</v>
      </c>
      <c r="I1443" s="253">
        <v>1.5357000000000001</v>
      </c>
      <c r="J1443" s="253">
        <v>1.5389999999999999</v>
      </c>
      <c r="K1443" s="253">
        <v>1.5358000000000001</v>
      </c>
      <c r="L1443" s="253">
        <v>1.5363</v>
      </c>
      <c r="M1443" s="253">
        <v>1.5359</v>
      </c>
      <c r="N1443" s="253">
        <v>1.5359</v>
      </c>
      <c r="O1443" s="253">
        <v>1.5388999999999999</v>
      </c>
      <c r="P1443" s="253">
        <v>1.5479000000000001</v>
      </c>
      <c r="Q1443" s="253">
        <v>1.5508</v>
      </c>
      <c r="R1443" s="253">
        <v>1.5410999999999999</v>
      </c>
      <c r="S1443" s="253">
        <v>1.5427999999999999</v>
      </c>
      <c r="T1443" s="253">
        <v>1.5427999999999999</v>
      </c>
      <c r="U1443" s="253">
        <v>1.5399</v>
      </c>
      <c r="V1443" s="253">
        <v>1.5399</v>
      </c>
      <c r="W1443" s="253">
        <v>1.5399</v>
      </c>
      <c r="X1443" s="253">
        <v>1.5399</v>
      </c>
      <c r="Y1443" s="253">
        <v>1.5399</v>
      </c>
      <c r="Z1443" s="247">
        <f ca="1">[1]ExtEntry!$R48</f>
        <v>1.1964999999999999</v>
      </c>
      <c r="AB1443" s="320">
        <v>52995.200000000004</v>
      </c>
      <c r="AC1443" s="320">
        <v>98452.44</v>
      </c>
      <c r="AD1443" s="320">
        <v>97326.349999999991</v>
      </c>
      <c r="AE1443" s="320">
        <v>93143.73</v>
      </c>
      <c r="AF1443" s="320">
        <v>93948.08</v>
      </c>
      <c r="AG1443" s="320">
        <v>96682.87</v>
      </c>
      <c r="AH1443" s="320">
        <v>98613.31</v>
      </c>
      <c r="AI1443" s="320">
        <v>97165.48</v>
      </c>
      <c r="AJ1443" s="320">
        <v>97165.48</v>
      </c>
      <c r="AK1443" s="320">
        <v>87674.150000000009</v>
      </c>
      <c r="AL1443" s="320">
        <v>86226.32</v>
      </c>
      <c r="AM1443" s="320">
        <v>90408.94</v>
      </c>
      <c r="AN1443" s="320">
        <v>90248.07</v>
      </c>
      <c r="AO1443" s="320">
        <v>90891.55</v>
      </c>
      <c r="AP1443" s="320">
        <v>29315.999999999996</v>
      </c>
      <c r="AQ1443" s="320">
        <v>29315.999999999996</v>
      </c>
      <c r="AR1443" s="320">
        <v>29054.25</v>
      </c>
      <c r="AS1443" s="320">
        <v>29054.25</v>
      </c>
      <c r="AT1443" s="320">
        <v>30363</v>
      </c>
      <c r="AU1443" s="320">
        <v>31410</v>
      </c>
      <c r="AV1443" s="320">
        <f ca="1">IF(_xlfn.XLOOKUP(A1443,TabCalc[Ticker],ListExtra_n)&gt;0,             _xlfn.XLOOKUP(A1443,TabCalc[Ticker],ListExtra_n)*_xlfn.XLOOKUP(A1443,TabTRADER[ClickTick],TabTRADER[M])*_xlfn.XLOOKUP(A1443,TabCalc[Ticker],ListScale),               "")</f>
        <v>74367.3</v>
      </c>
      <c r="AX1443" s="88" t="str">
        <f t="shared" ca="1" si="113"/>
        <v>AVGO</v>
      </c>
    </row>
    <row r="1444" spans="1:50" hidden="1">
      <c r="A1444" s="88" t="str">
        <f t="shared" ca="1" si="112"/>
        <v>VLVLY</v>
      </c>
      <c r="F1444" s="253">
        <v>0.90769999999999995</v>
      </c>
      <c r="G1444" s="253">
        <v>0.90739999999999998</v>
      </c>
      <c r="H1444" s="253">
        <v>0.90600000000000003</v>
      </c>
      <c r="I1444" s="253">
        <v>0.92849999999999999</v>
      </c>
      <c r="J1444" s="253">
        <v>0.92830000000000001</v>
      </c>
      <c r="K1444" s="253">
        <v>0.9284</v>
      </c>
      <c r="L1444" s="253">
        <v>0.92469999999999997</v>
      </c>
      <c r="M1444" s="253">
        <v>0.92649999999999999</v>
      </c>
      <c r="N1444" s="253">
        <v>0.92649999999999999</v>
      </c>
      <c r="O1444" s="253">
        <v>0.92490000000000006</v>
      </c>
      <c r="P1444" s="253">
        <v>0.92749999999999999</v>
      </c>
      <c r="Q1444" s="253">
        <v>0.9264</v>
      </c>
      <c r="R1444" s="253">
        <v>0.9264</v>
      </c>
      <c r="S1444" s="253">
        <v>0.91520000000000001</v>
      </c>
      <c r="T1444" s="253">
        <v>0.91520000000000001</v>
      </c>
      <c r="U1444" s="253">
        <v>0.92649999999999999</v>
      </c>
      <c r="V1444" s="253">
        <v>0.92090000000000005</v>
      </c>
      <c r="W1444" s="253">
        <v>0.92090000000000005</v>
      </c>
      <c r="X1444" s="253">
        <v>0.92090000000000005</v>
      </c>
      <c r="Y1444" s="253">
        <v>0.9163</v>
      </c>
      <c r="Z1444" s="247">
        <f ca="1">[1]ExtEntry!$R49</f>
        <v>0.91510000000000002</v>
      </c>
      <c r="AB1444" s="320"/>
      <c r="AC1444" s="320"/>
      <c r="AD1444" s="320"/>
      <c r="AE1444" s="320"/>
      <c r="AF1444" s="320"/>
      <c r="AG1444" s="320"/>
      <c r="AH1444" s="320"/>
      <c r="AI1444" s="320"/>
      <c r="AJ1444" s="320"/>
      <c r="AK1444" s="320"/>
      <c r="AL1444" s="320"/>
      <c r="AM1444" s="320"/>
      <c r="AN1444" s="320"/>
      <c r="AO1444" s="320"/>
      <c r="AP1444" s="320"/>
      <c r="AQ1444" s="320"/>
      <c r="AR1444" s="320"/>
      <c r="AS1444" s="320"/>
      <c r="AT1444" s="320"/>
      <c r="AU1444" s="320"/>
      <c r="AV1444" s="320" t="str">
        <f ca="1">IF(_xlfn.XLOOKUP(A1444,TabCalc[Ticker],ListExtra_n)&gt;0,             _xlfn.XLOOKUP(A1444,TabCalc[Ticker],ListExtra_n)*_xlfn.XLOOKUP(A1444,TabTRADER[ClickTick],TabTRADER[M])*_xlfn.XLOOKUP(A1444,TabCalc[Ticker],ListScale),               "")</f>
        <v/>
      </c>
      <c r="AX1444" s="88" t="str">
        <f t="shared" ca="1" si="113"/>
        <v>VLVLY</v>
      </c>
    </row>
    <row r="1445" spans="1:50" hidden="1">
      <c r="A1445" s="88" t="str">
        <f t="shared" ca="1" si="112"/>
        <v>VONN</v>
      </c>
      <c r="F1445" s="253">
        <v>1.0304</v>
      </c>
      <c r="G1445" s="253">
        <v>1.0302</v>
      </c>
      <c r="H1445" s="253">
        <v>1.0330999999999999</v>
      </c>
      <c r="I1445" s="253">
        <v>1.0251999999999999</v>
      </c>
      <c r="J1445" s="253">
        <v>1.0215000000000001</v>
      </c>
      <c r="K1445" s="253">
        <v>1.0190999999999999</v>
      </c>
      <c r="L1445" s="253">
        <v>1.0167999999999999</v>
      </c>
      <c r="M1445" s="253">
        <v>1.0202</v>
      </c>
      <c r="N1445" s="253">
        <v>1.0202</v>
      </c>
      <c r="O1445" s="253">
        <v>1.0141</v>
      </c>
      <c r="P1445" s="253">
        <v>1.0185999999999999</v>
      </c>
      <c r="Q1445" s="253">
        <v>1.0196000000000001</v>
      </c>
      <c r="R1445" s="253">
        <v>1.0192000000000001</v>
      </c>
      <c r="S1445" s="253">
        <v>0.9899</v>
      </c>
      <c r="T1445" s="253">
        <v>0.9899</v>
      </c>
      <c r="U1445" s="253">
        <v>0.99680000000000002</v>
      </c>
      <c r="V1445" s="253">
        <v>0.99439999999999995</v>
      </c>
      <c r="W1445" s="253">
        <v>0.99439999999999995</v>
      </c>
      <c r="X1445" s="253">
        <v>0.99439999999999995</v>
      </c>
      <c r="Y1445" s="253">
        <v>0.99439999999999995</v>
      </c>
      <c r="Z1445" s="247">
        <f ca="1">[1]ExtEntry!$R50</f>
        <v>1.0084</v>
      </c>
      <c r="AB1445" s="320"/>
      <c r="AC1445" s="320"/>
      <c r="AD1445" s="320"/>
      <c r="AE1445" s="320"/>
      <c r="AF1445" s="320"/>
      <c r="AG1445" s="320"/>
      <c r="AH1445" s="320"/>
      <c r="AI1445" s="320"/>
      <c r="AJ1445" s="320"/>
      <c r="AK1445" s="320"/>
      <c r="AL1445" s="320"/>
      <c r="AM1445" s="320"/>
      <c r="AN1445" s="320"/>
      <c r="AO1445" s="320"/>
      <c r="AP1445" s="320"/>
      <c r="AQ1445" s="320"/>
      <c r="AR1445" s="320"/>
      <c r="AS1445" s="320"/>
      <c r="AT1445" s="320"/>
      <c r="AU1445" s="320"/>
      <c r="AV1445" s="320" t="str">
        <f ca="1">IF(_xlfn.XLOOKUP(A1445,TabCalc[Ticker],ListExtra_n)&gt;0,             _xlfn.XLOOKUP(A1445,TabCalc[Ticker],ListExtra_n)*_xlfn.XLOOKUP(A1445,TabTRADER[ClickTick],TabTRADER[M])*_xlfn.XLOOKUP(A1445,TabCalc[Ticker],ListScale),               "")</f>
        <v/>
      </c>
      <c r="AX1445" s="88" t="str">
        <f t="shared" ca="1" si="113"/>
        <v>VONN</v>
      </c>
    </row>
    <row r="1446" spans="1:50" hidden="1">
      <c r="A1446" s="88" t="str">
        <f t="shared" ca="1" si="112"/>
        <v>VTRS</v>
      </c>
      <c r="F1446" s="253">
        <v>0.89019999999999999</v>
      </c>
      <c r="G1446" s="253">
        <v>0.88890000000000002</v>
      </c>
      <c r="H1446" s="253">
        <v>0.88959999999999995</v>
      </c>
      <c r="I1446" s="253">
        <v>0.89329999999999998</v>
      </c>
      <c r="J1446" s="253">
        <v>0.89339999999999997</v>
      </c>
      <c r="K1446" s="253">
        <v>0.89439999999999997</v>
      </c>
      <c r="L1446" s="253">
        <v>0.8931</v>
      </c>
      <c r="M1446" s="253">
        <v>0.89539999999999997</v>
      </c>
      <c r="N1446" s="253">
        <v>0.89539999999999997</v>
      </c>
      <c r="O1446" s="253">
        <v>0.89149999999999996</v>
      </c>
      <c r="P1446" s="253">
        <v>0.89359999999999995</v>
      </c>
      <c r="Q1446" s="253">
        <v>0.8921</v>
      </c>
      <c r="R1446" s="253">
        <v>0.89259999999999995</v>
      </c>
      <c r="S1446" s="253">
        <v>0.88970000000000005</v>
      </c>
      <c r="T1446" s="253">
        <v>0.88970000000000005</v>
      </c>
      <c r="U1446" s="253">
        <v>0.89319999999999999</v>
      </c>
      <c r="V1446" s="253">
        <v>0.89280000000000004</v>
      </c>
      <c r="W1446" s="253">
        <v>0.89280000000000004</v>
      </c>
      <c r="X1446" s="253">
        <v>0.89280000000000004</v>
      </c>
      <c r="Y1446" s="253">
        <v>0.89280000000000004</v>
      </c>
      <c r="Z1446" s="247">
        <f ca="1">[1]ExtEntry!$R51</f>
        <v>0.89270000000000005</v>
      </c>
      <c r="AB1446" s="320">
        <v>47671</v>
      </c>
      <c r="AC1446" s="320">
        <v>49500</v>
      </c>
      <c r="AD1446" s="320">
        <v>50450</v>
      </c>
      <c r="AE1446" s="320">
        <v>50550</v>
      </c>
      <c r="AF1446" s="320">
        <v>50950</v>
      </c>
      <c r="AG1446" s="320">
        <v>50700</v>
      </c>
      <c r="AH1446" s="320">
        <v>49850</v>
      </c>
      <c r="AI1446" s="320">
        <v>49950</v>
      </c>
      <c r="AJ1446" s="320">
        <v>49950</v>
      </c>
      <c r="AK1446" s="320">
        <v>49300</v>
      </c>
      <c r="AL1446" s="320">
        <v>49650</v>
      </c>
      <c r="AM1446" s="320">
        <v>49875</v>
      </c>
      <c r="AN1446" s="320"/>
      <c r="AO1446" s="320"/>
      <c r="AP1446" s="320"/>
      <c r="AQ1446" s="320"/>
      <c r="AR1446" s="320"/>
      <c r="AS1446" s="320"/>
      <c r="AT1446" s="320"/>
      <c r="AU1446" s="320"/>
      <c r="AV1446" s="320" t="str">
        <f ca="1">IF(_xlfn.XLOOKUP(A1446,TabCalc[Ticker],ListExtra_n)&gt;0,             _xlfn.XLOOKUP(A1446,TabCalc[Ticker],ListExtra_n)*_xlfn.XLOOKUP(A1446,TabTRADER[ClickTick],TabTRADER[M])*_xlfn.XLOOKUP(A1446,TabCalc[Ticker],ListScale),               "")</f>
        <v/>
      </c>
      <c r="AX1446" s="88" t="str">
        <f t="shared" ca="1" si="113"/>
        <v>VTRS</v>
      </c>
    </row>
    <row r="1447" spans="1:50" hidden="1">
      <c r="A1447" s="88" t="str">
        <f t="shared" ca="1" si="112"/>
        <v>WBA</v>
      </c>
      <c r="F1447" s="253">
        <v>0.81640000000000001</v>
      </c>
      <c r="G1447" s="253">
        <v>0.81640000000000001</v>
      </c>
      <c r="H1447" s="253">
        <v>0.81640000000000001</v>
      </c>
      <c r="I1447" s="253">
        <v>0.81640000000000001</v>
      </c>
      <c r="J1447" s="253">
        <v>0.81640000000000001</v>
      </c>
      <c r="K1447" s="253">
        <v>0.81640000000000001</v>
      </c>
      <c r="L1447" s="253">
        <v>0.81640000000000001</v>
      </c>
      <c r="M1447" s="253">
        <v>0.81640000000000001</v>
      </c>
      <c r="N1447" s="253">
        <v>0.81640000000000001</v>
      </c>
      <c r="O1447" s="253">
        <v>0.81640000000000001</v>
      </c>
      <c r="P1447" s="253">
        <v>0.81640000000000001</v>
      </c>
      <c r="Q1447" s="253">
        <v>0.81640000000000001</v>
      </c>
      <c r="R1447" s="253">
        <v>0.81640000000000001</v>
      </c>
      <c r="S1447" s="253">
        <v>0.81640000000000001</v>
      </c>
      <c r="T1447" s="253">
        <v>0.81640000000000001</v>
      </c>
      <c r="U1447" s="253">
        <v>0.81640000000000001</v>
      </c>
      <c r="V1447" s="253">
        <v>0.81640000000000001</v>
      </c>
      <c r="W1447" s="253">
        <v>0.81640000000000001</v>
      </c>
      <c r="X1447" s="253">
        <v>0.81640000000000001</v>
      </c>
      <c r="Y1447" s="253">
        <v>0.81640000000000001</v>
      </c>
      <c r="Z1447" s="247">
        <f ca="1">[1]ExtEntry!$R52</f>
        <v>0.81640000000000001</v>
      </c>
      <c r="AB1447" s="320">
        <v>26955</v>
      </c>
      <c r="AC1447" s="320">
        <v>26955</v>
      </c>
      <c r="AD1447" s="320">
        <v>26955</v>
      </c>
      <c r="AE1447" s="320">
        <v>26955</v>
      </c>
      <c r="AF1447" s="320">
        <v>26955</v>
      </c>
      <c r="AG1447" s="320">
        <v>26955</v>
      </c>
      <c r="AH1447" s="320">
        <v>26955</v>
      </c>
      <c r="AI1447" s="320">
        <v>26955</v>
      </c>
      <c r="AJ1447" s="320">
        <v>26955</v>
      </c>
      <c r="AK1447" s="320">
        <v>26955</v>
      </c>
      <c r="AL1447" s="320">
        <v>26955</v>
      </c>
      <c r="AM1447" s="320">
        <v>26955</v>
      </c>
      <c r="AN1447" s="320">
        <v>26955</v>
      </c>
      <c r="AO1447" s="320">
        <v>26955</v>
      </c>
      <c r="AP1447" s="320">
        <v>26955</v>
      </c>
      <c r="AQ1447" s="320">
        <v>26955</v>
      </c>
      <c r="AR1447" s="320">
        <v>26955</v>
      </c>
      <c r="AS1447" s="320">
        <v>26955</v>
      </c>
      <c r="AT1447" s="320">
        <v>26955</v>
      </c>
      <c r="AU1447" s="320">
        <v>26955</v>
      </c>
      <c r="AV1447" s="320">
        <f ca="1">IF(_xlfn.XLOOKUP(A1447,TabCalc[Ticker],ListExtra_n)&gt;0,             _xlfn.XLOOKUP(A1447,TabCalc[Ticker],ListExtra_n)*_xlfn.XLOOKUP(A1447,TabTRADER[ClickTick],TabTRADER[M])*_xlfn.XLOOKUP(A1447,TabCalc[Ticker],ListScale),               "")</f>
        <v>26955</v>
      </c>
      <c r="AX1447" s="88" t="str">
        <f t="shared" ca="1" si="113"/>
        <v>WBA</v>
      </c>
    </row>
    <row r="1448" spans="1:50" hidden="1">
      <c r="A1448" s="88" t="str">
        <f t="shared" ca="1" si="112"/>
        <v>XOM</v>
      </c>
      <c r="F1448" s="253">
        <v>0.49220000000000003</v>
      </c>
      <c r="G1448" s="253">
        <v>0.4879</v>
      </c>
      <c r="H1448" s="253">
        <v>0.48399999999999999</v>
      </c>
      <c r="I1448" s="253">
        <v>0.46810000000000002</v>
      </c>
      <c r="J1448" s="253">
        <v>0.46850000000000003</v>
      </c>
      <c r="K1448" s="253">
        <v>0.46639999999999998</v>
      </c>
      <c r="L1448" s="253">
        <v>0.46650000000000003</v>
      </c>
      <c r="M1448" s="253">
        <v>0.46629999999999999</v>
      </c>
      <c r="N1448" s="253">
        <v>0.46629999999999999</v>
      </c>
      <c r="O1448" s="253">
        <v>0.47320000000000001</v>
      </c>
      <c r="P1448" s="253">
        <v>0.46899999999999997</v>
      </c>
      <c r="Q1448" s="253">
        <v>0.46910000000000002</v>
      </c>
      <c r="R1448" s="253">
        <v>0.46949999999999997</v>
      </c>
      <c r="S1448" s="253">
        <v>0.46889999999999998</v>
      </c>
      <c r="T1448" s="253">
        <v>0.46889999999999998</v>
      </c>
      <c r="U1448" s="253">
        <v>0.46710000000000002</v>
      </c>
      <c r="V1448" s="253">
        <v>0.46710000000000002</v>
      </c>
      <c r="W1448" s="253">
        <v>0.46710000000000002</v>
      </c>
      <c r="X1448" s="253">
        <v>0.46710000000000002</v>
      </c>
      <c r="Y1448" s="253">
        <v>0.46710000000000002</v>
      </c>
      <c r="Z1448" s="247">
        <f ca="1">[1]ExtEntry!$R53</f>
        <v>0.4662</v>
      </c>
      <c r="AB1448" s="320">
        <v>34248</v>
      </c>
      <c r="AC1448" s="320">
        <v>33819</v>
      </c>
      <c r="AD1448" s="320">
        <v>33592.5</v>
      </c>
      <c r="AE1448" s="320">
        <v>33393</v>
      </c>
      <c r="AF1448" s="320">
        <v>33976.5</v>
      </c>
      <c r="AG1448" s="320">
        <v>34275</v>
      </c>
      <c r="AH1448" s="320">
        <v>34218</v>
      </c>
      <c r="AI1448" s="320">
        <v>33873</v>
      </c>
      <c r="AJ1448" s="320">
        <v>33873</v>
      </c>
      <c r="AK1448" s="320">
        <v>33669</v>
      </c>
      <c r="AL1448" s="320">
        <v>33693</v>
      </c>
      <c r="AM1448" s="320">
        <v>33532.5</v>
      </c>
      <c r="AN1448" s="320">
        <v>33192</v>
      </c>
      <c r="AO1448" s="320">
        <v>33672</v>
      </c>
      <c r="AP1448" s="320">
        <v>33811.5</v>
      </c>
      <c r="AQ1448" s="320">
        <v>33810</v>
      </c>
      <c r="AR1448" s="320">
        <v>34419</v>
      </c>
      <c r="AS1448" s="320">
        <v>34419</v>
      </c>
      <c r="AT1448" s="320">
        <v>34785</v>
      </c>
      <c r="AU1448" s="320">
        <v>34620</v>
      </c>
      <c r="AV1448" s="320">
        <f ca="1">IF(_xlfn.XLOOKUP(A1448,TabCalc[Ticker],ListExtra_n)&gt;0,             _xlfn.XLOOKUP(A1448,TabCalc[Ticker],ListExtra_n)*_xlfn.XLOOKUP(A1448,TabTRADER[ClickTick],TabTRADER[M])*_xlfn.XLOOKUP(A1448,TabCalc[Ticker],ListScale),               "")</f>
        <v>34617</v>
      </c>
      <c r="AX1448" s="88" t="str">
        <f t="shared" ca="1" si="113"/>
        <v>XOM</v>
      </c>
    </row>
    <row r="1449" spans="1:50" hidden="1">
      <c r="A1449" s="88" t="str">
        <f t="shared" ca="1" si="112"/>
        <v>XPER</v>
      </c>
      <c r="F1449" s="253">
        <v>1.145</v>
      </c>
      <c r="G1449" s="253">
        <v>1.145</v>
      </c>
      <c r="H1449" s="253">
        <v>1.145</v>
      </c>
      <c r="I1449" s="253">
        <v>1.145</v>
      </c>
      <c r="J1449" s="253">
        <v>1.135</v>
      </c>
      <c r="K1449" s="253">
        <v>1.135</v>
      </c>
      <c r="L1449" s="253">
        <v>1.135</v>
      </c>
      <c r="M1449" s="253">
        <v>1.135</v>
      </c>
      <c r="N1449" s="253">
        <v>1.135</v>
      </c>
      <c r="O1449" s="253">
        <v>1.1379999999999999</v>
      </c>
      <c r="P1449" s="253">
        <v>1.1379999999999999</v>
      </c>
      <c r="Q1449" s="253">
        <v>1.1379999999999999</v>
      </c>
      <c r="R1449" s="253">
        <v>1.1379999999999999</v>
      </c>
      <c r="S1449" s="253">
        <v>1.1579999999999999</v>
      </c>
      <c r="T1449" s="253">
        <v>1.1579999999999999</v>
      </c>
      <c r="U1449" s="253">
        <v>1.1579999999999999</v>
      </c>
      <c r="V1449" s="253">
        <v>1.1579999999999999</v>
      </c>
      <c r="W1449" s="253">
        <v>1.1579999999999999</v>
      </c>
      <c r="X1449" s="253">
        <v>1.1579999999999999</v>
      </c>
      <c r="Y1449" s="253">
        <v>1.1459999999999999</v>
      </c>
      <c r="Z1449" s="247">
        <f ca="1">[1]ExtEntry!$R54</f>
        <v>1.1459999999999999</v>
      </c>
      <c r="AB1449" s="320">
        <v>27657</v>
      </c>
      <c r="AC1449" s="320">
        <v>27216</v>
      </c>
      <c r="AD1449" s="320">
        <v>27594</v>
      </c>
      <c r="AE1449" s="320">
        <v>28308</v>
      </c>
      <c r="AF1449" s="320">
        <v>28812</v>
      </c>
      <c r="AG1449" s="320">
        <v>27636</v>
      </c>
      <c r="AH1449" s="320">
        <v>27888</v>
      </c>
      <c r="AI1449" s="320">
        <v>61640</v>
      </c>
      <c r="AJ1449" s="320">
        <v>61640</v>
      </c>
      <c r="AK1449" s="320">
        <v>60076</v>
      </c>
      <c r="AL1449" s="320">
        <v>61732</v>
      </c>
      <c r="AM1449" s="320">
        <v>62284.920000000006</v>
      </c>
      <c r="AN1449" s="320">
        <v>61824</v>
      </c>
      <c r="AO1449" s="320">
        <v>60812</v>
      </c>
      <c r="AP1449" s="320">
        <v>61916.000000000007</v>
      </c>
      <c r="AQ1449" s="320">
        <v>62376</v>
      </c>
      <c r="AR1449" s="320">
        <v>60352</v>
      </c>
      <c r="AS1449" s="320">
        <v>60260</v>
      </c>
      <c r="AT1449" s="320">
        <v>60812</v>
      </c>
      <c r="AU1449" s="320">
        <v>61548</v>
      </c>
      <c r="AV1449" s="320">
        <f ca="1">IF(_xlfn.XLOOKUP(A1449,TabCalc[Ticker],ListExtra_n)&gt;0,             _xlfn.XLOOKUP(A1449,TabCalc[Ticker],ListExtra_n)*_xlfn.XLOOKUP(A1449,TabTRADER[ClickTick],TabTRADER[M])*_xlfn.XLOOKUP(A1449,TabCalc[Ticker],ListScale),               "")</f>
        <v>61364</v>
      </c>
      <c r="AX1449" s="88" t="str">
        <f t="shared" ca="1" si="113"/>
        <v>XPER</v>
      </c>
    </row>
    <row r="1450" spans="1:50" hidden="1">
      <c r="A1450" s="88" t="str">
        <f t="shared" ca="1" si="112"/>
        <v>MVEALDNE</v>
      </c>
      <c r="F1450" s="253">
        <v>0.99170000000000003</v>
      </c>
      <c r="G1450" s="253">
        <v>0.98880000000000001</v>
      </c>
      <c r="H1450" s="253">
        <v>0.98829999999999996</v>
      </c>
      <c r="I1450" s="253">
        <v>1.042</v>
      </c>
      <c r="J1450" s="253">
        <v>1.0416000000000001</v>
      </c>
      <c r="K1450" s="253">
        <v>1.0409999999999999</v>
      </c>
      <c r="L1450" s="253">
        <v>1.042</v>
      </c>
      <c r="M1450" s="253">
        <v>1.042</v>
      </c>
      <c r="N1450" s="253">
        <v>1.042</v>
      </c>
      <c r="O1450" s="253">
        <v>1.0416000000000001</v>
      </c>
      <c r="P1450" s="253">
        <v>1.0415000000000001</v>
      </c>
      <c r="Q1450" s="253">
        <v>1.0416000000000001</v>
      </c>
      <c r="R1450" s="253">
        <v>1.0415000000000001</v>
      </c>
      <c r="S1450" s="253">
        <v>1.0349999999999999</v>
      </c>
      <c r="T1450" s="253">
        <v>1.0349999999999999</v>
      </c>
      <c r="U1450" s="253">
        <v>1.0337000000000001</v>
      </c>
      <c r="V1450" s="253">
        <v>1.0339</v>
      </c>
      <c r="W1450" s="253">
        <v>1.0339</v>
      </c>
      <c r="X1450" s="253">
        <v>1.0339</v>
      </c>
      <c r="Y1450" s="253">
        <v>1.0339</v>
      </c>
      <c r="Z1450" s="247">
        <f ca="1">[1]ExtEntry!$R55</f>
        <v>1.0333000000000001</v>
      </c>
      <c r="AB1450" s="320">
        <v>95233.153999999995</v>
      </c>
      <c r="AC1450" s="320">
        <v>95453.092000000004</v>
      </c>
      <c r="AD1450" s="320">
        <v>96772.72</v>
      </c>
      <c r="AE1450" s="320">
        <v>95673.03</v>
      </c>
      <c r="AF1450" s="320">
        <v>95453.092000000004</v>
      </c>
      <c r="AG1450" s="320">
        <v>92373.959999999992</v>
      </c>
      <c r="AH1450" s="320">
        <v>90394.517999999996</v>
      </c>
      <c r="AI1450" s="320">
        <v>90394.517999999996</v>
      </c>
      <c r="AJ1450" s="320">
        <v>90394.517999999996</v>
      </c>
      <c r="AK1450" s="320">
        <v>92154.021999999997</v>
      </c>
      <c r="AL1450" s="320">
        <v>92373.959999999992</v>
      </c>
      <c r="AM1450" s="320">
        <v>92154.021999999997</v>
      </c>
      <c r="AN1450" s="320">
        <v>91274.26999999999</v>
      </c>
      <c r="AO1450" s="320">
        <v>91274.26999999999</v>
      </c>
      <c r="AP1450" s="320">
        <v>90174.58</v>
      </c>
      <c r="AQ1450" s="320">
        <v>91274.26999999999</v>
      </c>
      <c r="AR1450" s="320">
        <v>92373.959999999992</v>
      </c>
      <c r="AS1450" s="320">
        <v>92373.959999999992</v>
      </c>
      <c r="AT1450" s="320">
        <v>92154.021999999997</v>
      </c>
      <c r="AU1450" s="320">
        <v>90834.394</v>
      </c>
      <c r="AV1450" s="320">
        <f ca="1">IF(_xlfn.XLOOKUP(A1450,TabCalc[Ticker],ListExtra_n)&gt;0,             _xlfn.XLOOKUP(A1450,TabCalc[Ticker],ListExtra_n)*_xlfn.XLOOKUP(A1450,TabTRADER[ClickTick],TabTRADER[M])*_xlfn.XLOOKUP(A1450,TabCalc[Ticker],ListScale),               "")</f>
        <v>90834.394</v>
      </c>
      <c r="AX1450" s="88" t="str">
        <f t="shared" ca="1" si="113"/>
        <v>MVEALDNE</v>
      </c>
    </row>
    <row r="1451" spans="1:50" hidden="1">
      <c r="A1451" s="88" t="str">
        <f t="shared" ca="1" si="112"/>
        <v>MVEDDD</v>
      </c>
      <c r="F1451" s="253">
        <v>2.1194999999999999</v>
      </c>
      <c r="G1451" s="253">
        <v>2.1150000000000002</v>
      </c>
      <c r="H1451" s="253">
        <v>2.1158000000000001</v>
      </c>
      <c r="I1451" s="253">
        <v>2.1880000000000002</v>
      </c>
      <c r="J1451" s="253">
        <v>2.1848999999999998</v>
      </c>
      <c r="K1451" s="253">
        <v>2.1829999999999998</v>
      </c>
      <c r="L1451" s="253">
        <v>2.1808999999999998</v>
      </c>
      <c r="M1451" s="253">
        <v>2.1838000000000002</v>
      </c>
      <c r="N1451" s="253">
        <v>2.1838000000000002</v>
      </c>
      <c r="O1451" s="253">
        <v>2.1762999999999999</v>
      </c>
      <c r="P1451" s="253">
        <v>2.1745000000000001</v>
      </c>
      <c r="Q1451" s="253">
        <v>2.1745999999999999</v>
      </c>
      <c r="R1451" s="253">
        <v>2.1697000000000002</v>
      </c>
      <c r="S1451" s="253">
        <v>2.1758000000000002</v>
      </c>
      <c r="T1451" s="253">
        <v>2.1758000000000002</v>
      </c>
      <c r="U1451" s="253">
        <v>2.1718000000000002</v>
      </c>
      <c r="V1451" s="253">
        <v>2.1789000000000001</v>
      </c>
      <c r="W1451" s="253">
        <v>2.1789000000000001</v>
      </c>
      <c r="X1451" s="253">
        <v>2.1789000000000001</v>
      </c>
      <c r="Y1451" s="253">
        <v>2.1789000000000001</v>
      </c>
      <c r="Z1451" s="247">
        <f ca="1">[1]ExtEntry!$R56</f>
        <v>2.1852999999999998</v>
      </c>
      <c r="AB1451" s="320"/>
      <c r="AC1451" s="320"/>
      <c r="AD1451" s="320"/>
      <c r="AE1451" s="320"/>
      <c r="AF1451" s="320"/>
      <c r="AG1451" s="320"/>
      <c r="AH1451" s="320"/>
      <c r="AI1451" s="320"/>
      <c r="AJ1451" s="320"/>
      <c r="AK1451" s="320"/>
      <c r="AL1451" s="320"/>
      <c r="AM1451" s="320"/>
      <c r="AN1451" s="320"/>
      <c r="AO1451" s="320"/>
      <c r="AP1451" s="320"/>
      <c r="AQ1451" s="320"/>
      <c r="AR1451" s="320"/>
      <c r="AS1451" s="320"/>
      <c r="AT1451" s="320"/>
      <c r="AU1451" s="320"/>
      <c r="AV1451" s="320" t="str">
        <f ca="1">IF(_xlfn.XLOOKUP(A1451,TabCalc[Ticker],ListExtra_n)&gt;0,             _xlfn.XLOOKUP(A1451,TabCalc[Ticker],ListExtra_n)*_xlfn.XLOOKUP(A1451,TabTRADER[ClickTick],TabTRADER[M])*_xlfn.XLOOKUP(A1451,TabCalc[Ticker],ListScale),               "")</f>
        <v/>
      </c>
      <c r="AX1451" s="88" t="str">
        <f t="shared" ca="1" si="113"/>
        <v>MVEDDD</v>
      </c>
    </row>
    <row r="1452" spans="1:50" hidden="1">
      <c r="A1452" s="88" t="str">
        <f t="shared" ca="1" si="112"/>
        <v>MVEDSY</v>
      </c>
      <c r="F1452" s="253">
        <v>0.68710000000000004</v>
      </c>
      <c r="G1452" s="253" t="e" vm="411">
        <v>#VALUE!</v>
      </c>
      <c r="H1452" s="253" t="e" vm="411">
        <v>#VALUE!</v>
      </c>
      <c r="I1452" s="253" t="e" vm="411">
        <v>#VALUE!</v>
      </c>
      <c r="J1452" s="253" t="e" vm="411">
        <v>#VALUE!</v>
      </c>
      <c r="K1452" s="253" t="e" vm="411">
        <v>#VALUE!</v>
      </c>
      <c r="L1452" s="253">
        <v>0.67400000000000004</v>
      </c>
      <c r="M1452" s="253">
        <v>0.67410000000000003</v>
      </c>
      <c r="N1452" s="253">
        <v>0.67410000000000003</v>
      </c>
      <c r="O1452" s="253">
        <v>0.67359999999999998</v>
      </c>
      <c r="P1452" s="253">
        <v>0.67330000000000001</v>
      </c>
      <c r="Q1452" s="253">
        <v>0.67420000000000002</v>
      </c>
      <c r="R1452" s="253">
        <v>0.67320000000000002</v>
      </c>
      <c r="S1452" s="253">
        <v>0.67569999999999997</v>
      </c>
      <c r="T1452" s="253">
        <v>0.67569999999999997</v>
      </c>
      <c r="U1452" s="253">
        <v>0.67879999999999996</v>
      </c>
      <c r="V1452" s="253">
        <v>0.68259999999999998</v>
      </c>
      <c r="W1452" s="253">
        <v>0.68259999999999998</v>
      </c>
      <c r="X1452" s="253">
        <v>0.68330000000000002</v>
      </c>
      <c r="Y1452" s="253">
        <v>0.68330000000000002</v>
      </c>
      <c r="Z1452" s="247">
        <f ca="1">[1]ExtEntry!$R57</f>
        <v>0.68200000000000005</v>
      </c>
      <c r="AB1452" s="320">
        <v>283100</v>
      </c>
      <c r="AC1452" s="320">
        <v>10400</v>
      </c>
      <c r="AD1452" s="320">
        <v>10300</v>
      </c>
      <c r="AE1452" s="320">
        <v>10500</v>
      </c>
      <c r="AF1452" s="320">
        <v>10600</v>
      </c>
      <c r="AG1452" s="320">
        <v>8748</v>
      </c>
      <c r="AH1452" s="320">
        <v>287700</v>
      </c>
      <c r="AI1452" s="320">
        <v>289300</v>
      </c>
      <c r="AJ1452" s="320">
        <v>293600</v>
      </c>
      <c r="AK1452" s="320">
        <v>288100</v>
      </c>
      <c r="AL1452" s="320">
        <v>283500</v>
      </c>
      <c r="AM1452" s="320">
        <v>288800</v>
      </c>
      <c r="AN1452" s="320">
        <v>293800</v>
      </c>
      <c r="AO1452" s="320">
        <v>293300</v>
      </c>
      <c r="AP1452" s="320">
        <v>297800</v>
      </c>
      <c r="AQ1452" s="320">
        <v>302700</v>
      </c>
      <c r="AR1452" s="320">
        <v>301200</v>
      </c>
      <c r="AS1452" s="320">
        <v>301200</v>
      </c>
      <c r="AT1452" s="320">
        <v>262100</v>
      </c>
      <c r="AU1452" s="320">
        <v>256900</v>
      </c>
      <c r="AV1452" s="320">
        <f ca="1">IF(_xlfn.XLOOKUP(A1452,TabCalc[Ticker],ListExtra_n)&gt;0,             _xlfn.XLOOKUP(A1452,TabCalc[Ticker],ListExtra_n)*_xlfn.XLOOKUP(A1452,TabTRADER[ClickTick],TabTRADER[M])*_xlfn.XLOOKUP(A1452,TabCalc[Ticker],ListScale),               "")</f>
        <v>256900</v>
      </c>
      <c r="AX1452" s="88" t="str">
        <f t="shared" ca="1" si="113"/>
        <v>MVEDSY</v>
      </c>
    </row>
    <row r="1453" spans="1:50" hidden="1">
      <c r="A1453" s="88" t="str">
        <f t="shared" ca="1" si="112"/>
        <v>MVEEOAN</v>
      </c>
      <c r="F1453" s="253">
        <v>0.70030000000000003</v>
      </c>
      <c r="G1453" s="253">
        <v>0.7056</v>
      </c>
      <c r="H1453" s="253">
        <v>0.7056</v>
      </c>
      <c r="I1453" s="253">
        <v>0.72050000000000003</v>
      </c>
      <c r="J1453" s="253">
        <v>0.72089999999999999</v>
      </c>
      <c r="K1453" s="253">
        <v>0.71989999999999998</v>
      </c>
      <c r="L1453" s="253">
        <v>0.72009999999999996</v>
      </c>
      <c r="M1453" s="253">
        <v>0.72009999999999996</v>
      </c>
      <c r="N1453" s="253">
        <v>0.72009999999999996</v>
      </c>
      <c r="O1453" s="253">
        <v>0.7177</v>
      </c>
      <c r="P1453" s="253">
        <v>0.72060000000000002</v>
      </c>
      <c r="Q1453" s="253">
        <v>0.72050000000000003</v>
      </c>
      <c r="R1453" s="253">
        <v>0.72060000000000002</v>
      </c>
      <c r="S1453" s="253">
        <v>0.72060000000000002</v>
      </c>
      <c r="T1453" s="253">
        <v>0.72060000000000002</v>
      </c>
      <c r="U1453" s="253">
        <v>0.71760000000000002</v>
      </c>
      <c r="V1453" s="253">
        <v>0.72070000000000001</v>
      </c>
      <c r="W1453" s="253">
        <v>0.72070000000000001</v>
      </c>
      <c r="X1453" s="253">
        <v>0.72070000000000001</v>
      </c>
      <c r="Y1453" s="253">
        <v>0.72070000000000001</v>
      </c>
      <c r="Z1453" s="247">
        <f ca="1">[1]ExtEntry!$R58</f>
        <v>0.72009999999999996</v>
      </c>
      <c r="AB1453" s="320"/>
      <c r="AC1453" s="320"/>
      <c r="AD1453" s="320"/>
      <c r="AE1453" s="320"/>
      <c r="AF1453" s="320"/>
      <c r="AG1453" s="320"/>
      <c r="AH1453" s="320"/>
      <c r="AI1453" s="320"/>
      <c r="AJ1453" s="320"/>
      <c r="AK1453" s="320"/>
      <c r="AL1453" s="320"/>
      <c r="AM1453" s="320"/>
      <c r="AN1453" s="320"/>
      <c r="AO1453" s="320"/>
      <c r="AP1453" s="320"/>
      <c r="AQ1453" s="320"/>
      <c r="AR1453" s="320"/>
      <c r="AS1453" s="320"/>
      <c r="AT1453" s="320"/>
      <c r="AU1453" s="320"/>
      <c r="AV1453" s="320" t="str">
        <f ca="1">IF(_xlfn.XLOOKUP(A1453,TabCalc[Ticker],ListExtra_n)&gt;0,             _xlfn.XLOOKUP(A1453,TabCalc[Ticker],ListExtra_n)*_xlfn.XLOOKUP(A1453,TabTRADER[ClickTick],TabTRADER[M])*_xlfn.XLOOKUP(A1453,TabCalc[Ticker],ListScale),               "")</f>
        <v/>
      </c>
      <c r="AX1453" s="88" t="str">
        <f t="shared" ca="1" si="113"/>
        <v>MVEEOAN</v>
      </c>
    </row>
    <row r="1454" spans="1:50" hidden="1">
      <c r="A1454" s="88" t="str">
        <f t="shared" ca="1" si="112"/>
        <v>MVEENI</v>
      </c>
      <c r="F1454" s="253">
        <v>1.1001000000000001</v>
      </c>
      <c r="G1454" s="253">
        <v>1.1007</v>
      </c>
      <c r="H1454" s="253">
        <v>1.1006</v>
      </c>
      <c r="I1454" s="253">
        <v>1.0837000000000001</v>
      </c>
      <c r="J1454" s="253">
        <v>1.0841000000000001</v>
      </c>
      <c r="K1454" s="253">
        <v>1.0834999999999999</v>
      </c>
      <c r="L1454" s="253">
        <v>1.0831999999999999</v>
      </c>
      <c r="M1454" s="253">
        <v>1.0837000000000001</v>
      </c>
      <c r="N1454" s="253">
        <v>1.0837000000000001</v>
      </c>
      <c r="O1454" s="253">
        <v>1.0801000000000001</v>
      </c>
      <c r="P1454" s="253">
        <v>1.0807</v>
      </c>
      <c r="Q1454" s="253">
        <v>1.0831999999999999</v>
      </c>
      <c r="R1454" s="253">
        <v>1.0819000000000001</v>
      </c>
      <c r="S1454" s="253">
        <v>1.079</v>
      </c>
      <c r="T1454" s="253">
        <v>1.079</v>
      </c>
      <c r="U1454" s="253">
        <v>1.0827</v>
      </c>
      <c r="V1454" s="253">
        <v>1.0833999999999999</v>
      </c>
      <c r="W1454" s="253">
        <v>1.0833999999999999</v>
      </c>
      <c r="X1454" s="253">
        <v>1.0833999999999999</v>
      </c>
      <c r="Y1454" s="253">
        <v>1.0833999999999999</v>
      </c>
      <c r="Z1454" s="247">
        <f ca="1">[1]ExtEntry!$R59</f>
        <v>1.0790999999999999</v>
      </c>
      <c r="AB1454" s="320">
        <v>452460</v>
      </c>
      <c r="AC1454" s="320">
        <v>445980</v>
      </c>
      <c r="AD1454" s="320">
        <v>449580</v>
      </c>
      <c r="AE1454" s="320">
        <v>446280</v>
      </c>
      <c r="AF1454" s="320">
        <v>447180</v>
      </c>
      <c r="AG1454" s="320">
        <v>394524</v>
      </c>
      <c r="AH1454" s="320">
        <v>397436</v>
      </c>
      <c r="AI1454" s="320">
        <v>399828</v>
      </c>
      <c r="AJ1454" s="320">
        <v>395252</v>
      </c>
      <c r="AK1454" s="320">
        <v>389272</v>
      </c>
      <c r="AL1454" s="320">
        <v>382200</v>
      </c>
      <c r="AM1454" s="320">
        <v>382772</v>
      </c>
      <c r="AN1454" s="320">
        <v>383916</v>
      </c>
      <c r="AO1454" s="320">
        <v>385944</v>
      </c>
      <c r="AP1454" s="320">
        <v>386776</v>
      </c>
      <c r="AQ1454" s="320">
        <v>387400</v>
      </c>
      <c r="AR1454" s="320">
        <v>393276</v>
      </c>
      <c r="AS1454" s="320">
        <v>393276</v>
      </c>
      <c r="AT1454" s="320">
        <v>405236</v>
      </c>
      <c r="AU1454" s="320">
        <v>411736</v>
      </c>
      <c r="AV1454" s="320">
        <f ca="1">IF(_xlfn.XLOOKUP(A1454,TabCalc[Ticker],ListExtra_n)&gt;0,             _xlfn.XLOOKUP(A1454,TabCalc[Ticker],ListExtra_n)*_xlfn.XLOOKUP(A1454,TabTRADER[ClickTick],TabTRADER[M])*_xlfn.XLOOKUP(A1454,TabCalc[Ticker],ListScale),               "")</f>
        <v>411736</v>
      </c>
      <c r="AX1454" s="88" t="str">
        <f t="shared" ca="1" si="113"/>
        <v>MVEENI</v>
      </c>
    </row>
    <row r="1455" spans="1:50" hidden="1">
      <c r="A1455" s="88" t="str">
        <f t="shared" ca="1" si="112"/>
        <v>MVEEPIX</v>
      </c>
      <c r="F1455" s="253">
        <v>1.5955999999999999</v>
      </c>
      <c r="G1455" s="253">
        <v>1.5857000000000001</v>
      </c>
      <c r="H1455" s="253">
        <v>1.5745</v>
      </c>
      <c r="I1455" s="253">
        <v>1.5464</v>
      </c>
      <c r="J1455" s="253">
        <v>1.5424</v>
      </c>
      <c r="K1455" s="253">
        <v>1.5499000000000001</v>
      </c>
      <c r="L1455" s="253">
        <v>1.5470999999999999</v>
      </c>
      <c r="M1455" s="253">
        <v>1.5513999999999999</v>
      </c>
      <c r="N1455" s="253">
        <v>1.5513999999999999</v>
      </c>
      <c r="O1455" s="253">
        <v>1.5513999999999999</v>
      </c>
      <c r="P1455" s="253">
        <v>1.5513999999999999</v>
      </c>
      <c r="Q1455" s="253">
        <v>1.5513999999999999</v>
      </c>
      <c r="R1455" s="253">
        <v>1.5513999999999999</v>
      </c>
      <c r="S1455" s="253">
        <v>1.5513999999999999</v>
      </c>
      <c r="T1455" s="253">
        <v>1.5513999999999999</v>
      </c>
      <c r="U1455" s="253">
        <v>1.5513999999999999</v>
      </c>
      <c r="V1455" s="253">
        <v>1.5513999999999999</v>
      </c>
      <c r="W1455" s="253">
        <v>1.5513999999999999</v>
      </c>
      <c r="X1455" s="253">
        <v>1.5513999999999999</v>
      </c>
      <c r="Y1455" s="253">
        <v>1.5513999999999999</v>
      </c>
      <c r="Z1455" s="247">
        <f ca="1">[1]ExtEntry!$R60</f>
        <v>1.5513999999999999</v>
      </c>
      <c r="AB1455" s="320">
        <v>1922</v>
      </c>
      <c r="AC1455" s="320">
        <v>1910</v>
      </c>
      <c r="AD1455" s="320">
        <v>2059</v>
      </c>
      <c r="AE1455" s="320">
        <v>2174</v>
      </c>
      <c r="AF1455" s="320">
        <v>2061</v>
      </c>
      <c r="AG1455" s="320">
        <v>2050</v>
      </c>
      <c r="AH1455" s="320">
        <v>2012</v>
      </c>
      <c r="AI1455" s="320">
        <v>2012</v>
      </c>
      <c r="AJ1455" s="320">
        <v>2012</v>
      </c>
      <c r="AK1455" s="320">
        <v>2012</v>
      </c>
      <c r="AL1455" s="320">
        <v>2012</v>
      </c>
      <c r="AM1455" s="320">
        <v>2012</v>
      </c>
      <c r="AN1455" s="320">
        <v>2012</v>
      </c>
      <c r="AO1455" s="320">
        <v>2012</v>
      </c>
      <c r="AP1455" s="320">
        <v>2012</v>
      </c>
      <c r="AQ1455" s="320">
        <v>2012</v>
      </c>
      <c r="AR1455" s="320">
        <v>2012</v>
      </c>
      <c r="AS1455" s="320">
        <v>2012</v>
      </c>
      <c r="AT1455" s="320">
        <v>2012</v>
      </c>
      <c r="AU1455" s="320">
        <v>2012</v>
      </c>
      <c r="AV1455" s="320">
        <f ca="1">IF(_xlfn.XLOOKUP(A1455,TabCalc[Ticker],ListExtra_n)&gt;0,             _xlfn.XLOOKUP(A1455,TabCalc[Ticker],ListExtra_n)*_xlfn.XLOOKUP(A1455,TabTRADER[ClickTick],TabTRADER[M])*_xlfn.XLOOKUP(A1455,TabCalc[Ticker],ListScale),               "")</f>
        <v>2012</v>
      </c>
      <c r="AX1455" s="88" t="str">
        <f t="shared" ca="1" si="113"/>
        <v>MVEEPIX</v>
      </c>
    </row>
    <row r="1456" spans="1:50" hidden="1">
      <c r="A1456" s="88" t="str">
        <f t="shared" ca="1" si="112"/>
        <v>MVEGLE</v>
      </c>
      <c r="F1456" s="253">
        <v>1.5660000000000001</v>
      </c>
      <c r="G1456" s="253">
        <v>1.5669999999999999</v>
      </c>
      <c r="H1456" s="253">
        <v>1.5665</v>
      </c>
      <c r="I1456" s="253">
        <v>1.5979000000000001</v>
      </c>
      <c r="J1456" s="253">
        <v>1.5981000000000001</v>
      </c>
      <c r="K1456" s="253">
        <v>1.589</v>
      </c>
      <c r="L1456" s="253">
        <v>1.5983000000000001</v>
      </c>
      <c r="M1456" s="253">
        <v>1.5980000000000001</v>
      </c>
      <c r="N1456" s="253">
        <v>1.5980000000000001</v>
      </c>
      <c r="O1456" s="253">
        <v>1.5924</v>
      </c>
      <c r="P1456" s="253">
        <v>1.6016999999999999</v>
      </c>
      <c r="Q1456" s="253">
        <v>1.5999000000000001</v>
      </c>
      <c r="R1456" s="253">
        <v>1.5998000000000001</v>
      </c>
      <c r="S1456" s="253">
        <v>1.5733999999999999</v>
      </c>
      <c r="T1456" s="253">
        <v>1.5733999999999999</v>
      </c>
      <c r="U1456" s="253">
        <v>1.5734999999999999</v>
      </c>
      <c r="V1456" s="253">
        <v>1.5686</v>
      </c>
      <c r="W1456" s="253">
        <v>1.5686</v>
      </c>
      <c r="X1456" s="253">
        <v>1.5591999999999999</v>
      </c>
      <c r="Y1456" s="253">
        <v>1.5591999999999999</v>
      </c>
      <c r="Z1456" s="247">
        <f ca="1">[1]ExtEntry!$R61</f>
        <v>1.5581</v>
      </c>
      <c r="AB1456" s="320"/>
      <c r="AC1456" s="320"/>
      <c r="AD1456" s="320"/>
      <c r="AE1456" s="320"/>
      <c r="AF1456" s="320"/>
      <c r="AG1456" s="320"/>
      <c r="AH1456" s="320"/>
      <c r="AI1456" s="320"/>
      <c r="AJ1456" s="320"/>
      <c r="AK1456" s="320"/>
      <c r="AL1456" s="320"/>
      <c r="AM1456" s="320"/>
      <c r="AN1456" s="320"/>
      <c r="AO1456" s="320"/>
      <c r="AP1456" s="320"/>
      <c r="AQ1456" s="320"/>
      <c r="AR1456" s="320"/>
      <c r="AS1456" s="320"/>
      <c r="AT1456" s="320"/>
      <c r="AU1456" s="320"/>
      <c r="AV1456" s="320" t="str">
        <f ca="1">IF(_xlfn.XLOOKUP(A1456,TabCalc[Ticker],ListExtra_n)&gt;0,             _xlfn.XLOOKUP(A1456,TabCalc[Ticker],ListExtra_n)*_xlfn.XLOOKUP(A1456,TabTRADER[ClickTick],TabTRADER[M])*_xlfn.XLOOKUP(A1456,TabCalc[Ticker],ListScale),               "")</f>
        <v/>
      </c>
      <c r="AX1456" s="88" t="str">
        <f t="shared" ca="1" si="113"/>
        <v>MVEGLE</v>
      </c>
    </row>
    <row r="1457" spans="1:50" hidden="1">
      <c r="A1457" s="88" t="str">
        <f t="shared" ca="1" si="112"/>
        <v>MVEORA</v>
      </c>
      <c r="F1457" s="253">
        <v>0.27379999999999999</v>
      </c>
      <c r="G1457" s="253">
        <v>1.2377</v>
      </c>
      <c r="H1457" s="253">
        <v>0.27229999999999999</v>
      </c>
      <c r="I1457" s="253">
        <v>0.30819999999999997</v>
      </c>
      <c r="J1457" s="253">
        <v>0.3085</v>
      </c>
      <c r="K1457" s="253">
        <v>0.30259999999999998</v>
      </c>
      <c r="L1457" s="253">
        <v>0.3085</v>
      </c>
      <c r="M1457" s="253">
        <v>0.30830000000000002</v>
      </c>
      <c r="N1457" s="253">
        <v>0.30830000000000002</v>
      </c>
      <c r="O1457" s="253">
        <v>0.30659999999999998</v>
      </c>
      <c r="P1457" s="253">
        <v>0.31</v>
      </c>
      <c r="Q1457" s="253">
        <v>0.30909999999999999</v>
      </c>
      <c r="R1457" s="253">
        <v>0.30769999999999997</v>
      </c>
      <c r="S1457" s="253">
        <v>0.31259999999999999</v>
      </c>
      <c r="T1457" s="253">
        <v>0.31259999999999999</v>
      </c>
      <c r="U1457" s="253">
        <v>0.31</v>
      </c>
      <c r="V1457" s="253">
        <v>0.3095</v>
      </c>
      <c r="W1457" s="253">
        <v>0.3095</v>
      </c>
      <c r="X1457" s="253">
        <v>0.30930000000000002</v>
      </c>
      <c r="Y1457" s="253">
        <v>0.30930000000000002</v>
      </c>
      <c r="Z1457" s="247">
        <f ca="1">[1]ExtEntry!$R62</f>
        <v>0.30830000000000002</v>
      </c>
      <c r="AB1457" s="320">
        <v>171250</v>
      </c>
      <c r="AC1457" s="320">
        <v>574625</v>
      </c>
      <c r="AD1457" s="320">
        <v>171312.5</v>
      </c>
      <c r="AE1457" s="320">
        <v>169187.5</v>
      </c>
      <c r="AF1457" s="320">
        <v>166500</v>
      </c>
      <c r="AG1457" s="320">
        <v>165187.5</v>
      </c>
      <c r="AH1457" s="320">
        <v>167375</v>
      </c>
      <c r="AI1457" s="320">
        <v>169500</v>
      </c>
      <c r="AJ1457" s="320">
        <v>169750</v>
      </c>
      <c r="AK1457" s="320">
        <v>167875</v>
      </c>
      <c r="AL1457" s="320">
        <v>169625</v>
      </c>
      <c r="AM1457" s="320">
        <v>175187.5</v>
      </c>
      <c r="AN1457" s="320">
        <v>176062.5</v>
      </c>
      <c r="AO1457" s="320">
        <v>179187.5</v>
      </c>
      <c r="AP1457" s="320">
        <v>177000</v>
      </c>
      <c r="AQ1457" s="320">
        <v>176562.5</v>
      </c>
      <c r="AR1457" s="320">
        <v>175875</v>
      </c>
      <c r="AS1457" s="320">
        <v>175875</v>
      </c>
      <c r="AT1457" s="320">
        <v>176875</v>
      </c>
      <c r="AU1457" s="320">
        <v>174000</v>
      </c>
      <c r="AV1457" s="320">
        <f ca="1">IF(_xlfn.XLOOKUP(A1457,TabCalc[Ticker],ListExtra_n)&gt;0,             _xlfn.XLOOKUP(A1457,TabCalc[Ticker],ListExtra_n)*_xlfn.XLOOKUP(A1457,TabTRADER[ClickTick],TabTRADER[M])*_xlfn.XLOOKUP(A1457,TabCalc[Ticker],ListScale),               "")</f>
        <v>174000</v>
      </c>
      <c r="AX1457" s="88" t="str">
        <f t="shared" ca="1" si="113"/>
        <v>MVEORA</v>
      </c>
    </row>
    <row r="1458" spans="1:50" hidden="1">
      <c r="A1458" s="88" t="str">
        <f t="shared" ref="A1458:A1491" ca="1" si="114">A1359</f>
        <v>MVERWE</v>
      </c>
      <c r="F1458" s="253">
        <v>0.46550000000000002</v>
      </c>
      <c r="G1458" s="253">
        <v>0.47399999999999998</v>
      </c>
      <c r="H1458" s="253">
        <v>0.47410000000000002</v>
      </c>
      <c r="I1458" s="253">
        <v>0.51449999999999996</v>
      </c>
      <c r="J1458" s="253">
        <v>0.51370000000000005</v>
      </c>
      <c r="K1458" s="253">
        <v>0.51719999999999999</v>
      </c>
      <c r="L1458" s="253">
        <v>0.51739999999999997</v>
      </c>
      <c r="M1458" s="253">
        <v>0.51849999999999996</v>
      </c>
      <c r="N1458" s="253">
        <v>0.51849999999999996</v>
      </c>
      <c r="O1458" s="253">
        <v>0.5222</v>
      </c>
      <c r="P1458" s="253">
        <v>0.51570000000000005</v>
      </c>
      <c r="Q1458" s="253">
        <v>0.51870000000000005</v>
      </c>
      <c r="R1458" s="253">
        <v>0.51549999999999996</v>
      </c>
      <c r="S1458" s="253">
        <v>0.51639999999999997</v>
      </c>
      <c r="T1458" s="253">
        <v>0.51639999999999997</v>
      </c>
      <c r="U1458" s="253">
        <v>0.50360000000000005</v>
      </c>
      <c r="V1458" s="253">
        <v>0.51600000000000001</v>
      </c>
      <c r="W1458" s="253">
        <v>0.51600000000000001</v>
      </c>
      <c r="X1458" s="253">
        <v>0.51759999999999995</v>
      </c>
      <c r="Y1458" s="253">
        <v>0.51759999999999995</v>
      </c>
      <c r="Z1458" s="247">
        <f ca="1">[1]ExtEntry!$R63</f>
        <v>0.51729999999999998</v>
      </c>
      <c r="AB1458" s="320"/>
      <c r="AC1458" s="320"/>
      <c r="AD1458" s="320"/>
      <c r="AE1458" s="320"/>
      <c r="AF1458" s="320"/>
      <c r="AG1458" s="320"/>
      <c r="AH1458" s="320"/>
      <c r="AI1458" s="320"/>
      <c r="AJ1458" s="320"/>
      <c r="AK1458" s="320"/>
      <c r="AL1458" s="320"/>
      <c r="AM1458" s="320"/>
      <c r="AN1458" s="320"/>
      <c r="AO1458" s="320"/>
      <c r="AP1458" s="320"/>
      <c r="AQ1458" s="320"/>
      <c r="AR1458" s="320"/>
      <c r="AS1458" s="320"/>
      <c r="AT1458" s="320"/>
      <c r="AU1458" s="320"/>
      <c r="AV1458" s="320" t="str">
        <f ca="1">IF(_xlfn.XLOOKUP(A1458,TabCalc[Ticker],ListExtra_n)&gt;0,             _xlfn.XLOOKUP(A1458,TabCalc[Ticker],ListExtra_n)*_xlfn.XLOOKUP(A1458,TabTRADER[ClickTick],TabTRADER[M])*_xlfn.XLOOKUP(A1458,TabCalc[Ticker],ListScale),               "")</f>
        <v/>
      </c>
      <c r="AX1458" s="88" t="str">
        <f t="shared" ca="1" si="113"/>
        <v>MVERWE</v>
      </c>
    </row>
    <row r="1459" spans="1:50" hidden="1">
      <c r="A1459" s="88" t="str">
        <f t="shared" ca="1" si="114"/>
        <v>MVESAP</v>
      </c>
      <c r="F1459" s="253">
        <v>1.1701999999999999</v>
      </c>
      <c r="G1459" s="253">
        <v>1.1707000000000001</v>
      </c>
      <c r="H1459" s="253">
        <v>1.1693</v>
      </c>
      <c r="I1459" s="253">
        <v>0.99119999999999997</v>
      </c>
      <c r="J1459" s="253">
        <v>0.99109999999999998</v>
      </c>
      <c r="K1459" s="253">
        <v>0.99070000000000003</v>
      </c>
      <c r="L1459" s="253">
        <v>0.99160000000000004</v>
      </c>
      <c r="M1459" s="253">
        <v>0.99219999999999997</v>
      </c>
      <c r="N1459" s="253">
        <v>0.99219999999999997</v>
      </c>
      <c r="O1459" s="253">
        <v>0.9879</v>
      </c>
      <c r="P1459" s="253">
        <v>0.99119999999999997</v>
      </c>
      <c r="Q1459" s="253">
        <v>0.9909</v>
      </c>
      <c r="R1459" s="253">
        <v>0.99129999999999996</v>
      </c>
      <c r="S1459" s="253">
        <v>0.99099999999999999</v>
      </c>
      <c r="T1459" s="253">
        <v>0.99099999999999999</v>
      </c>
      <c r="U1459" s="253">
        <v>0.98560000000000003</v>
      </c>
      <c r="V1459" s="253">
        <v>0.9919</v>
      </c>
      <c r="W1459" s="253">
        <v>0.9919</v>
      </c>
      <c r="X1459" s="253">
        <v>0.99260000000000004</v>
      </c>
      <c r="Y1459" s="253">
        <v>0.99260000000000004</v>
      </c>
      <c r="Z1459" s="247">
        <f ca="1">[1]ExtEntry!$R64</f>
        <v>0.9919</v>
      </c>
      <c r="AB1459" s="320"/>
      <c r="AC1459" s="320"/>
      <c r="AD1459" s="320"/>
      <c r="AE1459" s="320"/>
      <c r="AF1459" s="320"/>
      <c r="AG1459" s="320"/>
      <c r="AH1459" s="320"/>
      <c r="AI1459" s="320"/>
      <c r="AJ1459" s="320"/>
      <c r="AK1459" s="320"/>
      <c r="AL1459" s="320"/>
      <c r="AM1459" s="320"/>
      <c r="AN1459" s="320"/>
      <c r="AO1459" s="320"/>
      <c r="AP1459" s="320"/>
      <c r="AQ1459" s="320"/>
      <c r="AR1459" s="320"/>
      <c r="AS1459" s="320"/>
      <c r="AT1459" s="320"/>
      <c r="AU1459" s="320"/>
      <c r="AV1459" s="320" t="str">
        <f ca="1">IF(_xlfn.XLOOKUP(A1459,TabCalc[Ticker],ListExtra_n)&gt;0,             _xlfn.XLOOKUP(A1459,TabCalc[Ticker],ListExtra_n)*_xlfn.XLOOKUP(A1459,TabTRADER[ClickTick],TabTRADER[M])*_xlfn.XLOOKUP(A1459,TabCalc[Ticker],ListScale),               "")</f>
        <v/>
      </c>
      <c r="AX1459" s="88" t="str">
        <f t="shared" ca="1" si="113"/>
        <v>MVESAP</v>
      </c>
    </row>
    <row r="1460" spans="1:50" hidden="1">
      <c r="A1460" s="88" t="str">
        <f t="shared" ca="1" si="114"/>
        <v>MVEUN0</v>
      </c>
      <c r="F1460" s="253">
        <v>1.0088999999999999</v>
      </c>
      <c r="G1460" s="253">
        <v>1.0121</v>
      </c>
      <c r="H1460" s="253">
        <v>1.0125</v>
      </c>
      <c r="I1460" s="253">
        <v>1.0710999999999999</v>
      </c>
      <c r="J1460" s="253">
        <v>1.0702</v>
      </c>
      <c r="K1460" s="253">
        <v>1.0696000000000001</v>
      </c>
      <c r="L1460" s="253">
        <v>1.0682</v>
      </c>
      <c r="M1460" s="253">
        <v>1.0703</v>
      </c>
      <c r="N1460" s="253">
        <v>1.0703</v>
      </c>
      <c r="O1460" s="253">
        <v>1.0660000000000001</v>
      </c>
      <c r="P1460" s="253">
        <v>1.0705</v>
      </c>
      <c r="Q1460" s="253">
        <v>1.0669</v>
      </c>
      <c r="R1460" s="253">
        <v>1.0704</v>
      </c>
      <c r="S1460" s="253">
        <v>1.0698000000000001</v>
      </c>
      <c r="T1460" s="253">
        <v>1.0698000000000001</v>
      </c>
      <c r="U1460" s="253">
        <v>1.0736000000000001</v>
      </c>
      <c r="V1460" s="253">
        <v>1.0701000000000001</v>
      </c>
      <c r="W1460" s="253">
        <v>1.0701000000000001</v>
      </c>
      <c r="X1460" s="253">
        <v>1.0701000000000001</v>
      </c>
      <c r="Y1460" s="253">
        <v>1.0701000000000001</v>
      </c>
      <c r="Z1460" s="247">
        <f ca="1">[1]ExtEntry!$R65</f>
        <v>1.0680000000000001</v>
      </c>
      <c r="AB1460" s="320">
        <v>17973.5</v>
      </c>
      <c r="AC1460" s="320">
        <v>17561.5</v>
      </c>
      <c r="AD1460" s="320">
        <v>17510</v>
      </c>
      <c r="AE1460" s="320">
        <v>17407</v>
      </c>
      <c r="AF1460" s="320">
        <v>17510</v>
      </c>
      <c r="AG1460" s="320">
        <v>16505.75</v>
      </c>
      <c r="AH1460" s="320">
        <v>16789</v>
      </c>
      <c r="AI1460" s="320">
        <v>16995</v>
      </c>
      <c r="AJ1460" s="320">
        <v>16608.75</v>
      </c>
      <c r="AK1460" s="320">
        <v>16428.5</v>
      </c>
      <c r="AL1460" s="320">
        <v>16248.25</v>
      </c>
      <c r="AM1460" s="320">
        <v>16274</v>
      </c>
      <c r="AN1460" s="320">
        <v>16351.25</v>
      </c>
      <c r="AO1460" s="320">
        <v>16248.25</v>
      </c>
      <c r="AP1460" s="320">
        <v>16995</v>
      </c>
      <c r="AQ1460" s="320">
        <v>16325.5</v>
      </c>
      <c r="AR1460" s="320">
        <v>16377</v>
      </c>
      <c r="AS1460" s="320">
        <v>16377</v>
      </c>
      <c r="AT1460" s="320">
        <v>15939.25</v>
      </c>
      <c r="AU1460" s="320">
        <v>15527.25</v>
      </c>
      <c r="AV1460" s="320">
        <f ca="1">IF(_xlfn.XLOOKUP(A1460,TabCalc[Ticker],ListExtra_n)&gt;0,             _xlfn.XLOOKUP(A1460,TabCalc[Ticker],ListExtra_n)*_xlfn.XLOOKUP(A1460,TabTRADER[ClickTick],TabTRADER[M])*_xlfn.XLOOKUP(A1460,TabCalc[Ticker],ListScale),               "")</f>
        <v>15527.25</v>
      </c>
      <c r="AX1460" s="88" t="str">
        <f t="shared" ca="1" si="113"/>
        <v>MVEUN0</v>
      </c>
    </row>
    <row r="1461" spans="1:50" hidden="1">
      <c r="A1461" s="88" t="str">
        <f t="shared" ca="1" si="114"/>
        <v>SAFAAPL</v>
      </c>
      <c r="F1461" s="253">
        <v>1.0927</v>
      </c>
      <c r="G1461" s="253">
        <v>1.0931</v>
      </c>
      <c r="H1461" s="253">
        <v>1.0944</v>
      </c>
      <c r="I1461" s="253">
        <v>1.0840000000000001</v>
      </c>
      <c r="J1461" s="253">
        <v>1.0834999999999999</v>
      </c>
      <c r="K1461" s="253">
        <v>1.0839000000000001</v>
      </c>
      <c r="L1461" s="253">
        <v>1.0837000000000001</v>
      </c>
      <c r="M1461" s="253">
        <v>1.0837000000000001</v>
      </c>
      <c r="N1461" s="253">
        <v>1.0837000000000001</v>
      </c>
      <c r="O1461" s="253">
        <v>1.0884</v>
      </c>
      <c r="P1461" s="253">
        <v>1.0873999999999999</v>
      </c>
      <c r="Q1461" s="253">
        <v>1.0872999999999999</v>
      </c>
      <c r="R1461" s="253">
        <v>1.0864</v>
      </c>
      <c r="S1461" s="253">
        <v>1.0848</v>
      </c>
      <c r="T1461" s="253">
        <v>1.0848</v>
      </c>
      <c r="U1461" s="253">
        <v>1.0827</v>
      </c>
      <c r="V1461" s="253">
        <v>1.0826</v>
      </c>
      <c r="W1461" s="253">
        <v>1.0826</v>
      </c>
      <c r="X1461" s="253">
        <v>1.0826</v>
      </c>
      <c r="Y1461" s="253">
        <v>1.0826</v>
      </c>
      <c r="Z1461" s="247">
        <f ca="1">[1]ExtEntry!$R66</f>
        <v>1.0834999999999999</v>
      </c>
      <c r="AB1461" s="320"/>
      <c r="AC1461" s="320"/>
      <c r="AD1461" s="320"/>
      <c r="AE1461" s="320"/>
      <c r="AF1461" s="320"/>
      <c r="AG1461" s="320"/>
      <c r="AH1461" s="320"/>
      <c r="AI1461" s="320"/>
      <c r="AJ1461" s="320"/>
      <c r="AK1461" s="320"/>
      <c r="AL1461" s="320"/>
      <c r="AM1461" s="320"/>
      <c r="AN1461" s="320"/>
      <c r="AO1461" s="320"/>
      <c r="AP1461" s="320"/>
      <c r="AQ1461" s="320"/>
      <c r="AR1461" s="320"/>
      <c r="AS1461" s="320"/>
      <c r="AT1461" s="320"/>
      <c r="AU1461" s="320"/>
      <c r="AV1461" s="320" t="str">
        <f ca="1">IF(_xlfn.XLOOKUP(A1461,TabCalc[Ticker],ListExtra_n)&gt;0,             _xlfn.XLOOKUP(A1461,TabCalc[Ticker],ListExtra_n)*_xlfn.XLOOKUP(A1461,TabTRADER[ClickTick],TabTRADER[M])*_xlfn.XLOOKUP(A1461,TabCalc[Ticker],ListScale),               "")</f>
        <v/>
      </c>
      <c r="AX1461" s="88" t="str">
        <f t="shared" ca="1" si="113"/>
        <v>SAFAAPL</v>
      </c>
    </row>
    <row r="1462" spans="1:50" hidden="1">
      <c r="A1462" s="88" t="str">
        <f t="shared" ca="1" si="114"/>
        <v>SAFAMZN</v>
      </c>
      <c r="F1462" s="253">
        <v>1.2873000000000001</v>
      </c>
      <c r="G1462" s="253">
        <v>1.2867999999999999</v>
      </c>
      <c r="H1462" s="253">
        <v>1.2815000000000001</v>
      </c>
      <c r="I1462" s="253">
        <v>1.2830999999999999</v>
      </c>
      <c r="J1462" s="253">
        <v>1.2826</v>
      </c>
      <c r="K1462" s="253">
        <v>1.2836000000000001</v>
      </c>
      <c r="L1462" s="253">
        <v>1.2827999999999999</v>
      </c>
      <c r="M1462" s="253">
        <v>1.2830999999999999</v>
      </c>
      <c r="N1462" s="253">
        <v>1.2830999999999999</v>
      </c>
      <c r="O1462" s="253">
        <v>1.2786999999999999</v>
      </c>
      <c r="P1462" s="253">
        <v>1.2814000000000001</v>
      </c>
      <c r="Q1462" s="253">
        <v>1.2835000000000001</v>
      </c>
      <c r="R1462" s="253">
        <v>1.2847</v>
      </c>
      <c r="S1462" s="253">
        <v>1.2862</v>
      </c>
      <c r="T1462" s="253">
        <v>1.2862</v>
      </c>
      <c r="U1462" s="253">
        <v>1.2845</v>
      </c>
      <c r="V1462" s="253">
        <v>1.2831999999999999</v>
      </c>
      <c r="W1462" s="253">
        <v>1.2831999999999999</v>
      </c>
      <c r="X1462" s="253">
        <v>1.2831999999999999</v>
      </c>
      <c r="Y1462" s="253">
        <v>1.2831999999999999</v>
      </c>
      <c r="Z1462" s="247">
        <f ca="1">[1]ExtEntry!$R67</f>
        <v>1.2842</v>
      </c>
      <c r="AB1462" s="320"/>
      <c r="AC1462" s="320"/>
      <c r="AD1462" s="320"/>
      <c r="AE1462" s="320"/>
      <c r="AF1462" s="320"/>
      <c r="AG1462" s="320"/>
      <c r="AH1462" s="320"/>
      <c r="AI1462" s="320"/>
      <c r="AJ1462" s="320"/>
      <c r="AK1462" s="320"/>
      <c r="AL1462" s="320"/>
      <c r="AM1462" s="320"/>
      <c r="AN1462" s="320"/>
      <c r="AO1462" s="320"/>
      <c r="AP1462" s="320"/>
      <c r="AQ1462" s="320"/>
      <c r="AR1462" s="320"/>
      <c r="AS1462" s="320"/>
      <c r="AT1462" s="320"/>
      <c r="AU1462" s="320"/>
      <c r="AV1462" s="320" t="str">
        <f ca="1">IF(_xlfn.XLOOKUP(A1462,TabCalc[Ticker],ListExtra_n)&gt;0,             _xlfn.XLOOKUP(A1462,TabCalc[Ticker],ListExtra_n)*_xlfn.XLOOKUP(A1462,TabTRADER[ClickTick],TabTRADER[M])*_xlfn.XLOOKUP(A1462,TabCalc[Ticker],ListScale),               "")</f>
        <v/>
      </c>
      <c r="AX1462" s="88" t="str">
        <f t="shared" ca="1" si="113"/>
        <v>SAFAMZN</v>
      </c>
    </row>
    <row r="1463" spans="1:50" hidden="1">
      <c r="A1463" s="88" t="str">
        <f t="shared" ca="1" si="114"/>
        <v>SAFASML</v>
      </c>
      <c r="F1463" s="253">
        <v>1.9275</v>
      </c>
      <c r="G1463" s="253">
        <v>1.859</v>
      </c>
      <c r="H1463" s="253">
        <v>1.8672</v>
      </c>
      <c r="I1463" s="253">
        <v>1.8751</v>
      </c>
      <c r="J1463" s="253">
        <v>1.8733</v>
      </c>
      <c r="K1463" s="253">
        <v>1.9643999999999999</v>
      </c>
      <c r="L1463" s="253">
        <v>1.9613</v>
      </c>
      <c r="M1463" s="253">
        <v>1.9598</v>
      </c>
      <c r="N1463" s="253">
        <v>1.9598</v>
      </c>
      <c r="O1463" s="253">
        <v>1.9577</v>
      </c>
      <c r="P1463" s="253">
        <v>1.9578</v>
      </c>
      <c r="Q1463" s="253">
        <v>1.9605999999999999</v>
      </c>
      <c r="R1463" s="253">
        <v>1.9593</v>
      </c>
      <c r="S1463" s="253">
        <v>1.962</v>
      </c>
      <c r="T1463" s="253">
        <v>1.962</v>
      </c>
      <c r="U1463" s="253">
        <v>1.9623999999999999</v>
      </c>
      <c r="V1463" s="253">
        <v>1.9639</v>
      </c>
      <c r="W1463" s="253">
        <v>1.9639</v>
      </c>
      <c r="X1463" s="253">
        <v>1.9639</v>
      </c>
      <c r="Y1463" s="253">
        <v>1.9639</v>
      </c>
      <c r="Z1463" s="247">
        <f ca="1">[1]ExtEntry!$R68</f>
        <v>1.9605999999999999</v>
      </c>
      <c r="AB1463" s="320">
        <v>74295</v>
      </c>
      <c r="AC1463" s="320">
        <v>87128.1</v>
      </c>
      <c r="AD1463" s="320">
        <v>90294.3</v>
      </c>
      <c r="AE1463" s="320">
        <v>92715.3</v>
      </c>
      <c r="AF1463" s="320">
        <v>92899.8</v>
      </c>
      <c r="AG1463" s="320">
        <v>78732</v>
      </c>
      <c r="AH1463" s="320">
        <v>76662</v>
      </c>
      <c r="AI1463" s="320">
        <v>76482</v>
      </c>
      <c r="AJ1463" s="320">
        <v>75807</v>
      </c>
      <c r="AK1463" s="320">
        <v>75960</v>
      </c>
      <c r="AL1463" s="320">
        <v>76194</v>
      </c>
      <c r="AM1463" s="320">
        <v>78570</v>
      </c>
      <c r="AN1463" s="320">
        <v>78966</v>
      </c>
      <c r="AO1463" s="320">
        <v>78813</v>
      </c>
      <c r="AP1463" s="320">
        <v>80910</v>
      </c>
      <c r="AQ1463" s="320">
        <v>80082</v>
      </c>
      <c r="AR1463" s="320">
        <v>78309</v>
      </c>
      <c r="AS1463" s="320">
        <v>78309</v>
      </c>
      <c r="AT1463" s="320">
        <v>79893</v>
      </c>
      <c r="AU1463" s="320">
        <v>80496</v>
      </c>
      <c r="AV1463" s="320">
        <f ca="1">IF(_xlfn.XLOOKUP(A1463,TabCalc[Ticker],ListExtra_n)&gt;0,             _xlfn.XLOOKUP(A1463,TabCalc[Ticker],ListExtra_n)*_xlfn.XLOOKUP(A1463,TabTRADER[ClickTick],TabTRADER[M])*_xlfn.XLOOKUP(A1463,TabCalc[Ticker],ListScale),               "")</f>
        <v>80496</v>
      </c>
      <c r="AX1463" s="88" t="str">
        <f t="shared" ca="1" si="113"/>
        <v>SAFASML</v>
      </c>
    </row>
    <row r="1464" spans="1:50" hidden="1">
      <c r="A1464" s="88" t="str">
        <f t="shared" ca="1" si="114"/>
        <v>SAFDDD</v>
      </c>
      <c r="F1464" s="253">
        <v>2.1194999999999999</v>
      </c>
      <c r="G1464" s="253">
        <v>2.1150000000000002</v>
      </c>
      <c r="H1464" s="253">
        <v>2.1158000000000001</v>
      </c>
      <c r="I1464" s="253">
        <v>2.1880000000000002</v>
      </c>
      <c r="J1464" s="253">
        <v>2.1848999999999998</v>
      </c>
      <c r="K1464" s="253">
        <v>2.1829999999999998</v>
      </c>
      <c r="L1464" s="253">
        <v>2.1808999999999998</v>
      </c>
      <c r="M1464" s="253">
        <v>2.1838000000000002</v>
      </c>
      <c r="N1464" s="253">
        <v>2.1838000000000002</v>
      </c>
      <c r="O1464" s="253">
        <v>2.1762999999999999</v>
      </c>
      <c r="P1464" s="253">
        <v>2.1745000000000001</v>
      </c>
      <c r="Q1464" s="253">
        <v>2.1745999999999999</v>
      </c>
      <c r="R1464" s="253">
        <v>2.1697000000000002</v>
      </c>
      <c r="S1464" s="253">
        <v>2.1758000000000002</v>
      </c>
      <c r="T1464" s="253">
        <v>2.1758000000000002</v>
      </c>
      <c r="U1464" s="253">
        <v>2.1718000000000002</v>
      </c>
      <c r="V1464" s="253">
        <v>2.1789000000000001</v>
      </c>
      <c r="W1464" s="253">
        <v>2.1789000000000001</v>
      </c>
      <c r="X1464" s="253">
        <v>2.1789000000000001</v>
      </c>
      <c r="Y1464" s="253">
        <v>2.1789000000000001</v>
      </c>
      <c r="Z1464" s="247">
        <f ca="1">[1]ExtEntry!$R69</f>
        <v>2.1852999999999998</v>
      </c>
      <c r="AB1464" s="320">
        <v>356845.5</v>
      </c>
      <c r="AC1464" s="320">
        <v>348435</v>
      </c>
      <c r="AD1464" s="320">
        <v>344229.75</v>
      </c>
      <c r="AE1464" s="320">
        <v>359849.25</v>
      </c>
      <c r="AF1464" s="320">
        <v>374868</v>
      </c>
      <c r="AG1464" s="320">
        <v>342185.25</v>
      </c>
      <c r="AH1464" s="320">
        <v>354191.75</v>
      </c>
      <c r="AI1464" s="320">
        <v>347097</v>
      </c>
      <c r="AJ1464" s="320">
        <v>347097</v>
      </c>
      <c r="AK1464" s="320">
        <v>339456.5</v>
      </c>
      <c r="AL1464" s="320">
        <v>336182</v>
      </c>
      <c r="AM1464" s="320">
        <v>354737.5</v>
      </c>
      <c r="AN1464" s="320">
        <v>355829</v>
      </c>
      <c r="AO1464" s="320">
        <v>339456.5</v>
      </c>
      <c r="AP1464" s="320">
        <v>413132.75</v>
      </c>
      <c r="AQ1464" s="320">
        <v>367835.5</v>
      </c>
      <c r="AR1464" s="320">
        <v>327995.75</v>
      </c>
      <c r="AS1464" s="320">
        <v>327995.75</v>
      </c>
      <c r="AT1464" s="320">
        <v>335636.25</v>
      </c>
      <c r="AU1464" s="320">
        <v>341093.75</v>
      </c>
      <c r="AV1464" s="320">
        <f ca="1">IF(_xlfn.XLOOKUP(A1464,TabCalc[Ticker],ListExtra_n)&gt;0,             _xlfn.XLOOKUP(A1464,TabCalc[Ticker],ListExtra_n)*_xlfn.XLOOKUP(A1464,TabTRADER[ClickTick],TabTRADER[M])*_xlfn.XLOOKUP(A1464,TabCalc[Ticker],ListScale),               "")</f>
        <v>341639.5</v>
      </c>
      <c r="AX1464" s="88" t="str">
        <f t="shared" ca="1" si="113"/>
        <v>SAFDDD</v>
      </c>
    </row>
    <row r="1465" spans="1:50" hidden="1">
      <c r="A1465" s="88" t="str">
        <f t="shared" ca="1" si="114"/>
        <v>SAFDIS</v>
      </c>
      <c r="F1465" s="253">
        <v>1.5461</v>
      </c>
      <c r="G1465" s="253">
        <v>1.5456000000000001</v>
      </c>
      <c r="H1465" s="253">
        <v>1.5418000000000001</v>
      </c>
      <c r="I1465" s="253">
        <v>1.554</v>
      </c>
      <c r="J1465" s="253">
        <v>1.5546</v>
      </c>
      <c r="K1465" s="253">
        <v>1.5543</v>
      </c>
      <c r="L1465" s="253">
        <v>1.5543</v>
      </c>
      <c r="M1465" s="253">
        <v>1.5544</v>
      </c>
      <c r="N1465" s="253">
        <v>1.5544</v>
      </c>
      <c r="O1465" s="253">
        <v>1.5532999999999999</v>
      </c>
      <c r="P1465" s="253">
        <v>1.5557000000000001</v>
      </c>
      <c r="Q1465" s="253">
        <v>1.5542</v>
      </c>
      <c r="R1465" s="253">
        <v>1.5543</v>
      </c>
      <c r="S1465" s="253">
        <v>1.5552999999999999</v>
      </c>
      <c r="T1465" s="253">
        <v>1.5552999999999999</v>
      </c>
      <c r="U1465" s="253">
        <v>1.5546</v>
      </c>
      <c r="V1465" s="253">
        <v>1.5536000000000001</v>
      </c>
      <c r="W1465" s="253">
        <v>1.5536000000000001</v>
      </c>
      <c r="X1465" s="253">
        <v>1.5536000000000001</v>
      </c>
      <c r="Y1465" s="253">
        <v>1.5536000000000001</v>
      </c>
      <c r="Z1465" s="247">
        <f ca="1">[1]ExtEntry!$R70</f>
        <v>1.5541</v>
      </c>
      <c r="AB1465" s="320"/>
      <c r="AC1465" s="320"/>
      <c r="AD1465" s="320"/>
      <c r="AE1465" s="320"/>
      <c r="AF1465" s="320"/>
      <c r="AG1465" s="320"/>
      <c r="AH1465" s="320"/>
      <c r="AI1465" s="320"/>
      <c r="AJ1465" s="320"/>
      <c r="AK1465" s="320"/>
      <c r="AL1465" s="320"/>
      <c r="AM1465" s="320"/>
      <c r="AN1465" s="320"/>
      <c r="AO1465" s="320"/>
      <c r="AP1465" s="320"/>
      <c r="AQ1465" s="320"/>
      <c r="AR1465" s="320"/>
      <c r="AS1465" s="320"/>
      <c r="AT1465" s="320"/>
      <c r="AU1465" s="320"/>
      <c r="AV1465" s="320" t="str">
        <f ca="1">IF(_xlfn.XLOOKUP(A1465,TabCalc[Ticker],ListExtra_n)&gt;0,             _xlfn.XLOOKUP(A1465,TabCalc[Ticker],ListExtra_n)*_xlfn.XLOOKUP(A1465,TabTRADER[ClickTick],TabTRADER[M])*_xlfn.XLOOKUP(A1465,TabCalc[Ticker],ListScale),               "")</f>
        <v/>
      </c>
      <c r="AX1465" s="88" t="str">
        <f t="shared" ca="1" si="113"/>
        <v>SAFDIS</v>
      </c>
    </row>
    <row r="1466" spans="1:50" hidden="1">
      <c r="A1466" s="88" t="str">
        <f t="shared" ca="1" si="114"/>
        <v>SAFGM</v>
      </c>
      <c r="F1466" s="253">
        <v>1.3386</v>
      </c>
      <c r="G1466" s="253">
        <v>1.3379000000000001</v>
      </c>
      <c r="H1466" s="253">
        <v>1.3364</v>
      </c>
      <c r="I1466" s="253">
        <v>1.4046000000000001</v>
      </c>
      <c r="J1466" s="253">
        <v>1.4071</v>
      </c>
      <c r="K1466" s="253">
        <v>1.4073</v>
      </c>
      <c r="L1466" s="253">
        <v>1.4097</v>
      </c>
      <c r="M1466" s="253">
        <v>1.4074</v>
      </c>
      <c r="N1466" s="253">
        <v>1.4074</v>
      </c>
      <c r="O1466" s="253">
        <v>1.4211</v>
      </c>
      <c r="P1466" s="253">
        <v>1.4162999999999999</v>
      </c>
      <c r="Q1466" s="253">
        <v>1.4129</v>
      </c>
      <c r="R1466" s="253">
        <v>1.4107000000000001</v>
      </c>
      <c r="S1466" s="253">
        <v>1.4096</v>
      </c>
      <c r="T1466" s="253">
        <v>1.4096</v>
      </c>
      <c r="U1466" s="253">
        <v>1.4077</v>
      </c>
      <c r="V1466" s="253">
        <v>1.4006000000000001</v>
      </c>
      <c r="W1466" s="253">
        <v>1.4006000000000001</v>
      </c>
      <c r="X1466" s="253">
        <v>1.4006000000000001</v>
      </c>
      <c r="Y1466" s="253">
        <v>1.4006000000000001</v>
      </c>
      <c r="Z1466" s="247">
        <f ca="1">[1]ExtEntry!$R71</f>
        <v>1.4</v>
      </c>
      <c r="AB1466" s="320"/>
      <c r="AC1466" s="320"/>
      <c r="AD1466" s="320"/>
      <c r="AE1466" s="320"/>
      <c r="AF1466" s="320"/>
      <c r="AG1466" s="320"/>
      <c r="AH1466" s="320"/>
      <c r="AI1466" s="320"/>
      <c r="AJ1466" s="320"/>
      <c r="AK1466" s="320"/>
      <c r="AL1466" s="320"/>
      <c r="AM1466" s="320"/>
      <c r="AN1466" s="320"/>
      <c r="AO1466" s="320"/>
      <c r="AP1466" s="320"/>
      <c r="AQ1466" s="320"/>
      <c r="AR1466" s="320"/>
      <c r="AS1466" s="320"/>
      <c r="AT1466" s="320"/>
      <c r="AU1466" s="320"/>
      <c r="AV1466" s="320" t="str">
        <f ca="1">IF(_xlfn.XLOOKUP(A1466,TabCalc[Ticker],ListExtra_n)&gt;0,             _xlfn.XLOOKUP(A1466,TabCalc[Ticker],ListExtra_n)*_xlfn.XLOOKUP(A1466,TabTRADER[ClickTick],TabTRADER[M])*_xlfn.XLOOKUP(A1466,TabCalc[Ticker],ListScale),               "")</f>
        <v/>
      </c>
      <c r="AX1466" s="88" t="str">
        <f t="shared" ca="1" si="113"/>
        <v>SAFGM</v>
      </c>
    </row>
    <row r="1467" spans="1:50" hidden="1">
      <c r="A1467" s="88" t="str">
        <f t="shared" ca="1" si="114"/>
        <v>SAFIAG</v>
      </c>
      <c r="F1467" s="253">
        <v>2.8018000000000001</v>
      </c>
      <c r="G1467" s="253">
        <v>2.8001999999999998</v>
      </c>
      <c r="H1467" s="253">
        <v>2.7949000000000002</v>
      </c>
      <c r="I1467" s="253">
        <v>2.8875000000000002</v>
      </c>
      <c r="J1467" s="253">
        <v>2.8885000000000001</v>
      </c>
      <c r="K1467" s="253">
        <v>2.8854000000000002</v>
      </c>
      <c r="L1467" s="253">
        <v>2.8858000000000001</v>
      </c>
      <c r="M1467" s="253">
        <v>2.8837000000000002</v>
      </c>
      <c r="N1467" s="253">
        <v>2.8837000000000002</v>
      </c>
      <c r="O1467" s="253">
        <v>2.8866999999999998</v>
      </c>
      <c r="P1467" s="253">
        <v>2.8881000000000001</v>
      </c>
      <c r="Q1467" s="253">
        <v>2.8883000000000001</v>
      </c>
      <c r="R1467" s="253">
        <v>2.8873000000000002</v>
      </c>
      <c r="S1467" s="253">
        <v>2.8868</v>
      </c>
      <c r="T1467" s="253">
        <v>2.8868</v>
      </c>
      <c r="U1467" s="253">
        <v>2.8875999999999999</v>
      </c>
      <c r="V1467" s="253">
        <v>2.8881999999999999</v>
      </c>
      <c r="W1467" s="253">
        <v>2.8881999999999999</v>
      </c>
      <c r="X1467" s="253">
        <v>2.8881999999999999</v>
      </c>
      <c r="Y1467" s="253">
        <v>2.8881999999999999</v>
      </c>
      <c r="Z1467" s="247">
        <f ca="1">[1]ExtEntry!$R72</f>
        <v>2.8862999999999999</v>
      </c>
      <c r="AB1467" s="320"/>
      <c r="AC1467" s="320"/>
      <c r="AD1467" s="320"/>
      <c r="AE1467" s="320"/>
      <c r="AF1467" s="320"/>
      <c r="AG1467" s="320"/>
      <c r="AH1467" s="320"/>
      <c r="AI1467" s="320"/>
      <c r="AJ1467" s="320"/>
      <c r="AK1467" s="320"/>
      <c r="AL1467" s="320"/>
      <c r="AM1467" s="320"/>
      <c r="AN1467" s="320"/>
      <c r="AO1467" s="320"/>
      <c r="AP1467" s="320"/>
      <c r="AQ1467" s="320"/>
      <c r="AR1467" s="320"/>
      <c r="AS1467" s="320"/>
      <c r="AT1467" s="320"/>
      <c r="AU1467" s="320"/>
      <c r="AV1467" s="320" t="str">
        <f ca="1">IF(_xlfn.XLOOKUP(A1467,TabCalc[Ticker],ListExtra_n)&gt;0,             _xlfn.XLOOKUP(A1467,TabCalc[Ticker],ListExtra_n)*_xlfn.XLOOKUP(A1467,TabTRADER[ClickTick],TabTRADER[M])*_xlfn.XLOOKUP(A1467,TabCalc[Ticker],ListScale),               "")</f>
        <v/>
      </c>
      <c r="AX1467" s="88" t="str">
        <f t="shared" ca="1" si="113"/>
        <v>SAFIAG</v>
      </c>
    </row>
    <row r="1468" spans="1:50" hidden="1">
      <c r="A1468" s="88" t="str">
        <f t="shared" ca="1" si="114"/>
        <v>SAFMRNA</v>
      </c>
      <c r="F1468" s="253">
        <v>2.0005000000000002</v>
      </c>
      <c r="G1468" s="253">
        <v>2.0044</v>
      </c>
      <c r="H1468" s="253">
        <v>2.0068999999999999</v>
      </c>
      <c r="I1468" s="253">
        <v>2.0093999999999999</v>
      </c>
      <c r="J1468" s="253">
        <v>2.0076999999999998</v>
      </c>
      <c r="K1468" s="253">
        <v>2.0127000000000002</v>
      </c>
      <c r="L1468" s="253">
        <v>2.0106000000000002</v>
      </c>
      <c r="M1468" s="253">
        <v>2.0135000000000001</v>
      </c>
      <c r="N1468" s="253">
        <v>2.0135000000000001</v>
      </c>
      <c r="O1468" s="253">
        <v>1.9895</v>
      </c>
      <c r="P1468" s="253">
        <v>2.0064000000000002</v>
      </c>
      <c r="Q1468" s="253">
        <v>2.0082</v>
      </c>
      <c r="R1468" s="253">
        <v>2.0034000000000001</v>
      </c>
      <c r="S1468" s="253">
        <v>2.0114000000000001</v>
      </c>
      <c r="T1468" s="253">
        <v>2.0114000000000001</v>
      </c>
      <c r="U1468" s="253">
        <v>2.0127999999999999</v>
      </c>
      <c r="V1468" s="253">
        <v>2.0123000000000002</v>
      </c>
      <c r="W1468" s="253">
        <v>2.0123000000000002</v>
      </c>
      <c r="X1468" s="253">
        <v>2.0123000000000002</v>
      </c>
      <c r="Y1468" s="253">
        <v>2.0123000000000002</v>
      </c>
      <c r="Z1468" s="247">
        <f ca="1">[1]ExtEntry!$R73</f>
        <v>2.0135000000000001</v>
      </c>
      <c r="AB1468" s="320">
        <v>112988.7</v>
      </c>
      <c r="AC1468" s="320">
        <v>116234.99999999999</v>
      </c>
      <c r="AD1468" s="320">
        <v>124200</v>
      </c>
      <c r="AE1468" s="320">
        <v>127665</v>
      </c>
      <c r="AF1468" s="320">
        <v>128205</v>
      </c>
      <c r="AG1468" s="320">
        <v>123030</v>
      </c>
      <c r="AH1468" s="320">
        <v>125640.00000000001</v>
      </c>
      <c r="AI1468" s="320">
        <v>123885</v>
      </c>
      <c r="AJ1468" s="320">
        <v>123885</v>
      </c>
      <c r="AK1468" s="320">
        <v>120330</v>
      </c>
      <c r="AL1468" s="320">
        <v>118125</v>
      </c>
      <c r="AM1468" s="320">
        <v>124897.5</v>
      </c>
      <c r="AN1468" s="320">
        <v>122130</v>
      </c>
      <c r="AO1468" s="320">
        <v>117045</v>
      </c>
      <c r="AP1468" s="320">
        <v>122580</v>
      </c>
      <c r="AQ1468" s="320">
        <v>123705</v>
      </c>
      <c r="AR1468" s="320">
        <v>120825</v>
      </c>
      <c r="AS1468" s="320">
        <v>120825</v>
      </c>
      <c r="AT1468" s="320">
        <v>118125</v>
      </c>
      <c r="AU1468" s="320">
        <v>120330</v>
      </c>
      <c r="AV1468" s="320">
        <f ca="1">IF(_xlfn.XLOOKUP(A1468,TabCalc[Ticker],ListExtra_n)&gt;0,             _xlfn.XLOOKUP(A1468,TabCalc[Ticker],ListExtra_n)*_xlfn.XLOOKUP(A1468,TabTRADER[ClickTick],TabTRADER[M])*_xlfn.XLOOKUP(A1468,TabCalc[Ticker],ListScale),               "")</f>
        <v>120330</v>
      </c>
      <c r="AX1468" s="88" t="str">
        <f t="shared" ca="1" si="113"/>
        <v>SAFMRNA</v>
      </c>
    </row>
    <row r="1469" spans="1:50" hidden="1">
      <c r="A1469" s="88" t="str">
        <f t="shared" ca="1" si="114"/>
        <v>BLNK</v>
      </c>
      <c r="F1469" s="253">
        <v>3.5139</v>
      </c>
      <c r="G1469" s="253">
        <v>3.5468999999999999</v>
      </c>
      <c r="H1469" s="253">
        <v>3.5407000000000002</v>
      </c>
      <c r="I1469" s="253">
        <v>3.4918</v>
      </c>
      <c r="J1469" s="253">
        <v>3.4948000000000001</v>
      </c>
      <c r="K1469" s="253">
        <v>3.4781</v>
      </c>
      <c r="L1469" s="253">
        <v>3.4666000000000001</v>
      </c>
      <c r="M1469" s="253">
        <v>3.4903</v>
      </c>
      <c r="N1469" s="253">
        <v>3.4903</v>
      </c>
      <c r="O1469" s="253">
        <v>3.4116</v>
      </c>
      <c r="P1469" s="253">
        <v>3.4411999999999998</v>
      </c>
      <c r="Q1469" s="253">
        <v>3.4312999999999998</v>
      </c>
      <c r="R1469" s="253">
        <v>3.4558</v>
      </c>
      <c r="S1469" s="253">
        <v>3.4805999999999999</v>
      </c>
      <c r="T1469" s="253">
        <v>3.4805999999999999</v>
      </c>
      <c r="U1469" s="253">
        <v>3.4935</v>
      </c>
      <c r="V1469" s="253">
        <v>3.4971999999999999</v>
      </c>
      <c r="W1469" s="253">
        <v>3.4971999999999999</v>
      </c>
      <c r="X1469" s="253">
        <v>3.4971999999999999</v>
      </c>
      <c r="Y1469" s="253">
        <v>3.4971999999999999</v>
      </c>
      <c r="Z1469" s="247">
        <f ca="1">[1]ExtEntry!$R74</f>
        <v>3.4965999999999999</v>
      </c>
      <c r="AB1469" s="320">
        <v>176460</v>
      </c>
      <c r="AC1469" s="320">
        <v>167280</v>
      </c>
      <c r="AD1469" s="320">
        <v>184620</v>
      </c>
      <c r="AE1469" s="320">
        <v>179520</v>
      </c>
      <c r="AF1469" s="320">
        <v>204000</v>
      </c>
      <c r="AG1469" s="320">
        <v>241740</v>
      </c>
      <c r="AH1469" s="320">
        <v>234599.99999999997</v>
      </c>
      <c r="AI1469" s="320">
        <v>227460</v>
      </c>
      <c r="AJ1469" s="320">
        <v>227460</v>
      </c>
      <c r="AK1469" s="320">
        <v>227460</v>
      </c>
      <c r="AL1469" s="320">
        <v>231540</v>
      </c>
      <c r="AM1469" s="320">
        <v>220830</v>
      </c>
      <c r="AN1469" s="320">
        <v>171900</v>
      </c>
      <c r="AO1469" s="320">
        <v>163800</v>
      </c>
      <c r="AP1469" s="320">
        <v>170100</v>
      </c>
      <c r="AQ1469" s="320">
        <v>159300</v>
      </c>
      <c r="AR1469" s="320">
        <v>161100</v>
      </c>
      <c r="AS1469" s="320">
        <v>161100</v>
      </c>
      <c r="AT1469" s="320">
        <v>161100</v>
      </c>
      <c r="AU1469" s="320">
        <v>173700</v>
      </c>
      <c r="AV1469" s="320">
        <f ca="1">IF(_xlfn.XLOOKUP(A1469,TabCalc[Ticker],ListExtra_n)&gt;0,             _xlfn.XLOOKUP(A1469,TabCalc[Ticker],ListExtra_n)*_xlfn.XLOOKUP(A1469,TabTRADER[ClickTick],TabTRADER[M])*_xlfn.XLOOKUP(A1469,TabCalc[Ticker],ListScale),               "")</f>
        <v>173700</v>
      </c>
      <c r="AX1469" s="88" t="str">
        <f t="shared" ca="1" si="113"/>
        <v>BLNK</v>
      </c>
    </row>
    <row r="1470" spans="1:50" hidden="1">
      <c r="A1470" s="88" t="str">
        <f t="shared" ca="1" si="114"/>
        <v>ENI</v>
      </c>
      <c r="F1470" s="253">
        <v>1.1001000000000001</v>
      </c>
      <c r="G1470" s="253">
        <v>1.1007</v>
      </c>
      <c r="H1470" s="253">
        <v>1.1006</v>
      </c>
      <c r="I1470" s="253">
        <v>1.0837000000000001</v>
      </c>
      <c r="J1470" s="253">
        <v>1.0841000000000001</v>
      </c>
      <c r="K1470" s="253">
        <v>1.0834999999999999</v>
      </c>
      <c r="L1470" s="253">
        <v>1.0831999999999999</v>
      </c>
      <c r="M1470" s="253">
        <v>1.0837000000000001</v>
      </c>
      <c r="N1470" s="253">
        <v>1.0837000000000001</v>
      </c>
      <c r="O1470" s="253">
        <v>1.0801000000000001</v>
      </c>
      <c r="P1470" s="253">
        <v>1.0807</v>
      </c>
      <c r="Q1470" s="253">
        <v>1.0831999999999999</v>
      </c>
      <c r="R1470" s="253">
        <v>1.0819000000000001</v>
      </c>
      <c r="S1470" s="253">
        <v>1.079</v>
      </c>
      <c r="T1470" s="253">
        <v>1.079</v>
      </c>
      <c r="U1470" s="253">
        <v>1.0827</v>
      </c>
      <c r="V1470" s="253">
        <v>1.0833999999999999</v>
      </c>
      <c r="W1470" s="253">
        <v>1.0833999999999999</v>
      </c>
      <c r="X1470" s="253">
        <v>1.0833999999999999</v>
      </c>
      <c r="Y1470" s="253">
        <v>1.0833999999999999</v>
      </c>
      <c r="Z1470" s="247">
        <f ca="1">[1]ExtEntry!$R75</f>
        <v>1.0790999999999999</v>
      </c>
      <c r="AB1470" s="320">
        <v>221705.40000000002</v>
      </c>
      <c r="AC1470" s="320">
        <v>218530.19999999998</v>
      </c>
      <c r="AD1470" s="320">
        <v>220294.2</v>
      </c>
      <c r="AE1470" s="320">
        <v>218677.19999999998</v>
      </c>
      <c r="AF1470" s="320">
        <v>219118.2</v>
      </c>
      <c r="AG1470" s="320">
        <v>223057.8</v>
      </c>
      <c r="AH1470" s="320">
        <v>224704.19999999998</v>
      </c>
      <c r="AI1470" s="320">
        <v>226056.6</v>
      </c>
      <c r="AJ1470" s="320">
        <v>223469.4</v>
      </c>
      <c r="AK1470" s="320">
        <v>220088.4</v>
      </c>
      <c r="AL1470" s="320">
        <v>216090</v>
      </c>
      <c r="AM1470" s="320">
        <v>216413.4</v>
      </c>
      <c r="AN1470" s="320">
        <v>217060.2</v>
      </c>
      <c r="AO1470" s="320">
        <v>218206.8</v>
      </c>
      <c r="AP1470" s="320">
        <v>218677.19999999998</v>
      </c>
      <c r="AQ1470" s="320">
        <v>219030</v>
      </c>
      <c r="AR1470" s="320">
        <v>222352.19999999998</v>
      </c>
      <c r="AS1470" s="320">
        <v>222352.19999999998</v>
      </c>
      <c r="AT1470" s="320">
        <v>229114.2</v>
      </c>
      <c r="AU1470" s="320">
        <v>232789.2</v>
      </c>
      <c r="AV1470" s="320">
        <f ca="1">IF(_xlfn.XLOOKUP(A1470,TabCalc[Ticker],ListExtra_n)&gt;0,             _xlfn.XLOOKUP(A1470,TabCalc[Ticker],ListExtra_n)*_xlfn.XLOOKUP(A1470,TabTRADER[ClickTick],TabTRADER[M])*_xlfn.XLOOKUP(A1470,TabCalc[Ticker],ListScale),               "")</f>
        <v>232789.2</v>
      </c>
      <c r="AX1470" s="88" t="str">
        <f t="shared" ca="1" si="113"/>
        <v>ENI</v>
      </c>
    </row>
    <row r="1471" spans="1:50" hidden="1">
      <c r="A1471" s="88" t="str">
        <f t="shared" ca="1" si="114"/>
        <v>EZJ</v>
      </c>
      <c r="F1471" s="253">
        <v>2.7866</v>
      </c>
      <c r="G1471" s="253">
        <v>2.7833999999999999</v>
      </c>
      <c r="H1471" s="253">
        <v>2.7745000000000002</v>
      </c>
      <c r="I1471" s="253">
        <v>2.8784999999999998</v>
      </c>
      <c r="J1471" s="253">
        <v>2.8788999999999998</v>
      </c>
      <c r="K1471" s="253">
        <v>2.8778000000000001</v>
      </c>
      <c r="L1471" s="253">
        <v>2.8774999999999999</v>
      </c>
      <c r="M1471" s="253">
        <v>2.8746999999999998</v>
      </c>
      <c r="N1471" s="253">
        <v>2.8746999999999998</v>
      </c>
      <c r="O1471" s="253">
        <v>2.879</v>
      </c>
      <c r="P1471" s="253">
        <v>2.8786</v>
      </c>
      <c r="Q1471" s="253">
        <v>2.8797999999999999</v>
      </c>
      <c r="R1471" s="253">
        <v>2.8778999999999999</v>
      </c>
      <c r="S1471" s="253">
        <v>2.8683000000000001</v>
      </c>
      <c r="T1471" s="253">
        <v>2.8683000000000001</v>
      </c>
      <c r="U1471" s="253">
        <v>2.8752</v>
      </c>
      <c r="V1471" s="253">
        <v>2.8776999999999999</v>
      </c>
      <c r="W1471" s="253">
        <v>2.8776999999999999</v>
      </c>
      <c r="X1471" s="253">
        <v>2.8776999999999999</v>
      </c>
      <c r="Y1471" s="253">
        <v>2.8776999999999999</v>
      </c>
      <c r="Z1471" s="247">
        <f ca="1">[1]ExtEntry!$R76</f>
        <v>2.8824999999999998</v>
      </c>
      <c r="AB1471" s="320">
        <v>94699.36</v>
      </c>
      <c r="AC1471" s="320">
        <v>95398.400000000009</v>
      </c>
      <c r="AD1471" s="320">
        <v>95048.88</v>
      </c>
      <c r="AE1471" s="320">
        <v>95213.36</v>
      </c>
      <c r="AF1471" s="320">
        <v>96899.28</v>
      </c>
      <c r="AG1471" s="320">
        <v>95686.24</v>
      </c>
      <c r="AH1471" s="320">
        <v>96940.400000000009</v>
      </c>
      <c r="AI1471" s="320">
        <v>96940.400000000009</v>
      </c>
      <c r="AJ1471" s="320">
        <v>96781.43008000002</v>
      </c>
      <c r="AK1471" s="320">
        <v>95398.400000000009</v>
      </c>
      <c r="AL1471" s="320">
        <v>103046.72</v>
      </c>
      <c r="AM1471" s="320">
        <v>98831.92</v>
      </c>
      <c r="AN1471" s="320">
        <v>100682.32</v>
      </c>
      <c r="AO1471" s="320">
        <v>100312.24</v>
      </c>
      <c r="AP1471" s="320">
        <v>99921.600000000006</v>
      </c>
      <c r="AQ1471" s="320">
        <v>98749.680000000008</v>
      </c>
      <c r="AR1471" s="320">
        <v>52092.480000000003</v>
      </c>
      <c r="AS1471" s="320">
        <v>52092.480000000003</v>
      </c>
      <c r="AT1471" s="320">
        <v>50635.200000000004</v>
      </c>
      <c r="AU1471" s="320">
        <v>51332.160000000003</v>
      </c>
      <c r="AV1471" s="320">
        <f ca="1">IF(_xlfn.XLOOKUP(A1471,TabCalc[Ticker],ListExtra_n)&gt;0,             _xlfn.XLOOKUP(A1471,TabCalc[Ticker],ListExtra_n)*_xlfn.XLOOKUP(A1471,TabTRADER[ClickTick],TabTRADER[M])*_xlfn.XLOOKUP(A1471,TabCalc[Ticker],ListScale),               "")</f>
        <v>51332.160000000003</v>
      </c>
      <c r="AX1471" s="88" t="str">
        <f t="shared" ca="1" si="113"/>
        <v>EZJ</v>
      </c>
    </row>
    <row r="1472" spans="1:50" hidden="1">
      <c r="A1472" s="88" t="str">
        <f t="shared" ca="1" si="114"/>
        <v>F</v>
      </c>
      <c r="F1472" s="253">
        <v>1.5374000000000001</v>
      </c>
      <c r="G1472" s="253">
        <v>1.5373000000000001</v>
      </c>
      <c r="H1472" s="253">
        <v>1.5334000000000001</v>
      </c>
      <c r="I1472" s="253">
        <v>1.6003000000000001</v>
      </c>
      <c r="J1472" s="253">
        <v>1.6008</v>
      </c>
      <c r="K1472" s="253">
        <v>1.5999000000000001</v>
      </c>
      <c r="L1472" s="253">
        <v>1.6027</v>
      </c>
      <c r="M1472" s="253">
        <v>1.6032</v>
      </c>
      <c r="N1472" s="253">
        <v>1.6032</v>
      </c>
      <c r="O1472" s="253">
        <v>1.6045</v>
      </c>
      <c r="P1472" s="253">
        <v>1.6054999999999999</v>
      </c>
      <c r="Q1472" s="253">
        <v>1.6039000000000001</v>
      </c>
      <c r="R1472" s="253">
        <v>1.6032999999999999</v>
      </c>
      <c r="S1472" s="253">
        <v>1.6012999999999999</v>
      </c>
      <c r="T1472" s="253">
        <v>1.6012999999999999</v>
      </c>
      <c r="U1472" s="253">
        <v>1.6025</v>
      </c>
      <c r="V1472" s="253">
        <v>1.6001000000000001</v>
      </c>
      <c r="W1472" s="253">
        <v>1.6001000000000001</v>
      </c>
      <c r="X1472" s="253">
        <v>1.6001000000000001</v>
      </c>
      <c r="Y1472" s="253">
        <v>1.6001000000000001</v>
      </c>
      <c r="Z1472" s="247">
        <f ca="1">[1]ExtEntry!$R77</f>
        <v>1.6007</v>
      </c>
      <c r="AB1472" s="320"/>
      <c r="AC1472" s="320"/>
      <c r="AD1472" s="320"/>
      <c r="AE1472" s="320"/>
      <c r="AF1472" s="320"/>
      <c r="AG1472" s="320"/>
      <c r="AH1472" s="320"/>
      <c r="AI1472" s="320"/>
      <c r="AJ1472" s="320"/>
      <c r="AK1472" s="320"/>
      <c r="AL1472" s="320"/>
      <c r="AM1472" s="320"/>
      <c r="AN1472" s="320"/>
      <c r="AO1472" s="320"/>
      <c r="AP1472" s="320"/>
      <c r="AQ1472" s="320"/>
      <c r="AR1472" s="320"/>
      <c r="AS1472" s="320"/>
      <c r="AT1472" s="320"/>
      <c r="AU1472" s="320"/>
      <c r="AV1472" s="320" t="str">
        <f ca="1">IF(_xlfn.XLOOKUP(A1472,TabCalc[Ticker],ListExtra_n)&gt;0,             _xlfn.XLOOKUP(A1472,TabCalc[Ticker],ListExtra_n)*_xlfn.XLOOKUP(A1472,TabTRADER[ClickTick],TabTRADER[M])*_xlfn.XLOOKUP(A1472,TabCalc[Ticker],ListScale),               "")</f>
        <v/>
      </c>
      <c r="AX1472" s="88" t="str">
        <f t="shared" ca="1" si="113"/>
        <v>F</v>
      </c>
    </row>
    <row r="1473" spans="1:70" hidden="1">
      <c r="A1473" s="88" t="str">
        <f t="shared" ca="1" si="114"/>
        <v>GLE</v>
      </c>
      <c r="F1473" s="253">
        <v>1.5660000000000001</v>
      </c>
      <c r="G1473" s="253">
        <v>1.5669999999999999</v>
      </c>
      <c r="H1473" s="253">
        <v>1.5665</v>
      </c>
      <c r="I1473" s="253">
        <v>1.5979000000000001</v>
      </c>
      <c r="J1473" s="253">
        <v>1.5981000000000001</v>
      </c>
      <c r="K1473" s="253">
        <v>1.589</v>
      </c>
      <c r="L1473" s="253">
        <v>1.5983000000000001</v>
      </c>
      <c r="M1473" s="253">
        <v>1.5980000000000001</v>
      </c>
      <c r="N1473" s="253">
        <v>1.5980000000000001</v>
      </c>
      <c r="O1473" s="253">
        <v>1.5924</v>
      </c>
      <c r="P1473" s="253">
        <v>1.6016999999999999</v>
      </c>
      <c r="Q1473" s="253">
        <v>1.5999000000000001</v>
      </c>
      <c r="R1473" s="253">
        <v>1.5998000000000001</v>
      </c>
      <c r="S1473" s="253">
        <v>1.5733999999999999</v>
      </c>
      <c r="T1473" s="253">
        <v>1.5733999999999999</v>
      </c>
      <c r="U1473" s="253">
        <v>1.5734999999999999</v>
      </c>
      <c r="V1473" s="253">
        <v>1.5686</v>
      </c>
      <c r="W1473" s="253">
        <v>1.5686</v>
      </c>
      <c r="X1473" s="253">
        <v>1.5591999999999999</v>
      </c>
      <c r="Y1473" s="253">
        <v>1.5591999999999999</v>
      </c>
      <c r="Z1473" s="247">
        <f ca="1">[1]ExtEntry!$R78</f>
        <v>1.5581</v>
      </c>
      <c r="AB1473" s="320"/>
      <c r="AC1473" s="320"/>
      <c r="AD1473" s="320"/>
      <c r="AE1473" s="320"/>
      <c r="AF1473" s="320"/>
      <c r="AG1473" s="320"/>
      <c r="AH1473" s="320"/>
      <c r="AI1473" s="320"/>
      <c r="AJ1473" s="320"/>
      <c r="AK1473" s="320"/>
      <c r="AL1473" s="320"/>
      <c r="AM1473" s="320"/>
      <c r="AN1473" s="320"/>
      <c r="AO1473" s="320"/>
      <c r="AP1473" s="320"/>
      <c r="AQ1473" s="320"/>
      <c r="AR1473" s="320"/>
      <c r="AS1473" s="320"/>
      <c r="AT1473" s="320"/>
      <c r="AU1473" s="320"/>
      <c r="AV1473" s="320" t="str">
        <f ca="1">IF(_xlfn.XLOOKUP(A1473,TabCalc[Ticker],ListExtra_n)&gt;0,             _xlfn.XLOOKUP(A1473,TabCalc[Ticker],ListExtra_n)*_xlfn.XLOOKUP(A1473,TabTRADER[ClickTick],TabTRADER[M])*_xlfn.XLOOKUP(A1473,TabCalc[Ticker],ListScale),               "")</f>
        <v/>
      </c>
      <c r="AX1473" s="88" t="str">
        <f t="shared" ca="1" si="113"/>
        <v>GLE</v>
      </c>
    </row>
    <row r="1474" spans="1:70" hidden="1">
      <c r="A1474" s="88" t="str">
        <f t="shared" ca="1" si="114"/>
        <v>GNRC</v>
      </c>
      <c r="F1474" s="253">
        <v>1.6536</v>
      </c>
      <c r="G1474" s="253">
        <v>1.6479999999999999</v>
      </c>
      <c r="H1474" s="253">
        <v>1.6433</v>
      </c>
      <c r="I1474" s="253">
        <v>1.6900999999999999</v>
      </c>
      <c r="J1474" s="253">
        <v>1.6893</v>
      </c>
      <c r="K1474" s="253">
        <v>1.6918</v>
      </c>
      <c r="L1474" s="253">
        <v>1.6907000000000001</v>
      </c>
      <c r="M1474" s="253">
        <v>1.6903999999999999</v>
      </c>
      <c r="N1474" s="253">
        <v>1.6903999999999999</v>
      </c>
      <c r="O1474" s="253">
        <v>1.6737</v>
      </c>
      <c r="P1474" s="253">
        <v>1.6818</v>
      </c>
      <c r="Q1474" s="253">
        <v>1.6713</v>
      </c>
      <c r="R1474" s="253">
        <v>1.6700999999999999</v>
      </c>
      <c r="S1474" s="253">
        <v>1.6694</v>
      </c>
      <c r="T1474" s="253">
        <v>1.6694</v>
      </c>
      <c r="U1474" s="253">
        <v>1.6822999999999999</v>
      </c>
      <c r="V1474" s="253">
        <v>1.6833</v>
      </c>
      <c r="W1474" s="253">
        <v>1.6833</v>
      </c>
      <c r="X1474" s="253">
        <v>1.6833</v>
      </c>
      <c r="Y1474" s="253">
        <v>1.6833</v>
      </c>
      <c r="Z1474" s="247">
        <f ca="1">[1]ExtEntry!$R79</f>
        <v>1.6861999999999999</v>
      </c>
      <c r="AB1474" s="320">
        <v>41472.5</v>
      </c>
      <c r="AC1474" s="320">
        <v>41850</v>
      </c>
      <c r="AD1474" s="320">
        <v>41950</v>
      </c>
      <c r="AE1474" s="320">
        <v>42502.5</v>
      </c>
      <c r="AF1474" s="320">
        <v>41417.5</v>
      </c>
      <c r="AG1474" s="320">
        <v>41755</v>
      </c>
      <c r="AH1474" s="320">
        <v>42833.75</v>
      </c>
      <c r="AI1474" s="320">
        <v>42980</v>
      </c>
      <c r="AJ1474" s="320">
        <v>42980</v>
      </c>
      <c r="AK1474" s="320">
        <v>43530</v>
      </c>
      <c r="AL1474" s="320">
        <v>45981.25</v>
      </c>
      <c r="AM1474" s="320">
        <v>48323.75</v>
      </c>
      <c r="AN1474" s="320">
        <v>9632.75</v>
      </c>
      <c r="AO1474" s="320">
        <v>9524.5</v>
      </c>
      <c r="AP1474" s="320">
        <v>9788.5</v>
      </c>
      <c r="AQ1474" s="320">
        <v>9626</v>
      </c>
      <c r="AR1474" s="320">
        <v>64081.5</v>
      </c>
      <c r="AS1474" s="320">
        <v>64081.5</v>
      </c>
      <c r="AT1474" s="320">
        <v>66164</v>
      </c>
      <c r="AU1474" s="320">
        <v>67203.5</v>
      </c>
      <c r="AV1474" s="320">
        <f ca="1">IF(_xlfn.XLOOKUP(A1474,TabCalc[Ticker],ListExtra_n)&gt;0,             _xlfn.XLOOKUP(A1474,TabCalc[Ticker],ListExtra_n)*_xlfn.XLOOKUP(A1474,TabTRADER[ClickTick],TabTRADER[M])*_xlfn.XLOOKUP(A1474,TabCalc[Ticker],ListScale),               "")</f>
        <v>67182.5</v>
      </c>
      <c r="AX1474" s="88" t="str">
        <f t="shared" ca="1" si="113"/>
        <v>GNRC</v>
      </c>
    </row>
    <row r="1475" spans="1:70" hidden="1">
      <c r="A1475" s="88" t="str">
        <f t="shared" ca="1" si="114"/>
        <v>GS</v>
      </c>
      <c r="F1475" s="253">
        <v>1.4171</v>
      </c>
      <c r="G1475" s="253">
        <v>1.4174</v>
      </c>
      <c r="H1475" s="253">
        <v>1.4153</v>
      </c>
      <c r="I1475" s="253">
        <v>1.4077</v>
      </c>
      <c r="J1475" s="253">
        <v>1.4081999999999999</v>
      </c>
      <c r="K1475" s="253">
        <v>1.4063000000000001</v>
      </c>
      <c r="L1475" s="253">
        <v>1.4072</v>
      </c>
      <c r="M1475" s="253">
        <v>1.4068000000000001</v>
      </c>
      <c r="N1475" s="253">
        <v>1.4068000000000001</v>
      </c>
      <c r="O1475" s="253">
        <v>1.4111</v>
      </c>
      <c r="P1475" s="253">
        <v>1.4076</v>
      </c>
      <c r="Q1475" s="253">
        <v>1.4106000000000001</v>
      </c>
      <c r="R1475" s="253">
        <v>1.4108000000000001</v>
      </c>
      <c r="S1475" s="253">
        <v>1.4138999999999999</v>
      </c>
      <c r="T1475" s="253">
        <v>1.4138999999999999</v>
      </c>
      <c r="U1475" s="253">
        <v>1.4085000000000001</v>
      </c>
      <c r="V1475" s="253">
        <v>1.4088000000000001</v>
      </c>
      <c r="W1475" s="253">
        <v>1.4088000000000001</v>
      </c>
      <c r="X1475" s="253">
        <v>1.4088000000000001</v>
      </c>
      <c r="Y1475" s="253">
        <v>1.4088000000000001</v>
      </c>
      <c r="Z1475" s="247">
        <f ca="1">[1]ExtEntry!$R80</f>
        <v>1.4097</v>
      </c>
      <c r="AB1475" s="320"/>
      <c r="AC1475" s="320"/>
      <c r="AD1475" s="320"/>
      <c r="AE1475" s="320"/>
      <c r="AF1475" s="320"/>
      <c r="AG1475" s="320"/>
      <c r="AH1475" s="320"/>
      <c r="AI1475" s="320"/>
      <c r="AJ1475" s="320"/>
      <c r="AK1475" s="320"/>
      <c r="AL1475" s="320"/>
      <c r="AM1475" s="320"/>
      <c r="AN1475" s="320"/>
      <c r="AO1475" s="320"/>
      <c r="AP1475" s="320"/>
      <c r="AQ1475" s="320"/>
      <c r="AR1475" s="320"/>
      <c r="AS1475" s="320"/>
      <c r="AT1475" s="320"/>
      <c r="AU1475" s="320"/>
      <c r="AV1475" s="320" t="str">
        <f ca="1">IF(_xlfn.XLOOKUP(A1475,TabCalc[Ticker],ListExtra_n)&gt;0,             _xlfn.XLOOKUP(A1475,TabCalc[Ticker],ListExtra_n)*_xlfn.XLOOKUP(A1475,TabTRADER[ClickTick],TabTRADER[M])*_xlfn.XLOOKUP(A1475,TabCalc[Ticker],ListScale),               "")</f>
        <v/>
      </c>
      <c r="AX1475" s="88" t="str">
        <f t="shared" ca="1" si="113"/>
        <v>GS</v>
      </c>
    </row>
    <row r="1476" spans="1:70" hidden="1">
      <c r="A1476" s="88" t="str">
        <f t="shared" ca="1" si="114"/>
        <v>LAZR</v>
      </c>
      <c r="F1476" s="253">
        <v>2.0516000000000001</v>
      </c>
      <c r="G1476" s="253">
        <v>2.0543</v>
      </c>
      <c r="H1476" s="253">
        <v>2.0482999999999998</v>
      </c>
      <c r="I1476" s="253">
        <v>2.0478999999999998</v>
      </c>
      <c r="J1476" s="253">
        <v>2.0405000000000002</v>
      </c>
      <c r="K1476" s="253">
        <v>2.0451999999999999</v>
      </c>
      <c r="L1476" s="253">
        <v>2.0449999999999999</v>
      </c>
      <c r="M1476" s="253">
        <v>2.0495000000000001</v>
      </c>
      <c r="N1476" s="253">
        <v>2.0495000000000001</v>
      </c>
      <c r="O1476" s="253">
        <v>2.0206</v>
      </c>
      <c r="P1476" s="253">
        <v>2.0285000000000002</v>
      </c>
      <c r="Q1476" s="253">
        <v>2.0266000000000002</v>
      </c>
      <c r="R1476" s="253">
        <v>2.0381</v>
      </c>
      <c r="S1476" s="253">
        <v>2.0424000000000002</v>
      </c>
      <c r="T1476" s="253">
        <v>2.0424000000000002</v>
      </c>
      <c r="U1476" s="253">
        <v>2.0501</v>
      </c>
      <c r="V1476" s="253">
        <v>2.0550000000000002</v>
      </c>
      <c r="W1476" s="253">
        <v>2.0550000000000002</v>
      </c>
      <c r="X1476" s="253">
        <v>2.0550000000000002</v>
      </c>
      <c r="Y1476" s="253">
        <v>2.0550000000000002</v>
      </c>
      <c r="Z1476" s="247">
        <f ca="1">[1]ExtEntry!$R81</f>
        <v>2.0575000000000001</v>
      </c>
      <c r="AB1476" s="320">
        <v>20431.649999999998</v>
      </c>
      <c r="AC1476" s="320">
        <v>19415.149999999998</v>
      </c>
      <c r="AD1476" s="320">
        <v>19974.225000000002</v>
      </c>
      <c r="AE1476" s="320">
        <v>22058.05</v>
      </c>
      <c r="AF1476" s="320">
        <v>24904.25</v>
      </c>
      <c r="AG1476" s="320">
        <v>20838.25</v>
      </c>
      <c r="AH1476" s="320">
        <v>22464.65</v>
      </c>
      <c r="AI1476" s="320">
        <v>21346.5</v>
      </c>
      <c r="AJ1476" s="320">
        <v>21346.5</v>
      </c>
      <c r="AK1476" s="320">
        <v>21346.5</v>
      </c>
      <c r="AL1476" s="320">
        <v>21244.85</v>
      </c>
      <c r="AM1476" s="320">
        <v>20380.825000000001</v>
      </c>
      <c r="AN1476" s="320">
        <v>19211.849999999999</v>
      </c>
      <c r="AO1476" s="320">
        <v>19720.099999999999</v>
      </c>
      <c r="AP1476" s="320">
        <v>20330</v>
      </c>
      <c r="AQ1476" s="320">
        <v>18449.474999999999</v>
      </c>
      <c r="AR1476" s="320">
        <v>17483.8</v>
      </c>
      <c r="AS1476" s="320">
        <v>17483.8</v>
      </c>
      <c r="AT1476" s="320">
        <v>17178.849999999999</v>
      </c>
      <c r="AU1476" s="320">
        <v>22566.300000000003</v>
      </c>
      <c r="AV1476" s="320">
        <f ca="1">IF(_xlfn.XLOOKUP(A1476,TabCalc[Ticker],ListExtra_n)&gt;0,             _xlfn.XLOOKUP(A1476,TabCalc[Ticker],ListExtra_n)*_xlfn.XLOOKUP(A1476,TabTRADER[ClickTick],TabTRADER[M])*_xlfn.XLOOKUP(A1476,TabCalc[Ticker],ListScale),               "")</f>
        <v>22566.300000000003</v>
      </c>
      <c r="AX1476" s="88" t="str">
        <f t="shared" ca="1" si="113"/>
        <v>LAZR</v>
      </c>
    </row>
    <row r="1477" spans="1:70" hidden="1">
      <c r="A1477" s="88" t="str">
        <f t="shared" ca="1" si="114"/>
        <v>LUV</v>
      </c>
      <c r="F1477" s="253">
        <v>1.2073</v>
      </c>
      <c r="G1477" s="253">
        <v>1.2071000000000001</v>
      </c>
      <c r="H1477" s="253">
        <v>1.2002999999999999</v>
      </c>
      <c r="I1477" s="253">
        <v>1.2322</v>
      </c>
      <c r="J1477" s="253">
        <v>1.2323</v>
      </c>
      <c r="K1477" s="253">
        <v>1.2327999999999999</v>
      </c>
      <c r="L1477" s="253">
        <v>1.2321</v>
      </c>
      <c r="M1477" s="253">
        <v>1.2334000000000001</v>
      </c>
      <c r="N1477" s="253">
        <v>1.2334000000000001</v>
      </c>
      <c r="O1477" s="253">
        <v>1.2284999999999999</v>
      </c>
      <c r="P1477" s="253">
        <v>1.2310000000000001</v>
      </c>
      <c r="Q1477" s="253">
        <v>1.2228000000000001</v>
      </c>
      <c r="R1477" s="253">
        <v>1.2251000000000001</v>
      </c>
      <c r="S1477" s="253">
        <v>1.2244999999999999</v>
      </c>
      <c r="T1477" s="253">
        <v>1.2244999999999999</v>
      </c>
      <c r="U1477" s="253">
        <v>1.2297</v>
      </c>
      <c r="V1477" s="253">
        <v>1.2293000000000001</v>
      </c>
      <c r="W1477" s="253">
        <v>1.2293000000000001</v>
      </c>
      <c r="X1477" s="253">
        <v>1.2293000000000001</v>
      </c>
      <c r="Y1477" s="253">
        <v>1.2293000000000001</v>
      </c>
      <c r="Z1477" s="247">
        <f ca="1">[1]ExtEntry!$R82</f>
        <v>1.2307999999999999</v>
      </c>
      <c r="AB1477" s="320"/>
      <c r="AC1477" s="320"/>
      <c r="AD1477" s="320"/>
      <c r="AE1477" s="320"/>
      <c r="AF1477" s="320"/>
      <c r="AG1477" s="320"/>
      <c r="AH1477" s="320"/>
      <c r="AI1477" s="320"/>
      <c r="AJ1477" s="320"/>
      <c r="AK1477" s="320"/>
      <c r="AL1477" s="320"/>
      <c r="AM1477" s="320"/>
      <c r="AN1477" s="320"/>
      <c r="AO1477" s="320"/>
      <c r="AP1477" s="320"/>
      <c r="AQ1477" s="320"/>
      <c r="AR1477" s="320"/>
      <c r="AS1477" s="320"/>
      <c r="AT1477" s="320"/>
      <c r="AU1477" s="320"/>
      <c r="AV1477" s="320" t="str">
        <f ca="1">IF(_xlfn.XLOOKUP(A1477,TabCalc[Ticker],ListExtra_n)&gt;0,             _xlfn.XLOOKUP(A1477,TabCalc[Ticker],ListExtra_n)*_xlfn.XLOOKUP(A1477,TabTRADER[ClickTick],TabTRADER[M])*_xlfn.XLOOKUP(A1477,TabCalc[Ticker],ListScale),               "")</f>
        <v/>
      </c>
      <c r="AX1477" s="88" t="str">
        <f t="shared" ca="1" si="113"/>
        <v>LUV</v>
      </c>
    </row>
    <row r="1478" spans="1:70" hidden="1">
      <c r="A1478" s="88" t="str">
        <f t="shared" ca="1" si="114"/>
        <v>MA</v>
      </c>
      <c r="F1478" s="253">
        <v>0.97189999999999999</v>
      </c>
      <c r="G1478" s="253">
        <v>0.97060000000000002</v>
      </c>
      <c r="H1478" s="253">
        <v>0.96750000000000003</v>
      </c>
      <c r="I1478" s="253">
        <v>0.92710000000000004</v>
      </c>
      <c r="J1478" s="253">
        <v>0.92669999999999997</v>
      </c>
      <c r="K1478" s="253">
        <v>0.92700000000000005</v>
      </c>
      <c r="L1478" s="253">
        <v>0.9264</v>
      </c>
      <c r="M1478" s="253">
        <v>0.9274</v>
      </c>
      <c r="N1478" s="253">
        <v>0.9274</v>
      </c>
      <c r="O1478" s="253">
        <v>0.92810000000000004</v>
      </c>
      <c r="P1478" s="253">
        <v>0.92949999999999999</v>
      </c>
      <c r="Q1478" s="253">
        <v>0.92689999999999995</v>
      </c>
      <c r="R1478" s="253">
        <v>0.92869999999999997</v>
      </c>
      <c r="S1478" s="253">
        <v>0.92910000000000004</v>
      </c>
      <c r="T1478" s="253">
        <v>0.92910000000000004</v>
      </c>
      <c r="U1478" s="253">
        <v>0.92810000000000004</v>
      </c>
      <c r="V1478" s="253">
        <v>0.92759999999999998</v>
      </c>
      <c r="W1478" s="253">
        <v>0.92759999999999998</v>
      </c>
      <c r="X1478" s="253">
        <v>0.92759999999999998</v>
      </c>
      <c r="Y1478" s="253">
        <v>0.92759999999999998</v>
      </c>
      <c r="Z1478" s="247">
        <f ca="1">[1]ExtEntry!$R83</f>
        <v>0.92759999999999998</v>
      </c>
      <c r="AB1478" s="320"/>
      <c r="AC1478" s="320"/>
      <c r="AD1478" s="320"/>
      <c r="AE1478" s="320"/>
      <c r="AF1478" s="320"/>
      <c r="AG1478" s="320"/>
      <c r="AH1478" s="320"/>
      <c r="AI1478" s="320"/>
      <c r="AJ1478" s="320"/>
      <c r="AK1478" s="320"/>
      <c r="AL1478" s="320"/>
      <c r="AM1478" s="320"/>
      <c r="AN1478" s="320"/>
      <c r="AO1478" s="320"/>
      <c r="AP1478" s="320"/>
      <c r="AQ1478" s="320"/>
      <c r="AR1478" s="320"/>
      <c r="AS1478" s="320"/>
      <c r="AT1478" s="320"/>
      <c r="AU1478" s="320"/>
      <c r="AV1478" s="320" t="str">
        <f ca="1">IF(_xlfn.XLOOKUP(A1478,TabCalc[Ticker],ListExtra_n)&gt;0,             _xlfn.XLOOKUP(A1478,TabCalc[Ticker],ListExtra_n)*_xlfn.XLOOKUP(A1478,TabTRADER[ClickTick],TabTRADER[M])*_xlfn.XLOOKUP(A1478,TabCalc[Ticker],ListScale),               "")</f>
        <v/>
      </c>
      <c r="AX1478" s="88" t="str">
        <f t="shared" ca="1" si="113"/>
        <v>MA</v>
      </c>
    </row>
    <row r="1479" spans="1:70" hidden="1">
      <c r="A1479" s="88" t="str">
        <f t="shared" ca="1" si="114"/>
        <v>NVAX</v>
      </c>
      <c r="F1479" s="253">
        <v>2.7410999999999999</v>
      </c>
      <c r="G1479" s="253">
        <v>2.7423999999999999</v>
      </c>
      <c r="H1479" s="253">
        <v>2.7456999999999998</v>
      </c>
      <c r="I1479" s="253">
        <v>2.6846000000000001</v>
      </c>
      <c r="J1479" s="253">
        <v>2.6848999999999998</v>
      </c>
      <c r="K1479" s="253">
        <v>2.6911</v>
      </c>
      <c r="L1479" s="253">
        <v>2.6876000000000002</v>
      </c>
      <c r="M1479" s="253">
        <v>2.6926000000000001</v>
      </c>
      <c r="N1479" s="253">
        <v>2.6926000000000001</v>
      </c>
      <c r="O1479" s="253">
        <v>2.6835</v>
      </c>
      <c r="P1479" s="253">
        <v>2.6890000000000001</v>
      </c>
      <c r="Q1479" s="253">
        <v>2.6829999999999998</v>
      </c>
      <c r="R1479" s="253">
        <v>2.6861000000000002</v>
      </c>
      <c r="S1479" s="253">
        <v>2.698</v>
      </c>
      <c r="T1479" s="253">
        <v>2.698</v>
      </c>
      <c r="U1479" s="253">
        <v>2.6922999999999999</v>
      </c>
      <c r="V1479" s="253">
        <v>2.6934999999999998</v>
      </c>
      <c r="W1479" s="253">
        <v>2.6934999999999998</v>
      </c>
      <c r="X1479" s="253">
        <v>2.6934999999999998</v>
      </c>
      <c r="Y1479" s="253">
        <v>2.6934999999999998</v>
      </c>
      <c r="Z1479" s="247">
        <f ca="1">[1]ExtEntry!$R84</f>
        <v>2.6943000000000001</v>
      </c>
      <c r="AB1479" s="320">
        <v>71006.5</v>
      </c>
      <c r="AC1479" s="320">
        <v>71961</v>
      </c>
      <c r="AD1479" s="320">
        <v>78850</v>
      </c>
      <c r="AE1479" s="320">
        <v>79265</v>
      </c>
      <c r="AF1479" s="320">
        <v>78518</v>
      </c>
      <c r="AG1479" s="320">
        <v>76526</v>
      </c>
      <c r="AH1479" s="320">
        <v>73878.3</v>
      </c>
      <c r="AI1479" s="320">
        <v>71297</v>
      </c>
      <c r="AJ1479" s="320">
        <v>71297</v>
      </c>
      <c r="AK1479" s="320">
        <v>71546</v>
      </c>
      <c r="AL1479" s="320">
        <v>33782</v>
      </c>
      <c r="AM1479" s="320">
        <v>34257</v>
      </c>
      <c r="AN1479" s="320">
        <v>32224</v>
      </c>
      <c r="AO1479" s="320">
        <v>30780</v>
      </c>
      <c r="AP1479" s="320">
        <v>33402</v>
      </c>
      <c r="AQ1479" s="320">
        <v>32642</v>
      </c>
      <c r="AR1479" s="320">
        <v>32148.000000000004</v>
      </c>
      <c r="AS1479" s="320">
        <v>32148.000000000004</v>
      </c>
      <c r="AT1479" s="320">
        <v>31767.999999999996</v>
      </c>
      <c r="AU1479" s="320">
        <v>32376</v>
      </c>
      <c r="AV1479" s="320">
        <f ca="1">IF(_xlfn.XLOOKUP(A1479,TabCalc[Ticker],ListExtra_n)&gt;0,             _xlfn.XLOOKUP(A1479,TabCalc[Ticker],ListExtra_n)*_xlfn.XLOOKUP(A1479,TabTRADER[ClickTick],TabTRADER[M])*_xlfn.XLOOKUP(A1479,TabCalc[Ticker],ListScale),               "")</f>
        <v>32376</v>
      </c>
      <c r="AX1479" s="88" t="str">
        <f t="shared" ca="1" si="113"/>
        <v>NVAX</v>
      </c>
    </row>
    <row r="1480" spans="1:70" hidden="1">
      <c r="A1480" s="88" t="str">
        <f t="shared" ca="1" si="114"/>
        <v>NVS</v>
      </c>
      <c r="F1480" s="253">
        <v>0.62909999999999999</v>
      </c>
      <c r="G1480" s="253">
        <v>0.62839999999999996</v>
      </c>
      <c r="H1480" s="253">
        <v>0.63270000000000004</v>
      </c>
      <c r="I1480" s="253">
        <v>0.60199999999999998</v>
      </c>
      <c r="J1480" s="253">
        <v>0.60260000000000002</v>
      </c>
      <c r="K1480" s="253">
        <v>0.60270000000000001</v>
      </c>
      <c r="L1480" s="253">
        <v>0.60219999999999996</v>
      </c>
      <c r="M1480" s="253">
        <v>0.60309999999999997</v>
      </c>
      <c r="N1480" s="253">
        <v>0.60309999999999997</v>
      </c>
      <c r="O1480" s="253">
        <v>0.59750000000000003</v>
      </c>
      <c r="P1480" s="253">
        <v>0.60270000000000001</v>
      </c>
      <c r="Q1480" s="253">
        <v>0.60109999999999997</v>
      </c>
      <c r="R1480" s="253">
        <v>0.60219999999999996</v>
      </c>
      <c r="S1480" s="253">
        <v>0.60050000000000003</v>
      </c>
      <c r="T1480" s="253">
        <v>0.60050000000000003</v>
      </c>
      <c r="U1480" s="253">
        <v>0.60270000000000001</v>
      </c>
      <c r="V1480" s="253">
        <v>0.60289999999999999</v>
      </c>
      <c r="W1480" s="253">
        <v>0.60289999999999999</v>
      </c>
      <c r="X1480" s="253">
        <v>0.60289999999999999</v>
      </c>
      <c r="Y1480" s="253">
        <v>0.60289999999999999</v>
      </c>
      <c r="Z1480" s="247">
        <f ca="1">[1]ExtEntry!$R85</f>
        <v>0.60289999999999999</v>
      </c>
      <c r="AB1480" s="320"/>
      <c r="AC1480" s="320"/>
      <c r="AD1480" s="320"/>
      <c r="AE1480" s="320"/>
      <c r="AF1480" s="320"/>
      <c r="AG1480" s="320"/>
      <c r="AH1480" s="320"/>
      <c r="AI1480" s="320"/>
      <c r="AJ1480" s="320"/>
      <c r="AK1480" s="320"/>
      <c r="AL1480" s="320"/>
      <c r="AM1480" s="320"/>
      <c r="AN1480" s="320"/>
      <c r="AO1480" s="320"/>
      <c r="AP1480" s="320"/>
      <c r="AQ1480" s="320"/>
      <c r="AR1480" s="320"/>
      <c r="AS1480" s="320"/>
      <c r="AT1480" s="320"/>
      <c r="AU1480" s="320"/>
      <c r="AV1480" s="320" t="str">
        <f ca="1">IF(_xlfn.XLOOKUP(A1480,TabCalc[Ticker],ListExtra_n)&gt;0,             _xlfn.XLOOKUP(A1480,TabCalc[Ticker],ListExtra_n)*_xlfn.XLOOKUP(A1480,TabTRADER[ClickTick],TabTRADER[M])*_xlfn.XLOOKUP(A1480,TabCalc[Ticker],ListScale),               "")</f>
        <v/>
      </c>
      <c r="AX1480" s="88" t="str">
        <f t="shared" ca="1" si="113"/>
        <v>NVS</v>
      </c>
    </row>
    <row r="1481" spans="1:70" hidden="1">
      <c r="A1481" s="88" t="str">
        <f t="shared" ca="1" si="114"/>
        <v>ORA</v>
      </c>
      <c r="F1481" s="253">
        <v>0.27379999999999999</v>
      </c>
      <c r="G1481" s="253">
        <v>0.27179999999999999</v>
      </c>
      <c r="H1481" s="253">
        <v>0.27229999999999999</v>
      </c>
      <c r="I1481" s="253">
        <v>0.30819999999999997</v>
      </c>
      <c r="J1481" s="253">
        <v>0.3085</v>
      </c>
      <c r="K1481" s="253">
        <v>0.30259999999999998</v>
      </c>
      <c r="L1481" s="253">
        <v>0.3085</v>
      </c>
      <c r="M1481" s="253">
        <v>0.30830000000000002</v>
      </c>
      <c r="N1481" s="253">
        <v>0.30830000000000002</v>
      </c>
      <c r="O1481" s="253">
        <v>0.30659999999999998</v>
      </c>
      <c r="P1481" s="253">
        <v>0.31</v>
      </c>
      <c r="Q1481" s="253">
        <v>0.30909999999999999</v>
      </c>
      <c r="R1481" s="253">
        <v>0.30769999999999997</v>
      </c>
      <c r="S1481" s="253">
        <v>0.31259999999999999</v>
      </c>
      <c r="T1481" s="253">
        <v>0.31259999999999999</v>
      </c>
      <c r="U1481" s="253">
        <v>0.31</v>
      </c>
      <c r="V1481" s="253">
        <v>0.3095</v>
      </c>
      <c r="W1481" s="253">
        <v>0.3095</v>
      </c>
      <c r="X1481" s="253">
        <v>0.30930000000000002</v>
      </c>
      <c r="Y1481" s="253">
        <v>0.30930000000000002</v>
      </c>
      <c r="Z1481" s="247">
        <f ca="1">[1]ExtEntry!$R86</f>
        <v>0.30830000000000002</v>
      </c>
      <c r="AB1481" s="320"/>
      <c r="AC1481" s="320"/>
      <c r="AD1481" s="320"/>
      <c r="AE1481" s="320"/>
      <c r="AF1481" s="320"/>
      <c r="AG1481" s="320"/>
      <c r="AH1481" s="320"/>
      <c r="AI1481" s="320"/>
      <c r="AJ1481" s="320"/>
      <c r="AK1481" s="320"/>
      <c r="AL1481" s="320"/>
      <c r="AM1481" s="320"/>
      <c r="AN1481" s="320"/>
      <c r="AO1481" s="320"/>
      <c r="AP1481" s="320"/>
      <c r="AQ1481" s="320"/>
      <c r="AR1481" s="320"/>
      <c r="AS1481" s="320"/>
      <c r="AT1481" s="320"/>
      <c r="AU1481" s="320"/>
      <c r="AV1481" s="320" t="str">
        <f ca="1">IF(_xlfn.XLOOKUP(A1481,TabCalc[Ticker],ListExtra_n)&gt;0,             _xlfn.XLOOKUP(A1481,TabCalc[Ticker],ListExtra_n)*_xlfn.XLOOKUP(A1481,TabTRADER[ClickTick],TabTRADER[M])*_xlfn.XLOOKUP(A1481,TabCalc[Ticker],ListScale),               "")</f>
        <v/>
      </c>
      <c r="AX1481" s="88" t="str">
        <f t="shared" ca="1" si="113"/>
        <v>ORA</v>
      </c>
      <c r="BQ1481" t="s">
        <v>190</v>
      </c>
      <c r="BR1481" t="s">
        <v>178</v>
      </c>
    </row>
    <row r="1482" spans="1:70" hidden="1">
      <c r="A1482" s="88" t="str">
        <f t="shared" ca="1" si="114"/>
        <v>OXY</v>
      </c>
      <c r="F1482" s="253">
        <v>0.95599999999999996</v>
      </c>
      <c r="G1482" s="253">
        <v>0.95640000000000003</v>
      </c>
      <c r="H1482" s="253">
        <v>0.95089999999999997</v>
      </c>
      <c r="I1482" s="253">
        <v>0.92379999999999995</v>
      </c>
      <c r="J1482" s="253">
        <v>0.92930000000000001</v>
      </c>
      <c r="K1482" s="253">
        <v>0.92559999999999998</v>
      </c>
      <c r="L1482" s="253">
        <v>0.92759999999999998</v>
      </c>
      <c r="M1482" s="253">
        <v>0.92469999999999997</v>
      </c>
      <c r="N1482" s="253">
        <v>0.92469999999999997</v>
      </c>
      <c r="O1482" s="253">
        <v>0.95309999999999995</v>
      </c>
      <c r="P1482" s="253">
        <v>0.9405</v>
      </c>
      <c r="Q1482" s="253">
        <v>0.94230000000000003</v>
      </c>
      <c r="R1482" s="253">
        <v>0.93979999999999997</v>
      </c>
      <c r="S1482" s="253">
        <v>0.94369999999999998</v>
      </c>
      <c r="T1482" s="253">
        <v>0.94369999999999998</v>
      </c>
      <c r="U1482" s="253">
        <v>0.93069999999999997</v>
      </c>
      <c r="V1482" s="253">
        <v>0.93079999999999996</v>
      </c>
      <c r="W1482" s="253">
        <v>0.93079999999999996</v>
      </c>
      <c r="X1482" s="253">
        <v>0.93079999999999996</v>
      </c>
      <c r="Y1482" s="253">
        <v>0.93079999999999996</v>
      </c>
      <c r="Z1482" s="247">
        <f ca="1">[1]ExtEntry!$R87</f>
        <v>0.92989999999999995</v>
      </c>
      <c r="AB1482" s="320">
        <v>139823.5</v>
      </c>
      <c r="AC1482" s="320">
        <v>137054</v>
      </c>
      <c r="AD1482" s="320">
        <v>138417</v>
      </c>
      <c r="AE1482" s="320">
        <v>128238</v>
      </c>
      <c r="AF1482" s="320">
        <v>130050.5</v>
      </c>
      <c r="AG1482" s="320">
        <v>131442.5</v>
      </c>
      <c r="AH1482" s="320">
        <v>130644.99999999999</v>
      </c>
      <c r="AI1482" s="320">
        <v>129108.00000000001</v>
      </c>
      <c r="AJ1482" s="320">
        <v>129108.00000000001</v>
      </c>
      <c r="AK1482" s="320">
        <v>123047</v>
      </c>
      <c r="AL1482" s="320">
        <v>122612</v>
      </c>
      <c r="AM1482" s="320">
        <v>121379.49999999999</v>
      </c>
      <c r="AN1482" s="320">
        <v>119016</v>
      </c>
      <c r="AO1482" s="320">
        <v>118610</v>
      </c>
      <c r="AP1482" s="320">
        <v>118987</v>
      </c>
      <c r="AQ1482" s="320">
        <v>118638.99999999999</v>
      </c>
      <c r="AR1482" s="320">
        <v>121031.5</v>
      </c>
      <c r="AS1482" s="320">
        <v>121031.5</v>
      </c>
      <c r="AT1482" s="320">
        <v>124352.00000000001</v>
      </c>
      <c r="AU1482" s="320">
        <v>123482</v>
      </c>
      <c r="AV1482" s="320">
        <f ca="1">IF(_xlfn.XLOOKUP(A1482,TabCalc[Ticker],ListExtra_n)&gt;0,             _xlfn.XLOOKUP(A1482,TabCalc[Ticker],ListExtra_n)*_xlfn.XLOOKUP(A1482,TabTRADER[ClickTick],TabTRADER[M])*_xlfn.XLOOKUP(A1482,TabCalc[Ticker],ListScale),               "")</f>
        <v>123453</v>
      </c>
      <c r="AX1482" s="88" t="str">
        <f t="shared" ca="1" si="113"/>
        <v>OXY</v>
      </c>
      <c r="BQ1482" t="s">
        <v>191</v>
      </c>
      <c r="BR1482" t="s">
        <v>2202</v>
      </c>
    </row>
    <row r="1483" spans="1:70" hidden="1">
      <c r="A1483" s="88" t="str">
        <f t="shared" ca="1" si="114"/>
        <v>PFE</v>
      </c>
      <c r="F1483" s="253">
        <v>0.50139999999999996</v>
      </c>
      <c r="G1483" s="253">
        <v>0.50080000000000002</v>
      </c>
      <c r="H1483" s="253">
        <v>0.51119999999999999</v>
      </c>
      <c r="I1483" s="253">
        <v>0.50180000000000002</v>
      </c>
      <c r="J1483" s="253">
        <v>0.50260000000000005</v>
      </c>
      <c r="K1483" s="253">
        <v>0.50600000000000001</v>
      </c>
      <c r="L1483" s="253">
        <v>0.505</v>
      </c>
      <c r="M1483" s="253">
        <v>0.50749999999999995</v>
      </c>
      <c r="N1483" s="253">
        <v>0.50749999999999995</v>
      </c>
      <c r="O1483" s="253">
        <v>0.51</v>
      </c>
      <c r="P1483" s="253">
        <v>0.51049999999999995</v>
      </c>
      <c r="Q1483" s="253">
        <v>0.51190000000000002</v>
      </c>
      <c r="R1483" s="253">
        <v>0.51200000000000001</v>
      </c>
      <c r="S1483" s="253">
        <v>0.51149999999999995</v>
      </c>
      <c r="T1483" s="253">
        <v>0.51149999999999995</v>
      </c>
      <c r="U1483" s="253">
        <v>0.5091</v>
      </c>
      <c r="V1483" s="253">
        <v>0.50880000000000003</v>
      </c>
      <c r="W1483" s="253">
        <v>0.50880000000000003</v>
      </c>
      <c r="X1483" s="253">
        <v>0.50880000000000003</v>
      </c>
      <c r="Y1483" s="253">
        <v>0.50880000000000003</v>
      </c>
      <c r="Z1483" s="247">
        <f ca="1">[1]ExtEntry!$R88</f>
        <v>0.5091</v>
      </c>
      <c r="AB1483" s="320">
        <v>7133.97</v>
      </c>
      <c r="AC1483" s="320">
        <v>7642.5</v>
      </c>
      <c r="AD1483" s="320">
        <v>8167.5</v>
      </c>
      <c r="AE1483" s="320">
        <v>8128.5</v>
      </c>
      <c r="AF1483" s="320">
        <v>8209.5</v>
      </c>
      <c r="AG1483" s="320">
        <v>7879.5</v>
      </c>
      <c r="AH1483" s="320">
        <v>7704</v>
      </c>
      <c r="AI1483" s="320">
        <v>7570.5</v>
      </c>
      <c r="AJ1483" s="320">
        <v>7571.9999999999991</v>
      </c>
      <c r="AK1483" s="320">
        <v>7411.4999999999991</v>
      </c>
      <c r="AL1483" s="320">
        <v>7357.5</v>
      </c>
      <c r="AM1483" s="320">
        <v>7305</v>
      </c>
      <c r="AN1483" s="320">
        <v>7269</v>
      </c>
      <c r="AO1483" s="320">
        <v>7353.0000000000009</v>
      </c>
      <c r="AP1483" s="320">
        <v>7405.5</v>
      </c>
      <c r="AQ1483" s="320">
        <v>7447.5</v>
      </c>
      <c r="AR1483" s="320">
        <v>7420.5</v>
      </c>
      <c r="AS1483" s="320">
        <v>7420.5</v>
      </c>
      <c r="AT1483" s="320">
        <v>7405.5</v>
      </c>
      <c r="AU1483" s="320">
        <v>7434</v>
      </c>
      <c r="AV1483" s="320">
        <f ca="1">IF(_xlfn.XLOOKUP(A1483,TabCalc[Ticker],ListExtra_n)&gt;0,             _xlfn.XLOOKUP(A1483,TabCalc[Ticker],ListExtra_n)*_xlfn.XLOOKUP(A1483,TabTRADER[ClickTick],TabTRADER[M])*_xlfn.XLOOKUP(A1483,TabCalc[Ticker],ListScale),               "")</f>
        <v>7428.0000000000009</v>
      </c>
      <c r="AX1483" s="88" t="str">
        <f t="shared" ca="1" si="113"/>
        <v>PFE</v>
      </c>
      <c r="BQ1483" t="s">
        <v>139</v>
      </c>
      <c r="BR1483" t="s">
        <v>2203</v>
      </c>
    </row>
    <row r="1484" spans="1:70" hidden="1">
      <c r="A1484" s="88" t="str">
        <f t="shared" ca="1" si="114"/>
        <v>RIG</v>
      </c>
      <c r="F1484" s="253">
        <v>2.6846999999999999</v>
      </c>
      <c r="G1484" s="253">
        <v>2.6787000000000001</v>
      </c>
      <c r="H1484" s="253">
        <v>2.6747000000000001</v>
      </c>
      <c r="I1484" s="253">
        <v>2.6364000000000001</v>
      </c>
      <c r="J1484" s="253">
        <v>2.6349</v>
      </c>
      <c r="K1484" s="253">
        <v>2.6343000000000001</v>
      </c>
      <c r="L1484" s="253">
        <v>2.6309999999999998</v>
      </c>
      <c r="M1484" s="253">
        <v>2.6356999999999999</v>
      </c>
      <c r="N1484" s="253">
        <v>2.6356999999999999</v>
      </c>
      <c r="O1484" s="253">
        <v>2.6311</v>
      </c>
      <c r="P1484" s="253">
        <v>2.6339999999999999</v>
      </c>
      <c r="Q1484" s="253">
        <v>2.6372</v>
      </c>
      <c r="R1484" s="253">
        <v>2.6307</v>
      </c>
      <c r="S1484" s="253">
        <v>2.6320999999999999</v>
      </c>
      <c r="T1484" s="253">
        <v>2.6320999999999999</v>
      </c>
      <c r="U1484" s="253">
        <v>2.6360999999999999</v>
      </c>
      <c r="V1484" s="253">
        <v>2.6358000000000001</v>
      </c>
      <c r="W1484" s="253">
        <v>2.6358000000000001</v>
      </c>
      <c r="X1484" s="253">
        <v>2.6358000000000001</v>
      </c>
      <c r="Y1484" s="253">
        <v>2.6358000000000001</v>
      </c>
      <c r="Z1484" s="247">
        <f ca="1">[1]ExtEntry!$R89</f>
        <v>2.6339999999999999</v>
      </c>
      <c r="AB1484" s="320">
        <v>127100</v>
      </c>
      <c r="AC1484" s="320">
        <v>127715.00000000001</v>
      </c>
      <c r="AD1484" s="320">
        <v>132225</v>
      </c>
      <c r="AE1484" s="320">
        <v>135095</v>
      </c>
      <c r="AF1484" s="320">
        <v>137965</v>
      </c>
      <c r="AG1484" s="320">
        <v>142065</v>
      </c>
      <c r="AH1484" s="320">
        <v>139605</v>
      </c>
      <c r="AI1484" s="320">
        <v>136325</v>
      </c>
      <c r="AJ1484" s="320">
        <v>136530</v>
      </c>
      <c r="AK1484" s="320">
        <v>130995</v>
      </c>
      <c r="AL1484" s="320">
        <v>127715.00000000001</v>
      </c>
      <c r="AM1484" s="320">
        <v>134890</v>
      </c>
      <c r="AN1484" s="320">
        <v>132225</v>
      </c>
      <c r="AO1484" s="320">
        <v>133660</v>
      </c>
      <c r="AP1484" s="320">
        <v>134685</v>
      </c>
      <c r="AQ1484" s="320">
        <v>135505</v>
      </c>
      <c r="AR1484" s="320">
        <v>140425</v>
      </c>
      <c r="AS1484" s="320">
        <v>140425</v>
      </c>
      <c r="AT1484" s="320">
        <v>159285</v>
      </c>
      <c r="AU1484" s="320">
        <v>159695</v>
      </c>
      <c r="AV1484" s="320">
        <f ca="1">IF(_xlfn.XLOOKUP(A1484,TabCalc[Ticker],ListExtra_n)&gt;0,             _xlfn.XLOOKUP(A1484,TabCalc[Ticker],ListExtra_n)*_xlfn.XLOOKUP(A1484,TabTRADER[ClickTick],TabTRADER[M])*_xlfn.XLOOKUP(A1484,TabCalc[Ticker],ListScale),               "")</f>
        <v>159900</v>
      </c>
      <c r="AX1484" s="88" t="str">
        <f t="shared" ca="1" si="113"/>
        <v>RIG</v>
      </c>
      <c r="BQ1484" t="s">
        <v>192</v>
      </c>
      <c r="BR1484" t="s">
        <v>1894</v>
      </c>
    </row>
    <row r="1485" spans="1:70">
      <c r="A1485" s="88" t="str">
        <f t="shared" ca="1" si="114"/>
        <v>RRC</v>
      </c>
      <c r="F1485" s="245">
        <v>0.51160000000000005</v>
      </c>
      <c r="G1485" s="245">
        <v>0.51139999999999997</v>
      </c>
      <c r="H1485" s="245">
        <v>0.51380000000000003</v>
      </c>
      <c r="I1485" s="245">
        <v>0.504</v>
      </c>
      <c r="J1485" s="245">
        <v>0.50639999999999996</v>
      </c>
      <c r="K1485" s="245">
        <v>0.50600000000000001</v>
      </c>
      <c r="L1485" s="245">
        <v>0.50490000000000002</v>
      </c>
      <c r="M1485" s="245">
        <v>0.50529999999999997</v>
      </c>
      <c r="N1485" s="245">
        <v>0.50529999999999997</v>
      </c>
      <c r="O1485" s="245">
        <v>0.52100000000000002</v>
      </c>
      <c r="P1485" s="245">
        <v>0.51280000000000003</v>
      </c>
      <c r="Q1485" s="245">
        <v>0.51680000000000004</v>
      </c>
      <c r="R1485" s="245">
        <v>0.51139999999999997</v>
      </c>
      <c r="S1485" s="245">
        <v>0.51600000000000001</v>
      </c>
      <c r="T1485" s="245">
        <v>0.51600000000000001</v>
      </c>
      <c r="U1485" s="245">
        <v>0.50819999999999999</v>
      </c>
      <c r="V1485" s="245">
        <v>0.50870000000000004</v>
      </c>
      <c r="W1485" s="245">
        <v>0.50870000000000004</v>
      </c>
      <c r="X1485" s="245">
        <v>0.50870000000000004</v>
      </c>
      <c r="Y1485" s="245">
        <v>0.50870000000000004</v>
      </c>
      <c r="Z1485" s="247">
        <f ca="1">[1]ExtEntry!$R90</f>
        <v>0.50939999999999996</v>
      </c>
      <c r="AB1485" s="320"/>
      <c r="AC1485" s="320"/>
      <c r="AD1485" s="320"/>
      <c r="AE1485" s="320"/>
      <c r="AF1485" s="320"/>
      <c r="AG1485" s="320"/>
      <c r="AH1485" s="320"/>
      <c r="AI1485" s="320"/>
      <c r="AJ1485" s="320"/>
      <c r="AK1485" s="320"/>
      <c r="AL1485" s="320"/>
      <c r="AM1485" s="320"/>
      <c r="AN1485" s="320"/>
      <c r="AO1485" s="320"/>
      <c r="AP1485" s="320"/>
      <c r="AQ1485" s="320"/>
      <c r="AR1485" s="320"/>
      <c r="AS1485" s="320"/>
      <c r="AT1485" s="320"/>
      <c r="AU1485" s="320"/>
      <c r="AV1485" s="320" t="str">
        <f ca="1">IF(_xlfn.XLOOKUP(A1485,TabCalc[Ticker],ListExtra_n)&gt;0,             _xlfn.XLOOKUP(A1485,TabCalc[Ticker],ListExtra_n)*_xlfn.XLOOKUP(A1485,TabTRADER[ClickTick],TabTRADER[M])*_xlfn.XLOOKUP(A1485,TabCalc[Ticker],ListScale),               "")</f>
        <v/>
      </c>
      <c r="AX1485" s="88" t="str">
        <f t="shared" ca="1" si="113"/>
        <v>RRC</v>
      </c>
      <c r="BQ1485" t="s">
        <v>193</v>
      </c>
      <c r="BR1485" t="s">
        <v>2204</v>
      </c>
    </row>
    <row r="1486" spans="1:70">
      <c r="A1486" s="88" t="str">
        <f t="shared" ca="1" si="114"/>
        <v>XYZ</v>
      </c>
      <c r="F1486" s="253">
        <v>2.7279</v>
      </c>
      <c r="G1486" s="253">
        <v>2.7275</v>
      </c>
      <c r="H1486" s="253">
        <v>2.7145000000000001</v>
      </c>
      <c r="I1486" s="253">
        <v>2.7320000000000002</v>
      </c>
      <c r="J1486" s="253">
        <v>2.7288000000000001</v>
      </c>
      <c r="K1486" s="253">
        <v>2.7313000000000001</v>
      </c>
      <c r="L1486" s="253">
        <v>2.7263999999999999</v>
      </c>
      <c r="M1486" s="253">
        <v>2.7315999999999998</v>
      </c>
      <c r="N1486" s="253">
        <v>2.7315999999999998</v>
      </c>
      <c r="O1486" s="253">
        <v>2.7019000000000002</v>
      </c>
      <c r="P1486" s="253">
        <v>2.7223999999999999</v>
      </c>
      <c r="Q1486" s="253">
        <v>2.7181000000000002</v>
      </c>
      <c r="R1486" s="253">
        <v>2.7231000000000001</v>
      </c>
      <c r="S1486" s="253">
        <v>2.7235999999999998</v>
      </c>
      <c r="T1486" s="253">
        <v>2.7235999999999998</v>
      </c>
      <c r="U1486" s="253">
        <v>2.7315</v>
      </c>
      <c r="V1486" s="253">
        <v>2.7307000000000001</v>
      </c>
      <c r="W1486" s="253">
        <v>2.7307000000000001</v>
      </c>
      <c r="X1486" s="253">
        <v>2.7307000000000001</v>
      </c>
      <c r="Y1486" s="253">
        <v>2.7307000000000001</v>
      </c>
      <c r="Z1486" s="247">
        <f ca="1">[1]ExtEntry!$R91</f>
        <v>2.7320000000000002</v>
      </c>
      <c r="AB1486" s="320">
        <v>11314.500000000002</v>
      </c>
      <c r="AC1486" s="320">
        <v>10840.5</v>
      </c>
      <c r="AD1486" s="320">
        <v>11011.5</v>
      </c>
      <c r="AE1486" s="320">
        <v>11520</v>
      </c>
      <c r="AF1486" s="320">
        <v>11544.75</v>
      </c>
      <c r="AG1486" s="320">
        <v>11856.000000000002</v>
      </c>
      <c r="AH1486" s="320">
        <v>12171</v>
      </c>
      <c r="AI1486" s="320">
        <v>12130.5</v>
      </c>
      <c r="AJ1486" s="320">
        <v>12127.5</v>
      </c>
      <c r="AK1486" s="320">
        <v>11253</v>
      </c>
      <c r="AL1486" s="320">
        <v>11427.000000000002</v>
      </c>
      <c r="AM1486" s="320">
        <v>11395.5</v>
      </c>
      <c r="AN1486" s="320">
        <v>11182.5</v>
      </c>
      <c r="AO1486" s="320">
        <v>11280</v>
      </c>
      <c r="AP1486" s="320">
        <v>11475</v>
      </c>
      <c r="AQ1486" s="320">
        <v>11656.499999999998</v>
      </c>
      <c r="AR1486" s="320">
        <v>11389.500000000002</v>
      </c>
      <c r="AS1486" s="320">
        <v>11389.500000000002</v>
      </c>
      <c r="AT1486" s="320">
        <v>11782.5</v>
      </c>
      <c r="AU1486" s="320">
        <v>11931.000000000002</v>
      </c>
      <c r="AV1486" s="320">
        <f ca="1">IF(_xlfn.XLOOKUP(A1486,TabCalc[Ticker],ListExtra_n)&gt;0,             _xlfn.XLOOKUP(A1486,TabCalc[Ticker],ListExtra_n)*_xlfn.XLOOKUP(A1486,TabTRADER[ClickTick],TabTRADER[M])*_xlfn.XLOOKUP(A1486,TabCalc[Ticker],ListScale),               "")</f>
        <v>11931.000000000002</v>
      </c>
      <c r="AX1486" s="88" t="str">
        <f t="shared" ca="1" si="113"/>
        <v>XYZ</v>
      </c>
      <c r="BQ1486" t="s">
        <v>2205</v>
      </c>
      <c r="BR1486" t="s">
        <v>1836</v>
      </c>
    </row>
    <row r="1487" spans="1:70">
      <c r="A1487" s="88" t="str">
        <f t="shared" ca="1" si="114"/>
        <v>THC</v>
      </c>
      <c r="F1487" s="245">
        <v>1.5226999999999999</v>
      </c>
      <c r="G1487" s="245">
        <v>1.522</v>
      </c>
      <c r="H1487" s="245">
        <v>1.5234000000000001</v>
      </c>
      <c r="I1487" s="245">
        <v>1.5328999999999999</v>
      </c>
      <c r="J1487" s="245">
        <v>1.532</v>
      </c>
      <c r="K1487" s="245">
        <v>1.5322</v>
      </c>
      <c r="L1487" s="245">
        <v>1.5315000000000001</v>
      </c>
      <c r="M1487" s="245">
        <v>1.5314000000000001</v>
      </c>
      <c r="N1487" s="245">
        <v>1.5314000000000001</v>
      </c>
      <c r="O1487" s="245">
        <v>1.5458000000000001</v>
      </c>
      <c r="P1487" s="245">
        <v>1.5418000000000001</v>
      </c>
      <c r="Q1487" s="245">
        <v>1.5374000000000001</v>
      </c>
      <c r="R1487" s="245">
        <v>1.5347999999999999</v>
      </c>
      <c r="S1487" s="245">
        <v>1.5344</v>
      </c>
      <c r="T1487" s="245">
        <v>1.5344</v>
      </c>
      <c r="U1487" s="245">
        <v>1.5319</v>
      </c>
      <c r="V1487" s="245">
        <v>1.5318000000000001</v>
      </c>
      <c r="W1487" s="245">
        <v>1.5318000000000001</v>
      </c>
      <c r="X1487" s="245">
        <v>1.5318000000000001</v>
      </c>
      <c r="Y1487" s="245">
        <v>1.5318000000000001</v>
      </c>
      <c r="Z1487" s="247">
        <f ca="1">[1]ExtEntry!$R92</f>
        <v>1.5310999999999999</v>
      </c>
      <c r="AB1487" s="320">
        <v>40134</v>
      </c>
      <c r="AC1487" s="320">
        <v>40576</v>
      </c>
      <c r="AD1487" s="320">
        <v>40268</v>
      </c>
      <c r="AE1487" s="320">
        <v>40676</v>
      </c>
      <c r="AF1487" s="320">
        <v>40600</v>
      </c>
      <c r="AG1487" s="320"/>
      <c r="AH1487" s="320"/>
      <c r="AI1487" s="320"/>
      <c r="AJ1487" s="320"/>
      <c r="AK1487" s="320"/>
      <c r="AL1487" s="320"/>
      <c r="AM1487" s="320"/>
      <c r="AN1487" s="320"/>
      <c r="AO1487" s="320"/>
      <c r="AP1487" s="320"/>
      <c r="AQ1487" s="320"/>
      <c r="AR1487" s="320"/>
      <c r="AS1487" s="320"/>
      <c r="AT1487" s="320"/>
      <c r="AU1487" s="320"/>
      <c r="AV1487" s="320" t="str">
        <f ca="1">IF(_xlfn.XLOOKUP(A1487,TabCalc[Ticker],ListExtra_n)&gt;0,             _xlfn.XLOOKUP(A1487,TabCalc[Ticker],ListExtra_n)*_xlfn.XLOOKUP(A1487,TabTRADER[ClickTick],TabTRADER[M])*_xlfn.XLOOKUP(A1487,TabCalc[Ticker],ListScale),               "")</f>
        <v/>
      </c>
      <c r="AX1487" s="88" t="str">
        <f t="shared" ca="1" si="113"/>
        <v>THC</v>
      </c>
      <c r="BQ1487" t="s">
        <v>195</v>
      </c>
      <c r="BR1487" t="s">
        <v>702</v>
      </c>
    </row>
    <row r="1488" spans="1:70">
      <c r="A1488" s="88" t="str">
        <f t="shared" ca="1" si="114"/>
        <v>X</v>
      </c>
      <c r="F1488" s="253">
        <v>1.8781000000000001</v>
      </c>
      <c r="G1488" s="253">
        <v>1.8781000000000001</v>
      </c>
      <c r="H1488" s="253">
        <v>1.8781000000000001</v>
      </c>
      <c r="I1488" s="253">
        <v>1.8781000000000001</v>
      </c>
      <c r="J1488" s="253">
        <v>1.8781000000000001</v>
      </c>
      <c r="K1488" s="253">
        <v>1.8781000000000001</v>
      </c>
      <c r="L1488" s="253">
        <v>1.8781000000000001</v>
      </c>
      <c r="M1488" s="253">
        <v>1.8781000000000001</v>
      </c>
      <c r="N1488" s="253">
        <v>1.8781000000000001</v>
      </c>
      <c r="O1488" s="253">
        <v>1.8781000000000001</v>
      </c>
      <c r="P1488" s="253">
        <v>1.8781000000000001</v>
      </c>
      <c r="Q1488" s="253">
        <v>1.8781000000000001</v>
      </c>
      <c r="R1488" s="253">
        <v>1.8781000000000001</v>
      </c>
      <c r="S1488" s="253">
        <v>1.8781000000000001</v>
      </c>
      <c r="T1488" s="253">
        <v>1.8781000000000001</v>
      </c>
      <c r="U1488" s="253">
        <v>1.8781000000000001</v>
      </c>
      <c r="V1488" s="253">
        <v>1.8781000000000001</v>
      </c>
      <c r="W1488" s="253">
        <v>1.8781000000000001</v>
      </c>
      <c r="X1488" s="253">
        <v>1.8781000000000001</v>
      </c>
      <c r="Y1488" s="253">
        <v>1.8781000000000001</v>
      </c>
      <c r="Z1488" s="247">
        <f ca="1">[1]ExtEntry!$R93</f>
        <v>1.8781000000000001</v>
      </c>
      <c r="AB1488" s="320"/>
      <c r="AC1488" s="320"/>
      <c r="AD1488" s="320"/>
      <c r="AE1488" s="320"/>
      <c r="AF1488" s="320"/>
      <c r="AG1488" s="320"/>
      <c r="AH1488" s="320"/>
      <c r="AI1488" s="320"/>
      <c r="AJ1488" s="320"/>
      <c r="AK1488" s="320"/>
      <c r="AL1488" s="320"/>
      <c r="AM1488" s="320"/>
      <c r="AN1488" s="320"/>
      <c r="AO1488" s="320"/>
      <c r="AP1488" s="320"/>
      <c r="AQ1488" s="320"/>
      <c r="AR1488" s="320"/>
      <c r="AS1488" s="320"/>
      <c r="AT1488" s="320"/>
      <c r="AU1488" s="320"/>
      <c r="AV1488" s="320" t="str">
        <f ca="1">IF(_xlfn.XLOOKUP(A1488,TabCalc[Ticker],ListExtra_n)&gt;0,             _xlfn.XLOOKUP(A1488,TabCalc[Ticker],ListExtra_n)*_xlfn.XLOOKUP(A1488,TabTRADER[ClickTick],TabTRADER[M])*_xlfn.XLOOKUP(A1488,TabCalc[Ticker],ListScale),               "")</f>
        <v/>
      </c>
      <c r="AX1488" s="88" t="str">
        <f t="shared" ca="1" si="113"/>
        <v>X</v>
      </c>
      <c r="BQ1488" t="s">
        <v>2207</v>
      </c>
      <c r="BR1488" t="s">
        <v>2206</v>
      </c>
    </row>
    <row r="1489" spans="1:70">
      <c r="A1489" s="88" t="str">
        <f t="shared" ca="1" si="114"/>
        <v>JBEOAN</v>
      </c>
      <c r="F1489" s="245">
        <v>0.62690000000000001</v>
      </c>
      <c r="G1489" s="245">
        <v>0.62690000000000001</v>
      </c>
      <c r="H1489" s="245">
        <v>0.62690000000000001</v>
      </c>
      <c r="I1489" s="245">
        <v>0.62690000000000001</v>
      </c>
      <c r="J1489" s="245">
        <v>0.62690000000000001</v>
      </c>
      <c r="K1489" s="245">
        <v>0.58640000000000003</v>
      </c>
      <c r="L1489" s="245">
        <v>0.58640000000000003</v>
      </c>
      <c r="M1489" s="245">
        <v>0.58640000000000003</v>
      </c>
      <c r="N1489" s="245">
        <v>0.58640000000000003</v>
      </c>
      <c r="O1489" s="245">
        <v>0.58640000000000003</v>
      </c>
      <c r="P1489" s="245">
        <v>0.58640000000000003</v>
      </c>
      <c r="Q1489" s="245">
        <v>0.58640000000000003</v>
      </c>
      <c r="R1489" s="245">
        <v>0.58640000000000003</v>
      </c>
      <c r="S1489" s="245">
        <v>0.58640000000000003</v>
      </c>
      <c r="T1489" s="245">
        <v>0.58640000000000003</v>
      </c>
      <c r="U1489" s="245">
        <v>0.58640000000000003</v>
      </c>
      <c r="V1489" s="245">
        <v>0.58640000000000003</v>
      </c>
      <c r="W1489" s="245">
        <v>0.58640000000000003</v>
      </c>
      <c r="X1489" s="245">
        <v>0.58640000000000003</v>
      </c>
      <c r="Y1489" s="245">
        <v>0.58640000000000003</v>
      </c>
      <c r="Z1489" s="247">
        <f ca="1">[1]ExtEntry!$R94</f>
        <v>0.72009999999999996</v>
      </c>
      <c r="AB1489" s="320"/>
      <c r="AC1489" s="320"/>
      <c r="AD1489" s="320"/>
      <c r="AE1489" s="320"/>
      <c r="AF1489" s="320"/>
      <c r="AG1489" s="320"/>
      <c r="AH1489" s="320"/>
      <c r="AI1489" s="320"/>
      <c r="AJ1489" s="320"/>
      <c r="AK1489" s="320"/>
      <c r="AL1489" s="320"/>
      <c r="AM1489" s="320"/>
      <c r="AN1489" s="320"/>
      <c r="AO1489" s="320"/>
      <c r="AP1489" s="320"/>
      <c r="AQ1489" s="320"/>
      <c r="AR1489" s="320"/>
      <c r="AS1489" s="320"/>
      <c r="AT1489" s="320"/>
      <c r="AU1489" s="320"/>
      <c r="AV1489" s="320" t="str">
        <f ca="1">IF(_xlfn.XLOOKUP(A1489,TabCalc[Ticker],ListExtra_n)&gt;0,             _xlfn.XLOOKUP(A1489,TabCalc[Ticker],ListExtra_n)*_xlfn.XLOOKUP(A1489,TabTRADER[ClickTick],TabTRADER[M])*_xlfn.XLOOKUP(A1489,TabCalc[Ticker],ListScale),               "")</f>
        <v/>
      </c>
      <c r="AX1489" s="88" t="str">
        <f t="shared" ca="1" si="113"/>
        <v>JBEOAN</v>
      </c>
      <c r="BQ1489" t="s">
        <v>2208</v>
      </c>
      <c r="BR1489" t="s">
        <v>2209</v>
      </c>
    </row>
    <row r="1490" spans="1:70">
      <c r="A1490" s="88" t="str">
        <f t="shared" si="114"/>
        <v>LOCK</v>
      </c>
      <c r="F1490" s="253">
        <v>1.9275</v>
      </c>
      <c r="G1490" s="253">
        <v>1.9398</v>
      </c>
      <c r="H1490" s="253">
        <v>1.9459</v>
      </c>
      <c r="I1490" s="253">
        <v>1.9605999999999999</v>
      </c>
      <c r="J1490" s="253">
        <v>1.9583999999999999</v>
      </c>
      <c r="K1490" s="253">
        <v>1.9643999999999999</v>
      </c>
      <c r="L1490" s="253">
        <v>1.9613</v>
      </c>
      <c r="M1490" s="253">
        <v>1.9598</v>
      </c>
      <c r="N1490" s="253">
        <v>1.9598</v>
      </c>
      <c r="O1490" s="253">
        <v>1.9577</v>
      </c>
      <c r="P1490" s="253">
        <v>1.9578</v>
      </c>
      <c r="Q1490" s="253">
        <v>1.9605999999999999</v>
      </c>
      <c r="R1490" s="253">
        <v>1.9593</v>
      </c>
      <c r="S1490" s="253">
        <v>1.962</v>
      </c>
      <c r="T1490" s="253">
        <v>1.962</v>
      </c>
      <c r="U1490" s="253">
        <v>1.9623999999999999</v>
      </c>
      <c r="V1490" s="253">
        <v>1.9639</v>
      </c>
      <c r="W1490" s="253">
        <v>1.9639</v>
      </c>
      <c r="X1490" s="253">
        <v>1.9639</v>
      </c>
      <c r="Y1490" s="253">
        <v>1.9639</v>
      </c>
      <c r="Z1490" s="247">
        <f ca="1">[1]ExtEntry!$R95</f>
        <v>0.58640000000000003</v>
      </c>
      <c r="AB1490" s="320"/>
      <c r="AC1490" s="320"/>
      <c r="AD1490" s="320"/>
      <c r="AE1490" s="320"/>
      <c r="AF1490" s="320"/>
      <c r="AG1490" s="320"/>
      <c r="AH1490" s="320"/>
      <c r="AI1490" s="320"/>
      <c r="AJ1490" s="320"/>
      <c r="AK1490" s="320"/>
      <c r="AL1490" s="320"/>
      <c r="AM1490" s="320"/>
      <c r="AN1490" s="320"/>
      <c r="AO1490" s="320"/>
      <c r="AP1490" s="320"/>
      <c r="AQ1490" s="320"/>
      <c r="AR1490" s="320"/>
      <c r="AS1490" s="320"/>
      <c r="AT1490" s="320"/>
      <c r="AU1490" s="320"/>
      <c r="AV1490" s="320" t="str">
        <f ca="1">IF(_xlfn.XLOOKUP(A1490,TabCalc[Ticker],ListExtra_n)&gt;0,             _xlfn.XLOOKUP(A1490,TabCalc[Ticker],ListExtra_n)*_xlfn.XLOOKUP(A1490,TabTRADER[ClickTick],TabTRADER[M])*_xlfn.XLOOKUP(A1490,TabCalc[Ticker],ListScale),               "")</f>
        <v/>
      </c>
      <c r="AX1490" s="88" t="str">
        <f t="shared" si="113"/>
        <v>LOCK</v>
      </c>
      <c r="BQ1490" t="s">
        <v>2210</v>
      </c>
      <c r="BR1490" t="s">
        <v>662</v>
      </c>
    </row>
    <row r="1491" spans="1:70">
      <c r="A1491" s="88" t="str">
        <f t="shared" si="114"/>
        <v>Total</v>
      </c>
      <c r="F1491" s="245">
        <v>0.70030000000000003</v>
      </c>
      <c r="G1491" s="245">
        <v>0.7056</v>
      </c>
      <c r="H1491" s="245">
        <v>0.7056</v>
      </c>
      <c r="I1491" s="245">
        <v>0.72050000000000003</v>
      </c>
      <c r="J1491" s="245">
        <v>0.72089999999999999</v>
      </c>
      <c r="K1491" s="245">
        <v>0.71989999999999998</v>
      </c>
      <c r="L1491" s="245">
        <v>0.72009999999999996</v>
      </c>
      <c r="M1491" s="245">
        <v>0.72009999999999996</v>
      </c>
      <c r="N1491" s="245">
        <v>0.72009999999999996</v>
      </c>
      <c r="O1491" s="245">
        <v>0.7177</v>
      </c>
      <c r="P1491" s="245">
        <v>0.72060000000000002</v>
      </c>
      <c r="Q1491" s="245">
        <v>0.72050000000000003</v>
      </c>
      <c r="R1491" s="245">
        <v>0.72060000000000002</v>
      </c>
      <c r="S1491" s="245">
        <v>0.72060000000000002</v>
      </c>
      <c r="T1491" s="245">
        <v>0.72060000000000002</v>
      </c>
      <c r="U1491" s="245">
        <v>0.71760000000000002</v>
      </c>
      <c r="V1491" s="245">
        <v>0.72070000000000001</v>
      </c>
      <c r="W1491" s="245">
        <v>0.72070000000000001</v>
      </c>
      <c r="X1491" s="245">
        <v>0.72070000000000001</v>
      </c>
      <c r="Y1491" s="245">
        <v>0.72070000000000001</v>
      </c>
      <c r="Z1491" s="247">
        <f>[1]ExtEntry!$R96</f>
        <v>0</v>
      </c>
      <c r="AB1491" s="320"/>
      <c r="AC1491" s="320"/>
      <c r="AD1491" s="320"/>
      <c r="AE1491" s="320"/>
      <c r="AF1491" s="320"/>
      <c r="AG1491" s="320"/>
      <c r="AH1491" s="320"/>
      <c r="AI1491" s="320"/>
      <c r="AJ1491" s="320"/>
      <c r="AK1491" s="320"/>
      <c r="AL1491" s="320"/>
      <c r="AM1491" s="320"/>
      <c r="AN1491" s="320"/>
      <c r="AO1491" s="320"/>
      <c r="AP1491" s="320"/>
      <c r="AQ1491" s="320"/>
      <c r="AR1491" s="320"/>
      <c r="AS1491" s="320"/>
      <c r="AT1491" s="320"/>
      <c r="AU1491" s="320"/>
      <c r="AV1491" s="320" t="e">
        <f ca="1">IF(_xlfn.XLOOKUP(A1491,TabCalc[Ticker],ListExtra_n)&gt;0,             _xlfn.XLOOKUP(A1491,TabCalc[Ticker],ListExtra_n)*_xlfn.XLOOKUP(A1491,TabTRADER[ClickTick],TabTRADER[M])*_xlfn.XLOOKUP(A1491,TabCalc[Ticker],ListScale),               "")</f>
        <v>#N/A</v>
      </c>
      <c r="AX1491" s="88" t="str">
        <f t="shared" ref="AX1491:AX1554" si="115">A1491</f>
        <v>Total</v>
      </c>
      <c r="BQ1491" t="s">
        <v>199</v>
      </c>
      <c r="BR1491" t="s">
        <v>2211</v>
      </c>
    </row>
    <row r="1492" spans="1:70">
      <c r="A1492" s="88"/>
      <c r="AX1492" s="88"/>
      <c r="BQ1492" t="s">
        <v>2212</v>
      </c>
      <c r="BR1492" t="s">
        <v>177</v>
      </c>
    </row>
    <row r="1493" spans="1:70">
      <c r="A1493" s="88"/>
      <c r="C1493" s="726"/>
      <c r="D1493" s="726"/>
      <c r="E1493" s="727" t="s">
        <v>2105</v>
      </c>
      <c r="F1493" s="92"/>
      <c r="G1493" s="92"/>
      <c r="H1493" s="92"/>
      <c r="I1493" s="92"/>
      <c r="J1493" s="728"/>
      <c r="K1493" s="729"/>
      <c r="L1493" s="730"/>
      <c r="AX1493" s="88"/>
      <c r="BQ1493" t="s">
        <v>179</v>
      </c>
      <c r="BR1493" t="s">
        <v>2213</v>
      </c>
    </row>
    <row r="1494" spans="1:70">
      <c r="A1494" s="88"/>
      <c r="AX1494" s="88"/>
      <c r="BQ1494" t="s">
        <v>1016</v>
      </c>
      <c r="BR1494" t="s">
        <v>2214</v>
      </c>
    </row>
    <row r="1495" spans="1:70">
      <c r="A1495" s="88"/>
      <c r="F1495" s="117">
        <f ca="1">F1396</f>
        <v>45929</v>
      </c>
      <c r="G1495" s="117">
        <f t="shared" ref="G1495:Z1495" ca="1" si="116">G1396</f>
        <v>45930</v>
      </c>
      <c r="H1495" s="117">
        <f t="shared" ca="1" si="116"/>
        <v>45931</v>
      </c>
      <c r="I1495" s="117">
        <f t="shared" ca="1" si="116"/>
        <v>45932</v>
      </c>
      <c r="J1495" s="117">
        <f t="shared" ca="1" si="116"/>
        <v>45933</v>
      </c>
      <c r="K1495" s="117">
        <f t="shared" ca="1" si="116"/>
        <v>45936</v>
      </c>
      <c r="L1495" s="117">
        <f t="shared" ca="1" si="116"/>
        <v>45937</v>
      </c>
      <c r="M1495" s="117">
        <f t="shared" ca="1" si="116"/>
        <v>45938</v>
      </c>
      <c r="N1495" s="117">
        <f t="shared" ca="1" si="116"/>
        <v>45939</v>
      </c>
      <c r="O1495" s="117">
        <f t="shared" ca="1" si="116"/>
        <v>45940</v>
      </c>
      <c r="P1495" s="117">
        <f t="shared" ca="1" si="116"/>
        <v>45943</v>
      </c>
      <c r="Q1495" s="117">
        <f t="shared" ca="1" si="116"/>
        <v>45944</v>
      </c>
      <c r="R1495" s="117">
        <f t="shared" ca="1" si="116"/>
        <v>45945</v>
      </c>
      <c r="S1495" s="117">
        <f t="shared" ca="1" si="116"/>
        <v>45946</v>
      </c>
      <c r="T1495" s="117">
        <f t="shared" ca="1" si="116"/>
        <v>45947</v>
      </c>
      <c r="U1495" s="117">
        <f t="shared" ca="1" si="116"/>
        <v>45950</v>
      </c>
      <c r="V1495" s="117">
        <f t="shared" ca="1" si="116"/>
        <v>45951</v>
      </c>
      <c r="W1495" s="117">
        <f t="shared" ca="1" si="116"/>
        <v>45952</v>
      </c>
      <c r="X1495" s="117">
        <f t="shared" ca="1" si="116"/>
        <v>45953</v>
      </c>
      <c r="Y1495" s="117">
        <f t="shared" ca="1" si="116"/>
        <v>45954</v>
      </c>
      <c r="Z1495" s="117">
        <f t="shared" ca="1" si="116"/>
        <v>45956</v>
      </c>
      <c r="AB1495" s="117">
        <f t="shared" ref="AB1495:AV1495" ca="1" si="117">F1396</f>
        <v>45929</v>
      </c>
      <c r="AC1495" s="117">
        <f t="shared" ca="1" si="117"/>
        <v>45930</v>
      </c>
      <c r="AD1495" s="117">
        <f t="shared" ca="1" si="117"/>
        <v>45931</v>
      </c>
      <c r="AE1495" s="117">
        <f t="shared" ca="1" si="117"/>
        <v>45932</v>
      </c>
      <c r="AF1495" s="117">
        <f t="shared" ca="1" si="117"/>
        <v>45933</v>
      </c>
      <c r="AG1495" s="117">
        <f t="shared" ca="1" si="117"/>
        <v>45936</v>
      </c>
      <c r="AH1495" s="117">
        <f t="shared" ca="1" si="117"/>
        <v>45937</v>
      </c>
      <c r="AI1495" s="117">
        <f t="shared" ca="1" si="117"/>
        <v>45938</v>
      </c>
      <c r="AJ1495" s="117">
        <f t="shared" ca="1" si="117"/>
        <v>45939</v>
      </c>
      <c r="AK1495" s="117">
        <f t="shared" ca="1" si="117"/>
        <v>45940</v>
      </c>
      <c r="AL1495" s="117">
        <f t="shared" ca="1" si="117"/>
        <v>45943</v>
      </c>
      <c r="AM1495" s="117">
        <f t="shared" ca="1" si="117"/>
        <v>45944</v>
      </c>
      <c r="AN1495" s="117">
        <f t="shared" ca="1" si="117"/>
        <v>45945</v>
      </c>
      <c r="AO1495" s="117">
        <f t="shared" ca="1" si="117"/>
        <v>45946</v>
      </c>
      <c r="AP1495" s="117">
        <f t="shared" ca="1" si="117"/>
        <v>45947</v>
      </c>
      <c r="AQ1495" s="117">
        <f t="shared" ca="1" si="117"/>
        <v>45950</v>
      </c>
      <c r="AR1495" s="117">
        <f t="shared" ca="1" si="117"/>
        <v>45951</v>
      </c>
      <c r="AS1495" s="117">
        <f t="shared" ca="1" si="117"/>
        <v>45952</v>
      </c>
      <c r="AT1495" s="117">
        <f t="shared" ca="1" si="117"/>
        <v>45953</v>
      </c>
      <c r="AU1495" s="117">
        <f t="shared" ca="1" si="117"/>
        <v>45954</v>
      </c>
      <c r="AV1495" s="117">
        <f t="shared" ca="1" si="117"/>
        <v>45956</v>
      </c>
      <c r="AX1495" s="88"/>
      <c r="BR1495" t="s">
        <v>2215</v>
      </c>
    </row>
    <row r="1496" spans="1:70">
      <c r="A1496" s="88"/>
      <c r="F1496" t="s">
        <v>2397</v>
      </c>
      <c r="G1496" t="s">
        <v>2398</v>
      </c>
      <c r="H1496" t="s">
        <v>2399</v>
      </c>
      <c r="I1496" t="s">
        <v>2400</v>
      </c>
      <c r="J1496" t="s">
        <v>2401</v>
      </c>
      <c r="K1496" t="s">
        <v>2402</v>
      </c>
      <c r="L1496" t="s">
        <v>2403</v>
      </c>
      <c r="M1496" t="s">
        <v>2404</v>
      </c>
      <c r="N1496" t="s">
        <v>2405</v>
      </c>
      <c r="O1496" t="s">
        <v>2406</v>
      </c>
      <c r="P1496" t="s">
        <v>2407</v>
      </c>
      <c r="Q1496" t="s">
        <v>2408</v>
      </c>
      <c r="R1496" t="s">
        <v>2409</v>
      </c>
      <c r="S1496" t="s">
        <v>2410</v>
      </c>
      <c r="T1496" t="s">
        <v>2411</v>
      </c>
      <c r="U1496" t="s">
        <v>2412</v>
      </c>
      <c r="V1496" t="s">
        <v>2413</v>
      </c>
      <c r="W1496" t="s">
        <v>2414</v>
      </c>
      <c r="X1496" t="s">
        <v>2415</v>
      </c>
      <c r="Y1496" t="s">
        <v>2416</v>
      </c>
      <c r="Z1496" t="s">
        <v>2417</v>
      </c>
      <c r="AB1496" s="281" t="s">
        <v>2152</v>
      </c>
      <c r="AC1496" s="281" t="s">
        <v>2153</v>
      </c>
      <c r="AD1496" s="281" t="s">
        <v>2154</v>
      </c>
      <c r="AE1496" s="281" t="s">
        <v>2155</v>
      </c>
      <c r="AF1496" s="281" t="s">
        <v>2156</v>
      </c>
      <c r="AG1496" s="281" t="s">
        <v>2157</v>
      </c>
      <c r="AH1496" s="281" t="s">
        <v>2158</v>
      </c>
      <c r="AI1496" s="281" t="s">
        <v>2159</v>
      </c>
      <c r="AJ1496" s="281" t="s">
        <v>2160</v>
      </c>
      <c r="AK1496" s="281" t="s">
        <v>2161</v>
      </c>
      <c r="AL1496" s="281" t="s">
        <v>2162</v>
      </c>
      <c r="AM1496" s="281" t="s">
        <v>2163</v>
      </c>
      <c r="AN1496" s="281" t="s">
        <v>2164</v>
      </c>
      <c r="AO1496" s="281" t="s">
        <v>2165</v>
      </c>
      <c r="AP1496" s="281" t="s">
        <v>2166</v>
      </c>
      <c r="AQ1496" s="281" t="s">
        <v>2167</v>
      </c>
      <c r="AR1496" s="281" t="s">
        <v>2168</v>
      </c>
      <c r="AS1496" s="281" t="s">
        <v>2169</v>
      </c>
      <c r="AT1496" s="281" t="s">
        <v>2170</v>
      </c>
      <c r="AU1496" s="281" t="s">
        <v>2171</v>
      </c>
      <c r="AV1496" s="281" t="s">
        <v>2172</v>
      </c>
      <c r="AX1496" s="88"/>
      <c r="BR1496" t="s">
        <v>2147</v>
      </c>
    </row>
    <row r="1497" spans="1:70">
      <c r="A1497" s="88" t="str">
        <f t="shared" ref="A1497:A1556" ca="1" si="118">A1398</f>
        <v>AAPL</v>
      </c>
      <c r="F1497" s="1014" t="e">
        <v>#N/A</v>
      </c>
      <c r="G1497" s="1014" t="e">
        <v>#N/A</v>
      </c>
      <c r="H1497" s="1014" t="e">
        <v>#N/A</v>
      </c>
      <c r="I1497" s="1014" t="e">
        <v>#N/A</v>
      </c>
      <c r="J1497" s="1014" t="e">
        <v>#N/A</v>
      </c>
      <c r="K1497" s="1014" t="e">
        <v>#N/A</v>
      </c>
      <c r="L1497" s="1014" t="e">
        <v>#N/A</v>
      </c>
      <c r="M1497" s="1014" t="e">
        <v>#N/A</v>
      </c>
      <c r="N1497" s="1014" t="e">
        <v>#N/A</v>
      </c>
      <c r="O1497" s="1014" t="e">
        <v>#N/A</v>
      </c>
      <c r="P1497" s="1014" t="e">
        <v>#N/A</v>
      </c>
      <c r="Q1497" s="1014" t="e">
        <v>#N/A</v>
      </c>
      <c r="R1497" s="1014" t="e">
        <v>#N/A</v>
      </c>
      <c r="S1497" s="1014" t="e">
        <v>#N/A</v>
      </c>
      <c r="T1497" s="1014" t="e">
        <v>#N/A</v>
      </c>
      <c r="U1497" s="1014" t="e">
        <v>#N/A</v>
      </c>
      <c r="V1497" s="1014" t="e">
        <v>#N/A</v>
      </c>
      <c r="W1497" s="1014" t="e">
        <v>#N/A</v>
      </c>
      <c r="X1497" s="1014" t="e">
        <v>#N/A</v>
      </c>
      <c r="Y1497" s="1014" t="e">
        <v>#N/A</v>
      </c>
      <c r="Z1497" s="1014" t="e">
        <f ca="1">_xlfn.XLOOKUP(A1393,TabCalc[Ticker],TabCalc[Imp20])</f>
        <v>#N/A</v>
      </c>
      <c r="AB1497" s="1014" t="e">
        <v>#N/A</v>
      </c>
      <c r="AC1497" s="1014" t="e">
        <v>#N/A</v>
      </c>
      <c r="AD1497" s="1014" t="e">
        <v>#N/A</v>
      </c>
      <c r="AE1497" s="1014" t="e">
        <v>#N/A</v>
      </c>
      <c r="AF1497" s="1014" t="e">
        <v>#N/A</v>
      </c>
      <c r="AG1497" s="1014" t="e">
        <v>#N/A</v>
      </c>
      <c r="AH1497" s="1014" t="e">
        <v>#N/A</v>
      </c>
      <c r="AI1497" s="1014" t="e">
        <v>#N/A</v>
      </c>
      <c r="AJ1497" s="1014" t="e">
        <v>#N/A</v>
      </c>
      <c r="AK1497" s="1014" t="e">
        <v>#N/A</v>
      </c>
      <c r="AL1497" s="1014" t="e">
        <v>#N/A</v>
      </c>
      <c r="AM1497" s="1014" t="e">
        <v>#N/A</v>
      </c>
      <c r="AN1497" s="1014" t="e">
        <v>#N/A</v>
      </c>
      <c r="AO1497" s="1014" t="e">
        <v>#N/A</v>
      </c>
      <c r="AP1497" s="1014" t="e">
        <v>#N/A</v>
      </c>
      <c r="AQ1497" s="1014" t="e">
        <v>#N/A</v>
      </c>
      <c r="AR1497" s="1014" t="e">
        <v>#N/A</v>
      </c>
      <c r="AS1497" s="1014" t="e">
        <v>#N/A</v>
      </c>
      <c r="AT1497" s="1014" t="e">
        <v>#N/A</v>
      </c>
      <c r="AU1497" s="1014" t="e">
        <v>#N/A</v>
      </c>
      <c r="AV1497" s="1014" t="e">
        <f ca="1">_xlfn.XLOOKUP(A1393,TabCalc[Ticker],TabCalc[Imp150])</f>
        <v>#N/A</v>
      </c>
      <c r="AX1497" s="88" t="str">
        <f t="shared" ca="1" si="115"/>
        <v>AAPL</v>
      </c>
    </row>
    <row r="1498" spans="1:70">
      <c r="A1498" s="88" t="str">
        <f t="shared" ca="1" si="118"/>
        <v>ADEA</v>
      </c>
      <c r="F1498" s="1014" t="e">
        <v>#N/A</v>
      </c>
      <c r="G1498" s="1014" t="e">
        <v>#N/A</v>
      </c>
      <c r="H1498" s="1014" t="e">
        <v>#N/A</v>
      </c>
      <c r="I1498" s="1014" t="e">
        <v>#N/A</v>
      </c>
      <c r="J1498" s="1014" t="e">
        <v>#N/A</v>
      </c>
      <c r="K1498" s="1014" t="e">
        <v>#N/A</v>
      </c>
      <c r="L1498" s="1014" t="e">
        <v>#N/A</v>
      </c>
      <c r="M1498" s="1014" t="e">
        <v>#N/A</v>
      </c>
      <c r="N1498" s="1014" t="e">
        <v>#N/A</v>
      </c>
      <c r="O1498" s="1014" t="e">
        <v>#N/A</v>
      </c>
      <c r="P1498" s="1014" t="e">
        <v>#N/A</v>
      </c>
      <c r="Q1498" s="1014" t="e">
        <v>#N/A</v>
      </c>
      <c r="R1498" s="1014" t="e">
        <v>#N/A</v>
      </c>
      <c r="S1498" s="1014" t="e">
        <v>#N/A</v>
      </c>
      <c r="T1498" s="1014" t="e">
        <v>#N/A</v>
      </c>
      <c r="U1498" s="1014" t="e">
        <v>#N/A</v>
      </c>
      <c r="V1498" s="1014" t="e">
        <v>#N/A</v>
      </c>
      <c r="W1498" s="1014" t="e">
        <v>#N/A</v>
      </c>
      <c r="X1498" s="1014" t="e">
        <v>#N/A</v>
      </c>
      <c r="Y1498" s="1014" t="e">
        <v>#N/A</v>
      </c>
      <c r="Z1498" s="1014" t="e">
        <f ca="1">_xlfn.XLOOKUP(A1394,TabCalc[Ticker],TabCalc[Imp20])</f>
        <v>#N/A</v>
      </c>
      <c r="AB1498" s="1014" t="e">
        <v>#N/A</v>
      </c>
      <c r="AC1498" s="1014" t="e">
        <v>#N/A</v>
      </c>
      <c r="AD1498" s="1014" t="e">
        <v>#N/A</v>
      </c>
      <c r="AE1498" s="1014" t="e">
        <v>#N/A</v>
      </c>
      <c r="AF1498" s="1014" t="e">
        <v>#N/A</v>
      </c>
      <c r="AG1498" s="1014" t="e">
        <v>#N/A</v>
      </c>
      <c r="AH1498" s="1014" t="e">
        <v>#N/A</v>
      </c>
      <c r="AI1498" s="1014" t="e">
        <v>#N/A</v>
      </c>
      <c r="AJ1498" s="1014" t="e">
        <v>#N/A</v>
      </c>
      <c r="AK1498" s="1014" t="e">
        <v>#N/A</v>
      </c>
      <c r="AL1498" s="1014" t="e">
        <v>#N/A</v>
      </c>
      <c r="AM1498" s="1014" t="e">
        <v>#N/A</v>
      </c>
      <c r="AN1498" s="1014" t="e">
        <v>#N/A</v>
      </c>
      <c r="AO1498" s="1014" t="e">
        <v>#N/A</v>
      </c>
      <c r="AP1498" s="1014" t="e">
        <v>#N/A</v>
      </c>
      <c r="AQ1498" s="1014" t="e">
        <v>#N/A</v>
      </c>
      <c r="AR1498" s="1014" t="e">
        <v>#N/A</v>
      </c>
      <c r="AS1498" s="1014" t="e">
        <v>#N/A</v>
      </c>
      <c r="AT1498" s="1014" t="e">
        <v>#N/A</v>
      </c>
      <c r="AU1498" s="1014" t="e">
        <v>#N/A</v>
      </c>
      <c r="AV1498" s="1014" t="e">
        <f ca="1">_xlfn.XLOOKUP(A1394,TabCalc[Ticker],TabCalc[Imp150])</f>
        <v>#N/A</v>
      </c>
      <c r="AX1498" s="88" t="str">
        <f t="shared" ca="1" si="115"/>
        <v>ADEA</v>
      </c>
    </row>
    <row r="1499" spans="1:70">
      <c r="A1499" s="88" t="str">
        <f t="shared" ca="1" si="118"/>
        <v>AET</v>
      </c>
      <c r="F1499" s="1014" t="e">
        <v>#N/A</v>
      </c>
      <c r="G1499" s="1014" t="e">
        <v>#N/A</v>
      </c>
      <c r="H1499" s="1014" t="e">
        <v>#N/A</v>
      </c>
      <c r="I1499" s="1014" t="e">
        <v>#N/A</v>
      </c>
      <c r="J1499" s="1014" t="e">
        <v>#N/A</v>
      </c>
      <c r="K1499" s="1014" t="e">
        <v>#N/A</v>
      </c>
      <c r="L1499" s="1014" t="e">
        <v>#N/A</v>
      </c>
      <c r="M1499" s="1014" t="e">
        <v>#N/A</v>
      </c>
      <c r="N1499" s="1014" t="e">
        <v>#N/A</v>
      </c>
      <c r="O1499" s="1014" t="e">
        <v>#N/A</v>
      </c>
      <c r="P1499" s="1014" t="e">
        <v>#N/A</v>
      </c>
      <c r="Q1499" s="1014" t="e">
        <v>#N/A</v>
      </c>
      <c r="R1499" s="1014" t="e">
        <v>#N/A</v>
      </c>
      <c r="S1499" s="1014" t="e">
        <v>#N/A</v>
      </c>
      <c r="T1499" s="1014" t="e">
        <v>#N/A</v>
      </c>
      <c r="U1499" s="1014" t="e">
        <v>#N/A</v>
      </c>
      <c r="V1499" s="1014" t="e">
        <v>#N/A</v>
      </c>
      <c r="W1499" s="1014" t="e">
        <v>#N/A</v>
      </c>
      <c r="X1499" s="1014" t="e">
        <v>#N/A</v>
      </c>
      <c r="Y1499" s="1014" t="e">
        <v>#N/A</v>
      </c>
      <c r="Z1499" s="1014" t="e">
        <f ca="1">_xlfn.XLOOKUP(A1395,TabCalc[Ticker],TabCalc[Imp20])</f>
        <v>#N/A</v>
      </c>
      <c r="AB1499" s="1014" t="e">
        <v>#N/A</v>
      </c>
      <c r="AC1499" s="1014" t="e">
        <v>#N/A</v>
      </c>
      <c r="AD1499" s="1014" t="e">
        <v>#N/A</v>
      </c>
      <c r="AE1499" s="1014" t="e">
        <v>#N/A</v>
      </c>
      <c r="AF1499" s="1014" t="e">
        <v>#N/A</v>
      </c>
      <c r="AG1499" s="1014" t="e">
        <v>#N/A</v>
      </c>
      <c r="AH1499" s="1014" t="e">
        <v>#N/A</v>
      </c>
      <c r="AI1499" s="1014" t="e">
        <v>#N/A</v>
      </c>
      <c r="AJ1499" s="1014" t="e">
        <v>#N/A</v>
      </c>
      <c r="AK1499" s="1014" t="e">
        <v>#N/A</v>
      </c>
      <c r="AL1499" s="1014" t="e">
        <v>#N/A</v>
      </c>
      <c r="AM1499" s="1014" t="e">
        <v>#N/A</v>
      </c>
      <c r="AN1499" s="1014" t="e">
        <v>#N/A</v>
      </c>
      <c r="AO1499" s="1014" t="e">
        <v>#N/A</v>
      </c>
      <c r="AP1499" s="1014" t="e">
        <v>#N/A</v>
      </c>
      <c r="AQ1499" s="1014" t="e">
        <v>#N/A</v>
      </c>
      <c r="AR1499" s="1014" t="e">
        <v>#N/A</v>
      </c>
      <c r="AS1499" s="1014" t="e">
        <v>#N/A</v>
      </c>
      <c r="AT1499" s="1014" t="e">
        <v>#N/A</v>
      </c>
      <c r="AU1499" s="1014" t="e">
        <v>#N/A</v>
      </c>
      <c r="AV1499" s="1014" t="e">
        <f ca="1">_xlfn.XLOOKUP(A1395,TabCalc[Ticker],TabCalc[Imp150])</f>
        <v>#N/A</v>
      </c>
      <c r="AX1499" s="88" t="str">
        <f t="shared" ca="1" si="115"/>
        <v>AET</v>
      </c>
    </row>
    <row r="1500" spans="1:70">
      <c r="A1500" s="88" t="str">
        <f t="shared" ca="1" si="118"/>
        <v>AMZN</v>
      </c>
      <c r="F1500" s="1014" t="e">
        <v>#N/A</v>
      </c>
      <c r="G1500" s="1014" t="e">
        <v>#N/A</v>
      </c>
      <c r="H1500" s="1014" t="e">
        <v>#N/A</v>
      </c>
      <c r="I1500" s="1014" t="e">
        <v>#N/A</v>
      </c>
      <c r="J1500" s="1014" t="e">
        <v>#N/A</v>
      </c>
      <c r="K1500" s="1014" t="e">
        <v>#N/A</v>
      </c>
      <c r="L1500" s="1014" t="e">
        <v>#N/A</v>
      </c>
      <c r="M1500" s="1014" t="e">
        <v>#N/A</v>
      </c>
      <c r="N1500" s="1014" t="e">
        <v>#N/A</v>
      </c>
      <c r="O1500" s="1014" t="e">
        <v>#N/A</v>
      </c>
      <c r="P1500" s="1014" t="e">
        <v>#N/A</v>
      </c>
      <c r="Q1500" s="1014" t="e">
        <v>#N/A</v>
      </c>
      <c r="R1500" s="1014" t="e">
        <v>#N/A</v>
      </c>
      <c r="S1500" s="1014" t="e">
        <v>#N/A</v>
      </c>
      <c r="T1500" s="1014" t="e">
        <v>#N/A</v>
      </c>
      <c r="U1500" s="1014" t="e">
        <v>#N/A</v>
      </c>
      <c r="V1500" s="1014" t="e">
        <v>#N/A</v>
      </c>
      <c r="W1500" s="1014" t="e">
        <v>#N/A</v>
      </c>
      <c r="X1500" s="1014" t="e">
        <v>#N/A</v>
      </c>
      <c r="Y1500" s="1014" t="e">
        <v>#N/A</v>
      </c>
      <c r="Z1500" s="1014" t="e">
        <f ca="1">_xlfn.XLOOKUP(A1396,TabCalc[Ticker],TabCalc[Imp20])</f>
        <v>#N/A</v>
      </c>
      <c r="AB1500" s="1014" t="e">
        <v>#N/A</v>
      </c>
      <c r="AC1500" s="1014" t="e">
        <v>#N/A</v>
      </c>
      <c r="AD1500" s="1014" t="e">
        <v>#N/A</v>
      </c>
      <c r="AE1500" s="1014" t="e">
        <v>#N/A</v>
      </c>
      <c r="AF1500" s="1014" t="e">
        <v>#N/A</v>
      </c>
      <c r="AG1500" s="1014" t="e">
        <v>#N/A</v>
      </c>
      <c r="AH1500" s="1014" t="e">
        <v>#N/A</v>
      </c>
      <c r="AI1500" s="1014" t="e">
        <v>#N/A</v>
      </c>
      <c r="AJ1500" s="1014" t="e">
        <v>#N/A</v>
      </c>
      <c r="AK1500" s="1014" t="e">
        <v>#N/A</v>
      </c>
      <c r="AL1500" s="1014" t="e">
        <v>#N/A</v>
      </c>
      <c r="AM1500" s="1014" t="e">
        <v>#N/A</v>
      </c>
      <c r="AN1500" s="1014" t="e">
        <v>#N/A</v>
      </c>
      <c r="AO1500" s="1014" t="e">
        <v>#N/A</v>
      </c>
      <c r="AP1500" s="1014" t="e">
        <v>#N/A</v>
      </c>
      <c r="AQ1500" s="1014" t="e">
        <v>#N/A</v>
      </c>
      <c r="AR1500" s="1014" t="e">
        <v>#N/A</v>
      </c>
      <c r="AS1500" s="1014" t="e">
        <v>#N/A</v>
      </c>
      <c r="AT1500" s="1014" t="e">
        <v>#N/A</v>
      </c>
      <c r="AU1500" s="1014" t="e">
        <v>#N/A</v>
      </c>
      <c r="AV1500" s="1014" t="e">
        <f ca="1">_xlfn.XLOOKUP(A1396,TabCalc[Ticker],TabCalc[Imp150])</f>
        <v>#N/A</v>
      </c>
      <c r="AX1500" s="88" t="str">
        <f t="shared" ca="1" si="115"/>
        <v>AMZN</v>
      </c>
    </row>
    <row r="1501" spans="1:70">
      <c r="A1501" s="88" t="str">
        <f t="shared" ca="1" si="118"/>
        <v>ALDNE</v>
      </c>
      <c r="F1501" s="1014" t="e">
        <v>#N/A</v>
      </c>
      <c r="G1501" s="1014" t="e">
        <v>#N/A</v>
      </c>
      <c r="H1501" s="1014" t="e">
        <v>#N/A</v>
      </c>
      <c r="I1501" s="1014" t="e">
        <v>#N/A</v>
      </c>
      <c r="J1501" s="1014" t="e">
        <v>#N/A</v>
      </c>
      <c r="K1501" s="1014" t="e">
        <v>#N/A</v>
      </c>
      <c r="L1501" s="1014" t="e">
        <v>#N/A</v>
      </c>
      <c r="M1501" s="1014" t="e">
        <v>#N/A</v>
      </c>
      <c r="N1501" s="1014" t="e">
        <v>#N/A</v>
      </c>
      <c r="O1501" s="1014" t="e">
        <v>#N/A</v>
      </c>
      <c r="P1501" s="1014" t="e">
        <v>#N/A</v>
      </c>
      <c r="Q1501" s="1014" t="e">
        <v>#N/A</v>
      </c>
      <c r="R1501" s="1014" t="e">
        <v>#N/A</v>
      </c>
      <c r="S1501" s="1014" t="e">
        <v>#N/A</v>
      </c>
      <c r="T1501" s="1014" t="e">
        <v>#N/A</v>
      </c>
      <c r="U1501" s="1014" t="e">
        <v>#N/A</v>
      </c>
      <c r="V1501" s="1014" t="e">
        <v>#N/A</v>
      </c>
      <c r="W1501" s="1014" t="e">
        <v>#N/A</v>
      </c>
      <c r="X1501" s="1014" t="e">
        <v>#N/A</v>
      </c>
      <c r="Y1501" s="1014" t="e">
        <v>#N/A</v>
      </c>
      <c r="Z1501" s="1014" t="e">
        <f ca="1">_xlfn.XLOOKUP(A1397,TabCalc[Ticker],TabCalc[Imp20])</f>
        <v>#N/A</v>
      </c>
      <c r="AB1501" s="1014" t="e">
        <v>#N/A</v>
      </c>
      <c r="AC1501" s="1014" t="e">
        <v>#N/A</v>
      </c>
      <c r="AD1501" s="1014" t="e">
        <v>#N/A</v>
      </c>
      <c r="AE1501" s="1014" t="e">
        <v>#N/A</v>
      </c>
      <c r="AF1501" s="1014" t="e">
        <v>#N/A</v>
      </c>
      <c r="AG1501" s="1014" t="e">
        <v>#N/A</v>
      </c>
      <c r="AH1501" s="1014" t="e">
        <v>#N/A</v>
      </c>
      <c r="AI1501" s="1014" t="e">
        <v>#N/A</v>
      </c>
      <c r="AJ1501" s="1014" t="e">
        <v>#N/A</v>
      </c>
      <c r="AK1501" s="1014" t="e">
        <v>#N/A</v>
      </c>
      <c r="AL1501" s="1014" t="e">
        <v>#N/A</v>
      </c>
      <c r="AM1501" s="1014" t="e">
        <v>#N/A</v>
      </c>
      <c r="AN1501" s="1014" t="e">
        <v>#N/A</v>
      </c>
      <c r="AO1501" s="1014" t="e">
        <v>#N/A</v>
      </c>
      <c r="AP1501" s="1014" t="e">
        <v>#N/A</v>
      </c>
      <c r="AQ1501" s="1014" t="e">
        <v>#N/A</v>
      </c>
      <c r="AR1501" s="1014" t="e">
        <v>#N/A</v>
      </c>
      <c r="AS1501" s="1014" t="e">
        <v>#N/A</v>
      </c>
      <c r="AT1501" s="1014" t="e">
        <v>#N/A</v>
      </c>
      <c r="AU1501" s="1014" t="e">
        <v>#N/A</v>
      </c>
      <c r="AV1501" s="1014" t="e">
        <f ca="1">_xlfn.XLOOKUP(A1397,TabCalc[Ticker],TabCalc[Imp150])</f>
        <v>#N/A</v>
      </c>
      <c r="AX1501" s="88" t="str">
        <f t="shared" ca="1" si="115"/>
        <v>ALDNE</v>
      </c>
    </row>
    <row r="1502" spans="1:70">
      <c r="A1502" s="88" t="str">
        <f t="shared" ca="1" si="118"/>
        <v>ASML</v>
      </c>
      <c r="F1502" s="1014">
        <v>4.7619047619047672E-2</v>
      </c>
      <c r="G1502" s="1014">
        <v>0.125</v>
      </c>
      <c r="H1502" s="1014">
        <v>-1</v>
      </c>
      <c r="I1502" s="1014">
        <v>0.19999999999999996</v>
      </c>
      <c r="J1502" s="1014">
        <v>0.19999999999999996</v>
      </c>
      <c r="K1502" s="1014">
        <v>0.14285714285714279</v>
      </c>
      <c r="L1502" s="1014">
        <v>0.14285714285714279</v>
      </c>
      <c r="M1502" s="1014">
        <v>0.28571428571428581</v>
      </c>
      <c r="N1502" s="1014">
        <v>0.28571428571428581</v>
      </c>
      <c r="O1502" s="1014">
        <v>0.14285714285714279</v>
      </c>
      <c r="P1502" s="1014">
        <v>-1</v>
      </c>
      <c r="Q1502" s="1014">
        <v>-1</v>
      </c>
      <c r="R1502" s="1014">
        <v>1</v>
      </c>
      <c r="S1502" s="1014">
        <v>0.14285714285714279</v>
      </c>
      <c r="T1502" s="1014">
        <v>-1</v>
      </c>
      <c r="U1502" s="1014">
        <v>0.14285714285714279</v>
      </c>
      <c r="V1502" s="1014">
        <v>-1</v>
      </c>
      <c r="W1502" s="1014">
        <v>-1</v>
      </c>
      <c r="X1502" s="1014">
        <v>0</v>
      </c>
      <c r="Y1502" s="1014">
        <v>0</v>
      </c>
      <c r="Z1502" s="1014">
        <f ca="1">_xlfn.XLOOKUP(A1398,TabCalc[Ticker],TabCalc[Imp20])</f>
        <v>0</v>
      </c>
      <c r="AB1502" s="1014">
        <v>4.635761589403975E-2</v>
      </c>
      <c r="AC1502" s="1014">
        <v>8.4112149532710179E-2</v>
      </c>
      <c r="AD1502" s="1014">
        <v>-1</v>
      </c>
      <c r="AE1502" s="1014">
        <v>7.547169811320753E-2</v>
      </c>
      <c r="AF1502" s="1014">
        <v>7.547169811320753E-2</v>
      </c>
      <c r="AG1502" s="1014">
        <v>0.10476190476190483</v>
      </c>
      <c r="AH1502" s="1014">
        <v>0.10476190476190483</v>
      </c>
      <c r="AI1502" s="1014">
        <v>0.11538461538461542</v>
      </c>
      <c r="AJ1502" s="1014">
        <v>0.11538461538461542</v>
      </c>
      <c r="AK1502" s="1014">
        <v>9.4339622641509413E-2</v>
      </c>
      <c r="AL1502" s="1014">
        <v>9.4339622641509413E-2</v>
      </c>
      <c r="AM1502" s="1014">
        <v>0.10476190476190483</v>
      </c>
      <c r="AN1502" s="1014">
        <v>0.12380952380952381</v>
      </c>
      <c r="AO1502" s="1014">
        <v>0.14285714285714279</v>
      </c>
      <c r="AP1502" s="1014">
        <v>-1</v>
      </c>
      <c r="AQ1502" s="1014">
        <v>0.14285714285714279</v>
      </c>
      <c r="AR1502" s="1014">
        <v>-1</v>
      </c>
      <c r="AS1502" s="1014">
        <v>-1</v>
      </c>
      <c r="AT1502" s="1014">
        <v>0.14285714285714279</v>
      </c>
      <c r="AU1502" s="1014">
        <v>0.14285714285714279</v>
      </c>
      <c r="AV1502" s="1014">
        <f ca="1">_xlfn.XLOOKUP(A1398,TabCalc[Ticker],TabCalc[Imp150])</f>
        <v>0.14285714285714279</v>
      </c>
      <c r="AX1502" s="88" t="str">
        <f t="shared" ca="1" si="115"/>
        <v>ASML</v>
      </c>
    </row>
    <row r="1503" spans="1:70" hidden="1">
      <c r="A1503" s="88" t="str">
        <f t="shared" ca="1" si="118"/>
        <v>AZN</v>
      </c>
      <c r="F1503" s="1014">
        <v>7.6923076923076872E-2</v>
      </c>
      <c r="G1503" s="1014">
        <v>-1</v>
      </c>
      <c r="H1503" s="1014">
        <v>-1</v>
      </c>
      <c r="I1503" s="1014">
        <v>-1</v>
      </c>
      <c r="J1503" s="1014">
        <v>-1</v>
      </c>
      <c r="K1503" s="1014">
        <v>-1</v>
      </c>
      <c r="L1503" s="1014">
        <v>-1</v>
      </c>
      <c r="M1503" s="1014">
        <v>-1</v>
      </c>
      <c r="N1503" s="1014">
        <v>-1</v>
      </c>
      <c r="O1503" s="1014">
        <v>-1</v>
      </c>
      <c r="P1503" s="1014">
        <v>-1</v>
      </c>
      <c r="Q1503" s="1014">
        <v>-1</v>
      </c>
      <c r="R1503" s="1014">
        <v>-1</v>
      </c>
      <c r="S1503" s="1014">
        <v>-1</v>
      </c>
      <c r="T1503" s="1014">
        <v>-1</v>
      </c>
      <c r="U1503" s="1014">
        <v>-1</v>
      </c>
      <c r="V1503" s="1014">
        <v>-0.71428571428571441</v>
      </c>
      <c r="W1503" s="1014">
        <v>-0.71428571428571441</v>
      </c>
      <c r="X1503" s="1014">
        <v>-0.66666666666666674</v>
      </c>
      <c r="Y1503" s="1014">
        <v>-0.66666666666666674</v>
      </c>
      <c r="Z1503" s="1014">
        <f ca="1">_xlfn.XLOOKUP(A1399,TabCalc[Ticker],TabCalc[Imp20])</f>
        <v>-0.66666666666666674</v>
      </c>
      <c r="AB1503" s="1014">
        <v>-3.7037037037037146E-2</v>
      </c>
      <c r="AC1503" s="1014">
        <v>-1</v>
      </c>
      <c r="AD1503" s="1014">
        <v>-1</v>
      </c>
      <c r="AE1503" s="1014">
        <v>-1</v>
      </c>
      <c r="AF1503" s="1014">
        <v>-1</v>
      </c>
      <c r="AG1503" s="1014">
        <v>-1</v>
      </c>
      <c r="AH1503" s="1014">
        <v>-1</v>
      </c>
      <c r="AI1503" s="1014">
        <v>-1</v>
      </c>
      <c r="AJ1503" s="1014">
        <v>-1</v>
      </c>
      <c r="AK1503" s="1014">
        <v>-1</v>
      </c>
      <c r="AL1503" s="1014">
        <v>-1</v>
      </c>
      <c r="AM1503" s="1014">
        <v>-1</v>
      </c>
      <c r="AN1503" s="1014">
        <v>-1</v>
      </c>
      <c r="AO1503" s="1014">
        <v>-1</v>
      </c>
      <c r="AP1503" s="1014">
        <v>-1</v>
      </c>
      <c r="AQ1503" s="1014">
        <v>-1</v>
      </c>
      <c r="AR1503" s="1014">
        <v>3.7037037037036979E-2</v>
      </c>
      <c r="AS1503" s="1014">
        <v>3.7037037037036979E-2</v>
      </c>
      <c r="AT1503" s="1014">
        <v>3.7037037037036979E-2</v>
      </c>
      <c r="AU1503" s="1014">
        <v>3.7037037037036979E-2</v>
      </c>
      <c r="AV1503" s="1014">
        <f ca="1">_xlfn.XLOOKUP(A1399,TabCalc[Ticker],TabCalc[Imp150])</f>
        <v>3.7037037037036979E-2</v>
      </c>
      <c r="AX1503" s="88" t="str">
        <f t="shared" ca="1" si="115"/>
        <v>AZN</v>
      </c>
    </row>
    <row r="1504" spans="1:70" hidden="1">
      <c r="A1504" s="88" t="str">
        <f t="shared" ca="1" si="118"/>
        <v>BLDP</v>
      </c>
      <c r="F1504" s="1014">
        <v>-0.23809523809523814</v>
      </c>
      <c r="G1504" s="1014">
        <v>-1</v>
      </c>
      <c r="H1504" s="1014">
        <v>-1</v>
      </c>
      <c r="I1504" s="1014">
        <v>-1</v>
      </c>
      <c r="J1504" s="1014">
        <v>-1</v>
      </c>
      <c r="K1504" s="1014">
        <v>-1</v>
      </c>
      <c r="L1504" s="1014">
        <v>-0.41176470588235287</v>
      </c>
      <c r="M1504" s="1014">
        <v>-0.41176470588235287</v>
      </c>
      <c r="N1504" s="1014">
        <v>-0.41176470588235287</v>
      </c>
      <c r="O1504" s="1014">
        <v>-0.41176470588235287</v>
      </c>
      <c r="P1504" s="1014">
        <v>-0.41176470588235287</v>
      </c>
      <c r="Q1504" s="1014">
        <v>-0.38461538461538458</v>
      </c>
      <c r="R1504" s="1014">
        <v>-0.38461538461538458</v>
      </c>
      <c r="S1504" s="1014">
        <v>-0.38461538461538458</v>
      </c>
      <c r="T1504" s="1014">
        <v>-0.14285714285714285</v>
      </c>
      <c r="U1504" s="1014">
        <v>-0.14285714285714285</v>
      </c>
      <c r="V1504" s="1014">
        <v>-1</v>
      </c>
      <c r="W1504" s="1014">
        <v>-1</v>
      </c>
      <c r="X1504" s="1014">
        <v>-1</v>
      </c>
      <c r="Y1504" s="1014">
        <v>-0.60000000000000009</v>
      </c>
      <c r="Z1504" s="1014">
        <f ca="1">_xlfn.XLOOKUP(A1400,TabCalc[Ticker],TabCalc[Imp20])</f>
        <v>-0.60000000000000009</v>
      </c>
      <c r="AB1504" s="1014">
        <v>-0.23178807947019869</v>
      </c>
      <c r="AC1504" s="1014">
        <v>-1</v>
      </c>
      <c r="AD1504" s="1014">
        <v>-1</v>
      </c>
      <c r="AE1504" s="1014">
        <v>-1</v>
      </c>
      <c r="AF1504" s="1014">
        <v>-1</v>
      </c>
      <c r="AG1504" s="1014">
        <v>-1</v>
      </c>
      <c r="AH1504" s="1014">
        <v>-8.9430894308943076E-2</v>
      </c>
      <c r="AI1504" s="1014">
        <v>-8.9430894308943076E-2</v>
      </c>
      <c r="AJ1504" s="1014">
        <v>-8.9430894308943076E-2</v>
      </c>
      <c r="AK1504" s="1014">
        <v>-8.9430894308943076E-2</v>
      </c>
      <c r="AL1504" s="1014">
        <v>-8.9430894308943076E-2</v>
      </c>
      <c r="AM1504" s="1014">
        <v>-8.9430894308943076E-2</v>
      </c>
      <c r="AN1504" s="1014">
        <v>-8.9430894308943076E-2</v>
      </c>
      <c r="AO1504" s="1014">
        <v>-8.9430894308943076E-2</v>
      </c>
      <c r="AP1504" s="1014">
        <v>-0.12195121951219517</v>
      </c>
      <c r="AQ1504" s="1014">
        <v>-0.12195121951219517</v>
      </c>
      <c r="AR1504" s="1014">
        <v>-9.6774193548387066E-2</v>
      </c>
      <c r="AS1504" s="1014">
        <v>-9.6774193548387066E-2</v>
      </c>
      <c r="AT1504" s="1014">
        <v>-8.0645161290322565E-2</v>
      </c>
      <c r="AU1504" s="1014">
        <v>-8.0645161290322565E-2</v>
      </c>
      <c r="AV1504" s="1014">
        <f ca="1">_xlfn.XLOOKUP(A1400,TabCalc[Ticker],TabCalc[Imp150])</f>
        <v>-8.0645161290322565E-2</v>
      </c>
      <c r="AX1504" s="88" t="str">
        <f t="shared" ca="1" si="115"/>
        <v>BLDP</v>
      </c>
    </row>
    <row r="1505" spans="1:50" hidden="1">
      <c r="A1505" s="88" t="str">
        <f t="shared" ca="1" si="118"/>
        <v>BMRA</v>
      </c>
      <c r="F1505" s="1014">
        <v>-4.7619047619047672E-2</v>
      </c>
      <c r="G1505" s="1014">
        <v>-1</v>
      </c>
      <c r="H1505" s="1014">
        <v>-1</v>
      </c>
      <c r="I1505" s="1014">
        <v>-1</v>
      </c>
      <c r="J1505" s="1014">
        <v>-1</v>
      </c>
      <c r="K1505" s="1014">
        <v>-1</v>
      </c>
      <c r="L1505" s="1014">
        <v>-1</v>
      </c>
      <c r="M1505" s="1014">
        <v>-1</v>
      </c>
      <c r="N1505" s="1014">
        <v>-1</v>
      </c>
      <c r="O1505" s="1014">
        <v>-1</v>
      </c>
      <c r="P1505" s="1014">
        <v>-1</v>
      </c>
      <c r="Q1505" s="1014">
        <v>-1</v>
      </c>
      <c r="R1505" s="1014">
        <v>-0.33333333333333343</v>
      </c>
      <c r="S1505" s="1014">
        <v>-0.33333333333333343</v>
      </c>
      <c r="T1505" s="1014">
        <v>-1</v>
      </c>
      <c r="U1505" s="1014">
        <v>-1</v>
      </c>
      <c r="V1505" s="1014">
        <v>-1</v>
      </c>
      <c r="W1505" s="1014">
        <v>-1</v>
      </c>
      <c r="X1505" s="1014">
        <v>-0.8</v>
      </c>
      <c r="Y1505" s="1014">
        <v>-0.8</v>
      </c>
      <c r="Z1505" s="1014">
        <f ca="1">_xlfn.XLOOKUP(A1401,TabCalc[Ticker],TabCalc[Imp20])</f>
        <v>-0.8</v>
      </c>
      <c r="AB1505" s="1014">
        <v>6.6225165562914245E-3</v>
      </c>
      <c r="AC1505" s="1014">
        <v>-1</v>
      </c>
      <c r="AD1505" s="1014">
        <v>-1</v>
      </c>
      <c r="AE1505" s="1014">
        <v>-1</v>
      </c>
      <c r="AF1505" s="1014">
        <v>-1</v>
      </c>
      <c r="AG1505" s="1014">
        <v>-1</v>
      </c>
      <c r="AH1505" s="1014">
        <v>-1</v>
      </c>
      <c r="AI1505" s="1014">
        <v>-1</v>
      </c>
      <c r="AJ1505" s="1014">
        <v>-1</v>
      </c>
      <c r="AK1505" s="1014">
        <v>-1</v>
      </c>
      <c r="AL1505" s="1014">
        <v>-1</v>
      </c>
      <c r="AM1505" s="1014">
        <v>-1</v>
      </c>
      <c r="AN1505" s="1014">
        <v>1.7857142857142794E-2</v>
      </c>
      <c r="AO1505" s="1014">
        <v>1.7857142857142794E-2</v>
      </c>
      <c r="AP1505" s="1014">
        <v>-1</v>
      </c>
      <c r="AQ1505" s="1014">
        <v>-1</v>
      </c>
      <c r="AR1505" s="1014">
        <v>1.7857142857142794E-2</v>
      </c>
      <c r="AS1505" s="1014">
        <v>1.7857142857142794E-2</v>
      </c>
      <c r="AT1505" s="1014">
        <v>1.7857142857142794E-2</v>
      </c>
      <c r="AU1505" s="1014">
        <v>1.7857142857142794E-2</v>
      </c>
      <c r="AV1505" s="1014">
        <f ca="1">_xlfn.XLOOKUP(A1401,TabCalc[Ticker],TabCalc[Imp150])</f>
        <v>1.7857142857142794E-2</v>
      </c>
      <c r="AX1505" s="88" t="str">
        <f t="shared" ca="1" si="115"/>
        <v>BMRA</v>
      </c>
    </row>
    <row r="1506" spans="1:50" hidden="1">
      <c r="A1506" s="88" t="str">
        <f t="shared" ca="1" si="118"/>
        <v>C</v>
      </c>
      <c r="F1506" s="1014">
        <v>-1</v>
      </c>
      <c r="G1506" s="1014">
        <v>-1</v>
      </c>
      <c r="H1506" s="1014">
        <v>-1</v>
      </c>
      <c r="I1506" s="1014">
        <v>0.19999999999999996</v>
      </c>
      <c r="J1506" s="1014">
        <v>0.19999999999999996</v>
      </c>
      <c r="K1506" s="1014">
        <v>0.19999999999999996</v>
      </c>
      <c r="L1506" s="1014">
        <v>0.19999999999999996</v>
      </c>
      <c r="M1506" s="1014">
        <v>0.19999999999999996</v>
      </c>
      <c r="N1506" s="1014">
        <v>0.19999999999999996</v>
      </c>
      <c r="O1506" s="1014">
        <v>0.19999999999999996</v>
      </c>
      <c r="P1506" s="1014">
        <v>0.19999999999999996</v>
      </c>
      <c r="Q1506" s="1014">
        <v>0.19999999999999996</v>
      </c>
      <c r="R1506" s="1014">
        <v>-1</v>
      </c>
      <c r="S1506" s="1014">
        <v>-1</v>
      </c>
      <c r="T1506" s="1014">
        <v>-0.33333333333333343</v>
      </c>
      <c r="U1506" s="1014">
        <v>-0.33333333333333343</v>
      </c>
      <c r="V1506" s="1014">
        <v>-1</v>
      </c>
      <c r="W1506" s="1014">
        <v>-1</v>
      </c>
      <c r="X1506" s="1014">
        <v>-0.4285714285714286</v>
      </c>
      <c r="Y1506" s="1014">
        <v>-0.4285714285714286</v>
      </c>
      <c r="Z1506" s="1014">
        <f ca="1">_xlfn.XLOOKUP(A1402,TabCalc[Ticker],TabCalc[Imp20])</f>
        <v>-0.4285714285714286</v>
      </c>
      <c r="AB1506" s="1014">
        <v>-1</v>
      </c>
      <c r="AC1506" s="1014">
        <v>-1</v>
      </c>
      <c r="AD1506" s="1014">
        <v>-1</v>
      </c>
      <c r="AE1506" s="1014">
        <v>-0.10344827586206895</v>
      </c>
      <c r="AF1506" s="1014">
        <v>-0.10344827586206895</v>
      </c>
      <c r="AG1506" s="1014">
        <v>-0.10344827586206895</v>
      </c>
      <c r="AH1506" s="1014">
        <v>-0.10344827586206895</v>
      </c>
      <c r="AI1506" s="1014">
        <v>-0.10344827586206895</v>
      </c>
      <c r="AJ1506" s="1014">
        <v>-0.10344827586206895</v>
      </c>
      <c r="AK1506" s="1014">
        <v>-0.10344827586206895</v>
      </c>
      <c r="AL1506" s="1014">
        <v>-0.10344827586206895</v>
      </c>
      <c r="AM1506" s="1014">
        <v>-0.10344827586206895</v>
      </c>
      <c r="AN1506" s="1014">
        <v>-1</v>
      </c>
      <c r="AO1506" s="1014">
        <v>-1</v>
      </c>
      <c r="AP1506" s="1014">
        <v>-7.2727272727272751E-2</v>
      </c>
      <c r="AQ1506" s="1014">
        <v>-7.2727272727272751E-2</v>
      </c>
      <c r="AR1506" s="1014">
        <v>-1</v>
      </c>
      <c r="AS1506" s="1014">
        <v>-1</v>
      </c>
      <c r="AT1506" s="1014">
        <v>-6.3063063063063085E-2</v>
      </c>
      <c r="AU1506" s="1014">
        <v>-6.3063063063063085E-2</v>
      </c>
      <c r="AV1506" s="1014">
        <f ca="1">_xlfn.XLOOKUP(A1402,TabCalc[Ticker],TabCalc[Imp150])</f>
        <v>-6.3063063063063085E-2</v>
      </c>
      <c r="AX1506" s="88" t="str">
        <f t="shared" ca="1" si="115"/>
        <v>C</v>
      </c>
    </row>
    <row r="1507" spans="1:50" hidden="1">
      <c r="A1507" s="88" t="str">
        <f t="shared" ca="1" si="118"/>
        <v>CSCO</v>
      </c>
      <c r="F1507" s="1014">
        <v>0.4285714285714286</v>
      </c>
      <c r="G1507" s="1014">
        <v>0.73333333333333339</v>
      </c>
      <c r="H1507" s="1014">
        <v>0.73333333333333339</v>
      </c>
      <c r="I1507" s="1014">
        <v>-1</v>
      </c>
      <c r="J1507" s="1014">
        <v>-1</v>
      </c>
      <c r="K1507" s="1014">
        <v>0.85714285714285721</v>
      </c>
      <c r="L1507" s="1014">
        <v>-1</v>
      </c>
      <c r="M1507" s="1014">
        <v>0.5714285714285714</v>
      </c>
      <c r="N1507" s="1014">
        <v>0.5714285714285714</v>
      </c>
      <c r="O1507" s="1014">
        <v>0.5714285714285714</v>
      </c>
      <c r="P1507" s="1014">
        <v>0.5714285714285714</v>
      </c>
      <c r="Q1507" s="1014">
        <v>0.27272727272727271</v>
      </c>
      <c r="R1507" s="1014">
        <v>0.27272727272727271</v>
      </c>
      <c r="S1507" s="1014">
        <v>-0.33333333333333343</v>
      </c>
      <c r="T1507" s="1014">
        <v>0</v>
      </c>
      <c r="U1507" s="1014">
        <v>0.60000000000000009</v>
      </c>
      <c r="V1507" s="1014">
        <v>-1</v>
      </c>
      <c r="W1507" s="1014">
        <v>-1</v>
      </c>
      <c r="X1507" s="1014">
        <v>0.16666666666666674</v>
      </c>
      <c r="Y1507" s="1014">
        <v>-0.27272727272727271</v>
      </c>
      <c r="Z1507" s="1014">
        <f ca="1">_xlfn.XLOOKUP(A1403,TabCalc[Ticker],TabCalc[Imp20])</f>
        <v>-0.27272727272727271</v>
      </c>
      <c r="AB1507" s="1014">
        <v>3.3112582781456901E-2</v>
      </c>
      <c r="AC1507" s="1014">
        <v>9.6774193548387011E-2</v>
      </c>
      <c r="AD1507" s="1014">
        <v>8.9430894308943021E-2</v>
      </c>
      <c r="AE1507" s="1014">
        <v>-1</v>
      </c>
      <c r="AF1507" s="1014">
        <v>-1</v>
      </c>
      <c r="AG1507" s="1014">
        <v>0.11475409836065564</v>
      </c>
      <c r="AH1507" s="1014">
        <v>-1</v>
      </c>
      <c r="AI1507" s="1014">
        <v>0.10569105691056913</v>
      </c>
      <c r="AJ1507" s="1014">
        <v>0.10569105691056913</v>
      </c>
      <c r="AK1507" s="1014">
        <v>0.10569105691056913</v>
      </c>
      <c r="AL1507" s="1014">
        <v>0.10569105691056913</v>
      </c>
      <c r="AM1507" s="1014">
        <v>0.10569105691056913</v>
      </c>
      <c r="AN1507" s="1014">
        <v>0.10569105691056913</v>
      </c>
      <c r="AO1507" s="1014">
        <v>0.13114754098360648</v>
      </c>
      <c r="AP1507" s="1014">
        <v>0.12396694214876036</v>
      </c>
      <c r="AQ1507" s="1014">
        <v>0.12396694214876036</v>
      </c>
      <c r="AR1507" s="1014">
        <v>-1</v>
      </c>
      <c r="AS1507" s="1014">
        <v>-1</v>
      </c>
      <c r="AT1507" s="1014">
        <v>9.8360655737705027E-2</v>
      </c>
      <c r="AU1507" s="1014">
        <v>0.11475409836065564</v>
      </c>
      <c r="AV1507" s="1014">
        <f ca="1">_xlfn.XLOOKUP(A1403,TabCalc[Ticker],TabCalc[Imp150])</f>
        <v>0.11475409836065564</v>
      </c>
      <c r="AX1507" s="88" t="str">
        <f t="shared" ca="1" si="115"/>
        <v>CSCO</v>
      </c>
    </row>
    <row r="1508" spans="1:50" hidden="1">
      <c r="A1508" s="88" t="str">
        <f t="shared" ca="1" si="118"/>
        <v>CVS</v>
      </c>
      <c r="F1508" s="1014">
        <v>-1</v>
      </c>
      <c r="G1508" s="1014">
        <v>-1</v>
      </c>
      <c r="H1508" s="1014">
        <v>-1</v>
      </c>
      <c r="I1508" s="1014">
        <v>-1</v>
      </c>
      <c r="J1508" s="1014">
        <v>-1</v>
      </c>
      <c r="K1508" s="1014">
        <v>-1</v>
      </c>
      <c r="L1508" s="1014">
        <v>-1</v>
      </c>
      <c r="M1508" s="1014">
        <v>-1</v>
      </c>
      <c r="N1508" s="1014">
        <v>-1</v>
      </c>
      <c r="O1508" s="1014">
        <v>-1</v>
      </c>
      <c r="P1508" s="1014">
        <v>-1</v>
      </c>
      <c r="Q1508" s="1014">
        <v>-1</v>
      </c>
      <c r="R1508" s="1014">
        <v>-1</v>
      </c>
      <c r="S1508" s="1014">
        <v>-1</v>
      </c>
      <c r="T1508" s="1014">
        <v>-1</v>
      </c>
      <c r="U1508" s="1014">
        <v>-1</v>
      </c>
      <c r="V1508" s="1014">
        <v>-1</v>
      </c>
      <c r="W1508" s="1014">
        <v>-1</v>
      </c>
      <c r="X1508" s="1014">
        <v>-1</v>
      </c>
      <c r="Y1508" s="1014">
        <v>-1</v>
      </c>
      <c r="Z1508" s="1014">
        <f ca="1">_xlfn.XLOOKUP(A1404,TabCalc[Ticker],TabCalc[Imp20])</f>
        <v>-1</v>
      </c>
      <c r="AB1508" s="1014">
        <v>-1</v>
      </c>
      <c r="AC1508" s="1014">
        <v>-1</v>
      </c>
      <c r="AD1508" s="1014">
        <v>-1</v>
      </c>
      <c r="AE1508" s="1014">
        <v>-1</v>
      </c>
      <c r="AF1508" s="1014">
        <v>-1</v>
      </c>
      <c r="AG1508" s="1014">
        <v>-1</v>
      </c>
      <c r="AH1508" s="1014">
        <v>-1</v>
      </c>
      <c r="AI1508" s="1014">
        <v>-1</v>
      </c>
      <c r="AJ1508" s="1014">
        <v>-1</v>
      </c>
      <c r="AK1508" s="1014">
        <v>-1</v>
      </c>
      <c r="AL1508" s="1014">
        <v>-1</v>
      </c>
      <c r="AM1508" s="1014">
        <v>-1</v>
      </c>
      <c r="AN1508" s="1014">
        <v>-1</v>
      </c>
      <c r="AO1508" s="1014">
        <v>-1</v>
      </c>
      <c r="AP1508" s="1014">
        <v>-1</v>
      </c>
      <c r="AQ1508" s="1014">
        <v>-1</v>
      </c>
      <c r="AR1508" s="1014">
        <v>-1</v>
      </c>
      <c r="AS1508" s="1014">
        <v>-1</v>
      </c>
      <c r="AT1508" s="1014">
        <v>-1</v>
      </c>
      <c r="AU1508" s="1014">
        <v>-1</v>
      </c>
      <c r="AV1508" s="1014">
        <f ca="1">_xlfn.XLOOKUP(A1404,TabCalc[Ticker],TabCalc[Imp150])</f>
        <v>-1</v>
      </c>
      <c r="AX1508" s="88" t="str">
        <f t="shared" ca="1" si="115"/>
        <v>CVS</v>
      </c>
    </row>
    <row r="1509" spans="1:50" hidden="1">
      <c r="A1509" s="88" t="str">
        <f t="shared" ca="1" si="118"/>
        <v>DDD</v>
      </c>
      <c r="F1509" s="1014">
        <v>4.7619047619047672E-2</v>
      </c>
      <c r="G1509" s="1014">
        <v>-1</v>
      </c>
      <c r="H1509" s="1014">
        <v>-1</v>
      </c>
      <c r="I1509" s="1014">
        <v>-1</v>
      </c>
      <c r="J1509" s="1014">
        <v>-1</v>
      </c>
      <c r="K1509" s="1014">
        <v>-1</v>
      </c>
      <c r="L1509" s="1014">
        <v>-1</v>
      </c>
      <c r="M1509" s="1014">
        <v>-1</v>
      </c>
      <c r="N1509" s="1014">
        <v>-1</v>
      </c>
      <c r="O1509" s="1014">
        <v>-1</v>
      </c>
      <c r="P1509" s="1014">
        <v>-1</v>
      </c>
      <c r="Q1509" s="1014">
        <v>-1</v>
      </c>
      <c r="R1509" s="1014">
        <v>-1</v>
      </c>
      <c r="S1509" s="1014">
        <v>-1</v>
      </c>
      <c r="T1509" s="1014">
        <v>-1</v>
      </c>
      <c r="U1509" s="1014">
        <v>-1</v>
      </c>
      <c r="V1509" s="1014">
        <v>-1</v>
      </c>
      <c r="W1509" s="1014">
        <v>-1</v>
      </c>
      <c r="X1509" s="1014">
        <v>-1</v>
      </c>
      <c r="Y1509" s="1014">
        <v>-1</v>
      </c>
      <c r="Z1509" s="1014">
        <f ca="1">_xlfn.XLOOKUP(A1405,TabCalc[Ticker],TabCalc[Imp20])</f>
        <v>-1</v>
      </c>
      <c r="AB1509" s="1014">
        <v>-5.9602649006622543E-2</v>
      </c>
      <c r="AC1509" s="1014">
        <v>-1</v>
      </c>
      <c r="AD1509" s="1014">
        <v>-1</v>
      </c>
      <c r="AE1509" s="1014">
        <v>-1</v>
      </c>
      <c r="AF1509" s="1014">
        <v>-1</v>
      </c>
      <c r="AG1509" s="1014">
        <v>-1</v>
      </c>
      <c r="AH1509" s="1014">
        <v>-1</v>
      </c>
      <c r="AI1509" s="1014">
        <v>-1</v>
      </c>
      <c r="AJ1509" s="1014">
        <v>-1</v>
      </c>
      <c r="AK1509" s="1014">
        <v>-1</v>
      </c>
      <c r="AL1509" s="1014">
        <v>-1</v>
      </c>
      <c r="AM1509" s="1014">
        <v>-1</v>
      </c>
      <c r="AN1509" s="1014">
        <v>-1</v>
      </c>
      <c r="AO1509" s="1014">
        <v>-1</v>
      </c>
      <c r="AP1509" s="1014">
        <v>-1</v>
      </c>
      <c r="AQ1509" s="1014">
        <v>-1</v>
      </c>
      <c r="AR1509" s="1014">
        <v>-1</v>
      </c>
      <c r="AS1509" s="1014">
        <v>-1</v>
      </c>
      <c r="AT1509" s="1014">
        <v>-1</v>
      </c>
      <c r="AU1509" s="1014">
        <v>-1</v>
      </c>
      <c r="AV1509" s="1014">
        <f ca="1">_xlfn.XLOOKUP(A1405,TabCalc[Ticker],TabCalc[Imp150])</f>
        <v>-1</v>
      </c>
      <c r="AX1509" s="88" t="str">
        <f t="shared" ca="1" si="115"/>
        <v>DDD</v>
      </c>
    </row>
    <row r="1510" spans="1:50" hidden="1">
      <c r="A1510" s="88" t="str">
        <f t="shared" ca="1" si="118"/>
        <v>DIS</v>
      </c>
      <c r="F1510" s="1014">
        <v>-1</v>
      </c>
      <c r="G1510" s="1014">
        <v>-1</v>
      </c>
      <c r="H1510" s="1014">
        <v>-1</v>
      </c>
      <c r="I1510" s="1014">
        <v>0.39999999999999991</v>
      </c>
      <c r="J1510" s="1014">
        <v>0.30000000000000004</v>
      </c>
      <c r="K1510" s="1014">
        <v>-1</v>
      </c>
      <c r="L1510" s="1014">
        <v>-1</v>
      </c>
      <c r="M1510" s="1014">
        <v>-1</v>
      </c>
      <c r="N1510" s="1014">
        <v>-1</v>
      </c>
      <c r="O1510" s="1014">
        <v>0.30000000000000004</v>
      </c>
      <c r="P1510" s="1014">
        <v>-1</v>
      </c>
      <c r="Q1510" s="1014">
        <v>0.53846153846153855</v>
      </c>
      <c r="R1510" s="1014">
        <v>-0.45454545454545459</v>
      </c>
      <c r="S1510" s="1014">
        <v>-0.45454545454545459</v>
      </c>
      <c r="T1510" s="1014">
        <v>-1</v>
      </c>
      <c r="U1510" s="1014">
        <v>-1</v>
      </c>
      <c r="V1510" s="1014">
        <v>-1</v>
      </c>
      <c r="W1510" s="1014">
        <v>-1</v>
      </c>
      <c r="X1510" s="1014">
        <v>-1</v>
      </c>
      <c r="Y1510" s="1014">
        <v>-1</v>
      </c>
      <c r="Z1510" s="1014">
        <f ca="1">_xlfn.XLOOKUP(A1406,TabCalc[Ticker],TabCalc[Imp20])</f>
        <v>-1</v>
      </c>
      <c r="AB1510" s="1014">
        <v>-1</v>
      </c>
      <c r="AC1510" s="1014">
        <v>-1</v>
      </c>
      <c r="AD1510" s="1014">
        <v>-1</v>
      </c>
      <c r="AE1510" s="1014">
        <v>5.7971014492753659E-2</v>
      </c>
      <c r="AF1510" s="1014">
        <v>4.3478260869565188E-2</v>
      </c>
      <c r="AG1510" s="1014">
        <v>-1</v>
      </c>
      <c r="AH1510" s="1014">
        <v>-1</v>
      </c>
      <c r="AI1510" s="1014">
        <v>-1</v>
      </c>
      <c r="AJ1510" s="1014">
        <v>-1</v>
      </c>
      <c r="AK1510" s="1014">
        <v>5.7971014492753659E-2</v>
      </c>
      <c r="AL1510" s="1014">
        <v>-1</v>
      </c>
      <c r="AM1510" s="1014">
        <v>7.2463768115942129E-2</v>
      </c>
      <c r="AN1510" s="1014">
        <v>7.2463768115942129E-2</v>
      </c>
      <c r="AO1510" s="1014">
        <v>7.2463768115942129E-2</v>
      </c>
      <c r="AP1510" s="1014">
        <v>-1</v>
      </c>
      <c r="AQ1510" s="1014">
        <v>-1</v>
      </c>
      <c r="AR1510" s="1014">
        <v>-1</v>
      </c>
      <c r="AS1510" s="1014">
        <v>-1</v>
      </c>
      <c r="AT1510" s="1014">
        <v>-1</v>
      </c>
      <c r="AU1510" s="1014">
        <v>-1</v>
      </c>
      <c r="AV1510" s="1014">
        <f ca="1">_xlfn.XLOOKUP(A1406,TabCalc[Ticker],TabCalc[Imp150])</f>
        <v>-1</v>
      </c>
      <c r="AX1510" s="88" t="str">
        <f t="shared" ca="1" si="115"/>
        <v>DIS</v>
      </c>
    </row>
    <row r="1511" spans="1:50" hidden="1">
      <c r="A1511" s="88" t="str">
        <f t="shared" ca="1" si="118"/>
        <v>DSY</v>
      </c>
      <c r="F1511" s="1014">
        <v>0.14285714285714279</v>
      </c>
      <c r="G1511" s="1014">
        <v>-1</v>
      </c>
      <c r="H1511" s="1014">
        <v>-1</v>
      </c>
      <c r="I1511" s="1014">
        <v>-1</v>
      </c>
      <c r="J1511" s="1014">
        <v>-1</v>
      </c>
      <c r="K1511" s="1014">
        <v>-1</v>
      </c>
      <c r="L1511" s="1014">
        <v>0</v>
      </c>
      <c r="M1511" s="1014">
        <v>0</v>
      </c>
      <c r="N1511" s="1014">
        <v>0</v>
      </c>
      <c r="O1511" s="1014">
        <v>0</v>
      </c>
      <c r="P1511" s="1014">
        <v>-0.63636363636363624</v>
      </c>
      <c r="Q1511" s="1014">
        <v>-0.63636363636363624</v>
      </c>
      <c r="R1511" s="1014">
        <v>-0.4285714285714286</v>
      </c>
      <c r="S1511" s="1014">
        <v>-0.4285714285714286</v>
      </c>
      <c r="T1511" s="1014">
        <v>-1</v>
      </c>
      <c r="U1511" s="1014">
        <v>-1</v>
      </c>
      <c r="V1511" s="1014">
        <v>0</v>
      </c>
      <c r="W1511" s="1014">
        <v>0</v>
      </c>
      <c r="X1511" s="1014">
        <v>0</v>
      </c>
      <c r="Y1511" s="1014">
        <v>0</v>
      </c>
      <c r="Z1511" s="1014">
        <f ca="1">_xlfn.XLOOKUP(A1407,TabCalc[Ticker],TabCalc[Imp20])</f>
        <v>0</v>
      </c>
      <c r="AB1511" s="1014">
        <v>0.1258278145695364</v>
      </c>
      <c r="AC1511" s="1014">
        <v>-1</v>
      </c>
      <c r="AD1511" s="1014">
        <v>-1</v>
      </c>
      <c r="AE1511" s="1014">
        <v>-1</v>
      </c>
      <c r="AF1511" s="1014">
        <v>-1</v>
      </c>
      <c r="AG1511" s="1014">
        <v>-1</v>
      </c>
      <c r="AH1511" s="1014">
        <v>-0.18110236220472448</v>
      </c>
      <c r="AI1511" s="1014">
        <v>-0.18110236220472448</v>
      </c>
      <c r="AJ1511" s="1014">
        <v>-0.18110236220472448</v>
      </c>
      <c r="AK1511" s="1014">
        <v>-0.18110236220472448</v>
      </c>
      <c r="AL1511" s="1014">
        <v>-0.16535433070866151</v>
      </c>
      <c r="AM1511" s="1014">
        <v>-0.16535433070866151</v>
      </c>
      <c r="AN1511" s="1014">
        <v>-0.15625</v>
      </c>
      <c r="AO1511" s="1014">
        <v>-0.15625</v>
      </c>
      <c r="AP1511" s="1014">
        <v>-1</v>
      </c>
      <c r="AQ1511" s="1014">
        <v>-1</v>
      </c>
      <c r="AR1511" s="1014">
        <v>-0.140625</v>
      </c>
      <c r="AS1511" s="1014">
        <v>-0.140625</v>
      </c>
      <c r="AT1511" s="1014">
        <v>-0.140625</v>
      </c>
      <c r="AU1511" s="1014">
        <v>-0.140625</v>
      </c>
      <c r="AV1511" s="1014">
        <f ca="1">_xlfn.XLOOKUP(A1407,TabCalc[Ticker],TabCalc[Imp150])</f>
        <v>-0.140625</v>
      </c>
      <c r="AX1511" s="88" t="str">
        <f t="shared" ca="1" si="115"/>
        <v>DSY</v>
      </c>
    </row>
    <row r="1512" spans="1:50" hidden="1">
      <c r="A1512" s="88" t="str">
        <f t="shared" ca="1" si="118"/>
        <v>DVA</v>
      </c>
      <c r="F1512" s="1014">
        <v>-4.7619047619047672E-2</v>
      </c>
      <c r="G1512" s="1014">
        <v>-1</v>
      </c>
      <c r="H1512" s="1014">
        <v>-1</v>
      </c>
      <c r="I1512" s="1014">
        <v>0.38461538461538458</v>
      </c>
      <c r="J1512" s="1014">
        <v>0.38461538461538458</v>
      </c>
      <c r="K1512" s="1014">
        <v>0.38461538461538458</v>
      </c>
      <c r="L1512" s="1014">
        <v>0.38461538461538458</v>
      </c>
      <c r="M1512" s="1014">
        <v>0.38461538461538458</v>
      </c>
      <c r="N1512" s="1014">
        <v>0.38461538461538458</v>
      </c>
      <c r="O1512" s="1014">
        <v>0.38461538461538458</v>
      </c>
      <c r="P1512" s="1014">
        <v>-1</v>
      </c>
      <c r="Q1512" s="1014">
        <v>-1</v>
      </c>
      <c r="R1512" s="1014">
        <v>0.39999999999999991</v>
      </c>
      <c r="S1512" s="1014">
        <v>0.39999999999999991</v>
      </c>
      <c r="T1512" s="1014">
        <v>-1</v>
      </c>
      <c r="U1512" s="1014">
        <v>-1</v>
      </c>
      <c r="V1512" s="1014">
        <v>0.19999999999999996</v>
      </c>
      <c r="W1512" s="1014">
        <v>0.19999999999999996</v>
      </c>
      <c r="X1512" s="1014">
        <v>0.19999999999999996</v>
      </c>
      <c r="Y1512" s="1014">
        <v>0.19999999999999996</v>
      </c>
      <c r="Z1512" s="1014">
        <f ca="1">_xlfn.XLOOKUP(A1408,TabCalc[Ticker],TabCalc[Imp20])</f>
        <v>0.19999999999999996</v>
      </c>
      <c r="AB1512" s="1014">
        <v>1.9867549668874274E-2</v>
      </c>
      <c r="AC1512" s="1014">
        <v>-1</v>
      </c>
      <c r="AD1512" s="1014">
        <v>-1</v>
      </c>
      <c r="AE1512" s="1014">
        <v>0.24770642201834869</v>
      </c>
      <c r="AF1512" s="1014">
        <v>0.24770642201834869</v>
      </c>
      <c r="AG1512" s="1014">
        <v>0.24770642201834869</v>
      </c>
      <c r="AH1512" s="1014">
        <v>0.24770642201834869</v>
      </c>
      <c r="AI1512" s="1014">
        <v>0.24770642201834869</v>
      </c>
      <c r="AJ1512" s="1014">
        <v>0.24770642201834869</v>
      </c>
      <c r="AK1512" s="1014">
        <v>0.24770642201834869</v>
      </c>
      <c r="AL1512" s="1014">
        <v>0.22222222222222232</v>
      </c>
      <c r="AM1512" s="1014">
        <v>0.22222222222222232</v>
      </c>
      <c r="AN1512" s="1014">
        <v>0.2407407407407407</v>
      </c>
      <c r="AO1512" s="1014">
        <v>0.2407407407407407</v>
      </c>
      <c r="AP1512" s="1014">
        <v>-1</v>
      </c>
      <c r="AQ1512" s="1014">
        <v>-1</v>
      </c>
      <c r="AR1512" s="1014">
        <v>0.22222222222222232</v>
      </c>
      <c r="AS1512" s="1014">
        <v>0.22222222222222232</v>
      </c>
      <c r="AT1512" s="1014">
        <v>0.22222222222222232</v>
      </c>
      <c r="AU1512" s="1014">
        <v>0.22222222222222232</v>
      </c>
      <c r="AV1512" s="1014">
        <f ca="1">_xlfn.XLOOKUP(A1408,TabCalc[Ticker],TabCalc[Imp150])</f>
        <v>0.22222222222222232</v>
      </c>
      <c r="AX1512" s="88" t="str">
        <f t="shared" ca="1" si="115"/>
        <v>DVA</v>
      </c>
    </row>
    <row r="1513" spans="1:50" hidden="1">
      <c r="A1513" s="88" t="str">
        <f t="shared" ca="1" si="118"/>
        <v>DXC</v>
      </c>
      <c r="F1513" s="1014">
        <v>-1</v>
      </c>
      <c r="G1513" s="1014">
        <v>-1</v>
      </c>
      <c r="H1513" s="1014">
        <v>-1</v>
      </c>
      <c r="I1513" s="1014">
        <v>-1</v>
      </c>
      <c r="J1513" s="1014">
        <v>6.6666666666666652E-2</v>
      </c>
      <c r="K1513" s="1014">
        <v>0</v>
      </c>
      <c r="L1513" s="1014">
        <v>0.125</v>
      </c>
      <c r="M1513" s="1014">
        <v>0.125</v>
      </c>
      <c r="N1513" s="1014">
        <v>0.125</v>
      </c>
      <c r="O1513" s="1014">
        <v>0</v>
      </c>
      <c r="P1513" s="1014">
        <v>0</v>
      </c>
      <c r="Q1513" s="1014">
        <v>-1</v>
      </c>
      <c r="R1513" s="1014">
        <v>0</v>
      </c>
      <c r="S1513" s="1014">
        <v>0</v>
      </c>
      <c r="T1513" s="1014">
        <v>-1</v>
      </c>
      <c r="U1513" s="1014">
        <v>-1</v>
      </c>
      <c r="V1513" s="1014">
        <v>-0.19999999999999996</v>
      </c>
      <c r="W1513" s="1014">
        <v>-0.19999999999999996</v>
      </c>
      <c r="X1513" s="1014">
        <v>-0.19999999999999996</v>
      </c>
      <c r="Y1513" s="1014">
        <v>-0.19999999999999996</v>
      </c>
      <c r="Z1513" s="1014">
        <f ca="1">_xlfn.XLOOKUP(A1409,TabCalc[Ticker],TabCalc[Imp20])</f>
        <v>-0.19999999999999996</v>
      </c>
      <c r="AB1513" s="1014">
        <v>-1</v>
      </c>
      <c r="AC1513" s="1014">
        <v>-1</v>
      </c>
      <c r="AD1513" s="1014">
        <v>-1</v>
      </c>
      <c r="AE1513" s="1014">
        <v>-1</v>
      </c>
      <c r="AF1513" s="1014">
        <v>0.12244897959183665</v>
      </c>
      <c r="AG1513" s="1014">
        <v>0.11111111111111116</v>
      </c>
      <c r="AH1513" s="1014">
        <v>0.13131313131313127</v>
      </c>
      <c r="AI1513" s="1014">
        <v>0.1399999999999999</v>
      </c>
      <c r="AJ1513" s="1014">
        <v>0.1399999999999999</v>
      </c>
      <c r="AK1513" s="1014">
        <v>0.12000000000000011</v>
      </c>
      <c r="AL1513" s="1014">
        <v>0.10000000000000009</v>
      </c>
      <c r="AM1513" s="1014">
        <v>-1</v>
      </c>
      <c r="AN1513" s="1014">
        <v>0.1399999999999999</v>
      </c>
      <c r="AO1513" s="1014">
        <v>0.1399999999999999</v>
      </c>
      <c r="AP1513" s="1014">
        <v>-1</v>
      </c>
      <c r="AQ1513" s="1014">
        <v>-1</v>
      </c>
      <c r="AR1513" s="1014">
        <v>0.1399999999999999</v>
      </c>
      <c r="AS1513" s="1014">
        <v>0.1399999999999999</v>
      </c>
      <c r="AT1513" s="1014">
        <v>0.1399999999999999</v>
      </c>
      <c r="AU1513" s="1014">
        <v>0.1399999999999999</v>
      </c>
      <c r="AV1513" s="1014">
        <f ca="1">_xlfn.XLOOKUP(A1409,TabCalc[Ticker],TabCalc[Imp150])</f>
        <v>0.1399999999999999</v>
      </c>
      <c r="AX1513" s="88" t="str">
        <f t="shared" ca="1" si="115"/>
        <v>DXC</v>
      </c>
    </row>
    <row r="1514" spans="1:50" hidden="1">
      <c r="A1514" s="88" t="str">
        <f t="shared" ca="1" si="118"/>
        <v>EOAN</v>
      </c>
      <c r="F1514" s="1014">
        <v>0.11111111111111116</v>
      </c>
      <c r="G1514" s="1014">
        <v>-1</v>
      </c>
      <c r="H1514" s="1014">
        <v>0.4285714285714286</v>
      </c>
      <c r="I1514" s="1014">
        <v>0.4285714285714286</v>
      </c>
      <c r="J1514" s="1014">
        <v>0.4285714285714286</v>
      </c>
      <c r="K1514" s="1014">
        <v>0.4285714285714286</v>
      </c>
      <c r="L1514" s="1014">
        <v>0.4285714285714286</v>
      </c>
      <c r="M1514" s="1014">
        <v>0.4285714285714286</v>
      </c>
      <c r="N1514" s="1014">
        <v>0.4285714285714286</v>
      </c>
      <c r="O1514" s="1014">
        <v>0.4285714285714286</v>
      </c>
      <c r="P1514" s="1014">
        <v>0.4285714285714286</v>
      </c>
      <c r="Q1514" s="1014">
        <v>0.4285714285714286</v>
      </c>
      <c r="R1514" s="1014">
        <v>-1</v>
      </c>
      <c r="S1514" s="1014">
        <v>-1</v>
      </c>
      <c r="T1514" s="1014">
        <v>-1</v>
      </c>
      <c r="U1514" s="1014">
        <v>-1</v>
      </c>
      <c r="V1514" s="1014">
        <v>-1</v>
      </c>
      <c r="W1514" s="1014">
        <v>-1</v>
      </c>
      <c r="X1514" s="1014">
        <v>-1</v>
      </c>
      <c r="Y1514" s="1014">
        <v>-1</v>
      </c>
      <c r="Z1514" s="1014">
        <f ca="1">_xlfn.XLOOKUP(A1410,TabCalc[Ticker],TabCalc[Imp20])</f>
        <v>-1</v>
      </c>
      <c r="AB1514" s="1014">
        <v>-0.10447761194029853</v>
      </c>
      <c r="AC1514" s="1014">
        <v>-1</v>
      </c>
      <c r="AD1514" s="1014">
        <v>0.18584070796460184</v>
      </c>
      <c r="AE1514" s="1014">
        <v>0.18584070796460184</v>
      </c>
      <c r="AF1514" s="1014">
        <v>0.18584070796460184</v>
      </c>
      <c r="AG1514" s="1014">
        <v>0.18584070796460184</v>
      </c>
      <c r="AH1514" s="1014">
        <v>0.18584070796460184</v>
      </c>
      <c r="AI1514" s="1014">
        <v>0.18584070796460184</v>
      </c>
      <c r="AJ1514" s="1014">
        <v>0.18584070796460184</v>
      </c>
      <c r="AK1514" s="1014">
        <v>0.18584070796460184</v>
      </c>
      <c r="AL1514" s="1014">
        <v>0.18584070796460184</v>
      </c>
      <c r="AM1514" s="1014">
        <v>0.18584070796460184</v>
      </c>
      <c r="AN1514" s="1014">
        <v>-1</v>
      </c>
      <c r="AO1514" s="1014">
        <v>-1</v>
      </c>
      <c r="AP1514" s="1014">
        <v>-1</v>
      </c>
      <c r="AQ1514" s="1014">
        <v>-1</v>
      </c>
      <c r="AR1514" s="1014">
        <v>-1</v>
      </c>
      <c r="AS1514" s="1014">
        <v>-1</v>
      </c>
      <c r="AT1514" s="1014">
        <v>-1</v>
      </c>
      <c r="AU1514" s="1014">
        <v>-1</v>
      </c>
      <c r="AV1514" s="1014">
        <f ca="1">_xlfn.XLOOKUP(A1410,TabCalc[Ticker],TabCalc[Imp150])</f>
        <v>-1</v>
      </c>
      <c r="AX1514" s="88" t="str">
        <f t="shared" ca="1" si="115"/>
        <v>EOAN</v>
      </c>
    </row>
    <row r="1515" spans="1:50" hidden="1">
      <c r="A1515" s="88" t="str">
        <f t="shared" ca="1" si="118"/>
        <v>EPIX</v>
      </c>
      <c r="F1515" s="1014">
        <v>-0.14285714285714285</v>
      </c>
      <c r="G1515" s="1014">
        <v>-1</v>
      </c>
      <c r="H1515" s="1014">
        <v>0.11111111111111116</v>
      </c>
      <c r="I1515" s="1014">
        <v>0.11111111111111116</v>
      </c>
      <c r="J1515" s="1014">
        <v>0.22222222222222232</v>
      </c>
      <c r="K1515" s="1014">
        <v>0.26315789473684204</v>
      </c>
      <c r="L1515" s="1014">
        <v>0.15789473684210531</v>
      </c>
      <c r="M1515" s="1014">
        <v>0.15789473684210531</v>
      </c>
      <c r="N1515" s="1014">
        <v>0.15789473684210531</v>
      </c>
      <c r="O1515" s="1014">
        <v>0.15789473684210531</v>
      </c>
      <c r="P1515" s="1014">
        <v>0.15789473684210531</v>
      </c>
      <c r="Q1515" s="1014">
        <v>0.15789473684210531</v>
      </c>
      <c r="R1515" s="1014">
        <v>-9.0909090909090884E-2</v>
      </c>
      <c r="S1515" s="1014">
        <v>-9.0909090909090884E-2</v>
      </c>
      <c r="T1515" s="1014">
        <v>-1</v>
      </c>
      <c r="U1515" s="1014">
        <v>-0.33333333333333343</v>
      </c>
      <c r="V1515" s="1014">
        <v>-0.28571428571428564</v>
      </c>
      <c r="W1515" s="1014">
        <v>-0.28571428571428564</v>
      </c>
      <c r="X1515" s="1014">
        <v>-0.28571428571428564</v>
      </c>
      <c r="Y1515" s="1014">
        <v>-0.28571428571428564</v>
      </c>
      <c r="Z1515" s="1014">
        <f ca="1">_xlfn.XLOOKUP(A1411,TabCalc[Ticker],TabCalc[Imp20])</f>
        <v>-0.28571428571428564</v>
      </c>
      <c r="AB1515" s="1014">
        <v>5.6603773584905648E-2</v>
      </c>
      <c r="AC1515" s="1014">
        <v>-1</v>
      </c>
      <c r="AD1515" s="1014">
        <v>-0.10447761194029853</v>
      </c>
      <c r="AE1515" s="1014">
        <v>-0.10447761194029853</v>
      </c>
      <c r="AF1515" s="1014">
        <v>-0.10447761194029853</v>
      </c>
      <c r="AG1515" s="1014">
        <v>-8.9552238805970186E-2</v>
      </c>
      <c r="AH1515" s="1014">
        <v>-7.4626865671641784E-2</v>
      </c>
      <c r="AI1515" s="1014">
        <v>-7.4626865671641784E-2</v>
      </c>
      <c r="AJ1515" s="1014">
        <v>-7.4626865671641784E-2</v>
      </c>
      <c r="AK1515" s="1014">
        <v>-7.4626865671641784E-2</v>
      </c>
      <c r="AL1515" s="1014">
        <v>-7.4626865671641784E-2</v>
      </c>
      <c r="AM1515" s="1014">
        <v>-7.4626865671641784E-2</v>
      </c>
      <c r="AN1515" s="1014">
        <v>-4.4117647058823428E-2</v>
      </c>
      <c r="AO1515" s="1014">
        <v>-4.4117647058823428E-2</v>
      </c>
      <c r="AP1515" s="1014">
        <v>-1</v>
      </c>
      <c r="AQ1515" s="1014">
        <v>-3.7037037037037146E-2</v>
      </c>
      <c r="AR1515" s="1014">
        <v>-5.1851851851851816E-2</v>
      </c>
      <c r="AS1515" s="1014">
        <v>-5.1851851851851816E-2</v>
      </c>
      <c r="AT1515" s="1014">
        <v>-5.1851851851851816E-2</v>
      </c>
      <c r="AU1515" s="1014">
        <v>-5.1851851851851816E-2</v>
      </c>
      <c r="AV1515" s="1014">
        <f ca="1">_xlfn.XLOOKUP(A1411,TabCalc[Ticker],TabCalc[Imp150])</f>
        <v>-5.1851851851851816E-2</v>
      </c>
      <c r="AX1515" s="88" t="str">
        <f t="shared" ca="1" si="115"/>
        <v>EPIX</v>
      </c>
    </row>
    <row r="1516" spans="1:50" hidden="1">
      <c r="A1516" s="88" t="str">
        <f t="shared" ca="1" si="118"/>
        <v>GM</v>
      </c>
      <c r="F1516" s="1014">
        <v>0.23076923076923084</v>
      </c>
      <c r="G1516" s="1014">
        <v>-1</v>
      </c>
      <c r="H1516" s="1014">
        <v>-1</v>
      </c>
      <c r="I1516" s="1014">
        <v>-1</v>
      </c>
      <c r="J1516" s="1014">
        <v>-1</v>
      </c>
      <c r="K1516" s="1014">
        <v>-1</v>
      </c>
      <c r="L1516" s="1014">
        <v>-1</v>
      </c>
      <c r="M1516" s="1014">
        <v>-1</v>
      </c>
      <c r="N1516" s="1014">
        <v>-1</v>
      </c>
      <c r="O1516" s="1014">
        <v>-0.5</v>
      </c>
      <c r="P1516" s="1014">
        <v>-0.5</v>
      </c>
      <c r="Q1516" s="1014">
        <v>-0.5</v>
      </c>
      <c r="R1516" s="1014">
        <v>-0.5</v>
      </c>
      <c r="S1516" s="1014">
        <v>-0.5</v>
      </c>
      <c r="T1516" s="1014">
        <v>-1</v>
      </c>
      <c r="U1516" s="1014">
        <v>-1</v>
      </c>
      <c r="V1516" s="1014">
        <v>-1</v>
      </c>
      <c r="W1516" s="1014">
        <v>-1</v>
      </c>
      <c r="X1516" s="1014">
        <v>-1</v>
      </c>
      <c r="Y1516" s="1014">
        <v>-1</v>
      </c>
      <c r="Z1516" s="1014">
        <f ca="1">_xlfn.XLOOKUP(A1412,TabCalc[Ticker],TabCalc[Imp20])</f>
        <v>-1</v>
      </c>
      <c r="AB1516" s="1014">
        <v>-5.4545454545454619E-2</v>
      </c>
      <c r="AC1516" s="1014">
        <v>-1</v>
      </c>
      <c r="AD1516" s="1014">
        <v>-1</v>
      </c>
      <c r="AE1516" s="1014">
        <v>-1</v>
      </c>
      <c r="AF1516" s="1014">
        <v>-1</v>
      </c>
      <c r="AG1516" s="1014">
        <v>-1</v>
      </c>
      <c r="AH1516" s="1014">
        <v>-1</v>
      </c>
      <c r="AI1516" s="1014">
        <v>-1</v>
      </c>
      <c r="AJ1516" s="1014">
        <v>-1</v>
      </c>
      <c r="AK1516" s="1014">
        <v>3.8461538461538547E-2</v>
      </c>
      <c r="AL1516" s="1014">
        <v>3.8461538461538547E-2</v>
      </c>
      <c r="AM1516" s="1014">
        <v>3.8461538461538547E-2</v>
      </c>
      <c r="AN1516" s="1014">
        <v>7.6923076923076872E-2</v>
      </c>
      <c r="AO1516" s="1014">
        <v>7.6923076923076872E-2</v>
      </c>
      <c r="AP1516" s="1014">
        <v>-1</v>
      </c>
      <c r="AQ1516" s="1014">
        <v>-1</v>
      </c>
      <c r="AR1516" s="1014">
        <v>-1</v>
      </c>
      <c r="AS1516" s="1014">
        <v>-1</v>
      </c>
      <c r="AT1516" s="1014">
        <v>-1</v>
      </c>
      <c r="AU1516" s="1014">
        <v>-1</v>
      </c>
      <c r="AV1516" s="1014">
        <f ca="1">_xlfn.XLOOKUP(A1412,TabCalc[Ticker],TabCalc[Imp150])</f>
        <v>-1</v>
      </c>
      <c r="AX1516" s="88" t="str">
        <f t="shared" ca="1" si="115"/>
        <v>GM</v>
      </c>
    </row>
    <row r="1517" spans="1:50" hidden="1">
      <c r="A1517" s="88" t="str">
        <f t="shared" ca="1" si="118"/>
        <v>HPE</v>
      </c>
      <c r="F1517" s="1014">
        <v>-1</v>
      </c>
      <c r="G1517" s="1014">
        <v>-1</v>
      </c>
      <c r="H1517" s="1014">
        <v>-1</v>
      </c>
      <c r="I1517" s="1014">
        <v>-1</v>
      </c>
      <c r="J1517" s="1014">
        <v>0.53846153846153855</v>
      </c>
      <c r="K1517" s="1014">
        <v>0.38461538461538458</v>
      </c>
      <c r="L1517" s="1014">
        <v>0.23076923076923084</v>
      </c>
      <c r="M1517" s="1014">
        <v>0.23076923076923084</v>
      </c>
      <c r="N1517" s="1014">
        <v>0.23076923076923084</v>
      </c>
      <c r="O1517" s="1014">
        <v>7.6923076923076872E-2</v>
      </c>
      <c r="P1517" s="1014">
        <v>7.6923076923076872E-2</v>
      </c>
      <c r="Q1517" s="1014">
        <v>7.6923076923076872E-2</v>
      </c>
      <c r="R1517" s="1014">
        <v>-1</v>
      </c>
      <c r="S1517" s="1014">
        <v>-1</v>
      </c>
      <c r="T1517" s="1014">
        <v>-1</v>
      </c>
      <c r="U1517" s="1014">
        <v>-1</v>
      </c>
      <c r="V1517" s="1014">
        <v>-1</v>
      </c>
      <c r="W1517" s="1014">
        <v>-1</v>
      </c>
      <c r="X1517" s="1014">
        <v>0.19999999999999996</v>
      </c>
      <c r="Y1517" s="1014">
        <v>-0.33333333333333343</v>
      </c>
      <c r="Z1517" s="1014">
        <f ca="1">_xlfn.XLOOKUP(A1413,TabCalc[Ticker],TabCalc[Imp20])</f>
        <v>-0.33333333333333343</v>
      </c>
      <c r="AB1517" s="1014">
        <v>-1</v>
      </c>
      <c r="AC1517" s="1014">
        <v>-1</v>
      </c>
      <c r="AD1517" s="1014">
        <v>-1</v>
      </c>
      <c r="AE1517" s="1014">
        <v>-1</v>
      </c>
      <c r="AF1517" s="1014">
        <v>-1.8181818181818132E-2</v>
      </c>
      <c r="AG1517" s="1014">
        <v>-2.7522935779816515E-2</v>
      </c>
      <c r="AH1517" s="1014">
        <v>-4.587155963302747E-2</v>
      </c>
      <c r="AI1517" s="1014">
        <v>-4.587155963302747E-2</v>
      </c>
      <c r="AJ1517" s="1014">
        <v>-4.587155963302747E-2</v>
      </c>
      <c r="AK1517" s="1014">
        <v>-6.4220183486238425E-2</v>
      </c>
      <c r="AL1517" s="1014">
        <v>-6.4220183486238425E-2</v>
      </c>
      <c r="AM1517" s="1014">
        <v>-6.4220183486238425E-2</v>
      </c>
      <c r="AN1517" s="1014">
        <v>-1</v>
      </c>
      <c r="AO1517" s="1014">
        <v>-1</v>
      </c>
      <c r="AP1517" s="1014">
        <v>-1</v>
      </c>
      <c r="AQ1517" s="1014">
        <v>-1</v>
      </c>
      <c r="AR1517" s="1014">
        <v>-1</v>
      </c>
      <c r="AS1517" s="1014">
        <v>-1</v>
      </c>
      <c r="AT1517" s="1014">
        <v>-9.1743119266054496E-3</v>
      </c>
      <c r="AU1517" s="1014">
        <v>-9.1743119266054496E-3</v>
      </c>
      <c r="AV1517" s="1014">
        <f ca="1">_xlfn.XLOOKUP(A1413,TabCalc[Ticker],TabCalc[Imp150])</f>
        <v>-9.1743119266054496E-3</v>
      </c>
      <c r="AX1517" s="88" t="str">
        <f t="shared" ca="1" si="115"/>
        <v>HPE</v>
      </c>
    </row>
    <row r="1518" spans="1:50" hidden="1">
      <c r="A1518" s="88" t="str">
        <f t="shared" ca="1" si="118"/>
        <v>HPQ</v>
      </c>
      <c r="F1518" s="1014">
        <v>-1</v>
      </c>
      <c r="G1518" s="1014">
        <v>-1</v>
      </c>
      <c r="H1518" s="1014">
        <v>-1</v>
      </c>
      <c r="I1518" s="1014">
        <v>6.6666666666666652E-2</v>
      </c>
      <c r="J1518" s="1014">
        <v>6.6666666666666652E-2</v>
      </c>
      <c r="K1518" s="1014">
        <v>0</v>
      </c>
      <c r="L1518" s="1014">
        <v>0</v>
      </c>
      <c r="M1518" s="1014">
        <v>-0.125</v>
      </c>
      <c r="N1518" s="1014">
        <v>-0.125</v>
      </c>
      <c r="O1518" s="1014">
        <v>-0.25</v>
      </c>
      <c r="P1518" s="1014">
        <v>-0.25</v>
      </c>
      <c r="Q1518" s="1014">
        <v>-1</v>
      </c>
      <c r="R1518" s="1014">
        <v>-1</v>
      </c>
      <c r="S1518" s="1014">
        <v>-1</v>
      </c>
      <c r="T1518" s="1014">
        <v>-1</v>
      </c>
      <c r="U1518" s="1014">
        <v>-1</v>
      </c>
      <c r="V1518" s="1014">
        <v>-1</v>
      </c>
      <c r="W1518" s="1014">
        <v>-1</v>
      </c>
      <c r="X1518" s="1014">
        <v>-1</v>
      </c>
      <c r="Y1518" s="1014">
        <v>0</v>
      </c>
      <c r="Z1518" s="1014">
        <f ca="1">_xlfn.XLOOKUP(A1414,TabCalc[Ticker],TabCalc[Imp20])</f>
        <v>0</v>
      </c>
      <c r="AB1518" s="1014">
        <v>-1</v>
      </c>
      <c r="AC1518" s="1014">
        <v>-1</v>
      </c>
      <c r="AD1518" s="1014">
        <v>-1</v>
      </c>
      <c r="AE1518" s="1014">
        <v>5.4545454545454453E-2</v>
      </c>
      <c r="AF1518" s="1014">
        <v>5.4545454545454453E-2</v>
      </c>
      <c r="AG1518" s="1014">
        <v>1.8181818181818077E-2</v>
      </c>
      <c r="AH1518" s="1014">
        <v>1.8181818181818077E-2</v>
      </c>
      <c r="AI1518" s="1014">
        <v>1.8181818181818077E-2</v>
      </c>
      <c r="AJ1518" s="1014">
        <v>1.8181818181818077E-2</v>
      </c>
      <c r="AK1518" s="1014">
        <v>9.009009009008917E-3</v>
      </c>
      <c r="AL1518" s="1014">
        <v>9.009009009008917E-3</v>
      </c>
      <c r="AM1518" s="1014">
        <v>0</v>
      </c>
      <c r="AN1518" s="1014">
        <v>-1</v>
      </c>
      <c r="AO1518" s="1014">
        <v>-1</v>
      </c>
      <c r="AP1518" s="1014">
        <v>-1</v>
      </c>
      <c r="AQ1518" s="1014">
        <v>-1</v>
      </c>
      <c r="AR1518" s="1014">
        <v>-1</v>
      </c>
      <c r="AS1518" s="1014">
        <v>-1</v>
      </c>
      <c r="AT1518" s="1014">
        <v>-1</v>
      </c>
      <c r="AU1518" s="1014">
        <v>1.8181818181818077E-2</v>
      </c>
      <c r="AV1518" s="1014">
        <f ca="1">_xlfn.XLOOKUP(A1414,TabCalc[Ticker],TabCalc[Imp150])</f>
        <v>1.8181818181818077E-2</v>
      </c>
      <c r="AX1518" s="88" t="str">
        <f t="shared" ca="1" si="115"/>
        <v>HPQ</v>
      </c>
    </row>
    <row r="1519" spans="1:50" hidden="1">
      <c r="A1519" s="88" t="str">
        <f t="shared" ca="1" si="118"/>
        <v>IAG</v>
      </c>
      <c r="F1519" s="1014">
        <v>-1</v>
      </c>
      <c r="G1519" s="1014">
        <v>-1</v>
      </c>
      <c r="H1519" s="1014">
        <v>-1</v>
      </c>
      <c r="I1519" s="1014">
        <v>-1</v>
      </c>
      <c r="J1519" s="1014">
        <v>-1</v>
      </c>
      <c r="K1519" s="1014">
        <v>-1</v>
      </c>
      <c r="L1519" s="1014">
        <v>-1</v>
      </c>
      <c r="M1519" s="1014">
        <v>-1</v>
      </c>
      <c r="N1519" s="1014">
        <v>-1</v>
      </c>
      <c r="O1519" s="1014">
        <v>-1</v>
      </c>
      <c r="P1519" s="1014">
        <v>-1</v>
      </c>
      <c r="Q1519" s="1014">
        <v>-1</v>
      </c>
      <c r="R1519" s="1014">
        <v>-1</v>
      </c>
      <c r="S1519" s="1014">
        <v>-1</v>
      </c>
      <c r="T1519" s="1014">
        <v>-1</v>
      </c>
      <c r="U1519" s="1014">
        <v>-1</v>
      </c>
      <c r="V1519" s="1014">
        <v>-0.5</v>
      </c>
      <c r="W1519" s="1014">
        <v>-0.5</v>
      </c>
      <c r="X1519" s="1014">
        <v>-0.5</v>
      </c>
      <c r="Y1519" s="1014">
        <v>-0.5</v>
      </c>
      <c r="Z1519" s="1014">
        <f ca="1">_xlfn.XLOOKUP(A1415,TabCalc[Ticker],TabCalc[Imp20])</f>
        <v>-0.5</v>
      </c>
      <c r="AB1519" s="1014">
        <v>-1</v>
      </c>
      <c r="AC1519" s="1014">
        <v>-1</v>
      </c>
      <c r="AD1519" s="1014">
        <v>-1</v>
      </c>
      <c r="AE1519" s="1014">
        <v>-1</v>
      </c>
      <c r="AF1519" s="1014">
        <v>-1</v>
      </c>
      <c r="AG1519" s="1014">
        <v>-1</v>
      </c>
      <c r="AH1519" s="1014">
        <v>-1</v>
      </c>
      <c r="AI1519" s="1014">
        <v>-1</v>
      </c>
      <c r="AJ1519" s="1014">
        <v>-1</v>
      </c>
      <c r="AK1519" s="1014">
        <v>-1</v>
      </c>
      <c r="AL1519" s="1014">
        <v>-1</v>
      </c>
      <c r="AM1519" s="1014">
        <v>-1</v>
      </c>
      <c r="AN1519" s="1014">
        <v>-1</v>
      </c>
      <c r="AO1519" s="1014">
        <v>-1</v>
      </c>
      <c r="AP1519" s="1014">
        <v>-1</v>
      </c>
      <c r="AQ1519" s="1014">
        <v>-1</v>
      </c>
      <c r="AR1519" s="1014">
        <v>-3.8167938931297662E-2</v>
      </c>
      <c r="AS1519" s="1014">
        <v>-3.8167938931297662E-2</v>
      </c>
      <c r="AT1519" s="1014">
        <v>-3.8167938931297662E-2</v>
      </c>
      <c r="AU1519" s="1014">
        <v>-3.8167938931297662E-2</v>
      </c>
      <c r="AV1519" s="1014">
        <f ca="1">_xlfn.XLOOKUP(A1415,TabCalc[Ticker],TabCalc[Imp150])</f>
        <v>-3.8167938931297662E-2</v>
      </c>
      <c r="AX1519" s="88" t="str">
        <f t="shared" ca="1" si="115"/>
        <v>IAG</v>
      </c>
    </row>
    <row r="1520" spans="1:50" hidden="1">
      <c r="A1520" s="88" t="str">
        <f t="shared" ca="1" si="118"/>
        <v>KR</v>
      </c>
      <c r="F1520" s="1014">
        <v>-1</v>
      </c>
      <c r="G1520" s="1014">
        <v>-1</v>
      </c>
      <c r="H1520" s="1014">
        <v>0.53846153846153855</v>
      </c>
      <c r="I1520" s="1014">
        <v>-1</v>
      </c>
      <c r="J1520" s="1014">
        <v>-1</v>
      </c>
      <c r="K1520" s="1014">
        <v>0.53846153846153855</v>
      </c>
      <c r="L1520" s="1014">
        <v>0.53846153846153855</v>
      </c>
      <c r="M1520" s="1014">
        <v>0.53846153846153855</v>
      </c>
      <c r="N1520" s="1014">
        <v>0.53846153846153855</v>
      </c>
      <c r="O1520" s="1014">
        <v>0.53846153846153855</v>
      </c>
      <c r="P1520" s="1014">
        <v>0.53846153846153855</v>
      </c>
      <c r="Q1520" s="1014">
        <v>0.53846153846153855</v>
      </c>
      <c r="R1520" s="1014">
        <v>-1</v>
      </c>
      <c r="S1520" s="1014">
        <v>-1</v>
      </c>
      <c r="T1520" s="1014">
        <v>-1</v>
      </c>
      <c r="U1520" s="1014">
        <v>-1</v>
      </c>
      <c r="V1520" s="1014">
        <v>-1</v>
      </c>
      <c r="W1520" s="1014">
        <v>-1</v>
      </c>
      <c r="X1520" s="1014">
        <v>-1</v>
      </c>
      <c r="Y1520" s="1014">
        <v>-1</v>
      </c>
      <c r="Z1520" s="1014">
        <f ca="1">_xlfn.XLOOKUP(A1416,TabCalc[Ticker],TabCalc[Imp20])</f>
        <v>-1</v>
      </c>
      <c r="AB1520" s="1014">
        <v>-1</v>
      </c>
      <c r="AC1520" s="1014">
        <v>-1</v>
      </c>
      <c r="AD1520" s="1014">
        <v>0.2277227722772277</v>
      </c>
      <c r="AE1520" s="1014">
        <v>-1</v>
      </c>
      <c r="AF1520" s="1014">
        <v>-1</v>
      </c>
      <c r="AG1520" s="1014">
        <v>0.24271844660194164</v>
      </c>
      <c r="AH1520" s="1014">
        <v>0.24271844660194164</v>
      </c>
      <c r="AI1520" s="1014">
        <v>0.24271844660194164</v>
      </c>
      <c r="AJ1520" s="1014">
        <v>0.24271844660194164</v>
      </c>
      <c r="AK1520" s="1014">
        <v>0.24271844660194164</v>
      </c>
      <c r="AL1520" s="1014">
        <v>0.24271844660194164</v>
      </c>
      <c r="AM1520" s="1014">
        <v>0.24271844660194164</v>
      </c>
      <c r="AN1520" s="1014">
        <v>-1</v>
      </c>
      <c r="AO1520" s="1014">
        <v>-1</v>
      </c>
      <c r="AP1520" s="1014">
        <v>-1</v>
      </c>
      <c r="AQ1520" s="1014">
        <v>-1</v>
      </c>
      <c r="AR1520" s="1014">
        <v>-1</v>
      </c>
      <c r="AS1520" s="1014">
        <v>-1</v>
      </c>
      <c r="AT1520" s="1014">
        <v>-1</v>
      </c>
      <c r="AU1520" s="1014">
        <v>-1</v>
      </c>
      <c r="AV1520" s="1014">
        <f ca="1">_xlfn.XLOOKUP(A1416,TabCalc[Ticker],TabCalc[Imp150])</f>
        <v>-1</v>
      </c>
      <c r="AX1520" s="88" t="str">
        <f t="shared" ca="1" si="115"/>
        <v>KR</v>
      </c>
    </row>
    <row r="1521" spans="1:50" hidden="1">
      <c r="A1521" s="88" t="str">
        <f t="shared" ca="1" si="118"/>
        <v>LNSR</v>
      </c>
      <c r="F1521" s="1014">
        <v>-1</v>
      </c>
      <c r="G1521" s="1014">
        <v>-1</v>
      </c>
      <c r="H1521" s="1014">
        <v>-1</v>
      </c>
      <c r="I1521" s="1014">
        <v>-1</v>
      </c>
      <c r="J1521" s="1014">
        <v>-1</v>
      </c>
      <c r="K1521" s="1014">
        <v>-1</v>
      </c>
      <c r="L1521" s="1014">
        <v>-1</v>
      </c>
      <c r="M1521" s="1014">
        <v>-1</v>
      </c>
      <c r="N1521" s="1014">
        <v>-1</v>
      </c>
      <c r="O1521" s="1014">
        <v>-1</v>
      </c>
      <c r="P1521" s="1014">
        <v>-1</v>
      </c>
      <c r="Q1521" s="1014">
        <v>-1</v>
      </c>
      <c r="R1521" s="1014">
        <v>-1</v>
      </c>
      <c r="S1521" s="1014">
        <v>-1</v>
      </c>
      <c r="T1521" s="1014">
        <v>-1</v>
      </c>
      <c r="U1521" s="1014">
        <v>-1</v>
      </c>
      <c r="V1521" s="1014">
        <v>-1</v>
      </c>
      <c r="W1521" s="1014">
        <v>-1</v>
      </c>
      <c r="X1521" s="1014">
        <v>-1</v>
      </c>
      <c r="Y1521" s="1014">
        <v>-1</v>
      </c>
      <c r="Z1521" s="1014">
        <f ca="1">_xlfn.XLOOKUP(A1417,TabCalc[Ticker],TabCalc[Imp20])</f>
        <v>-1</v>
      </c>
      <c r="AB1521" s="1014">
        <v>-1</v>
      </c>
      <c r="AC1521" s="1014">
        <v>-1</v>
      </c>
      <c r="AD1521" s="1014">
        <v>-1</v>
      </c>
      <c r="AE1521" s="1014">
        <v>-1</v>
      </c>
      <c r="AF1521" s="1014">
        <v>-1</v>
      </c>
      <c r="AG1521" s="1014">
        <v>-1</v>
      </c>
      <c r="AH1521" s="1014">
        <v>-1</v>
      </c>
      <c r="AI1521" s="1014">
        <v>-1</v>
      </c>
      <c r="AJ1521" s="1014">
        <v>-1</v>
      </c>
      <c r="AK1521" s="1014">
        <v>-1</v>
      </c>
      <c r="AL1521" s="1014">
        <v>-1</v>
      </c>
      <c r="AM1521" s="1014">
        <v>-1</v>
      </c>
      <c r="AN1521" s="1014">
        <v>-1</v>
      </c>
      <c r="AO1521" s="1014">
        <v>-1</v>
      </c>
      <c r="AP1521" s="1014">
        <v>8.2644628099173278E-3</v>
      </c>
      <c r="AQ1521" s="1014">
        <v>8.2644628099173278E-3</v>
      </c>
      <c r="AR1521" s="1014">
        <v>-1</v>
      </c>
      <c r="AS1521" s="1014">
        <v>-1</v>
      </c>
      <c r="AT1521" s="1014">
        <v>8.2644628099173278E-3</v>
      </c>
      <c r="AU1521" s="1014">
        <v>8.2644628099173278E-3</v>
      </c>
      <c r="AV1521" s="1014">
        <f ca="1">_xlfn.XLOOKUP(A1417,TabCalc[Ticker],TabCalc[Imp150])</f>
        <v>8.2644628099173278E-3</v>
      </c>
      <c r="AX1521" s="88" t="str">
        <f t="shared" ca="1" si="115"/>
        <v>LNSR</v>
      </c>
    </row>
    <row r="1522" spans="1:50" hidden="1">
      <c r="A1522" s="88" t="str">
        <f t="shared" ca="1" si="118"/>
        <v>LUMN</v>
      </c>
      <c r="F1522" s="1014">
        <v>0.11111111111111116</v>
      </c>
      <c r="G1522" s="1014">
        <v>-1</v>
      </c>
      <c r="H1522" s="1014">
        <v>-1</v>
      </c>
      <c r="I1522" s="1014">
        <v>-1</v>
      </c>
      <c r="J1522" s="1014">
        <v>-1</v>
      </c>
      <c r="K1522" s="1014">
        <v>-1</v>
      </c>
      <c r="L1522" s="1014">
        <v>-1</v>
      </c>
      <c r="M1522" s="1014">
        <v>-1</v>
      </c>
      <c r="N1522" s="1014">
        <v>-1</v>
      </c>
      <c r="O1522" s="1014">
        <v>-1</v>
      </c>
      <c r="P1522" s="1014">
        <v>-1</v>
      </c>
      <c r="Q1522" s="1014">
        <v>-1</v>
      </c>
      <c r="R1522" s="1014">
        <v>-1</v>
      </c>
      <c r="S1522" s="1014">
        <v>-1</v>
      </c>
      <c r="T1522" s="1014">
        <v>-1</v>
      </c>
      <c r="U1522" s="1014">
        <v>-1</v>
      </c>
      <c r="V1522" s="1014">
        <v>-0.11111111111111116</v>
      </c>
      <c r="W1522" s="1014">
        <v>-0.11111111111111116</v>
      </c>
      <c r="X1522" s="1014">
        <v>-0.11111111111111116</v>
      </c>
      <c r="Y1522" s="1014">
        <v>-0.11111111111111116</v>
      </c>
      <c r="Z1522" s="1014">
        <f ca="1">_xlfn.XLOOKUP(A1418,TabCalc[Ticker],TabCalc[Imp20])</f>
        <v>-0.11111111111111116</v>
      </c>
      <c r="AB1522" s="1014">
        <v>8.1300813008129413E-3</v>
      </c>
      <c r="AC1522" s="1014">
        <v>-1</v>
      </c>
      <c r="AD1522" s="1014">
        <v>-1</v>
      </c>
      <c r="AE1522" s="1014">
        <v>-1</v>
      </c>
      <c r="AF1522" s="1014">
        <v>-1</v>
      </c>
      <c r="AG1522" s="1014">
        <v>-1</v>
      </c>
      <c r="AH1522" s="1014">
        <v>-1</v>
      </c>
      <c r="AI1522" s="1014">
        <v>-1</v>
      </c>
      <c r="AJ1522" s="1014">
        <v>-1</v>
      </c>
      <c r="AK1522" s="1014">
        <v>-1</v>
      </c>
      <c r="AL1522" s="1014">
        <v>-1</v>
      </c>
      <c r="AM1522" s="1014">
        <v>-1</v>
      </c>
      <c r="AN1522" s="1014">
        <v>-1</v>
      </c>
      <c r="AO1522" s="1014">
        <v>-1</v>
      </c>
      <c r="AP1522" s="1014">
        <v>-1</v>
      </c>
      <c r="AQ1522" s="1014">
        <v>-1</v>
      </c>
      <c r="AR1522" s="1014">
        <v>0.12621359223300965</v>
      </c>
      <c r="AS1522" s="1014">
        <v>0.12621359223300965</v>
      </c>
      <c r="AT1522" s="1014">
        <v>0.12621359223300965</v>
      </c>
      <c r="AU1522" s="1014">
        <v>0.12621359223300965</v>
      </c>
      <c r="AV1522" s="1014">
        <f ca="1">_xlfn.XLOOKUP(A1418,TabCalc[Ticker],TabCalc[Imp150])</f>
        <v>0.12621359223300965</v>
      </c>
      <c r="AX1522" s="88" t="str">
        <f t="shared" ca="1" si="115"/>
        <v>LUMN</v>
      </c>
    </row>
    <row r="1523" spans="1:50" hidden="1">
      <c r="A1523" s="88" t="str">
        <f t="shared" ca="1" si="118"/>
        <v>MRNA</v>
      </c>
      <c r="F1523" s="1014">
        <v>-1</v>
      </c>
      <c r="G1523" s="1014">
        <v>0.11111111111111116</v>
      </c>
      <c r="H1523" s="1014">
        <v>0.22222222222222232</v>
      </c>
      <c r="I1523" s="1014">
        <v>-1</v>
      </c>
      <c r="J1523" s="1014">
        <v>-1</v>
      </c>
      <c r="K1523" s="1014">
        <v>0.11111111111111116</v>
      </c>
      <c r="L1523" s="1014">
        <v>0.11111111111111116</v>
      </c>
      <c r="M1523" s="1014">
        <v>0.11111111111111116</v>
      </c>
      <c r="N1523" s="1014">
        <v>0.11111111111111116</v>
      </c>
      <c r="O1523" s="1014">
        <v>-1</v>
      </c>
      <c r="P1523" s="1014">
        <v>0.11111111111111116</v>
      </c>
      <c r="Q1523" s="1014">
        <v>0.11111111111111116</v>
      </c>
      <c r="R1523" s="1014">
        <v>-1</v>
      </c>
      <c r="S1523" s="1014">
        <v>-1</v>
      </c>
      <c r="T1523" s="1014">
        <v>-1</v>
      </c>
      <c r="U1523" s="1014">
        <v>-1</v>
      </c>
      <c r="V1523" s="1014">
        <v>-1</v>
      </c>
      <c r="W1523" s="1014">
        <v>-1</v>
      </c>
      <c r="X1523" s="1014">
        <v>-1</v>
      </c>
      <c r="Y1523" s="1014">
        <v>-0.14285714285714285</v>
      </c>
      <c r="Z1523" s="1014">
        <f ca="1">_xlfn.XLOOKUP(A1419,TabCalc[Ticker],TabCalc[Imp20])</f>
        <v>-0.14285714285714285</v>
      </c>
      <c r="AB1523" s="1014">
        <v>-1</v>
      </c>
      <c r="AC1523" s="1014">
        <v>2.4390243902439046E-2</v>
      </c>
      <c r="AD1523" s="1014">
        <v>4.0650406504065151E-2</v>
      </c>
      <c r="AE1523" s="1014">
        <v>-1</v>
      </c>
      <c r="AF1523" s="1014">
        <v>-1</v>
      </c>
      <c r="AG1523" s="1014">
        <v>6.4516129032258007E-2</v>
      </c>
      <c r="AH1523" s="1014">
        <v>7.3170731707317138E-2</v>
      </c>
      <c r="AI1523" s="1014">
        <v>7.3170731707317138E-2</v>
      </c>
      <c r="AJ1523" s="1014">
        <v>7.3170731707317138E-2</v>
      </c>
      <c r="AK1523" s="1014">
        <v>-1</v>
      </c>
      <c r="AL1523" s="1014">
        <v>0.11290322580645151</v>
      </c>
      <c r="AM1523" s="1014">
        <v>0.11290322580645151</v>
      </c>
      <c r="AN1523" s="1014">
        <v>-1</v>
      </c>
      <c r="AO1523" s="1014">
        <v>-1</v>
      </c>
      <c r="AP1523" s="1014">
        <v>-1</v>
      </c>
      <c r="AQ1523" s="1014">
        <v>0.13114754098360648</v>
      </c>
      <c r="AR1523" s="1014">
        <v>-1</v>
      </c>
      <c r="AS1523" s="1014">
        <v>-1</v>
      </c>
      <c r="AT1523" s="1014">
        <v>-1</v>
      </c>
      <c r="AU1523" s="1014">
        <v>0.10743801652892571</v>
      </c>
      <c r="AV1523" s="1014">
        <f ca="1">_xlfn.XLOOKUP(A1419,TabCalc[Ticker],TabCalc[Imp150])</f>
        <v>0.10743801652892571</v>
      </c>
      <c r="AX1523" s="88" t="str">
        <f t="shared" ca="1" si="115"/>
        <v>MRNA</v>
      </c>
    </row>
    <row r="1524" spans="1:50" hidden="1">
      <c r="A1524" s="88" t="str">
        <f t="shared" ca="1" si="118"/>
        <v>MSFT</v>
      </c>
      <c r="F1524" s="1014">
        <v>0.44444444444444442</v>
      </c>
      <c r="G1524" s="1014">
        <v>-1</v>
      </c>
      <c r="H1524" s="1014">
        <v>-1</v>
      </c>
      <c r="I1524" s="1014">
        <v>-1</v>
      </c>
      <c r="J1524" s="1014">
        <v>-1</v>
      </c>
      <c r="K1524" s="1014">
        <v>-0.19999999999999996</v>
      </c>
      <c r="L1524" s="1014">
        <v>-0.19999999999999996</v>
      </c>
      <c r="M1524" s="1014">
        <v>-0.19999999999999996</v>
      </c>
      <c r="N1524" s="1014">
        <v>-0.19999999999999996</v>
      </c>
      <c r="O1524" s="1014">
        <v>-1</v>
      </c>
      <c r="P1524" s="1014">
        <v>-1</v>
      </c>
      <c r="Q1524" s="1014">
        <v>-1</v>
      </c>
      <c r="R1524" s="1014">
        <v>-0.60000000000000009</v>
      </c>
      <c r="S1524" s="1014">
        <v>-0.60000000000000009</v>
      </c>
      <c r="T1524" s="1014">
        <v>-1</v>
      </c>
      <c r="U1524" s="1014">
        <v>-1</v>
      </c>
      <c r="V1524" s="1014">
        <v>-1</v>
      </c>
      <c r="W1524" s="1014">
        <v>-1</v>
      </c>
      <c r="X1524" s="1014">
        <v>-1</v>
      </c>
      <c r="Y1524" s="1014">
        <v>-1</v>
      </c>
      <c r="Z1524" s="1014">
        <f ca="1">_xlfn.XLOOKUP(A1420,TabCalc[Ticker],TabCalc[Imp20])</f>
        <v>-1</v>
      </c>
      <c r="AB1524" s="1014">
        <v>0.2592592592592593</v>
      </c>
      <c r="AC1524" s="1014">
        <v>-1</v>
      </c>
      <c r="AD1524" s="1014">
        <v>-1</v>
      </c>
      <c r="AE1524" s="1014">
        <v>-1</v>
      </c>
      <c r="AF1524" s="1014">
        <v>-1</v>
      </c>
      <c r="AG1524" s="1014">
        <v>-1.7543859649122862E-2</v>
      </c>
      <c r="AH1524" s="1014">
        <v>-1.7543859649122862E-2</v>
      </c>
      <c r="AI1524" s="1014">
        <v>-1.7543859649122862E-2</v>
      </c>
      <c r="AJ1524" s="1014">
        <v>-1.7543859649122862E-2</v>
      </c>
      <c r="AK1524" s="1014">
        <v>-1</v>
      </c>
      <c r="AL1524" s="1014">
        <v>-1</v>
      </c>
      <c r="AM1524" s="1014">
        <v>-1</v>
      </c>
      <c r="AN1524" s="1014">
        <v>9.009009009008917E-3</v>
      </c>
      <c r="AO1524" s="1014">
        <v>9.009009009008917E-3</v>
      </c>
      <c r="AP1524" s="1014">
        <v>-1</v>
      </c>
      <c r="AQ1524" s="1014">
        <v>-1</v>
      </c>
      <c r="AR1524" s="1014">
        <v>2.7027027027026973E-2</v>
      </c>
      <c r="AS1524" s="1014">
        <v>2.7027027027026973E-2</v>
      </c>
      <c r="AT1524" s="1014">
        <v>2.7027027027026973E-2</v>
      </c>
      <c r="AU1524" s="1014">
        <v>2.7027027027026973E-2</v>
      </c>
      <c r="AV1524" s="1014">
        <f ca="1">_xlfn.XLOOKUP(A1420,TabCalc[Ticker],TabCalc[Imp150])</f>
        <v>2.7027027027026973E-2</v>
      </c>
      <c r="AX1524" s="88" t="str">
        <f t="shared" ca="1" si="115"/>
        <v>MSFT</v>
      </c>
    </row>
    <row r="1525" spans="1:50" hidden="1">
      <c r="A1525" s="88" t="str">
        <f t="shared" ca="1" si="118"/>
        <v>NEE</v>
      </c>
      <c r="F1525" s="1014">
        <v>-1</v>
      </c>
      <c r="G1525" s="1014">
        <v>0.55555555555555558</v>
      </c>
      <c r="H1525" s="1014">
        <v>0.55555555555555558</v>
      </c>
      <c r="I1525" s="1014">
        <v>0.55555555555555558</v>
      </c>
      <c r="J1525" s="1014">
        <v>0.55555555555555558</v>
      </c>
      <c r="K1525" s="1014">
        <v>0.64705882352941169</v>
      </c>
      <c r="L1525" s="1014">
        <v>0.52941176470588225</v>
      </c>
      <c r="M1525" s="1014">
        <v>0.52941176470588225</v>
      </c>
      <c r="N1525" s="1014">
        <v>0.52941176470588225</v>
      </c>
      <c r="O1525" s="1014">
        <v>0.52941176470588225</v>
      </c>
      <c r="P1525" s="1014">
        <v>0.52941176470588225</v>
      </c>
      <c r="Q1525" s="1014">
        <v>-0.5</v>
      </c>
      <c r="R1525" s="1014">
        <v>-1</v>
      </c>
      <c r="S1525" s="1014">
        <v>0</v>
      </c>
      <c r="T1525" s="1014">
        <v>-1</v>
      </c>
      <c r="U1525" s="1014">
        <v>-1</v>
      </c>
      <c r="V1525" s="1014">
        <v>-1</v>
      </c>
      <c r="W1525" s="1014">
        <v>-1</v>
      </c>
      <c r="X1525" s="1014">
        <v>0.55555555555555558</v>
      </c>
      <c r="Y1525" s="1014">
        <v>-1</v>
      </c>
      <c r="Z1525" s="1014">
        <f ca="1">_xlfn.XLOOKUP(A1421,TabCalc[Ticker],TabCalc[Imp20])</f>
        <v>-1</v>
      </c>
      <c r="AB1525" s="1014">
        <v>-1</v>
      </c>
      <c r="AC1525" s="1014">
        <v>0.27407407407407414</v>
      </c>
      <c r="AD1525" s="1014">
        <v>0.27407407407407414</v>
      </c>
      <c r="AE1525" s="1014">
        <v>0.28888888888888897</v>
      </c>
      <c r="AF1525" s="1014">
        <v>0.28888888888888897</v>
      </c>
      <c r="AG1525" s="1014">
        <v>0.29850746268656714</v>
      </c>
      <c r="AH1525" s="1014">
        <v>0.28888888888888897</v>
      </c>
      <c r="AI1525" s="1014">
        <v>0.28888888888888897</v>
      </c>
      <c r="AJ1525" s="1014">
        <v>0.28888888888888897</v>
      </c>
      <c r="AK1525" s="1014">
        <v>0.29411764705882359</v>
      </c>
      <c r="AL1525" s="1014">
        <v>0.29411764705882359</v>
      </c>
      <c r="AM1525" s="1014">
        <v>0.30882352941176472</v>
      </c>
      <c r="AN1525" s="1014">
        <v>0.30882352941176472</v>
      </c>
      <c r="AO1525" s="1014">
        <v>0.30882352941176472</v>
      </c>
      <c r="AP1525" s="1014">
        <v>-1</v>
      </c>
      <c r="AQ1525" s="1014">
        <v>-1</v>
      </c>
      <c r="AR1525" s="1014">
        <v>-1</v>
      </c>
      <c r="AS1525" s="1014">
        <v>-1</v>
      </c>
      <c r="AT1525" s="1014">
        <v>0.27941176470588225</v>
      </c>
      <c r="AU1525" s="1014">
        <v>0.27407407407407414</v>
      </c>
      <c r="AV1525" s="1014">
        <f ca="1">_xlfn.XLOOKUP(A1421,TabCalc[Ticker],TabCalc[Imp150])</f>
        <v>0.27407407407407414</v>
      </c>
      <c r="AX1525" s="88" t="str">
        <f t="shared" ca="1" si="115"/>
        <v>NEE</v>
      </c>
    </row>
    <row r="1526" spans="1:50" hidden="1">
      <c r="A1526" s="88" t="str">
        <f t="shared" ca="1" si="118"/>
        <v>NEM</v>
      </c>
      <c r="F1526" s="1014">
        <v>-0.14285714285714285</v>
      </c>
      <c r="G1526" s="1014">
        <v>-1</v>
      </c>
      <c r="H1526" s="1014">
        <v>-1</v>
      </c>
      <c r="I1526" s="1014">
        <v>-0.4285714285714286</v>
      </c>
      <c r="J1526" s="1014">
        <v>-0.4285714285714286</v>
      </c>
      <c r="K1526" s="1014">
        <v>-0.4285714285714286</v>
      </c>
      <c r="L1526" s="1014">
        <v>-0.4285714285714286</v>
      </c>
      <c r="M1526" s="1014">
        <v>-0.4285714285714286</v>
      </c>
      <c r="N1526" s="1014">
        <v>-0.4285714285714286</v>
      </c>
      <c r="O1526" s="1014">
        <v>-0.14285714285714285</v>
      </c>
      <c r="P1526" s="1014">
        <v>-0.28571428571428564</v>
      </c>
      <c r="Q1526" s="1014">
        <v>-1</v>
      </c>
      <c r="R1526" s="1014">
        <v>0</v>
      </c>
      <c r="S1526" s="1014">
        <v>0</v>
      </c>
      <c r="T1526" s="1014">
        <v>-1</v>
      </c>
      <c r="U1526" s="1014">
        <v>-1</v>
      </c>
      <c r="V1526" s="1014">
        <v>-1</v>
      </c>
      <c r="W1526" s="1014">
        <v>-1</v>
      </c>
      <c r="X1526" s="1014">
        <v>-1</v>
      </c>
      <c r="Y1526" s="1014">
        <v>-0.14285714285714285</v>
      </c>
      <c r="Z1526" s="1014">
        <f ca="1">_xlfn.XLOOKUP(A1422,TabCalc[Ticker],TabCalc[Imp20])</f>
        <v>-0.14285714285714285</v>
      </c>
      <c r="AB1526" s="1014">
        <v>-5.9602649006622543E-2</v>
      </c>
      <c r="AC1526" s="1014">
        <v>-1</v>
      </c>
      <c r="AD1526" s="1014">
        <v>-1</v>
      </c>
      <c r="AE1526" s="1014">
        <v>-8.7719298245614086E-2</v>
      </c>
      <c r="AF1526" s="1014">
        <v>-8.7719298245614086E-2</v>
      </c>
      <c r="AG1526" s="1014">
        <v>-8.7719298245614086E-2</v>
      </c>
      <c r="AH1526" s="1014">
        <v>-8.7719298245614086E-2</v>
      </c>
      <c r="AI1526" s="1014">
        <v>-8.7719298245614086E-2</v>
      </c>
      <c r="AJ1526" s="1014">
        <v>-8.7719298245614086E-2</v>
      </c>
      <c r="AK1526" s="1014">
        <v>-7.9646017699115002E-2</v>
      </c>
      <c r="AL1526" s="1014">
        <v>-9.7345132743362817E-2</v>
      </c>
      <c r="AM1526" s="1014">
        <v>-1</v>
      </c>
      <c r="AN1526" s="1014">
        <v>-8.9285714285714357E-2</v>
      </c>
      <c r="AO1526" s="1014">
        <v>-8.9285714285714357E-2</v>
      </c>
      <c r="AP1526" s="1014">
        <v>-1</v>
      </c>
      <c r="AQ1526" s="1014">
        <v>-1</v>
      </c>
      <c r="AR1526" s="1014">
        <v>-1</v>
      </c>
      <c r="AS1526" s="1014">
        <v>-1</v>
      </c>
      <c r="AT1526" s="1014">
        <v>-1</v>
      </c>
      <c r="AU1526" s="1014">
        <v>-7.4074074074074014E-2</v>
      </c>
      <c r="AV1526" s="1014">
        <f ca="1">_xlfn.XLOOKUP(A1422,TabCalc[Ticker],TabCalc[Imp150])</f>
        <v>-7.4074074074074014E-2</v>
      </c>
      <c r="AX1526" s="88" t="str">
        <f t="shared" ca="1" si="115"/>
        <v>NEM</v>
      </c>
    </row>
    <row r="1527" spans="1:50" hidden="1">
      <c r="A1527" s="88" t="str">
        <f t="shared" ca="1" si="118"/>
        <v>NFLX</v>
      </c>
      <c r="F1527" s="1014">
        <v>-1</v>
      </c>
      <c r="G1527" s="1014">
        <v>-1</v>
      </c>
      <c r="H1527" s="1014">
        <v>-1</v>
      </c>
      <c r="I1527" s="1014">
        <v>-1</v>
      </c>
      <c r="J1527" s="1014">
        <v>-1</v>
      </c>
      <c r="K1527" s="1014">
        <v>-1</v>
      </c>
      <c r="L1527" s="1014">
        <v>-1</v>
      </c>
      <c r="M1527" s="1014">
        <v>-1</v>
      </c>
      <c r="N1527" s="1014">
        <v>-1</v>
      </c>
      <c r="O1527" s="1014">
        <v>-1</v>
      </c>
      <c r="P1527" s="1014">
        <v>-1</v>
      </c>
      <c r="Q1527" s="1014">
        <v>-1</v>
      </c>
      <c r="R1527" s="1014">
        <v>-1</v>
      </c>
      <c r="S1527" s="1014">
        <v>-1</v>
      </c>
      <c r="T1527" s="1014">
        <v>-1</v>
      </c>
      <c r="U1527" s="1014">
        <v>-1</v>
      </c>
      <c r="V1527" s="1014">
        <v>-1</v>
      </c>
      <c r="W1527" s="1014">
        <v>-1</v>
      </c>
      <c r="X1527" s="1014">
        <v>-1</v>
      </c>
      <c r="Y1527" s="1014">
        <v>-1</v>
      </c>
      <c r="Z1527" s="1014">
        <f ca="1">_xlfn.XLOOKUP(A1423,TabCalc[Ticker],TabCalc[Imp20])</f>
        <v>-1</v>
      </c>
      <c r="AB1527" s="1014">
        <v>-1</v>
      </c>
      <c r="AC1527" s="1014">
        <v>-1</v>
      </c>
      <c r="AD1527" s="1014">
        <v>-1</v>
      </c>
      <c r="AE1527" s="1014">
        <v>-1</v>
      </c>
      <c r="AF1527" s="1014">
        <v>-1</v>
      </c>
      <c r="AG1527" s="1014">
        <v>-1</v>
      </c>
      <c r="AH1527" s="1014">
        <v>-1</v>
      </c>
      <c r="AI1527" s="1014">
        <v>-1</v>
      </c>
      <c r="AJ1527" s="1014">
        <v>-1</v>
      </c>
      <c r="AK1527" s="1014">
        <v>-1</v>
      </c>
      <c r="AL1527" s="1014">
        <v>-1</v>
      </c>
      <c r="AM1527" s="1014">
        <v>-1</v>
      </c>
      <c r="AN1527" s="1014">
        <v>-1</v>
      </c>
      <c r="AO1527" s="1014">
        <v>-1</v>
      </c>
      <c r="AP1527" s="1014">
        <v>-1</v>
      </c>
      <c r="AQ1527" s="1014">
        <v>-1</v>
      </c>
      <c r="AR1527" s="1014">
        <v>-1</v>
      </c>
      <c r="AS1527" s="1014">
        <v>-1</v>
      </c>
      <c r="AT1527" s="1014">
        <v>-1</v>
      </c>
      <c r="AU1527" s="1014">
        <v>-1</v>
      </c>
      <c r="AV1527" s="1014">
        <f ca="1">_xlfn.XLOOKUP(A1423,TabCalc[Ticker],TabCalc[Imp150])</f>
        <v>-1</v>
      </c>
      <c r="AX1527" s="88" t="str">
        <f t="shared" ca="1" si="115"/>
        <v>NFLX</v>
      </c>
    </row>
    <row r="1528" spans="1:50" hidden="1">
      <c r="A1528" s="88" t="str">
        <f t="shared" ca="1" si="118"/>
        <v>NOTE</v>
      </c>
      <c r="F1528" s="1014">
        <v>-0.11111111111111116</v>
      </c>
      <c r="G1528" s="1014">
        <v>-1</v>
      </c>
      <c r="H1528" s="1014">
        <v>-1</v>
      </c>
      <c r="I1528" s="1014">
        <v>-0.14285714285714285</v>
      </c>
      <c r="J1528" s="1014">
        <v>-0.14285714285714285</v>
      </c>
      <c r="K1528" s="1014">
        <v>-1</v>
      </c>
      <c r="L1528" s="1014">
        <v>-1</v>
      </c>
      <c r="M1528" s="1014">
        <v>-4.7619047619047672E-2</v>
      </c>
      <c r="N1528" s="1014">
        <v>-4.7619047619047672E-2</v>
      </c>
      <c r="O1528" s="1014">
        <v>-4.7619047619047672E-2</v>
      </c>
      <c r="P1528" s="1014">
        <v>-4.7619047619047672E-2</v>
      </c>
      <c r="Q1528" s="1014">
        <v>-4.7619047619047672E-2</v>
      </c>
      <c r="R1528" s="1014">
        <v>-1</v>
      </c>
      <c r="S1528" s="1014">
        <v>-1</v>
      </c>
      <c r="T1528" s="1014">
        <v>-1</v>
      </c>
      <c r="U1528" s="1014">
        <v>-1</v>
      </c>
      <c r="V1528" s="1014">
        <v>-1</v>
      </c>
      <c r="W1528" s="1014">
        <v>-1</v>
      </c>
      <c r="X1528" s="1014">
        <v>-1</v>
      </c>
      <c r="Y1528" s="1014">
        <v>-1</v>
      </c>
      <c r="Z1528" s="1014">
        <f ca="1">_xlfn.XLOOKUP(A1424,TabCalc[Ticker],TabCalc[Imp20])</f>
        <v>-1</v>
      </c>
      <c r="AB1528" s="1014">
        <v>-0.10144927536231885</v>
      </c>
      <c r="AC1528" s="1014">
        <v>-1</v>
      </c>
      <c r="AD1528" s="1014">
        <v>-1</v>
      </c>
      <c r="AE1528" s="1014">
        <v>-0.10447761194029853</v>
      </c>
      <c r="AF1528" s="1014">
        <v>-0.10447761194029853</v>
      </c>
      <c r="AG1528" s="1014">
        <v>-1</v>
      </c>
      <c r="AH1528" s="1014">
        <v>-1</v>
      </c>
      <c r="AI1528" s="1014">
        <v>-9.6296296296296324E-2</v>
      </c>
      <c r="AJ1528" s="1014">
        <v>-9.6296296296296324E-2</v>
      </c>
      <c r="AK1528" s="1014">
        <v>-9.6296296296296324E-2</v>
      </c>
      <c r="AL1528" s="1014">
        <v>-9.6296296296296324E-2</v>
      </c>
      <c r="AM1528" s="1014">
        <v>-9.6296296296296324E-2</v>
      </c>
      <c r="AN1528" s="1014">
        <v>-1</v>
      </c>
      <c r="AO1528" s="1014">
        <v>-1</v>
      </c>
      <c r="AP1528" s="1014">
        <v>-1</v>
      </c>
      <c r="AQ1528" s="1014">
        <v>-1</v>
      </c>
      <c r="AR1528" s="1014">
        <v>-0.10447761194029853</v>
      </c>
      <c r="AS1528" s="1014">
        <v>-0.10447761194029853</v>
      </c>
      <c r="AT1528" s="1014">
        <v>-0.10447761194029853</v>
      </c>
      <c r="AU1528" s="1014">
        <v>-0.10447761194029853</v>
      </c>
      <c r="AV1528" s="1014">
        <f ca="1">_xlfn.XLOOKUP(A1424,TabCalc[Ticker],TabCalc[Imp150])</f>
        <v>-0.10447761194029853</v>
      </c>
      <c r="AX1528" s="88" t="str">
        <f t="shared" ca="1" si="115"/>
        <v>NOTE</v>
      </c>
    </row>
    <row r="1529" spans="1:50" hidden="1">
      <c r="A1529" s="88" t="str">
        <f t="shared" ca="1" si="118"/>
        <v>PAAS</v>
      </c>
      <c r="F1529" s="1014">
        <v>-1</v>
      </c>
      <c r="G1529" s="1014">
        <v>-1</v>
      </c>
      <c r="H1529" s="1014">
        <v>-1</v>
      </c>
      <c r="I1529" s="1014">
        <v>-1</v>
      </c>
      <c r="J1529" s="1014">
        <v>-1</v>
      </c>
      <c r="K1529" s="1014">
        <v>-1</v>
      </c>
      <c r="L1529" s="1014">
        <v>-1</v>
      </c>
      <c r="M1529" s="1014">
        <v>-1</v>
      </c>
      <c r="N1529" s="1014">
        <v>-1</v>
      </c>
      <c r="O1529" s="1014">
        <v>0.22222222222222232</v>
      </c>
      <c r="P1529" s="1014">
        <v>0.22222222222222232</v>
      </c>
      <c r="Q1529" s="1014">
        <v>0.22222222222222232</v>
      </c>
      <c r="R1529" s="1014">
        <v>1</v>
      </c>
      <c r="S1529" s="1014">
        <v>1</v>
      </c>
      <c r="T1529" s="1014">
        <v>-1</v>
      </c>
      <c r="U1529" s="1014">
        <v>-1</v>
      </c>
      <c r="V1529" s="1014">
        <v>-0.14285714285714285</v>
      </c>
      <c r="W1529" s="1014">
        <v>-0.14285714285714285</v>
      </c>
      <c r="X1529" s="1014">
        <v>-0.14285714285714285</v>
      </c>
      <c r="Y1529" s="1014">
        <v>-0.14285714285714285</v>
      </c>
      <c r="Z1529" s="1014">
        <f ca="1">_xlfn.XLOOKUP(A1425,TabCalc[Ticker],TabCalc[Imp20])</f>
        <v>-0.14285714285714285</v>
      </c>
      <c r="AB1529" s="1014">
        <v>-1</v>
      </c>
      <c r="AC1529" s="1014">
        <v>-1</v>
      </c>
      <c r="AD1529" s="1014">
        <v>-1</v>
      </c>
      <c r="AE1529" s="1014">
        <v>-1</v>
      </c>
      <c r="AF1529" s="1014">
        <v>-1</v>
      </c>
      <c r="AG1529" s="1014">
        <v>-1</v>
      </c>
      <c r="AH1529" s="1014">
        <v>-1</v>
      </c>
      <c r="AI1529" s="1014">
        <v>-1</v>
      </c>
      <c r="AJ1529" s="1014">
        <v>-1</v>
      </c>
      <c r="AK1529" s="1014">
        <v>-7.9136690647481966E-2</v>
      </c>
      <c r="AL1529" s="1014">
        <v>-7.9136690647481966E-2</v>
      </c>
      <c r="AM1529" s="1014">
        <v>-7.9136690647481966E-2</v>
      </c>
      <c r="AN1529" s="1014">
        <v>-8.6956521739130432E-2</v>
      </c>
      <c r="AO1529" s="1014">
        <v>-8.6956521739130432E-2</v>
      </c>
      <c r="AP1529" s="1014">
        <v>-1</v>
      </c>
      <c r="AQ1529" s="1014">
        <v>-1</v>
      </c>
      <c r="AR1529" s="1014">
        <v>-9.3525179856115026E-2</v>
      </c>
      <c r="AS1529" s="1014">
        <v>-9.3525179856115026E-2</v>
      </c>
      <c r="AT1529" s="1014">
        <v>-9.3525179856115026E-2</v>
      </c>
      <c r="AU1529" s="1014">
        <v>-9.3525179856115026E-2</v>
      </c>
      <c r="AV1529" s="1014">
        <f ca="1">_xlfn.XLOOKUP(A1425,TabCalc[Ticker],TabCalc[Imp150])</f>
        <v>-9.3525179856115026E-2</v>
      </c>
      <c r="AX1529" s="88" t="str">
        <f t="shared" ca="1" si="115"/>
        <v>PAAS</v>
      </c>
    </row>
    <row r="1530" spans="1:50" hidden="1">
      <c r="A1530" s="88" t="str">
        <f t="shared" ca="1" si="118"/>
        <v>PROF</v>
      </c>
      <c r="F1530" s="1014">
        <v>-4.7619047619047672E-2</v>
      </c>
      <c r="G1530" s="1014">
        <v>-1</v>
      </c>
      <c r="H1530" s="1014">
        <v>0.23076923076923084</v>
      </c>
      <c r="I1530" s="1014">
        <v>-1</v>
      </c>
      <c r="J1530" s="1014">
        <v>-1</v>
      </c>
      <c r="K1530" s="1014">
        <v>0.23076923076923084</v>
      </c>
      <c r="L1530" s="1014">
        <v>0.23076923076923084</v>
      </c>
      <c r="M1530" s="1014">
        <v>0.23076923076923084</v>
      </c>
      <c r="N1530" s="1014">
        <v>0.23076923076923084</v>
      </c>
      <c r="O1530" s="1014">
        <v>0.23076923076923084</v>
      </c>
      <c r="P1530" s="1014">
        <v>0.23076923076923084</v>
      </c>
      <c r="Q1530" s="1014">
        <v>0.23076923076923084</v>
      </c>
      <c r="R1530" s="1014">
        <v>-0.33333333333333343</v>
      </c>
      <c r="S1530" s="1014">
        <v>-0.33333333333333343</v>
      </c>
      <c r="T1530" s="1014">
        <v>-1</v>
      </c>
      <c r="U1530" s="1014">
        <v>-1</v>
      </c>
      <c r="V1530" s="1014">
        <v>-1</v>
      </c>
      <c r="W1530" s="1014">
        <v>-1</v>
      </c>
      <c r="X1530" s="1014">
        <v>-1</v>
      </c>
      <c r="Y1530" s="1014">
        <v>0</v>
      </c>
      <c r="Z1530" s="1014">
        <f ca="1">_xlfn.XLOOKUP(A1426,TabCalc[Ticker],TabCalc[Imp20])</f>
        <v>0</v>
      </c>
      <c r="AB1530" s="1014">
        <v>3.3112582781456901E-2</v>
      </c>
      <c r="AC1530" s="1014">
        <v>-1</v>
      </c>
      <c r="AD1530" s="1014">
        <v>8.5106382978723305E-2</v>
      </c>
      <c r="AE1530" s="1014">
        <v>-1</v>
      </c>
      <c r="AF1530" s="1014">
        <v>-1</v>
      </c>
      <c r="AG1530" s="1014">
        <v>9.6774193548387011E-2</v>
      </c>
      <c r="AH1530" s="1014">
        <v>9.6774193548387011E-2</v>
      </c>
      <c r="AI1530" s="1014">
        <v>9.6774193548387011E-2</v>
      </c>
      <c r="AJ1530" s="1014">
        <v>9.6774193548387011E-2</v>
      </c>
      <c r="AK1530" s="1014">
        <v>9.6774193548387011E-2</v>
      </c>
      <c r="AL1530" s="1014">
        <v>9.6774193548387011E-2</v>
      </c>
      <c r="AM1530" s="1014">
        <v>9.6774193548387011E-2</v>
      </c>
      <c r="AN1530" s="1014">
        <v>0.12087912087912089</v>
      </c>
      <c r="AO1530" s="1014">
        <v>0.12087912087912089</v>
      </c>
      <c r="AP1530" s="1014">
        <v>-1</v>
      </c>
      <c r="AQ1530" s="1014">
        <v>-1</v>
      </c>
      <c r="AR1530" s="1014">
        <v>-1</v>
      </c>
      <c r="AS1530" s="1014">
        <v>-1</v>
      </c>
      <c r="AT1530" s="1014">
        <v>-1</v>
      </c>
      <c r="AU1530" s="1014">
        <v>0.13636363636363646</v>
      </c>
      <c r="AV1530" s="1014">
        <f ca="1">_xlfn.XLOOKUP(A1426,TabCalc[Ticker],TabCalc[Imp150])</f>
        <v>0.13636363636363646</v>
      </c>
      <c r="AX1530" s="88" t="str">
        <f t="shared" ca="1" si="115"/>
        <v>PROF</v>
      </c>
    </row>
    <row r="1531" spans="1:50" hidden="1">
      <c r="A1531" s="88" t="str">
        <f t="shared" ca="1" si="118"/>
        <v>POET</v>
      </c>
      <c r="F1531" s="1014">
        <v>0.23809523809523814</v>
      </c>
      <c r="G1531" s="1014">
        <v>-1</v>
      </c>
      <c r="H1531" s="1014">
        <v>0.23076923076923084</v>
      </c>
      <c r="I1531" s="1014">
        <v>0.23076923076923084</v>
      </c>
      <c r="J1531" s="1014">
        <v>0.23076923076923084</v>
      </c>
      <c r="K1531" s="1014">
        <v>0.4285714285714286</v>
      </c>
      <c r="L1531" s="1014">
        <v>0.4285714285714286</v>
      </c>
      <c r="M1531" s="1014">
        <v>0.4285714285714286</v>
      </c>
      <c r="N1531" s="1014">
        <v>0.4285714285714286</v>
      </c>
      <c r="O1531" s="1014">
        <v>0.4285714285714286</v>
      </c>
      <c r="P1531" s="1014">
        <v>0</v>
      </c>
      <c r="Q1531" s="1014">
        <v>0</v>
      </c>
      <c r="R1531" s="1014">
        <v>-9.0909090909090884E-2</v>
      </c>
      <c r="S1531" s="1014">
        <v>-9.0909090909090884E-2</v>
      </c>
      <c r="T1531" s="1014">
        <v>-1</v>
      </c>
      <c r="U1531" s="1014">
        <v>-1</v>
      </c>
      <c r="V1531" s="1014">
        <v>-1</v>
      </c>
      <c r="W1531" s="1014">
        <v>-1</v>
      </c>
      <c r="X1531" s="1014">
        <v>-1</v>
      </c>
      <c r="Y1531" s="1014">
        <v>-1</v>
      </c>
      <c r="Z1531" s="1014">
        <f ca="1">_xlfn.XLOOKUP(A1427,TabCalc[Ticker],TabCalc[Imp20])</f>
        <v>-1</v>
      </c>
      <c r="AB1531" s="1014">
        <v>0.15231788079470188</v>
      </c>
      <c r="AC1531" s="1014">
        <v>-1</v>
      </c>
      <c r="AD1531" s="1014">
        <v>8.1081081081081141E-2</v>
      </c>
      <c r="AE1531" s="1014">
        <v>8.1081081081081141E-2</v>
      </c>
      <c r="AF1531" s="1014">
        <v>8.1081081081081141E-2</v>
      </c>
      <c r="AG1531" s="1014">
        <v>8.9285714285714191E-2</v>
      </c>
      <c r="AH1531" s="1014">
        <v>8.9285714285714191E-2</v>
      </c>
      <c r="AI1531" s="1014">
        <v>8.9285714285714191E-2</v>
      </c>
      <c r="AJ1531" s="1014">
        <v>8.9285714285714191E-2</v>
      </c>
      <c r="AK1531" s="1014">
        <v>8.9285714285714191E-2</v>
      </c>
      <c r="AL1531" s="1014">
        <v>0.1272727272727272</v>
      </c>
      <c r="AM1531" s="1014">
        <v>0.1272727272727272</v>
      </c>
      <c r="AN1531" s="1014">
        <v>0.13761467889908263</v>
      </c>
      <c r="AO1531" s="1014">
        <v>0.13761467889908263</v>
      </c>
      <c r="AP1531" s="1014">
        <v>-1</v>
      </c>
      <c r="AQ1531" s="1014">
        <v>-1</v>
      </c>
      <c r="AR1531" s="1014">
        <v>-1</v>
      </c>
      <c r="AS1531" s="1014">
        <v>-1</v>
      </c>
      <c r="AT1531" s="1014">
        <v>-1</v>
      </c>
      <c r="AU1531" s="1014">
        <v>-1</v>
      </c>
      <c r="AV1531" s="1014">
        <f ca="1">_xlfn.XLOOKUP(A1427,TabCalc[Ticker],TabCalc[Imp150])</f>
        <v>-1</v>
      </c>
      <c r="AX1531" s="88" t="str">
        <f t="shared" ca="1" si="115"/>
        <v>POET</v>
      </c>
    </row>
    <row r="1532" spans="1:50" hidden="1">
      <c r="A1532" s="88" t="str">
        <f t="shared" ca="1" si="118"/>
        <v>PW</v>
      </c>
      <c r="F1532" s="1014">
        <v>-1</v>
      </c>
      <c r="G1532" s="1014">
        <v>-1</v>
      </c>
      <c r="H1532" s="1014">
        <v>0.14285714285714279</v>
      </c>
      <c r="I1532" s="1014">
        <v>-1</v>
      </c>
      <c r="J1532" s="1014">
        <v>-1</v>
      </c>
      <c r="K1532" s="1014">
        <v>-1</v>
      </c>
      <c r="L1532" s="1014">
        <v>-1</v>
      </c>
      <c r="M1532" s="1014">
        <v>-1</v>
      </c>
      <c r="N1532" s="1014">
        <v>-1</v>
      </c>
      <c r="O1532" s="1014">
        <v>-1</v>
      </c>
      <c r="P1532" s="1014">
        <v>-1</v>
      </c>
      <c r="Q1532" s="1014">
        <v>0.11111111111111116</v>
      </c>
      <c r="R1532" s="1014">
        <v>-0.25</v>
      </c>
      <c r="S1532" s="1014">
        <v>-1</v>
      </c>
      <c r="T1532" s="1014">
        <v>-1</v>
      </c>
      <c r="U1532" s="1014">
        <v>-0.19999999999999996</v>
      </c>
      <c r="V1532" s="1014">
        <v>-1</v>
      </c>
      <c r="W1532" s="1014">
        <v>-1</v>
      </c>
      <c r="X1532" s="1014">
        <v>-0.33333333333333343</v>
      </c>
      <c r="Y1532" s="1014">
        <v>-0.33333333333333343</v>
      </c>
      <c r="Z1532" s="1014">
        <f ca="1">_xlfn.XLOOKUP(A1428,TabCalc[Ticker],TabCalc[Imp20])</f>
        <v>-0.33333333333333343</v>
      </c>
      <c r="AB1532" s="1014">
        <v>-1</v>
      </c>
      <c r="AC1532" s="1014">
        <v>-1</v>
      </c>
      <c r="AD1532" s="1014">
        <v>0.23364485981308403</v>
      </c>
      <c r="AE1532" s="1014">
        <v>-1</v>
      </c>
      <c r="AF1532" s="1014">
        <v>-1</v>
      </c>
      <c r="AG1532" s="1014">
        <v>-1</v>
      </c>
      <c r="AH1532" s="1014">
        <v>-1</v>
      </c>
      <c r="AI1532" s="1014">
        <v>-1</v>
      </c>
      <c r="AJ1532" s="1014">
        <v>-1</v>
      </c>
      <c r="AK1532" s="1014">
        <v>-1</v>
      </c>
      <c r="AL1532" s="1014">
        <v>-1</v>
      </c>
      <c r="AM1532" s="1014">
        <v>0.27777777777777768</v>
      </c>
      <c r="AN1532" s="1014">
        <v>0.27777777777777768</v>
      </c>
      <c r="AO1532" s="1014">
        <v>-1</v>
      </c>
      <c r="AP1532" s="1014">
        <v>-1</v>
      </c>
      <c r="AQ1532" s="1014">
        <v>0.26605504587155959</v>
      </c>
      <c r="AR1532" s="1014">
        <v>-1</v>
      </c>
      <c r="AS1532" s="1014">
        <v>-1</v>
      </c>
      <c r="AT1532" s="1014">
        <v>0.24770642201834869</v>
      </c>
      <c r="AU1532" s="1014">
        <v>0.24770642201834869</v>
      </c>
      <c r="AV1532" s="1014">
        <f ca="1">_xlfn.XLOOKUP(A1428,TabCalc[Ticker],TabCalc[Imp150])</f>
        <v>0.24770642201834869</v>
      </c>
      <c r="AX1532" s="88" t="str">
        <f t="shared" ca="1" si="115"/>
        <v>PW</v>
      </c>
    </row>
    <row r="1533" spans="1:50" hidden="1">
      <c r="A1533" s="88" t="str">
        <f t="shared" ca="1" si="118"/>
        <v>RIGL</v>
      </c>
      <c r="F1533" s="1014">
        <v>-0.19999999999999996</v>
      </c>
      <c r="G1533" s="1014">
        <v>-1</v>
      </c>
      <c r="H1533" s="1014">
        <v>-1</v>
      </c>
      <c r="I1533" s="1014">
        <v>-1</v>
      </c>
      <c r="J1533" s="1014">
        <v>-1</v>
      </c>
      <c r="K1533" s="1014">
        <v>-1</v>
      </c>
      <c r="L1533" s="1014">
        <v>-1</v>
      </c>
      <c r="M1533" s="1014">
        <v>-1</v>
      </c>
      <c r="N1533" s="1014">
        <v>-1</v>
      </c>
      <c r="O1533" s="1014">
        <v>-1</v>
      </c>
      <c r="P1533" s="1014">
        <v>-1</v>
      </c>
      <c r="Q1533" s="1014">
        <v>-1</v>
      </c>
      <c r="R1533" s="1014">
        <v>-1</v>
      </c>
      <c r="S1533" s="1014">
        <v>-1</v>
      </c>
      <c r="T1533" s="1014">
        <v>-1</v>
      </c>
      <c r="U1533" s="1014">
        <v>-1</v>
      </c>
      <c r="V1533" s="1014">
        <v>-1</v>
      </c>
      <c r="W1533" s="1014">
        <v>-1</v>
      </c>
      <c r="X1533" s="1014">
        <v>0</v>
      </c>
      <c r="Y1533" s="1014">
        <v>0.33333333333333326</v>
      </c>
      <c r="Z1533" s="1014">
        <f ca="1">_xlfn.XLOOKUP(A1429,TabCalc[Ticker],TabCalc[Imp20])</f>
        <v>0.33333333333333326</v>
      </c>
      <c r="AB1533" s="1014">
        <v>-0.12857142857142856</v>
      </c>
      <c r="AC1533" s="1014">
        <v>-1</v>
      </c>
      <c r="AD1533" s="1014">
        <v>-1</v>
      </c>
      <c r="AE1533" s="1014">
        <v>-1</v>
      </c>
      <c r="AF1533" s="1014">
        <v>-1</v>
      </c>
      <c r="AG1533" s="1014">
        <v>-1</v>
      </c>
      <c r="AH1533" s="1014">
        <v>-1</v>
      </c>
      <c r="AI1533" s="1014">
        <v>-1</v>
      </c>
      <c r="AJ1533" s="1014">
        <v>-1</v>
      </c>
      <c r="AK1533" s="1014">
        <v>-1</v>
      </c>
      <c r="AL1533" s="1014">
        <v>-1</v>
      </c>
      <c r="AM1533" s="1014">
        <v>-1</v>
      </c>
      <c r="AN1533" s="1014">
        <v>-1</v>
      </c>
      <c r="AO1533" s="1014">
        <v>-1</v>
      </c>
      <c r="AP1533" s="1014">
        <v>-1</v>
      </c>
      <c r="AQ1533" s="1014">
        <v>-1</v>
      </c>
      <c r="AR1533" s="1014">
        <v>-1</v>
      </c>
      <c r="AS1533" s="1014">
        <v>-1</v>
      </c>
      <c r="AT1533" s="1014">
        <v>0.18181818181818188</v>
      </c>
      <c r="AU1533" s="1014">
        <v>0.17431192660550465</v>
      </c>
      <c r="AV1533" s="1014">
        <f ca="1">_xlfn.XLOOKUP(A1429,TabCalc[Ticker],TabCalc[Imp150])</f>
        <v>0.17431192660550465</v>
      </c>
      <c r="AX1533" s="88" t="str">
        <f t="shared" ca="1" si="115"/>
        <v>RIGL</v>
      </c>
    </row>
    <row r="1534" spans="1:50" hidden="1">
      <c r="A1534" s="88" t="str">
        <f t="shared" ca="1" si="118"/>
        <v>RWE</v>
      </c>
      <c r="F1534" s="1014">
        <v>0.33333333333333326</v>
      </c>
      <c r="G1534" s="1014">
        <v>-1</v>
      </c>
      <c r="H1534" s="1014">
        <v>-1</v>
      </c>
      <c r="I1534" s="1014">
        <v>-1</v>
      </c>
      <c r="J1534" s="1014">
        <v>-1</v>
      </c>
      <c r="K1534" s="1014">
        <v>-1</v>
      </c>
      <c r="L1534" s="1014">
        <v>-1</v>
      </c>
      <c r="M1534" s="1014">
        <v>-5.2631578947368529E-2</v>
      </c>
      <c r="N1534" s="1014">
        <v>-5.2631578947368529E-2</v>
      </c>
      <c r="O1534" s="1014">
        <v>-0.15789473684210531</v>
      </c>
      <c r="P1534" s="1014">
        <v>-0.15789473684210531</v>
      </c>
      <c r="Q1534" s="1014">
        <v>-0.41176470588235287</v>
      </c>
      <c r="R1534" s="1014">
        <v>-1</v>
      </c>
      <c r="S1534" s="1014">
        <v>-1</v>
      </c>
      <c r="T1534" s="1014">
        <v>-1</v>
      </c>
      <c r="U1534" s="1014">
        <v>-1</v>
      </c>
      <c r="V1534" s="1014">
        <v>9.0909090909090828E-2</v>
      </c>
      <c r="W1534" s="1014">
        <v>9.0909090909090828E-2</v>
      </c>
      <c r="X1534" s="1014">
        <v>9.0909090909090828E-2</v>
      </c>
      <c r="Y1534" s="1014">
        <v>9.0909090909090828E-2</v>
      </c>
      <c r="Z1534" s="1014">
        <f ca="1">_xlfn.XLOOKUP(A1430,TabCalc[Ticker],TabCalc[Imp20])</f>
        <v>9.0909090909090828E-2</v>
      </c>
      <c r="AB1534" s="1014">
        <v>0.18399999999999994</v>
      </c>
      <c r="AC1534" s="1014">
        <v>-1</v>
      </c>
      <c r="AD1534" s="1014">
        <v>-1</v>
      </c>
      <c r="AE1534" s="1014">
        <v>-1</v>
      </c>
      <c r="AF1534" s="1014">
        <v>-1</v>
      </c>
      <c r="AG1534" s="1014">
        <v>-1</v>
      </c>
      <c r="AH1534" s="1014">
        <v>-1</v>
      </c>
      <c r="AI1534" s="1014">
        <v>-9.3525179856115026E-2</v>
      </c>
      <c r="AJ1534" s="1014">
        <v>-9.3525179856115026E-2</v>
      </c>
      <c r="AK1534" s="1014">
        <v>-0.10000000000000003</v>
      </c>
      <c r="AL1534" s="1014">
        <v>-0.10000000000000003</v>
      </c>
      <c r="AM1534" s="1014">
        <v>-0.10000000000000003</v>
      </c>
      <c r="AN1534" s="1014">
        <v>-1</v>
      </c>
      <c r="AO1534" s="1014">
        <v>-1</v>
      </c>
      <c r="AP1534" s="1014">
        <v>-1</v>
      </c>
      <c r="AQ1534" s="1014">
        <v>-1</v>
      </c>
      <c r="AR1534" s="1014">
        <v>-0.10000000000000003</v>
      </c>
      <c r="AS1534" s="1014">
        <v>-0.10000000000000003</v>
      </c>
      <c r="AT1534" s="1014">
        <v>-0.10000000000000003</v>
      </c>
      <c r="AU1534" s="1014">
        <v>-0.10000000000000003</v>
      </c>
      <c r="AV1534" s="1014">
        <f ca="1">_xlfn.XLOOKUP(A1430,TabCalc[Ticker],TabCalc[Imp150])</f>
        <v>-0.10000000000000003</v>
      </c>
      <c r="AX1534" s="88" t="str">
        <f t="shared" ca="1" si="115"/>
        <v>RWE</v>
      </c>
    </row>
    <row r="1535" spans="1:50" hidden="1">
      <c r="A1535" s="88" t="str">
        <f t="shared" ca="1" si="118"/>
        <v>SAP</v>
      </c>
      <c r="F1535" s="1014">
        <v>-0.14285714285714285</v>
      </c>
      <c r="G1535" s="1014">
        <v>-1</v>
      </c>
      <c r="H1535" s="1014">
        <v>-1</v>
      </c>
      <c r="I1535" s="1014">
        <v>0.33333333333333326</v>
      </c>
      <c r="J1535" s="1014">
        <v>0.33333333333333326</v>
      </c>
      <c r="K1535" s="1014">
        <v>0.33333333333333326</v>
      </c>
      <c r="L1535" s="1014">
        <v>0.33333333333333326</v>
      </c>
      <c r="M1535" s="1014">
        <v>0.33333333333333326</v>
      </c>
      <c r="N1535" s="1014">
        <v>0.33333333333333326</v>
      </c>
      <c r="O1535" s="1014">
        <v>0.33333333333333326</v>
      </c>
      <c r="P1535" s="1014">
        <v>0.33333333333333326</v>
      </c>
      <c r="Q1535" s="1014">
        <v>0.33333333333333326</v>
      </c>
      <c r="R1535" s="1014">
        <v>6.6666666666666652E-2</v>
      </c>
      <c r="S1535" s="1014">
        <v>6.6666666666666652E-2</v>
      </c>
      <c r="T1535" s="1014">
        <v>0.33333333333333326</v>
      </c>
      <c r="U1535" s="1014">
        <v>0.125</v>
      </c>
      <c r="V1535" s="1014">
        <v>-1</v>
      </c>
      <c r="W1535" s="1014">
        <v>-1</v>
      </c>
      <c r="X1535" s="1014">
        <v>5.8823529411764719E-2</v>
      </c>
      <c r="Y1535" s="1014">
        <v>-0.38461538461538458</v>
      </c>
      <c r="Z1535" s="1014">
        <f ca="1">_xlfn.XLOOKUP(A1431,TabCalc[Ticker],TabCalc[Imp20])</f>
        <v>-0.38461538461538458</v>
      </c>
      <c r="AB1535" s="1014">
        <v>-7.2847682119205392E-2</v>
      </c>
      <c r="AC1535" s="1014">
        <v>-1</v>
      </c>
      <c r="AD1535" s="1014">
        <v>-1</v>
      </c>
      <c r="AE1535" s="1014">
        <v>0.20967741935483875</v>
      </c>
      <c r="AF1535" s="1014">
        <v>0.20967741935483875</v>
      </c>
      <c r="AG1535" s="1014">
        <v>0.20967741935483875</v>
      </c>
      <c r="AH1535" s="1014">
        <v>0.20967741935483875</v>
      </c>
      <c r="AI1535" s="1014">
        <v>0.20967741935483875</v>
      </c>
      <c r="AJ1535" s="1014">
        <v>0.20967741935483875</v>
      </c>
      <c r="AK1535" s="1014">
        <v>0.20967741935483875</v>
      </c>
      <c r="AL1535" s="1014">
        <v>0.20967741935483875</v>
      </c>
      <c r="AM1535" s="1014">
        <v>0.20967741935483875</v>
      </c>
      <c r="AN1535" s="1014">
        <v>0.21951219512195119</v>
      </c>
      <c r="AO1535" s="1014">
        <v>0.21951219512195119</v>
      </c>
      <c r="AP1535" s="1014">
        <v>0.20325203252032531</v>
      </c>
      <c r="AQ1535" s="1014">
        <v>0.20325203252032531</v>
      </c>
      <c r="AR1535" s="1014">
        <v>-1</v>
      </c>
      <c r="AS1535" s="1014">
        <v>-1</v>
      </c>
      <c r="AT1535" s="1014">
        <v>0.19354838709677424</v>
      </c>
      <c r="AU1535" s="1014">
        <v>0.19999999999999996</v>
      </c>
      <c r="AV1535" s="1014">
        <f ca="1">_xlfn.XLOOKUP(A1431,TabCalc[Ticker],TabCalc[Imp150])</f>
        <v>0.19999999999999996</v>
      </c>
      <c r="AX1535" s="88" t="str">
        <f t="shared" ca="1" si="115"/>
        <v>SAP</v>
      </c>
    </row>
    <row r="1536" spans="1:50" hidden="1">
      <c r="A1536" s="88" t="str">
        <f t="shared" ca="1" si="118"/>
        <v>SHECY</v>
      </c>
      <c r="F1536" s="1014">
        <v>4.7619047619047672E-2</v>
      </c>
      <c r="G1536" s="1014">
        <v>-1</v>
      </c>
      <c r="H1536" s="1014">
        <v>-1</v>
      </c>
      <c r="I1536" s="1014">
        <v>0</v>
      </c>
      <c r="J1536" s="1014">
        <v>0</v>
      </c>
      <c r="K1536" s="1014">
        <v>0.19999999999999996</v>
      </c>
      <c r="L1536" s="1014">
        <v>0.23809523809523814</v>
      </c>
      <c r="M1536" s="1014">
        <v>0.33333333333333326</v>
      </c>
      <c r="N1536" s="1014">
        <v>0.33333333333333326</v>
      </c>
      <c r="O1536" s="1014">
        <v>-1</v>
      </c>
      <c r="P1536" s="1014">
        <v>0.23809523809523814</v>
      </c>
      <c r="Q1536" s="1014">
        <v>-0.14285714285714285</v>
      </c>
      <c r="R1536" s="1014">
        <v>0.14285714285714279</v>
      </c>
      <c r="S1536" s="1014">
        <v>0.14285714285714279</v>
      </c>
      <c r="T1536" s="1014">
        <v>-0.16666666666666657</v>
      </c>
      <c r="U1536" s="1014">
        <v>-0.16666666666666657</v>
      </c>
      <c r="V1536" s="1014">
        <v>-1</v>
      </c>
      <c r="W1536" s="1014">
        <v>-1</v>
      </c>
      <c r="X1536" s="1014">
        <v>-1</v>
      </c>
      <c r="Y1536" s="1014">
        <v>-1</v>
      </c>
      <c r="Z1536" s="1014">
        <f ca="1">_xlfn.XLOOKUP(A1432,TabCalc[Ticker],TabCalc[Imp20])</f>
        <v>-1</v>
      </c>
      <c r="AB1536" s="1014">
        <v>-1.9867549668874107E-2</v>
      </c>
      <c r="AC1536" s="1014">
        <v>-1</v>
      </c>
      <c r="AD1536" s="1014">
        <v>-1</v>
      </c>
      <c r="AE1536" s="1014">
        <v>-8.1481481481481488E-2</v>
      </c>
      <c r="AF1536" s="1014">
        <v>-8.1481481481481488E-2</v>
      </c>
      <c r="AG1536" s="1014">
        <v>-5.1851851851851816E-2</v>
      </c>
      <c r="AH1536" s="1014">
        <v>-5.1851851851851816E-2</v>
      </c>
      <c r="AI1536" s="1014">
        <v>-5.1851851851851816E-2</v>
      </c>
      <c r="AJ1536" s="1014">
        <v>-5.1851851851851816E-2</v>
      </c>
      <c r="AK1536" s="1014">
        <v>-1</v>
      </c>
      <c r="AL1536" s="1014">
        <v>-5.1851851851851816E-2</v>
      </c>
      <c r="AM1536" s="1014">
        <v>-5.1851851851851816E-2</v>
      </c>
      <c r="AN1536" s="1014">
        <v>-6.6666666666666652E-2</v>
      </c>
      <c r="AO1536" s="1014">
        <v>-6.6666666666666652E-2</v>
      </c>
      <c r="AP1536" s="1014">
        <v>-8.1481481481481488E-2</v>
      </c>
      <c r="AQ1536" s="1014">
        <v>-8.1481481481481488E-2</v>
      </c>
      <c r="AR1536" s="1014">
        <v>-1</v>
      </c>
      <c r="AS1536" s="1014">
        <v>-1</v>
      </c>
      <c r="AT1536" s="1014">
        <v>-1</v>
      </c>
      <c r="AU1536" s="1014">
        <v>-1</v>
      </c>
      <c r="AV1536" s="1014">
        <f ca="1">_xlfn.XLOOKUP(A1432,TabCalc[Ticker],TabCalc[Imp150])</f>
        <v>-1</v>
      </c>
      <c r="AX1536" s="88" t="str">
        <f t="shared" ca="1" si="115"/>
        <v>SHECY</v>
      </c>
    </row>
    <row r="1537" spans="1:50" hidden="1">
      <c r="A1537" s="88" t="str">
        <f t="shared" ca="1" si="118"/>
        <v>SSYS</v>
      </c>
      <c r="F1537" s="1014">
        <v>-0.22222222222222227</v>
      </c>
      <c r="G1537" s="1014">
        <v>-1</v>
      </c>
      <c r="H1537" s="1014">
        <v>-1</v>
      </c>
      <c r="I1537" s="1014">
        <v>0.11111111111111116</v>
      </c>
      <c r="J1537" s="1014">
        <v>0.11111111111111116</v>
      </c>
      <c r="K1537" s="1014">
        <v>0.15789473684210531</v>
      </c>
      <c r="L1537" s="1014">
        <v>0.15789473684210531</v>
      </c>
      <c r="M1537" s="1014">
        <v>-1</v>
      </c>
      <c r="N1537" s="1014">
        <v>-1</v>
      </c>
      <c r="O1537" s="1014">
        <v>-1</v>
      </c>
      <c r="P1537" s="1014">
        <v>-1</v>
      </c>
      <c r="Q1537" s="1014">
        <v>-1</v>
      </c>
      <c r="R1537" s="1014">
        <v>-1</v>
      </c>
      <c r="S1537" s="1014">
        <v>-1</v>
      </c>
      <c r="T1537" s="1014">
        <v>-1</v>
      </c>
      <c r="U1537" s="1014">
        <v>0.125</v>
      </c>
      <c r="V1537" s="1014">
        <v>-1</v>
      </c>
      <c r="W1537" s="1014">
        <v>-1</v>
      </c>
      <c r="X1537" s="1014">
        <v>-1</v>
      </c>
      <c r="Y1537" s="1014">
        <v>-1</v>
      </c>
      <c r="Z1537" s="1014">
        <f ca="1">_xlfn.XLOOKUP(A1433,TabCalc[Ticker],TabCalc[Imp20])</f>
        <v>-1</v>
      </c>
      <c r="AB1537" s="1014">
        <v>4.2735042735042805E-2</v>
      </c>
      <c r="AC1537" s="1014">
        <v>-1</v>
      </c>
      <c r="AD1537" s="1014">
        <v>-1</v>
      </c>
      <c r="AE1537" s="1014">
        <v>1.4925373134328401E-2</v>
      </c>
      <c r="AF1537" s="1014">
        <v>1.4925373134328401E-2</v>
      </c>
      <c r="AG1537" s="1014">
        <v>1.4925373134328401E-2</v>
      </c>
      <c r="AH1537" s="1014">
        <v>2.9850746268656803E-2</v>
      </c>
      <c r="AI1537" s="1014">
        <v>-1</v>
      </c>
      <c r="AJ1537" s="1014">
        <v>-1</v>
      </c>
      <c r="AK1537" s="1014">
        <v>-1</v>
      </c>
      <c r="AL1537" s="1014">
        <v>-1</v>
      </c>
      <c r="AM1537" s="1014">
        <v>-1</v>
      </c>
      <c r="AN1537" s="1014">
        <v>-1</v>
      </c>
      <c r="AO1537" s="1014">
        <v>-1</v>
      </c>
      <c r="AP1537" s="1014">
        <v>-1</v>
      </c>
      <c r="AQ1537" s="1014">
        <v>0</v>
      </c>
      <c r="AR1537" s="1014">
        <v>-1</v>
      </c>
      <c r="AS1537" s="1014">
        <v>-1</v>
      </c>
      <c r="AT1537" s="1014">
        <v>-1</v>
      </c>
      <c r="AU1537" s="1014">
        <v>-1</v>
      </c>
      <c r="AV1537" s="1014">
        <f ca="1">_xlfn.XLOOKUP(A1433,TabCalc[Ticker],TabCalc[Imp150])</f>
        <v>-1</v>
      </c>
      <c r="AX1537" s="88" t="str">
        <f t="shared" ca="1" si="115"/>
        <v>SSYS</v>
      </c>
    </row>
    <row r="1538" spans="1:50" hidden="1">
      <c r="A1538" s="88" t="str">
        <f t="shared" ca="1" si="118"/>
        <v>TSLA</v>
      </c>
      <c r="F1538" s="1014">
        <v>-1</v>
      </c>
      <c r="G1538" s="1014">
        <v>-1</v>
      </c>
      <c r="H1538" s="1014">
        <v>-1</v>
      </c>
      <c r="I1538" s="1014">
        <v>-1</v>
      </c>
      <c r="J1538" s="1014">
        <v>-1</v>
      </c>
      <c r="K1538" s="1014">
        <v>-1</v>
      </c>
      <c r="L1538" s="1014">
        <v>-1</v>
      </c>
      <c r="M1538" s="1014">
        <v>-1</v>
      </c>
      <c r="N1538" s="1014">
        <v>-1</v>
      </c>
      <c r="O1538" s="1014">
        <v>-1</v>
      </c>
      <c r="P1538" s="1014">
        <v>-1</v>
      </c>
      <c r="Q1538" s="1014">
        <v>-1</v>
      </c>
      <c r="R1538" s="1014">
        <v>0</v>
      </c>
      <c r="S1538" s="1014">
        <v>0</v>
      </c>
      <c r="T1538" s="1014">
        <v>-1</v>
      </c>
      <c r="U1538" s="1014">
        <v>-1</v>
      </c>
      <c r="V1538" s="1014">
        <v>-1</v>
      </c>
      <c r="W1538" s="1014">
        <v>-1</v>
      </c>
      <c r="X1538" s="1014">
        <v>-1</v>
      </c>
      <c r="Y1538" s="1014">
        <v>-1</v>
      </c>
      <c r="Z1538" s="1014">
        <f ca="1">_xlfn.XLOOKUP(A1434,TabCalc[Ticker],TabCalc[Imp20])</f>
        <v>-1</v>
      </c>
      <c r="AB1538" s="1014">
        <v>-1</v>
      </c>
      <c r="AC1538" s="1014">
        <v>-1</v>
      </c>
      <c r="AD1538" s="1014">
        <v>-1</v>
      </c>
      <c r="AE1538" s="1014">
        <v>-1</v>
      </c>
      <c r="AF1538" s="1014">
        <v>-1</v>
      </c>
      <c r="AG1538" s="1014">
        <v>-1</v>
      </c>
      <c r="AH1538" s="1014">
        <v>-1</v>
      </c>
      <c r="AI1538" s="1014">
        <v>-1</v>
      </c>
      <c r="AJ1538" s="1014">
        <v>-1</v>
      </c>
      <c r="AK1538" s="1014">
        <v>-1</v>
      </c>
      <c r="AL1538" s="1014">
        <v>-1</v>
      </c>
      <c r="AM1538" s="1014">
        <v>-1</v>
      </c>
      <c r="AN1538" s="1014">
        <v>8.5470085470085166E-3</v>
      </c>
      <c r="AO1538" s="1014">
        <v>8.5470085470085166E-3</v>
      </c>
      <c r="AP1538" s="1014">
        <v>-1</v>
      </c>
      <c r="AQ1538" s="1014">
        <v>-1</v>
      </c>
      <c r="AR1538" s="1014">
        <v>-1</v>
      </c>
      <c r="AS1538" s="1014">
        <v>-1</v>
      </c>
      <c r="AT1538" s="1014">
        <v>-1</v>
      </c>
      <c r="AU1538" s="1014">
        <v>-1</v>
      </c>
      <c r="AV1538" s="1014">
        <f ca="1">_xlfn.XLOOKUP(A1434,TabCalc[Ticker],TabCalc[Imp150])</f>
        <v>-1</v>
      </c>
      <c r="AX1538" s="88" t="str">
        <f t="shared" ca="1" si="115"/>
        <v>TSLA</v>
      </c>
    </row>
    <row r="1539" spans="1:50" hidden="1">
      <c r="A1539" s="88" t="str">
        <f t="shared" ca="1" si="118"/>
        <v>TSM</v>
      </c>
      <c r="F1539" s="1014">
        <v>0.38461538461538458</v>
      </c>
      <c r="G1539" s="1014">
        <v>-1</v>
      </c>
      <c r="H1539" s="1014">
        <v>-1</v>
      </c>
      <c r="I1539" s="1014">
        <v>-0.33333333333333343</v>
      </c>
      <c r="J1539" s="1014">
        <v>-0.33333333333333343</v>
      </c>
      <c r="K1539" s="1014">
        <v>-0.41176470588235287</v>
      </c>
      <c r="L1539" s="1014">
        <v>-0.41176470588235287</v>
      </c>
      <c r="M1539" s="1014">
        <v>-0.29411764705882343</v>
      </c>
      <c r="N1539" s="1014">
        <v>-0.29411764705882343</v>
      </c>
      <c r="O1539" s="1014">
        <v>-0.41176470588235287</v>
      </c>
      <c r="P1539" s="1014">
        <v>-0.39999999999999997</v>
      </c>
      <c r="Q1539" s="1014">
        <v>-0.39999999999999997</v>
      </c>
      <c r="R1539" s="1014">
        <v>-0.39999999999999997</v>
      </c>
      <c r="S1539" s="1014">
        <v>-0.39999999999999997</v>
      </c>
      <c r="T1539" s="1014">
        <v>-1</v>
      </c>
      <c r="U1539" s="1014">
        <v>-0.19999999999999996</v>
      </c>
      <c r="V1539" s="1014">
        <v>-1</v>
      </c>
      <c r="W1539" s="1014">
        <v>-1</v>
      </c>
      <c r="X1539" s="1014">
        <v>-1</v>
      </c>
      <c r="Y1539" s="1014">
        <v>-1</v>
      </c>
      <c r="Z1539" s="1014">
        <f ca="1">_xlfn.XLOOKUP(A1435,TabCalc[Ticker],TabCalc[Imp20])</f>
        <v>-1</v>
      </c>
      <c r="AB1539" s="1014">
        <v>0.12000000000000011</v>
      </c>
      <c r="AC1539" s="1014">
        <v>-1</v>
      </c>
      <c r="AD1539" s="1014">
        <v>-1</v>
      </c>
      <c r="AE1539" s="1014">
        <v>2.2556390977443552E-2</v>
      </c>
      <c r="AF1539" s="1014">
        <v>2.2556390977443552E-2</v>
      </c>
      <c r="AG1539" s="1014">
        <v>3.0303030303030276E-2</v>
      </c>
      <c r="AH1539" s="1014">
        <v>3.0303030303030276E-2</v>
      </c>
      <c r="AI1539" s="1014">
        <v>4.5454545454545414E-2</v>
      </c>
      <c r="AJ1539" s="1014">
        <v>4.5454545454545414E-2</v>
      </c>
      <c r="AK1539" s="1014">
        <v>4.5454545454545414E-2</v>
      </c>
      <c r="AL1539" s="1014">
        <v>3.0303030303030276E-2</v>
      </c>
      <c r="AM1539" s="1014">
        <v>3.0303030303030276E-2</v>
      </c>
      <c r="AN1539" s="1014">
        <v>5.2631578947368363E-2</v>
      </c>
      <c r="AO1539" s="1014">
        <v>5.2631578947368363E-2</v>
      </c>
      <c r="AP1539" s="1014">
        <v>-1</v>
      </c>
      <c r="AQ1539" s="1014">
        <v>4.5454545454545414E-2</v>
      </c>
      <c r="AR1539" s="1014">
        <v>-1</v>
      </c>
      <c r="AS1539" s="1014">
        <v>-1</v>
      </c>
      <c r="AT1539" s="1014">
        <v>-1</v>
      </c>
      <c r="AU1539" s="1014">
        <v>-1</v>
      </c>
      <c r="AV1539" s="1014">
        <f ca="1">_xlfn.XLOOKUP(A1435,TabCalc[Ticker],TabCalc[Imp150])</f>
        <v>-1</v>
      </c>
      <c r="AX1539" s="88" t="str">
        <f t="shared" ca="1" si="115"/>
        <v>TSM</v>
      </c>
    </row>
    <row r="1540" spans="1:50" hidden="1">
      <c r="A1540" s="88" t="str">
        <f t="shared" ca="1" si="118"/>
        <v>UN0</v>
      </c>
      <c r="F1540" s="1014">
        <v>-5.2631578947368529E-2</v>
      </c>
      <c r="G1540" s="1014">
        <v>-1</v>
      </c>
      <c r="H1540" s="1014">
        <v>-1</v>
      </c>
      <c r="I1540" s="1014">
        <v>0.66666666666666674</v>
      </c>
      <c r="J1540" s="1014">
        <v>0.66666666666666674</v>
      </c>
      <c r="K1540" s="1014">
        <v>0.66666666666666674</v>
      </c>
      <c r="L1540" s="1014">
        <v>0.66666666666666674</v>
      </c>
      <c r="M1540" s="1014">
        <v>0.66666666666666674</v>
      </c>
      <c r="N1540" s="1014">
        <v>0.66666666666666674</v>
      </c>
      <c r="O1540" s="1014">
        <v>0.66666666666666674</v>
      </c>
      <c r="P1540" s="1014">
        <v>0.66666666666666674</v>
      </c>
      <c r="Q1540" s="1014">
        <v>0.66666666666666674</v>
      </c>
      <c r="R1540" s="1014">
        <v>-1</v>
      </c>
      <c r="S1540" s="1014">
        <v>-1</v>
      </c>
      <c r="T1540" s="1014">
        <v>-1</v>
      </c>
      <c r="U1540" s="1014">
        <v>-1</v>
      </c>
      <c r="V1540" s="1014">
        <v>-1</v>
      </c>
      <c r="W1540" s="1014">
        <v>-1</v>
      </c>
      <c r="X1540" s="1014">
        <v>-1</v>
      </c>
      <c r="Y1540" s="1014">
        <v>-1</v>
      </c>
      <c r="Z1540" s="1014">
        <f ca="1">_xlfn.XLOOKUP(A1436,TabCalc[Ticker],TabCalc[Imp20])</f>
        <v>-1</v>
      </c>
      <c r="AB1540" s="1014">
        <v>-4.3478260869565188E-2</v>
      </c>
      <c r="AC1540" s="1014">
        <v>-1</v>
      </c>
      <c r="AD1540" s="1014">
        <v>-1</v>
      </c>
      <c r="AE1540" s="1014">
        <v>0.13131313131313127</v>
      </c>
      <c r="AF1540" s="1014">
        <v>0.13131313131313127</v>
      </c>
      <c r="AG1540" s="1014">
        <v>0.13131313131313127</v>
      </c>
      <c r="AH1540" s="1014">
        <v>0.13131313131313127</v>
      </c>
      <c r="AI1540" s="1014">
        <v>0.13131313131313127</v>
      </c>
      <c r="AJ1540" s="1014">
        <v>0.13131313131313127</v>
      </c>
      <c r="AK1540" s="1014">
        <v>0.1399999999999999</v>
      </c>
      <c r="AL1540" s="1014">
        <v>0.1399999999999999</v>
      </c>
      <c r="AM1540" s="1014">
        <v>0.1399999999999999</v>
      </c>
      <c r="AN1540" s="1014">
        <v>-1</v>
      </c>
      <c r="AO1540" s="1014">
        <v>-1</v>
      </c>
      <c r="AP1540" s="1014">
        <v>-1</v>
      </c>
      <c r="AQ1540" s="1014">
        <v>-1</v>
      </c>
      <c r="AR1540" s="1014">
        <v>-1</v>
      </c>
      <c r="AS1540" s="1014">
        <v>-1</v>
      </c>
      <c r="AT1540" s="1014">
        <v>-1</v>
      </c>
      <c r="AU1540" s="1014">
        <v>-1</v>
      </c>
      <c r="AV1540" s="1014">
        <f ca="1">_xlfn.XLOOKUP(A1436,TabCalc[Ticker],TabCalc[Imp150])</f>
        <v>-1</v>
      </c>
      <c r="AX1540" s="88" t="str">
        <f t="shared" ca="1" si="115"/>
        <v>UN0</v>
      </c>
    </row>
    <row r="1541" spans="1:50" hidden="1">
      <c r="A1541" s="88" t="str">
        <f t="shared" ca="1" si="118"/>
        <v>UNIT</v>
      </c>
      <c r="F1541" s="1014">
        <v>-1</v>
      </c>
      <c r="G1541" s="1014">
        <v>-1</v>
      </c>
      <c r="H1541" s="1014">
        <v>-1</v>
      </c>
      <c r="I1541" s="1014">
        <v>5.8823529411764719E-2</v>
      </c>
      <c r="J1541" s="1014">
        <v>5.8823529411764719E-2</v>
      </c>
      <c r="K1541" s="1014">
        <v>5.8823529411764719E-2</v>
      </c>
      <c r="L1541" s="1014">
        <v>5.8823529411764719E-2</v>
      </c>
      <c r="M1541" s="1014">
        <v>0.11111111111111116</v>
      </c>
      <c r="N1541" s="1014">
        <v>0.11111111111111116</v>
      </c>
      <c r="O1541" s="1014">
        <v>0.11111111111111116</v>
      </c>
      <c r="P1541" s="1014">
        <v>0.11111111111111116</v>
      </c>
      <c r="Q1541" s="1014">
        <v>-0.33333333333333343</v>
      </c>
      <c r="R1541" s="1014">
        <v>0.5</v>
      </c>
      <c r="S1541" s="1014">
        <v>0.19999999999999996</v>
      </c>
      <c r="T1541" s="1014">
        <v>-1</v>
      </c>
      <c r="U1541" s="1014">
        <v>0</v>
      </c>
      <c r="V1541" s="1014">
        <v>-0.55555555555555558</v>
      </c>
      <c r="W1541" s="1014">
        <v>-0.55555555555555558</v>
      </c>
      <c r="X1541" s="1014">
        <v>-0.55555555555555558</v>
      </c>
      <c r="Y1541" s="1014">
        <v>-0.55555555555555558</v>
      </c>
      <c r="Z1541" s="1014">
        <f ca="1">_xlfn.XLOOKUP(A1437,TabCalc[Ticker],TabCalc[Imp20])</f>
        <v>-0.55555555555555558</v>
      </c>
      <c r="AB1541" s="1014">
        <v>-1</v>
      </c>
      <c r="AC1541" s="1014">
        <v>-1</v>
      </c>
      <c r="AD1541" s="1014">
        <v>-1</v>
      </c>
      <c r="AE1541" s="1014">
        <v>-2.6548672566371723E-2</v>
      </c>
      <c r="AF1541" s="1014">
        <v>-8.8495575221239076E-3</v>
      </c>
      <c r="AG1541" s="1014">
        <v>-8.8495575221239076E-3</v>
      </c>
      <c r="AH1541" s="1014">
        <v>-8.8495575221239076E-3</v>
      </c>
      <c r="AI1541" s="1014">
        <v>8.8495575221239076E-3</v>
      </c>
      <c r="AJ1541" s="1014">
        <v>8.8495575221239076E-3</v>
      </c>
      <c r="AK1541" s="1014">
        <v>8.8495575221239076E-3</v>
      </c>
      <c r="AL1541" s="1014">
        <v>8.8495575221239076E-3</v>
      </c>
      <c r="AM1541" s="1014">
        <v>8.8495575221239076E-3</v>
      </c>
      <c r="AN1541" s="1014">
        <v>4.5045045045045029E-2</v>
      </c>
      <c r="AO1541" s="1014">
        <v>3.6363636363636376E-2</v>
      </c>
      <c r="AP1541" s="1014">
        <v>-1</v>
      </c>
      <c r="AQ1541" s="1014">
        <v>2.7027027027026973E-2</v>
      </c>
      <c r="AR1541" s="1014">
        <v>2.7027027027026973E-2</v>
      </c>
      <c r="AS1541" s="1014">
        <v>2.7027027027026973E-2</v>
      </c>
      <c r="AT1541" s="1014">
        <v>2.7027027027026973E-2</v>
      </c>
      <c r="AU1541" s="1014">
        <v>2.7027027027026973E-2</v>
      </c>
      <c r="AV1541" s="1014">
        <f ca="1">_xlfn.XLOOKUP(A1437,TabCalc[Ticker],TabCalc[Imp150])</f>
        <v>2.7027027027026973E-2</v>
      </c>
      <c r="AX1541" s="88" t="str">
        <f t="shared" ca="1" si="115"/>
        <v>UNIT</v>
      </c>
    </row>
    <row r="1542" spans="1:50" hidden="1">
      <c r="A1542" s="88" t="str">
        <f t="shared" ca="1" si="118"/>
        <v>AVGO</v>
      </c>
      <c r="F1542" s="1014">
        <v>-1</v>
      </c>
      <c r="G1542" s="1014">
        <v>-1</v>
      </c>
      <c r="H1542" s="1014">
        <v>-1</v>
      </c>
      <c r="I1542" s="1014">
        <v>0.14285714285714279</v>
      </c>
      <c r="J1542" s="1014">
        <v>0.14285714285714279</v>
      </c>
      <c r="K1542" s="1014">
        <v>-1</v>
      </c>
      <c r="L1542" s="1014">
        <v>0.28571428571428581</v>
      </c>
      <c r="M1542" s="1014">
        <v>0.28571428571428581</v>
      </c>
      <c r="N1542" s="1014">
        <v>0.28571428571428581</v>
      </c>
      <c r="O1542" s="1014">
        <v>0.28571428571428581</v>
      </c>
      <c r="P1542" s="1014">
        <v>0.28571428571428581</v>
      </c>
      <c r="Q1542" s="1014">
        <v>-9.0909090909090884E-2</v>
      </c>
      <c r="R1542" s="1014">
        <v>-0.33333333333333343</v>
      </c>
      <c r="S1542" s="1014">
        <v>-0.33333333333333343</v>
      </c>
      <c r="T1542" s="1014">
        <v>0</v>
      </c>
      <c r="U1542" s="1014">
        <v>0</v>
      </c>
      <c r="V1542" s="1014">
        <v>-1</v>
      </c>
      <c r="W1542" s="1014">
        <v>-1</v>
      </c>
      <c r="X1542" s="1014">
        <v>-1</v>
      </c>
      <c r="Y1542" s="1014">
        <v>-1</v>
      </c>
      <c r="Z1542" s="1014">
        <f ca="1">_xlfn.XLOOKUP(A1438,TabCalc[Ticker],TabCalc[Imp20])</f>
        <v>-1</v>
      </c>
      <c r="AB1542" s="1014">
        <v>-1</v>
      </c>
      <c r="AC1542" s="1014">
        <v>-1</v>
      </c>
      <c r="AD1542" s="1014">
        <v>-1</v>
      </c>
      <c r="AE1542" s="1014">
        <v>1.7543859649122862E-2</v>
      </c>
      <c r="AF1542" s="1014">
        <v>1.7543859649122862E-2</v>
      </c>
      <c r="AG1542" s="1014">
        <v>-1</v>
      </c>
      <c r="AH1542" s="1014">
        <v>4.3478260869565188E-2</v>
      </c>
      <c r="AI1542" s="1014">
        <v>3.4482758620689724E-2</v>
      </c>
      <c r="AJ1542" s="1014">
        <v>3.4482758620689724E-2</v>
      </c>
      <c r="AK1542" s="1014">
        <v>3.4482758620689724E-2</v>
      </c>
      <c r="AL1542" s="1014">
        <v>2.564102564102555E-2</v>
      </c>
      <c r="AM1542" s="1014">
        <v>4.2735042735042805E-2</v>
      </c>
      <c r="AN1542" s="1014">
        <v>5.1724137931034475E-2</v>
      </c>
      <c r="AO1542" s="1014">
        <v>5.1724137931034475E-2</v>
      </c>
      <c r="AP1542" s="1014">
        <v>4.3478260869565188E-2</v>
      </c>
      <c r="AQ1542" s="1014">
        <v>4.3478260869565188E-2</v>
      </c>
      <c r="AR1542" s="1014">
        <v>-1</v>
      </c>
      <c r="AS1542" s="1014">
        <v>-1</v>
      </c>
      <c r="AT1542" s="1014">
        <v>-1</v>
      </c>
      <c r="AU1542" s="1014">
        <v>-1</v>
      </c>
      <c r="AV1542" s="1014">
        <f ca="1">_xlfn.XLOOKUP(A1438,TabCalc[Ticker],TabCalc[Imp150])</f>
        <v>-1</v>
      </c>
      <c r="AX1542" s="88" t="str">
        <f t="shared" ca="1" si="115"/>
        <v>AVGO</v>
      </c>
    </row>
    <row r="1543" spans="1:50" hidden="1">
      <c r="A1543" s="88" t="str">
        <f t="shared" ca="1" si="118"/>
        <v>VLVLY</v>
      </c>
      <c r="F1543" s="1014">
        <v>0.26315789473684204</v>
      </c>
      <c r="G1543" s="1014">
        <v>-1</v>
      </c>
      <c r="H1543" s="1014">
        <v>-1</v>
      </c>
      <c r="I1543" s="1014">
        <v>-1</v>
      </c>
      <c r="J1543" s="1014">
        <v>-1</v>
      </c>
      <c r="K1543" s="1014">
        <v>-1</v>
      </c>
      <c r="L1543" s="1014">
        <v>-1</v>
      </c>
      <c r="M1543" s="1014">
        <v>-1</v>
      </c>
      <c r="N1543" s="1014">
        <v>-1</v>
      </c>
      <c r="O1543" s="1014">
        <v>-1</v>
      </c>
      <c r="P1543" s="1014">
        <v>-5.8823529411764719E-2</v>
      </c>
      <c r="Q1543" s="1014">
        <v>-0.4285714285714286</v>
      </c>
      <c r="R1543" s="1014">
        <v>-1</v>
      </c>
      <c r="S1543" s="1014">
        <v>-1</v>
      </c>
      <c r="T1543" s="1014">
        <v>-1</v>
      </c>
      <c r="U1543" s="1014">
        <v>-0.38461538461538458</v>
      </c>
      <c r="V1543" s="1014">
        <v>-9.0909090909090884E-2</v>
      </c>
      <c r="W1543" s="1014">
        <v>-9.0909090909090884E-2</v>
      </c>
      <c r="X1543" s="1014">
        <v>-9.0909090909090884E-2</v>
      </c>
      <c r="Y1543" s="1014">
        <v>-9.0909090909090884E-2</v>
      </c>
      <c r="Z1543" s="1014">
        <f ca="1">_xlfn.XLOOKUP(A1439,TabCalc[Ticker],TabCalc[Imp20])</f>
        <v>-9.0909090909090884E-2</v>
      </c>
      <c r="AB1543" s="1014">
        <v>2.2900763358778553E-2</v>
      </c>
      <c r="AC1543" s="1014">
        <v>-1</v>
      </c>
      <c r="AD1543" s="1014">
        <v>-1</v>
      </c>
      <c r="AE1543" s="1014">
        <v>-1</v>
      </c>
      <c r="AF1543" s="1014">
        <v>-1</v>
      </c>
      <c r="AG1543" s="1014">
        <v>-1</v>
      </c>
      <c r="AH1543" s="1014">
        <v>-1</v>
      </c>
      <c r="AI1543" s="1014">
        <v>-1</v>
      </c>
      <c r="AJ1543" s="1014">
        <v>-1</v>
      </c>
      <c r="AK1543" s="1014">
        <v>-1</v>
      </c>
      <c r="AL1543" s="1014">
        <v>-7.4380165289256173E-2</v>
      </c>
      <c r="AM1543" s="1014">
        <v>-6.6666666666666652E-2</v>
      </c>
      <c r="AN1543" s="1014">
        <v>-6.6666666666666652E-2</v>
      </c>
      <c r="AO1543" s="1014">
        <v>-6.6666666666666652E-2</v>
      </c>
      <c r="AP1543" s="1014">
        <v>-1</v>
      </c>
      <c r="AQ1543" s="1014">
        <v>-7.4380165289256173E-2</v>
      </c>
      <c r="AR1543" s="1014">
        <v>-9.0909090909090884E-2</v>
      </c>
      <c r="AS1543" s="1014">
        <v>-9.0909090909090884E-2</v>
      </c>
      <c r="AT1543" s="1014">
        <v>-9.0909090909090884E-2</v>
      </c>
      <c r="AU1543" s="1014">
        <v>-9.0909090909090884E-2</v>
      </c>
      <c r="AV1543" s="1014">
        <f ca="1">_xlfn.XLOOKUP(A1439,TabCalc[Ticker],TabCalc[Imp150])</f>
        <v>-9.0909090909090884E-2</v>
      </c>
      <c r="AX1543" s="88" t="str">
        <f t="shared" ca="1" si="115"/>
        <v>VLVLY</v>
      </c>
    </row>
    <row r="1544" spans="1:50" hidden="1">
      <c r="A1544" s="88" t="str">
        <f t="shared" ca="1" si="118"/>
        <v>VONN</v>
      </c>
      <c r="F1544" s="1014">
        <v>0.17647058823529416</v>
      </c>
      <c r="G1544" s="1014">
        <v>-1</v>
      </c>
      <c r="H1544" s="1014">
        <v>-1</v>
      </c>
      <c r="I1544" s="1014">
        <v>-1</v>
      </c>
      <c r="J1544" s="1014">
        <v>-1</v>
      </c>
      <c r="K1544" s="1014">
        <v>-1</v>
      </c>
      <c r="L1544" s="1014">
        <v>-1</v>
      </c>
      <c r="M1544" s="1014">
        <v>-1</v>
      </c>
      <c r="N1544" s="1014">
        <v>-1</v>
      </c>
      <c r="O1544" s="1014">
        <v>-1</v>
      </c>
      <c r="P1544" s="1014">
        <v>-0.27272727272727271</v>
      </c>
      <c r="Q1544" s="1014">
        <v>-0.27272727272727271</v>
      </c>
      <c r="R1544" s="1014">
        <v>-1</v>
      </c>
      <c r="S1544" s="1014">
        <v>-1</v>
      </c>
      <c r="T1544" s="1014">
        <v>-1</v>
      </c>
      <c r="U1544" s="1014">
        <v>-1</v>
      </c>
      <c r="V1544" s="1014">
        <v>0</v>
      </c>
      <c r="W1544" s="1014">
        <v>0</v>
      </c>
      <c r="X1544" s="1014">
        <v>0</v>
      </c>
      <c r="Y1544" s="1014">
        <v>0</v>
      </c>
      <c r="Z1544" s="1014">
        <f ca="1">_xlfn.XLOOKUP(A1440,TabCalc[Ticker],TabCalc[Imp20])</f>
        <v>0</v>
      </c>
      <c r="AB1544" s="1014">
        <v>0.10569105691056913</v>
      </c>
      <c r="AC1544" s="1014">
        <v>-1</v>
      </c>
      <c r="AD1544" s="1014">
        <v>-1</v>
      </c>
      <c r="AE1544" s="1014">
        <v>-1</v>
      </c>
      <c r="AF1544" s="1014">
        <v>-1</v>
      </c>
      <c r="AG1544" s="1014">
        <v>-1</v>
      </c>
      <c r="AH1544" s="1014">
        <v>-1</v>
      </c>
      <c r="AI1544" s="1014">
        <v>-1</v>
      </c>
      <c r="AJ1544" s="1014">
        <v>-1</v>
      </c>
      <c r="AK1544" s="1014">
        <v>-1</v>
      </c>
      <c r="AL1544" s="1014">
        <v>6.8702290076335881E-2</v>
      </c>
      <c r="AM1544" s="1014">
        <v>6.8702290076335881E-2</v>
      </c>
      <c r="AN1544" s="1014">
        <v>-1</v>
      </c>
      <c r="AO1544" s="1014">
        <v>-1</v>
      </c>
      <c r="AP1544" s="1014">
        <v>-1</v>
      </c>
      <c r="AQ1544" s="1014">
        <v>-1</v>
      </c>
      <c r="AR1544" s="1014">
        <v>6.8702290076335881E-2</v>
      </c>
      <c r="AS1544" s="1014">
        <v>6.8702290076335881E-2</v>
      </c>
      <c r="AT1544" s="1014">
        <v>6.8702290076335881E-2</v>
      </c>
      <c r="AU1544" s="1014">
        <v>6.8702290076335881E-2</v>
      </c>
      <c r="AV1544" s="1014">
        <f ca="1">_xlfn.XLOOKUP(A1440,TabCalc[Ticker],TabCalc[Imp150])</f>
        <v>6.8702290076335881E-2</v>
      </c>
      <c r="AX1544" s="88" t="str">
        <f t="shared" ca="1" si="115"/>
        <v>VONN</v>
      </c>
    </row>
    <row r="1545" spans="1:50" hidden="1">
      <c r="A1545" s="88" t="str">
        <f t="shared" ca="1" si="118"/>
        <v>VTRS</v>
      </c>
      <c r="F1545" s="1014">
        <v>-1</v>
      </c>
      <c r="G1545" s="1014">
        <v>0.17647058823529416</v>
      </c>
      <c r="H1545" s="1014">
        <v>0.17647058823529416</v>
      </c>
      <c r="I1545" s="1014">
        <v>-1</v>
      </c>
      <c r="J1545" s="1014">
        <v>-1</v>
      </c>
      <c r="K1545" s="1014">
        <v>-1</v>
      </c>
      <c r="L1545" s="1014">
        <v>0.25</v>
      </c>
      <c r="M1545" s="1014">
        <v>-1</v>
      </c>
      <c r="N1545" s="1014">
        <v>-1</v>
      </c>
      <c r="O1545" s="1014">
        <v>0.125</v>
      </c>
      <c r="P1545" s="1014">
        <v>-1</v>
      </c>
      <c r="Q1545" s="1014">
        <v>-1</v>
      </c>
      <c r="R1545" s="1014">
        <v>-0.19999999999999996</v>
      </c>
      <c r="S1545" s="1014">
        <v>0.19999999999999996</v>
      </c>
      <c r="T1545" s="1014">
        <v>-1</v>
      </c>
      <c r="U1545" s="1014">
        <v>-1</v>
      </c>
      <c r="V1545" s="1014">
        <v>-1</v>
      </c>
      <c r="W1545" s="1014">
        <v>-1</v>
      </c>
      <c r="X1545" s="1014">
        <v>0.27272727272727271</v>
      </c>
      <c r="Y1545" s="1014">
        <v>-1</v>
      </c>
      <c r="Z1545" s="1014">
        <f ca="1">_xlfn.XLOOKUP(A1441,TabCalc[Ticker],TabCalc[Imp20])</f>
        <v>-1</v>
      </c>
      <c r="AB1545" s="1014">
        <v>-1</v>
      </c>
      <c r="AC1545" s="1014">
        <v>0.11475409836065564</v>
      </c>
      <c r="AD1545" s="1014">
        <v>0.11475409836065564</v>
      </c>
      <c r="AE1545" s="1014">
        <v>-1</v>
      </c>
      <c r="AF1545" s="1014">
        <v>-1</v>
      </c>
      <c r="AG1545" s="1014">
        <v>-1</v>
      </c>
      <c r="AH1545" s="1014">
        <v>0.16393442622950816</v>
      </c>
      <c r="AI1545" s="1014">
        <v>-1</v>
      </c>
      <c r="AJ1545" s="1014">
        <v>-1</v>
      </c>
      <c r="AK1545" s="1014">
        <v>0.14754098360655732</v>
      </c>
      <c r="AL1545" s="1014">
        <v>-1</v>
      </c>
      <c r="AM1545" s="1014">
        <v>-1</v>
      </c>
      <c r="AN1545" s="1014">
        <v>0.15447154471544722</v>
      </c>
      <c r="AO1545" s="1014">
        <v>0.13821138211382111</v>
      </c>
      <c r="AP1545" s="1014">
        <v>-1</v>
      </c>
      <c r="AQ1545" s="1014">
        <v>-1</v>
      </c>
      <c r="AR1545" s="1014">
        <v>-1</v>
      </c>
      <c r="AS1545" s="1014">
        <v>-1</v>
      </c>
      <c r="AT1545" s="1014">
        <v>0.12195121951219523</v>
      </c>
      <c r="AU1545" s="1014">
        <v>-1</v>
      </c>
      <c r="AV1545" s="1014">
        <f ca="1">_xlfn.XLOOKUP(A1441,TabCalc[Ticker],TabCalc[Imp150])</f>
        <v>-1</v>
      </c>
      <c r="AX1545" s="88" t="str">
        <f t="shared" ca="1" si="115"/>
        <v>VTRS</v>
      </c>
    </row>
    <row r="1546" spans="1:50" hidden="1">
      <c r="A1546" s="88" t="str">
        <f t="shared" ca="1" si="118"/>
        <v>WBA</v>
      </c>
      <c r="F1546" s="1014">
        <v>-1</v>
      </c>
      <c r="G1546" s="1014">
        <v>-1</v>
      </c>
      <c r="H1546" s="1014">
        <v>-1</v>
      </c>
      <c r="I1546" s="1014">
        <v>-1</v>
      </c>
      <c r="J1546" s="1014">
        <v>-1</v>
      </c>
      <c r="K1546" s="1014">
        <v>-1</v>
      </c>
      <c r="L1546" s="1014">
        <v>-1</v>
      </c>
      <c r="M1546" s="1014">
        <v>-1</v>
      </c>
      <c r="N1546" s="1014">
        <v>-1</v>
      </c>
      <c r="O1546" s="1014">
        <v>-1</v>
      </c>
      <c r="P1546" s="1014">
        <v>-1</v>
      </c>
      <c r="Q1546" s="1014">
        <v>-1</v>
      </c>
      <c r="R1546" s="1014">
        <v>-1</v>
      </c>
      <c r="S1546" s="1014">
        <v>-1</v>
      </c>
      <c r="T1546" s="1014">
        <v>0</v>
      </c>
      <c r="U1546" s="1014">
        <v>0</v>
      </c>
      <c r="V1546" s="1014">
        <v>-0.29411764705882343</v>
      </c>
      <c r="W1546" s="1014">
        <v>-0.29411764705882343</v>
      </c>
      <c r="X1546" s="1014">
        <v>-0.29411764705882343</v>
      </c>
      <c r="Y1546" s="1014">
        <v>-0.29411764705882343</v>
      </c>
      <c r="Z1546" s="1014">
        <f ca="1">_xlfn.XLOOKUP(A1442,TabCalc[Ticker],TabCalc[Imp20])</f>
        <v>-0.29411764705882343</v>
      </c>
      <c r="AB1546" s="1014">
        <v>-1</v>
      </c>
      <c r="AC1546" s="1014">
        <v>-1</v>
      </c>
      <c r="AD1546" s="1014">
        <v>-1</v>
      </c>
      <c r="AE1546" s="1014">
        <v>-1</v>
      </c>
      <c r="AF1546" s="1014">
        <v>-1</v>
      </c>
      <c r="AG1546" s="1014">
        <v>-1</v>
      </c>
      <c r="AH1546" s="1014">
        <v>-1</v>
      </c>
      <c r="AI1546" s="1014">
        <v>-1</v>
      </c>
      <c r="AJ1546" s="1014">
        <v>-1</v>
      </c>
      <c r="AK1546" s="1014">
        <v>-1</v>
      </c>
      <c r="AL1546" s="1014">
        <v>-1</v>
      </c>
      <c r="AM1546" s="1014">
        <v>-1</v>
      </c>
      <c r="AN1546" s="1014">
        <v>-1</v>
      </c>
      <c r="AO1546" s="1014">
        <v>-1</v>
      </c>
      <c r="AP1546" s="1014">
        <v>-0.21428571428571436</v>
      </c>
      <c r="AQ1546" s="1014">
        <v>-0.21428571428571436</v>
      </c>
      <c r="AR1546" s="1014">
        <v>-0.21428571428571436</v>
      </c>
      <c r="AS1546" s="1014">
        <v>-0.21428571428571436</v>
      </c>
      <c r="AT1546" s="1014">
        <v>-0.21428571428571436</v>
      </c>
      <c r="AU1546" s="1014">
        <v>-0.21428571428571436</v>
      </c>
      <c r="AV1546" s="1014">
        <f ca="1">_xlfn.XLOOKUP(A1442,TabCalc[Ticker],TabCalc[Imp150])</f>
        <v>-0.21428571428571436</v>
      </c>
      <c r="AX1546" s="88" t="str">
        <f t="shared" ca="1" si="115"/>
        <v>WBA</v>
      </c>
    </row>
    <row r="1547" spans="1:50" hidden="1">
      <c r="A1547" s="88" t="str">
        <f t="shared" ca="1" si="118"/>
        <v>XOM</v>
      </c>
      <c r="F1547" s="1014">
        <v>0</v>
      </c>
      <c r="G1547" s="1014">
        <v>-1</v>
      </c>
      <c r="H1547" s="1014">
        <v>-1</v>
      </c>
      <c r="I1547" s="1014">
        <v>-5.2631578947368529E-2</v>
      </c>
      <c r="J1547" s="1014">
        <v>-5.2631578947368529E-2</v>
      </c>
      <c r="K1547" s="1014">
        <v>-5.2631578947368529E-2</v>
      </c>
      <c r="L1547" s="1014">
        <v>-5.2631578947368529E-2</v>
      </c>
      <c r="M1547" s="1014">
        <v>-5.2631578947368529E-2</v>
      </c>
      <c r="N1547" s="1014">
        <v>-5.2631578947368529E-2</v>
      </c>
      <c r="O1547" s="1014">
        <v>-5.2631578947368529E-2</v>
      </c>
      <c r="P1547" s="1014">
        <v>-5.2631578947368529E-2</v>
      </c>
      <c r="Q1547" s="1014">
        <v>-5.2631578947368529E-2</v>
      </c>
      <c r="R1547" s="1014">
        <v>0.25</v>
      </c>
      <c r="S1547" s="1014">
        <v>0.25</v>
      </c>
      <c r="T1547" s="1014">
        <v>0.38461538461538458</v>
      </c>
      <c r="U1547" s="1014">
        <v>0.38461538461538458</v>
      </c>
      <c r="V1547" s="1014">
        <v>-1</v>
      </c>
      <c r="W1547" s="1014">
        <v>-1</v>
      </c>
      <c r="X1547" s="1014">
        <v>-1</v>
      </c>
      <c r="Y1547" s="1014">
        <v>-1</v>
      </c>
      <c r="Z1547" s="1014">
        <f ca="1">_xlfn.XLOOKUP(A1443,TabCalc[Ticker],TabCalc[Imp20])</f>
        <v>-1</v>
      </c>
      <c r="AB1547" s="1014">
        <v>0.12396694214876036</v>
      </c>
      <c r="AC1547" s="1014">
        <v>-1</v>
      </c>
      <c r="AD1547" s="1014">
        <v>-1</v>
      </c>
      <c r="AE1547" s="1014">
        <v>-7.6335877862594992E-3</v>
      </c>
      <c r="AF1547" s="1014">
        <v>-7.6335877862594992E-3</v>
      </c>
      <c r="AG1547" s="1014">
        <v>-7.6335877862594992E-3</v>
      </c>
      <c r="AH1547" s="1014">
        <v>-7.6335877862594992E-3</v>
      </c>
      <c r="AI1547" s="1014">
        <v>-7.6335877862594992E-3</v>
      </c>
      <c r="AJ1547" s="1014">
        <v>-7.6335877862594992E-3</v>
      </c>
      <c r="AK1547" s="1014">
        <v>-7.6335877862594992E-3</v>
      </c>
      <c r="AL1547" s="1014">
        <v>-7.6335877862594992E-3</v>
      </c>
      <c r="AM1547" s="1014">
        <v>-7.6335877862594992E-3</v>
      </c>
      <c r="AN1547" s="1014">
        <v>0</v>
      </c>
      <c r="AO1547" s="1014">
        <v>0</v>
      </c>
      <c r="AP1547" s="1014">
        <v>0</v>
      </c>
      <c r="AQ1547" s="1014">
        <v>0</v>
      </c>
      <c r="AR1547" s="1014">
        <v>-1</v>
      </c>
      <c r="AS1547" s="1014">
        <v>-1</v>
      </c>
      <c r="AT1547" s="1014">
        <v>-1</v>
      </c>
      <c r="AU1547" s="1014">
        <v>-1</v>
      </c>
      <c r="AV1547" s="1014">
        <f ca="1">_xlfn.XLOOKUP(A1443,TabCalc[Ticker],TabCalc[Imp150])</f>
        <v>-1</v>
      </c>
      <c r="AX1547" s="88" t="str">
        <f t="shared" ca="1" si="115"/>
        <v>XOM</v>
      </c>
    </row>
    <row r="1548" spans="1:50" hidden="1">
      <c r="A1548" s="88" t="str">
        <f t="shared" ca="1" si="118"/>
        <v>XPER</v>
      </c>
      <c r="F1548" s="1014">
        <v>-0.14285714285714285</v>
      </c>
      <c r="G1548" s="1014">
        <v>-1</v>
      </c>
      <c r="H1548" s="1014">
        <v>-1</v>
      </c>
      <c r="I1548" s="1014">
        <v>-1</v>
      </c>
      <c r="J1548" s="1014">
        <v>-1</v>
      </c>
      <c r="K1548" s="1014">
        <v>-1</v>
      </c>
      <c r="L1548" s="1014">
        <v>-1</v>
      </c>
      <c r="M1548" s="1014">
        <v>-1</v>
      </c>
      <c r="N1548" s="1014">
        <v>-1</v>
      </c>
      <c r="O1548" s="1014">
        <v>-1</v>
      </c>
      <c r="P1548" s="1014">
        <v>-1</v>
      </c>
      <c r="Q1548" s="1014">
        <v>-1</v>
      </c>
      <c r="R1548" s="1014">
        <v>-0.33333333333333343</v>
      </c>
      <c r="S1548" s="1014">
        <v>-0.33333333333333343</v>
      </c>
      <c r="T1548" s="1014">
        <v>-1</v>
      </c>
      <c r="U1548" s="1014">
        <v>-1</v>
      </c>
      <c r="V1548" s="1014">
        <v>-1</v>
      </c>
      <c r="W1548" s="1014">
        <v>-1</v>
      </c>
      <c r="X1548" s="1014">
        <v>-1</v>
      </c>
      <c r="Y1548" s="1014">
        <v>-1</v>
      </c>
      <c r="Z1548" s="1014">
        <f ca="1">_xlfn.XLOOKUP(A1444,TabCalc[Ticker],TabCalc[Imp20])</f>
        <v>-1</v>
      </c>
      <c r="AB1548" s="1014">
        <v>-6.5573770491803296E-2</v>
      </c>
      <c r="AC1548" s="1014">
        <v>-1</v>
      </c>
      <c r="AD1548" s="1014">
        <v>-1</v>
      </c>
      <c r="AE1548" s="1014">
        <v>-1</v>
      </c>
      <c r="AF1548" s="1014">
        <v>-1</v>
      </c>
      <c r="AG1548" s="1014">
        <v>-1</v>
      </c>
      <c r="AH1548" s="1014">
        <v>-1</v>
      </c>
      <c r="AI1548" s="1014">
        <v>-1</v>
      </c>
      <c r="AJ1548" s="1014">
        <v>-1</v>
      </c>
      <c r="AK1548" s="1014">
        <v>-1</v>
      </c>
      <c r="AL1548" s="1014">
        <v>-1</v>
      </c>
      <c r="AM1548" s="1014">
        <v>-1</v>
      </c>
      <c r="AN1548" s="1014">
        <v>-9.4017094017094072E-2</v>
      </c>
      <c r="AO1548" s="1014">
        <v>-9.4017094017094072E-2</v>
      </c>
      <c r="AP1548" s="1014">
        <v>-1</v>
      </c>
      <c r="AQ1548" s="1014">
        <v>-1</v>
      </c>
      <c r="AR1548" s="1014">
        <v>-1</v>
      </c>
      <c r="AS1548" s="1014">
        <v>-1</v>
      </c>
      <c r="AT1548" s="1014">
        <v>-1</v>
      </c>
      <c r="AU1548" s="1014">
        <v>-1</v>
      </c>
      <c r="AV1548" s="1014">
        <f ca="1">_xlfn.XLOOKUP(A1444,TabCalc[Ticker],TabCalc[Imp150])</f>
        <v>-1</v>
      </c>
      <c r="AX1548" s="88" t="str">
        <f t="shared" ca="1" si="115"/>
        <v>XPER</v>
      </c>
    </row>
    <row r="1549" spans="1:50" hidden="1">
      <c r="A1549" s="88" t="str">
        <f t="shared" ca="1" si="118"/>
        <v>MVEALDNE</v>
      </c>
      <c r="F1549" s="1014">
        <v>-0.5</v>
      </c>
      <c r="G1549" s="1014">
        <v>-1</v>
      </c>
      <c r="H1549" s="1014">
        <v>-1</v>
      </c>
      <c r="I1549" s="1014">
        <v>-1</v>
      </c>
      <c r="J1549" s="1014">
        <v>-0.14285714285714285</v>
      </c>
      <c r="K1549" s="1014">
        <v>-0.14285714285714285</v>
      </c>
      <c r="L1549" s="1014">
        <v>0</v>
      </c>
      <c r="M1549" s="1014">
        <v>0</v>
      </c>
      <c r="N1549" s="1014">
        <v>0</v>
      </c>
      <c r="O1549" s="1014">
        <v>-0.11111111111111116</v>
      </c>
      <c r="P1549" s="1014">
        <v>-0.11111111111111116</v>
      </c>
      <c r="Q1549" s="1014">
        <v>-0.11111111111111116</v>
      </c>
      <c r="R1549" s="1014">
        <v>-1</v>
      </c>
      <c r="S1549" s="1014">
        <v>1</v>
      </c>
      <c r="T1549" s="1014">
        <v>1</v>
      </c>
      <c r="U1549" s="1014">
        <v>1</v>
      </c>
      <c r="V1549" s="1014">
        <v>-0.33333333333333343</v>
      </c>
      <c r="W1549" s="1014">
        <v>-0.33333333333333343</v>
      </c>
      <c r="X1549" s="1014">
        <v>-0.33333333333333343</v>
      </c>
      <c r="Y1549" s="1014">
        <v>-1</v>
      </c>
      <c r="Z1549" s="1014">
        <f ca="1">_xlfn.XLOOKUP(A1445,TabCalc[Ticker],TabCalc[Imp20])</f>
        <v>-1</v>
      </c>
      <c r="AB1549" s="1014">
        <v>0.21951219512195119</v>
      </c>
      <c r="AC1549" s="1014">
        <v>-1</v>
      </c>
      <c r="AD1549" s="1014">
        <v>-1</v>
      </c>
      <c r="AE1549" s="1014">
        <v>-1</v>
      </c>
      <c r="AF1549" s="1014">
        <v>0.22891566265060237</v>
      </c>
      <c r="AG1549" s="1014">
        <v>0.22891566265060237</v>
      </c>
      <c r="AH1549" s="1014">
        <v>0.25301204819277112</v>
      </c>
      <c r="AI1549" s="1014">
        <v>0.24390243902439024</v>
      </c>
      <c r="AJ1549" s="1014">
        <v>0.24390243902439024</v>
      </c>
      <c r="AK1549" s="1014">
        <v>0.23456790123456783</v>
      </c>
      <c r="AL1549" s="1014">
        <v>0.23456790123456783</v>
      </c>
      <c r="AM1549" s="1014">
        <v>0.23456790123456783</v>
      </c>
      <c r="AN1549" s="1014">
        <v>-1</v>
      </c>
      <c r="AO1549" s="1014">
        <v>0.20987654320987659</v>
      </c>
      <c r="AP1549" s="1014">
        <v>0.20987654320987659</v>
      </c>
      <c r="AQ1549" s="1014">
        <v>0.20987654320987659</v>
      </c>
      <c r="AR1549" s="1014">
        <v>0.18518518518518512</v>
      </c>
      <c r="AS1549" s="1014">
        <v>0.18518518518518512</v>
      </c>
      <c r="AT1549" s="1014">
        <v>0.18518518518518512</v>
      </c>
      <c r="AU1549" s="1014">
        <v>0.19512195121951215</v>
      </c>
      <c r="AV1549" s="1014">
        <f ca="1">_xlfn.XLOOKUP(A1445,TabCalc[Ticker],TabCalc[Imp150])</f>
        <v>0.19512195121951215</v>
      </c>
      <c r="AX1549" s="88" t="str">
        <f t="shared" ca="1" si="115"/>
        <v>MVEALDNE</v>
      </c>
    </row>
    <row r="1550" spans="1:50" hidden="1">
      <c r="A1550" s="88" t="str">
        <f t="shared" ca="1" si="118"/>
        <v>MVEDDD</v>
      </c>
      <c r="F1550" s="1014">
        <v>-1</v>
      </c>
      <c r="G1550" s="1014">
        <v>-1</v>
      </c>
      <c r="H1550" s="1014">
        <v>-0.14285714285714285</v>
      </c>
      <c r="I1550" s="1014">
        <v>-6.6666666666666652E-2</v>
      </c>
      <c r="J1550" s="1014">
        <v>-6.6666666666666652E-2</v>
      </c>
      <c r="K1550" s="1014">
        <v>-6.6666666666666652E-2</v>
      </c>
      <c r="L1550" s="1014">
        <v>-1</v>
      </c>
      <c r="M1550" s="1014">
        <v>-0.125</v>
      </c>
      <c r="N1550" s="1014">
        <v>-0.125</v>
      </c>
      <c r="O1550" s="1014">
        <v>-6.6666666666666652E-2</v>
      </c>
      <c r="P1550" s="1014">
        <v>6.6666666666666652E-2</v>
      </c>
      <c r="Q1550" s="1014">
        <v>-1</v>
      </c>
      <c r="R1550" s="1014">
        <v>0.28571428571428581</v>
      </c>
      <c r="S1550" s="1014">
        <v>0.28571428571428581</v>
      </c>
      <c r="T1550" s="1014">
        <v>0.33333333333333326</v>
      </c>
      <c r="U1550" s="1014">
        <v>0.33333333333333326</v>
      </c>
      <c r="V1550" s="1014">
        <v>-1</v>
      </c>
      <c r="W1550" s="1014">
        <v>-1</v>
      </c>
      <c r="X1550" s="1014">
        <v>-1</v>
      </c>
      <c r="Y1550" s="1014">
        <v>0</v>
      </c>
      <c r="Z1550" s="1014">
        <f ca="1">_xlfn.XLOOKUP(A1446,TabCalc[Ticker],TabCalc[Imp20])</f>
        <v>0</v>
      </c>
      <c r="AB1550" s="1014">
        <v>-1</v>
      </c>
      <c r="AC1550" s="1014">
        <v>-1</v>
      </c>
      <c r="AD1550" s="1014">
        <v>4.2735042735042805E-2</v>
      </c>
      <c r="AE1550" s="1014">
        <v>4.2735042735042805E-2</v>
      </c>
      <c r="AF1550" s="1014">
        <v>5.1724137931034475E-2</v>
      </c>
      <c r="AG1550" s="1014">
        <v>6.8965517241379226E-2</v>
      </c>
      <c r="AH1550" s="1014">
        <v>-1</v>
      </c>
      <c r="AI1550" s="1014">
        <v>5.1724137931034475E-2</v>
      </c>
      <c r="AJ1550" s="1014">
        <v>5.1724137931034475E-2</v>
      </c>
      <c r="AK1550" s="1014">
        <v>4.3478260869565188E-2</v>
      </c>
      <c r="AL1550" s="1014">
        <v>3.4482758620689724E-2</v>
      </c>
      <c r="AM1550" s="1014">
        <v>-1</v>
      </c>
      <c r="AN1550" s="1014">
        <v>6.8965517241379226E-2</v>
      </c>
      <c r="AO1550" s="1014">
        <v>6.8965517241379226E-2</v>
      </c>
      <c r="AP1550" s="1014">
        <v>0.10344827586206895</v>
      </c>
      <c r="AQ1550" s="1014">
        <v>0.10344827586206895</v>
      </c>
      <c r="AR1550" s="1014">
        <v>-1</v>
      </c>
      <c r="AS1550" s="1014">
        <v>-1</v>
      </c>
      <c r="AT1550" s="1014">
        <v>-1</v>
      </c>
      <c r="AU1550" s="1014">
        <v>9.565217391304337E-2</v>
      </c>
      <c r="AV1550" s="1014">
        <f ca="1">_xlfn.XLOOKUP(A1446,TabCalc[Ticker],TabCalc[Imp150])</f>
        <v>9.565217391304337E-2</v>
      </c>
      <c r="AX1550" s="88" t="str">
        <f t="shared" ca="1" si="115"/>
        <v>MVEDDD</v>
      </c>
    </row>
    <row r="1551" spans="1:50" hidden="1">
      <c r="A1551" s="88" t="str">
        <f t="shared" ca="1" si="118"/>
        <v>MVEDSY</v>
      </c>
      <c r="F1551" s="1014">
        <v>-1</v>
      </c>
      <c r="G1551" s="1014">
        <v>-1</v>
      </c>
      <c r="H1551" s="1014">
        <v>-1</v>
      </c>
      <c r="I1551" s="1014">
        <v>0.19999999999999996</v>
      </c>
      <c r="J1551" s="1014">
        <v>0.19999999999999996</v>
      </c>
      <c r="K1551" s="1014">
        <v>0.19999999999999996</v>
      </c>
      <c r="L1551" s="1014">
        <v>0.19999999999999996</v>
      </c>
      <c r="M1551" s="1014">
        <v>0.19999999999999996</v>
      </c>
      <c r="N1551" s="1014">
        <v>0.19999999999999996</v>
      </c>
      <c r="O1551" s="1014">
        <v>0.19999999999999996</v>
      </c>
      <c r="P1551" s="1014">
        <v>0.19999999999999996</v>
      </c>
      <c r="Q1551" s="1014">
        <v>0.19999999999999996</v>
      </c>
      <c r="R1551" s="1014">
        <v>-1</v>
      </c>
      <c r="S1551" s="1014">
        <v>-1</v>
      </c>
      <c r="T1551" s="1014">
        <v>-1</v>
      </c>
      <c r="U1551" s="1014">
        <v>-1</v>
      </c>
      <c r="V1551" s="1014">
        <v>-0.55555555555555558</v>
      </c>
      <c r="W1551" s="1014">
        <v>-0.55555555555555558</v>
      </c>
      <c r="X1551" s="1014">
        <v>-0.55555555555555558</v>
      </c>
      <c r="Y1551" s="1014">
        <v>-0.55555555555555558</v>
      </c>
      <c r="Z1551" s="1014">
        <f ca="1">_xlfn.XLOOKUP(A1447,TabCalc[Ticker],TabCalc[Imp20])</f>
        <v>-0.55555555555555558</v>
      </c>
      <c r="AB1551" s="1014">
        <v>-1</v>
      </c>
      <c r="AC1551" s="1014">
        <v>-1</v>
      </c>
      <c r="AD1551" s="1014">
        <v>-1</v>
      </c>
      <c r="AE1551" s="1014">
        <v>0.12676056338028174</v>
      </c>
      <c r="AF1551" s="1014">
        <v>0.12676056338028174</v>
      </c>
      <c r="AG1551" s="1014">
        <v>0.12676056338028174</v>
      </c>
      <c r="AH1551" s="1014">
        <v>0.12676056338028174</v>
      </c>
      <c r="AI1551" s="1014">
        <v>0.12676056338028174</v>
      </c>
      <c r="AJ1551" s="1014">
        <v>0.12676056338028174</v>
      </c>
      <c r="AK1551" s="1014">
        <v>0.12676056338028174</v>
      </c>
      <c r="AL1551" s="1014">
        <v>0.12676056338028174</v>
      </c>
      <c r="AM1551" s="1014">
        <v>0.12676056338028174</v>
      </c>
      <c r="AN1551" s="1014">
        <v>-1</v>
      </c>
      <c r="AO1551" s="1014">
        <v>-1</v>
      </c>
      <c r="AP1551" s="1014">
        <v>-1</v>
      </c>
      <c r="AQ1551" s="1014">
        <v>-1</v>
      </c>
      <c r="AR1551" s="1014">
        <v>0.12676056338028174</v>
      </c>
      <c r="AS1551" s="1014">
        <v>0.12676056338028174</v>
      </c>
      <c r="AT1551" s="1014">
        <v>0.12676056338028174</v>
      </c>
      <c r="AU1551" s="1014">
        <v>0.12676056338028174</v>
      </c>
      <c r="AV1551" s="1014">
        <f ca="1">_xlfn.XLOOKUP(A1447,TabCalc[Ticker],TabCalc[Imp150])</f>
        <v>0.12676056338028174</v>
      </c>
      <c r="AX1551" s="88" t="str">
        <f t="shared" ca="1" si="115"/>
        <v>MVEDSY</v>
      </c>
    </row>
    <row r="1552" spans="1:50" hidden="1">
      <c r="A1552" s="88" t="str">
        <f t="shared" ca="1" si="118"/>
        <v>MVEEOAN</v>
      </c>
      <c r="F1552" s="1014">
        <v>0.33333333333333326</v>
      </c>
      <c r="G1552" s="1014">
        <v>-1</v>
      </c>
      <c r="H1552" s="1014">
        <v>-1</v>
      </c>
      <c r="I1552" s="1014">
        <v>5.8823529411764719E-2</v>
      </c>
      <c r="J1552" s="1014">
        <v>5.8823529411764719E-2</v>
      </c>
      <c r="K1552" s="1014">
        <v>0.11111111111111116</v>
      </c>
      <c r="L1552" s="1014">
        <v>0.11111111111111116</v>
      </c>
      <c r="M1552" s="1014">
        <v>0.125</v>
      </c>
      <c r="N1552" s="1014">
        <v>0.125</v>
      </c>
      <c r="O1552" s="1014">
        <v>-1</v>
      </c>
      <c r="P1552" s="1014">
        <v>-1</v>
      </c>
      <c r="Q1552" s="1014">
        <v>-1</v>
      </c>
      <c r="R1552" s="1014">
        <v>-1</v>
      </c>
      <c r="S1552" s="1014">
        <v>-1</v>
      </c>
      <c r="T1552" s="1014">
        <v>0</v>
      </c>
      <c r="U1552" s="1014">
        <v>0</v>
      </c>
      <c r="V1552" s="1014">
        <v>-0.25</v>
      </c>
      <c r="W1552" s="1014">
        <v>-0.25</v>
      </c>
      <c r="X1552" s="1014">
        <v>-0.25</v>
      </c>
      <c r="Y1552" s="1014">
        <v>-0.25</v>
      </c>
      <c r="Z1552" s="1014">
        <f ca="1">_xlfn.XLOOKUP(A1448,TabCalc[Ticker],TabCalc[Imp20])</f>
        <v>-0.25</v>
      </c>
      <c r="AB1552" s="1014">
        <v>0.14563106796116498</v>
      </c>
      <c r="AC1552" s="1014">
        <v>-1</v>
      </c>
      <c r="AD1552" s="1014">
        <v>-1</v>
      </c>
      <c r="AE1552" s="1014">
        <v>0.13461538461538458</v>
      </c>
      <c r="AF1552" s="1014">
        <v>0.13461538461538458</v>
      </c>
      <c r="AG1552" s="1014">
        <v>0.12380952380952381</v>
      </c>
      <c r="AH1552" s="1014">
        <v>0.12380952380952381</v>
      </c>
      <c r="AI1552" s="1014">
        <v>0.13461538461538458</v>
      </c>
      <c r="AJ1552" s="1014">
        <v>0.13461538461538458</v>
      </c>
      <c r="AK1552" s="1014">
        <v>-1</v>
      </c>
      <c r="AL1552" s="1014">
        <v>-1</v>
      </c>
      <c r="AM1552" s="1014">
        <v>-1</v>
      </c>
      <c r="AN1552" s="1014">
        <v>0.10679611650485432</v>
      </c>
      <c r="AO1552" s="1014">
        <v>0.10679611650485432</v>
      </c>
      <c r="AP1552" s="1014">
        <v>0.10476190476190483</v>
      </c>
      <c r="AQ1552" s="1014">
        <v>0.10476190476190483</v>
      </c>
      <c r="AR1552" s="1014">
        <v>8.737864077669899E-2</v>
      </c>
      <c r="AS1552" s="1014">
        <v>8.737864077669899E-2</v>
      </c>
      <c r="AT1552" s="1014">
        <v>8.737864077669899E-2</v>
      </c>
      <c r="AU1552" s="1014">
        <v>8.737864077669899E-2</v>
      </c>
      <c r="AV1552" s="1014">
        <f ca="1">_xlfn.XLOOKUP(A1448,TabCalc[Ticker],TabCalc[Imp150])</f>
        <v>8.737864077669899E-2</v>
      </c>
      <c r="AX1552" s="88" t="str">
        <f t="shared" ca="1" si="115"/>
        <v>MVEEOAN</v>
      </c>
    </row>
    <row r="1553" spans="1:50" hidden="1">
      <c r="A1553" s="88" t="str">
        <f t="shared" ca="1" si="118"/>
        <v>MVEENI</v>
      </c>
      <c r="F1553" s="1014">
        <v>-4.7619047619047672E-2</v>
      </c>
      <c r="G1553" s="1014">
        <v>-1</v>
      </c>
      <c r="H1553" s="1014">
        <v>-1</v>
      </c>
      <c r="I1553" s="1014">
        <v>-1</v>
      </c>
      <c r="J1553" s="1014">
        <v>-1</v>
      </c>
      <c r="K1553" s="1014">
        <v>-1</v>
      </c>
      <c r="L1553" s="1014">
        <v>-1</v>
      </c>
      <c r="M1553" s="1014">
        <v>0.19999999999999996</v>
      </c>
      <c r="N1553" s="1014">
        <v>0.19999999999999996</v>
      </c>
      <c r="O1553" s="1014">
        <v>0.19999999999999996</v>
      </c>
      <c r="P1553" s="1014">
        <v>0.19999999999999996</v>
      </c>
      <c r="Q1553" s="1014">
        <v>0.19999999999999996</v>
      </c>
      <c r="R1553" s="1014">
        <v>-1</v>
      </c>
      <c r="S1553" s="1014">
        <v>-1</v>
      </c>
      <c r="T1553" s="1014">
        <v>-1</v>
      </c>
      <c r="U1553" s="1014">
        <v>-1</v>
      </c>
      <c r="V1553" s="1014">
        <v>0.14285714285714279</v>
      </c>
      <c r="W1553" s="1014">
        <v>0.14285714285714279</v>
      </c>
      <c r="X1553" s="1014">
        <v>0.14285714285714279</v>
      </c>
      <c r="Y1553" s="1014">
        <v>0.14285714285714279</v>
      </c>
      <c r="Z1553" s="1014">
        <f ca="1">_xlfn.XLOOKUP(A1449,TabCalc[Ticker],TabCalc[Imp20])</f>
        <v>0.14285714285714279</v>
      </c>
      <c r="AB1553" s="1014">
        <v>-0.1258278145695364</v>
      </c>
      <c r="AC1553" s="1014">
        <v>-1</v>
      </c>
      <c r="AD1553" s="1014">
        <v>-1</v>
      </c>
      <c r="AE1553" s="1014">
        <v>-1</v>
      </c>
      <c r="AF1553" s="1014">
        <v>-1</v>
      </c>
      <c r="AG1553" s="1014">
        <v>-1</v>
      </c>
      <c r="AH1553" s="1014">
        <v>-1</v>
      </c>
      <c r="AI1553" s="1014">
        <v>-7.2727272727272751E-2</v>
      </c>
      <c r="AJ1553" s="1014">
        <v>-7.2727272727272751E-2</v>
      </c>
      <c r="AK1553" s="1014">
        <v>-7.2727272727272751E-2</v>
      </c>
      <c r="AL1553" s="1014">
        <v>-7.2727272727272751E-2</v>
      </c>
      <c r="AM1553" s="1014">
        <v>-7.2727272727272751E-2</v>
      </c>
      <c r="AN1553" s="1014">
        <v>-1</v>
      </c>
      <c r="AO1553" s="1014">
        <v>-1</v>
      </c>
      <c r="AP1553" s="1014">
        <v>-1</v>
      </c>
      <c r="AQ1553" s="1014">
        <v>-1</v>
      </c>
      <c r="AR1553" s="1014">
        <v>-4.5045045045045029E-2</v>
      </c>
      <c r="AS1553" s="1014">
        <v>-4.5045045045045029E-2</v>
      </c>
      <c r="AT1553" s="1014">
        <v>-4.5045045045045029E-2</v>
      </c>
      <c r="AU1553" s="1014">
        <v>-4.5045045045045029E-2</v>
      </c>
      <c r="AV1553" s="1014">
        <f ca="1">_xlfn.XLOOKUP(A1449,TabCalc[Ticker],TabCalc[Imp150])</f>
        <v>-4.5045045045045029E-2</v>
      </c>
      <c r="AX1553" s="88" t="str">
        <f t="shared" ca="1" si="115"/>
        <v>MVEENI</v>
      </c>
    </row>
    <row r="1554" spans="1:50" hidden="1">
      <c r="A1554" s="88" t="str">
        <f t="shared" ca="1" si="118"/>
        <v>MVEEPIX</v>
      </c>
      <c r="F1554" s="1014">
        <v>-1</v>
      </c>
      <c r="G1554" s="1014">
        <v>-1</v>
      </c>
      <c r="H1554" s="1014">
        <v>-1</v>
      </c>
      <c r="I1554" s="1014">
        <v>-1</v>
      </c>
      <c r="J1554" s="1014">
        <v>-1</v>
      </c>
      <c r="K1554" s="1014">
        <v>-1</v>
      </c>
      <c r="L1554" s="1014">
        <v>-1</v>
      </c>
      <c r="M1554" s="1014">
        <v>-1</v>
      </c>
      <c r="N1554" s="1014">
        <v>-1</v>
      </c>
      <c r="O1554" s="1014">
        <v>-1</v>
      </c>
      <c r="P1554" s="1014">
        <v>-1</v>
      </c>
      <c r="Q1554" s="1014">
        <v>-1</v>
      </c>
      <c r="R1554" s="1014">
        <v>0</v>
      </c>
      <c r="S1554" s="1014">
        <v>0</v>
      </c>
      <c r="T1554" s="1014">
        <v>-1</v>
      </c>
      <c r="U1554" s="1014">
        <v>-1</v>
      </c>
      <c r="V1554" s="1014">
        <v>-1</v>
      </c>
      <c r="W1554" s="1014">
        <v>-1</v>
      </c>
      <c r="X1554" s="1014">
        <v>-1</v>
      </c>
      <c r="Y1554" s="1014">
        <v>-1</v>
      </c>
      <c r="Z1554" s="1014">
        <f ca="1">_xlfn.XLOOKUP(A1450,TabCalc[Ticker],TabCalc[Imp20])</f>
        <v>-1</v>
      </c>
      <c r="AB1554" s="1014">
        <v>-1</v>
      </c>
      <c r="AC1554" s="1014">
        <v>-1</v>
      </c>
      <c r="AD1554" s="1014">
        <v>-1</v>
      </c>
      <c r="AE1554" s="1014">
        <v>-1</v>
      </c>
      <c r="AF1554" s="1014">
        <v>-1</v>
      </c>
      <c r="AG1554" s="1014">
        <v>-1</v>
      </c>
      <c r="AH1554" s="1014">
        <v>-1</v>
      </c>
      <c r="AI1554" s="1014">
        <v>-1</v>
      </c>
      <c r="AJ1554" s="1014">
        <v>-1</v>
      </c>
      <c r="AK1554" s="1014">
        <v>-1</v>
      </c>
      <c r="AL1554" s="1014">
        <v>-1</v>
      </c>
      <c r="AM1554" s="1014">
        <v>-1</v>
      </c>
      <c r="AN1554" s="1014">
        <v>-0.10526315789473678</v>
      </c>
      <c r="AO1554" s="1014">
        <v>-0.10526315789473678</v>
      </c>
      <c r="AP1554" s="1014">
        <v>-1</v>
      </c>
      <c r="AQ1554" s="1014">
        <v>-1</v>
      </c>
      <c r="AR1554" s="1014">
        <v>-8.1081081081081086E-2</v>
      </c>
      <c r="AS1554" s="1014">
        <v>-8.1081081081081086E-2</v>
      </c>
      <c r="AT1554" s="1014">
        <v>-8.1081081081081086E-2</v>
      </c>
      <c r="AU1554" s="1014">
        <v>-8.1081081081081086E-2</v>
      </c>
      <c r="AV1554" s="1014">
        <f ca="1">_xlfn.XLOOKUP(A1450,TabCalc[Ticker],TabCalc[Imp150])</f>
        <v>-8.1081081081081086E-2</v>
      </c>
      <c r="AX1554" s="88" t="str">
        <f t="shared" ca="1" si="115"/>
        <v>MVEEPIX</v>
      </c>
    </row>
    <row r="1555" spans="1:50" hidden="1">
      <c r="A1555" s="88" t="str">
        <f t="shared" ca="1" si="118"/>
        <v>MVEGLE</v>
      </c>
      <c r="F1555" s="1014">
        <v>-0.14285714285714285</v>
      </c>
      <c r="G1555" s="1014">
        <v>-1</v>
      </c>
      <c r="H1555" s="1014">
        <v>-1</v>
      </c>
      <c r="I1555" s="1014">
        <v>-1</v>
      </c>
      <c r="J1555" s="1014">
        <v>-1</v>
      </c>
      <c r="K1555" s="1014">
        <v>-1</v>
      </c>
      <c r="L1555" s="1014">
        <v>0.15789473684210531</v>
      </c>
      <c r="M1555" s="1014">
        <v>0.15789473684210531</v>
      </c>
      <c r="N1555" s="1014">
        <v>0.15789473684210531</v>
      </c>
      <c r="O1555" s="1014">
        <v>0.15789473684210531</v>
      </c>
      <c r="P1555" s="1014">
        <v>0.15789473684210531</v>
      </c>
      <c r="Q1555" s="1014">
        <v>0.15789473684210531</v>
      </c>
      <c r="R1555" s="1014">
        <v>-9.0909090909090884E-2</v>
      </c>
      <c r="S1555" s="1014">
        <v>-9.0909090909090884E-2</v>
      </c>
      <c r="T1555" s="1014">
        <v>-1</v>
      </c>
      <c r="U1555" s="1014">
        <v>-1</v>
      </c>
      <c r="V1555" s="1014">
        <v>-1</v>
      </c>
      <c r="W1555" s="1014">
        <v>-1</v>
      </c>
      <c r="X1555" s="1014">
        <v>-1</v>
      </c>
      <c r="Y1555" s="1014">
        <v>-1</v>
      </c>
      <c r="Z1555" s="1014">
        <f ca="1">_xlfn.XLOOKUP(A1451,TabCalc[Ticker],TabCalc[Imp20])</f>
        <v>-1</v>
      </c>
      <c r="AB1555" s="1014">
        <v>-0.20529801324503311</v>
      </c>
      <c r="AC1555" s="1014">
        <v>-1</v>
      </c>
      <c r="AD1555" s="1014">
        <v>-1</v>
      </c>
      <c r="AE1555" s="1014">
        <v>-1</v>
      </c>
      <c r="AF1555" s="1014">
        <v>-1</v>
      </c>
      <c r="AG1555" s="1014">
        <v>-1</v>
      </c>
      <c r="AH1555" s="1014">
        <v>-7.4626865671641784E-2</v>
      </c>
      <c r="AI1555" s="1014">
        <v>-7.4626865671641784E-2</v>
      </c>
      <c r="AJ1555" s="1014">
        <v>-7.4626865671641784E-2</v>
      </c>
      <c r="AK1555" s="1014">
        <v>-7.4626865671641784E-2</v>
      </c>
      <c r="AL1555" s="1014">
        <v>-7.4626865671641784E-2</v>
      </c>
      <c r="AM1555" s="1014">
        <v>-7.4626865671641784E-2</v>
      </c>
      <c r="AN1555" s="1014">
        <v>-4.4117647058823428E-2</v>
      </c>
      <c r="AO1555" s="1014">
        <v>-4.4117647058823428E-2</v>
      </c>
      <c r="AP1555" s="1014">
        <v>-1</v>
      </c>
      <c r="AQ1555" s="1014">
        <v>-1</v>
      </c>
      <c r="AR1555" s="1014">
        <v>-1</v>
      </c>
      <c r="AS1555" s="1014">
        <v>-1</v>
      </c>
      <c r="AT1555" s="1014">
        <v>-1</v>
      </c>
      <c r="AU1555" s="1014">
        <v>-1</v>
      </c>
      <c r="AV1555" s="1014">
        <f ca="1">_xlfn.XLOOKUP(A1451,TabCalc[Ticker],TabCalc[Imp150])</f>
        <v>-1</v>
      </c>
      <c r="AX1555" s="88" t="str">
        <f t="shared" ref="AX1555:AX1618" ca="1" si="119">A1555</f>
        <v>MVEGLE</v>
      </c>
    </row>
    <row r="1556" spans="1:50" hidden="1">
      <c r="A1556" s="88" t="str">
        <f t="shared" ca="1" si="118"/>
        <v>MVEORA</v>
      </c>
      <c r="F1556" s="1014">
        <v>0.23809523809523814</v>
      </c>
      <c r="G1556" s="1014">
        <v>-1</v>
      </c>
      <c r="H1556" s="1014">
        <v>-1</v>
      </c>
      <c r="I1556" s="1014">
        <v>0.53846153846153855</v>
      </c>
      <c r="J1556" s="1014">
        <v>0.53846153846153855</v>
      </c>
      <c r="K1556" s="1014">
        <v>0.53846153846153855</v>
      </c>
      <c r="L1556" s="1014">
        <v>0.53846153846153855</v>
      </c>
      <c r="M1556" s="1014">
        <v>0.53846153846153855</v>
      </c>
      <c r="N1556" s="1014">
        <v>0.53846153846153855</v>
      </c>
      <c r="O1556" s="1014">
        <v>0.53846153846153855</v>
      </c>
      <c r="P1556" s="1014">
        <v>0.53846153846153855</v>
      </c>
      <c r="Q1556" s="1014">
        <v>0.53846153846153855</v>
      </c>
      <c r="R1556" s="1014">
        <v>0</v>
      </c>
      <c r="S1556" s="1014">
        <v>-1</v>
      </c>
      <c r="T1556" s="1014">
        <v>0</v>
      </c>
      <c r="U1556" s="1014">
        <v>0</v>
      </c>
      <c r="V1556" s="1014">
        <v>-1</v>
      </c>
      <c r="W1556" s="1014">
        <v>-1</v>
      </c>
      <c r="X1556" s="1014">
        <v>-1</v>
      </c>
      <c r="Y1556" s="1014">
        <v>-1</v>
      </c>
      <c r="Z1556" s="1014">
        <f ca="1">_xlfn.XLOOKUP(A1452,TabCalc[Ticker],TabCalc[Imp20])</f>
        <v>-1</v>
      </c>
      <c r="AB1556" s="1014">
        <v>-0.11258278145695361</v>
      </c>
      <c r="AC1556" s="1014">
        <v>-1</v>
      </c>
      <c r="AD1556" s="1014">
        <v>-1</v>
      </c>
      <c r="AE1556" s="1014">
        <v>-2.7522935779816515E-2</v>
      </c>
      <c r="AF1556" s="1014">
        <v>-2.7522935779816515E-2</v>
      </c>
      <c r="AG1556" s="1014">
        <v>-2.7522935779816515E-2</v>
      </c>
      <c r="AH1556" s="1014">
        <v>-2.7522935779816515E-2</v>
      </c>
      <c r="AI1556" s="1014">
        <v>-2.7522935779816515E-2</v>
      </c>
      <c r="AJ1556" s="1014">
        <v>-2.7522935779816515E-2</v>
      </c>
      <c r="AK1556" s="1014">
        <v>-2.7522935779816515E-2</v>
      </c>
      <c r="AL1556" s="1014">
        <v>-2.7522935779816515E-2</v>
      </c>
      <c r="AM1556" s="1014">
        <v>-2.7522935779816515E-2</v>
      </c>
      <c r="AN1556" s="1014">
        <v>-6.4220183486238425E-2</v>
      </c>
      <c r="AO1556" s="1014">
        <v>-1</v>
      </c>
      <c r="AP1556" s="1014">
        <v>-2.7522935779816515E-2</v>
      </c>
      <c r="AQ1556" s="1014">
        <v>-2.7522935779816515E-2</v>
      </c>
      <c r="AR1556" s="1014">
        <v>-1</v>
      </c>
      <c r="AS1556" s="1014">
        <v>-1</v>
      </c>
      <c r="AT1556" s="1014">
        <v>-1</v>
      </c>
      <c r="AU1556" s="1014">
        <v>-1</v>
      </c>
      <c r="AV1556" s="1014">
        <f ca="1">_xlfn.XLOOKUP(A1452,TabCalc[Ticker],TabCalc[Imp150])</f>
        <v>-1</v>
      </c>
      <c r="AX1556" s="88" t="str">
        <f t="shared" ca="1" si="119"/>
        <v>MVEORA</v>
      </c>
    </row>
    <row r="1557" spans="1:50" hidden="1">
      <c r="A1557" s="88" t="str">
        <f t="shared" ref="A1557:A1590" ca="1" si="120">A1458</f>
        <v>MVERWE</v>
      </c>
      <c r="F1557" s="1014">
        <v>-4.7619047619047672E-2</v>
      </c>
      <c r="G1557" s="1014">
        <v>-1</v>
      </c>
      <c r="H1557" s="1014">
        <v>-1</v>
      </c>
      <c r="I1557" s="1014">
        <v>0.69230769230769229</v>
      </c>
      <c r="J1557" s="1014">
        <v>0.69230769230769229</v>
      </c>
      <c r="K1557" s="1014">
        <v>0.69230769230769229</v>
      </c>
      <c r="L1557" s="1014">
        <v>0.69230769230769229</v>
      </c>
      <c r="M1557" s="1014">
        <v>0.69230769230769229</v>
      </c>
      <c r="N1557" s="1014">
        <v>0.69230769230769229</v>
      </c>
      <c r="O1557" s="1014">
        <v>0.69230769230769229</v>
      </c>
      <c r="P1557" s="1014">
        <v>0.69230769230769229</v>
      </c>
      <c r="Q1557" s="1014">
        <v>0.69230769230769229</v>
      </c>
      <c r="R1557" s="1014">
        <v>-1</v>
      </c>
      <c r="S1557" s="1014">
        <v>-1</v>
      </c>
      <c r="T1557" s="1014">
        <v>-1</v>
      </c>
      <c r="U1557" s="1014">
        <v>-1</v>
      </c>
      <c r="V1557" s="1014">
        <v>-1</v>
      </c>
      <c r="W1557" s="1014">
        <v>-1</v>
      </c>
      <c r="X1557" s="1014">
        <v>-1</v>
      </c>
      <c r="Y1557" s="1014">
        <v>-1</v>
      </c>
      <c r="Z1557" s="1014">
        <f ca="1">_xlfn.XLOOKUP(A1453,TabCalc[Ticker],TabCalc[Imp20])</f>
        <v>-1</v>
      </c>
      <c r="AB1557" s="1014">
        <v>0.16556291390728473</v>
      </c>
      <c r="AC1557" s="1014">
        <v>-1</v>
      </c>
      <c r="AD1557" s="1014">
        <v>-1</v>
      </c>
      <c r="AE1557" s="1014">
        <v>0.24752475247524752</v>
      </c>
      <c r="AF1557" s="1014">
        <v>0.24752475247524752</v>
      </c>
      <c r="AG1557" s="1014">
        <v>0.24752475247524752</v>
      </c>
      <c r="AH1557" s="1014">
        <v>0.24752475247524752</v>
      </c>
      <c r="AI1557" s="1014">
        <v>0.24752475247524752</v>
      </c>
      <c r="AJ1557" s="1014">
        <v>0.24752475247524752</v>
      </c>
      <c r="AK1557" s="1014">
        <v>0.24752475247524752</v>
      </c>
      <c r="AL1557" s="1014">
        <v>0.24752475247524752</v>
      </c>
      <c r="AM1557" s="1014">
        <v>0.24752475247524752</v>
      </c>
      <c r="AN1557" s="1014">
        <v>-1</v>
      </c>
      <c r="AO1557" s="1014">
        <v>-1</v>
      </c>
      <c r="AP1557" s="1014">
        <v>0.21568627450980382</v>
      </c>
      <c r="AQ1557" s="1014">
        <v>0.21568627450980382</v>
      </c>
      <c r="AR1557" s="1014">
        <v>-1</v>
      </c>
      <c r="AS1557" s="1014">
        <v>-1</v>
      </c>
      <c r="AT1557" s="1014">
        <v>-1</v>
      </c>
      <c r="AU1557" s="1014">
        <v>-1</v>
      </c>
      <c r="AV1557" s="1014">
        <f ca="1">_xlfn.XLOOKUP(A1453,TabCalc[Ticker],TabCalc[Imp150])</f>
        <v>-1</v>
      </c>
      <c r="AX1557" s="88" t="str">
        <f t="shared" ca="1" si="119"/>
        <v>MVERWE</v>
      </c>
    </row>
    <row r="1558" spans="1:50" hidden="1">
      <c r="A1558" s="88" t="str">
        <f t="shared" ca="1" si="120"/>
        <v>MVESAP</v>
      </c>
      <c r="F1558" s="1014">
        <v>0.14285714285714279</v>
      </c>
      <c r="G1558" s="1014">
        <v>-1</v>
      </c>
      <c r="H1558" s="1014">
        <v>-1</v>
      </c>
      <c r="I1558" s="1014">
        <v>-1</v>
      </c>
      <c r="J1558" s="1014">
        <v>-1</v>
      </c>
      <c r="K1558" s="1014">
        <v>-7.6923076923076872E-2</v>
      </c>
      <c r="L1558" s="1014">
        <v>-7.6923076923076872E-2</v>
      </c>
      <c r="M1558" s="1014">
        <v>7.6923076923076872E-2</v>
      </c>
      <c r="N1558" s="1014">
        <v>7.6923076923076872E-2</v>
      </c>
      <c r="O1558" s="1014">
        <v>7.6923076923076872E-2</v>
      </c>
      <c r="P1558" s="1014">
        <v>7.6923076923076872E-2</v>
      </c>
      <c r="Q1558" s="1014">
        <v>7.6923076923076872E-2</v>
      </c>
      <c r="R1558" s="1014">
        <v>0.33333333333333326</v>
      </c>
      <c r="S1558" s="1014">
        <v>0.33333333333333326</v>
      </c>
      <c r="T1558" s="1014">
        <v>-1</v>
      </c>
      <c r="U1558" s="1014">
        <v>-1</v>
      </c>
      <c r="V1558" s="1014">
        <v>-1</v>
      </c>
      <c r="W1558" s="1014">
        <v>-1</v>
      </c>
      <c r="X1558" s="1014">
        <v>-1</v>
      </c>
      <c r="Y1558" s="1014">
        <v>-0.75</v>
      </c>
      <c r="Z1558" s="1014">
        <f ca="1">_xlfn.XLOOKUP(A1454,TabCalc[Ticker],TabCalc[Imp20])</f>
        <v>-0.75</v>
      </c>
      <c r="AB1558" s="1014">
        <v>0.17880794701986757</v>
      </c>
      <c r="AC1558" s="1014">
        <v>-1</v>
      </c>
      <c r="AD1558" s="1014">
        <v>-1</v>
      </c>
      <c r="AE1558" s="1014">
        <v>-1</v>
      </c>
      <c r="AF1558" s="1014">
        <v>-1</v>
      </c>
      <c r="AG1558" s="1014">
        <v>0.22222222222222232</v>
      </c>
      <c r="AH1558" s="1014">
        <v>0.22222222222222232</v>
      </c>
      <c r="AI1558" s="1014">
        <v>0.26666666666666661</v>
      </c>
      <c r="AJ1558" s="1014">
        <v>0.26666666666666661</v>
      </c>
      <c r="AK1558" s="1014">
        <v>0.26666666666666661</v>
      </c>
      <c r="AL1558" s="1014">
        <v>0.26666666666666661</v>
      </c>
      <c r="AM1558" s="1014">
        <v>0.26666666666666661</v>
      </c>
      <c r="AN1558" s="1014">
        <v>0.22727272727272729</v>
      </c>
      <c r="AO1558" s="1014">
        <v>0.22727272727272729</v>
      </c>
      <c r="AP1558" s="1014">
        <v>-1</v>
      </c>
      <c r="AQ1558" s="1014">
        <v>-1</v>
      </c>
      <c r="AR1558" s="1014">
        <v>-1</v>
      </c>
      <c r="AS1558" s="1014">
        <v>-1</v>
      </c>
      <c r="AT1558" s="1014">
        <v>-1</v>
      </c>
      <c r="AU1558" s="1014">
        <v>0.21839080459770122</v>
      </c>
      <c r="AV1558" s="1014">
        <f ca="1">_xlfn.XLOOKUP(A1454,TabCalc[Ticker],TabCalc[Imp150])</f>
        <v>0.21839080459770122</v>
      </c>
      <c r="AX1558" s="88" t="str">
        <f t="shared" ca="1" si="119"/>
        <v>MVESAP</v>
      </c>
    </row>
    <row r="1559" spans="1:50" hidden="1">
      <c r="A1559" s="88" t="str">
        <f t="shared" ca="1" si="120"/>
        <v>MVEUN0</v>
      </c>
      <c r="F1559" s="1014">
        <v>-4.7619047619047672E-2</v>
      </c>
      <c r="G1559" s="1014">
        <v>-1</v>
      </c>
      <c r="H1559" s="1014">
        <v>-1</v>
      </c>
      <c r="I1559" s="1014">
        <v>0</v>
      </c>
      <c r="J1559" s="1014">
        <v>0</v>
      </c>
      <c r="K1559" s="1014">
        <v>0</v>
      </c>
      <c r="L1559" s="1014">
        <v>0</v>
      </c>
      <c r="M1559" s="1014">
        <v>0</v>
      </c>
      <c r="N1559" s="1014">
        <v>0</v>
      </c>
      <c r="O1559" s="1014">
        <v>0</v>
      </c>
      <c r="P1559" s="1014">
        <v>0</v>
      </c>
      <c r="Q1559" s="1014">
        <v>0</v>
      </c>
      <c r="R1559" s="1014">
        <v>-1</v>
      </c>
      <c r="S1559" s="1014">
        <v>-1</v>
      </c>
      <c r="T1559" s="1014">
        <v>-1</v>
      </c>
      <c r="U1559" s="1014">
        <v>-1</v>
      </c>
      <c r="V1559" s="1014">
        <v>-1</v>
      </c>
      <c r="W1559" s="1014">
        <v>-1</v>
      </c>
      <c r="X1559" s="1014">
        <v>-1</v>
      </c>
      <c r="Y1559" s="1014">
        <v>-1</v>
      </c>
      <c r="Z1559" s="1014">
        <f ca="1">_xlfn.XLOOKUP(A1455,TabCalc[Ticker],TabCalc[Imp20])</f>
        <v>-1</v>
      </c>
      <c r="AB1559" s="1014">
        <v>-0.17880794701986757</v>
      </c>
      <c r="AC1559" s="1014">
        <v>-1</v>
      </c>
      <c r="AD1559" s="1014">
        <v>-1</v>
      </c>
      <c r="AE1559" s="1014">
        <v>2.4793388429751984E-2</v>
      </c>
      <c r="AF1559" s="1014">
        <v>2.4793388429751984E-2</v>
      </c>
      <c r="AG1559" s="1014">
        <v>2.4793388429751984E-2</v>
      </c>
      <c r="AH1559" s="1014">
        <v>2.4793388429751984E-2</v>
      </c>
      <c r="AI1559" s="1014">
        <v>2.4793388429751984E-2</v>
      </c>
      <c r="AJ1559" s="1014">
        <v>2.4793388429751984E-2</v>
      </c>
      <c r="AK1559" s="1014">
        <v>2.4793388429751984E-2</v>
      </c>
      <c r="AL1559" s="1014">
        <v>2.4793388429751984E-2</v>
      </c>
      <c r="AM1559" s="1014">
        <v>2.4793388429751984E-2</v>
      </c>
      <c r="AN1559" s="1014">
        <v>-1</v>
      </c>
      <c r="AO1559" s="1014">
        <v>-1</v>
      </c>
      <c r="AP1559" s="1014">
        <v>-1</v>
      </c>
      <c r="AQ1559" s="1014">
        <v>-1</v>
      </c>
      <c r="AR1559" s="1014">
        <v>8.2644628099173278E-3</v>
      </c>
      <c r="AS1559" s="1014">
        <v>8.2644628099173278E-3</v>
      </c>
      <c r="AT1559" s="1014">
        <v>8.2644628099173278E-3</v>
      </c>
      <c r="AU1559" s="1014">
        <v>8.2644628099173278E-3</v>
      </c>
      <c r="AV1559" s="1014">
        <f ca="1">_xlfn.XLOOKUP(A1455,TabCalc[Ticker],TabCalc[Imp150])</f>
        <v>8.2644628099173278E-3</v>
      </c>
      <c r="AX1559" s="88" t="str">
        <f t="shared" ca="1" si="119"/>
        <v>MVEUN0</v>
      </c>
    </row>
    <row r="1560" spans="1:50" hidden="1">
      <c r="A1560" s="88" t="str">
        <f t="shared" ca="1" si="120"/>
        <v>SAFAAPL</v>
      </c>
      <c r="F1560" s="1014">
        <v>0.36842105263157898</v>
      </c>
      <c r="G1560" s="1014">
        <v>-1</v>
      </c>
      <c r="H1560" s="1014">
        <v>0.15789473684210531</v>
      </c>
      <c r="I1560" s="1014">
        <v>-1</v>
      </c>
      <c r="J1560" s="1014">
        <v>-1</v>
      </c>
      <c r="K1560" s="1014">
        <v>-1</v>
      </c>
      <c r="L1560" s="1014">
        <v>5.8823529411764719E-2</v>
      </c>
      <c r="M1560" s="1014">
        <v>5.8823529411764719E-2</v>
      </c>
      <c r="N1560" s="1014">
        <v>5.8823529411764719E-2</v>
      </c>
      <c r="O1560" s="1014">
        <v>5.8823529411764719E-2</v>
      </c>
      <c r="P1560" s="1014">
        <v>5.8823529411764719E-2</v>
      </c>
      <c r="Q1560" s="1014">
        <v>-0.14285714285714285</v>
      </c>
      <c r="R1560" s="1014">
        <v>0.55555555555555558</v>
      </c>
      <c r="S1560" s="1014">
        <v>-0.38461538461538458</v>
      </c>
      <c r="T1560" s="1014">
        <v>0.39999999999999991</v>
      </c>
      <c r="U1560" s="1014">
        <v>0.39999999999999991</v>
      </c>
      <c r="V1560" s="1014">
        <v>0</v>
      </c>
      <c r="W1560" s="1014">
        <v>0</v>
      </c>
      <c r="X1560" s="1014">
        <v>0</v>
      </c>
      <c r="Y1560" s="1014">
        <v>0</v>
      </c>
      <c r="Z1560" s="1014">
        <f ca="1">_xlfn.XLOOKUP(A1456,TabCalc[Ticker],TabCalc[Imp20])</f>
        <v>0</v>
      </c>
      <c r="AB1560" s="1014">
        <v>0.22950819672131151</v>
      </c>
      <c r="AC1560" s="1014">
        <v>-1</v>
      </c>
      <c r="AD1560" s="1014">
        <v>0.19672131147540983</v>
      </c>
      <c r="AE1560" s="1014">
        <v>-1</v>
      </c>
      <c r="AF1560" s="1014">
        <v>-1</v>
      </c>
      <c r="AG1560" s="1014">
        <v>-1</v>
      </c>
      <c r="AH1560" s="1014">
        <v>0.18032786885245899</v>
      </c>
      <c r="AI1560" s="1014">
        <v>0.18032786885245899</v>
      </c>
      <c r="AJ1560" s="1014">
        <v>0.18032786885245899</v>
      </c>
      <c r="AK1560" s="1014">
        <v>0.18032786885245899</v>
      </c>
      <c r="AL1560" s="1014">
        <v>0.18032786885245899</v>
      </c>
      <c r="AM1560" s="1014">
        <v>0.18032786885245899</v>
      </c>
      <c r="AN1560" s="1014">
        <v>0.20325203252032531</v>
      </c>
      <c r="AO1560" s="1014">
        <v>0.20325203252032531</v>
      </c>
      <c r="AP1560" s="1014">
        <v>0.18699186991869921</v>
      </c>
      <c r="AQ1560" s="1014">
        <v>0.18699186991869921</v>
      </c>
      <c r="AR1560" s="1014">
        <v>0.1707317073170731</v>
      </c>
      <c r="AS1560" s="1014">
        <v>0.1707317073170731</v>
      </c>
      <c r="AT1560" s="1014">
        <v>0.1707317073170731</v>
      </c>
      <c r="AU1560" s="1014">
        <v>0.1707317073170731</v>
      </c>
      <c r="AV1560" s="1014">
        <f ca="1">_xlfn.XLOOKUP(A1456,TabCalc[Ticker],TabCalc[Imp150])</f>
        <v>0.1707317073170731</v>
      </c>
      <c r="AX1560" s="88" t="str">
        <f t="shared" ca="1" si="119"/>
        <v>SAFAAPL</v>
      </c>
    </row>
    <row r="1561" spans="1:50" hidden="1">
      <c r="A1561" s="88" t="str">
        <f t="shared" ca="1" si="120"/>
        <v>SAFAMZN</v>
      </c>
      <c r="F1561" s="1014">
        <v>4.7619047619047672E-2</v>
      </c>
      <c r="G1561" s="1014">
        <v>-1</v>
      </c>
      <c r="H1561" s="1014">
        <v>-1</v>
      </c>
      <c r="I1561" s="1014">
        <v>-1</v>
      </c>
      <c r="J1561" s="1014">
        <v>0.29411764705882359</v>
      </c>
      <c r="K1561" s="1014">
        <v>0.29411764705882359</v>
      </c>
      <c r="L1561" s="1014">
        <v>0.52941176470588225</v>
      </c>
      <c r="M1561" s="1014">
        <v>0.52941176470588225</v>
      </c>
      <c r="N1561" s="1014">
        <v>0.52941176470588225</v>
      </c>
      <c r="O1561" s="1014">
        <v>0.52941176470588225</v>
      </c>
      <c r="P1561" s="1014">
        <v>0.52941176470588225</v>
      </c>
      <c r="Q1561" s="1014">
        <v>0.52941176470588225</v>
      </c>
      <c r="R1561" s="1014">
        <v>-1</v>
      </c>
      <c r="S1561" s="1014">
        <v>-1</v>
      </c>
      <c r="T1561" s="1014">
        <v>-1</v>
      </c>
      <c r="U1561" s="1014">
        <v>-1</v>
      </c>
      <c r="V1561" s="1014">
        <v>-1</v>
      </c>
      <c r="W1561" s="1014">
        <v>-1</v>
      </c>
      <c r="X1561" s="1014">
        <v>-1</v>
      </c>
      <c r="Y1561" s="1014">
        <v>-1</v>
      </c>
      <c r="Z1561" s="1014">
        <f ca="1">_xlfn.XLOOKUP(A1457,TabCalc[Ticker],TabCalc[Imp20])</f>
        <v>-1</v>
      </c>
      <c r="AB1561" s="1014">
        <v>5.9602649006622599E-2</v>
      </c>
      <c r="AC1561" s="1014">
        <v>-1</v>
      </c>
      <c r="AD1561" s="1014">
        <v>-1</v>
      </c>
      <c r="AE1561" s="1014">
        <v>-1</v>
      </c>
      <c r="AF1561" s="1014">
        <v>0.14285714285714279</v>
      </c>
      <c r="AG1561" s="1014">
        <v>0.14285714285714279</v>
      </c>
      <c r="AH1561" s="1014">
        <v>0.16071428571428581</v>
      </c>
      <c r="AI1561" s="1014">
        <v>0.16071428571428581</v>
      </c>
      <c r="AJ1561" s="1014">
        <v>0.16071428571428581</v>
      </c>
      <c r="AK1561" s="1014">
        <v>0.16071428571428581</v>
      </c>
      <c r="AL1561" s="1014">
        <v>0.16071428571428581</v>
      </c>
      <c r="AM1561" s="1014">
        <v>0.16071428571428581</v>
      </c>
      <c r="AN1561" s="1014">
        <v>-1</v>
      </c>
      <c r="AO1561" s="1014">
        <v>-1</v>
      </c>
      <c r="AP1561" s="1014">
        <v>-1</v>
      </c>
      <c r="AQ1561" s="1014">
        <v>-1</v>
      </c>
      <c r="AR1561" s="1014">
        <v>-1</v>
      </c>
      <c r="AS1561" s="1014">
        <v>-1</v>
      </c>
      <c r="AT1561" s="1014">
        <v>-1</v>
      </c>
      <c r="AU1561" s="1014">
        <v>-1</v>
      </c>
      <c r="AV1561" s="1014">
        <f ca="1">_xlfn.XLOOKUP(A1457,TabCalc[Ticker],TabCalc[Imp150])</f>
        <v>-1</v>
      </c>
      <c r="AX1561" s="88" t="str">
        <f t="shared" ca="1" si="119"/>
        <v>SAFAMZN</v>
      </c>
    </row>
    <row r="1562" spans="1:50" hidden="1">
      <c r="A1562" s="88" t="str">
        <f t="shared" ca="1" si="120"/>
        <v>SAFASML</v>
      </c>
      <c r="F1562" s="1014">
        <v>-1</v>
      </c>
      <c r="G1562" s="1014">
        <v>-1</v>
      </c>
      <c r="H1562" s="1014">
        <v>-1</v>
      </c>
      <c r="I1562" s="1014">
        <v>0.66666666666666674</v>
      </c>
      <c r="J1562" s="1014">
        <v>0.66666666666666674</v>
      </c>
      <c r="K1562" s="1014">
        <v>0.66666666666666674</v>
      </c>
      <c r="L1562" s="1014">
        <v>0.66666666666666674</v>
      </c>
      <c r="M1562" s="1014">
        <v>0.66666666666666674</v>
      </c>
      <c r="N1562" s="1014">
        <v>0.66666666666666674</v>
      </c>
      <c r="O1562" s="1014">
        <v>0.66666666666666674</v>
      </c>
      <c r="P1562" s="1014">
        <v>0.66666666666666674</v>
      </c>
      <c r="Q1562" s="1014">
        <v>0.66666666666666674</v>
      </c>
      <c r="R1562" s="1014">
        <v>-1</v>
      </c>
      <c r="S1562" s="1014">
        <v>-1</v>
      </c>
      <c r="T1562" s="1014">
        <v>-1</v>
      </c>
      <c r="U1562" s="1014">
        <v>-1</v>
      </c>
      <c r="V1562" s="1014">
        <v>-1</v>
      </c>
      <c r="W1562" s="1014">
        <v>-1</v>
      </c>
      <c r="X1562" s="1014">
        <v>-1</v>
      </c>
      <c r="Y1562" s="1014">
        <v>-1</v>
      </c>
      <c r="Z1562" s="1014">
        <f ca="1">_xlfn.XLOOKUP(A1458,TabCalc[Ticker],TabCalc[Imp20])</f>
        <v>-1</v>
      </c>
      <c r="AB1562" s="1014">
        <v>-1</v>
      </c>
      <c r="AC1562" s="1014">
        <v>-1</v>
      </c>
      <c r="AD1562" s="1014">
        <v>-1</v>
      </c>
      <c r="AE1562" s="1014">
        <v>0.13131313131313127</v>
      </c>
      <c r="AF1562" s="1014">
        <v>0.13131313131313127</v>
      </c>
      <c r="AG1562" s="1014">
        <v>0.13131313131313127</v>
      </c>
      <c r="AH1562" s="1014">
        <v>0.13131313131313127</v>
      </c>
      <c r="AI1562" s="1014">
        <v>0.13131313131313127</v>
      </c>
      <c r="AJ1562" s="1014">
        <v>0.13131313131313127</v>
      </c>
      <c r="AK1562" s="1014">
        <v>0.13131313131313127</v>
      </c>
      <c r="AL1562" s="1014">
        <v>0.13131313131313127</v>
      </c>
      <c r="AM1562" s="1014">
        <v>0.13131313131313127</v>
      </c>
      <c r="AN1562" s="1014">
        <v>-1</v>
      </c>
      <c r="AO1562" s="1014">
        <v>-1</v>
      </c>
      <c r="AP1562" s="1014">
        <v>-1</v>
      </c>
      <c r="AQ1562" s="1014">
        <v>-1</v>
      </c>
      <c r="AR1562" s="1014">
        <v>-1</v>
      </c>
      <c r="AS1562" s="1014">
        <v>-1</v>
      </c>
      <c r="AT1562" s="1014">
        <v>-1</v>
      </c>
      <c r="AU1562" s="1014">
        <v>-1</v>
      </c>
      <c r="AV1562" s="1014">
        <f ca="1">_xlfn.XLOOKUP(A1458,TabCalc[Ticker],TabCalc[Imp150])</f>
        <v>-1</v>
      </c>
      <c r="AX1562" s="88" t="str">
        <f t="shared" ca="1" si="119"/>
        <v>SAFASML</v>
      </c>
    </row>
    <row r="1563" spans="1:50" hidden="1">
      <c r="A1563" s="88" t="str">
        <f t="shared" ca="1" si="120"/>
        <v>SAFDDD</v>
      </c>
      <c r="F1563" s="1014">
        <v>-5.2631578947368529E-2</v>
      </c>
      <c r="G1563" s="1014">
        <v>-1</v>
      </c>
      <c r="H1563" s="1014">
        <v>-1</v>
      </c>
      <c r="I1563" s="1014">
        <v>5.8823529411764719E-2</v>
      </c>
      <c r="J1563" s="1014">
        <v>5.8823529411764719E-2</v>
      </c>
      <c r="K1563" s="1014">
        <v>5.8823529411764719E-2</v>
      </c>
      <c r="L1563" s="1014">
        <v>5.8823529411764719E-2</v>
      </c>
      <c r="M1563" s="1014">
        <v>5.8823529411764719E-2</v>
      </c>
      <c r="N1563" s="1014">
        <v>5.8823529411764719E-2</v>
      </c>
      <c r="O1563" s="1014">
        <v>5.8823529411764719E-2</v>
      </c>
      <c r="P1563" s="1014">
        <v>5.8823529411764719E-2</v>
      </c>
      <c r="Q1563" s="1014">
        <v>5.8823529411764719E-2</v>
      </c>
      <c r="R1563" s="1014">
        <v>0.5</v>
      </c>
      <c r="S1563" s="1014">
        <v>0.5</v>
      </c>
      <c r="T1563" s="1014">
        <v>-0.75</v>
      </c>
      <c r="U1563" s="1014">
        <v>-1</v>
      </c>
      <c r="V1563" s="1014">
        <v>-0.55555555555555558</v>
      </c>
      <c r="W1563" s="1014">
        <v>-0.55555555555555558</v>
      </c>
      <c r="X1563" s="1014">
        <v>-0.55555555555555558</v>
      </c>
      <c r="Y1563" s="1014">
        <v>-0.55555555555555558</v>
      </c>
      <c r="Z1563" s="1014">
        <f ca="1">_xlfn.XLOOKUP(A1459,TabCalc[Ticker],TabCalc[Imp20])</f>
        <v>-0.55555555555555558</v>
      </c>
      <c r="AB1563" s="1014">
        <v>-4.3478260869565188E-2</v>
      </c>
      <c r="AC1563" s="1014">
        <v>-1</v>
      </c>
      <c r="AD1563" s="1014">
        <v>-1</v>
      </c>
      <c r="AE1563" s="1014">
        <v>-2.6548672566371723E-2</v>
      </c>
      <c r="AF1563" s="1014">
        <v>-2.6548672566371723E-2</v>
      </c>
      <c r="AG1563" s="1014">
        <v>-2.6548672566371723E-2</v>
      </c>
      <c r="AH1563" s="1014">
        <v>-2.6548672566371723E-2</v>
      </c>
      <c r="AI1563" s="1014">
        <v>-2.6548672566371723E-2</v>
      </c>
      <c r="AJ1563" s="1014">
        <v>-2.6548672566371723E-2</v>
      </c>
      <c r="AK1563" s="1014">
        <v>-2.6548672566371723E-2</v>
      </c>
      <c r="AL1563" s="1014">
        <v>-2.6548672566371723E-2</v>
      </c>
      <c r="AM1563" s="1014">
        <v>-2.6548672566371723E-2</v>
      </c>
      <c r="AN1563" s="1014">
        <v>4.5045045045045029E-2</v>
      </c>
      <c r="AO1563" s="1014">
        <v>4.5045045045045029E-2</v>
      </c>
      <c r="AP1563" s="1014">
        <v>1.8181818181818077E-2</v>
      </c>
      <c r="AQ1563" s="1014">
        <v>-1</v>
      </c>
      <c r="AR1563" s="1014">
        <v>2.7027027027026973E-2</v>
      </c>
      <c r="AS1563" s="1014">
        <v>2.7027027027026973E-2</v>
      </c>
      <c r="AT1563" s="1014">
        <v>2.7027027027026973E-2</v>
      </c>
      <c r="AU1563" s="1014">
        <v>2.7027027027026973E-2</v>
      </c>
      <c r="AV1563" s="1014">
        <f ca="1">_xlfn.XLOOKUP(A1459,TabCalc[Ticker],TabCalc[Imp150])</f>
        <v>2.7027027027026973E-2</v>
      </c>
      <c r="AX1563" s="88" t="str">
        <f t="shared" ca="1" si="119"/>
        <v>SAFDDD</v>
      </c>
    </row>
    <row r="1564" spans="1:50" hidden="1">
      <c r="A1564" s="88" t="str">
        <f t="shared" ca="1" si="120"/>
        <v>SAFDIS</v>
      </c>
      <c r="F1564" s="1014">
        <v>-1</v>
      </c>
      <c r="G1564" s="1014">
        <v>-1</v>
      </c>
      <c r="H1564" s="1014">
        <v>-1</v>
      </c>
      <c r="I1564" s="1014">
        <v>0</v>
      </c>
      <c r="J1564" s="1014">
        <v>0</v>
      </c>
      <c r="K1564" s="1014">
        <v>0</v>
      </c>
      <c r="L1564" s="1014">
        <v>0</v>
      </c>
      <c r="M1564" s="1014">
        <v>0</v>
      </c>
      <c r="N1564" s="1014">
        <v>0</v>
      </c>
      <c r="O1564" s="1014">
        <v>0</v>
      </c>
      <c r="P1564" s="1014">
        <v>0</v>
      </c>
      <c r="Q1564" s="1014">
        <v>0</v>
      </c>
      <c r="R1564" s="1014">
        <v>-0.60000000000000009</v>
      </c>
      <c r="S1564" s="1014">
        <v>-0.60000000000000009</v>
      </c>
      <c r="T1564" s="1014">
        <v>-1</v>
      </c>
      <c r="U1564" s="1014">
        <v>-1</v>
      </c>
      <c r="V1564" s="1014">
        <v>-1</v>
      </c>
      <c r="W1564" s="1014">
        <v>-1</v>
      </c>
      <c r="X1564" s="1014">
        <v>-1</v>
      </c>
      <c r="Y1564" s="1014">
        <v>-1</v>
      </c>
      <c r="Z1564" s="1014">
        <f ca="1">_xlfn.XLOOKUP(A1460,TabCalc[Ticker],TabCalc[Imp20])</f>
        <v>-1</v>
      </c>
      <c r="AB1564" s="1014">
        <v>-1</v>
      </c>
      <c r="AC1564" s="1014">
        <v>-1</v>
      </c>
      <c r="AD1564" s="1014">
        <v>-1</v>
      </c>
      <c r="AE1564" s="1014">
        <v>-0.1826086956521738</v>
      </c>
      <c r="AF1564" s="1014">
        <v>-0.1826086956521738</v>
      </c>
      <c r="AG1564" s="1014">
        <v>-0.1826086956521738</v>
      </c>
      <c r="AH1564" s="1014">
        <v>-0.1826086956521738</v>
      </c>
      <c r="AI1564" s="1014">
        <v>-0.1826086956521738</v>
      </c>
      <c r="AJ1564" s="1014">
        <v>-0.1826086956521738</v>
      </c>
      <c r="AK1564" s="1014">
        <v>-0.1826086956521738</v>
      </c>
      <c r="AL1564" s="1014">
        <v>-0.1826086956521738</v>
      </c>
      <c r="AM1564" s="1014">
        <v>-0.1826086956521738</v>
      </c>
      <c r="AN1564" s="1014">
        <v>-0.16521739130434782</v>
      </c>
      <c r="AO1564" s="1014">
        <v>-0.16521739130434782</v>
      </c>
      <c r="AP1564" s="1014">
        <v>-1</v>
      </c>
      <c r="AQ1564" s="1014">
        <v>-1</v>
      </c>
      <c r="AR1564" s="1014">
        <v>-1</v>
      </c>
      <c r="AS1564" s="1014">
        <v>-1</v>
      </c>
      <c r="AT1564" s="1014">
        <v>-1</v>
      </c>
      <c r="AU1564" s="1014">
        <v>-1</v>
      </c>
      <c r="AV1564" s="1014">
        <f ca="1">_xlfn.XLOOKUP(A1460,TabCalc[Ticker],TabCalc[Imp150])</f>
        <v>-1</v>
      </c>
      <c r="AX1564" s="88" t="str">
        <f t="shared" ca="1" si="119"/>
        <v>SAFDIS</v>
      </c>
    </row>
    <row r="1565" spans="1:50" hidden="1">
      <c r="A1565" s="88" t="str">
        <f t="shared" ca="1" si="120"/>
        <v>SAFGM</v>
      </c>
      <c r="F1565" s="1014">
        <v>0.17647058823529416</v>
      </c>
      <c r="G1565" s="1014">
        <v>-1</v>
      </c>
      <c r="H1565" s="1014">
        <v>-1</v>
      </c>
      <c r="I1565" s="1014">
        <v>0.19999999999999996</v>
      </c>
      <c r="J1565" s="1014">
        <v>0.19999999999999996</v>
      </c>
      <c r="K1565" s="1014">
        <v>0.19999999999999996</v>
      </c>
      <c r="L1565" s="1014">
        <v>0.19999999999999996</v>
      </c>
      <c r="M1565" s="1014">
        <v>0.19999999999999996</v>
      </c>
      <c r="N1565" s="1014">
        <v>0.19999999999999996</v>
      </c>
      <c r="O1565" s="1014">
        <v>0.19999999999999996</v>
      </c>
      <c r="P1565" s="1014">
        <v>0.14285714285714279</v>
      </c>
      <c r="Q1565" s="1014">
        <v>-1</v>
      </c>
      <c r="R1565" s="1014">
        <v>1</v>
      </c>
      <c r="S1565" s="1014">
        <v>1</v>
      </c>
      <c r="T1565" s="1014">
        <v>-1</v>
      </c>
      <c r="U1565" s="1014">
        <v>0.14285714285714279</v>
      </c>
      <c r="V1565" s="1014">
        <v>-1</v>
      </c>
      <c r="W1565" s="1014">
        <v>-1</v>
      </c>
      <c r="X1565" s="1014">
        <v>-1</v>
      </c>
      <c r="Y1565" s="1014">
        <v>-1</v>
      </c>
      <c r="Z1565" s="1014">
        <f ca="1">_xlfn.XLOOKUP(A1461,TabCalc[Ticker],TabCalc[Imp20])</f>
        <v>-1</v>
      </c>
      <c r="AB1565" s="1014">
        <v>8.4112149532710179E-2</v>
      </c>
      <c r="AC1565" s="1014">
        <v>-1</v>
      </c>
      <c r="AD1565" s="1014">
        <v>-1</v>
      </c>
      <c r="AE1565" s="1014">
        <v>7.547169811320753E-2</v>
      </c>
      <c r="AF1565" s="1014">
        <v>7.547169811320753E-2</v>
      </c>
      <c r="AG1565" s="1014">
        <v>7.547169811320753E-2</v>
      </c>
      <c r="AH1565" s="1014">
        <v>7.547169811320753E-2</v>
      </c>
      <c r="AI1565" s="1014">
        <v>7.547169811320753E-2</v>
      </c>
      <c r="AJ1565" s="1014">
        <v>7.547169811320753E-2</v>
      </c>
      <c r="AK1565" s="1014">
        <v>7.547169811320753E-2</v>
      </c>
      <c r="AL1565" s="1014">
        <v>9.4339622641509413E-2</v>
      </c>
      <c r="AM1565" s="1014">
        <v>0.10476190476190483</v>
      </c>
      <c r="AN1565" s="1014">
        <v>0.12380952380952381</v>
      </c>
      <c r="AO1565" s="1014">
        <v>0.12380952380952381</v>
      </c>
      <c r="AP1565" s="1014">
        <v>-1</v>
      </c>
      <c r="AQ1565" s="1014">
        <v>0.14285714285714279</v>
      </c>
      <c r="AR1565" s="1014">
        <v>0.14285714285714279</v>
      </c>
      <c r="AS1565" s="1014">
        <v>0.14285714285714279</v>
      </c>
      <c r="AT1565" s="1014">
        <v>0.14285714285714279</v>
      </c>
      <c r="AU1565" s="1014">
        <v>0.14285714285714279</v>
      </c>
      <c r="AV1565" s="1014">
        <f ca="1">_xlfn.XLOOKUP(A1461,TabCalc[Ticker],TabCalc[Imp150])</f>
        <v>0.14285714285714279</v>
      </c>
      <c r="AX1565" s="88" t="str">
        <f t="shared" ca="1" si="119"/>
        <v>SAFGM</v>
      </c>
    </row>
    <row r="1566" spans="1:50" hidden="1">
      <c r="A1566" s="88" t="str">
        <f t="shared" ca="1" si="120"/>
        <v>SAFIAG</v>
      </c>
      <c r="F1566" s="1014">
        <v>-4.7619047619047672E-2</v>
      </c>
      <c r="G1566" s="1014">
        <v>-1</v>
      </c>
      <c r="H1566" s="1014">
        <v>-1</v>
      </c>
      <c r="I1566" s="1014">
        <v>-1</v>
      </c>
      <c r="J1566" s="1014">
        <v>0</v>
      </c>
      <c r="K1566" s="1014">
        <v>-0.125</v>
      </c>
      <c r="L1566" s="1014">
        <v>-6.6666666666666652E-2</v>
      </c>
      <c r="M1566" s="1014">
        <v>-6.6666666666666652E-2</v>
      </c>
      <c r="N1566" s="1014">
        <v>-6.6666666666666652E-2</v>
      </c>
      <c r="O1566" s="1014">
        <v>6.6666666666666652E-2</v>
      </c>
      <c r="P1566" s="1014">
        <v>6.6666666666666652E-2</v>
      </c>
      <c r="Q1566" s="1014">
        <v>6.6666666666666652E-2</v>
      </c>
      <c r="R1566" s="1014">
        <v>-1</v>
      </c>
      <c r="S1566" s="1014">
        <v>-1</v>
      </c>
      <c r="T1566" s="1014">
        <v>0.19999999999999996</v>
      </c>
      <c r="U1566" s="1014">
        <v>-1</v>
      </c>
      <c r="V1566" s="1014">
        <v>-1</v>
      </c>
      <c r="W1566" s="1014">
        <v>-1</v>
      </c>
      <c r="X1566" s="1014">
        <v>-1</v>
      </c>
      <c r="Y1566" s="1014">
        <v>-0.66666666666666674</v>
      </c>
      <c r="Z1566" s="1014">
        <f ca="1">_xlfn.XLOOKUP(A1462,TabCalc[Ticker],TabCalc[Imp20])</f>
        <v>-0.66666666666666674</v>
      </c>
      <c r="AB1566" s="1014">
        <v>6.6225165562914245E-3</v>
      </c>
      <c r="AC1566" s="1014">
        <v>-1</v>
      </c>
      <c r="AD1566" s="1014">
        <v>-1</v>
      </c>
      <c r="AE1566" s="1014">
        <v>-1</v>
      </c>
      <c r="AF1566" s="1014">
        <v>-1.7543859649122862E-2</v>
      </c>
      <c r="AG1566" s="1014">
        <v>-1.7543859649122862E-2</v>
      </c>
      <c r="AH1566" s="1014">
        <v>-8.8495575221239076E-3</v>
      </c>
      <c r="AI1566" s="1014">
        <v>8.8495575221239076E-3</v>
      </c>
      <c r="AJ1566" s="1014">
        <v>8.8495575221239076E-3</v>
      </c>
      <c r="AK1566" s="1014">
        <v>8.8495575221239076E-3</v>
      </c>
      <c r="AL1566" s="1014">
        <v>8.8495575221239076E-3</v>
      </c>
      <c r="AM1566" s="1014">
        <v>8.8495575221239076E-3</v>
      </c>
      <c r="AN1566" s="1014">
        <v>-1</v>
      </c>
      <c r="AO1566" s="1014">
        <v>-1</v>
      </c>
      <c r="AP1566" s="1014">
        <v>0</v>
      </c>
      <c r="AQ1566" s="1014">
        <v>-1</v>
      </c>
      <c r="AR1566" s="1014">
        <v>1.7857142857142794E-2</v>
      </c>
      <c r="AS1566" s="1014">
        <v>1.7857142857142794E-2</v>
      </c>
      <c r="AT1566" s="1014">
        <v>1.7857142857142794E-2</v>
      </c>
      <c r="AU1566" s="1014">
        <v>1.7857142857142794E-2</v>
      </c>
      <c r="AV1566" s="1014">
        <f ca="1">_xlfn.XLOOKUP(A1462,TabCalc[Ticker],TabCalc[Imp150])</f>
        <v>1.7857142857142794E-2</v>
      </c>
      <c r="AX1566" s="88" t="str">
        <f t="shared" ca="1" si="119"/>
        <v>SAFIAG</v>
      </c>
    </row>
    <row r="1567" spans="1:50" hidden="1">
      <c r="A1567" s="88" t="str">
        <f t="shared" ca="1" si="120"/>
        <v>SAFMRNA</v>
      </c>
      <c r="F1567" s="1014">
        <v>0.60000000000000009</v>
      </c>
      <c r="G1567" s="1014">
        <v>-1</v>
      </c>
      <c r="H1567" s="1014">
        <v>-1</v>
      </c>
      <c r="I1567" s="1014">
        <v>-1</v>
      </c>
      <c r="J1567" s="1014">
        <v>-1</v>
      </c>
      <c r="K1567" s="1014">
        <v>-1</v>
      </c>
      <c r="L1567" s="1014">
        <v>0.71428571428571419</v>
      </c>
      <c r="M1567" s="1014">
        <v>0.71428571428571419</v>
      </c>
      <c r="N1567" s="1014">
        <v>0.71428571428571419</v>
      </c>
      <c r="O1567" s="1014">
        <v>0.71428571428571419</v>
      </c>
      <c r="P1567" s="1014">
        <v>0.5714285714285714</v>
      </c>
      <c r="Q1567" s="1014">
        <v>0.5714285714285714</v>
      </c>
      <c r="R1567" s="1014">
        <v>0.60000000000000009</v>
      </c>
      <c r="S1567" s="1014">
        <v>0.60000000000000009</v>
      </c>
      <c r="T1567" s="1014">
        <v>-1</v>
      </c>
      <c r="U1567" s="1014">
        <v>0.60000000000000009</v>
      </c>
      <c r="V1567" s="1014">
        <v>-1</v>
      </c>
      <c r="W1567" s="1014">
        <v>-1</v>
      </c>
      <c r="X1567" s="1014">
        <v>-1</v>
      </c>
      <c r="Y1567" s="1014">
        <v>-1</v>
      </c>
      <c r="Z1567" s="1014">
        <f ca="1">_xlfn.XLOOKUP(A1463,TabCalc[Ticker],TabCalc[Imp20])</f>
        <v>-1</v>
      </c>
      <c r="AB1567" s="1014">
        <v>8.0645161290322509E-2</v>
      </c>
      <c r="AC1567" s="1014">
        <v>-1</v>
      </c>
      <c r="AD1567" s="1014">
        <v>-1</v>
      </c>
      <c r="AE1567" s="1014">
        <v>-1</v>
      </c>
      <c r="AF1567" s="1014">
        <v>-1</v>
      </c>
      <c r="AG1567" s="1014">
        <v>-1</v>
      </c>
      <c r="AH1567" s="1014">
        <v>0.11475409836065564</v>
      </c>
      <c r="AI1567" s="1014">
        <v>0.11475409836065564</v>
      </c>
      <c r="AJ1567" s="1014">
        <v>0.11475409836065564</v>
      </c>
      <c r="AK1567" s="1014">
        <v>0.11475409836065564</v>
      </c>
      <c r="AL1567" s="1014">
        <v>0.10569105691056913</v>
      </c>
      <c r="AM1567" s="1014">
        <v>0.10569105691056913</v>
      </c>
      <c r="AN1567" s="1014">
        <v>0.13114754098360648</v>
      </c>
      <c r="AO1567" s="1014">
        <v>0.13114754098360648</v>
      </c>
      <c r="AP1567" s="1014">
        <v>-1</v>
      </c>
      <c r="AQ1567" s="1014">
        <v>0.12396694214876036</v>
      </c>
      <c r="AR1567" s="1014">
        <v>-1</v>
      </c>
      <c r="AS1567" s="1014">
        <v>-1</v>
      </c>
      <c r="AT1567" s="1014">
        <v>-1</v>
      </c>
      <c r="AU1567" s="1014">
        <v>-1</v>
      </c>
      <c r="AV1567" s="1014">
        <f ca="1">_xlfn.XLOOKUP(A1463,TabCalc[Ticker],TabCalc[Imp150])</f>
        <v>-1</v>
      </c>
      <c r="AX1567" s="88" t="str">
        <f t="shared" ca="1" si="119"/>
        <v>SAFMRNA</v>
      </c>
    </row>
    <row r="1568" spans="1:50" hidden="1">
      <c r="A1568" s="88" t="str">
        <f t="shared" ca="1" si="120"/>
        <v>BLNK</v>
      </c>
      <c r="F1568" s="1014">
        <v>0.11111111111111116</v>
      </c>
      <c r="G1568" s="1014">
        <v>-1</v>
      </c>
      <c r="H1568" s="1014">
        <v>-1</v>
      </c>
      <c r="I1568" s="1014">
        <v>0.11111111111111116</v>
      </c>
      <c r="J1568" s="1014">
        <v>0.22222222222222232</v>
      </c>
      <c r="K1568" s="1014">
        <v>-1</v>
      </c>
      <c r="L1568" s="1014">
        <v>-1</v>
      </c>
      <c r="M1568" s="1014">
        <v>-1</v>
      </c>
      <c r="N1568" s="1014">
        <v>-1</v>
      </c>
      <c r="O1568" s="1014">
        <v>-1</v>
      </c>
      <c r="P1568" s="1014">
        <v>-1</v>
      </c>
      <c r="Q1568" s="1014">
        <v>-1</v>
      </c>
      <c r="R1568" s="1014">
        <v>-1</v>
      </c>
      <c r="S1568" s="1014">
        <v>-1</v>
      </c>
      <c r="T1568" s="1014">
        <v>0</v>
      </c>
      <c r="U1568" s="1014">
        <v>0</v>
      </c>
      <c r="V1568" s="1014">
        <v>-1</v>
      </c>
      <c r="W1568" s="1014">
        <v>-1</v>
      </c>
      <c r="X1568" s="1014">
        <v>-1</v>
      </c>
      <c r="Y1568" s="1014">
        <v>-1</v>
      </c>
      <c r="Z1568" s="1014">
        <f ca="1">_xlfn.XLOOKUP(A1464,TabCalc[Ticker],TabCalc[Imp20])</f>
        <v>-1</v>
      </c>
      <c r="AB1568" s="1014">
        <v>-0.10447761194029853</v>
      </c>
      <c r="AC1568" s="1014">
        <v>-1</v>
      </c>
      <c r="AD1568" s="1014">
        <v>-1</v>
      </c>
      <c r="AE1568" s="1014">
        <v>-0.10447761194029853</v>
      </c>
      <c r="AF1568" s="1014">
        <v>-0.10447761194029853</v>
      </c>
      <c r="AG1568" s="1014">
        <v>-1</v>
      </c>
      <c r="AH1568" s="1014">
        <v>-1</v>
      </c>
      <c r="AI1568" s="1014">
        <v>-1</v>
      </c>
      <c r="AJ1568" s="1014">
        <v>-1</v>
      </c>
      <c r="AK1568" s="1014">
        <v>-1</v>
      </c>
      <c r="AL1568" s="1014">
        <v>-1</v>
      </c>
      <c r="AM1568" s="1014">
        <v>-1</v>
      </c>
      <c r="AN1568" s="1014">
        <v>-1</v>
      </c>
      <c r="AO1568" s="1014">
        <v>-1</v>
      </c>
      <c r="AP1568" s="1014">
        <v>-3.7037037037037146E-2</v>
      </c>
      <c r="AQ1568" s="1014">
        <v>-3.7037037037037146E-2</v>
      </c>
      <c r="AR1568" s="1014">
        <v>-1</v>
      </c>
      <c r="AS1568" s="1014">
        <v>-1</v>
      </c>
      <c r="AT1568" s="1014">
        <v>-1</v>
      </c>
      <c r="AU1568" s="1014">
        <v>-1</v>
      </c>
      <c r="AV1568" s="1014">
        <f ca="1">_xlfn.XLOOKUP(A1464,TabCalc[Ticker],TabCalc[Imp150])</f>
        <v>-1</v>
      </c>
      <c r="AX1568" s="88" t="str">
        <f t="shared" ca="1" si="119"/>
        <v>BLNK</v>
      </c>
    </row>
    <row r="1569" spans="1:50" hidden="1">
      <c r="A1569" s="88" t="str">
        <f t="shared" ca="1" si="120"/>
        <v>ENI</v>
      </c>
      <c r="F1569" s="1014">
        <v>-0.14285714285714285</v>
      </c>
      <c r="G1569" s="1014">
        <v>-1</v>
      </c>
      <c r="H1569" s="1014">
        <v>-1</v>
      </c>
      <c r="I1569" s="1014">
        <v>-0.19999999999999996</v>
      </c>
      <c r="J1569" s="1014">
        <v>-0.19999999999999996</v>
      </c>
      <c r="K1569" s="1014">
        <v>-1</v>
      </c>
      <c r="L1569" s="1014">
        <v>-1</v>
      </c>
      <c r="M1569" s="1014">
        <v>-1</v>
      </c>
      <c r="N1569" s="1014">
        <v>-1</v>
      </c>
      <c r="O1569" s="1014">
        <v>-1</v>
      </c>
      <c r="P1569" s="1014">
        <v>-1</v>
      </c>
      <c r="Q1569" s="1014">
        <v>-1</v>
      </c>
      <c r="R1569" s="1014">
        <v>-1</v>
      </c>
      <c r="S1569" s="1014">
        <v>-1</v>
      </c>
      <c r="T1569" s="1014">
        <v>-1</v>
      </c>
      <c r="U1569" s="1014">
        <v>-1</v>
      </c>
      <c r="V1569" s="1014">
        <v>-1</v>
      </c>
      <c r="W1569" s="1014">
        <v>-1</v>
      </c>
      <c r="X1569" s="1014">
        <v>-1</v>
      </c>
      <c r="Y1569" s="1014">
        <v>-1</v>
      </c>
      <c r="Z1569" s="1014">
        <f ca="1">_xlfn.XLOOKUP(A1465,TabCalc[Ticker],TabCalc[Imp20])</f>
        <v>-1</v>
      </c>
      <c r="AB1569" s="1014">
        <v>5.6603773584905648E-2</v>
      </c>
      <c r="AC1569" s="1014">
        <v>-1</v>
      </c>
      <c r="AD1569" s="1014">
        <v>-1</v>
      </c>
      <c r="AE1569" s="1014">
        <v>6.6666666666666652E-2</v>
      </c>
      <c r="AF1569" s="1014">
        <v>6.6666666666666652E-2</v>
      </c>
      <c r="AG1569" s="1014">
        <v>-1</v>
      </c>
      <c r="AH1569" s="1014">
        <v>-1</v>
      </c>
      <c r="AI1569" s="1014">
        <v>-1</v>
      </c>
      <c r="AJ1569" s="1014">
        <v>-1</v>
      </c>
      <c r="AK1569" s="1014">
        <v>-1</v>
      </c>
      <c r="AL1569" s="1014">
        <v>-1</v>
      </c>
      <c r="AM1569" s="1014">
        <v>-1</v>
      </c>
      <c r="AN1569" s="1014">
        <v>-1</v>
      </c>
      <c r="AO1569" s="1014">
        <v>-1</v>
      </c>
      <c r="AP1569" s="1014">
        <v>-1</v>
      </c>
      <c r="AQ1569" s="1014">
        <v>-1</v>
      </c>
      <c r="AR1569" s="1014">
        <v>-1</v>
      </c>
      <c r="AS1569" s="1014">
        <v>-1</v>
      </c>
      <c r="AT1569" s="1014">
        <v>-1</v>
      </c>
      <c r="AU1569" s="1014">
        <v>-1</v>
      </c>
      <c r="AV1569" s="1014">
        <f ca="1">_xlfn.XLOOKUP(A1465,TabCalc[Ticker],TabCalc[Imp150])</f>
        <v>-1</v>
      </c>
      <c r="AX1569" s="88" t="str">
        <f t="shared" ca="1" si="119"/>
        <v>ENI</v>
      </c>
    </row>
    <row r="1570" spans="1:50" hidden="1">
      <c r="A1570" s="88" t="str">
        <f t="shared" ca="1" si="120"/>
        <v>EZJ</v>
      </c>
      <c r="F1570" s="1014">
        <v>-0.14285714285714285</v>
      </c>
      <c r="G1570" s="1014">
        <v>0.11111111111111116</v>
      </c>
      <c r="H1570" s="1014">
        <v>0.11111111111111116</v>
      </c>
      <c r="I1570" s="1014">
        <v>0.11111111111111116</v>
      </c>
      <c r="J1570" s="1014">
        <v>0.11111111111111116</v>
      </c>
      <c r="K1570" s="1014">
        <v>0.11111111111111116</v>
      </c>
      <c r="L1570" s="1014">
        <v>0.11111111111111116</v>
      </c>
      <c r="M1570" s="1014">
        <v>0.11111111111111116</v>
      </c>
      <c r="N1570" s="1014">
        <v>0.11111111111111116</v>
      </c>
      <c r="O1570" s="1014">
        <v>0.11111111111111116</v>
      </c>
      <c r="P1570" s="1014">
        <v>0.11111111111111116</v>
      </c>
      <c r="Q1570" s="1014">
        <v>0.11111111111111116</v>
      </c>
      <c r="R1570" s="1014">
        <v>0.11111111111111116</v>
      </c>
      <c r="S1570" s="1014">
        <v>0.11111111111111116</v>
      </c>
      <c r="T1570" s="1014">
        <v>0.11111111111111116</v>
      </c>
      <c r="U1570" s="1014">
        <v>0.11111111111111116</v>
      </c>
      <c r="V1570" s="1014">
        <v>0.11111111111111116</v>
      </c>
      <c r="W1570" s="1014">
        <v>0.11111111111111116</v>
      </c>
      <c r="X1570" s="1014">
        <v>0.11111111111111116</v>
      </c>
      <c r="Y1570" s="1014">
        <v>0.11111111111111116</v>
      </c>
      <c r="Z1570" s="1014">
        <f ca="1">_xlfn.XLOOKUP(A1466,TabCalc[Ticker],TabCalc[Imp20])</f>
        <v>0.11111111111111116</v>
      </c>
      <c r="AB1570" s="1014">
        <v>0.11258278145695355</v>
      </c>
      <c r="AC1570" s="1014">
        <v>-0.10447761194029853</v>
      </c>
      <c r="AD1570" s="1014">
        <v>-0.10447761194029853</v>
      </c>
      <c r="AE1570" s="1014">
        <v>-0.10447761194029853</v>
      </c>
      <c r="AF1570" s="1014">
        <v>-0.10447761194029853</v>
      </c>
      <c r="AG1570" s="1014">
        <v>-0.10447761194029853</v>
      </c>
      <c r="AH1570" s="1014">
        <v>-0.10447761194029853</v>
      </c>
      <c r="AI1570" s="1014">
        <v>-0.10447761194029853</v>
      </c>
      <c r="AJ1570" s="1014">
        <v>-0.10447761194029853</v>
      </c>
      <c r="AK1570" s="1014">
        <v>-0.10447761194029853</v>
      </c>
      <c r="AL1570" s="1014">
        <v>-0.10447761194029853</v>
      </c>
      <c r="AM1570" s="1014">
        <v>-0.10447761194029853</v>
      </c>
      <c r="AN1570" s="1014">
        <v>-0.10447761194029853</v>
      </c>
      <c r="AO1570" s="1014">
        <v>-0.10447761194029853</v>
      </c>
      <c r="AP1570" s="1014">
        <v>-0.10447761194029853</v>
      </c>
      <c r="AQ1570" s="1014">
        <v>-0.10447761194029853</v>
      </c>
      <c r="AR1570" s="1014">
        <v>-0.10447761194029853</v>
      </c>
      <c r="AS1570" s="1014">
        <v>-0.10447761194029853</v>
      </c>
      <c r="AT1570" s="1014">
        <v>-0.10447761194029853</v>
      </c>
      <c r="AU1570" s="1014">
        <v>-0.10447761194029853</v>
      </c>
      <c r="AV1570" s="1014">
        <f ca="1">_xlfn.XLOOKUP(A1466,TabCalc[Ticker],TabCalc[Imp150])</f>
        <v>-0.10447761194029853</v>
      </c>
      <c r="AX1570" s="88" t="str">
        <f t="shared" ca="1" si="119"/>
        <v>EZJ</v>
      </c>
    </row>
    <row r="1571" spans="1:50" hidden="1">
      <c r="A1571" s="88" t="str">
        <f t="shared" ca="1" si="120"/>
        <v>F</v>
      </c>
      <c r="F1571" s="1014">
        <v>-1</v>
      </c>
      <c r="G1571" s="1014">
        <v>-0.14285714285714285</v>
      </c>
      <c r="H1571" s="1014">
        <v>-0.14285714285714285</v>
      </c>
      <c r="I1571" s="1014">
        <v>-0.14285714285714285</v>
      </c>
      <c r="J1571" s="1014">
        <v>-0.14285714285714285</v>
      </c>
      <c r="K1571" s="1014">
        <v>-0.14285714285714285</v>
      </c>
      <c r="L1571" s="1014">
        <v>-0.14285714285714285</v>
      </c>
      <c r="M1571" s="1014">
        <v>-0.14285714285714285</v>
      </c>
      <c r="N1571" s="1014">
        <v>-0.14285714285714285</v>
      </c>
      <c r="O1571" s="1014">
        <v>-0.14285714285714285</v>
      </c>
      <c r="P1571" s="1014">
        <v>-0.14285714285714285</v>
      </c>
      <c r="Q1571" s="1014">
        <v>-0.14285714285714285</v>
      </c>
      <c r="R1571" s="1014">
        <v>-0.14285714285714285</v>
      </c>
      <c r="S1571" s="1014">
        <v>-0.14285714285714285</v>
      </c>
      <c r="T1571" s="1014">
        <v>-0.14285714285714285</v>
      </c>
      <c r="U1571" s="1014">
        <v>-0.14285714285714285</v>
      </c>
      <c r="V1571" s="1014">
        <v>-0.14285714285714285</v>
      </c>
      <c r="W1571" s="1014">
        <v>-0.14285714285714285</v>
      </c>
      <c r="X1571" s="1014">
        <v>-0.14285714285714285</v>
      </c>
      <c r="Y1571" s="1014">
        <v>-0.14285714285714285</v>
      </c>
      <c r="Z1571" s="1014">
        <f ca="1">_xlfn.XLOOKUP(A1467,TabCalc[Ticker],TabCalc[Imp20])</f>
        <v>-0.14285714285714285</v>
      </c>
      <c r="AB1571" s="1014">
        <v>-1</v>
      </c>
      <c r="AC1571" s="1014">
        <v>5.6603773584905648E-2</v>
      </c>
      <c r="AD1571" s="1014">
        <v>5.6603773584905648E-2</v>
      </c>
      <c r="AE1571" s="1014">
        <v>5.6603773584905648E-2</v>
      </c>
      <c r="AF1571" s="1014">
        <v>5.6603773584905648E-2</v>
      </c>
      <c r="AG1571" s="1014">
        <v>5.6603773584905648E-2</v>
      </c>
      <c r="AH1571" s="1014">
        <v>5.6603773584905648E-2</v>
      </c>
      <c r="AI1571" s="1014">
        <v>5.6603773584905648E-2</v>
      </c>
      <c r="AJ1571" s="1014">
        <v>5.6603773584905648E-2</v>
      </c>
      <c r="AK1571" s="1014">
        <v>5.6603773584905648E-2</v>
      </c>
      <c r="AL1571" s="1014">
        <v>5.6603773584905648E-2</v>
      </c>
      <c r="AM1571" s="1014">
        <v>5.6603773584905648E-2</v>
      </c>
      <c r="AN1571" s="1014">
        <v>5.6603773584905648E-2</v>
      </c>
      <c r="AO1571" s="1014">
        <v>5.6603773584905648E-2</v>
      </c>
      <c r="AP1571" s="1014">
        <v>5.6603773584905648E-2</v>
      </c>
      <c r="AQ1571" s="1014">
        <v>5.6603773584905648E-2</v>
      </c>
      <c r="AR1571" s="1014">
        <v>5.6603773584905648E-2</v>
      </c>
      <c r="AS1571" s="1014">
        <v>5.6603773584905648E-2</v>
      </c>
      <c r="AT1571" s="1014">
        <v>5.6603773584905648E-2</v>
      </c>
      <c r="AU1571" s="1014">
        <v>5.6603773584905648E-2</v>
      </c>
      <c r="AV1571" s="1014">
        <f ca="1">_xlfn.XLOOKUP(A1467,TabCalc[Ticker],TabCalc[Imp150])</f>
        <v>5.6603773584905648E-2</v>
      </c>
      <c r="AX1571" s="88" t="str">
        <f t="shared" ca="1" si="119"/>
        <v>F</v>
      </c>
    </row>
    <row r="1572" spans="1:50" hidden="1">
      <c r="A1572" s="88" t="str">
        <f t="shared" ca="1" si="120"/>
        <v>GLE</v>
      </c>
      <c r="F1572" s="1014">
        <v>-0.11111111111111116</v>
      </c>
      <c r="G1572" s="1014">
        <v>-1</v>
      </c>
      <c r="H1572" s="1014">
        <v>-1</v>
      </c>
      <c r="I1572" s="1014">
        <v>-1</v>
      </c>
      <c r="J1572" s="1014">
        <v>-1</v>
      </c>
      <c r="K1572" s="1014">
        <v>-1</v>
      </c>
      <c r="L1572" s="1014">
        <v>-1</v>
      </c>
      <c r="M1572" s="1014">
        <v>-1</v>
      </c>
      <c r="N1572" s="1014">
        <v>-1</v>
      </c>
      <c r="O1572" s="1014">
        <v>-1</v>
      </c>
      <c r="P1572" s="1014">
        <v>-1</v>
      </c>
      <c r="Q1572" s="1014">
        <v>-1</v>
      </c>
      <c r="R1572" s="1014">
        <v>1</v>
      </c>
      <c r="S1572" s="1014">
        <v>1</v>
      </c>
      <c r="T1572" s="1014">
        <v>-1</v>
      </c>
      <c r="U1572" s="1014">
        <v>-1</v>
      </c>
      <c r="V1572" s="1014">
        <v>-0.14285714285714285</v>
      </c>
      <c r="W1572" s="1014">
        <v>-0.14285714285714285</v>
      </c>
      <c r="X1572" s="1014">
        <v>-0.14285714285714285</v>
      </c>
      <c r="Y1572" s="1014">
        <v>-0.14285714285714285</v>
      </c>
      <c r="Z1572" s="1014">
        <f ca="1">_xlfn.XLOOKUP(A1468,TabCalc[Ticker],TabCalc[Imp20])</f>
        <v>-0.14285714285714285</v>
      </c>
      <c r="AB1572" s="1014">
        <v>-0.10144927536231885</v>
      </c>
      <c r="AC1572" s="1014">
        <v>-1</v>
      </c>
      <c r="AD1572" s="1014">
        <v>-1</v>
      </c>
      <c r="AE1572" s="1014">
        <v>-1</v>
      </c>
      <c r="AF1572" s="1014">
        <v>-1</v>
      </c>
      <c r="AG1572" s="1014">
        <v>-1</v>
      </c>
      <c r="AH1572" s="1014">
        <v>-1</v>
      </c>
      <c r="AI1572" s="1014">
        <v>-1</v>
      </c>
      <c r="AJ1572" s="1014">
        <v>-1</v>
      </c>
      <c r="AK1572" s="1014">
        <v>-1</v>
      </c>
      <c r="AL1572" s="1014">
        <v>-1</v>
      </c>
      <c r="AM1572" s="1014">
        <v>-1</v>
      </c>
      <c r="AN1572" s="1014">
        <v>-8.6956521739130432E-2</v>
      </c>
      <c r="AO1572" s="1014">
        <v>-8.6956521739130432E-2</v>
      </c>
      <c r="AP1572" s="1014">
        <v>-1</v>
      </c>
      <c r="AQ1572" s="1014">
        <v>-1</v>
      </c>
      <c r="AR1572" s="1014">
        <v>-9.3525179856115026E-2</v>
      </c>
      <c r="AS1572" s="1014">
        <v>-9.3525179856115026E-2</v>
      </c>
      <c r="AT1572" s="1014">
        <v>-9.3525179856115026E-2</v>
      </c>
      <c r="AU1572" s="1014">
        <v>-9.3525179856115026E-2</v>
      </c>
      <c r="AV1572" s="1014">
        <f ca="1">_xlfn.XLOOKUP(A1468,TabCalc[Ticker],TabCalc[Imp150])</f>
        <v>-9.3525179856115026E-2</v>
      </c>
      <c r="AX1572" s="88" t="str">
        <f t="shared" ca="1" si="119"/>
        <v>GLE</v>
      </c>
    </row>
    <row r="1573" spans="1:50" hidden="1">
      <c r="A1573" s="88" t="str">
        <f t="shared" ca="1" si="120"/>
        <v>GNRC</v>
      </c>
      <c r="F1573" s="1014">
        <v>0</v>
      </c>
      <c r="G1573" s="1014">
        <v>-1</v>
      </c>
      <c r="H1573" s="1014">
        <v>-1</v>
      </c>
      <c r="I1573" s="1014">
        <v>-1</v>
      </c>
      <c r="J1573" s="1014">
        <v>-1</v>
      </c>
      <c r="K1573" s="1014">
        <v>-1</v>
      </c>
      <c r="L1573" s="1014">
        <v>0.14285714285714279</v>
      </c>
      <c r="M1573" s="1014">
        <v>4.7619047619047672E-2</v>
      </c>
      <c r="N1573" s="1014">
        <v>4.7619047619047672E-2</v>
      </c>
      <c r="O1573" s="1014">
        <v>-4.7619047619047672E-2</v>
      </c>
      <c r="P1573" s="1014">
        <v>0</v>
      </c>
      <c r="Q1573" s="1014">
        <v>0.29411764705882359</v>
      </c>
      <c r="R1573" s="1014">
        <v>-1</v>
      </c>
      <c r="S1573" s="1014">
        <v>-1</v>
      </c>
      <c r="T1573" s="1014">
        <v>5.8823529411764719E-2</v>
      </c>
      <c r="U1573" s="1014">
        <v>5.8823529411764719E-2</v>
      </c>
      <c r="V1573" s="1014">
        <v>0</v>
      </c>
      <c r="W1573" s="1014">
        <v>0</v>
      </c>
      <c r="X1573" s="1014">
        <v>0</v>
      </c>
      <c r="Y1573" s="1014">
        <v>0</v>
      </c>
      <c r="Z1573" s="1014">
        <f ca="1">_xlfn.XLOOKUP(A1469,TabCalc[Ticker],TabCalc[Imp20])</f>
        <v>0</v>
      </c>
      <c r="AB1573" s="1014">
        <v>0</v>
      </c>
      <c r="AC1573" s="1014">
        <v>-1</v>
      </c>
      <c r="AD1573" s="1014">
        <v>-1</v>
      </c>
      <c r="AE1573" s="1014">
        <v>-1</v>
      </c>
      <c r="AF1573" s="1014">
        <v>-1</v>
      </c>
      <c r="AG1573" s="1014">
        <v>-1</v>
      </c>
      <c r="AH1573" s="1014">
        <v>1.4084507042253502E-2</v>
      </c>
      <c r="AI1573" s="1014">
        <v>0</v>
      </c>
      <c r="AJ1573" s="1014">
        <v>0</v>
      </c>
      <c r="AK1573" s="1014">
        <v>-2.8169014084507005E-2</v>
      </c>
      <c r="AL1573" s="1014">
        <v>-1.4084507042253502E-2</v>
      </c>
      <c r="AM1573" s="1014">
        <v>0</v>
      </c>
      <c r="AN1573" s="1014">
        <v>-1</v>
      </c>
      <c r="AO1573" s="1014">
        <v>-1</v>
      </c>
      <c r="AP1573" s="1014">
        <v>-1.4084507042253502E-2</v>
      </c>
      <c r="AQ1573" s="1014">
        <v>-1.4084507042253502E-2</v>
      </c>
      <c r="AR1573" s="1014">
        <v>-2.8169014084507005E-2</v>
      </c>
      <c r="AS1573" s="1014">
        <v>-2.8169014084507005E-2</v>
      </c>
      <c r="AT1573" s="1014">
        <v>-2.8169014084507005E-2</v>
      </c>
      <c r="AU1573" s="1014">
        <v>-2.8169014084507005E-2</v>
      </c>
      <c r="AV1573" s="1014">
        <f ca="1">_xlfn.XLOOKUP(A1469,TabCalc[Ticker],TabCalc[Imp150])</f>
        <v>-2.8169014084507005E-2</v>
      </c>
      <c r="AX1573" s="88" t="str">
        <f t="shared" ca="1" si="119"/>
        <v>GNRC</v>
      </c>
    </row>
    <row r="1574" spans="1:50" hidden="1">
      <c r="A1574" s="88" t="str">
        <f t="shared" ca="1" si="120"/>
        <v>GS</v>
      </c>
      <c r="F1574" s="1014">
        <v>0.14285714285714279</v>
      </c>
      <c r="G1574" s="1014">
        <v>-1</v>
      </c>
      <c r="H1574" s="1014">
        <v>-1</v>
      </c>
      <c r="I1574" s="1014">
        <v>-7.6923076923076872E-2</v>
      </c>
      <c r="J1574" s="1014">
        <v>-7.6923076923076872E-2</v>
      </c>
      <c r="K1574" s="1014">
        <v>7.6923076923076872E-2</v>
      </c>
      <c r="L1574" s="1014">
        <v>7.6923076923076872E-2</v>
      </c>
      <c r="M1574" s="1014">
        <v>7.6923076923076872E-2</v>
      </c>
      <c r="N1574" s="1014">
        <v>7.6923076923076872E-2</v>
      </c>
      <c r="O1574" s="1014">
        <v>0.14285714285714279</v>
      </c>
      <c r="P1574" s="1014">
        <v>0.14285714285714279</v>
      </c>
      <c r="Q1574" s="1014">
        <v>0.14285714285714279</v>
      </c>
      <c r="R1574" s="1014">
        <v>-1</v>
      </c>
      <c r="S1574" s="1014">
        <v>-1</v>
      </c>
      <c r="T1574" s="1014">
        <v>-1</v>
      </c>
      <c r="U1574" s="1014">
        <v>-1</v>
      </c>
      <c r="V1574" s="1014">
        <v>-1</v>
      </c>
      <c r="W1574" s="1014">
        <v>-1</v>
      </c>
      <c r="X1574" s="1014">
        <v>-0.14285714285714285</v>
      </c>
      <c r="Y1574" s="1014">
        <v>-0.75</v>
      </c>
      <c r="Z1574" s="1014">
        <f ca="1">_xlfn.XLOOKUP(A1470,TabCalc[Ticker],TabCalc[Imp20])</f>
        <v>-0.75</v>
      </c>
      <c r="AB1574" s="1014">
        <v>0.16556291390728473</v>
      </c>
      <c r="AC1574" s="1014">
        <v>-1</v>
      </c>
      <c r="AD1574" s="1014">
        <v>-1</v>
      </c>
      <c r="AE1574" s="1014">
        <v>0.20879120879120872</v>
      </c>
      <c r="AF1574" s="1014">
        <v>0.20879120879120872</v>
      </c>
      <c r="AG1574" s="1014">
        <v>0.23076923076923084</v>
      </c>
      <c r="AH1574" s="1014">
        <v>0.24444444444444446</v>
      </c>
      <c r="AI1574" s="1014">
        <v>0.26666666666666661</v>
      </c>
      <c r="AJ1574" s="1014">
        <v>0.26666666666666661</v>
      </c>
      <c r="AK1574" s="1014">
        <v>0.26666666666666661</v>
      </c>
      <c r="AL1574" s="1014">
        <v>0.26666666666666661</v>
      </c>
      <c r="AM1574" s="1014">
        <v>0.26666666666666661</v>
      </c>
      <c r="AN1574" s="1014">
        <v>-1</v>
      </c>
      <c r="AO1574" s="1014">
        <v>-1</v>
      </c>
      <c r="AP1574" s="1014">
        <v>-1</v>
      </c>
      <c r="AQ1574" s="1014">
        <v>-1</v>
      </c>
      <c r="AR1574" s="1014">
        <v>0.21839080459770122</v>
      </c>
      <c r="AS1574" s="1014">
        <v>0.21839080459770122</v>
      </c>
      <c r="AT1574" s="1014">
        <v>0.21839080459770122</v>
      </c>
      <c r="AU1574" s="1014">
        <v>0.21839080459770122</v>
      </c>
      <c r="AV1574" s="1014">
        <f ca="1">_xlfn.XLOOKUP(A1470,TabCalc[Ticker],TabCalc[Imp150])</f>
        <v>0.21839080459770122</v>
      </c>
      <c r="AX1574" s="88" t="str">
        <f t="shared" ca="1" si="119"/>
        <v>GS</v>
      </c>
    </row>
    <row r="1575" spans="1:50" hidden="1">
      <c r="A1575" s="88" t="str">
        <f t="shared" ca="1" si="120"/>
        <v>LAZR</v>
      </c>
      <c r="F1575" s="1014">
        <v>-0.23809523809523814</v>
      </c>
      <c r="G1575" s="1014">
        <v>-1</v>
      </c>
      <c r="H1575" s="1014">
        <v>-1</v>
      </c>
      <c r="I1575" s="1014">
        <v>-1</v>
      </c>
      <c r="J1575" s="1014">
        <v>-1</v>
      </c>
      <c r="K1575" s="1014">
        <v>-1</v>
      </c>
      <c r="L1575" s="1014">
        <v>0.11111111111111116</v>
      </c>
      <c r="M1575" s="1014">
        <v>0.11111111111111116</v>
      </c>
      <c r="N1575" s="1014">
        <v>0.11111111111111116</v>
      </c>
      <c r="O1575" s="1014">
        <v>0.11111111111111116</v>
      </c>
      <c r="P1575" s="1014">
        <v>0.11111111111111116</v>
      </c>
      <c r="Q1575" s="1014">
        <v>-0.33333333333333343</v>
      </c>
      <c r="R1575" s="1014">
        <v>0.33333333333333326</v>
      </c>
      <c r="S1575" s="1014">
        <v>0.33333333333333326</v>
      </c>
      <c r="T1575" s="1014">
        <v>-1</v>
      </c>
      <c r="U1575" s="1014">
        <v>-0.60000000000000009</v>
      </c>
      <c r="V1575" s="1014">
        <v>-0.14285714285714285</v>
      </c>
      <c r="W1575" s="1014">
        <v>-0.14285714285714285</v>
      </c>
      <c r="X1575" s="1014">
        <v>-0.14285714285714285</v>
      </c>
      <c r="Y1575" s="1014">
        <v>0.27272727272727271</v>
      </c>
      <c r="Z1575" s="1014">
        <f ca="1">_xlfn.XLOOKUP(A1471,TabCalc[Ticker],TabCalc[Imp20])</f>
        <v>0.27272727272727271</v>
      </c>
      <c r="AB1575" s="1014">
        <v>-6.6225165562914245E-3</v>
      </c>
      <c r="AC1575" s="1014">
        <v>-1</v>
      </c>
      <c r="AD1575" s="1014">
        <v>-1</v>
      </c>
      <c r="AE1575" s="1014">
        <v>-1</v>
      </c>
      <c r="AF1575" s="1014">
        <v>-1</v>
      </c>
      <c r="AG1575" s="1014">
        <v>-1</v>
      </c>
      <c r="AH1575" s="1014">
        <v>2.7027027027026973E-2</v>
      </c>
      <c r="AI1575" s="1014">
        <v>2.7027027027026973E-2</v>
      </c>
      <c r="AJ1575" s="1014">
        <v>2.7027027027026973E-2</v>
      </c>
      <c r="AK1575" s="1014">
        <v>2.7027027027026973E-2</v>
      </c>
      <c r="AL1575" s="1014">
        <v>2.7027027027026973E-2</v>
      </c>
      <c r="AM1575" s="1014">
        <v>2.7027027027026973E-2</v>
      </c>
      <c r="AN1575" s="1014">
        <v>6.4220183486238591E-2</v>
      </c>
      <c r="AO1575" s="1014">
        <v>6.4220183486238591E-2</v>
      </c>
      <c r="AP1575" s="1014">
        <v>-1</v>
      </c>
      <c r="AQ1575" s="1014">
        <v>6.4220183486238591E-2</v>
      </c>
      <c r="AR1575" s="1014">
        <v>5.4545454545454453E-2</v>
      </c>
      <c r="AS1575" s="1014">
        <v>5.4545454545454453E-2</v>
      </c>
      <c r="AT1575" s="1014">
        <v>5.4545454545454453E-2</v>
      </c>
      <c r="AU1575" s="1014">
        <v>6.3063063063063085E-2</v>
      </c>
      <c r="AV1575" s="1014">
        <f ca="1">_xlfn.XLOOKUP(A1471,TabCalc[Ticker],TabCalc[Imp150])</f>
        <v>6.3063063063063085E-2</v>
      </c>
      <c r="AX1575" s="88" t="str">
        <f t="shared" ca="1" si="119"/>
        <v>LAZR</v>
      </c>
    </row>
    <row r="1576" spans="1:50" hidden="1">
      <c r="A1576" s="88" t="str">
        <f t="shared" ca="1" si="120"/>
        <v>LUV</v>
      </c>
      <c r="F1576" s="1014">
        <v>-6.6666666666666652E-2</v>
      </c>
      <c r="G1576" s="1014">
        <v>-1</v>
      </c>
      <c r="H1576" s="1014">
        <v>-1</v>
      </c>
      <c r="I1576" s="1014">
        <v>-1</v>
      </c>
      <c r="J1576" s="1014">
        <v>-1</v>
      </c>
      <c r="K1576" s="1014">
        <v>6.6666666666666652E-2</v>
      </c>
      <c r="L1576" s="1014">
        <v>6.6666666666666652E-2</v>
      </c>
      <c r="M1576" s="1014">
        <v>-6.6666666666666652E-2</v>
      </c>
      <c r="N1576" s="1014">
        <v>-6.6666666666666652E-2</v>
      </c>
      <c r="O1576" s="1014">
        <v>-6.6666666666666652E-2</v>
      </c>
      <c r="P1576" s="1014">
        <v>-6.6666666666666652E-2</v>
      </c>
      <c r="Q1576" s="1014">
        <v>-6.6666666666666652E-2</v>
      </c>
      <c r="R1576" s="1014">
        <v>-0.33333333333333343</v>
      </c>
      <c r="S1576" s="1014">
        <v>-0.33333333333333343</v>
      </c>
      <c r="T1576" s="1014">
        <v>-0.5</v>
      </c>
      <c r="U1576" s="1014">
        <v>-0.5</v>
      </c>
      <c r="V1576" s="1014">
        <v>-0.5</v>
      </c>
      <c r="W1576" s="1014">
        <v>-0.5</v>
      </c>
      <c r="X1576" s="1014">
        <v>-0.5</v>
      </c>
      <c r="Y1576" s="1014">
        <v>-0.5</v>
      </c>
      <c r="Z1576" s="1014">
        <f ca="1">_xlfn.XLOOKUP(A1472,TabCalc[Ticker],TabCalc[Imp20])</f>
        <v>-0.5</v>
      </c>
      <c r="AB1576" s="1014">
        <v>0.11111111111111116</v>
      </c>
      <c r="AC1576" s="1014">
        <v>-1</v>
      </c>
      <c r="AD1576" s="1014">
        <v>-1</v>
      </c>
      <c r="AE1576" s="1014">
        <v>-1</v>
      </c>
      <c r="AF1576" s="1014">
        <v>-1</v>
      </c>
      <c r="AG1576" s="1014">
        <v>0.1206896551724137</v>
      </c>
      <c r="AH1576" s="1014">
        <v>0.1206896551724137</v>
      </c>
      <c r="AI1576" s="1014">
        <v>0.11304347826086958</v>
      </c>
      <c r="AJ1576" s="1014">
        <v>0.11304347826086958</v>
      </c>
      <c r="AK1576" s="1014">
        <v>0.11304347826086958</v>
      </c>
      <c r="AL1576" s="1014">
        <v>8.6206896551724199E-2</v>
      </c>
      <c r="AM1576" s="1014">
        <v>8.6206896551724199E-2</v>
      </c>
      <c r="AN1576" s="1014">
        <v>0.10344827586206895</v>
      </c>
      <c r="AO1576" s="1014">
        <v>0.10344827586206895</v>
      </c>
      <c r="AP1576" s="1014">
        <v>0.13043478260869557</v>
      </c>
      <c r="AQ1576" s="1014">
        <v>0.13043478260869557</v>
      </c>
      <c r="AR1576" s="1014">
        <v>0.13043478260869557</v>
      </c>
      <c r="AS1576" s="1014">
        <v>0.13043478260869557</v>
      </c>
      <c r="AT1576" s="1014">
        <v>0.13043478260869557</v>
      </c>
      <c r="AU1576" s="1014">
        <v>0.13043478260869557</v>
      </c>
      <c r="AV1576" s="1014">
        <f ca="1">_xlfn.XLOOKUP(A1472,TabCalc[Ticker],TabCalc[Imp150])</f>
        <v>0.13043478260869557</v>
      </c>
      <c r="AX1576" s="88" t="str">
        <f t="shared" ca="1" si="119"/>
        <v>LUV</v>
      </c>
    </row>
    <row r="1577" spans="1:50" hidden="1">
      <c r="A1577" s="88" t="str">
        <f t="shared" ca="1" si="120"/>
        <v>MA</v>
      </c>
      <c r="F1577" s="1014">
        <v>0.14285714285714279</v>
      </c>
      <c r="G1577" s="1014">
        <v>-0.23809523809523814</v>
      </c>
      <c r="H1577" s="1014">
        <v>-0.23809523809523814</v>
      </c>
      <c r="I1577" s="1014">
        <v>-0.23809523809523814</v>
      </c>
      <c r="J1577" s="1014">
        <v>-0.23809523809523814</v>
      </c>
      <c r="K1577" s="1014">
        <v>-0.23809523809523814</v>
      </c>
      <c r="L1577" s="1014">
        <v>-0.23809523809523814</v>
      </c>
      <c r="M1577" s="1014">
        <v>-0.23809523809523814</v>
      </c>
      <c r="N1577" s="1014">
        <v>-0.23809523809523814</v>
      </c>
      <c r="O1577" s="1014">
        <v>-0.23809523809523814</v>
      </c>
      <c r="P1577" s="1014">
        <v>-0.23809523809523814</v>
      </c>
      <c r="Q1577" s="1014">
        <v>-0.23809523809523814</v>
      </c>
      <c r="R1577" s="1014">
        <v>-0.23809523809523814</v>
      </c>
      <c r="S1577" s="1014">
        <v>-0.23809523809523814</v>
      </c>
      <c r="T1577" s="1014">
        <v>-0.23809523809523814</v>
      </c>
      <c r="U1577" s="1014">
        <v>-0.23809523809523814</v>
      </c>
      <c r="V1577" s="1014">
        <v>-0.23809523809523814</v>
      </c>
      <c r="W1577" s="1014">
        <v>-0.23809523809523814</v>
      </c>
      <c r="X1577" s="1014">
        <v>-0.23809523809523814</v>
      </c>
      <c r="Y1577" s="1014">
        <v>-0.23809523809523814</v>
      </c>
      <c r="Z1577" s="1014">
        <f ca="1">_xlfn.XLOOKUP(A1473,TabCalc[Ticker],TabCalc[Imp20])</f>
        <v>-0.23809523809523814</v>
      </c>
      <c r="AB1577" s="1014">
        <v>0.19205298013245042</v>
      </c>
      <c r="AC1577" s="1014">
        <v>-6.6225165562914245E-3</v>
      </c>
      <c r="AD1577" s="1014">
        <v>-6.6225165562914245E-3</v>
      </c>
      <c r="AE1577" s="1014">
        <v>-6.6225165562914245E-3</v>
      </c>
      <c r="AF1577" s="1014">
        <v>-6.6225165562914245E-3</v>
      </c>
      <c r="AG1577" s="1014">
        <v>-6.6225165562914245E-3</v>
      </c>
      <c r="AH1577" s="1014">
        <v>-6.6225165562914245E-3</v>
      </c>
      <c r="AI1577" s="1014">
        <v>-6.6225165562914245E-3</v>
      </c>
      <c r="AJ1577" s="1014">
        <v>-6.6225165562914245E-3</v>
      </c>
      <c r="AK1577" s="1014">
        <v>-6.6225165562914245E-3</v>
      </c>
      <c r="AL1577" s="1014">
        <v>-6.6225165562914245E-3</v>
      </c>
      <c r="AM1577" s="1014">
        <v>-6.6225165562914245E-3</v>
      </c>
      <c r="AN1577" s="1014">
        <v>-6.6225165562914245E-3</v>
      </c>
      <c r="AO1577" s="1014">
        <v>-6.6225165562914245E-3</v>
      </c>
      <c r="AP1577" s="1014">
        <v>-6.6225165562914245E-3</v>
      </c>
      <c r="AQ1577" s="1014">
        <v>-6.6225165562914245E-3</v>
      </c>
      <c r="AR1577" s="1014">
        <v>-6.6225165562914245E-3</v>
      </c>
      <c r="AS1577" s="1014">
        <v>-6.6225165562914245E-3</v>
      </c>
      <c r="AT1577" s="1014">
        <v>-6.6225165562914245E-3</v>
      </c>
      <c r="AU1577" s="1014">
        <v>-6.6225165562914245E-3</v>
      </c>
      <c r="AV1577" s="1014">
        <f ca="1">_xlfn.XLOOKUP(A1473,TabCalc[Ticker],TabCalc[Imp150])</f>
        <v>-6.6225165562914245E-3</v>
      </c>
      <c r="AX1577" s="88" t="str">
        <f t="shared" ca="1" si="119"/>
        <v>MA</v>
      </c>
    </row>
    <row r="1578" spans="1:50" hidden="1">
      <c r="A1578" s="88" t="str">
        <f t="shared" ca="1" si="120"/>
        <v>NVAX</v>
      </c>
      <c r="F1578" s="1014">
        <v>-1</v>
      </c>
      <c r="G1578" s="1014">
        <v>-1</v>
      </c>
      <c r="H1578" s="1014">
        <v>-1</v>
      </c>
      <c r="I1578" s="1014">
        <v>5.2631578947368363E-2</v>
      </c>
      <c r="J1578" s="1014">
        <v>5.2631578947368363E-2</v>
      </c>
      <c r="K1578" s="1014">
        <v>5.2631578947368363E-2</v>
      </c>
      <c r="L1578" s="1014">
        <v>5.2631578947368363E-2</v>
      </c>
      <c r="M1578" s="1014">
        <v>5.2631578947368363E-2</v>
      </c>
      <c r="N1578" s="1014">
        <v>5.2631578947368363E-2</v>
      </c>
      <c r="O1578" s="1014">
        <v>5.2631578947368363E-2</v>
      </c>
      <c r="P1578" s="1014">
        <v>5.2631578947368363E-2</v>
      </c>
      <c r="Q1578" s="1014">
        <v>-0.39999999999999997</v>
      </c>
      <c r="R1578" s="1014">
        <v>-1</v>
      </c>
      <c r="S1578" s="1014">
        <v>-1</v>
      </c>
      <c r="T1578" s="1014">
        <v>0.25</v>
      </c>
      <c r="U1578" s="1014">
        <v>0.25</v>
      </c>
      <c r="V1578" s="1014">
        <v>-1</v>
      </c>
      <c r="W1578" s="1014">
        <v>-1</v>
      </c>
      <c r="X1578" s="1014">
        <v>-0.25</v>
      </c>
      <c r="Y1578" s="1014">
        <v>-0.25</v>
      </c>
      <c r="Z1578" s="1014">
        <f ca="1">_xlfn.XLOOKUP(A1474,TabCalc[Ticker],TabCalc[Imp20])</f>
        <v>-0.25</v>
      </c>
      <c r="AB1578" s="1014">
        <v>-1</v>
      </c>
      <c r="AC1578" s="1014">
        <v>-1</v>
      </c>
      <c r="AD1578" s="1014">
        <v>-1</v>
      </c>
      <c r="AE1578" s="1014">
        <v>4.2016806722689148E-2</v>
      </c>
      <c r="AF1578" s="1014">
        <v>4.2016806722689148E-2</v>
      </c>
      <c r="AG1578" s="1014">
        <v>4.2016806722689148E-2</v>
      </c>
      <c r="AH1578" s="1014">
        <v>4.2016806722689148E-2</v>
      </c>
      <c r="AI1578" s="1014">
        <v>4.2016806722689148E-2</v>
      </c>
      <c r="AJ1578" s="1014">
        <v>4.2016806722689148E-2</v>
      </c>
      <c r="AK1578" s="1014">
        <v>4.2016806722689148E-2</v>
      </c>
      <c r="AL1578" s="1014">
        <v>4.2016806722689148E-2</v>
      </c>
      <c r="AM1578" s="1014">
        <v>6.6666666666666652E-2</v>
      </c>
      <c r="AN1578" s="1014">
        <v>-1</v>
      </c>
      <c r="AO1578" s="1014">
        <v>-1</v>
      </c>
      <c r="AP1578" s="1014">
        <v>8.1967213114754189E-2</v>
      </c>
      <c r="AQ1578" s="1014">
        <v>8.1967213114754189E-2</v>
      </c>
      <c r="AR1578" s="1014">
        <v>-1</v>
      </c>
      <c r="AS1578" s="1014">
        <v>-1</v>
      </c>
      <c r="AT1578" s="1014">
        <v>5.6910569105691033E-2</v>
      </c>
      <c r="AU1578" s="1014">
        <v>5.6910569105691033E-2</v>
      </c>
      <c r="AV1578" s="1014">
        <f ca="1">_xlfn.XLOOKUP(A1474,TabCalc[Ticker],TabCalc[Imp150])</f>
        <v>5.6910569105691033E-2</v>
      </c>
      <c r="AX1578" s="88" t="str">
        <f t="shared" ca="1" si="119"/>
        <v>NVAX</v>
      </c>
    </row>
    <row r="1579" spans="1:50" hidden="1">
      <c r="A1579" s="88" t="str">
        <f t="shared" ca="1" si="120"/>
        <v>NVS</v>
      </c>
      <c r="F1579" s="1014">
        <v>4.7619047619047672E-2</v>
      </c>
      <c r="G1579" s="1014">
        <v>0.14285714285714279</v>
      </c>
      <c r="H1579" s="1014">
        <v>0.14285714285714279</v>
      </c>
      <c r="I1579" s="1014">
        <v>0.14285714285714279</v>
      </c>
      <c r="J1579" s="1014">
        <v>0.14285714285714279</v>
      </c>
      <c r="K1579" s="1014">
        <v>0.14285714285714279</v>
      </c>
      <c r="L1579" s="1014">
        <v>0.14285714285714279</v>
      </c>
      <c r="M1579" s="1014">
        <v>0.14285714285714279</v>
      </c>
      <c r="N1579" s="1014">
        <v>0.14285714285714279</v>
      </c>
      <c r="O1579" s="1014">
        <v>0.14285714285714279</v>
      </c>
      <c r="P1579" s="1014">
        <v>0.14285714285714279</v>
      </c>
      <c r="Q1579" s="1014">
        <v>0.14285714285714279</v>
      </c>
      <c r="R1579" s="1014">
        <v>0.14285714285714279</v>
      </c>
      <c r="S1579" s="1014">
        <v>0.14285714285714279</v>
      </c>
      <c r="T1579" s="1014">
        <v>0.14285714285714279</v>
      </c>
      <c r="U1579" s="1014">
        <v>0.14285714285714279</v>
      </c>
      <c r="V1579" s="1014">
        <v>0.14285714285714279</v>
      </c>
      <c r="W1579" s="1014">
        <v>0.14285714285714279</v>
      </c>
      <c r="X1579" s="1014">
        <v>0.14285714285714279</v>
      </c>
      <c r="Y1579" s="1014">
        <v>0.14285714285714279</v>
      </c>
      <c r="Z1579" s="1014">
        <f ca="1">_xlfn.XLOOKUP(A1475,TabCalc[Ticker],TabCalc[Imp20])</f>
        <v>0.14285714285714279</v>
      </c>
      <c r="AB1579" s="1014">
        <v>0.1258278145695364</v>
      </c>
      <c r="AC1579" s="1014">
        <v>0.19205298013245042</v>
      </c>
      <c r="AD1579" s="1014">
        <v>0.19205298013245042</v>
      </c>
      <c r="AE1579" s="1014">
        <v>0.19205298013245042</v>
      </c>
      <c r="AF1579" s="1014">
        <v>0.19205298013245042</v>
      </c>
      <c r="AG1579" s="1014">
        <v>0.19205298013245042</v>
      </c>
      <c r="AH1579" s="1014">
        <v>0.19205298013245042</v>
      </c>
      <c r="AI1579" s="1014">
        <v>0.19205298013245042</v>
      </c>
      <c r="AJ1579" s="1014">
        <v>0.19205298013245042</v>
      </c>
      <c r="AK1579" s="1014">
        <v>0.19205298013245042</v>
      </c>
      <c r="AL1579" s="1014">
        <v>0.19205298013245042</v>
      </c>
      <c r="AM1579" s="1014">
        <v>0.19205298013245042</v>
      </c>
      <c r="AN1579" s="1014">
        <v>0.19205298013245042</v>
      </c>
      <c r="AO1579" s="1014">
        <v>0.19205298013245042</v>
      </c>
      <c r="AP1579" s="1014">
        <v>0.19205298013245042</v>
      </c>
      <c r="AQ1579" s="1014">
        <v>0.19205298013245042</v>
      </c>
      <c r="AR1579" s="1014">
        <v>0.19205298013245042</v>
      </c>
      <c r="AS1579" s="1014">
        <v>0.19205298013245042</v>
      </c>
      <c r="AT1579" s="1014">
        <v>0.19205298013245042</v>
      </c>
      <c r="AU1579" s="1014">
        <v>0.19205298013245042</v>
      </c>
      <c r="AV1579" s="1014">
        <f ca="1">_xlfn.XLOOKUP(A1475,TabCalc[Ticker],TabCalc[Imp150])</f>
        <v>0.19205298013245042</v>
      </c>
      <c r="AX1579" s="88" t="str">
        <f t="shared" ca="1" si="119"/>
        <v>NVS</v>
      </c>
    </row>
    <row r="1580" spans="1:50" hidden="1">
      <c r="A1580" s="88" t="str">
        <f t="shared" ca="1" si="120"/>
        <v>ORA</v>
      </c>
      <c r="F1580" s="1014">
        <v>-1</v>
      </c>
      <c r="G1580" s="1014">
        <v>-1</v>
      </c>
      <c r="H1580" s="1014">
        <v>-1</v>
      </c>
      <c r="I1580" s="1014">
        <v>-1</v>
      </c>
      <c r="J1580" s="1014">
        <v>-1</v>
      </c>
      <c r="K1580" s="1014">
        <v>-1</v>
      </c>
      <c r="L1580" s="1014">
        <v>-1</v>
      </c>
      <c r="M1580" s="1014">
        <v>-1</v>
      </c>
      <c r="N1580" s="1014">
        <v>-1</v>
      </c>
      <c r="O1580" s="1014">
        <v>-1</v>
      </c>
      <c r="P1580" s="1014">
        <v>6.6666666666666652E-2</v>
      </c>
      <c r="Q1580" s="1014">
        <v>6.6666666666666652E-2</v>
      </c>
      <c r="R1580" s="1014">
        <v>0</v>
      </c>
      <c r="S1580" s="1014">
        <v>0</v>
      </c>
      <c r="T1580" s="1014">
        <v>-1</v>
      </c>
      <c r="U1580" s="1014">
        <v>-1</v>
      </c>
      <c r="V1580" s="1014">
        <v>-1</v>
      </c>
      <c r="W1580" s="1014">
        <v>-1</v>
      </c>
      <c r="X1580" s="1014">
        <v>-1</v>
      </c>
      <c r="Y1580" s="1014">
        <v>-1</v>
      </c>
      <c r="Z1580" s="1014">
        <f ca="1">_xlfn.XLOOKUP(A1476,TabCalc[Ticker],TabCalc[Imp20])</f>
        <v>-1</v>
      </c>
      <c r="AB1580" s="1014">
        <v>-1</v>
      </c>
      <c r="AC1580" s="1014">
        <v>-1</v>
      </c>
      <c r="AD1580" s="1014">
        <v>-1</v>
      </c>
      <c r="AE1580" s="1014">
        <v>-1</v>
      </c>
      <c r="AF1580" s="1014">
        <v>-1</v>
      </c>
      <c r="AG1580" s="1014">
        <v>-1</v>
      </c>
      <c r="AH1580" s="1014">
        <v>-1</v>
      </c>
      <c r="AI1580" s="1014">
        <v>-1</v>
      </c>
      <c r="AJ1580" s="1014">
        <v>-1</v>
      </c>
      <c r="AK1580" s="1014">
        <v>-1</v>
      </c>
      <c r="AL1580" s="1014">
        <v>-0.17985611510791366</v>
      </c>
      <c r="AM1580" s="1014">
        <v>-0.17985611510791366</v>
      </c>
      <c r="AN1580" s="1014">
        <v>-0.18840579710144922</v>
      </c>
      <c r="AO1580" s="1014">
        <v>-0.18840579710144922</v>
      </c>
      <c r="AP1580" s="1014">
        <v>-1</v>
      </c>
      <c r="AQ1580" s="1014">
        <v>-1</v>
      </c>
      <c r="AR1580" s="1014">
        <v>-1</v>
      </c>
      <c r="AS1580" s="1014">
        <v>-1</v>
      </c>
      <c r="AT1580" s="1014">
        <v>-1</v>
      </c>
      <c r="AU1580" s="1014">
        <v>-1</v>
      </c>
      <c r="AV1580" s="1014">
        <f ca="1">_xlfn.XLOOKUP(A1476,TabCalc[Ticker],TabCalc[Imp150])</f>
        <v>-1</v>
      </c>
      <c r="AX1580" s="88" t="str">
        <f t="shared" ca="1" si="119"/>
        <v>ORA</v>
      </c>
    </row>
    <row r="1581" spans="1:50" hidden="1">
      <c r="A1581" s="88" t="str">
        <f t="shared" ca="1" si="120"/>
        <v>OXY</v>
      </c>
      <c r="F1581" s="1014">
        <v>-6.6666666666666652E-2</v>
      </c>
      <c r="G1581" s="1014">
        <v>-1</v>
      </c>
      <c r="H1581" s="1014">
        <v>-1</v>
      </c>
      <c r="I1581" s="1014">
        <v>-1</v>
      </c>
      <c r="J1581" s="1014">
        <v>-1</v>
      </c>
      <c r="K1581" s="1014">
        <v>-1</v>
      </c>
      <c r="L1581" s="1014">
        <v>6.6666666666666652E-2</v>
      </c>
      <c r="M1581" s="1014">
        <v>0.14285714285714279</v>
      </c>
      <c r="N1581" s="1014">
        <v>0.14285714285714279</v>
      </c>
      <c r="O1581" s="1014">
        <v>-1</v>
      </c>
      <c r="P1581" s="1014">
        <v>-1</v>
      </c>
      <c r="Q1581" s="1014">
        <v>-1</v>
      </c>
      <c r="R1581" s="1014">
        <v>-1</v>
      </c>
      <c r="S1581" s="1014">
        <v>-1</v>
      </c>
      <c r="T1581" s="1014">
        <v>0.4285714285714286</v>
      </c>
      <c r="U1581" s="1014">
        <v>-1</v>
      </c>
      <c r="V1581" s="1014">
        <v>-1</v>
      </c>
      <c r="W1581" s="1014">
        <v>-1</v>
      </c>
      <c r="X1581" s="1014">
        <v>-1</v>
      </c>
      <c r="Y1581" s="1014">
        <v>-1</v>
      </c>
      <c r="Z1581" s="1014">
        <f ca="1">_xlfn.XLOOKUP(A1477,TabCalc[Ticker],TabCalc[Imp20])</f>
        <v>-1</v>
      </c>
      <c r="AB1581" s="1014">
        <v>7.3170731707317138E-2</v>
      </c>
      <c r="AC1581" s="1014">
        <v>-1</v>
      </c>
      <c r="AD1581" s="1014">
        <v>-1</v>
      </c>
      <c r="AE1581" s="1014">
        <v>-1</v>
      </c>
      <c r="AF1581" s="1014">
        <v>-1</v>
      </c>
      <c r="AG1581" s="1014">
        <v>-1</v>
      </c>
      <c r="AH1581" s="1014">
        <v>7.3170731707317138E-2</v>
      </c>
      <c r="AI1581" s="1014">
        <v>8.1967213114754189E-2</v>
      </c>
      <c r="AJ1581" s="1014">
        <v>8.1967213114754189E-2</v>
      </c>
      <c r="AK1581" s="1014">
        <v>-1</v>
      </c>
      <c r="AL1581" s="1014">
        <v>-1</v>
      </c>
      <c r="AM1581" s="1014">
        <v>-1</v>
      </c>
      <c r="AN1581" s="1014">
        <v>-1</v>
      </c>
      <c r="AO1581" s="1014">
        <v>-1</v>
      </c>
      <c r="AP1581" s="1014">
        <v>9.0909090909090828E-2</v>
      </c>
      <c r="AQ1581" s="1014">
        <v>-1</v>
      </c>
      <c r="AR1581" s="1014">
        <v>-1</v>
      </c>
      <c r="AS1581" s="1014">
        <v>-1</v>
      </c>
      <c r="AT1581" s="1014">
        <v>-1</v>
      </c>
      <c r="AU1581" s="1014">
        <v>-1</v>
      </c>
      <c r="AV1581" s="1014">
        <f ca="1">_xlfn.XLOOKUP(A1477,TabCalc[Ticker],TabCalc[Imp150])</f>
        <v>-1</v>
      </c>
      <c r="AX1581" s="88" t="str">
        <f t="shared" ca="1" si="119"/>
        <v>OXY</v>
      </c>
    </row>
    <row r="1582" spans="1:50" hidden="1">
      <c r="A1582" s="88" t="str">
        <f t="shared" ca="1" si="120"/>
        <v>PFE</v>
      </c>
      <c r="F1582" s="1014">
        <v>-1</v>
      </c>
      <c r="G1582" s="1014">
        <v>-1</v>
      </c>
      <c r="H1582" s="1014">
        <v>-1</v>
      </c>
      <c r="I1582" s="1014">
        <v>-1</v>
      </c>
      <c r="J1582" s="1014">
        <v>-1</v>
      </c>
      <c r="K1582" s="1014">
        <v>-1</v>
      </c>
      <c r="L1582" s="1014">
        <v>-1</v>
      </c>
      <c r="M1582" s="1014">
        <v>-1</v>
      </c>
      <c r="N1582" s="1014">
        <v>-1</v>
      </c>
      <c r="O1582" s="1014">
        <v>-1</v>
      </c>
      <c r="P1582" s="1014">
        <v>-1</v>
      </c>
      <c r="Q1582" s="1014">
        <v>-1</v>
      </c>
      <c r="R1582" s="1014">
        <v>-1</v>
      </c>
      <c r="S1582" s="1014">
        <v>-1</v>
      </c>
      <c r="T1582" s="1014">
        <v>0</v>
      </c>
      <c r="U1582" s="1014">
        <v>0</v>
      </c>
      <c r="V1582" s="1014">
        <v>-1</v>
      </c>
      <c r="W1582" s="1014">
        <v>-1</v>
      </c>
      <c r="X1582" s="1014">
        <v>-1</v>
      </c>
      <c r="Y1582" s="1014">
        <v>-1</v>
      </c>
      <c r="Z1582" s="1014">
        <f ca="1">_xlfn.XLOOKUP(A1478,TabCalc[Ticker],TabCalc[Imp20])</f>
        <v>-1</v>
      </c>
      <c r="AB1582" s="1014">
        <v>-1</v>
      </c>
      <c r="AC1582" s="1014">
        <v>-1</v>
      </c>
      <c r="AD1582" s="1014">
        <v>-1</v>
      </c>
      <c r="AE1582" s="1014">
        <v>-1</v>
      </c>
      <c r="AF1582" s="1014">
        <v>-1</v>
      </c>
      <c r="AG1582" s="1014">
        <v>-1</v>
      </c>
      <c r="AH1582" s="1014">
        <v>-1</v>
      </c>
      <c r="AI1582" s="1014">
        <v>-1</v>
      </c>
      <c r="AJ1582" s="1014">
        <v>-1</v>
      </c>
      <c r="AK1582" s="1014">
        <v>-1</v>
      </c>
      <c r="AL1582" s="1014">
        <v>-1</v>
      </c>
      <c r="AM1582" s="1014">
        <v>-1</v>
      </c>
      <c r="AN1582" s="1014">
        <v>-1</v>
      </c>
      <c r="AO1582" s="1014">
        <v>-1</v>
      </c>
      <c r="AP1582" s="1014">
        <v>0.15789473684210531</v>
      </c>
      <c r="AQ1582" s="1014">
        <v>0.15789473684210531</v>
      </c>
      <c r="AR1582" s="1014">
        <v>0.15789473684210531</v>
      </c>
      <c r="AS1582" s="1014">
        <v>0.15789473684210531</v>
      </c>
      <c r="AT1582" s="1014">
        <v>0.15789473684210531</v>
      </c>
      <c r="AU1582" s="1014">
        <v>0.15789473684210531</v>
      </c>
      <c r="AV1582" s="1014">
        <f ca="1">_xlfn.XLOOKUP(A1478,TabCalc[Ticker],TabCalc[Imp150])</f>
        <v>0.15789473684210531</v>
      </c>
      <c r="AX1582" s="88" t="str">
        <f t="shared" ca="1" si="119"/>
        <v>PFE</v>
      </c>
    </row>
    <row r="1583" spans="1:50" hidden="1">
      <c r="A1583" s="88" t="str">
        <f t="shared" ca="1" si="120"/>
        <v>RIG</v>
      </c>
      <c r="F1583" s="1014">
        <v>-4.7619047619047672E-2</v>
      </c>
      <c r="G1583" s="1014">
        <v>-1</v>
      </c>
      <c r="H1583" s="1014">
        <v>-1</v>
      </c>
      <c r="I1583" s="1014">
        <v>-1</v>
      </c>
      <c r="J1583" s="1014">
        <v>-1</v>
      </c>
      <c r="K1583" s="1014">
        <v>-1</v>
      </c>
      <c r="L1583" s="1014">
        <v>-1</v>
      </c>
      <c r="M1583" s="1014">
        <v>-1</v>
      </c>
      <c r="N1583" s="1014">
        <v>-1</v>
      </c>
      <c r="O1583" s="1014">
        <v>-1</v>
      </c>
      <c r="P1583" s="1014">
        <v>-0.4285714285714286</v>
      </c>
      <c r="Q1583" s="1014">
        <v>-0.4285714285714286</v>
      </c>
      <c r="R1583" s="1014">
        <v>-1</v>
      </c>
      <c r="S1583" s="1014">
        <v>-1</v>
      </c>
      <c r="T1583" s="1014">
        <v>-1</v>
      </c>
      <c r="U1583" s="1014">
        <v>-0.4285714285714286</v>
      </c>
      <c r="V1583" s="1014">
        <v>-1</v>
      </c>
      <c r="W1583" s="1014">
        <v>-1</v>
      </c>
      <c r="X1583" s="1014">
        <v>-1</v>
      </c>
      <c r="Y1583" s="1014">
        <v>-1</v>
      </c>
      <c r="Z1583" s="1014">
        <f ca="1">_xlfn.XLOOKUP(A1479,TabCalc[Ticker],TabCalc[Imp20])</f>
        <v>-1</v>
      </c>
      <c r="AB1583" s="1014">
        <v>-0.11258278145695361</v>
      </c>
      <c r="AC1583" s="1014">
        <v>-1</v>
      </c>
      <c r="AD1583" s="1014">
        <v>-1</v>
      </c>
      <c r="AE1583" s="1014">
        <v>-1</v>
      </c>
      <c r="AF1583" s="1014">
        <v>-1</v>
      </c>
      <c r="AG1583" s="1014">
        <v>-1</v>
      </c>
      <c r="AH1583" s="1014">
        <v>-1</v>
      </c>
      <c r="AI1583" s="1014">
        <v>-1</v>
      </c>
      <c r="AJ1583" s="1014">
        <v>-1</v>
      </c>
      <c r="AK1583" s="1014">
        <v>-1</v>
      </c>
      <c r="AL1583" s="1014">
        <v>-5.1094890510948954E-2</v>
      </c>
      <c r="AM1583" s="1014">
        <v>-5.1094890510948954E-2</v>
      </c>
      <c r="AN1583" s="1014">
        <v>-1</v>
      </c>
      <c r="AO1583" s="1014">
        <v>-1</v>
      </c>
      <c r="AP1583" s="1014">
        <v>-1</v>
      </c>
      <c r="AQ1583" s="1014">
        <v>-4.4117647058823428E-2</v>
      </c>
      <c r="AR1583" s="1014">
        <v>-1</v>
      </c>
      <c r="AS1583" s="1014">
        <v>-1</v>
      </c>
      <c r="AT1583" s="1014">
        <v>-1</v>
      </c>
      <c r="AU1583" s="1014">
        <v>-1</v>
      </c>
      <c r="AV1583" s="1014">
        <f ca="1">_xlfn.XLOOKUP(A1479,TabCalc[Ticker],TabCalc[Imp150])</f>
        <v>-1</v>
      </c>
      <c r="AX1583" s="88" t="str">
        <f t="shared" ca="1" si="119"/>
        <v>RIG</v>
      </c>
    </row>
    <row r="1584" spans="1:50">
      <c r="A1584" s="88" t="str">
        <f t="shared" ca="1" si="120"/>
        <v>RRC</v>
      </c>
      <c r="F1584" s="1014">
        <v>4.7619047619047672E-2</v>
      </c>
      <c r="G1584" s="1014">
        <v>-1</v>
      </c>
      <c r="H1584" s="1014">
        <v>-1</v>
      </c>
      <c r="I1584" s="1014">
        <v>-1</v>
      </c>
      <c r="J1584" s="1014">
        <v>-1</v>
      </c>
      <c r="K1584" s="1014">
        <v>-1</v>
      </c>
      <c r="L1584" s="1014">
        <v>-1</v>
      </c>
      <c r="M1584" s="1014">
        <v>-1</v>
      </c>
      <c r="N1584" s="1014">
        <v>-1</v>
      </c>
      <c r="O1584" s="1014">
        <v>-1</v>
      </c>
      <c r="P1584" s="1014">
        <v>-1</v>
      </c>
      <c r="Q1584" s="1014">
        <v>-1</v>
      </c>
      <c r="R1584" s="1014">
        <v>-1</v>
      </c>
      <c r="S1584" s="1014">
        <v>-1</v>
      </c>
      <c r="T1584" s="1014">
        <v>-1</v>
      </c>
      <c r="U1584" s="1014">
        <v>-1</v>
      </c>
      <c r="V1584" s="1014">
        <v>-1</v>
      </c>
      <c r="W1584" s="1014">
        <v>-1</v>
      </c>
      <c r="X1584" s="1014">
        <v>-1</v>
      </c>
      <c r="Y1584" s="1014">
        <v>-1</v>
      </c>
      <c r="Z1584" s="1014">
        <f ca="1">_xlfn.XLOOKUP(A1480,TabCalc[Ticker],TabCalc[Imp20])</f>
        <v>-1</v>
      </c>
      <c r="AB1584" s="1014">
        <v>0.11258278145695355</v>
      </c>
      <c r="AC1584" s="1014">
        <v>-1</v>
      </c>
      <c r="AD1584" s="1014">
        <v>-1</v>
      </c>
      <c r="AE1584" s="1014">
        <v>-1</v>
      </c>
      <c r="AF1584" s="1014">
        <v>-1</v>
      </c>
      <c r="AG1584" s="1014">
        <v>-1</v>
      </c>
      <c r="AH1584" s="1014">
        <v>-1</v>
      </c>
      <c r="AI1584" s="1014">
        <v>-1</v>
      </c>
      <c r="AJ1584" s="1014">
        <v>-1</v>
      </c>
      <c r="AK1584" s="1014">
        <v>-1</v>
      </c>
      <c r="AL1584" s="1014">
        <v>-1</v>
      </c>
      <c r="AM1584" s="1014">
        <v>-1</v>
      </c>
      <c r="AN1584" s="1014">
        <v>-1</v>
      </c>
      <c r="AO1584" s="1014">
        <v>-1</v>
      </c>
      <c r="AP1584" s="1014">
        <v>-1</v>
      </c>
      <c r="AQ1584" s="1014">
        <v>-1</v>
      </c>
      <c r="AR1584" s="1014">
        <v>-1</v>
      </c>
      <c r="AS1584" s="1014">
        <v>-1</v>
      </c>
      <c r="AT1584" s="1014">
        <v>-1</v>
      </c>
      <c r="AU1584" s="1014">
        <v>-1</v>
      </c>
      <c r="AV1584" s="1014">
        <f ca="1">_xlfn.XLOOKUP(A1480,TabCalc[Ticker],TabCalc[Imp150])</f>
        <v>-1</v>
      </c>
      <c r="AX1584" s="88" t="str">
        <f t="shared" ca="1" si="119"/>
        <v>RRC</v>
      </c>
    </row>
    <row r="1585" spans="1:50">
      <c r="A1585" s="88" t="str">
        <f t="shared" ca="1" si="120"/>
        <v>XYZ</v>
      </c>
      <c r="F1585" s="1014">
        <v>-1</v>
      </c>
      <c r="G1585" s="1014">
        <v>5.8823529411764719E-2</v>
      </c>
      <c r="H1585" s="1014">
        <v>5.8823529411764719E-2</v>
      </c>
      <c r="I1585" s="1014">
        <v>-1</v>
      </c>
      <c r="J1585" s="1014">
        <v>-1</v>
      </c>
      <c r="K1585" s="1014">
        <v>-1</v>
      </c>
      <c r="L1585" s="1014">
        <v>-1</v>
      </c>
      <c r="M1585" s="1014">
        <v>0.55555555555555558</v>
      </c>
      <c r="N1585" s="1014">
        <v>0.55555555555555558</v>
      </c>
      <c r="O1585" s="1014">
        <v>0.41176470588235303</v>
      </c>
      <c r="P1585" s="1014">
        <v>0.41176470588235303</v>
      </c>
      <c r="Q1585" s="1014">
        <v>0.41176470588235303</v>
      </c>
      <c r="R1585" s="1014">
        <v>-0.39999999999999997</v>
      </c>
      <c r="S1585" s="1014">
        <v>-0.39999999999999997</v>
      </c>
      <c r="T1585" s="1014">
        <v>-0.39999999999999997</v>
      </c>
      <c r="U1585" s="1014">
        <v>-0.39999999999999997</v>
      </c>
      <c r="V1585" s="1014">
        <v>-1</v>
      </c>
      <c r="W1585" s="1014">
        <v>-1</v>
      </c>
      <c r="X1585" s="1014">
        <v>-1</v>
      </c>
      <c r="Y1585" s="1014">
        <v>-1</v>
      </c>
      <c r="Z1585" s="1014">
        <f ca="1">_xlfn.XLOOKUP(A1481,TabCalc[Ticker],TabCalc[Imp20])</f>
        <v>-1</v>
      </c>
      <c r="AB1585" s="1014">
        <v>-1</v>
      </c>
      <c r="AC1585" s="1014">
        <v>0.1272727272727272</v>
      </c>
      <c r="AD1585" s="1014">
        <v>0.1272727272727272</v>
      </c>
      <c r="AE1585" s="1014">
        <v>-1</v>
      </c>
      <c r="AF1585" s="1014">
        <v>-1</v>
      </c>
      <c r="AG1585" s="1014">
        <v>-1</v>
      </c>
      <c r="AH1585" s="1014">
        <v>-1</v>
      </c>
      <c r="AI1585" s="1014">
        <v>0.16071428571428581</v>
      </c>
      <c r="AJ1585" s="1014">
        <v>0.16071428571428581</v>
      </c>
      <c r="AK1585" s="1014">
        <v>0.15044247787610621</v>
      </c>
      <c r="AL1585" s="1014">
        <v>0.15044247787610621</v>
      </c>
      <c r="AM1585" s="1014">
        <v>0.15044247787610621</v>
      </c>
      <c r="AN1585" s="1014">
        <v>0.16814159292035402</v>
      </c>
      <c r="AO1585" s="1014">
        <v>0.16814159292035402</v>
      </c>
      <c r="AP1585" s="1014">
        <v>0.15789473684210531</v>
      </c>
      <c r="AQ1585" s="1014">
        <v>0.15789473684210531</v>
      </c>
      <c r="AR1585" s="1014">
        <v>-1</v>
      </c>
      <c r="AS1585" s="1014">
        <v>-1</v>
      </c>
      <c r="AT1585" s="1014">
        <v>-1</v>
      </c>
      <c r="AU1585" s="1014">
        <v>-1</v>
      </c>
      <c r="AV1585" s="1014">
        <f ca="1">_xlfn.XLOOKUP(A1481,TabCalc[Ticker],TabCalc[Imp150])</f>
        <v>-1</v>
      </c>
      <c r="AX1585" s="88" t="str">
        <f t="shared" ca="1" si="119"/>
        <v>XYZ</v>
      </c>
    </row>
    <row r="1586" spans="1:50">
      <c r="A1586" s="88" t="str">
        <f t="shared" ca="1" si="120"/>
        <v>THC</v>
      </c>
      <c r="F1586" s="1014">
        <v>-5.8823529411764719E-2</v>
      </c>
      <c r="G1586" s="1014">
        <v>-1</v>
      </c>
      <c r="H1586" s="1014">
        <v>-1</v>
      </c>
      <c r="I1586" s="1014">
        <v>-0.11111111111111116</v>
      </c>
      <c r="J1586" s="1014">
        <v>-0.11111111111111116</v>
      </c>
      <c r="K1586" s="1014">
        <v>-0.11111111111111116</v>
      </c>
      <c r="L1586" s="1014">
        <v>5.8823529411764719E-2</v>
      </c>
      <c r="M1586" s="1014">
        <v>5.8823529411764719E-2</v>
      </c>
      <c r="N1586" s="1014">
        <v>5.8823529411764719E-2</v>
      </c>
      <c r="O1586" s="1014">
        <v>5.8823529411764719E-2</v>
      </c>
      <c r="P1586" s="1014">
        <v>5.8823529411764719E-2</v>
      </c>
      <c r="Q1586" s="1014">
        <v>0</v>
      </c>
      <c r="R1586" s="1014">
        <v>-1</v>
      </c>
      <c r="S1586" s="1014">
        <v>-1</v>
      </c>
      <c r="T1586" s="1014">
        <v>-1</v>
      </c>
      <c r="U1586" s="1014">
        <v>-1</v>
      </c>
      <c r="V1586" s="1014">
        <v>0</v>
      </c>
      <c r="W1586" s="1014">
        <v>0</v>
      </c>
      <c r="X1586" s="1014">
        <v>0</v>
      </c>
      <c r="Y1586" s="1014">
        <v>0</v>
      </c>
      <c r="Z1586" s="1014">
        <f ca="1">_xlfn.XLOOKUP(A1482,TabCalc[Ticker],TabCalc[Imp20])</f>
        <v>0</v>
      </c>
      <c r="AB1586" s="1014">
        <v>5.1724137931034475E-2</v>
      </c>
      <c r="AC1586" s="1014">
        <v>-1</v>
      </c>
      <c r="AD1586" s="1014">
        <v>-1</v>
      </c>
      <c r="AE1586" s="1014">
        <v>8.6206896551724199E-2</v>
      </c>
      <c r="AF1586" s="1014">
        <v>8.6206896551724199E-2</v>
      </c>
      <c r="AG1586" s="1014">
        <v>8.6206896551724199E-2</v>
      </c>
      <c r="AH1586" s="1014">
        <v>0.11111111111111116</v>
      </c>
      <c r="AI1586" s="1014">
        <v>0.11111111111111116</v>
      </c>
      <c r="AJ1586" s="1014">
        <v>0.11111111111111116</v>
      </c>
      <c r="AK1586" s="1014">
        <v>0.11111111111111116</v>
      </c>
      <c r="AL1586" s="1014">
        <v>0.11111111111111116</v>
      </c>
      <c r="AM1586" s="1014">
        <v>9.243697478991586E-2</v>
      </c>
      <c r="AN1586" s="1014">
        <v>-1</v>
      </c>
      <c r="AO1586" s="1014">
        <v>-1</v>
      </c>
      <c r="AP1586" s="1014">
        <v>-1</v>
      </c>
      <c r="AQ1586" s="1014">
        <v>-1</v>
      </c>
      <c r="AR1586" s="1014">
        <v>7.6923076923076872E-2</v>
      </c>
      <c r="AS1586" s="1014">
        <v>7.6923076923076872E-2</v>
      </c>
      <c r="AT1586" s="1014">
        <v>7.6923076923076872E-2</v>
      </c>
      <c r="AU1586" s="1014">
        <v>7.6923076923076872E-2</v>
      </c>
      <c r="AV1586" s="1014">
        <f ca="1">_xlfn.XLOOKUP(A1482,TabCalc[Ticker],TabCalc[Imp150])</f>
        <v>7.6923076923076872E-2</v>
      </c>
      <c r="AX1586" s="88" t="str">
        <f t="shared" ca="1" si="119"/>
        <v>THC</v>
      </c>
    </row>
    <row r="1587" spans="1:50">
      <c r="A1587" s="88" t="str">
        <f t="shared" ca="1" si="120"/>
        <v>X</v>
      </c>
      <c r="F1587" s="1014">
        <v>0</v>
      </c>
      <c r="G1587" s="1014">
        <v>-1</v>
      </c>
      <c r="H1587" s="1014">
        <v>-1</v>
      </c>
      <c r="I1587" s="1014">
        <v>7.6923076923076872E-2</v>
      </c>
      <c r="J1587" s="1014">
        <v>-1</v>
      </c>
      <c r="K1587" s="1014">
        <v>-1</v>
      </c>
      <c r="L1587" s="1014">
        <v>-1</v>
      </c>
      <c r="M1587" s="1014">
        <v>-1</v>
      </c>
      <c r="N1587" s="1014">
        <v>-1</v>
      </c>
      <c r="O1587" s="1014">
        <v>-1</v>
      </c>
      <c r="P1587" s="1014">
        <v>-1</v>
      </c>
      <c r="Q1587" s="1014">
        <v>-1</v>
      </c>
      <c r="R1587" s="1014">
        <v>-1</v>
      </c>
      <c r="S1587" s="1014">
        <v>-1</v>
      </c>
      <c r="T1587" s="1014">
        <v>-0.33333333333333343</v>
      </c>
      <c r="U1587" s="1014">
        <v>-0.33333333333333343</v>
      </c>
      <c r="V1587" s="1014">
        <v>0.11111111111111116</v>
      </c>
      <c r="W1587" s="1014">
        <v>0.11111111111111116</v>
      </c>
      <c r="X1587" s="1014">
        <v>0.11111111111111116</v>
      </c>
      <c r="Y1587" s="1014">
        <v>0.11111111111111116</v>
      </c>
      <c r="Z1587" s="1014">
        <f ca="1">_xlfn.XLOOKUP(A1483,TabCalc[Ticker],TabCalc[Imp20])</f>
        <v>0.11111111111111116</v>
      </c>
      <c r="AB1587" s="1014">
        <v>8.256880733944949E-2</v>
      </c>
      <c r="AC1587" s="1014">
        <v>-1</v>
      </c>
      <c r="AD1587" s="1014">
        <v>-1</v>
      </c>
      <c r="AE1587" s="1014">
        <v>8.256880733944949E-2</v>
      </c>
      <c r="AF1587" s="1014">
        <v>-1</v>
      </c>
      <c r="AG1587" s="1014">
        <v>-1</v>
      </c>
      <c r="AH1587" s="1014">
        <v>-1</v>
      </c>
      <c r="AI1587" s="1014">
        <v>-1</v>
      </c>
      <c r="AJ1587" s="1014">
        <v>-1</v>
      </c>
      <c r="AK1587" s="1014">
        <v>-1</v>
      </c>
      <c r="AL1587" s="1014">
        <v>-1</v>
      </c>
      <c r="AM1587" s="1014">
        <v>-1</v>
      </c>
      <c r="AN1587" s="1014">
        <v>-1</v>
      </c>
      <c r="AO1587" s="1014">
        <v>-1</v>
      </c>
      <c r="AP1587" s="1014">
        <v>4.587155963302747E-2</v>
      </c>
      <c r="AQ1587" s="1014">
        <v>4.587155963302747E-2</v>
      </c>
      <c r="AR1587" s="1014">
        <v>5.4545454545454453E-2</v>
      </c>
      <c r="AS1587" s="1014">
        <v>5.4545454545454453E-2</v>
      </c>
      <c r="AT1587" s="1014">
        <v>5.4545454545454453E-2</v>
      </c>
      <c r="AU1587" s="1014">
        <v>5.4545454545454453E-2</v>
      </c>
      <c r="AV1587" s="1014">
        <f ca="1">_xlfn.XLOOKUP(A1483,TabCalc[Ticker],TabCalc[Imp150])</f>
        <v>5.4545454545454453E-2</v>
      </c>
      <c r="AX1587" s="88" t="str">
        <f t="shared" ca="1" si="119"/>
        <v>X</v>
      </c>
    </row>
    <row r="1588" spans="1:50">
      <c r="A1588" s="88" t="str">
        <f t="shared" ca="1" si="120"/>
        <v>JBEOAN</v>
      </c>
      <c r="F1588" s="1014">
        <v>0.19999999999999996</v>
      </c>
      <c r="G1588" s="1014">
        <v>-1</v>
      </c>
      <c r="H1588" s="1014">
        <v>-1</v>
      </c>
      <c r="I1588" s="1014">
        <v>-1</v>
      </c>
      <c r="J1588" s="1014">
        <v>-1</v>
      </c>
      <c r="K1588" s="1014">
        <v>0.47368421052631571</v>
      </c>
      <c r="L1588" s="1014">
        <v>0.47368421052631571</v>
      </c>
      <c r="M1588" s="1014">
        <v>0.47368421052631571</v>
      </c>
      <c r="N1588" s="1014">
        <v>0.47368421052631571</v>
      </c>
      <c r="O1588" s="1014">
        <v>0.47368421052631571</v>
      </c>
      <c r="P1588" s="1014">
        <v>0.47368421052631571</v>
      </c>
      <c r="Q1588" s="1014">
        <v>0.47368421052631571</v>
      </c>
      <c r="R1588" s="1014">
        <v>-1</v>
      </c>
      <c r="S1588" s="1014">
        <v>-1</v>
      </c>
      <c r="T1588" s="1014">
        <v>-0.30434782608695654</v>
      </c>
      <c r="U1588" s="1014">
        <v>-0.30434782608695654</v>
      </c>
      <c r="V1588" s="1014">
        <v>-1</v>
      </c>
      <c r="W1588" s="1014">
        <v>-1</v>
      </c>
      <c r="X1588" s="1014">
        <v>-0.27272727272727271</v>
      </c>
      <c r="Y1588" s="1014">
        <v>-0.16666666666666657</v>
      </c>
      <c r="Z1588" s="1014">
        <f ca="1">_xlfn.XLOOKUP(A1484,TabCalc[Ticker],TabCalc[Imp20])</f>
        <v>-0.16666666666666657</v>
      </c>
      <c r="AB1588" s="1014">
        <v>-4.9645390070921946E-2</v>
      </c>
      <c r="AC1588" s="1014">
        <v>-1</v>
      </c>
      <c r="AD1588" s="1014">
        <v>-1</v>
      </c>
      <c r="AE1588" s="1014">
        <v>-1</v>
      </c>
      <c r="AF1588" s="1014">
        <v>-1</v>
      </c>
      <c r="AG1588" s="1014">
        <v>1.4285714285714235E-2</v>
      </c>
      <c r="AH1588" s="1014">
        <v>1.4285714285714235E-2</v>
      </c>
      <c r="AI1588" s="1014">
        <v>1.4285714285714235E-2</v>
      </c>
      <c r="AJ1588" s="1014">
        <v>1.4285714285714235E-2</v>
      </c>
      <c r="AK1588" s="1014">
        <v>1.4285714285714235E-2</v>
      </c>
      <c r="AL1588" s="1014">
        <v>1.4285714285714235E-2</v>
      </c>
      <c r="AM1588" s="1014">
        <v>1.4285714285714235E-2</v>
      </c>
      <c r="AN1588" s="1014">
        <v>-1</v>
      </c>
      <c r="AO1588" s="1014">
        <v>-1</v>
      </c>
      <c r="AP1588" s="1014">
        <v>1.4285714285714235E-2</v>
      </c>
      <c r="AQ1588" s="1014">
        <v>1.4285714285714235E-2</v>
      </c>
      <c r="AR1588" s="1014">
        <v>-1</v>
      </c>
      <c r="AS1588" s="1014">
        <v>-1</v>
      </c>
      <c r="AT1588" s="1014">
        <v>1.4285714285714235E-2</v>
      </c>
      <c r="AU1588" s="1014">
        <v>2.857142857142847E-2</v>
      </c>
      <c r="AV1588" s="1014">
        <f ca="1">_xlfn.XLOOKUP(A1484,TabCalc[Ticker],TabCalc[Imp150])</f>
        <v>2.857142857142847E-2</v>
      </c>
      <c r="AX1588" s="88" t="str">
        <f t="shared" ca="1" si="119"/>
        <v>JBEOAN</v>
      </c>
    </row>
    <row r="1589" spans="1:50">
      <c r="A1589" s="88" t="str">
        <f t="shared" si="120"/>
        <v>LOCK</v>
      </c>
      <c r="F1589" s="1014">
        <v>0.23809523809523814</v>
      </c>
      <c r="G1589" s="1014">
        <v>0</v>
      </c>
      <c r="H1589" s="1014">
        <v>0</v>
      </c>
      <c r="I1589" s="1014">
        <v>0</v>
      </c>
      <c r="J1589" s="1014">
        <v>0</v>
      </c>
      <c r="K1589" s="1014">
        <v>0</v>
      </c>
      <c r="L1589" s="1014">
        <v>0</v>
      </c>
      <c r="M1589" s="1014">
        <v>0</v>
      </c>
      <c r="N1589" s="1014">
        <v>0</v>
      </c>
      <c r="O1589" s="1014">
        <v>0</v>
      </c>
      <c r="P1589" s="1014">
        <v>0</v>
      </c>
      <c r="Q1589" s="1014">
        <v>0</v>
      </c>
      <c r="R1589" s="1014">
        <v>0</v>
      </c>
      <c r="S1589" s="1014">
        <v>0</v>
      </c>
      <c r="T1589" s="1014">
        <v>0</v>
      </c>
      <c r="U1589" s="1014">
        <v>0</v>
      </c>
      <c r="V1589" s="1014">
        <v>0</v>
      </c>
      <c r="W1589" s="1014">
        <v>0</v>
      </c>
      <c r="X1589" s="1014">
        <v>0</v>
      </c>
      <c r="Y1589" s="1014">
        <v>0</v>
      </c>
      <c r="Z1589" s="1014">
        <f ca="1">_xlfn.XLOOKUP(A1485,TabCalc[Ticker],TabCalc[Imp20])</f>
        <v>0</v>
      </c>
      <c r="AB1589" s="1014">
        <v>9.9337748344370924E-2</v>
      </c>
      <c r="AC1589" s="1014">
        <v>8.256880733944949E-2</v>
      </c>
      <c r="AD1589" s="1014">
        <v>8.256880733944949E-2</v>
      </c>
      <c r="AE1589" s="1014">
        <v>8.256880733944949E-2</v>
      </c>
      <c r="AF1589" s="1014">
        <v>8.256880733944949E-2</v>
      </c>
      <c r="AG1589" s="1014">
        <v>8.256880733944949E-2</v>
      </c>
      <c r="AH1589" s="1014">
        <v>8.256880733944949E-2</v>
      </c>
      <c r="AI1589" s="1014">
        <v>8.256880733944949E-2</v>
      </c>
      <c r="AJ1589" s="1014">
        <v>8.256880733944949E-2</v>
      </c>
      <c r="AK1589" s="1014">
        <v>8.256880733944949E-2</v>
      </c>
      <c r="AL1589" s="1014">
        <v>8.256880733944949E-2</v>
      </c>
      <c r="AM1589" s="1014">
        <v>8.256880733944949E-2</v>
      </c>
      <c r="AN1589" s="1014">
        <v>8.256880733944949E-2</v>
      </c>
      <c r="AO1589" s="1014">
        <v>8.256880733944949E-2</v>
      </c>
      <c r="AP1589" s="1014">
        <v>8.256880733944949E-2</v>
      </c>
      <c r="AQ1589" s="1014">
        <v>8.256880733944949E-2</v>
      </c>
      <c r="AR1589" s="1014">
        <v>8.256880733944949E-2</v>
      </c>
      <c r="AS1589" s="1014">
        <v>8.256880733944949E-2</v>
      </c>
      <c r="AT1589" s="1014">
        <v>8.256880733944949E-2</v>
      </c>
      <c r="AU1589" s="1014">
        <v>8.256880733944949E-2</v>
      </c>
      <c r="AV1589" s="1014">
        <f ca="1">_xlfn.XLOOKUP(A1485,TabCalc[Ticker],TabCalc[Imp150])</f>
        <v>8.256880733944949E-2</v>
      </c>
      <c r="AX1589" s="88" t="str">
        <f t="shared" si="119"/>
        <v>LOCK</v>
      </c>
    </row>
    <row r="1590" spans="1:50">
      <c r="A1590" s="88" t="str">
        <f t="shared" si="120"/>
        <v>Total</v>
      </c>
      <c r="F1590" s="1014">
        <v>-1</v>
      </c>
      <c r="G1590" s="1014">
        <v>-1</v>
      </c>
      <c r="H1590" s="1014">
        <v>-1</v>
      </c>
      <c r="I1590" s="1014">
        <v>0</v>
      </c>
      <c r="J1590" s="1014">
        <v>0</v>
      </c>
      <c r="K1590" s="1014">
        <v>0.28571428571428581</v>
      </c>
      <c r="L1590" s="1014">
        <v>0.28571428571428581</v>
      </c>
      <c r="M1590" s="1014">
        <v>0.28571428571428581</v>
      </c>
      <c r="N1590" s="1014">
        <v>0.28571428571428581</v>
      </c>
      <c r="O1590" s="1014">
        <v>0.28571428571428581</v>
      </c>
      <c r="P1590" s="1014">
        <v>0.28571428571428581</v>
      </c>
      <c r="Q1590" s="1014">
        <v>0.28571428571428581</v>
      </c>
      <c r="R1590" s="1014">
        <v>-1</v>
      </c>
      <c r="S1590" s="1014">
        <v>-1</v>
      </c>
      <c r="T1590" s="1014">
        <v>-1</v>
      </c>
      <c r="U1590" s="1014">
        <v>-1</v>
      </c>
      <c r="V1590" s="1014">
        <v>-1</v>
      </c>
      <c r="W1590" s="1014">
        <v>-1</v>
      </c>
      <c r="X1590" s="1014">
        <v>-1</v>
      </c>
      <c r="Y1590" s="1014">
        <v>0.71428571428571419</v>
      </c>
      <c r="Z1590" s="1014">
        <f ca="1">_xlfn.XLOOKUP(A1486,TabCalc[Ticker],TabCalc[Imp20])</f>
        <v>0.71428571428571419</v>
      </c>
      <c r="AB1590" s="1014">
        <v>-1</v>
      </c>
      <c r="AC1590" s="1014">
        <v>-1</v>
      </c>
      <c r="AD1590" s="1014">
        <v>-1</v>
      </c>
      <c r="AE1590" s="1014">
        <v>0.16949152542372881</v>
      </c>
      <c r="AF1590" s="1014">
        <v>0.16949152542372881</v>
      </c>
      <c r="AG1590" s="1014">
        <v>0.17948717948717952</v>
      </c>
      <c r="AH1590" s="1014">
        <v>0.19658119658119655</v>
      </c>
      <c r="AI1590" s="1014">
        <v>0.19658119658119655</v>
      </c>
      <c r="AJ1590" s="1014">
        <v>0.19658119658119655</v>
      </c>
      <c r="AK1590" s="1014">
        <v>0.19658119658119655</v>
      </c>
      <c r="AL1590" s="1014">
        <v>0.19658119658119655</v>
      </c>
      <c r="AM1590" s="1014">
        <v>0.19658119658119655</v>
      </c>
      <c r="AN1590" s="1014">
        <v>-1</v>
      </c>
      <c r="AO1590" s="1014">
        <v>-1</v>
      </c>
      <c r="AP1590" s="1014">
        <v>-1</v>
      </c>
      <c r="AQ1590" s="1014">
        <v>-1</v>
      </c>
      <c r="AR1590" s="1014">
        <v>-1</v>
      </c>
      <c r="AS1590" s="1014">
        <v>-1</v>
      </c>
      <c r="AT1590" s="1014">
        <v>-1</v>
      </c>
      <c r="AU1590" s="1014">
        <v>0.19999999999999996</v>
      </c>
      <c r="AV1590" s="1014">
        <f ca="1">_xlfn.XLOOKUP(A1486,TabCalc[Ticker],TabCalc[Imp150])</f>
        <v>0.19999999999999996</v>
      </c>
      <c r="AX1590" s="88" t="str">
        <f t="shared" si="119"/>
        <v>Total</v>
      </c>
    </row>
    <row r="1591" spans="1:50">
      <c r="A1591" s="88"/>
      <c r="J1591"/>
      <c r="K1591"/>
      <c r="L1591"/>
      <c r="M1591"/>
      <c r="O1591"/>
      <c r="P1591"/>
      <c r="R1591"/>
      <c r="W1591"/>
      <c r="X1591"/>
      <c r="AX1591" s="88"/>
    </row>
    <row r="1592" spans="1:50">
      <c r="A1592" s="88"/>
      <c r="J1592"/>
      <c r="K1592"/>
      <c r="L1592"/>
      <c r="M1592"/>
      <c r="O1592"/>
      <c r="P1592"/>
      <c r="R1592"/>
      <c r="W1592"/>
      <c r="X1592"/>
      <c r="AX1592" s="88"/>
    </row>
    <row r="1593" spans="1:50">
      <c r="A1593" s="88"/>
      <c r="J1593"/>
      <c r="K1593"/>
      <c r="L1593"/>
      <c r="M1593"/>
      <c r="O1593"/>
      <c r="P1593"/>
      <c r="R1593"/>
      <c r="W1593"/>
      <c r="X1593"/>
      <c r="AB1593" t="s">
        <v>2439</v>
      </c>
      <c r="AX1593" s="88"/>
    </row>
    <row r="1594" spans="1:50">
      <c r="A1594" s="88"/>
      <c r="F1594" t="s">
        <v>2440</v>
      </c>
      <c r="J1594"/>
      <c r="K1594"/>
      <c r="L1594"/>
      <c r="M1594"/>
      <c r="O1594"/>
      <c r="P1594"/>
      <c r="R1594"/>
      <c r="W1594"/>
      <c r="X1594"/>
      <c r="AB1594" s="62">
        <f t="shared" ref="AB1594:AV1594" ca="1" si="121">AB1495</f>
        <v>45929</v>
      </c>
      <c r="AC1594" s="62">
        <f t="shared" ca="1" si="121"/>
        <v>45930</v>
      </c>
      <c r="AD1594" s="62">
        <f t="shared" ca="1" si="121"/>
        <v>45931</v>
      </c>
      <c r="AE1594" s="62">
        <f t="shared" ca="1" si="121"/>
        <v>45932</v>
      </c>
      <c r="AF1594" s="62">
        <f t="shared" ca="1" si="121"/>
        <v>45933</v>
      </c>
      <c r="AG1594" s="62">
        <f t="shared" ca="1" si="121"/>
        <v>45936</v>
      </c>
      <c r="AH1594" s="62">
        <f t="shared" ca="1" si="121"/>
        <v>45937</v>
      </c>
      <c r="AI1594" s="62">
        <f t="shared" ca="1" si="121"/>
        <v>45938</v>
      </c>
      <c r="AJ1594" s="62">
        <f t="shared" ca="1" si="121"/>
        <v>45939</v>
      </c>
      <c r="AK1594" s="62">
        <f t="shared" ca="1" si="121"/>
        <v>45940</v>
      </c>
      <c r="AL1594" s="62">
        <f t="shared" ca="1" si="121"/>
        <v>45943</v>
      </c>
      <c r="AM1594" s="62">
        <f t="shared" ca="1" si="121"/>
        <v>45944</v>
      </c>
      <c r="AN1594" s="62">
        <f t="shared" ca="1" si="121"/>
        <v>45945</v>
      </c>
      <c r="AO1594" s="62">
        <f t="shared" ca="1" si="121"/>
        <v>45946</v>
      </c>
      <c r="AP1594" s="62">
        <f t="shared" ca="1" si="121"/>
        <v>45947</v>
      </c>
      <c r="AQ1594" s="62">
        <f t="shared" ca="1" si="121"/>
        <v>45950</v>
      </c>
      <c r="AR1594" s="62">
        <f t="shared" ca="1" si="121"/>
        <v>45951</v>
      </c>
      <c r="AS1594" s="62">
        <f t="shared" ca="1" si="121"/>
        <v>45952</v>
      </c>
      <c r="AT1594" s="62">
        <f t="shared" ca="1" si="121"/>
        <v>45953</v>
      </c>
      <c r="AU1594" s="62">
        <f t="shared" ca="1" si="121"/>
        <v>45954</v>
      </c>
      <c r="AV1594" s="62">
        <f t="shared" ca="1" si="121"/>
        <v>45956</v>
      </c>
      <c r="AX1594" s="88"/>
    </row>
    <row r="1595" spans="1:50">
      <c r="A1595" s="88"/>
      <c r="F1595" s="62">
        <f t="shared" ref="F1595:Z1595" ca="1" si="122">F1495</f>
        <v>45929</v>
      </c>
      <c r="G1595" s="62">
        <f t="shared" ca="1" si="122"/>
        <v>45930</v>
      </c>
      <c r="H1595" s="62">
        <f t="shared" ca="1" si="122"/>
        <v>45931</v>
      </c>
      <c r="I1595" s="62">
        <f t="shared" ca="1" si="122"/>
        <v>45932</v>
      </c>
      <c r="J1595" s="62">
        <f t="shared" ca="1" si="122"/>
        <v>45933</v>
      </c>
      <c r="K1595" s="62">
        <f t="shared" ca="1" si="122"/>
        <v>45936</v>
      </c>
      <c r="L1595" s="62">
        <f t="shared" ca="1" si="122"/>
        <v>45937</v>
      </c>
      <c r="M1595" s="62">
        <f t="shared" ca="1" si="122"/>
        <v>45938</v>
      </c>
      <c r="N1595" s="62">
        <f t="shared" ca="1" si="122"/>
        <v>45939</v>
      </c>
      <c r="O1595" s="62">
        <f t="shared" ca="1" si="122"/>
        <v>45940</v>
      </c>
      <c r="P1595" s="62">
        <f t="shared" ca="1" si="122"/>
        <v>45943</v>
      </c>
      <c r="Q1595" s="62">
        <f t="shared" ca="1" si="122"/>
        <v>45944</v>
      </c>
      <c r="R1595" s="62">
        <f t="shared" ca="1" si="122"/>
        <v>45945</v>
      </c>
      <c r="S1595" s="62">
        <f t="shared" ca="1" si="122"/>
        <v>45946</v>
      </c>
      <c r="T1595" s="62">
        <f t="shared" ca="1" si="122"/>
        <v>45947</v>
      </c>
      <c r="U1595" s="62">
        <f t="shared" ca="1" si="122"/>
        <v>45950</v>
      </c>
      <c r="V1595" s="62">
        <f t="shared" ca="1" si="122"/>
        <v>45951</v>
      </c>
      <c r="W1595" s="62">
        <f t="shared" ca="1" si="122"/>
        <v>45952</v>
      </c>
      <c r="X1595" s="62">
        <f t="shared" ca="1" si="122"/>
        <v>45953</v>
      </c>
      <c r="Y1595" s="62">
        <f t="shared" ca="1" si="122"/>
        <v>45954</v>
      </c>
      <c r="Z1595" s="62">
        <f t="shared" ca="1" si="122"/>
        <v>45956</v>
      </c>
      <c r="AB1595" t="s">
        <v>2418</v>
      </c>
      <c r="AC1595" t="s">
        <v>2419</v>
      </c>
      <c r="AD1595" t="s">
        <v>2420</v>
      </c>
      <c r="AE1595" t="s">
        <v>2421</v>
      </c>
      <c r="AF1595" t="s">
        <v>2422</v>
      </c>
      <c r="AG1595" t="s">
        <v>2423</v>
      </c>
      <c r="AH1595" t="s">
        <v>2424</v>
      </c>
      <c r="AI1595" t="s">
        <v>2425</v>
      </c>
      <c r="AJ1595" t="s">
        <v>2426</v>
      </c>
      <c r="AK1595" t="s">
        <v>2427</v>
      </c>
      <c r="AL1595" t="s">
        <v>2428</v>
      </c>
      <c r="AM1595" t="s">
        <v>2429</v>
      </c>
      <c r="AN1595" t="s">
        <v>2430</v>
      </c>
      <c r="AO1595" t="s">
        <v>2431</v>
      </c>
      <c r="AP1595" t="s">
        <v>2432</v>
      </c>
      <c r="AQ1595" t="s">
        <v>2433</v>
      </c>
      <c r="AR1595" t="s">
        <v>2434</v>
      </c>
      <c r="AS1595" t="s">
        <v>2435</v>
      </c>
      <c r="AT1595" t="s">
        <v>2436</v>
      </c>
      <c r="AU1595" t="s">
        <v>2437</v>
      </c>
      <c r="AV1595" t="s">
        <v>2438</v>
      </c>
      <c r="AX1595" s="88"/>
    </row>
    <row r="1596" spans="1:50">
      <c r="A1596" s="88" t="str">
        <f t="shared" ref="A1596:A1655" ca="1" si="123">A1497</f>
        <v>AAPL</v>
      </c>
      <c r="F1596" t="s">
        <v>2418</v>
      </c>
      <c r="G1596" t="s">
        <v>2419</v>
      </c>
      <c r="H1596" t="s">
        <v>2420</v>
      </c>
      <c r="I1596" t="s">
        <v>2421</v>
      </c>
      <c r="J1596" t="s">
        <v>2422</v>
      </c>
      <c r="K1596" t="s">
        <v>2423</v>
      </c>
      <c r="L1596" t="s">
        <v>2424</v>
      </c>
      <c r="M1596" t="s">
        <v>2425</v>
      </c>
      <c r="N1596" t="s">
        <v>2426</v>
      </c>
      <c r="O1596" t="s">
        <v>2427</v>
      </c>
      <c r="P1596" t="s">
        <v>2428</v>
      </c>
      <c r="Q1596" t="s">
        <v>2429</v>
      </c>
      <c r="R1596" t="s">
        <v>2430</v>
      </c>
      <c r="S1596" t="s">
        <v>2431</v>
      </c>
      <c r="T1596" t="s">
        <v>2432</v>
      </c>
      <c r="U1596" t="s">
        <v>2433</v>
      </c>
      <c r="V1596" t="s">
        <v>2434</v>
      </c>
      <c r="W1596" t="s">
        <v>2435</v>
      </c>
      <c r="X1596" t="s">
        <v>2436</v>
      </c>
      <c r="Y1596" t="s">
        <v>2437</v>
      </c>
      <c r="Z1596" t="s">
        <v>2438</v>
      </c>
      <c r="AB1596" s="1014" t="e">
        <v>#N/A</v>
      </c>
      <c r="AC1596" s="1014" t="e">
        <v>#N/A</v>
      </c>
      <c r="AD1596" s="1014" t="e">
        <v>#N/A</v>
      </c>
      <c r="AE1596" s="1014" t="e">
        <v>#N/A</v>
      </c>
      <c r="AF1596" s="1014" t="e">
        <v>#N/A</v>
      </c>
      <c r="AG1596" s="1014" t="e">
        <v>#N/A</v>
      </c>
      <c r="AH1596" s="1014" t="e">
        <v>#N/A</v>
      </c>
      <c r="AI1596" s="1014" t="e">
        <v>#N/A</v>
      </c>
      <c r="AJ1596" s="1014" t="e">
        <v>#N/A</v>
      </c>
      <c r="AK1596" s="1014" t="e">
        <v>#N/A</v>
      </c>
      <c r="AL1596" s="1014" t="e">
        <v>#N/A</v>
      </c>
      <c r="AM1596" s="1014" t="e">
        <v>#N/A</v>
      </c>
      <c r="AN1596" s="1014" t="e">
        <v>#N/A</v>
      </c>
      <c r="AO1596" s="1014" t="e">
        <v>#N/A</v>
      </c>
      <c r="AP1596" s="1014" t="e">
        <v>#N/A</v>
      </c>
      <c r="AQ1596" s="1014" t="e">
        <v>#N/A</v>
      </c>
      <c r="AR1596" s="1014" t="e">
        <v>#N/A</v>
      </c>
      <c r="AS1596" s="1014" t="e">
        <v>#N/A</v>
      </c>
      <c r="AT1596" s="1014" t="e">
        <v>#N/A</v>
      </c>
      <c r="AU1596" s="1014" t="e">
        <v>#N/A</v>
      </c>
      <c r="AV1596" s="1014" t="e">
        <f t="shared" ref="AV1596:AV1659" ca="1" si="124">SUMPRODUCT(AB1497:AV1497,AB1497:AV1497)</f>
        <v>#N/A</v>
      </c>
      <c r="AX1596" s="88" t="str">
        <f t="shared" ca="1" si="119"/>
        <v>AAPL</v>
      </c>
    </row>
    <row r="1597" spans="1:50">
      <c r="A1597" s="88" t="str">
        <f t="shared" ca="1" si="123"/>
        <v>ADEA</v>
      </c>
      <c r="F1597" s="1014" t="e">
        <v>#N/A</v>
      </c>
      <c r="G1597" s="1014" t="e">
        <v>#N/A</v>
      </c>
      <c r="H1597" s="1014" t="e">
        <v>#N/A</v>
      </c>
      <c r="I1597" s="1014" t="e">
        <v>#N/A</v>
      </c>
      <c r="J1597" s="1014" t="e">
        <v>#N/A</v>
      </c>
      <c r="K1597" s="1014" t="e">
        <v>#N/A</v>
      </c>
      <c r="L1597" s="1014" t="e">
        <v>#N/A</v>
      </c>
      <c r="M1597" s="1014" t="e">
        <v>#N/A</v>
      </c>
      <c r="N1597" s="1014" t="e">
        <v>#N/A</v>
      </c>
      <c r="O1597" s="1014" t="e">
        <v>#N/A</v>
      </c>
      <c r="P1597" s="1014" t="e">
        <v>#N/A</v>
      </c>
      <c r="Q1597" s="1014" t="e">
        <v>#N/A</v>
      </c>
      <c r="R1597" s="1014" t="e">
        <v>#N/A</v>
      </c>
      <c r="S1597" s="1014" t="e">
        <v>#N/A</v>
      </c>
      <c r="T1597" s="1014" t="e">
        <v>#N/A</v>
      </c>
      <c r="U1597" s="1014" t="e">
        <v>#N/A</v>
      </c>
      <c r="V1597" s="1014" t="e">
        <v>#N/A</v>
      </c>
      <c r="W1597" s="1014" t="e">
        <v>#N/A</v>
      </c>
      <c r="X1597" s="1014" t="e">
        <v>#N/A</v>
      </c>
      <c r="Y1597" s="1014" t="e">
        <v>#N/A</v>
      </c>
      <c r="Z1597" s="1014" t="e">
        <f t="shared" ref="Z1597:Z1660" si="125">SUMPRODUCT(F1497:Z1497,F1497:Z1497)</f>
        <v>#N/A</v>
      </c>
      <c r="AB1597" s="1014" t="e">
        <v>#N/A</v>
      </c>
      <c r="AC1597" s="1014" t="e">
        <v>#N/A</v>
      </c>
      <c r="AD1597" s="1014" t="e">
        <v>#N/A</v>
      </c>
      <c r="AE1597" s="1014" t="e">
        <v>#N/A</v>
      </c>
      <c r="AF1597" s="1014" t="e">
        <v>#N/A</v>
      </c>
      <c r="AG1597" s="1014" t="e">
        <v>#N/A</v>
      </c>
      <c r="AH1597" s="1014" t="e">
        <v>#N/A</v>
      </c>
      <c r="AI1597" s="1014" t="e">
        <v>#N/A</v>
      </c>
      <c r="AJ1597" s="1014" t="e">
        <v>#N/A</v>
      </c>
      <c r="AK1597" s="1014" t="e">
        <v>#N/A</v>
      </c>
      <c r="AL1597" s="1014" t="e">
        <v>#N/A</v>
      </c>
      <c r="AM1597" s="1014" t="e">
        <v>#N/A</v>
      </c>
      <c r="AN1597" s="1014" t="e">
        <v>#N/A</v>
      </c>
      <c r="AO1597" s="1014" t="e">
        <v>#N/A</v>
      </c>
      <c r="AP1597" s="1014" t="e">
        <v>#N/A</v>
      </c>
      <c r="AQ1597" s="1014" t="e">
        <v>#N/A</v>
      </c>
      <c r="AR1597" s="1014" t="e">
        <v>#N/A</v>
      </c>
      <c r="AS1597" s="1014" t="e">
        <v>#N/A</v>
      </c>
      <c r="AT1597" s="1014" t="e">
        <v>#N/A</v>
      </c>
      <c r="AU1597" s="1014" t="e">
        <v>#N/A</v>
      </c>
      <c r="AV1597" s="1014" t="e">
        <f t="shared" si="124"/>
        <v>#N/A</v>
      </c>
      <c r="AX1597" s="88" t="str">
        <f t="shared" ca="1" si="119"/>
        <v>ADEA</v>
      </c>
    </row>
    <row r="1598" spans="1:50">
      <c r="A1598" s="88" t="str">
        <f t="shared" ca="1" si="123"/>
        <v>AET</v>
      </c>
      <c r="F1598" s="1014" t="e">
        <v>#N/A</v>
      </c>
      <c r="G1598" s="1014" t="e">
        <v>#N/A</v>
      </c>
      <c r="H1598" s="1014" t="e">
        <v>#N/A</v>
      </c>
      <c r="I1598" s="1014" t="e">
        <v>#N/A</v>
      </c>
      <c r="J1598" s="1014" t="e">
        <v>#N/A</v>
      </c>
      <c r="K1598" s="1014" t="e">
        <v>#N/A</v>
      </c>
      <c r="L1598" s="1014" t="e">
        <v>#N/A</v>
      </c>
      <c r="M1598" s="1014" t="e">
        <v>#N/A</v>
      </c>
      <c r="N1598" s="1014" t="e">
        <v>#N/A</v>
      </c>
      <c r="O1598" s="1014" t="e">
        <v>#N/A</v>
      </c>
      <c r="P1598" s="1014" t="e">
        <v>#N/A</v>
      </c>
      <c r="Q1598" s="1014" t="e">
        <v>#N/A</v>
      </c>
      <c r="R1598" s="1014" t="e">
        <v>#N/A</v>
      </c>
      <c r="S1598" s="1014" t="e">
        <v>#N/A</v>
      </c>
      <c r="T1598" s="1014" t="e">
        <v>#N/A</v>
      </c>
      <c r="U1598" s="1014" t="e">
        <v>#N/A</v>
      </c>
      <c r="V1598" s="1014" t="e">
        <v>#N/A</v>
      </c>
      <c r="W1598" s="1014" t="e">
        <v>#N/A</v>
      </c>
      <c r="X1598" s="1014" t="e">
        <v>#N/A</v>
      </c>
      <c r="Y1598" s="1014" t="e">
        <v>#N/A</v>
      </c>
      <c r="Z1598" s="1014" t="e">
        <f t="shared" si="125"/>
        <v>#N/A</v>
      </c>
      <c r="AB1598" s="1014" t="e">
        <v>#N/A</v>
      </c>
      <c r="AC1598" s="1014" t="e">
        <v>#N/A</v>
      </c>
      <c r="AD1598" s="1014" t="e">
        <v>#N/A</v>
      </c>
      <c r="AE1598" s="1014" t="e">
        <v>#N/A</v>
      </c>
      <c r="AF1598" s="1014" t="e">
        <v>#N/A</v>
      </c>
      <c r="AG1598" s="1014" t="e">
        <v>#N/A</v>
      </c>
      <c r="AH1598" s="1014" t="e">
        <v>#N/A</v>
      </c>
      <c r="AI1598" s="1014" t="e">
        <v>#N/A</v>
      </c>
      <c r="AJ1598" s="1014" t="e">
        <v>#N/A</v>
      </c>
      <c r="AK1598" s="1014" t="e">
        <v>#N/A</v>
      </c>
      <c r="AL1598" s="1014" t="e">
        <v>#N/A</v>
      </c>
      <c r="AM1598" s="1014" t="e">
        <v>#N/A</v>
      </c>
      <c r="AN1598" s="1014" t="e">
        <v>#N/A</v>
      </c>
      <c r="AO1598" s="1014" t="e">
        <v>#N/A</v>
      </c>
      <c r="AP1598" s="1014" t="e">
        <v>#N/A</v>
      </c>
      <c r="AQ1598" s="1014" t="e">
        <v>#N/A</v>
      </c>
      <c r="AR1598" s="1014" t="e">
        <v>#N/A</v>
      </c>
      <c r="AS1598" s="1014" t="e">
        <v>#N/A</v>
      </c>
      <c r="AT1598" s="1014" t="e">
        <v>#N/A</v>
      </c>
      <c r="AU1598" s="1014" t="e">
        <v>#N/A</v>
      </c>
      <c r="AV1598" s="1014" t="e">
        <f t="shared" si="124"/>
        <v>#N/A</v>
      </c>
      <c r="AX1598" s="88" t="str">
        <f t="shared" ca="1" si="119"/>
        <v>AET</v>
      </c>
    </row>
    <row r="1599" spans="1:50">
      <c r="A1599" s="88" t="str">
        <f t="shared" ca="1" si="123"/>
        <v>AMZN</v>
      </c>
      <c r="F1599" s="1014" t="e">
        <v>#N/A</v>
      </c>
      <c r="G1599" s="1014" t="e">
        <v>#N/A</v>
      </c>
      <c r="H1599" s="1014" t="e">
        <v>#N/A</v>
      </c>
      <c r="I1599" s="1014" t="e">
        <v>#N/A</v>
      </c>
      <c r="J1599" s="1014" t="e">
        <v>#N/A</v>
      </c>
      <c r="K1599" s="1014" t="e">
        <v>#N/A</v>
      </c>
      <c r="L1599" s="1014" t="e">
        <v>#N/A</v>
      </c>
      <c r="M1599" s="1014" t="e">
        <v>#N/A</v>
      </c>
      <c r="N1599" s="1014" t="e">
        <v>#N/A</v>
      </c>
      <c r="O1599" s="1014" t="e">
        <v>#N/A</v>
      </c>
      <c r="P1599" s="1014" t="e">
        <v>#N/A</v>
      </c>
      <c r="Q1599" s="1014" t="e">
        <v>#N/A</v>
      </c>
      <c r="R1599" s="1014" t="e">
        <v>#N/A</v>
      </c>
      <c r="S1599" s="1014" t="e">
        <v>#N/A</v>
      </c>
      <c r="T1599" s="1014" t="e">
        <v>#N/A</v>
      </c>
      <c r="U1599" s="1014" t="e">
        <v>#N/A</v>
      </c>
      <c r="V1599" s="1014" t="e">
        <v>#N/A</v>
      </c>
      <c r="W1599" s="1014" t="e">
        <v>#N/A</v>
      </c>
      <c r="X1599" s="1014" t="e">
        <v>#N/A</v>
      </c>
      <c r="Y1599" s="1014" t="e">
        <v>#N/A</v>
      </c>
      <c r="Z1599" s="1014" t="e">
        <f t="shared" si="125"/>
        <v>#N/A</v>
      </c>
      <c r="AB1599" s="1014" t="e">
        <v>#N/A</v>
      </c>
      <c r="AC1599" s="1014" t="e">
        <v>#N/A</v>
      </c>
      <c r="AD1599" s="1014" t="e">
        <v>#N/A</v>
      </c>
      <c r="AE1599" s="1014" t="e">
        <v>#N/A</v>
      </c>
      <c r="AF1599" s="1014" t="e">
        <v>#N/A</v>
      </c>
      <c r="AG1599" s="1014" t="e">
        <v>#N/A</v>
      </c>
      <c r="AH1599" s="1014" t="e">
        <v>#N/A</v>
      </c>
      <c r="AI1599" s="1014" t="e">
        <v>#N/A</v>
      </c>
      <c r="AJ1599" s="1014" t="e">
        <v>#N/A</v>
      </c>
      <c r="AK1599" s="1014" t="e">
        <v>#N/A</v>
      </c>
      <c r="AL1599" s="1014" t="e">
        <v>#N/A</v>
      </c>
      <c r="AM1599" s="1014" t="e">
        <v>#N/A</v>
      </c>
      <c r="AN1599" s="1014" t="e">
        <v>#N/A</v>
      </c>
      <c r="AO1599" s="1014" t="e">
        <v>#N/A</v>
      </c>
      <c r="AP1599" s="1014" t="e">
        <v>#N/A</v>
      </c>
      <c r="AQ1599" s="1014" t="e">
        <v>#N/A</v>
      </c>
      <c r="AR1599" s="1014" t="e">
        <v>#N/A</v>
      </c>
      <c r="AS1599" s="1014" t="e">
        <v>#N/A</v>
      </c>
      <c r="AT1599" s="1014" t="e">
        <v>#N/A</v>
      </c>
      <c r="AU1599" s="1014" t="e">
        <v>#N/A</v>
      </c>
      <c r="AV1599" s="1014" t="e">
        <f t="shared" si="124"/>
        <v>#N/A</v>
      </c>
      <c r="AX1599" s="88" t="str">
        <f t="shared" ca="1" si="119"/>
        <v>AMZN</v>
      </c>
    </row>
    <row r="1600" spans="1:50">
      <c r="A1600" s="88" t="str">
        <f t="shared" ca="1" si="123"/>
        <v>ALDNE</v>
      </c>
      <c r="F1600" s="1014" t="e">
        <v>#N/A</v>
      </c>
      <c r="G1600" s="1014" t="e">
        <v>#N/A</v>
      </c>
      <c r="H1600" s="1014" t="e">
        <v>#N/A</v>
      </c>
      <c r="I1600" s="1014" t="e">
        <v>#N/A</v>
      </c>
      <c r="J1600" s="1014" t="e">
        <v>#N/A</v>
      </c>
      <c r="K1600" s="1014" t="e">
        <v>#N/A</v>
      </c>
      <c r="L1600" s="1014" t="e">
        <v>#N/A</v>
      </c>
      <c r="M1600" s="1014" t="e">
        <v>#N/A</v>
      </c>
      <c r="N1600" s="1014" t="e">
        <v>#N/A</v>
      </c>
      <c r="O1600" s="1014" t="e">
        <v>#N/A</v>
      </c>
      <c r="P1600" s="1014" t="e">
        <v>#N/A</v>
      </c>
      <c r="Q1600" s="1014" t="e">
        <v>#N/A</v>
      </c>
      <c r="R1600" s="1014" t="e">
        <v>#N/A</v>
      </c>
      <c r="S1600" s="1014" t="e">
        <v>#N/A</v>
      </c>
      <c r="T1600" s="1014" t="e">
        <v>#N/A</v>
      </c>
      <c r="U1600" s="1014" t="e">
        <v>#N/A</v>
      </c>
      <c r="V1600" s="1014" t="e">
        <v>#N/A</v>
      </c>
      <c r="W1600" s="1014" t="e">
        <v>#N/A</v>
      </c>
      <c r="X1600" s="1014" t="e">
        <v>#N/A</v>
      </c>
      <c r="Y1600" s="1014" t="e">
        <v>#N/A</v>
      </c>
      <c r="Z1600" s="1014" t="e">
        <f t="shared" si="125"/>
        <v>#N/A</v>
      </c>
      <c r="AB1600" s="1014" t="e">
        <v>#N/A</v>
      </c>
      <c r="AC1600" s="1014" t="e">
        <v>#N/A</v>
      </c>
      <c r="AD1600" s="1014" t="e">
        <v>#N/A</v>
      </c>
      <c r="AE1600" s="1014" t="e">
        <v>#N/A</v>
      </c>
      <c r="AF1600" s="1014" t="e">
        <v>#N/A</v>
      </c>
      <c r="AG1600" s="1014" t="e">
        <v>#N/A</v>
      </c>
      <c r="AH1600" s="1014" t="e">
        <v>#N/A</v>
      </c>
      <c r="AI1600" s="1014" t="e">
        <v>#N/A</v>
      </c>
      <c r="AJ1600" s="1014" t="e">
        <v>#N/A</v>
      </c>
      <c r="AK1600" s="1014" t="e">
        <v>#N/A</v>
      </c>
      <c r="AL1600" s="1014" t="e">
        <v>#N/A</v>
      </c>
      <c r="AM1600" s="1014" t="e">
        <v>#N/A</v>
      </c>
      <c r="AN1600" s="1014" t="e">
        <v>#N/A</v>
      </c>
      <c r="AO1600" s="1014" t="e">
        <v>#N/A</v>
      </c>
      <c r="AP1600" s="1014" t="e">
        <v>#N/A</v>
      </c>
      <c r="AQ1600" s="1014" t="e">
        <v>#N/A</v>
      </c>
      <c r="AR1600" s="1014" t="e">
        <v>#N/A</v>
      </c>
      <c r="AS1600" s="1014" t="e">
        <v>#N/A</v>
      </c>
      <c r="AT1600" s="1014" t="e">
        <v>#N/A</v>
      </c>
      <c r="AU1600" s="1014" t="e">
        <v>#N/A</v>
      </c>
      <c r="AV1600" s="1014" t="e">
        <f t="shared" si="124"/>
        <v>#N/A</v>
      </c>
      <c r="AX1600" s="88" t="str">
        <f t="shared" ca="1" si="119"/>
        <v>ALDNE</v>
      </c>
    </row>
    <row r="1601" spans="1:50">
      <c r="A1601" s="88" t="str">
        <f t="shared" ca="1" si="123"/>
        <v>ASML</v>
      </c>
      <c r="F1601" s="1014" t="e">
        <v>#N/A</v>
      </c>
      <c r="G1601" s="1014" t="e">
        <v>#N/A</v>
      </c>
      <c r="H1601" s="1014" t="e">
        <v>#N/A</v>
      </c>
      <c r="I1601" s="1014" t="e">
        <v>#N/A</v>
      </c>
      <c r="J1601" s="1014" t="e">
        <v>#N/A</v>
      </c>
      <c r="K1601" s="1014" t="e">
        <v>#N/A</v>
      </c>
      <c r="L1601" s="1014" t="e">
        <v>#N/A</v>
      </c>
      <c r="M1601" s="1014" t="e">
        <v>#N/A</v>
      </c>
      <c r="N1601" s="1014" t="e">
        <v>#N/A</v>
      </c>
      <c r="O1601" s="1014" t="e">
        <v>#N/A</v>
      </c>
      <c r="P1601" s="1014" t="e">
        <v>#N/A</v>
      </c>
      <c r="Q1601" s="1014" t="e">
        <v>#N/A</v>
      </c>
      <c r="R1601" s="1014" t="e">
        <v>#N/A</v>
      </c>
      <c r="S1601" s="1014" t="e">
        <v>#N/A</v>
      </c>
      <c r="T1601" s="1014" t="e">
        <v>#N/A</v>
      </c>
      <c r="U1601" s="1014" t="e">
        <v>#N/A</v>
      </c>
      <c r="V1601" s="1014" t="e">
        <v>#N/A</v>
      </c>
      <c r="W1601" s="1014" t="e">
        <v>#N/A</v>
      </c>
      <c r="X1601" s="1014" t="e">
        <v>#N/A</v>
      </c>
      <c r="Y1601" s="1014" t="e">
        <v>#N/A</v>
      </c>
      <c r="Z1601" s="1014" t="e">
        <f t="shared" si="125"/>
        <v>#N/A</v>
      </c>
      <c r="AB1601" s="1014">
        <v>2.0133766062891971</v>
      </c>
      <c r="AC1601" s="1014">
        <v>2.025377285135844</v>
      </c>
      <c r="AD1601" s="1014">
        <v>4.0183024314368314</v>
      </c>
      <c r="AE1601" s="1014">
        <v>3.0292996663391678</v>
      </c>
      <c r="AF1601" s="1014">
        <v>3.0346009240254137</v>
      </c>
      <c r="AG1601" s="1014">
        <v>3.050811202462469</v>
      </c>
      <c r="AH1601" s="1014">
        <v>3.0617424014262729</v>
      </c>
      <c r="AI1601" s="1014">
        <v>3.0773507059463037</v>
      </c>
      <c r="AJ1601" s="1014">
        <v>3.090620457688221</v>
      </c>
      <c r="AK1601" s="1014">
        <v>3.0950629192955117</v>
      </c>
      <c r="AL1601" s="1014">
        <v>2.1039628836956545</v>
      </c>
      <c r="AM1601" s="1014">
        <v>1.1170130326741976</v>
      </c>
      <c r="AN1601" s="1014">
        <v>1.1363008528268921</v>
      </c>
      <c r="AO1601" s="1014">
        <v>1.1606919380331044</v>
      </c>
      <c r="AP1601" s="1014">
        <v>3.1391873316293397</v>
      </c>
      <c r="AQ1601" s="1014">
        <v>2.1789072150214928</v>
      </c>
      <c r="AR1601" s="1014">
        <v>4.157402608617728</v>
      </c>
      <c r="AS1601" s="1014">
        <v>5.1563061654792692</v>
      </c>
      <c r="AT1601" s="1014">
        <v>4.1960260488714223</v>
      </c>
      <c r="AU1601" s="1014">
        <v>4.2153377689982685</v>
      </c>
      <c r="AV1601" s="1014">
        <f t="shared" ca="1" si="124"/>
        <v>4.2153377689982685</v>
      </c>
      <c r="AX1601" s="88" t="str">
        <f t="shared" ca="1" si="119"/>
        <v>ASML</v>
      </c>
    </row>
    <row r="1602" spans="1:50" hidden="1">
      <c r="A1602" s="88" t="str">
        <f t="shared" ca="1" si="123"/>
        <v>AZN</v>
      </c>
      <c r="F1602" s="1014">
        <v>4.0702947845804998</v>
      </c>
      <c r="G1602" s="1014">
        <v>4.0992772108843543</v>
      </c>
      <c r="H1602" s="1014">
        <v>6.0836522108843543</v>
      </c>
      <c r="I1602" s="1014">
        <v>5.0525410997732418</v>
      </c>
      <c r="J1602" s="1014">
        <v>4.9814299886621312</v>
      </c>
      <c r="K1602" s="1014">
        <v>4.8711352040816323</v>
      </c>
      <c r="L1602" s="1014">
        <v>4.7804322562358275</v>
      </c>
      <c r="M1602" s="1014">
        <v>4.8121782879818591</v>
      </c>
      <c r="N1602" s="1014">
        <v>4.8371215986394551</v>
      </c>
      <c r="O1602" s="1014">
        <v>4.7396159297052147</v>
      </c>
      <c r="P1602" s="1014">
        <v>5.7192077664399088</v>
      </c>
      <c r="Q1602" s="1014">
        <v>5.7192077664399088</v>
      </c>
      <c r="R1602" s="1014">
        <v>6.6080966553287981</v>
      </c>
      <c r="S1602" s="1014">
        <v>5.4652395124716548</v>
      </c>
      <c r="T1602" s="1014">
        <v>7.2611578798185938</v>
      </c>
      <c r="U1602" s="1014">
        <v>6.1183007369614506</v>
      </c>
      <c r="V1602" s="1014">
        <v>7.9142191043083905</v>
      </c>
      <c r="W1602" s="1014">
        <v>8.7305456349206345</v>
      </c>
      <c r="X1602" s="1014">
        <v>7.5468721655328803</v>
      </c>
      <c r="Y1602" s="1014">
        <v>7.3631986961451243</v>
      </c>
      <c r="Z1602" s="1014">
        <f t="shared" ca="1" si="125"/>
        <v>7.3631986961451243</v>
      </c>
      <c r="AB1602" s="1014">
        <v>1.0111641675283294</v>
      </c>
      <c r="AC1602" s="1014">
        <v>3.0097924254158466</v>
      </c>
      <c r="AD1602" s="1014">
        <v>4.0097924254158466</v>
      </c>
      <c r="AE1602" s="1014">
        <v>5.0097485676903082</v>
      </c>
      <c r="AF1602" s="1014">
        <v>6.0097047099647698</v>
      </c>
      <c r="AG1602" s="1014">
        <v>7.0096608522392314</v>
      </c>
      <c r="AH1602" s="1014">
        <v>8.0096169945136921</v>
      </c>
      <c r="AI1602" s="1014">
        <v>9.0095731367881555</v>
      </c>
      <c r="AJ1602" s="1014">
        <v>10.009529279062615</v>
      </c>
      <c r="AK1602" s="1014">
        <v>11.009485421337079</v>
      </c>
      <c r="AL1602" s="1014">
        <v>12.009441563611539</v>
      </c>
      <c r="AM1602" s="1014">
        <v>12.00944156361154</v>
      </c>
      <c r="AN1602" s="1014">
        <v>13.009046844081695</v>
      </c>
      <c r="AO1602" s="1014">
        <v>14.007950400943237</v>
      </c>
      <c r="AP1602" s="1014">
        <v>15.006853957804777</v>
      </c>
      <c r="AQ1602" s="1014">
        <v>16.005757514666318</v>
      </c>
      <c r="AR1602" s="1014">
        <v>15.007404555752824</v>
      </c>
      <c r="AS1602" s="1014">
        <v>15.007679854726849</v>
      </c>
      <c r="AT1602" s="1014">
        <v>15.007955153700872</v>
      </c>
      <c r="AU1602" s="1014">
        <v>15.008230452674894</v>
      </c>
      <c r="AV1602" s="1014">
        <f t="shared" ca="1" si="124"/>
        <v>15.008230452674894</v>
      </c>
      <c r="AX1602" s="88" t="str">
        <f t="shared" ca="1" si="119"/>
        <v>AZN</v>
      </c>
    </row>
    <row r="1603" spans="1:50" hidden="1">
      <c r="A1603" s="88" t="str">
        <f t="shared" ca="1" si="123"/>
        <v>BLDP</v>
      </c>
      <c r="F1603" s="1014">
        <v>1.8281608501388722</v>
      </c>
      <c r="G1603" s="1014">
        <v>3.8222436903755588</v>
      </c>
      <c r="H1603" s="1014">
        <v>4.8222436903755588</v>
      </c>
      <c r="I1603" s="1014">
        <v>5.7655543479719302</v>
      </c>
      <c r="J1603" s="1014">
        <v>6.7088650055683026</v>
      </c>
      <c r="K1603" s="1014">
        <v>7.652175663164674</v>
      </c>
      <c r="L1603" s="1014">
        <v>8.5954863207610472</v>
      </c>
      <c r="M1603" s="1014">
        <v>9.5387969783574178</v>
      </c>
      <c r="N1603" s="1014">
        <v>10.48210763595379</v>
      </c>
      <c r="O1603" s="1014">
        <v>11.425418293550162</v>
      </c>
      <c r="P1603" s="1014">
        <v>12.423150719854016</v>
      </c>
      <c r="Q1603" s="1014">
        <v>12.423150719854016</v>
      </c>
      <c r="R1603" s="1014">
        <v>13.402742556588709</v>
      </c>
      <c r="S1603" s="1014">
        <v>14.346053214185083</v>
      </c>
      <c r="T1603" s="1014">
        <v>15.289363871781454</v>
      </c>
      <c r="U1603" s="1014">
        <v>16.232674529377825</v>
      </c>
      <c r="V1603" s="1014">
        <v>16.196393350239504</v>
      </c>
      <c r="W1603" s="1014">
        <v>16.649908089468529</v>
      </c>
      <c r="X1603" s="1014">
        <v>16.971903554321134</v>
      </c>
      <c r="Y1603" s="1014">
        <v>17.359658656361947</v>
      </c>
      <c r="Z1603" s="1014">
        <f t="shared" ca="1" si="125"/>
        <v>17.359658656361947</v>
      </c>
      <c r="AB1603" s="1014">
        <v>2.1814394105521693</v>
      </c>
      <c r="AC1603" s="1014">
        <v>4.1277136967676862</v>
      </c>
      <c r="AD1603" s="1014">
        <v>5.1277136967676862</v>
      </c>
      <c r="AE1603" s="1014">
        <v>6.1203017411517049</v>
      </c>
      <c r="AF1603" s="1014">
        <v>7.1128897855357227</v>
      </c>
      <c r="AG1603" s="1014">
        <v>8.1054778299197423</v>
      </c>
      <c r="AH1603" s="1014">
        <v>7.1140616440175544</v>
      </c>
      <c r="AI1603" s="1014">
        <v>7.1167527440843115</v>
      </c>
      <c r="AJ1603" s="1014">
        <v>7.1194438441510677</v>
      </c>
      <c r="AK1603" s="1014">
        <v>7.1221349442178248</v>
      </c>
      <c r="AL1603" s="1014">
        <v>6.1301328290747223</v>
      </c>
      <c r="AM1603" s="1014">
        <v>5.138130713931619</v>
      </c>
      <c r="AN1603" s="1014">
        <v>5.1425761230199099</v>
      </c>
      <c r="AO1603" s="1014">
        <v>5.1470215321082007</v>
      </c>
      <c r="AP1603" s="1014">
        <v>5.1652153713637201</v>
      </c>
      <c r="AQ1603" s="1014">
        <v>5.1765349955356248</v>
      </c>
      <c r="AR1603" s="1014">
        <v>5.1768409089003882</v>
      </c>
      <c r="AS1603" s="1014">
        <v>5.1826536776687222</v>
      </c>
      <c r="AT1603" s="1014">
        <v>5.1827432414422585</v>
      </c>
      <c r="AU1603" s="1014">
        <v>5.1856944077131937</v>
      </c>
      <c r="AV1603" s="1014">
        <f t="shared" ca="1" si="124"/>
        <v>5.1856944077131937</v>
      </c>
      <c r="AX1603" s="88" t="str">
        <f t="shared" ca="1" si="119"/>
        <v>BLDP</v>
      </c>
    </row>
    <row r="1604" spans="1:50" hidden="1">
      <c r="A1604" s="88" t="str">
        <f t="shared" ca="1" si="123"/>
        <v>BMRA</v>
      </c>
      <c r="F1604" s="1014">
        <v>2.7460317460317456</v>
      </c>
      <c r="G1604" s="1014">
        <v>4.6893424036281175</v>
      </c>
      <c r="H1604" s="1014">
        <v>5.6893424036281175</v>
      </c>
      <c r="I1604" s="1014">
        <v>6.5782312925170068</v>
      </c>
      <c r="J1604" s="1014">
        <v>7.4671201814058952</v>
      </c>
      <c r="K1604" s="1014">
        <v>8.3560090702947836</v>
      </c>
      <c r="L1604" s="1014">
        <v>7.5839983052044335</v>
      </c>
      <c r="M1604" s="1014">
        <v>7.6968591358111862</v>
      </c>
      <c r="N1604" s="1014">
        <v>7.809719966417938</v>
      </c>
      <c r="O1604" s="1014">
        <v>7.9225807970246898</v>
      </c>
      <c r="P1604" s="1014">
        <v>7.0921309700350701</v>
      </c>
      <c r="Q1604" s="1014">
        <v>6.2184387851903713</v>
      </c>
      <c r="R1604" s="1014">
        <v>6.3641002055770661</v>
      </c>
      <c r="S1604" s="1014">
        <v>6.5097616259637618</v>
      </c>
      <c r="T1604" s="1014">
        <v>6.4003813847153888</v>
      </c>
      <c r="U1604" s="1014">
        <v>6.4185219742845492</v>
      </c>
      <c r="V1604" s="1014">
        <v>8.3958462373230986</v>
      </c>
      <c r="W1604" s="1014">
        <v>9.393578663626954</v>
      </c>
      <c r="X1604" s="1014">
        <v>10.391311089930808</v>
      </c>
      <c r="Y1604" s="1014">
        <v>10.10904351623466</v>
      </c>
      <c r="Z1604" s="1014">
        <f t="shared" ca="1" si="125"/>
        <v>10.10904351623466</v>
      </c>
      <c r="AB1604" s="1014">
        <v>9.2204289285557657</v>
      </c>
      <c r="AC1604" s="1014">
        <v>11.220385070830227</v>
      </c>
      <c r="AD1604" s="1014">
        <v>12.220385070830227</v>
      </c>
      <c r="AE1604" s="1014">
        <v>13.188412788912766</v>
      </c>
      <c r="AF1604" s="1014">
        <v>14.156440506995308</v>
      </c>
      <c r="AG1604" s="1014">
        <v>15.129029428533835</v>
      </c>
      <c r="AH1604" s="1014">
        <v>16.101618350072364</v>
      </c>
      <c r="AI1604" s="1014">
        <v>17.074207271610895</v>
      </c>
      <c r="AJ1604" s="1014">
        <v>18.046796193149426</v>
      </c>
      <c r="AK1604" s="1014">
        <v>19.01938511468795</v>
      </c>
      <c r="AL1604" s="1014">
        <v>19.01938511468795</v>
      </c>
      <c r="AM1604" s="1014">
        <v>20.000043857725537</v>
      </c>
      <c r="AN1604" s="1014">
        <v>18.000681612827577</v>
      </c>
      <c r="AO1604" s="1014">
        <v>17.001000490378598</v>
      </c>
      <c r="AP1604" s="1014">
        <v>18.000681612827577</v>
      </c>
      <c r="AQ1604" s="1014">
        <v>18.000681612827577</v>
      </c>
      <c r="AR1604" s="1014">
        <v>16.001319367929618</v>
      </c>
      <c r="AS1604" s="1014">
        <v>15.00163824548064</v>
      </c>
      <c r="AT1604" s="1014">
        <v>14.00195712303166</v>
      </c>
      <c r="AU1604" s="1014">
        <v>13.002276000582681</v>
      </c>
      <c r="AV1604" s="1014">
        <f t="shared" ca="1" si="124"/>
        <v>13.002276000582681</v>
      </c>
      <c r="AX1604" s="88" t="str">
        <f t="shared" ca="1" si="119"/>
        <v>BMRA</v>
      </c>
    </row>
    <row r="1605" spans="1:50" hidden="1">
      <c r="A1605" s="88" t="str">
        <f t="shared" ca="1" si="123"/>
        <v>C</v>
      </c>
      <c r="F1605" s="1014">
        <v>9.9478458049886616</v>
      </c>
      <c r="G1605" s="1014">
        <v>11.945578231292517</v>
      </c>
      <c r="H1605" s="1014">
        <v>12.945578231292517</v>
      </c>
      <c r="I1605" s="1014">
        <v>13.761904761904763</v>
      </c>
      <c r="J1605" s="1014">
        <v>14.578231292517007</v>
      </c>
      <c r="K1605" s="1014">
        <v>15.467120181405896</v>
      </c>
      <c r="L1605" s="1014">
        <v>16.356009070294785</v>
      </c>
      <c r="M1605" s="1014">
        <v>17.244897959183675</v>
      </c>
      <c r="N1605" s="1014">
        <v>18.13378684807256</v>
      </c>
      <c r="O1605" s="1014">
        <v>19.02267573696145</v>
      </c>
      <c r="P1605" s="1014">
        <v>19.02267573696145</v>
      </c>
      <c r="Q1605" s="1014">
        <v>20.002267573696145</v>
      </c>
      <c r="R1605" s="1014">
        <v>18.224489795918366</v>
      </c>
      <c r="S1605" s="1014">
        <v>17.335600907029477</v>
      </c>
      <c r="T1605" s="1014">
        <v>18.224489795918366</v>
      </c>
      <c r="U1605" s="1014">
        <v>18.224489795918366</v>
      </c>
      <c r="V1605" s="1014">
        <v>18.224489795918366</v>
      </c>
      <c r="W1605" s="1014">
        <v>18.224489795918366</v>
      </c>
      <c r="X1605" s="1014">
        <v>17.504489795918367</v>
      </c>
      <c r="Y1605" s="1014">
        <v>17.144489795918368</v>
      </c>
      <c r="Z1605" s="1014">
        <f t="shared" ca="1" si="125"/>
        <v>17.144489795918368</v>
      </c>
      <c r="AB1605" s="1014">
        <v>4.1764396298407949</v>
      </c>
      <c r="AC1605" s="1014">
        <v>5.1764396298407949</v>
      </c>
      <c r="AD1605" s="1014">
        <v>6.1764396298407949</v>
      </c>
      <c r="AE1605" s="1014">
        <v>5.1904307657824829</v>
      </c>
      <c r="AF1605" s="1014">
        <v>5.1937203559453362</v>
      </c>
      <c r="AG1605" s="1014">
        <v>5.1991151169340295</v>
      </c>
      <c r="AH1605" s="1014">
        <v>5.202404707096882</v>
      </c>
      <c r="AI1605" s="1014">
        <v>5.2056942972597353</v>
      </c>
      <c r="AJ1605" s="1014">
        <v>5.2089838874225887</v>
      </c>
      <c r="AK1605" s="1014">
        <v>5.2122734775854411</v>
      </c>
      <c r="AL1605" s="1014">
        <v>4.2229750233642775</v>
      </c>
      <c r="AM1605" s="1014">
        <v>3.2336765691431113</v>
      </c>
      <c r="AN1605" s="1014">
        <v>5.2071423844449312</v>
      </c>
      <c r="AO1605" s="1014">
        <v>6.1913097455255857</v>
      </c>
      <c r="AP1605" s="1014">
        <v>5.1860556190029348</v>
      </c>
      <c r="AQ1605" s="1014">
        <v>5.1755122362819357</v>
      </c>
      <c r="AR1605" s="1014">
        <v>7.1543903411642429</v>
      </c>
      <c r="AS1605" s="1014">
        <v>8.1385577022448974</v>
      </c>
      <c r="AT1605" s="1014">
        <v>7.1306789631713432</v>
      </c>
      <c r="AU1605" s="1014">
        <v>7.1188232741748934</v>
      </c>
      <c r="AV1605" s="1014">
        <f t="shared" ca="1" si="124"/>
        <v>7.1188232741748934</v>
      </c>
      <c r="AX1605" s="88" t="str">
        <f t="shared" ca="1" si="119"/>
        <v>C</v>
      </c>
    </row>
    <row r="1606" spans="1:50" hidden="1">
      <c r="A1606" s="88" t="str">
        <f t="shared" ca="1" si="123"/>
        <v>CSCO</v>
      </c>
      <c r="F1606" s="1014">
        <v>4.1791383219954632</v>
      </c>
      <c r="G1606" s="1014">
        <v>5.1791383219954632</v>
      </c>
      <c r="H1606" s="1014">
        <v>6.1791383219954632</v>
      </c>
      <c r="I1606" s="1014">
        <v>5.2568707482993187</v>
      </c>
      <c r="J1606" s="1014">
        <v>5.2946031746031732</v>
      </c>
      <c r="K1606" s="1014">
        <v>5.3323356009070277</v>
      </c>
      <c r="L1606" s="1014">
        <v>5.3700680272108832</v>
      </c>
      <c r="M1606" s="1014">
        <v>5.4078004535147377</v>
      </c>
      <c r="N1606" s="1014">
        <v>5.4455328798185922</v>
      </c>
      <c r="O1606" s="1014">
        <v>5.4832653061224477</v>
      </c>
      <c r="P1606" s="1014">
        <v>4.5232653061224495</v>
      </c>
      <c r="Q1606" s="1014">
        <v>3.5632653061224491</v>
      </c>
      <c r="R1606" s="1014">
        <v>5.5028571428571436</v>
      </c>
      <c r="S1606" s="1014">
        <v>6.4824489795918367</v>
      </c>
      <c r="T1606" s="1014">
        <v>5.684263038548754</v>
      </c>
      <c r="U1606" s="1014">
        <v>5.7749659863945597</v>
      </c>
      <c r="V1606" s="1014">
        <v>7.6434467120181413</v>
      </c>
      <c r="W1606" s="1014">
        <v>8.6230385487528363</v>
      </c>
      <c r="X1606" s="1014">
        <v>7.9699773242630396</v>
      </c>
      <c r="Y1606" s="1014">
        <v>8.1332426303854888</v>
      </c>
      <c r="Z1606" s="1014">
        <f t="shared" ca="1" si="125"/>
        <v>8.1332426303854888</v>
      </c>
      <c r="AB1606" s="1014">
        <v>2.0179378097451854</v>
      </c>
      <c r="AC1606" s="1014">
        <v>2.0355718556806082</v>
      </c>
      <c r="AD1606" s="1014">
        <v>2.0422023808574616</v>
      </c>
      <c r="AE1606" s="1014">
        <v>4.0306520202319582</v>
      </c>
      <c r="AF1606" s="1014">
        <v>5.0270995444633506</v>
      </c>
      <c r="AG1606" s="1014">
        <v>4.0523401075060264</v>
      </c>
      <c r="AH1606" s="1014">
        <v>6.0380751612769998</v>
      </c>
      <c r="AI1606" s="1014">
        <v>5.0593199171602876</v>
      </c>
      <c r="AJ1606" s="1014">
        <v>5.0693940735327008</v>
      </c>
      <c r="AK1606" s="1014">
        <v>5.0794682299051157</v>
      </c>
      <c r="AL1606" s="1014">
        <v>4.0906388294159903</v>
      </c>
      <c r="AM1606" s="1014">
        <v>3.101809428926865</v>
      </c>
      <c r="AN1606" s="1014">
        <v>3.1125853089078928</v>
      </c>
      <c r="AO1606" s="1014">
        <v>3.135419344879268</v>
      </c>
      <c r="AP1606" s="1014">
        <v>3.1485605533348044</v>
      </c>
      <c r="AQ1606" s="1014">
        <v>3.1635336365506732</v>
      </c>
      <c r="AR1606" s="1014">
        <v>5.1477711142751144</v>
      </c>
      <c r="AS1606" s="1014">
        <v>6.1473763947452689</v>
      </c>
      <c r="AT1606" s="1014">
        <v>5.1663313124097261</v>
      </c>
      <c r="AU1606" s="1014">
        <v>5.1825987804638638</v>
      </c>
      <c r="AV1606" s="1014">
        <f t="shared" ca="1" si="124"/>
        <v>5.1825987804638638</v>
      </c>
      <c r="AX1606" s="88" t="str">
        <f t="shared" ca="1" si="119"/>
        <v>CSCO</v>
      </c>
    </row>
    <row r="1607" spans="1:50" hidden="1">
      <c r="A1607" s="88" t="str">
        <f t="shared" ca="1" si="123"/>
        <v>CVS</v>
      </c>
      <c r="F1607" s="1014">
        <v>2.4920634920634912</v>
      </c>
      <c r="G1607" s="1014">
        <v>3.3839455782312919</v>
      </c>
      <c r="H1607" s="1014">
        <v>3.9217233560090698</v>
      </c>
      <c r="I1607" s="1014">
        <v>5.3816780045351473</v>
      </c>
      <c r="J1607" s="1014">
        <v>6.3794104308390018</v>
      </c>
      <c r="K1607" s="1014">
        <v>6.8283900226757366</v>
      </c>
      <c r="L1607" s="1014">
        <v>8.0732879818594103</v>
      </c>
      <c r="M1607" s="1014">
        <v>7.7059410430839002</v>
      </c>
      <c r="N1607" s="1014">
        <v>8.0120634920634917</v>
      </c>
      <c r="O1607" s="1014">
        <v>8.318185941043085</v>
      </c>
      <c r="P1607" s="1014">
        <v>7.6447165532879833</v>
      </c>
      <c r="Q1607" s="1014">
        <v>6.4669462716215991</v>
      </c>
      <c r="R1607" s="1014">
        <v>6.5390588632147102</v>
      </c>
      <c r="S1607" s="1014">
        <v>6.6846333464515322</v>
      </c>
      <c r="T1607" s="1014">
        <v>6.5712546616442751</v>
      </c>
      <c r="U1607" s="1014">
        <v>7.2889870879481311</v>
      </c>
      <c r="V1607" s="1014">
        <v>8.9267195142519853</v>
      </c>
      <c r="W1607" s="1014">
        <v>9.9244519405558407</v>
      </c>
      <c r="X1607" s="1014">
        <v>8.9777399224152532</v>
      </c>
      <c r="Y1607" s="1014">
        <v>9.0964549015198397</v>
      </c>
      <c r="Z1607" s="1014">
        <f t="shared" ca="1" si="125"/>
        <v>9.0964549015198397</v>
      </c>
      <c r="AB1607" s="1014">
        <v>12.057497478180782</v>
      </c>
      <c r="AC1607" s="1014">
        <v>13.057497478180782</v>
      </c>
      <c r="AD1607" s="1014">
        <v>14.057497478180782</v>
      </c>
      <c r="AE1607" s="1014">
        <v>15.05219069339064</v>
      </c>
      <c r="AF1607" s="1014">
        <v>16.046883908600499</v>
      </c>
      <c r="AG1607" s="1014">
        <v>17.03947195298452</v>
      </c>
      <c r="AH1607" s="1014">
        <v>18.029603964738389</v>
      </c>
      <c r="AI1607" s="1014">
        <v>19.01973597649226</v>
      </c>
      <c r="AJ1607" s="1014">
        <v>20.009867988246128</v>
      </c>
      <c r="AK1607" s="1014">
        <v>21</v>
      </c>
      <c r="AL1607" s="1014">
        <v>21</v>
      </c>
      <c r="AM1607" s="1014">
        <v>21</v>
      </c>
      <c r="AN1607" s="1014">
        <v>21</v>
      </c>
      <c r="AO1607" s="1014">
        <v>21</v>
      </c>
      <c r="AP1607" s="1014">
        <v>21</v>
      </c>
      <c r="AQ1607" s="1014">
        <v>21</v>
      </c>
      <c r="AR1607" s="1014">
        <v>21</v>
      </c>
      <c r="AS1607" s="1014">
        <v>21</v>
      </c>
      <c r="AT1607" s="1014">
        <v>21</v>
      </c>
      <c r="AU1607" s="1014">
        <v>21</v>
      </c>
      <c r="AV1607" s="1014">
        <f t="shared" ca="1" si="124"/>
        <v>21</v>
      </c>
      <c r="AX1607" s="88" t="str">
        <f t="shared" ca="1" si="119"/>
        <v>CVS</v>
      </c>
    </row>
    <row r="1608" spans="1:50" hidden="1">
      <c r="A1608" s="88" t="str">
        <f t="shared" ca="1" si="123"/>
        <v>DDD</v>
      </c>
      <c r="F1608" s="1014">
        <v>13.467120181405896</v>
      </c>
      <c r="G1608" s="1014">
        <v>14.467120181405896</v>
      </c>
      <c r="H1608" s="1014">
        <v>15.467120181405896</v>
      </c>
      <c r="I1608" s="1014">
        <v>16.192743764172334</v>
      </c>
      <c r="J1608" s="1014">
        <v>16.918367346938776</v>
      </c>
      <c r="K1608" s="1014">
        <v>17.73469387755102</v>
      </c>
      <c r="L1608" s="1014">
        <v>18.551020408163264</v>
      </c>
      <c r="M1608" s="1014">
        <v>19.367346938775512</v>
      </c>
      <c r="N1608" s="1014">
        <v>20.183673469387756</v>
      </c>
      <c r="O1608" s="1014">
        <v>21</v>
      </c>
      <c r="P1608" s="1014">
        <v>21</v>
      </c>
      <c r="Q1608" s="1014">
        <v>21</v>
      </c>
      <c r="R1608" s="1014">
        <v>21</v>
      </c>
      <c r="S1608" s="1014">
        <v>21</v>
      </c>
      <c r="T1608" s="1014">
        <v>21</v>
      </c>
      <c r="U1608" s="1014">
        <v>21</v>
      </c>
      <c r="V1608" s="1014">
        <v>21</v>
      </c>
      <c r="W1608" s="1014">
        <v>21</v>
      </c>
      <c r="X1608" s="1014">
        <v>21</v>
      </c>
      <c r="Y1608" s="1014">
        <v>21</v>
      </c>
      <c r="Z1608" s="1014">
        <f t="shared" ca="1" si="125"/>
        <v>21</v>
      </c>
      <c r="AB1608" s="1014">
        <v>6.4398491294241484</v>
      </c>
      <c r="AC1608" s="1014">
        <v>8.4362966536555426</v>
      </c>
      <c r="AD1608" s="1014">
        <v>9.4362966536555426</v>
      </c>
      <c r="AE1608" s="1014">
        <v>10.388535590544276</v>
      </c>
      <c r="AF1608" s="1014">
        <v>11.340774527433007</v>
      </c>
      <c r="AG1608" s="1014">
        <v>12.303890180255252</v>
      </c>
      <c r="AH1608" s="1014">
        <v>13.267005833077498</v>
      </c>
      <c r="AI1608" s="1014">
        <v>14.23012148589974</v>
      </c>
      <c r="AJ1608" s="1014">
        <v>15.193237138721987</v>
      </c>
      <c r="AK1608" s="1014">
        <v>16.156352791544229</v>
      </c>
      <c r="AL1608" s="1014">
        <v>16.156352791544229</v>
      </c>
      <c r="AM1608" s="1014">
        <v>17.119468444366476</v>
      </c>
      <c r="AN1608" s="1014">
        <v>18.077321170124119</v>
      </c>
      <c r="AO1608" s="1014">
        <v>19.040436822946361</v>
      </c>
      <c r="AP1608" s="1014">
        <v>20.003552475768608</v>
      </c>
      <c r="AQ1608" s="1014">
        <v>20.003552475768608</v>
      </c>
      <c r="AR1608" s="1014">
        <v>20.003552475768608</v>
      </c>
      <c r="AS1608" s="1014">
        <v>20.003552475768608</v>
      </c>
      <c r="AT1608" s="1014">
        <v>20.003552475768608</v>
      </c>
      <c r="AU1608" s="1014">
        <v>20.003552475768608</v>
      </c>
      <c r="AV1608" s="1014">
        <f t="shared" ca="1" si="124"/>
        <v>20.003552475768608</v>
      </c>
      <c r="AX1608" s="88" t="str">
        <f t="shared" ca="1" si="119"/>
        <v>DDD</v>
      </c>
    </row>
    <row r="1609" spans="1:50" hidden="1">
      <c r="A1609" s="88" t="str">
        <f t="shared" ca="1" si="123"/>
        <v>DIS</v>
      </c>
      <c r="F1609" s="1014">
        <v>6.1201814058956927</v>
      </c>
      <c r="G1609" s="1014">
        <v>8.1179138321995481</v>
      </c>
      <c r="H1609" s="1014">
        <v>9.1179138321995481</v>
      </c>
      <c r="I1609" s="1014">
        <v>10.09750566893424</v>
      </c>
      <c r="J1609" s="1014">
        <v>11.077097505668934</v>
      </c>
      <c r="K1609" s="1014">
        <v>12.07482993197279</v>
      </c>
      <c r="L1609" s="1014">
        <v>13.054421768707483</v>
      </c>
      <c r="M1609" s="1014">
        <v>14.034013605442176</v>
      </c>
      <c r="N1609" s="1014">
        <v>15.031746031746032</v>
      </c>
      <c r="O1609" s="1014">
        <v>16.029478458049887</v>
      </c>
      <c r="P1609" s="1014">
        <v>16.029478458049887</v>
      </c>
      <c r="Q1609" s="1014">
        <v>17.027210884353742</v>
      </c>
      <c r="R1609" s="1014">
        <v>18.006802721088434</v>
      </c>
      <c r="S1609" s="1014">
        <v>19.004535147392289</v>
      </c>
      <c r="T1609" s="1014">
        <v>20.002267573696145</v>
      </c>
      <c r="U1609" s="1014">
        <v>20.002267573696145</v>
      </c>
      <c r="V1609" s="1014">
        <v>20.002267573696145</v>
      </c>
      <c r="W1609" s="1014">
        <v>20.002267573696145</v>
      </c>
      <c r="X1609" s="1014">
        <v>20.002267573696145</v>
      </c>
      <c r="Y1609" s="1014">
        <v>20.002267573696145</v>
      </c>
      <c r="Z1609" s="1014">
        <f t="shared" ca="1" si="125"/>
        <v>20.002267573696145</v>
      </c>
      <c r="AB1609" s="1014">
        <v>3.0540327178632527</v>
      </c>
      <c r="AC1609" s="1014">
        <v>4.0540327178632527</v>
      </c>
      <c r="AD1609" s="1014">
        <v>5.0540327178632527</v>
      </c>
      <c r="AE1609" s="1014">
        <v>4.0586049663545118</v>
      </c>
      <c r="AF1609" s="1014">
        <v>4.0568760176182979</v>
      </c>
      <c r="AG1609" s="1014">
        <v>6.051433182681448</v>
      </c>
      <c r="AH1609" s="1014">
        <v>7.0478807069128422</v>
      </c>
      <c r="AI1609" s="1014">
        <v>8.0443282311442346</v>
      </c>
      <c r="AJ1609" s="1014">
        <v>9.0407757553756287</v>
      </c>
      <c r="AK1609" s="1014">
        <v>8.0439445566496595</v>
      </c>
      <c r="AL1609" s="1014">
        <v>10.037031442359734</v>
      </c>
      <c r="AM1609" s="1014">
        <v>8.0475334377388563</v>
      </c>
      <c r="AN1609" s="1014">
        <v>8.0492319596598101</v>
      </c>
      <c r="AO1609" s="1014">
        <v>8.0509304815807656</v>
      </c>
      <c r="AP1609" s="1014">
        <v>10.042127008122598</v>
      </c>
      <c r="AQ1609" s="1014">
        <v>11.038574532353991</v>
      </c>
      <c r="AR1609" s="1014">
        <v>12.035022056585383</v>
      </c>
      <c r="AS1609" s="1014">
        <v>13.031469580816779</v>
      </c>
      <c r="AT1609" s="1014">
        <v>14.027917105048171</v>
      </c>
      <c r="AU1609" s="1014">
        <v>15.024364629279564</v>
      </c>
      <c r="AV1609" s="1014">
        <f t="shared" ca="1" si="124"/>
        <v>15.024364629279564</v>
      </c>
      <c r="AX1609" s="88" t="str">
        <f t="shared" ca="1" si="119"/>
        <v>DIS</v>
      </c>
    </row>
    <row r="1610" spans="1:50" hidden="1">
      <c r="A1610" s="88" t="str">
        <f t="shared" ca="1" si="123"/>
        <v>DSY</v>
      </c>
      <c r="F1610" s="1014">
        <v>3.562358276643991</v>
      </c>
      <c r="G1610" s="1014">
        <v>4.562358276643991</v>
      </c>
      <c r="H1610" s="1014">
        <v>5.562358276643991</v>
      </c>
      <c r="I1610" s="1014">
        <v>4.8619501133786853</v>
      </c>
      <c r="J1610" s="1014">
        <v>4.861541950113379</v>
      </c>
      <c r="K1610" s="1014">
        <v>6.7692743764172336</v>
      </c>
      <c r="L1610" s="1014">
        <v>7.7670068027210881</v>
      </c>
      <c r="M1610" s="1014">
        <v>8.7647392290249435</v>
      </c>
      <c r="N1610" s="1014">
        <v>9.7624716553287989</v>
      </c>
      <c r="O1610" s="1014">
        <v>8.9402040816326522</v>
      </c>
      <c r="P1610" s="1014">
        <v>10.793514739229025</v>
      </c>
      <c r="Q1610" s="1014">
        <v>9.3733963960337583</v>
      </c>
      <c r="R1610" s="1014">
        <v>9.4399893657236316</v>
      </c>
      <c r="S1610" s="1014">
        <v>9.5899115935679404</v>
      </c>
      <c r="T1610" s="1014">
        <v>11.326610680916376</v>
      </c>
      <c r="U1610" s="1014">
        <v>12.269921338512749</v>
      </c>
      <c r="V1610" s="1014">
        <v>13.213231996109121</v>
      </c>
      <c r="W1610" s="1014">
        <v>14.156542653705491</v>
      </c>
      <c r="X1610" s="1014">
        <v>15.099853311301864</v>
      </c>
      <c r="Y1610" s="1014">
        <v>16.043163968898234</v>
      </c>
      <c r="Z1610" s="1014">
        <f t="shared" ca="1" si="125"/>
        <v>16.043163968898234</v>
      </c>
      <c r="AB1610" s="1014">
        <v>2.2793298539537741</v>
      </c>
      <c r="AC1610" s="1014">
        <v>4.2634972150344286</v>
      </c>
      <c r="AD1610" s="1014">
        <v>5.2634972150344286</v>
      </c>
      <c r="AE1610" s="1014">
        <v>6.2402964782246393</v>
      </c>
      <c r="AF1610" s="1014">
        <v>7.2170957414148509</v>
      </c>
      <c r="AG1610" s="1014">
        <v>8.197754484452437</v>
      </c>
      <c r="AH1610" s="1014">
        <v>7.244009358682284</v>
      </c>
      <c r="AI1610" s="1014">
        <v>7.2574661673160019</v>
      </c>
      <c r="AJ1610" s="1014">
        <v>7.270922975949718</v>
      </c>
      <c r="AK1610" s="1014">
        <v>7.284379784583435</v>
      </c>
      <c r="AL1610" s="1014">
        <v>6.3062658283555244</v>
      </c>
      <c r="AM1610" s="1014">
        <v>6.3177752441202877</v>
      </c>
      <c r="AN1610" s="1014">
        <v>5.3392613144361771</v>
      </c>
      <c r="AO1610" s="1014">
        <v>5.3510004942555938</v>
      </c>
      <c r="AP1610" s="1014">
        <v>7.3139115490750095</v>
      </c>
      <c r="AQ1610" s="1014">
        <v>8.3012366663944253</v>
      </c>
      <c r="AR1610" s="1014">
        <v>7.328112564963841</v>
      </c>
      <c r="AS1610" s="1014">
        <v>7.3352130729082567</v>
      </c>
      <c r="AT1610" s="1014">
        <v>7.3423135808526725</v>
      </c>
      <c r="AU1610" s="1014">
        <v>7.3494140887970882</v>
      </c>
      <c r="AV1610" s="1014">
        <f t="shared" ca="1" si="124"/>
        <v>7.3494140887970882</v>
      </c>
      <c r="AX1610" s="88" t="str">
        <f t="shared" ca="1" si="119"/>
        <v>DSY</v>
      </c>
    </row>
    <row r="1611" spans="1:50" hidden="1">
      <c r="A1611" s="88" t="str">
        <f t="shared" ca="1" si="123"/>
        <v>DVA</v>
      </c>
      <c r="F1611" s="1014">
        <v>2.7097505668934239</v>
      </c>
      <c r="G1611" s="1014">
        <v>4.6893424036281175</v>
      </c>
      <c r="H1611" s="1014">
        <v>5.6893424036281175</v>
      </c>
      <c r="I1611" s="1014">
        <v>6.6870748299319729</v>
      </c>
      <c r="J1611" s="1014">
        <v>7.6848072562358274</v>
      </c>
      <c r="K1611" s="1014">
        <v>8.6643990929705215</v>
      </c>
      <c r="L1611" s="1014">
        <v>7.6077097505668938</v>
      </c>
      <c r="M1611" s="1014">
        <v>7.5510204081632644</v>
      </c>
      <c r="N1611" s="1014">
        <v>7.4943310657596367</v>
      </c>
      <c r="O1611" s="1014">
        <v>7.437641723356009</v>
      </c>
      <c r="P1611" s="1014">
        <v>7.2475590787279103</v>
      </c>
      <c r="Q1611" s="1014">
        <v>7.632109593148555</v>
      </c>
      <c r="R1611" s="1014">
        <v>6.5944978542381145</v>
      </c>
      <c r="S1611" s="1014">
        <v>6.7214819812222411</v>
      </c>
      <c r="T1611" s="1014">
        <v>8.4811191694308583</v>
      </c>
      <c r="U1611" s="1014">
        <v>9.4244298270272289</v>
      </c>
      <c r="V1611" s="1014">
        <v>8.367740484623603</v>
      </c>
      <c r="W1611" s="1014">
        <v>8.3110511422199735</v>
      </c>
      <c r="X1611" s="1014">
        <v>8.2543617998163459</v>
      </c>
      <c r="Y1611" s="1014">
        <v>8.1976724574127182</v>
      </c>
      <c r="Z1611" s="1014">
        <f t="shared" ca="1" si="125"/>
        <v>8.1976724574127182</v>
      </c>
      <c r="AB1611" s="1014">
        <v>10.003201613964301</v>
      </c>
      <c r="AC1611" s="1014">
        <v>12.002806894434455</v>
      </c>
      <c r="AD1611" s="1014">
        <v>13.002806894434455</v>
      </c>
      <c r="AE1611" s="1014">
        <v>12.125129117922874</v>
      </c>
      <c r="AF1611" s="1014">
        <v>12.186092869902161</v>
      </c>
      <c r="AG1611" s="1014">
        <v>12.247407483685757</v>
      </c>
      <c r="AH1611" s="1014">
        <v>12.308371235665042</v>
      </c>
      <c r="AI1611" s="1014">
        <v>12.369334987644331</v>
      </c>
      <c r="AJ1611" s="1014">
        <v>12.430298739623618</v>
      </c>
      <c r="AK1611" s="1014">
        <v>12.491262491602905</v>
      </c>
      <c r="AL1611" s="1014">
        <v>11.528669452192538</v>
      </c>
      <c r="AM1611" s="1014">
        <v>10.578052168241921</v>
      </c>
      <c r="AN1611" s="1014">
        <v>9.6445816606973409</v>
      </c>
      <c r="AO1611" s="1014">
        <v>8.7025377649497422</v>
      </c>
      <c r="AP1611" s="1014">
        <v>9.6445816606973391</v>
      </c>
      <c r="AQ1611" s="1014">
        <v>9.6445816606973391</v>
      </c>
      <c r="AR1611" s="1014">
        <v>7.743347092796105</v>
      </c>
      <c r="AS1611" s="1014">
        <v>6.7927298088454879</v>
      </c>
      <c r="AT1611" s="1014">
        <v>5.8421125248948709</v>
      </c>
      <c r="AU1611" s="1014">
        <v>4.8914952409442538</v>
      </c>
      <c r="AV1611" s="1014">
        <f t="shared" ca="1" si="124"/>
        <v>4.8914952409442538</v>
      </c>
      <c r="AX1611" s="88" t="str">
        <f t="shared" ca="1" si="119"/>
        <v>DVA</v>
      </c>
    </row>
    <row r="1612" spans="1:50" hidden="1">
      <c r="A1612" s="88" t="str">
        <f t="shared" ca="1" si="123"/>
        <v>DXC</v>
      </c>
      <c r="F1612" s="1014">
        <v>10.020408163265305</v>
      </c>
      <c r="G1612" s="1014">
        <v>12.01814058956916</v>
      </c>
      <c r="H1612" s="1014">
        <v>13.01814058956916</v>
      </c>
      <c r="I1612" s="1014">
        <v>12.311731004038695</v>
      </c>
      <c r="J1612" s="1014">
        <v>12.45739242442539</v>
      </c>
      <c r="K1612" s="1014">
        <v>12.603053844812083</v>
      </c>
      <c r="L1612" s="1014">
        <v>12.748715265198777</v>
      </c>
      <c r="M1612" s="1014">
        <v>12.89437668558547</v>
      </c>
      <c r="N1612" s="1014">
        <v>13.040038105972165</v>
      </c>
      <c r="O1612" s="1014">
        <v>13.18569952635886</v>
      </c>
      <c r="P1612" s="1014">
        <v>14.037770532276021</v>
      </c>
      <c r="Q1612" s="1014">
        <v>14.037770532276021</v>
      </c>
      <c r="R1612" s="1014">
        <v>12.357770532276021</v>
      </c>
      <c r="S1612" s="1014">
        <v>11.517770532276021</v>
      </c>
      <c r="T1612" s="1014">
        <v>12.357770532276028</v>
      </c>
      <c r="U1612" s="1014">
        <v>12.357770532276028</v>
      </c>
      <c r="V1612" s="1014">
        <v>10.437770532276026</v>
      </c>
      <c r="W1612" s="1014">
        <v>9.4777705322760255</v>
      </c>
      <c r="X1612" s="1014">
        <v>8.5177705322760247</v>
      </c>
      <c r="Y1612" s="1014">
        <v>7.5577705322760282</v>
      </c>
      <c r="Z1612" s="1014">
        <f t="shared" ca="1" si="125"/>
        <v>7.5577705322760282</v>
      </c>
      <c r="AB1612" s="1014">
        <v>12.045568176834349</v>
      </c>
      <c r="AC1612" s="1014">
        <v>13.045568176834349</v>
      </c>
      <c r="AD1612" s="1014">
        <v>14.045568176834349</v>
      </c>
      <c r="AE1612" s="1014">
        <v>15.040261392044208</v>
      </c>
      <c r="AF1612" s="1014">
        <v>14.064942112460233</v>
      </c>
      <c r="AG1612" s="1014">
        <v>14.069332933091699</v>
      </c>
      <c r="AH1612" s="1014">
        <v>14.084061575373893</v>
      </c>
      <c r="AI1612" s="1014">
        <v>14.098606481302653</v>
      </c>
      <c r="AJ1612" s="1014">
        <v>14.110794525686671</v>
      </c>
      <c r="AK1612" s="1014">
        <v>14.112582570070689</v>
      </c>
      <c r="AL1612" s="1014">
        <v>13.118182570070688</v>
      </c>
      <c r="AM1612" s="1014">
        <v>14.108182570070689</v>
      </c>
      <c r="AN1612" s="1014">
        <v>12.14738257007069</v>
      </c>
      <c r="AO1612" s="1014">
        <v>11.16698257007069</v>
      </c>
      <c r="AP1612" s="1014">
        <v>12.14738257007069</v>
      </c>
      <c r="AQ1612" s="1014">
        <v>12.14738257007069</v>
      </c>
      <c r="AR1612" s="1014">
        <v>10.186582570070687</v>
      </c>
      <c r="AS1612" s="1014">
        <v>9.2061825700706876</v>
      </c>
      <c r="AT1612" s="1014">
        <v>8.2257825700706881</v>
      </c>
      <c r="AU1612" s="1014">
        <v>7.2453825700706833</v>
      </c>
      <c r="AV1612" s="1014">
        <f t="shared" ca="1" si="124"/>
        <v>7.2453825700706833</v>
      </c>
      <c r="AX1612" s="88" t="str">
        <f t="shared" ca="1" si="119"/>
        <v>DXC</v>
      </c>
    </row>
    <row r="1613" spans="1:50" hidden="1">
      <c r="A1613" s="88" t="str">
        <f t="shared" ca="1" si="123"/>
        <v>EOAN</v>
      </c>
      <c r="F1613" s="1014">
        <v>12.015873015873016</v>
      </c>
      <c r="G1613" s="1014">
        <v>13.015873015873016</v>
      </c>
      <c r="H1613" s="1014">
        <v>14.015873015873016</v>
      </c>
      <c r="I1613" s="1014">
        <v>15.013605442176871</v>
      </c>
      <c r="J1613" s="1014">
        <v>14.020226757369617</v>
      </c>
      <c r="K1613" s="1014">
        <v>14.013514739229025</v>
      </c>
      <c r="L1613" s="1014">
        <v>14.042497165532881</v>
      </c>
      <c r="M1613" s="1014">
        <v>14.055854591836734</v>
      </c>
      <c r="N1613" s="1014">
        <v>14.06921201814059</v>
      </c>
      <c r="O1613" s="1014">
        <v>14.051319444444445</v>
      </c>
      <c r="P1613" s="1014">
        <v>13.051319444444445</v>
      </c>
      <c r="Q1613" s="1014">
        <v>14.051319444444445</v>
      </c>
      <c r="R1613" s="1014">
        <v>12.051319444444445</v>
      </c>
      <c r="S1613" s="1014">
        <v>11.051319444444445</v>
      </c>
      <c r="T1613" s="1014">
        <v>12.051319444444445</v>
      </c>
      <c r="U1613" s="1014">
        <v>12.051319444444445</v>
      </c>
      <c r="V1613" s="1014">
        <v>10.131319444444443</v>
      </c>
      <c r="W1613" s="1014">
        <v>9.1713194444444426</v>
      </c>
      <c r="X1613" s="1014">
        <v>8.2113194444444417</v>
      </c>
      <c r="Y1613" s="1014">
        <v>7.2513194444444444</v>
      </c>
      <c r="Z1613" s="1014">
        <f t="shared" ca="1" si="125"/>
        <v>7.2513194444444444</v>
      </c>
      <c r="AB1613" s="1014">
        <v>9.2081387608804199</v>
      </c>
      <c r="AC1613" s="1014">
        <v>11.197223189483672</v>
      </c>
      <c r="AD1613" s="1014">
        <v>10.26629672695724</v>
      </c>
      <c r="AE1613" s="1014">
        <v>10.281492238731611</v>
      </c>
      <c r="AF1613" s="1014">
        <v>10.296687750505981</v>
      </c>
      <c r="AG1613" s="1014">
        <v>10.308023782432974</v>
      </c>
      <c r="AH1613" s="1014">
        <v>10.31935981435997</v>
      </c>
      <c r="AI1613" s="1014">
        <v>10.330695846286964</v>
      </c>
      <c r="AJ1613" s="1014">
        <v>10.342031878213959</v>
      </c>
      <c r="AK1613" s="1014">
        <v>10.349157568489272</v>
      </c>
      <c r="AL1613" s="1014">
        <v>10.356283258764584</v>
      </c>
      <c r="AM1613" s="1014">
        <v>9.390820027501368</v>
      </c>
      <c r="AN1613" s="1014">
        <v>10.356283258764584</v>
      </c>
      <c r="AO1613" s="1014">
        <v>10.356283258764593</v>
      </c>
      <c r="AP1613" s="1014">
        <v>10.356283258764593</v>
      </c>
      <c r="AQ1613" s="1014">
        <v>10.356283258764593</v>
      </c>
      <c r="AR1613" s="1014">
        <v>10.356283258764593</v>
      </c>
      <c r="AS1613" s="1014">
        <v>10.356283258764593</v>
      </c>
      <c r="AT1613" s="1014">
        <v>10.356283258764593</v>
      </c>
      <c r="AU1613" s="1014">
        <v>10.356283258764591</v>
      </c>
      <c r="AV1613" s="1014">
        <f t="shared" ca="1" si="124"/>
        <v>10.356283258764591</v>
      </c>
      <c r="AX1613" s="88" t="str">
        <f t="shared" ca="1" si="119"/>
        <v>EOAN</v>
      </c>
    </row>
    <row r="1614" spans="1:50" hidden="1">
      <c r="A1614" s="88" t="str">
        <f t="shared" ca="1" si="123"/>
        <v>EPIX</v>
      </c>
      <c r="F1614" s="1014">
        <v>9.6596119929453241</v>
      </c>
      <c r="G1614" s="1014">
        <v>11.647266313932979</v>
      </c>
      <c r="H1614" s="1014">
        <v>11.014613252708491</v>
      </c>
      <c r="I1614" s="1014">
        <v>11.014613252708493</v>
      </c>
      <c r="J1614" s="1014">
        <v>11.014613252708493</v>
      </c>
      <c r="K1614" s="1014">
        <v>11.141597379692621</v>
      </c>
      <c r="L1614" s="1014">
        <v>11.26858150667675</v>
      </c>
      <c r="M1614" s="1014">
        <v>11.395565633660876</v>
      </c>
      <c r="N1614" s="1014">
        <v>11.522549760645004</v>
      </c>
      <c r="O1614" s="1014">
        <v>11.685815066767454</v>
      </c>
      <c r="P1614" s="1014">
        <v>11.849080372889905</v>
      </c>
      <c r="Q1614" s="1014">
        <v>11.032753842277661</v>
      </c>
      <c r="R1614" s="1014">
        <v>11.849080372889905</v>
      </c>
      <c r="S1614" s="1014">
        <v>11.849080372889901</v>
      </c>
      <c r="T1614" s="1014">
        <v>11.849080372889897</v>
      </c>
      <c r="U1614" s="1014">
        <v>11.849080372889897</v>
      </c>
      <c r="V1614" s="1014">
        <v>11.849080372889897</v>
      </c>
      <c r="W1614" s="1014">
        <v>11.849080372889897</v>
      </c>
      <c r="X1614" s="1014">
        <v>11.849080372889897</v>
      </c>
      <c r="Y1614" s="1014">
        <v>11.849080372889897</v>
      </c>
      <c r="Z1614" s="1014">
        <f t="shared" ca="1" si="125"/>
        <v>11.849080372889897</v>
      </c>
      <c r="AB1614" s="1014">
        <v>9.3723568362601242</v>
      </c>
      <c r="AC1614" s="1014">
        <v>11.369152849076073</v>
      </c>
      <c r="AD1614" s="1014">
        <v>10.390983991869568</v>
      </c>
      <c r="AE1614" s="1014">
        <v>10.348173849481832</v>
      </c>
      <c r="AF1614" s="1014">
        <v>10.305363707094097</v>
      </c>
      <c r="AG1614" s="1014">
        <v>10.262726279536407</v>
      </c>
      <c r="AH1614" s="1014">
        <v>10.223697739978832</v>
      </c>
      <c r="AI1614" s="1014">
        <v>10.187119634816447</v>
      </c>
      <c r="AJ1614" s="1014">
        <v>10.150541529654062</v>
      </c>
      <c r="AK1614" s="1014">
        <v>10.113963424491676</v>
      </c>
      <c r="AL1614" s="1014">
        <v>9.1195325935716482</v>
      </c>
      <c r="AM1614" s="1014">
        <v>9.0829544884092641</v>
      </c>
      <c r="AN1614" s="1014">
        <v>8.0812780528933068</v>
      </c>
      <c r="AO1614" s="1014">
        <v>7.0832244196753162</v>
      </c>
      <c r="AP1614" s="1014">
        <v>8.0812780528933104</v>
      </c>
      <c r="AQ1614" s="1014">
        <v>6.084021537118276</v>
      </c>
      <c r="AR1614" s="1014">
        <v>5.0880270240867258</v>
      </c>
      <c r="AS1614" s="1014">
        <v>4.0907156386271897</v>
      </c>
      <c r="AT1614" s="1014">
        <v>3.0934042531676558</v>
      </c>
      <c r="AU1614" s="1014">
        <v>2.096092867708125</v>
      </c>
      <c r="AV1614" s="1014">
        <f t="shared" ca="1" si="124"/>
        <v>2.096092867708125</v>
      </c>
      <c r="AX1614" s="88" t="str">
        <f t="shared" ca="1" si="119"/>
        <v>EPIX</v>
      </c>
    </row>
    <row r="1615" spans="1:50" hidden="1">
      <c r="A1615" s="88" t="str">
        <f t="shared" ca="1" si="123"/>
        <v>GM</v>
      </c>
      <c r="F1615" s="1014">
        <v>9.2766439909297063</v>
      </c>
      <c r="G1615" s="1014">
        <v>11.256235827664399</v>
      </c>
      <c r="H1615" s="1014">
        <v>10.280927185689089</v>
      </c>
      <c r="I1615" s="1014">
        <v>10.236583522297806</v>
      </c>
      <c r="J1615" s="1014">
        <v>10.2663139329806</v>
      </c>
      <c r="K1615" s="1014">
        <v>10.335027208790564</v>
      </c>
      <c r="L1615" s="1014">
        <v>10.295228463807806</v>
      </c>
      <c r="M1615" s="1014">
        <v>10.299751048464939</v>
      </c>
      <c r="N1615" s="1014">
        <v>10.304273633122071</v>
      </c>
      <c r="O1615" s="1014">
        <v>10.308796217779202</v>
      </c>
      <c r="P1615" s="1014">
        <v>9.33372696570164</v>
      </c>
      <c r="Q1615" s="1014">
        <v>9.338249550358773</v>
      </c>
      <c r="R1615" s="1014">
        <v>8.3298477280561674</v>
      </c>
      <c r="S1615" s="1014">
        <v>7.3381121908660871</v>
      </c>
      <c r="T1615" s="1014">
        <v>8.3298477280561691</v>
      </c>
      <c r="U1615" s="1014">
        <v>6.5520699502783932</v>
      </c>
      <c r="V1615" s="1014">
        <v>5.6042241452897308</v>
      </c>
      <c r="W1615" s="1014">
        <v>4.6858567983509536</v>
      </c>
      <c r="X1615" s="1014">
        <v>3.7674894514121777</v>
      </c>
      <c r="Y1615" s="1014">
        <v>2.8491221044734019</v>
      </c>
      <c r="Z1615" s="1014">
        <f t="shared" ca="1" si="125"/>
        <v>2.8491221044734019</v>
      </c>
      <c r="AB1615" s="1014">
        <v>9.0799822539318811</v>
      </c>
      <c r="AC1615" s="1014">
        <v>11.077007047320311</v>
      </c>
      <c r="AD1615" s="1014">
        <v>12.077007047320311</v>
      </c>
      <c r="AE1615" s="1014">
        <v>13.069595091704329</v>
      </c>
      <c r="AF1615" s="1014">
        <v>14.062183136088347</v>
      </c>
      <c r="AG1615" s="1014">
        <v>15.052315147842219</v>
      </c>
      <c r="AH1615" s="1014">
        <v>16.042447159596087</v>
      </c>
      <c r="AI1615" s="1014">
        <v>17.032579171349958</v>
      </c>
      <c r="AJ1615" s="1014">
        <v>18.02271118310383</v>
      </c>
      <c r="AK1615" s="1014">
        <v>17.015801774739359</v>
      </c>
      <c r="AL1615" s="1014">
        <v>16.017281064680187</v>
      </c>
      <c r="AM1615" s="1014">
        <v>16.008892366374884</v>
      </c>
      <c r="AN1615" s="1014">
        <v>15.019247395960683</v>
      </c>
      <c r="AO1615" s="1014">
        <v>14.025164555723997</v>
      </c>
      <c r="AP1615" s="1014">
        <v>15.019247395960683</v>
      </c>
      <c r="AQ1615" s="1014">
        <v>15.019247395960683</v>
      </c>
      <c r="AR1615" s="1014">
        <v>15.019247395960683</v>
      </c>
      <c r="AS1615" s="1014">
        <v>15.019247395960683</v>
      </c>
      <c r="AT1615" s="1014">
        <v>15.019247395960683</v>
      </c>
      <c r="AU1615" s="1014">
        <v>15.019247395960683</v>
      </c>
      <c r="AV1615" s="1014">
        <f t="shared" ca="1" si="124"/>
        <v>15.019247395960683</v>
      </c>
      <c r="AX1615" s="88" t="str">
        <f t="shared" ca="1" si="119"/>
        <v>GM</v>
      </c>
    </row>
    <row r="1616" spans="1:50" hidden="1">
      <c r="A1616" s="88" t="str">
        <f t="shared" ca="1" si="123"/>
        <v>HPE</v>
      </c>
      <c r="F1616" s="1014">
        <v>9.1790712340162894</v>
      </c>
      <c r="G1616" s="1014">
        <v>11.125816796146466</v>
      </c>
      <c r="H1616" s="1014">
        <v>12.125816796146466</v>
      </c>
      <c r="I1616" s="1014">
        <v>13.123549222450322</v>
      </c>
      <c r="J1616" s="1014">
        <v>14.121281648754177</v>
      </c>
      <c r="K1616" s="1014">
        <v>15.119014075058031</v>
      </c>
      <c r="L1616" s="1014">
        <v>16.116746501361888</v>
      </c>
      <c r="M1616" s="1014">
        <v>17.114478927665743</v>
      </c>
      <c r="N1616" s="1014">
        <v>18.112211353969599</v>
      </c>
      <c r="O1616" s="1014">
        <v>17.609943780273451</v>
      </c>
      <c r="P1616" s="1014">
        <v>16.859943780273451</v>
      </c>
      <c r="Q1616" s="1014">
        <v>17.053254437869825</v>
      </c>
      <c r="R1616" s="1014">
        <v>16.303254437869821</v>
      </c>
      <c r="S1616" s="1014">
        <v>15.553254437869821</v>
      </c>
      <c r="T1616" s="1014">
        <v>16.303254437869821</v>
      </c>
      <c r="U1616" s="1014">
        <v>16.303254437869821</v>
      </c>
      <c r="V1616" s="1014">
        <v>16.303254437869825</v>
      </c>
      <c r="W1616" s="1014">
        <v>16.303254437869825</v>
      </c>
      <c r="X1616" s="1014">
        <v>16.303254437869825</v>
      </c>
      <c r="Y1616" s="1014">
        <v>16.303254437869825</v>
      </c>
      <c r="Z1616" s="1014">
        <f t="shared" ca="1" si="125"/>
        <v>16.303254437869825</v>
      </c>
      <c r="AB1616" s="1014">
        <v>11.031226700583307</v>
      </c>
      <c r="AC1616" s="1014">
        <v>12.031226700583307</v>
      </c>
      <c r="AD1616" s="1014">
        <v>13.031226700583307</v>
      </c>
      <c r="AE1616" s="1014">
        <v>14.029077672031928</v>
      </c>
      <c r="AF1616" s="1014">
        <v>13.027589800505343</v>
      </c>
      <c r="AG1616" s="1014">
        <v>13.026625217429448</v>
      </c>
      <c r="AH1616" s="1014">
        <v>13.026523629633234</v>
      </c>
      <c r="AI1616" s="1014">
        <v>13.023321044826261</v>
      </c>
      <c r="AJ1616" s="1014">
        <v>13.020118460019287</v>
      </c>
      <c r="AK1616" s="1014">
        <v>13.020955939179991</v>
      </c>
      <c r="AL1616" s="1014">
        <v>12.025080171146998</v>
      </c>
      <c r="AM1616" s="1014">
        <v>12.023897618323865</v>
      </c>
      <c r="AN1616" s="1014">
        <v>13.019773386356858</v>
      </c>
      <c r="AO1616" s="1014">
        <v>13.019773386356858</v>
      </c>
      <c r="AP1616" s="1014">
        <v>13.019773386356858</v>
      </c>
      <c r="AQ1616" s="1014">
        <v>13.019773386356858</v>
      </c>
      <c r="AR1616" s="1014">
        <v>13.019773386356855</v>
      </c>
      <c r="AS1616" s="1014">
        <v>13.019773386356855</v>
      </c>
      <c r="AT1616" s="1014">
        <v>11.01994172235551</v>
      </c>
      <c r="AU1616" s="1014">
        <v>10.020025890354837</v>
      </c>
      <c r="AV1616" s="1014">
        <f t="shared" ca="1" si="124"/>
        <v>10.020025890354837</v>
      </c>
      <c r="AX1616" s="88" t="str">
        <f t="shared" ca="1" si="119"/>
        <v>HPE</v>
      </c>
    </row>
    <row r="1617" spans="1:50" hidden="1">
      <c r="A1617" s="88" t="str">
        <f t="shared" ca="1" si="123"/>
        <v>HPQ</v>
      </c>
      <c r="F1617" s="1014">
        <v>11.780045351473923</v>
      </c>
      <c r="G1617" s="1014">
        <v>12.780045351473923</v>
      </c>
      <c r="H1617" s="1014">
        <v>13.780045351473923</v>
      </c>
      <c r="I1617" s="1014">
        <v>14.668934240362812</v>
      </c>
      <c r="J1617" s="1014">
        <v>14.137704786056435</v>
      </c>
      <c r="K1617" s="1014">
        <v>14.086932603416118</v>
      </c>
      <c r="L1617" s="1014">
        <v>13.988823142669297</v>
      </c>
      <c r="M1617" s="1014">
        <v>13.930966469428007</v>
      </c>
      <c r="N1617" s="1014">
        <v>13.87310979618672</v>
      </c>
      <c r="O1617" s="1014">
        <v>13.720578566732414</v>
      </c>
      <c r="P1617" s="1014">
        <v>12.726495726495727</v>
      </c>
      <c r="Q1617" s="1014">
        <v>12.621301775147931</v>
      </c>
      <c r="R1617" s="1014">
        <v>13.615384615384617</v>
      </c>
      <c r="S1617" s="1014">
        <v>13.615384615384617</v>
      </c>
      <c r="T1617" s="1014">
        <v>13.615384615384617</v>
      </c>
      <c r="U1617" s="1014">
        <v>13.615384615384617</v>
      </c>
      <c r="V1617" s="1014">
        <v>13.615384615384615</v>
      </c>
      <c r="W1617" s="1014">
        <v>13.615384615384615</v>
      </c>
      <c r="X1617" s="1014">
        <v>11.695384615384613</v>
      </c>
      <c r="Y1617" s="1014">
        <v>10.877606837606836</v>
      </c>
      <c r="Z1617" s="1014">
        <f t="shared" ca="1" si="125"/>
        <v>10.877606837606836</v>
      </c>
      <c r="AB1617" s="1014">
        <v>3.0056137888689101</v>
      </c>
      <c r="AC1617" s="1014">
        <v>4.0056137888689101</v>
      </c>
      <c r="AD1617" s="1014">
        <v>5.0056137888689101</v>
      </c>
      <c r="AE1617" s="1014">
        <v>4.0115203443665113</v>
      </c>
      <c r="AF1617" s="1014">
        <v>4.0144516932525427</v>
      </c>
      <c r="AG1617" s="1014">
        <v>4.0117429241359215</v>
      </c>
      <c r="AH1617" s="1014">
        <v>4.0116787831184739</v>
      </c>
      <c r="AI1617" s="1014">
        <v>4.0116146421010255</v>
      </c>
      <c r="AJ1617" s="1014">
        <v>4.0115505010835779</v>
      </c>
      <c r="AK1617" s="1014">
        <v>4.010987527527984</v>
      </c>
      <c r="AL1617" s="1014">
        <v>3.0110686897713066</v>
      </c>
      <c r="AM1617" s="1014">
        <v>3.0105928079981368</v>
      </c>
      <c r="AN1617" s="1014">
        <v>5.0101980884682913</v>
      </c>
      <c r="AO1617" s="1014">
        <v>6.0098033689384467</v>
      </c>
      <c r="AP1617" s="1014">
        <v>7.0094086494086012</v>
      </c>
      <c r="AQ1617" s="1014">
        <v>8.0090139298787566</v>
      </c>
      <c r="AR1617" s="1014">
        <v>9.0086192103489111</v>
      </c>
      <c r="AS1617" s="1014">
        <v>10.008224490819066</v>
      </c>
      <c r="AT1617" s="1014">
        <v>11.00782977128922</v>
      </c>
      <c r="AU1617" s="1014">
        <v>10.00809620878417</v>
      </c>
      <c r="AV1617" s="1014">
        <f t="shared" ca="1" si="124"/>
        <v>10.00809620878417</v>
      </c>
      <c r="AX1617" s="88" t="str">
        <f t="shared" ca="1" si="119"/>
        <v>HPQ</v>
      </c>
    </row>
    <row r="1618" spans="1:50" hidden="1">
      <c r="A1618" s="88" t="str">
        <f t="shared" ca="1" si="123"/>
        <v>IAG</v>
      </c>
      <c r="F1618" s="1014">
        <v>3.4716553287981853</v>
      </c>
      <c r="G1618" s="1014">
        <v>4.4716553287981853</v>
      </c>
      <c r="H1618" s="1014">
        <v>5.4716553287981853</v>
      </c>
      <c r="I1618" s="1014">
        <v>4.4238548752834461</v>
      </c>
      <c r="J1618" s="1014">
        <v>4.3716099773242618</v>
      </c>
      <c r="K1618" s="1014">
        <v>4.256054421768706</v>
      </c>
      <c r="L1618" s="1014">
        <v>4.1993650793650783</v>
      </c>
      <c r="M1618" s="1014">
        <v>4.1739257369614506</v>
      </c>
      <c r="N1618" s="1014">
        <v>4.1328613945578221</v>
      </c>
      <c r="O1618" s="1014">
        <v>4.1855470521541935</v>
      </c>
      <c r="P1618" s="1014">
        <v>3.2480470521541944</v>
      </c>
      <c r="Q1618" s="1014">
        <v>5.1832794784580498</v>
      </c>
      <c r="R1618" s="1014">
        <v>6.1810119047619043</v>
      </c>
      <c r="S1618" s="1014">
        <v>7.1787443310657597</v>
      </c>
      <c r="T1618" s="1014">
        <v>8.1764767573696133</v>
      </c>
      <c r="U1618" s="1014">
        <v>9.1742091836734687</v>
      </c>
      <c r="V1618" s="1014">
        <v>10.171941609977324</v>
      </c>
      <c r="W1618" s="1014">
        <v>11.169674036281179</v>
      </c>
      <c r="X1618" s="1014">
        <v>12.167406462585033</v>
      </c>
      <c r="Y1618" s="1014">
        <v>11.165138888888889</v>
      </c>
      <c r="Z1618" s="1014">
        <f t="shared" ca="1" si="125"/>
        <v>11.165138888888889</v>
      </c>
      <c r="AB1618" s="1014">
        <v>3.6782158677251</v>
      </c>
      <c r="AC1618" s="1014">
        <v>4.6782158677251005</v>
      </c>
      <c r="AD1618" s="1014">
        <v>5.6782158677251005</v>
      </c>
      <c r="AE1618" s="1014">
        <v>6.6462435858076399</v>
      </c>
      <c r="AF1618" s="1014">
        <v>7.6142713038901801</v>
      </c>
      <c r="AG1618" s="1014">
        <v>8.5773869567124255</v>
      </c>
      <c r="AH1618" s="1014">
        <v>9.5405026095346699</v>
      </c>
      <c r="AI1618" s="1014">
        <v>10.503618262356914</v>
      </c>
      <c r="AJ1618" s="1014">
        <v>11.466733915179159</v>
      </c>
      <c r="AK1618" s="1014">
        <v>12.429849568001403</v>
      </c>
      <c r="AL1618" s="1014">
        <v>12.429849568001403</v>
      </c>
      <c r="AM1618" s="1014">
        <v>13.382088504890136</v>
      </c>
      <c r="AN1618" s="1014">
        <v>14.33432744177887</v>
      </c>
      <c r="AO1618" s="1014">
        <v>15.286566378667603</v>
      </c>
      <c r="AP1618" s="1014">
        <v>16.238805315556334</v>
      </c>
      <c r="AQ1618" s="1014">
        <v>17.191044252445067</v>
      </c>
      <c r="AR1618" s="1014">
        <v>16.146196772458325</v>
      </c>
      <c r="AS1618" s="1014">
        <v>16.09989250090932</v>
      </c>
      <c r="AT1618" s="1014">
        <v>16.053588229360315</v>
      </c>
      <c r="AU1618" s="1014">
        <v>16.00728395781131</v>
      </c>
      <c r="AV1618" s="1014">
        <f t="shared" ca="1" si="124"/>
        <v>16.00728395781131</v>
      </c>
      <c r="AX1618" s="88" t="str">
        <f t="shared" ca="1" si="119"/>
        <v>IAG</v>
      </c>
    </row>
    <row r="1619" spans="1:50" hidden="1">
      <c r="A1619" s="88" t="str">
        <f t="shared" ca="1" si="123"/>
        <v>KR</v>
      </c>
      <c r="F1619" s="1014">
        <v>7.3174603174603154</v>
      </c>
      <c r="G1619" s="1014">
        <v>8.3174603174603163</v>
      </c>
      <c r="H1619" s="1014">
        <v>9.3174603174603163</v>
      </c>
      <c r="I1619" s="1014">
        <v>10.13378684807256</v>
      </c>
      <c r="J1619" s="1014">
        <v>10.950113378684804</v>
      </c>
      <c r="K1619" s="1014">
        <v>11.675736961451246</v>
      </c>
      <c r="L1619" s="1014">
        <v>12.401360544217685</v>
      </c>
      <c r="M1619" s="1014">
        <v>13.126984126984127</v>
      </c>
      <c r="N1619" s="1014">
        <v>13.852607709750565</v>
      </c>
      <c r="O1619" s="1014">
        <v>14.578231292517005</v>
      </c>
      <c r="P1619" s="1014">
        <v>14.578231292517005</v>
      </c>
      <c r="Q1619" s="1014">
        <v>15.195011337868479</v>
      </c>
      <c r="R1619" s="1014">
        <v>15.920634920634919</v>
      </c>
      <c r="S1619" s="1014">
        <v>16.646258503401359</v>
      </c>
      <c r="T1619" s="1014">
        <v>17.371882086167801</v>
      </c>
      <c r="U1619" s="1014">
        <v>18.09750566893424</v>
      </c>
      <c r="V1619" s="1014">
        <v>17.323129251700678</v>
      </c>
      <c r="W1619" s="1014">
        <v>17.29875283446712</v>
      </c>
      <c r="X1619" s="1014">
        <v>17.274376417233562</v>
      </c>
      <c r="Y1619" s="1014">
        <v>17.25</v>
      </c>
      <c r="Z1619" s="1014">
        <f t="shared" ca="1" si="125"/>
        <v>17.25</v>
      </c>
      <c r="AB1619" s="1014">
        <v>12.001359589491688</v>
      </c>
      <c r="AC1619" s="1014">
        <v>13.001359589491688</v>
      </c>
      <c r="AD1619" s="1014">
        <v>12.10507491151894</v>
      </c>
      <c r="AE1619" s="1014">
        <v>14.052822530975471</v>
      </c>
      <c r="AF1619" s="1014">
        <v>15.052427811445625</v>
      </c>
      <c r="AG1619" s="1014">
        <v>14.169857580557499</v>
      </c>
      <c r="AH1619" s="1014">
        <v>14.228725967152821</v>
      </c>
      <c r="AI1619" s="1014">
        <v>14.287594353748142</v>
      </c>
      <c r="AJ1619" s="1014">
        <v>14.346462740343464</v>
      </c>
      <c r="AK1619" s="1014">
        <v>14.405331126938785</v>
      </c>
      <c r="AL1619" s="1014">
        <v>13.464243371259645</v>
      </c>
      <c r="AM1619" s="1014">
        <v>12.523155615580505</v>
      </c>
      <c r="AN1619" s="1014">
        <v>13.464243371259645</v>
      </c>
      <c r="AO1619" s="1014">
        <v>13.464243371259645</v>
      </c>
      <c r="AP1619" s="1014">
        <v>13.464243371259645</v>
      </c>
      <c r="AQ1619" s="1014">
        <v>13.464243371259645</v>
      </c>
      <c r="AR1619" s="1014">
        <v>13.464243371259645</v>
      </c>
      <c r="AS1619" s="1014">
        <v>13.464243371259645</v>
      </c>
      <c r="AT1619" s="1014">
        <v>13.464243371259645</v>
      </c>
      <c r="AU1619" s="1014">
        <v>13.464243371259645</v>
      </c>
      <c r="AV1619" s="1014">
        <f t="shared" ca="1" si="124"/>
        <v>13.464243371259645</v>
      </c>
      <c r="AX1619" s="88" t="str">
        <f t="shared" ref="AX1619:AX1684" ca="1" si="126">A1619</f>
        <v>KR</v>
      </c>
    </row>
    <row r="1620" spans="1:50" hidden="1">
      <c r="A1620" s="88" t="str">
        <f t="shared" ca="1" si="123"/>
        <v>LNSR</v>
      </c>
      <c r="F1620" s="1014">
        <v>12.088435374149661</v>
      </c>
      <c r="G1620" s="1014">
        <v>13.088435374149661</v>
      </c>
      <c r="H1620" s="1014">
        <v>12.668317030954395</v>
      </c>
      <c r="I1620" s="1014">
        <v>14.376108628855881</v>
      </c>
      <c r="J1620" s="1014">
        <v>15.373841055159737</v>
      </c>
      <c r="K1620" s="1014">
        <v>14.951455138268324</v>
      </c>
      <c r="L1620" s="1014">
        <v>15.220987803405386</v>
      </c>
      <c r="M1620" s="1014">
        <v>15.490520468542446</v>
      </c>
      <c r="N1620" s="1014">
        <v>15.760053133679506</v>
      </c>
      <c r="O1620" s="1014">
        <v>16.029585798816569</v>
      </c>
      <c r="P1620" s="1014">
        <v>15.319526627218934</v>
      </c>
      <c r="Q1620" s="1014">
        <v>14.609467455621301</v>
      </c>
      <c r="R1620" s="1014">
        <v>15.319526627218934</v>
      </c>
      <c r="S1620" s="1014">
        <v>15.319526627218934</v>
      </c>
      <c r="T1620" s="1014">
        <v>15.319526627218934</v>
      </c>
      <c r="U1620" s="1014">
        <v>15.319526627218934</v>
      </c>
      <c r="V1620" s="1014">
        <v>15.319526627218934</v>
      </c>
      <c r="W1620" s="1014">
        <v>15.319526627218934</v>
      </c>
      <c r="X1620" s="1014">
        <v>15.319526627218934</v>
      </c>
      <c r="Y1620" s="1014">
        <v>15.319526627218934</v>
      </c>
      <c r="Z1620" s="1014">
        <f t="shared" ca="1" si="125"/>
        <v>15.319526627218934</v>
      </c>
      <c r="AB1620" s="1014">
        <v>3.0459628963641956</v>
      </c>
      <c r="AC1620" s="1014">
        <v>4.0459628963641956</v>
      </c>
      <c r="AD1620" s="1014">
        <v>5.0459628963641956</v>
      </c>
      <c r="AE1620" s="1014">
        <v>6.0438138678128164</v>
      </c>
      <c r="AF1620" s="1014">
        <v>7.0416648392614363</v>
      </c>
      <c r="AG1620" s="1014">
        <v>8.0405683961229784</v>
      </c>
      <c r="AH1620" s="1014">
        <v>9.0384193675715991</v>
      </c>
      <c r="AI1620" s="1014">
        <v>10.03627033902022</v>
      </c>
      <c r="AJ1620" s="1014">
        <v>11.034121310468841</v>
      </c>
      <c r="AK1620" s="1014">
        <v>12.031972281917461</v>
      </c>
      <c r="AL1620" s="1014">
        <v>12.03197228191746</v>
      </c>
      <c r="AM1620" s="1014">
        <v>13.028419806148854</v>
      </c>
      <c r="AN1620" s="1014">
        <v>14.024867330380246</v>
      </c>
      <c r="AO1620" s="1014">
        <v>15.02131485461164</v>
      </c>
      <c r="AP1620" s="1014">
        <v>14.017898981534104</v>
      </c>
      <c r="AQ1620" s="1014">
        <v>14.014414807111034</v>
      </c>
      <c r="AR1620" s="1014">
        <v>16.010794029996891</v>
      </c>
      <c r="AS1620" s="1014">
        <v>17.007241554228287</v>
      </c>
      <c r="AT1620" s="1014">
        <v>16.003825681150751</v>
      </c>
      <c r="AU1620" s="1014">
        <v>16.000341506727679</v>
      </c>
      <c r="AV1620" s="1014">
        <f t="shared" ca="1" si="124"/>
        <v>16.000341506727679</v>
      </c>
      <c r="AX1620" s="88" t="str">
        <f t="shared" ca="1" si="126"/>
        <v>LNSR</v>
      </c>
    </row>
    <row r="1621" spans="1:50" hidden="1">
      <c r="A1621" s="88" t="str">
        <f t="shared" ca="1" si="123"/>
        <v>LUMN</v>
      </c>
      <c r="F1621" s="1014">
        <v>3.308390022675737</v>
      </c>
      <c r="G1621" s="1014">
        <v>4.308390022675737</v>
      </c>
      <c r="H1621" s="1014">
        <v>5.308390022675737</v>
      </c>
      <c r="I1621" s="1014">
        <v>6.2879818594104311</v>
      </c>
      <c r="J1621" s="1014">
        <v>7.2675736961451252</v>
      </c>
      <c r="K1621" s="1014">
        <v>8.2653061224489797</v>
      </c>
      <c r="L1621" s="1014">
        <v>9.2448979591836746</v>
      </c>
      <c r="M1621" s="1014">
        <v>10.224489795918368</v>
      </c>
      <c r="N1621" s="1014">
        <v>11.204081632653061</v>
      </c>
      <c r="O1621" s="1014">
        <v>12.183673469387756</v>
      </c>
      <c r="P1621" s="1014">
        <v>12.183673469387756</v>
      </c>
      <c r="Q1621" s="1014">
        <v>13.163265306122449</v>
      </c>
      <c r="R1621" s="1014">
        <v>14.142857142857142</v>
      </c>
      <c r="S1621" s="1014">
        <v>15.122448979591837</v>
      </c>
      <c r="T1621" s="1014">
        <v>16.102040816326529</v>
      </c>
      <c r="U1621" s="1014">
        <v>17.081632653061224</v>
      </c>
      <c r="V1621" s="1014">
        <v>18.061224489795919</v>
      </c>
      <c r="W1621" s="1014">
        <v>19.04081632653061</v>
      </c>
      <c r="X1621" s="1014">
        <v>20.020408163265305</v>
      </c>
      <c r="Y1621" s="1014">
        <v>21</v>
      </c>
      <c r="Z1621" s="1014">
        <f t="shared" ca="1" si="125"/>
        <v>21</v>
      </c>
      <c r="AB1621" s="1014">
        <v>9.12117951892977</v>
      </c>
      <c r="AC1621" s="1014">
        <v>11.121113420707813</v>
      </c>
      <c r="AD1621" s="1014">
        <v>12.121113420707813</v>
      </c>
      <c r="AE1621" s="1014">
        <v>13.101772163745398</v>
      </c>
      <c r="AF1621" s="1014">
        <v>14.082430906782985</v>
      </c>
      <c r="AG1621" s="1014">
        <v>15.06659826786364</v>
      </c>
      <c r="AH1621" s="1014">
        <v>16.053923385183055</v>
      </c>
      <c r="AI1621" s="1014">
        <v>17.041248502502469</v>
      </c>
      <c r="AJ1621" s="1014">
        <v>18.028573619821888</v>
      </c>
      <c r="AK1621" s="1014">
        <v>19.015898737141303</v>
      </c>
      <c r="AL1621" s="1014">
        <v>19.015898737141303</v>
      </c>
      <c r="AM1621" s="1014">
        <v>20.000066098221957</v>
      </c>
      <c r="AN1621" s="1014">
        <v>20.000066098221957</v>
      </c>
      <c r="AO1621" s="1014">
        <v>20.000066098221957</v>
      </c>
      <c r="AP1621" s="1014">
        <v>20.000066098221957</v>
      </c>
      <c r="AQ1621" s="1014">
        <v>20.000066098221957</v>
      </c>
      <c r="AR1621" s="1014">
        <v>18.031925839950681</v>
      </c>
      <c r="AS1621" s="1014">
        <v>17.047855710815043</v>
      </c>
      <c r="AT1621" s="1014">
        <v>16.063785581679404</v>
      </c>
      <c r="AU1621" s="1014">
        <v>15.079715452543757</v>
      </c>
      <c r="AV1621" s="1014">
        <f t="shared" ca="1" si="124"/>
        <v>15.079715452543757</v>
      </c>
      <c r="AX1621" s="88" t="str">
        <f t="shared" ca="1" si="126"/>
        <v>LUMN</v>
      </c>
    </row>
    <row r="1622" spans="1:50" hidden="1">
      <c r="A1622" s="88" t="str">
        <f t="shared" ca="1" si="123"/>
        <v>MRNA</v>
      </c>
      <c r="F1622" s="1014">
        <v>9.0609725371630105</v>
      </c>
      <c r="G1622" s="1014">
        <v>11.048626858150666</v>
      </c>
      <c r="H1622" s="1014">
        <v>12.048626858150666</v>
      </c>
      <c r="I1622" s="1014">
        <v>13.046359284454521</v>
      </c>
      <c r="J1622" s="1014">
        <v>14.044091710758376</v>
      </c>
      <c r="K1622" s="1014">
        <v>15.041824137062232</v>
      </c>
      <c r="L1622" s="1014">
        <v>16.039556563366087</v>
      </c>
      <c r="M1622" s="1014">
        <v>17.037288989669939</v>
      </c>
      <c r="N1622" s="1014">
        <v>18.035021415973794</v>
      </c>
      <c r="O1622" s="1014">
        <v>19.03275384227765</v>
      </c>
      <c r="P1622" s="1014">
        <v>19.03275384227765</v>
      </c>
      <c r="Q1622" s="1014">
        <v>20.012345679012345</v>
      </c>
      <c r="R1622" s="1014">
        <v>20.012345679012345</v>
      </c>
      <c r="S1622" s="1014">
        <v>20.012345679012345</v>
      </c>
      <c r="T1622" s="1014">
        <v>20.012345679012345</v>
      </c>
      <c r="U1622" s="1014">
        <v>20.012345679012345</v>
      </c>
      <c r="V1622" s="1014">
        <v>18.037037037037035</v>
      </c>
      <c r="W1622" s="1014">
        <v>17.049382716049379</v>
      </c>
      <c r="X1622" s="1014">
        <v>16.061728395061724</v>
      </c>
      <c r="Y1622" s="1014">
        <v>15.074074074074069</v>
      </c>
      <c r="Z1622" s="1014">
        <f t="shared" ca="1" si="125"/>
        <v>15.074074074074069</v>
      </c>
      <c r="AB1622" s="1014">
        <v>3.0494715144072631</v>
      </c>
      <c r="AC1622" s="1014">
        <v>2.0506612824025039</v>
      </c>
      <c r="AD1622" s="1014">
        <v>2.0533713095027748</v>
      </c>
      <c r="AE1622" s="1014">
        <v>4.0464120691636882</v>
      </c>
      <c r="AF1622" s="1014">
        <v>5.0411052843735469</v>
      </c>
      <c r="AG1622" s="1014">
        <v>4.0441231613940198</v>
      </c>
      <c r="AH1622" s="1014">
        <v>4.0453619576557402</v>
      </c>
      <c r="AI1622" s="1014">
        <v>4.0454091288441827</v>
      </c>
      <c r="AJ1622" s="1014">
        <v>4.045456300032626</v>
      </c>
      <c r="AK1622" s="1014">
        <v>6.0347955592639018</v>
      </c>
      <c r="AL1622" s="1014">
        <v>4.0602898360589084</v>
      </c>
      <c r="AM1622" s="1014">
        <v>4.069484498687804</v>
      </c>
      <c r="AN1622" s="1014">
        <v>6.0556409171518428</v>
      </c>
      <c r="AO1622" s="1014">
        <v>7.054544474013384</v>
      </c>
      <c r="AP1622" s="1014">
        <v>8.0534480308749252</v>
      </c>
      <c r="AQ1622" s="1014">
        <v>7.0867509427485595</v>
      </c>
      <c r="AR1622" s="1014">
        <v>9.0684548221040551</v>
      </c>
      <c r="AS1622" s="1014">
        <v>10.067358378965594</v>
      </c>
      <c r="AT1622" s="1014">
        <v>11.066261935827136</v>
      </c>
      <c r="AU1622" s="1014">
        <v>10.088251347480018</v>
      </c>
      <c r="AV1622" s="1014">
        <f t="shared" ca="1" si="124"/>
        <v>10.088251347480018</v>
      </c>
      <c r="AX1622" s="88" t="str">
        <f t="shared" ca="1" si="126"/>
        <v>MRNA</v>
      </c>
    </row>
    <row r="1623" spans="1:50" hidden="1">
      <c r="A1623" s="88" t="str">
        <f t="shared" ca="1" si="123"/>
        <v>MSFT</v>
      </c>
      <c r="F1623" s="1014">
        <v>3.3990929705215422</v>
      </c>
      <c r="G1623" s="1014">
        <v>2.4237843285462337</v>
      </c>
      <c r="H1623" s="1014">
        <v>2.5102040816326538</v>
      </c>
      <c r="I1623" s="1014">
        <v>4.4041320231796428</v>
      </c>
      <c r="J1623" s="1014">
        <v>5.3474426807760143</v>
      </c>
      <c r="K1623" s="1014">
        <v>4.3517258755353998</v>
      </c>
      <c r="L1623" s="1014">
        <v>4.3436633912824396</v>
      </c>
      <c r="M1623" s="1014">
        <v>4.3356009070294794</v>
      </c>
      <c r="N1623" s="1014">
        <v>4.3275384227765192</v>
      </c>
      <c r="O1623" s="1014">
        <v>6.2947845804988667</v>
      </c>
      <c r="P1623" s="1014">
        <v>4.3194759385235582</v>
      </c>
      <c r="Q1623" s="1014">
        <v>4.3114134542705971</v>
      </c>
      <c r="R1623" s="1014">
        <v>6.2786596119929454</v>
      </c>
      <c r="S1623" s="1014">
        <v>7.2582514487276395</v>
      </c>
      <c r="T1623" s="1014">
        <v>8.2378432854623327</v>
      </c>
      <c r="U1623" s="1014">
        <v>9.2174351221970277</v>
      </c>
      <c r="V1623" s="1014">
        <v>10.197026958931721</v>
      </c>
      <c r="W1623" s="1014">
        <v>11.176618795666414</v>
      </c>
      <c r="X1623" s="1014">
        <v>12.156210632401109</v>
      </c>
      <c r="Y1623" s="1014">
        <v>11.176618795666418</v>
      </c>
      <c r="Z1623" s="1014">
        <f t="shared" ca="1" si="125"/>
        <v>11.176618795666418</v>
      </c>
      <c r="AB1623" s="1014">
        <v>9.2112694621665128</v>
      </c>
      <c r="AC1623" s="1014">
        <v>11.144054098654854</v>
      </c>
      <c r="AD1623" s="1014">
        <v>12.144054098654854</v>
      </c>
      <c r="AE1623" s="1014">
        <v>13.136642143038873</v>
      </c>
      <c r="AF1623" s="1014">
        <v>14.129230187422891</v>
      </c>
      <c r="AG1623" s="1014">
        <v>13.119977773199539</v>
      </c>
      <c r="AH1623" s="1014">
        <v>13.110417571964799</v>
      </c>
      <c r="AI1623" s="1014">
        <v>13.100857370730058</v>
      </c>
      <c r="AJ1623" s="1014">
        <v>13.091297169495316</v>
      </c>
      <c r="AK1623" s="1014">
        <v>15.081121394237799</v>
      </c>
      <c r="AL1623" s="1014">
        <v>15.081121394237799</v>
      </c>
      <c r="AM1623" s="1014">
        <v>16.068446511557212</v>
      </c>
      <c r="AN1623" s="1014">
        <v>14.068608836043865</v>
      </c>
      <c r="AO1623" s="1014">
        <v>13.068689998287189</v>
      </c>
      <c r="AP1623" s="1014">
        <v>14.068608836043865</v>
      </c>
      <c r="AQ1623" s="1014">
        <v>14.068608836043865</v>
      </c>
      <c r="AR1623" s="1014">
        <v>12.070069756423699</v>
      </c>
      <c r="AS1623" s="1014">
        <v>11.070800216613618</v>
      </c>
      <c r="AT1623" s="1014">
        <v>10.071530676803537</v>
      </c>
      <c r="AU1623" s="1014">
        <v>9.0722611369934558</v>
      </c>
      <c r="AV1623" s="1014">
        <f t="shared" ca="1" si="124"/>
        <v>9.0722611369934558</v>
      </c>
      <c r="AX1623" s="88" t="str">
        <f t="shared" ca="1" si="126"/>
        <v>MSFT</v>
      </c>
    </row>
    <row r="1624" spans="1:50" hidden="1">
      <c r="A1624" s="88" t="str">
        <f t="shared" ca="1" si="123"/>
        <v>NEE</v>
      </c>
      <c r="F1624" s="1014">
        <v>9.6127488032249957</v>
      </c>
      <c r="G1624" s="1014">
        <v>11.415217939027464</v>
      </c>
      <c r="H1624" s="1014">
        <v>12.415217939027464</v>
      </c>
      <c r="I1624" s="1014">
        <v>13.358528596623835</v>
      </c>
      <c r="J1624" s="1014">
        <v>14.301839254220205</v>
      </c>
      <c r="K1624" s="1014">
        <v>13.361431090954898</v>
      </c>
      <c r="L1624" s="1014">
        <v>13.381022927689592</v>
      </c>
      <c r="M1624" s="1014">
        <v>13.400614764424287</v>
      </c>
      <c r="N1624" s="1014">
        <v>13.420206601158977</v>
      </c>
      <c r="O1624" s="1014">
        <v>15.359798437893673</v>
      </c>
      <c r="P1624" s="1014">
        <v>15.359798437893673</v>
      </c>
      <c r="Q1624" s="1014">
        <v>16.357530864197528</v>
      </c>
      <c r="R1624" s="1014">
        <v>15.077530864197527</v>
      </c>
      <c r="S1624" s="1014">
        <v>14.437530864197527</v>
      </c>
      <c r="T1624" s="1014">
        <v>15.077530864197527</v>
      </c>
      <c r="U1624" s="1014">
        <v>15.077530864197527</v>
      </c>
      <c r="V1624" s="1014">
        <v>15.077530864197531</v>
      </c>
      <c r="W1624" s="1014">
        <v>15.077530864197531</v>
      </c>
      <c r="X1624" s="1014">
        <v>15.077530864197531</v>
      </c>
      <c r="Y1624" s="1014">
        <v>15.077530864197531</v>
      </c>
      <c r="Z1624" s="1014">
        <f t="shared" ca="1" si="125"/>
        <v>15.077530864197531</v>
      </c>
      <c r="AB1624" s="1014">
        <v>7.006490943379676</v>
      </c>
      <c r="AC1624" s="1014">
        <v>6.1567241395387988</v>
      </c>
      <c r="AD1624" s="1014">
        <v>6.2318407376183602</v>
      </c>
      <c r="AE1624" s="1014">
        <v>6.3235938620601733</v>
      </c>
      <c r="AF1624" s="1014">
        <v>6.4070067944580913</v>
      </c>
      <c r="AG1624" s="1014">
        <v>6.5017195571682418</v>
      </c>
      <c r="AH1624" s="1014">
        <v>6.5794825744100436</v>
      </c>
      <c r="AI1624" s="1014">
        <v>6.6628955068079616</v>
      </c>
      <c r="AJ1624" s="1014">
        <v>6.7459575774015734</v>
      </c>
      <c r="AK1624" s="1014">
        <v>6.8351164483711093</v>
      </c>
      <c r="AL1624" s="1014">
        <v>5.9216216386825282</v>
      </c>
      <c r="AM1624" s="1014">
        <v>5.025860393007787</v>
      </c>
      <c r="AN1624" s="1014">
        <v>4.1212323653261276</v>
      </c>
      <c r="AO1624" s="1014">
        <v>3.2166043376444673</v>
      </c>
      <c r="AP1624" s="1014">
        <v>4.1212323653261276</v>
      </c>
      <c r="AQ1624" s="1014">
        <v>5.1201359221876697</v>
      </c>
      <c r="AR1624" s="1014">
        <v>6.11903947904921</v>
      </c>
      <c r="AS1624" s="1014">
        <v>7.1179430359107512</v>
      </c>
      <c r="AT1624" s="1014">
        <v>6.2729884612844025</v>
      </c>
      <c r="AU1624" s="1014">
        <v>6.3440542800490114</v>
      </c>
      <c r="AV1624" s="1014">
        <f t="shared" ca="1" si="124"/>
        <v>6.3440542800490114</v>
      </c>
      <c r="AX1624" s="88" t="str">
        <f t="shared" ca="1" si="126"/>
        <v>NEE</v>
      </c>
    </row>
    <row r="1625" spans="1:50" hidden="1">
      <c r="A1625" s="88" t="str">
        <f t="shared" ca="1" si="123"/>
        <v>NEM</v>
      </c>
      <c r="F1625" s="1014">
        <v>7.2267573696145142</v>
      </c>
      <c r="G1625" s="1014">
        <v>6.8440413202317991</v>
      </c>
      <c r="H1625" s="1014">
        <v>7.1526832955404416</v>
      </c>
      <c r="I1625" s="1014">
        <v>7.4046359284454564</v>
      </c>
      <c r="J1625" s="1014">
        <v>7.6565885613504694</v>
      </c>
      <c r="K1625" s="1014">
        <v>8.1286274858527321</v>
      </c>
      <c r="L1625" s="1014">
        <v>8.2500878346981512</v>
      </c>
      <c r="M1625" s="1014">
        <v>8.5099564880418423</v>
      </c>
      <c r="N1625" s="1014">
        <v>8.7879657309546921</v>
      </c>
      <c r="O1625" s="1014">
        <v>9.0659749738675437</v>
      </c>
      <c r="P1625" s="1014">
        <v>8.3462517904765399</v>
      </c>
      <c r="Q1625" s="1014">
        <v>7.5659749738675419</v>
      </c>
      <c r="R1625" s="1014">
        <v>8.3159749738675401</v>
      </c>
      <c r="S1625" s="1014">
        <v>6.315974973867541</v>
      </c>
      <c r="T1625" s="1014">
        <v>7.3159749738675428</v>
      </c>
      <c r="U1625" s="1014">
        <v>8.3137074001713973</v>
      </c>
      <c r="V1625" s="1014">
        <v>9.3114398264752527</v>
      </c>
      <c r="W1625" s="1014">
        <v>10.309172252779106</v>
      </c>
      <c r="X1625" s="1014">
        <v>9.9241886297002466</v>
      </c>
      <c r="Y1625" s="1014">
        <v>11.61327908069546</v>
      </c>
      <c r="Z1625" s="1014">
        <f t="shared" ca="1" si="125"/>
        <v>11.61327908069546</v>
      </c>
      <c r="AB1625" s="1014">
        <v>1.4077891320556117</v>
      </c>
      <c r="AC1625" s="1014">
        <v>3.4042366562870052</v>
      </c>
      <c r="AD1625" s="1014">
        <v>4.4042366562870052</v>
      </c>
      <c r="AE1625" s="1014">
        <v>3.3922149283949405</v>
      </c>
      <c r="AF1625" s="1014">
        <v>3.3724985252181727</v>
      </c>
      <c r="AG1625" s="1014">
        <v>3.3569924636930866</v>
      </c>
      <c r="AH1625" s="1014">
        <v>3.3372760605163188</v>
      </c>
      <c r="AI1625" s="1014">
        <v>3.3175596573395509</v>
      </c>
      <c r="AJ1625" s="1014">
        <v>3.2978432541627831</v>
      </c>
      <c r="AK1625" s="1014">
        <v>3.2754244766872649</v>
      </c>
      <c r="AL1625" s="1014">
        <v>2.2880331382895824</v>
      </c>
      <c r="AM1625" s="1014">
        <v>4.2511459849592885</v>
      </c>
      <c r="AN1625" s="1014">
        <v>3.24388912570052</v>
      </c>
      <c r="AO1625" s="1014">
        <v>3.2286603276662409</v>
      </c>
      <c r="AP1625" s="1014">
        <v>5.197487652080941</v>
      </c>
      <c r="AQ1625" s="1014">
        <v>6.1742869152711535</v>
      </c>
      <c r="AR1625" s="1014">
        <v>7.1510861784613642</v>
      </c>
      <c r="AS1625" s="1014">
        <v>8.1278854416515749</v>
      </c>
      <c r="AT1625" s="1014">
        <v>9.1046847048417856</v>
      </c>
      <c r="AU1625" s="1014">
        <v>8.0924579049318588</v>
      </c>
      <c r="AV1625" s="1014">
        <f t="shared" ca="1" si="124"/>
        <v>8.0924579049318588</v>
      </c>
      <c r="AX1625" s="88" t="str">
        <f t="shared" ca="1" si="126"/>
        <v>NEM</v>
      </c>
    </row>
    <row r="1626" spans="1:50" hidden="1">
      <c r="A1626" s="88" t="str">
        <f t="shared" ca="1" si="123"/>
        <v>NFLX</v>
      </c>
      <c r="F1626" s="1014">
        <v>1.8027210884353742</v>
      </c>
      <c r="G1626" s="1014">
        <v>3.7823129251700678</v>
      </c>
      <c r="H1626" s="1014">
        <v>4.7823129251700678</v>
      </c>
      <c r="I1626" s="1014">
        <v>4.129251700680272</v>
      </c>
      <c r="J1626" s="1014">
        <v>4.2925170068027212</v>
      </c>
      <c r="K1626" s="1014">
        <v>4.4739229024943308</v>
      </c>
      <c r="L1626" s="1014">
        <v>4.6371882086167799</v>
      </c>
      <c r="M1626" s="1014">
        <v>4.8004535147392291</v>
      </c>
      <c r="N1626" s="1014">
        <v>4.9274376417233556</v>
      </c>
      <c r="O1626" s="1014">
        <v>4.7278911564625847</v>
      </c>
      <c r="P1626" s="1014">
        <v>3.870748299319728</v>
      </c>
      <c r="Q1626" s="1014">
        <v>5.6780045351473927</v>
      </c>
      <c r="R1626" s="1014">
        <v>4.6213151927437641</v>
      </c>
      <c r="S1626" s="1014">
        <v>4.5646258503401356</v>
      </c>
      <c r="T1626" s="1014">
        <v>6.5079365079365079</v>
      </c>
      <c r="U1626" s="1014">
        <v>7.4512471655328794</v>
      </c>
      <c r="V1626" s="1014">
        <v>8.3945578231292508</v>
      </c>
      <c r="W1626" s="1014">
        <v>9.3378684807256231</v>
      </c>
      <c r="X1626" s="1014">
        <v>10.281179138321995</v>
      </c>
      <c r="Y1626" s="1014">
        <v>9.2653061224489797</v>
      </c>
      <c r="Z1626" s="1014">
        <f t="shared" ca="1" si="125"/>
        <v>9.2653061224489797</v>
      </c>
      <c r="AB1626" s="1014">
        <v>11.108767159335116</v>
      </c>
      <c r="AC1626" s="1014">
        <v>12.108767159335116</v>
      </c>
      <c r="AD1626" s="1014">
        <v>13.108767159335116</v>
      </c>
      <c r="AE1626" s="1014">
        <v>14.092934520415771</v>
      </c>
      <c r="AF1626" s="1014">
        <v>15.077101881496425</v>
      </c>
      <c r="AG1626" s="1014">
        <v>16.06126924257708</v>
      </c>
      <c r="AH1626" s="1014">
        <v>17.045436603657734</v>
      </c>
      <c r="AI1626" s="1014">
        <v>18.032761720977149</v>
      </c>
      <c r="AJ1626" s="1014">
        <v>19.020086838296564</v>
      </c>
      <c r="AK1626" s="1014">
        <v>20.007411955615982</v>
      </c>
      <c r="AL1626" s="1014">
        <v>20.007411955615982</v>
      </c>
      <c r="AM1626" s="1014">
        <v>20.007411955615982</v>
      </c>
      <c r="AN1626" s="1014">
        <v>21</v>
      </c>
      <c r="AO1626" s="1014">
        <v>21</v>
      </c>
      <c r="AP1626" s="1014">
        <v>21</v>
      </c>
      <c r="AQ1626" s="1014">
        <v>21</v>
      </c>
      <c r="AR1626" s="1014">
        <v>21</v>
      </c>
      <c r="AS1626" s="1014">
        <v>21</v>
      </c>
      <c r="AT1626" s="1014">
        <v>21</v>
      </c>
      <c r="AU1626" s="1014">
        <v>21</v>
      </c>
      <c r="AV1626" s="1014">
        <f t="shared" ca="1" si="124"/>
        <v>21</v>
      </c>
      <c r="AX1626" s="88" t="str">
        <f t="shared" ca="1" si="126"/>
        <v>NFLX</v>
      </c>
    </row>
    <row r="1627" spans="1:50" hidden="1">
      <c r="A1627" s="88" t="str">
        <f t="shared" ca="1" si="123"/>
        <v>NOTE</v>
      </c>
      <c r="F1627" s="1014">
        <v>11.399092970521542</v>
      </c>
      <c r="G1627" s="1014">
        <v>12.399092970521542</v>
      </c>
      <c r="H1627" s="1014">
        <v>13.399092970521542</v>
      </c>
      <c r="I1627" s="1014">
        <v>14.287981859410431</v>
      </c>
      <c r="J1627" s="1014">
        <v>15.176870748299319</v>
      </c>
      <c r="K1627" s="1014">
        <v>16.120181405895693</v>
      </c>
      <c r="L1627" s="1014">
        <v>17.063492063492063</v>
      </c>
      <c r="M1627" s="1014">
        <v>18.043083900226758</v>
      </c>
      <c r="N1627" s="1014">
        <v>19.022675736961453</v>
      </c>
      <c r="O1627" s="1014">
        <v>20.002267573696145</v>
      </c>
      <c r="P1627" s="1014">
        <v>20.002267573696145</v>
      </c>
      <c r="Q1627" s="1014">
        <v>20.002267573696145</v>
      </c>
      <c r="R1627" s="1014">
        <v>21</v>
      </c>
      <c r="S1627" s="1014">
        <v>21</v>
      </c>
      <c r="T1627" s="1014">
        <v>21</v>
      </c>
      <c r="U1627" s="1014">
        <v>21</v>
      </c>
      <c r="V1627" s="1014">
        <v>21</v>
      </c>
      <c r="W1627" s="1014">
        <v>21</v>
      </c>
      <c r="X1627" s="1014">
        <v>21</v>
      </c>
      <c r="Y1627" s="1014">
        <v>21</v>
      </c>
      <c r="Z1627" s="1014">
        <f t="shared" ca="1" si="125"/>
        <v>21</v>
      </c>
      <c r="AB1627" s="1014">
        <v>10.069309844016189</v>
      </c>
      <c r="AC1627" s="1014">
        <v>12.05901788854465</v>
      </c>
      <c r="AD1627" s="1014">
        <v>13.05901788854465</v>
      </c>
      <c r="AE1627" s="1014">
        <v>12.06817414865756</v>
      </c>
      <c r="AF1627" s="1014">
        <v>12.066414837373724</v>
      </c>
      <c r="AG1627" s="1014">
        <v>14.048087310360994</v>
      </c>
      <c r="AH1627" s="1014">
        <v>15.042780525570853</v>
      </c>
      <c r="AI1627" s="1014">
        <v>14.057774003163015</v>
      </c>
      <c r="AJ1627" s="1014">
        <v>14.063494504074793</v>
      </c>
      <c r="AK1627" s="1014">
        <v>14.069215004986569</v>
      </c>
      <c r="AL1627" s="1014">
        <v>13.078487981666953</v>
      </c>
      <c r="AM1627" s="1014">
        <v>12.087760958347337</v>
      </c>
      <c r="AN1627" s="1014">
        <v>13.078487981666955</v>
      </c>
      <c r="AO1627" s="1014">
        <v>13.078487981666955</v>
      </c>
      <c r="AP1627" s="1014">
        <v>13.078487981666955</v>
      </c>
      <c r="AQ1627" s="1014">
        <v>13.078487981666955</v>
      </c>
      <c r="AR1627" s="1014">
        <v>11.100319124460448</v>
      </c>
      <c r="AS1627" s="1014">
        <v>10.111234695857195</v>
      </c>
      <c r="AT1627" s="1014">
        <v>9.122150267253943</v>
      </c>
      <c r="AU1627" s="1014">
        <v>8.1330658386506904</v>
      </c>
      <c r="AV1627" s="1014">
        <f t="shared" ca="1" si="124"/>
        <v>8.1330658386506904</v>
      </c>
      <c r="AX1627" s="88" t="str">
        <f t="shared" ca="1" si="126"/>
        <v>NOTE</v>
      </c>
    </row>
    <row r="1628" spans="1:50" hidden="1">
      <c r="A1628" s="88" t="str">
        <f t="shared" ca="1" si="123"/>
        <v>PAAS</v>
      </c>
      <c r="F1628" s="1014">
        <v>10.965734441924916</v>
      </c>
      <c r="G1628" s="1014">
        <v>12.953388762912571</v>
      </c>
      <c r="H1628" s="1014">
        <v>13.953388762912571</v>
      </c>
      <c r="I1628" s="1014">
        <v>12.719828672209626</v>
      </c>
      <c r="J1628" s="1014">
        <v>12.465860418241371</v>
      </c>
      <c r="K1628" s="1014">
        <v>14.26177878558831</v>
      </c>
      <c r="L1628" s="1014">
        <v>15.150667674477198</v>
      </c>
      <c r="M1628" s="1014">
        <v>14.09851347946586</v>
      </c>
      <c r="N1628" s="1014">
        <v>14.080372889896697</v>
      </c>
      <c r="O1628" s="1014">
        <v>14.062232300327537</v>
      </c>
      <c r="P1628" s="1014">
        <v>13.064499874023682</v>
      </c>
      <c r="Q1628" s="1014">
        <v>12.066767447719826</v>
      </c>
      <c r="R1628" s="1014">
        <v>13.064499874023682</v>
      </c>
      <c r="S1628" s="1014">
        <v>13.064499874023682</v>
      </c>
      <c r="T1628" s="1014">
        <v>13.064499874023682</v>
      </c>
      <c r="U1628" s="1014">
        <v>13.064499874023682</v>
      </c>
      <c r="V1628" s="1014">
        <v>13.064499874023685</v>
      </c>
      <c r="W1628" s="1014">
        <v>13.064499874023685</v>
      </c>
      <c r="X1628" s="1014">
        <v>13.064499874023685</v>
      </c>
      <c r="Y1628" s="1014">
        <v>13.064499874023685</v>
      </c>
      <c r="Z1628" s="1014">
        <f t="shared" ca="1" si="125"/>
        <v>13.064499874023685</v>
      </c>
      <c r="AB1628" s="1014">
        <v>3.025963773518705</v>
      </c>
      <c r="AC1628" s="1014">
        <v>4.025963773518705</v>
      </c>
      <c r="AD1628" s="1014">
        <v>5.025963773518705</v>
      </c>
      <c r="AE1628" s="1014">
        <v>6.0238147449673258</v>
      </c>
      <c r="AF1628" s="1014">
        <v>7.0216657164159457</v>
      </c>
      <c r="AG1628" s="1014">
        <v>8.0195166878645665</v>
      </c>
      <c r="AH1628" s="1014">
        <v>9.0173676593131873</v>
      </c>
      <c r="AI1628" s="1014">
        <v>10.015218630761808</v>
      </c>
      <c r="AJ1628" s="1014">
        <v>11.013069602210429</v>
      </c>
      <c r="AK1628" s="1014">
        <v>10.023445805272321</v>
      </c>
      <c r="AL1628" s="1014">
        <v>9.029708421078956</v>
      </c>
      <c r="AM1628" s="1014">
        <v>9.0338220083342122</v>
      </c>
      <c r="AN1628" s="1014">
        <v>9.041585822735053</v>
      </c>
      <c r="AO1628" s="1014">
        <v>9.0480508162695603</v>
      </c>
      <c r="AP1628" s="1014">
        <v>11.039392936458134</v>
      </c>
      <c r="AQ1628" s="1014">
        <v>12.038296493319676</v>
      </c>
      <c r="AR1628" s="1014">
        <v>11.054693968715457</v>
      </c>
      <c r="AS1628" s="1014">
        <v>11.062344484844116</v>
      </c>
      <c r="AT1628" s="1014">
        <v>11.069995000972776</v>
      </c>
      <c r="AU1628" s="1014">
        <v>11.077645517101438</v>
      </c>
      <c r="AV1628" s="1014">
        <f t="shared" ca="1" si="124"/>
        <v>11.077645517101438</v>
      </c>
      <c r="AX1628" s="88" t="str">
        <f t="shared" ca="1" si="126"/>
        <v>PAAS</v>
      </c>
    </row>
    <row r="1629" spans="1:50" hidden="1">
      <c r="A1629" s="88" t="str">
        <f t="shared" ca="1" si="123"/>
        <v>PROF</v>
      </c>
      <c r="F1629" s="1014">
        <v>3.0544217687074822</v>
      </c>
      <c r="G1629" s="1014">
        <v>4.0544217687074822</v>
      </c>
      <c r="H1629" s="1014">
        <v>5.0544217687074822</v>
      </c>
      <c r="I1629" s="1014">
        <v>6.0521541950113376</v>
      </c>
      <c r="J1629" s="1014">
        <v>7.0498866213151921</v>
      </c>
      <c r="K1629" s="1014">
        <v>8.0476190476190474</v>
      </c>
      <c r="L1629" s="1014">
        <v>9.0453514739229028</v>
      </c>
      <c r="M1629" s="1014">
        <v>10.043083900226756</v>
      </c>
      <c r="N1629" s="1014">
        <v>11.040816326530612</v>
      </c>
      <c r="O1629" s="1014">
        <v>10.137314184933231</v>
      </c>
      <c r="P1629" s="1014">
        <v>9.186696900982616</v>
      </c>
      <c r="Q1629" s="1014">
        <v>9.2156714537666922</v>
      </c>
      <c r="R1629" s="1014">
        <v>11.164021164021165</v>
      </c>
      <c r="S1629" s="1014">
        <v>12.16175359032502</v>
      </c>
      <c r="T1629" s="1014">
        <v>13.159486016628875</v>
      </c>
      <c r="U1629" s="1014">
        <v>14.157218442932729</v>
      </c>
      <c r="V1629" s="1014">
        <v>13.195767195767198</v>
      </c>
      <c r="W1629" s="1014">
        <v>13.213907785336358</v>
      </c>
      <c r="X1629" s="1014">
        <v>13.232048374905521</v>
      </c>
      <c r="Y1629" s="1014">
        <v>13.250188964474683</v>
      </c>
      <c r="Z1629" s="1014">
        <f t="shared" ca="1" si="125"/>
        <v>13.250188964474683</v>
      </c>
      <c r="AB1629" s="1014">
        <v>2.1021446427788266</v>
      </c>
      <c r="AC1629" s="1014">
        <v>4.1010481996403678</v>
      </c>
      <c r="AD1629" s="1014">
        <v>3.1155343924878105</v>
      </c>
      <c r="AE1629" s="1014">
        <v>5.1029845112739478</v>
      </c>
      <c r="AF1629" s="1014">
        <v>6.0976777264838073</v>
      </c>
      <c r="AG1629" s="1014">
        <v>5.1089962599417067</v>
      </c>
      <c r="AH1629" s="1014">
        <v>5.1084935162325182</v>
      </c>
      <c r="AI1629" s="1014">
        <v>5.1079907725233298</v>
      </c>
      <c r="AJ1629" s="1014">
        <v>5.1074880288141404</v>
      </c>
      <c r="AK1629" s="1014">
        <v>5.106985285104952</v>
      </c>
      <c r="AL1629" s="1014">
        <v>4.1163505296418927</v>
      </c>
      <c r="AM1629" s="1014">
        <v>3.1257157741788326</v>
      </c>
      <c r="AN1629" s="1014">
        <v>3.1402672685807693</v>
      </c>
      <c r="AO1629" s="1014">
        <v>3.1495722456551376</v>
      </c>
      <c r="AP1629" s="1014">
        <v>5.129653699000488</v>
      </c>
      <c r="AQ1629" s="1014">
        <v>6.1243469142103466</v>
      </c>
      <c r="AR1629" s="1014">
        <v>7.1190401294202061</v>
      </c>
      <c r="AS1629" s="1014">
        <v>8.1137333446300648</v>
      </c>
      <c r="AT1629" s="1014">
        <v>9.1084265598399234</v>
      </c>
      <c r="AU1629" s="1014">
        <v>8.1403098576944117</v>
      </c>
      <c r="AV1629" s="1014">
        <f t="shared" ca="1" si="124"/>
        <v>8.1403098576944117</v>
      </c>
      <c r="AX1629" s="88" t="str">
        <f t="shared" ca="1" si="126"/>
        <v>PROF</v>
      </c>
    </row>
    <row r="1630" spans="1:50" hidden="1">
      <c r="A1630" s="88" t="str">
        <f t="shared" ca="1" si="123"/>
        <v>POET</v>
      </c>
      <c r="F1630" s="1014">
        <v>2.3832199546485242</v>
      </c>
      <c r="G1630" s="1014">
        <v>4.3809523809523796</v>
      </c>
      <c r="H1630" s="1014">
        <v>3.4874612566920242</v>
      </c>
      <c r="I1630" s="1014">
        <v>5.4319392451260562</v>
      </c>
      <c r="J1630" s="1014">
        <v>6.4296716714299116</v>
      </c>
      <c r="K1630" s="1014">
        <v>5.5157723839042498</v>
      </c>
      <c r="L1630" s="1014">
        <v>5.548618658508766</v>
      </c>
      <c r="M1630" s="1014">
        <v>5.5451837539749596</v>
      </c>
      <c r="N1630" s="1014">
        <v>5.5417488494411531</v>
      </c>
      <c r="O1630" s="1014">
        <v>5.5383139449073475</v>
      </c>
      <c r="P1630" s="1014">
        <v>4.5915683827771714</v>
      </c>
      <c r="Q1630" s="1014">
        <v>3.644822820646997</v>
      </c>
      <c r="R1630" s="1014">
        <v>3.7933824417340909</v>
      </c>
      <c r="S1630" s="1014">
        <v>3.8840853895798957</v>
      </c>
      <c r="T1630" s="1014">
        <v>5.7525661152034786</v>
      </c>
      <c r="U1630" s="1014">
        <v>6.7321579519381718</v>
      </c>
      <c r="V1630" s="1014">
        <v>7.7117497886728668</v>
      </c>
      <c r="W1630" s="1014">
        <v>8.6913416254075599</v>
      </c>
      <c r="X1630" s="1014">
        <v>9.6709334621422531</v>
      </c>
      <c r="Y1630" s="1014">
        <v>8.6505252988769481</v>
      </c>
      <c r="Z1630" s="1014">
        <f t="shared" ca="1" si="125"/>
        <v>8.6505252988769481</v>
      </c>
      <c r="AB1630" s="1014">
        <v>2.0498662339371068</v>
      </c>
      <c r="AC1630" s="1014">
        <v>4.0266654971273184</v>
      </c>
      <c r="AD1630" s="1014">
        <v>3.0398137805458716</v>
      </c>
      <c r="AE1630" s="1014">
        <v>3.04634406452961</v>
      </c>
      <c r="AF1630" s="1014">
        <v>3.0528743485133485</v>
      </c>
      <c r="AG1630" s="1014">
        <v>3.0622002266295536</v>
      </c>
      <c r="AH1630" s="1014">
        <v>3.0701283076795254</v>
      </c>
      <c r="AI1630" s="1014">
        <v>3.0780563887294972</v>
      </c>
      <c r="AJ1630" s="1014">
        <v>3.0859844697794689</v>
      </c>
      <c r="AK1630" s="1014">
        <v>3.0939125508294407</v>
      </c>
      <c r="AL1630" s="1014">
        <v>2.1183373062688089</v>
      </c>
      <c r="AM1630" s="1014">
        <v>1.1345356533762461</v>
      </c>
      <c r="AN1630" s="1014">
        <v>1.155818186435958</v>
      </c>
      <c r="AO1630" s="1014">
        <v>1.1743612667546104</v>
      </c>
      <c r="AP1630" s="1014">
        <v>3.1550287473762677</v>
      </c>
      <c r="AQ1630" s="1014">
        <v>4.1546340278464227</v>
      </c>
      <c r="AR1630" s="1014">
        <v>5.1542393083165772</v>
      </c>
      <c r="AS1630" s="1014">
        <v>6.1538445887867326</v>
      </c>
      <c r="AT1630" s="1014">
        <v>7.1534498692568871</v>
      </c>
      <c r="AU1630" s="1014">
        <v>8.1530551497270416</v>
      </c>
      <c r="AV1630" s="1014">
        <f t="shared" ca="1" si="124"/>
        <v>8.1530551497270416</v>
      </c>
      <c r="AX1630" s="88" t="str">
        <f t="shared" ca="1" si="126"/>
        <v>POET</v>
      </c>
    </row>
    <row r="1631" spans="1:50" hidden="1">
      <c r="A1631" s="88" t="str">
        <f t="shared" ca="1" si="123"/>
        <v>PW</v>
      </c>
      <c r="F1631" s="1014">
        <v>2.2743764172335594</v>
      </c>
      <c r="G1631" s="1014">
        <v>4.2176870748299313</v>
      </c>
      <c r="H1631" s="1014">
        <v>3.3241959505695764</v>
      </c>
      <c r="I1631" s="1014">
        <v>3.3751828147432539</v>
      </c>
      <c r="J1631" s="1014">
        <v>3.4261696789169309</v>
      </c>
      <c r="K1631" s="1014">
        <v>3.6835728374189909</v>
      </c>
      <c r="L1631" s="1014">
        <v>3.8468381435414396</v>
      </c>
      <c r="M1631" s="1014">
        <v>4.0101034496638892</v>
      </c>
      <c r="N1631" s="1014">
        <v>4.1733687557863375</v>
      </c>
      <c r="O1631" s="1014">
        <v>4.3366340619087866</v>
      </c>
      <c r="P1631" s="1014">
        <v>3.1529605925210316</v>
      </c>
      <c r="Q1631" s="1014">
        <v>2.1529605925210324</v>
      </c>
      <c r="R1631" s="1014">
        <v>2.167221944444722</v>
      </c>
      <c r="S1631" s="1014">
        <v>2.1732188335584945</v>
      </c>
      <c r="T1631" s="1014">
        <v>4.1626867970524319</v>
      </c>
      <c r="U1631" s="1014">
        <v>5.1604192233562873</v>
      </c>
      <c r="V1631" s="1014">
        <v>6.1581516496601418</v>
      </c>
      <c r="W1631" s="1014">
        <v>7.1558840759639963</v>
      </c>
      <c r="X1631" s="1014">
        <v>8.1536165022678517</v>
      </c>
      <c r="Y1631" s="1014">
        <v>9.1513489285717071</v>
      </c>
      <c r="Z1631" s="1014">
        <f t="shared" ca="1" si="125"/>
        <v>9.1513489285717071</v>
      </c>
      <c r="AB1631" s="1014">
        <v>10.036182623569141</v>
      </c>
      <c r="AC1631" s="1014">
        <v>11.036182623569141</v>
      </c>
      <c r="AD1631" s="1014">
        <v>10.145362464603293</v>
      </c>
      <c r="AE1631" s="1014">
        <v>12.088623515534838</v>
      </c>
      <c r="AF1631" s="1014">
        <v>13.086474486983459</v>
      </c>
      <c r="AG1631" s="1014">
        <v>14.082922011214853</v>
      </c>
      <c r="AH1631" s="1014">
        <v>15.077615226424712</v>
      </c>
      <c r="AI1631" s="1014">
        <v>16.072308441634569</v>
      </c>
      <c r="AJ1631" s="1014">
        <v>17.067001656844432</v>
      </c>
      <c r="AK1631" s="1014">
        <v>18.061694872054289</v>
      </c>
      <c r="AL1631" s="1014">
        <v>19.058142396285682</v>
      </c>
      <c r="AM1631" s="1014">
        <v>18.208910908171397</v>
      </c>
      <c r="AN1631" s="1014">
        <v>17.286071401998559</v>
      </c>
      <c r="AO1631" s="1014">
        <v>18.208910908171397</v>
      </c>
      <c r="AP1631" s="1014">
        <v>18.208910908171397</v>
      </c>
      <c r="AQ1631" s="1014">
        <v>16.350481483038834</v>
      </c>
      <c r="AR1631" s="1014">
        <v>17.279696195605112</v>
      </c>
      <c r="AS1631" s="1014">
        <v>17.279696195605112</v>
      </c>
      <c r="AT1631" s="1014">
        <v>15.402413138623379</v>
      </c>
      <c r="AU1631" s="1014">
        <v>14.463771610132511</v>
      </c>
      <c r="AV1631" s="1014">
        <f t="shared" ca="1" si="124"/>
        <v>14.463771610132511</v>
      </c>
      <c r="AX1631" s="88" t="str">
        <f t="shared" ca="1" si="126"/>
        <v>PW</v>
      </c>
    </row>
    <row r="1632" spans="1:50" hidden="1">
      <c r="A1632" s="88" t="str">
        <f t="shared" ca="1" si="123"/>
        <v>RIGL</v>
      </c>
      <c r="F1632" s="1014">
        <v>10.020408163265305</v>
      </c>
      <c r="G1632" s="1014">
        <v>11.020408163265305</v>
      </c>
      <c r="H1632" s="1014">
        <v>10.061224489795919</v>
      </c>
      <c r="I1632" s="1014">
        <v>12.038548752834467</v>
      </c>
      <c r="J1632" s="1014">
        <v>13.036281179138323</v>
      </c>
      <c r="K1632" s="1014">
        <v>14.034013605442178</v>
      </c>
      <c r="L1632" s="1014">
        <v>15.031746031746033</v>
      </c>
      <c r="M1632" s="1014">
        <v>16.029478458049887</v>
      </c>
      <c r="N1632" s="1014">
        <v>17.027210884353742</v>
      </c>
      <c r="O1632" s="1014">
        <v>18.024943310657598</v>
      </c>
      <c r="P1632" s="1014">
        <v>19.022675736961453</v>
      </c>
      <c r="Q1632" s="1014">
        <v>18.045099521289998</v>
      </c>
      <c r="R1632" s="1014">
        <v>17.157753842277653</v>
      </c>
      <c r="S1632" s="1014">
        <v>18.095253842277653</v>
      </c>
      <c r="T1632" s="1014">
        <v>18.09525384227765</v>
      </c>
      <c r="U1632" s="1014">
        <v>16.175253842277648</v>
      </c>
      <c r="V1632" s="1014">
        <v>17.135253842277649</v>
      </c>
      <c r="W1632" s="1014">
        <v>17.135253842277649</v>
      </c>
      <c r="X1632" s="1014">
        <v>15.35747606449987</v>
      </c>
      <c r="Y1632" s="1014">
        <v>14.468587175610981</v>
      </c>
      <c r="Z1632" s="1014">
        <f t="shared" ca="1" si="125"/>
        <v>14.468587175610981</v>
      </c>
      <c r="AB1632" s="1014">
        <v>9.0344646717070241</v>
      </c>
      <c r="AC1632" s="1014">
        <v>11.017934059462126</v>
      </c>
      <c r="AD1632" s="1014">
        <v>12.017934059462126</v>
      </c>
      <c r="AE1632" s="1014">
        <v>13.017539339932279</v>
      </c>
      <c r="AF1632" s="1014">
        <v>14.017144620402435</v>
      </c>
      <c r="AG1632" s="1014">
        <v>15.017100762676897</v>
      </c>
      <c r="AH1632" s="1014">
        <v>16.01705690495136</v>
      </c>
      <c r="AI1632" s="1014">
        <v>17.01701304722582</v>
      </c>
      <c r="AJ1632" s="1014">
        <v>18.01696918950028</v>
      </c>
      <c r="AK1632" s="1014">
        <v>19.016925331774743</v>
      </c>
      <c r="AL1632" s="1014">
        <v>19.016925331774743</v>
      </c>
      <c r="AM1632" s="1014">
        <v>20.0165306122449</v>
      </c>
      <c r="AN1632" s="1014">
        <v>20.0165306122449</v>
      </c>
      <c r="AO1632" s="1014">
        <v>20.0165306122449</v>
      </c>
      <c r="AP1632" s="1014">
        <v>20.0165306122449</v>
      </c>
      <c r="AQ1632" s="1014">
        <v>20.0165306122449</v>
      </c>
      <c r="AR1632" s="1014">
        <v>20.0165306122449</v>
      </c>
      <c r="AS1632" s="1014">
        <v>20.0165306122449</v>
      </c>
      <c r="AT1632" s="1014">
        <v>18.082646314724236</v>
      </c>
      <c r="AU1632" s="1014">
        <v>17.110357758998411</v>
      </c>
      <c r="AV1632" s="1014">
        <f t="shared" ca="1" si="124"/>
        <v>17.110357758998411</v>
      </c>
      <c r="AX1632" s="88" t="str">
        <f t="shared" ca="1" si="126"/>
        <v>RIGL</v>
      </c>
    </row>
    <row r="1633" spans="1:50" hidden="1">
      <c r="A1633" s="88" t="str">
        <f t="shared" ca="1" si="123"/>
        <v>RWE</v>
      </c>
      <c r="F1633" s="1014">
        <v>9.4428117913832175</v>
      </c>
      <c r="G1633" s="1014">
        <v>11.402811791383218</v>
      </c>
      <c r="H1633" s="1014">
        <v>12.402811791383218</v>
      </c>
      <c r="I1633" s="1014">
        <v>13.291700680272108</v>
      </c>
      <c r="J1633" s="1014">
        <v>14.180589569160997</v>
      </c>
      <c r="K1633" s="1014">
        <v>15.123900226757367</v>
      </c>
      <c r="L1633" s="1014">
        <v>16.103492063492062</v>
      </c>
      <c r="M1633" s="1014">
        <v>17.083083900226757</v>
      </c>
      <c r="N1633" s="1014">
        <v>18.062675736961452</v>
      </c>
      <c r="O1633" s="1014">
        <v>19.042267573696144</v>
      </c>
      <c r="P1633" s="1014">
        <v>19.042267573696144</v>
      </c>
      <c r="Q1633" s="1014">
        <v>20.04</v>
      </c>
      <c r="R1633" s="1014">
        <v>20.04</v>
      </c>
      <c r="S1633" s="1014">
        <v>20.04</v>
      </c>
      <c r="T1633" s="1014">
        <v>20.04</v>
      </c>
      <c r="U1633" s="1014">
        <v>20.04</v>
      </c>
      <c r="V1633" s="1014">
        <v>20.04</v>
      </c>
      <c r="W1633" s="1014">
        <v>20.04</v>
      </c>
      <c r="X1633" s="1014">
        <v>18.04</v>
      </c>
      <c r="Y1633" s="1014">
        <v>17.262222222222221</v>
      </c>
      <c r="Z1633" s="1014">
        <f t="shared" ca="1" si="125"/>
        <v>17.262222222222221</v>
      </c>
      <c r="AB1633" s="1014">
        <v>2.1859085703258638</v>
      </c>
      <c r="AC1633" s="1014">
        <v>4.1520525703258642</v>
      </c>
      <c r="AD1633" s="1014">
        <v>5.1520525703258642</v>
      </c>
      <c r="AE1633" s="1014">
        <v>6.1467457855357228</v>
      </c>
      <c r="AF1633" s="1014">
        <v>7.1414390007455824</v>
      </c>
      <c r="AG1633" s="1014">
        <v>8.1340270451296011</v>
      </c>
      <c r="AH1633" s="1014">
        <v>9.1287202603394597</v>
      </c>
      <c r="AI1633" s="1014">
        <v>8.140907394083559</v>
      </c>
      <c r="AJ1633" s="1014">
        <v>8.1443475685605353</v>
      </c>
      <c r="AK1633" s="1014">
        <v>8.1502938245032759</v>
      </c>
      <c r="AL1633" s="1014">
        <v>7.1602938245032739</v>
      </c>
      <c r="AM1633" s="1014">
        <v>6.1702938245032728</v>
      </c>
      <c r="AN1633" s="1014">
        <v>8.1504258362571438</v>
      </c>
      <c r="AO1633" s="1014">
        <v>9.1405578480110137</v>
      </c>
      <c r="AP1633" s="1014">
        <v>10.130689859764885</v>
      </c>
      <c r="AQ1633" s="1014">
        <v>11.120821871518755</v>
      </c>
      <c r="AR1633" s="1014">
        <v>10.130953883272625</v>
      </c>
      <c r="AS1633" s="1014">
        <v>10.131085895026494</v>
      </c>
      <c r="AT1633" s="1014">
        <v>10.131217906780364</v>
      </c>
      <c r="AU1633" s="1014">
        <v>10.131349918534235</v>
      </c>
      <c r="AV1633" s="1014">
        <f t="shared" ca="1" si="124"/>
        <v>10.131349918534235</v>
      </c>
      <c r="AX1633" s="88" t="str">
        <f t="shared" ca="1" si="126"/>
        <v>RWE</v>
      </c>
    </row>
    <row r="1634" spans="1:50" hidden="1">
      <c r="A1634" s="88" t="str">
        <f t="shared" ca="1" si="123"/>
        <v>SAP</v>
      </c>
      <c r="F1634" s="1014">
        <v>2.2925170068027207</v>
      </c>
      <c r="G1634" s="1014">
        <v>4.1814058956916096</v>
      </c>
      <c r="H1634" s="1014">
        <v>5.1814058956916096</v>
      </c>
      <c r="I1634" s="1014">
        <v>6.1609977324263028</v>
      </c>
      <c r="J1634" s="1014">
        <v>7.1405895691609977</v>
      </c>
      <c r="K1634" s="1014">
        <v>8.1383219954648514</v>
      </c>
      <c r="L1634" s="1014">
        <v>9.1360544217687067</v>
      </c>
      <c r="M1634" s="1014">
        <v>8.1393270142775496</v>
      </c>
      <c r="N1634" s="1014">
        <v>8.1398295236838969</v>
      </c>
      <c r="O1634" s="1014">
        <v>8.1846533627301348</v>
      </c>
      <c r="P1634" s="1014">
        <v>7.2095841106525711</v>
      </c>
      <c r="Q1634" s="1014">
        <v>6.5237537087508946</v>
      </c>
      <c r="R1634" s="1014">
        <v>8.3519359620443687</v>
      </c>
      <c r="S1634" s="1014">
        <v>9.3496683883482241</v>
      </c>
      <c r="T1634" s="1014">
        <v>10.34740081465208</v>
      </c>
      <c r="U1634" s="1014">
        <v>11.345133240955935</v>
      </c>
      <c r="V1634" s="1014">
        <v>10.359394592879623</v>
      </c>
      <c r="W1634" s="1014">
        <v>10.365391481993395</v>
      </c>
      <c r="X1634" s="1014">
        <v>10.371388371107166</v>
      </c>
      <c r="Y1634" s="1014">
        <v>10.377385260220938</v>
      </c>
      <c r="Z1634" s="1014">
        <f t="shared" ca="1" si="125"/>
        <v>10.377385260220938</v>
      </c>
      <c r="AB1634" s="1014">
        <v>7.0942063944563829</v>
      </c>
      <c r="AC1634" s="1014">
        <v>9.0888996096662424</v>
      </c>
      <c r="AD1634" s="1014">
        <v>10.088899609666242</v>
      </c>
      <c r="AE1634" s="1014">
        <v>9.1715220652507128</v>
      </c>
      <c r="AF1634" s="1014">
        <v>9.2101799006478746</v>
      </c>
      <c r="AG1634" s="1014">
        <v>9.24883773604504</v>
      </c>
      <c r="AH1634" s="1014">
        <v>9.2853904006163628</v>
      </c>
      <c r="AI1634" s="1014">
        <v>9.3219430651876856</v>
      </c>
      <c r="AJ1634" s="1014">
        <v>9.3584957297590083</v>
      </c>
      <c r="AK1634" s="1014">
        <v>9.3950483943303329</v>
      </c>
      <c r="AL1634" s="1014">
        <v>8.4390130145176379</v>
      </c>
      <c r="AM1634" s="1014">
        <v>8.4703027520243594</v>
      </c>
      <c r="AN1634" s="1014">
        <v>7.5227093394515689</v>
      </c>
      <c r="AO1634" s="1014">
        <v>7.5582200605782424</v>
      </c>
      <c r="AP1634" s="1014">
        <v>7.5799823515376881</v>
      </c>
      <c r="AQ1634" s="1014">
        <v>6.6212937402613319</v>
      </c>
      <c r="AR1634" s="1014">
        <v>7.579982351537689</v>
      </c>
      <c r="AS1634" s="1014">
        <v>7.579982351537689</v>
      </c>
      <c r="AT1634" s="1014">
        <v>5.6549043078332133</v>
      </c>
      <c r="AU1634" s="1014">
        <v>4.6974433296854503</v>
      </c>
      <c r="AV1634" s="1014">
        <f t="shared" ca="1" si="124"/>
        <v>4.6974433296854503</v>
      </c>
      <c r="AX1634" s="88" t="str">
        <f t="shared" ca="1" si="126"/>
        <v>SAP</v>
      </c>
    </row>
    <row r="1635" spans="1:50" hidden="1">
      <c r="A1635" s="88" t="str">
        <f t="shared" ca="1" si="123"/>
        <v>SHECY</v>
      </c>
      <c r="F1635" s="1014">
        <v>7.0816326530612237</v>
      </c>
      <c r="G1635" s="1014">
        <v>9.0612244897959187</v>
      </c>
      <c r="H1635" s="1014">
        <v>10.061224489795919</v>
      </c>
      <c r="I1635" s="1014">
        <v>9.2811791383219955</v>
      </c>
      <c r="J1635" s="1014">
        <v>9.3900226757369598</v>
      </c>
      <c r="K1635" s="1014">
        <v>9.4988662131519241</v>
      </c>
      <c r="L1635" s="1014">
        <v>9.6077097505668902</v>
      </c>
      <c r="M1635" s="1014">
        <v>9.7165532879818564</v>
      </c>
      <c r="N1635" s="1014">
        <v>9.8253968253968225</v>
      </c>
      <c r="O1635" s="1014">
        <v>9.9342403628117886</v>
      </c>
      <c r="P1635" s="1014">
        <v>9.0453514739228993</v>
      </c>
      <c r="Q1635" s="1014">
        <v>9.1360544217687032</v>
      </c>
      <c r="R1635" s="1014">
        <v>8.0338321995464828</v>
      </c>
      <c r="S1635" s="1014">
        <v>8.0360090702947833</v>
      </c>
      <c r="T1635" s="1014">
        <v>8.251519274376415</v>
      </c>
      <c r="U1635" s="1014">
        <v>7.1716581632653016</v>
      </c>
      <c r="V1635" s="1014">
        <v>8.1560331632653025</v>
      </c>
      <c r="W1635" s="1014">
        <v>8.1560331632653025</v>
      </c>
      <c r="X1635" s="1014">
        <v>6.1629535784902183</v>
      </c>
      <c r="Y1635" s="1014">
        <v>5.4553513590434433</v>
      </c>
      <c r="Z1635" s="1014">
        <f t="shared" ca="1" si="125"/>
        <v>5.4553513590434433</v>
      </c>
      <c r="AB1635" s="1014">
        <v>9.0011403008639981</v>
      </c>
      <c r="AC1635" s="1014">
        <v>11.000745581334153</v>
      </c>
      <c r="AD1635" s="1014">
        <v>12.000745581334153</v>
      </c>
      <c r="AE1635" s="1014">
        <v>11.013980187257449</v>
      </c>
      <c r="AF1635" s="1014">
        <v>11.020575561356328</v>
      </c>
      <c r="AG1635" s="1014">
        <v>11.019269700887303</v>
      </c>
      <c r="AH1635" s="1014">
        <v>11.021914457702231</v>
      </c>
      <c r="AI1635" s="1014">
        <v>11.024559214517158</v>
      </c>
      <c r="AJ1635" s="1014">
        <v>11.027203971332085</v>
      </c>
      <c r="AK1635" s="1014">
        <v>13.024471499066081</v>
      </c>
      <c r="AL1635" s="1014">
        <v>11.029848728147012</v>
      </c>
      <c r="AM1635" s="1014">
        <v>11.03249348496194</v>
      </c>
      <c r="AN1635" s="1014">
        <v>10.038693759310364</v>
      </c>
      <c r="AO1635" s="1014">
        <v>9.0431382037548094</v>
      </c>
      <c r="AP1635" s="1014">
        <v>8.0519722229592023</v>
      </c>
      <c r="AQ1635" s="1014">
        <v>7.0586114547836196</v>
      </c>
      <c r="AR1635" s="1014">
        <v>8.0519722229592023</v>
      </c>
      <c r="AS1635" s="1014">
        <v>8.0519722229592023</v>
      </c>
      <c r="AT1635" s="1014">
        <v>8.0519722229592006</v>
      </c>
      <c r="AU1635" s="1014">
        <v>8.0519722229592006</v>
      </c>
      <c r="AV1635" s="1014">
        <f t="shared" ca="1" si="124"/>
        <v>8.0519722229592006</v>
      </c>
      <c r="AX1635" s="88" t="str">
        <f t="shared" ca="1" si="126"/>
        <v>SHECY</v>
      </c>
    </row>
    <row r="1636" spans="1:50" hidden="1">
      <c r="A1636" s="88" t="str">
        <f t="shared" ca="1" si="123"/>
        <v>SSYS</v>
      </c>
      <c r="F1636" s="1014">
        <v>9.1496598639455762</v>
      </c>
      <c r="G1636" s="1014">
        <v>11.147392290249432</v>
      </c>
      <c r="H1636" s="1014">
        <v>12.147392290249432</v>
      </c>
      <c r="I1636" s="1014">
        <v>11.090702947845804</v>
      </c>
      <c r="J1636" s="1014">
        <v>11.034013605442176</v>
      </c>
      <c r="K1636" s="1014">
        <v>11.09360544217687</v>
      </c>
      <c r="L1636" s="1014">
        <v>11.164716553287979</v>
      </c>
      <c r="M1636" s="1014">
        <v>11.327981859410428</v>
      </c>
      <c r="N1636" s="1014">
        <v>11.436825396825393</v>
      </c>
      <c r="O1636" s="1014">
        <v>13.323446712018137</v>
      </c>
      <c r="P1636" s="1014">
        <v>11.436825396825393</v>
      </c>
      <c r="Q1636" s="1014">
        <v>11.418684807256234</v>
      </c>
      <c r="R1636" s="1014">
        <v>10.439092970521541</v>
      </c>
      <c r="S1636" s="1014">
        <v>9.4595011337868478</v>
      </c>
      <c r="T1636" s="1014">
        <v>8.4946485260770999</v>
      </c>
      <c r="U1636" s="1014">
        <v>7.5224263038548749</v>
      </c>
      <c r="V1636" s="1014">
        <v>8.4946485260770963</v>
      </c>
      <c r="W1636" s="1014">
        <v>8.4946485260770963</v>
      </c>
      <c r="X1636" s="1014">
        <v>8.4946485260770963</v>
      </c>
      <c r="Y1636" s="1014">
        <v>8.4946485260770963</v>
      </c>
      <c r="Z1636" s="1014">
        <f t="shared" ca="1" si="125"/>
        <v>8.4946485260770963</v>
      </c>
      <c r="AB1636" s="1014">
        <v>1.0727723432035785</v>
      </c>
      <c r="AC1636" s="1014">
        <v>3.0709460593260127</v>
      </c>
      <c r="AD1636" s="1014">
        <v>4.0709460593260127</v>
      </c>
      <c r="AE1636" s="1014">
        <v>3.0660848080622696</v>
      </c>
      <c r="AF1636" s="1014">
        <v>3.0610007900353282</v>
      </c>
      <c r="AG1636" s="1014">
        <v>3.0590745282471481</v>
      </c>
      <c r="AH1636" s="1014">
        <v>3.0584848670381604</v>
      </c>
      <c r="AI1636" s="1014">
        <v>5.0554447714339856</v>
      </c>
      <c r="AJ1636" s="1014">
        <v>6.0532957428826055</v>
      </c>
      <c r="AK1636" s="1014">
        <v>7.0511467143312263</v>
      </c>
      <c r="AL1636" s="1014">
        <v>7.0511467143312263</v>
      </c>
      <c r="AM1636" s="1014">
        <v>8.045839929541085</v>
      </c>
      <c r="AN1636" s="1014">
        <v>9.0405331447509436</v>
      </c>
      <c r="AO1636" s="1014">
        <v>10.035226359960804</v>
      </c>
      <c r="AP1636" s="1014">
        <v>11.029919575170663</v>
      </c>
      <c r="AQ1636" s="1014">
        <v>10.024612790380521</v>
      </c>
      <c r="AR1636" s="1014">
        <v>12.019306005590382</v>
      </c>
      <c r="AS1636" s="1014">
        <v>13.01399922080024</v>
      </c>
      <c r="AT1636" s="1014">
        <v>14.008692436010099</v>
      </c>
      <c r="AU1636" s="1014">
        <v>15.003385651219959</v>
      </c>
      <c r="AV1636" s="1014">
        <f t="shared" ca="1" si="124"/>
        <v>15.003385651219959</v>
      </c>
      <c r="AX1636" s="88" t="str">
        <f t="shared" ca="1" si="126"/>
        <v>SSYS</v>
      </c>
    </row>
    <row r="1637" spans="1:50" hidden="1">
      <c r="A1637" s="88" t="str">
        <f t="shared" ca="1" si="123"/>
        <v>TSLA</v>
      </c>
      <c r="F1637" s="1014">
        <v>1.1713277903754089</v>
      </c>
      <c r="G1637" s="1014">
        <v>3.1219450743260264</v>
      </c>
      <c r="H1637" s="1014">
        <v>4.1219450743260264</v>
      </c>
      <c r="I1637" s="1014">
        <v>3.1262282690854115</v>
      </c>
      <c r="J1637" s="1014">
        <v>3.1181657848324509</v>
      </c>
      <c r="K1637" s="1014">
        <v>3.1534140279688354</v>
      </c>
      <c r="L1637" s="1014">
        <v>3.176077202195128</v>
      </c>
      <c r="M1637" s="1014">
        <v>5.1488788805765449</v>
      </c>
      <c r="N1637" s="1014">
        <v>6.1466113068804002</v>
      </c>
      <c r="O1637" s="1014">
        <v>7.1443437331842548</v>
      </c>
      <c r="P1637" s="1014">
        <v>7.1443437331842556</v>
      </c>
      <c r="Q1637" s="1014">
        <v>8.142076159488111</v>
      </c>
      <c r="R1637" s="1014">
        <v>9.1398085857919646</v>
      </c>
      <c r="S1637" s="1014">
        <v>10.13754101209582</v>
      </c>
      <c r="T1637" s="1014">
        <v>11.135273438399675</v>
      </c>
      <c r="U1637" s="1014">
        <v>10.164255864703531</v>
      </c>
      <c r="V1637" s="1014">
        <v>12.146363291007384</v>
      </c>
      <c r="W1637" s="1014">
        <v>13.14409571731124</v>
      </c>
      <c r="X1637" s="1014">
        <v>14.141828143615093</v>
      </c>
      <c r="Y1637" s="1014">
        <v>15.139560569918949</v>
      </c>
      <c r="Z1637" s="1014">
        <f t="shared" ca="1" si="125"/>
        <v>15.139560569918949</v>
      </c>
      <c r="AB1637" s="1014">
        <v>3.0157887811938071</v>
      </c>
      <c r="AC1637" s="1014">
        <v>4.0157887811938071</v>
      </c>
      <c r="AD1637" s="1014">
        <v>5.0157887811938071</v>
      </c>
      <c r="AE1637" s="1014">
        <v>6.0146923380553483</v>
      </c>
      <c r="AF1637" s="1014">
        <v>7.0135958949168895</v>
      </c>
      <c r="AG1637" s="1014">
        <v>8.0124994517784316</v>
      </c>
      <c r="AH1637" s="1014">
        <v>9.0114030086399719</v>
      </c>
      <c r="AI1637" s="1014">
        <v>10.010306565501512</v>
      </c>
      <c r="AJ1637" s="1014">
        <v>11.009210122363054</v>
      </c>
      <c r="AK1637" s="1014">
        <v>12.008815402833209</v>
      </c>
      <c r="AL1637" s="1014">
        <v>12.008815402833209</v>
      </c>
      <c r="AM1637" s="1014">
        <v>13.00877154510767</v>
      </c>
      <c r="AN1637" s="1014">
        <v>12.007821204679416</v>
      </c>
      <c r="AO1637" s="1014">
        <v>12.006797812896059</v>
      </c>
      <c r="AP1637" s="1014">
        <v>14.005628318402497</v>
      </c>
      <c r="AQ1637" s="1014">
        <v>15.004531875264039</v>
      </c>
      <c r="AR1637" s="1014">
        <v>16.003435432125581</v>
      </c>
      <c r="AS1637" s="1014">
        <v>17.00233898898712</v>
      </c>
      <c r="AT1637" s="1014">
        <v>18.001242545848662</v>
      </c>
      <c r="AU1637" s="1014">
        <v>19.000146102710204</v>
      </c>
      <c r="AV1637" s="1014">
        <f t="shared" ca="1" si="124"/>
        <v>19.000146102710204</v>
      </c>
      <c r="AX1637" s="88" t="str">
        <f t="shared" ca="1" si="126"/>
        <v>TSLA</v>
      </c>
    </row>
    <row r="1638" spans="1:50" hidden="1">
      <c r="A1638" s="88" t="str">
        <f t="shared" ca="1" si="123"/>
        <v>TSM</v>
      </c>
      <c r="F1638" s="1014">
        <v>3.4897959183673466</v>
      </c>
      <c r="G1638" s="1014">
        <v>4.4897959183673466</v>
      </c>
      <c r="H1638" s="1014">
        <v>5.4897959183673466</v>
      </c>
      <c r="I1638" s="1014">
        <v>6.487528344671202</v>
      </c>
      <c r="J1638" s="1014">
        <v>7.4852607709750565</v>
      </c>
      <c r="K1638" s="1014">
        <v>8.4829931972789119</v>
      </c>
      <c r="L1638" s="1014">
        <v>9.4807256235827673</v>
      </c>
      <c r="M1638" s="1014">
        <v>10.478458049886621</v>
      </c>
      <c r="N1638" s="1014">
        <v>11.476190476190476</v>
      </c>
      <c r="O1638" s="1014">
        <v>12.47392290249433</v>
      </c>
      <c r="P1638" s="1014">
        <v>12.473922902494332</v>
      </c>
      <c r="Q1638" s="1014">
        <v>13.453514739229025</v>
      </c>
      <c r="R1638" s="1014">
        <v>12.396825396825397</v>
      </c>
      <c r="S1638" s="1014">
        <v>12.34013605442177</v>
      </c>
      <c r="T1638" s="1014">
        <v>14.28344671201814</v>
      </c>
      <c r="U1638" s="1014">
        <v>15.226757369614512</v>
      </c>
      <c r="V1638" s="1014">
        <v>16.170068027210885</v>
      </c>
      <c r="W1638" s="1014">
        <v>17.113378684807255</v>
      </c>
      <c r="X1638" s="1014">
        <v>18.056689342403629</v>
      </c>
      <c r="Y1638" s="1014">
        <v>19</v>
      </c>
      <c r="Z1638" s="1014">
        <f t="shared" ca="1" si="125"/>
        <v>19</v>
      </c>
      <c r="AB1638" s="1014">
        <v>1.1291464760317527</v>
      </c>
      <c r="AC1638" s="1014">
        <v>3.1147464760317529</v>
      </c>
      <c r="AD1638" s="1014">
        <v>4.1147464760317529</v>
      </c>
      <c r="AE1638" s="1014">
        <v>3.1122115818110005</v>
      </c>
      <c r="AF1638" s="1014">
        <v>3.109167896816321</v>
      </c>
      <c r="AG1638" s="1014">
        <v>3.1051888685433453</v>
      </c>
      <c r="AH1638" s="1014">
        <v>3.1008003573987506</v>
      </c>
      <c r="AI1638" s="1014">
        <v>3.0966023595421817</v>
      </c>
      <c r="AJ1638" s="1014">
        <v>3.0933616904545196</v>
      </c>
      <c r="AK1638" s="1014">
        <v>3.0901210213668584</v>
      </c>
      <c r="AL1638" s="1014">
        <v>2.0898914529554715</v>
      </c>
      <c r="AM1638" s="1014">
        <v>2.0855029418108773</v>
      </c>
      <c r="AN1638" s="1014">
        <v>2.0827128787543359</v>
      </c>
      <c r="AO1638" s="1014">
        <v>2.0780710062408474</v>
      </c>
      <c r="AP1638" s="1014">
        <v>4.0678889675223724</v>
      </c>
      <c r="AQ1638" s="1014">
        <v>3.0646092433113492</v>
      </c>
      <c r="AR1638" s="1014">
        <v>5.0551311719928886</v>
      </c>
      <c r="AS1638" s="1014">
        <v>6.0477192163769065</v>
      </c>
      <c r="AT1638" s="1014">
        <v>7.0403072607609243</v>
      </c>
      <c r="AU1638" s="1014">
        <v>8.0328953051449439</v>
      </c>
      <c r="AV1638" s="1014">
        <f t="shared" ca="1" si="124"/>
        <v>8.0328953051449439</v>
      </c>
      <c r="AX1638" s="88" t="str">
        <f t="shared" ca="1" si="126"/>
        <v>TSM</v>
      </c>
    </row>
    <row r="1639" spans="1:50" hidden="1">
      <c r="A1639" s="88" t="str">
        <f t="shared" ca="1" si="123"/>
        <v>UN0</v>
      </c>
      <c r="F1639" s="1014">
        <v>2.2935904144695356</v>
      </c>
      <c r="G1639" s="1014">
        <v>4.1456614203866948</v>
      </c>
      <c r="H1639" s="1014">
        <v>5.1456614203866948</v>
      </c>
      <c r="I1639" s="1014">
        <v>4.3656160689127734</v>
      </c>
      <c r="J1639" s="1014">
        <v>4.4744596063277404</v>
      </c>
      <c r="K1639" s="1014">
        <v>4.700181267541244</v>
      </c>
      <c r="L1639" s="1014">
        <v>4.8493232772863184</v>
      </c>
      <c r="M1639" s="1014">
        <v>4.8323753216334691</v>
      </c>
      <c r="N1639" s="1014">
        <v>4.9166129382487433</v>
      </c>
      <c r="O1639" s="1014">
        <v>5.1669405202619405</v>
      </c>
      <c r="P1639" s="1014">
        <v>4.3173903472515578</v>
      </c>
      <c r="Q1639" s="1014">
        <v>4.4207010048479294</v>
      </c>
      <c r="R1639" s="1014">
        <v>4.4695898937368188</v>
      </c>
      <c r="S1639" s="1014">
        <v>4.5184787826257073</v>
      </c>
      <c r="T1639" s="1014">
        <v>6.2473676715145965</v>
      </c>
      <c r="U1639" s="1014">
        <v>5.2162565604034858</v>
      </c>
      <c r="V1639" s="1014">
        <v>7.0651454492923742</v>
      </c>
      <c r="W1639" s="1014">
        <v>7.9540343381812635</v>
      </c>
      <c r="X1639" s="1014">
        <v>8.8429232270701519</v>
      </c>
      <c r="Y1639" s="1014">
        <v>9.7318121159590412</v>
      </c>
      <c r="Z1639" s="1014">
        <f t="shared" ca="1" si="125"/>
        <v>9.7318121159590412</v>
      </c>
      <c r="AB1639" s="1014">
        <v>9.3041184228231266</v>
      </c>
      <c r="AC1639" s="1014">
        <v>11.302228063654885</v>
      </c>
      <c r="AD1639" s="1014">
        <v>12.302228063654885</v>
      </c>
      <c r="AE1639" s="1014">
        <v>11.299829993387652</v>
      </c>
      <c r="AF1639" s="1014">
        <v>11.280188784665157</v>
      </c>
      <c r="AG1639" s="1014">
        <v>11.255284648878058</v>
      </c>
      <c r="AH1639" s="1014">
        <v>11.235643440155565</v>
      </c>
      <c r="AI1639" s="1014">
        <v>11.216002231433068</v>
      </c>
      <c r="AJ1639" s="1014">
        <v>11.196361022710574</v>
      </c>
      <c r="AK1639" s="1014">
        <v>11.181433537077559</v>
      </c>
      <c r="AL1639" s="1014">
        <v>10.20103353707756</v>
      </c>
      <c r="AM1639" s="1014">
        <v>10.183749189899805</v>
      </c>
      <c r="AN1639" s="1014">
        <v>11.164149189899806</v>
      </c>
      <c r="AO1639" s="1014">
        <v>11.164149189899806</v>
      </c>
      <c r="AP1639" s="1014">
        <v>11.164149189899797</v>
      </c>
      <c r="AQ1639" s="1014">
        <v>11.164149189899797</v>
      </c>
      <c r="AR1639" s="1014">
        <v>11.164149189899796</v>
      </c>
      <c r="AS1639" s="1014">
        <v>11.164149189899796</v>
      </c>
      <c r="AT1639" s="1014">
        <v>11.164149189899801</v>
      </c>
      <c r="AU1639" s="1014">
        <v>11.164149189899801</v>
      </c>
      <c r="AV1639" s="1014">
        <f t="shared" ca="1" si="124"/>
        <v>11.164149189899801</v>
      </c>
      <c r="AX1639" s="88" t="str">
        <f t="shared" ca="1" si="126"/>
        <v>UN0</v>
      </c>
    </row>
    <row r="1640" spans="1:50" hidden="1">
      <c r="A1640" s="88" t="str">
        <f t="shared" ca="1" si="123"/>
        <v>UNIT</v>
      </c>
      <c r="F1640" s="1014">
        <v>9.3864925471573688</v>
      </c>
      <c r="G1640" s="1014">
        <v>11.383722464054875</v>
      </c>
      <c r="H1640" s="1014">
        <v>12.383722464054875</v>
      </c>
      <c r="I1640" s="1014">
        <v>12.252203189678458</v>
      </c>
      <c r="J1640" s="1014">
        <v>12.676239470857597</v>
      </c>
      <c r="K1640" s="1014">
        <v>13.063994572898412</v>
      </c>
      <c r="L1640" s="1014">
        <v>13.451749674939229</v>
      </c>
      <c r="M1640" s="1014">
        <v>13.839504776980046</v>
      </c>
      <c r="N1640" s="1014">
        <v>14.227259879020862</v>
      </c>
      <c r="O1640" s="1014">
        <v>14.615014981061679</v>
      </c>
      <c r="P1640" s="1014">
        <v>14.059459425506123</v>
      </c>
      <c r="Q1640" s="1014">
        <v>14.44721452754694</v>
      </c>
      <c r="R1640" s="1014">
        <v>15.002770083102495</v>
      </c>
      <c r="S1640" s="1014">
        <v>15.002770083102495</v>
      </c>
      <c r="T1640" s="1014">
        <v>15.002770083102494</v>
      </c>
      <c r="U1640" s="1014">
        <v>15.002770083102494</v>
      </c>
      <c r="V1640" s="1014">
        <v>15.002770083102495</v>
      </c>
      <c r="W1640" s="1014">
        <v>15.002770083102495</v>
      </c>
      <c r="X1640" s="1014">
        <v>15.002770083102494</v>
      </c>
      <c r="Y1640" s="1014">
        <v>15.002770083102494</v>
      </c>
      <c r="Z1640" s="1014">
        <f t="shared" ca="1" si="125"/>
        <v>15.002770083102494</v>
      </c>
      <c r="AB1640" s="1014">
        <v>11.000350861804307</v>
      </c>
      <c r="AC1640" s="1014">
        <v>12.000350861804307</v>
      </c>
      <c r="AD1640" s="1014">
        <v>13.000350861804307</v>
      </c>
      <c r="AE1640" s="1014">
        <v>12.001716668108843</v>
      </c>
      <c r="AF1640" s="1014">
        <v>12.001124607704943</v>
      </c>
      <c r="AG1640" s="1014">
        <v>12.001159064647743</v>
      </c>
      <c r="AH1640" s="1014">
        <v>12.001193521590542</v>
      </c>
      <c r="AI1640" s="1014">
        <v>12.001227978533342</v>
      </c>
      <c r="AJ1640" s="1014">
        <v>12.001262435476141</v>
      </c>
      <c r="AK1640" s="1014">
        <v>12.00129689241894</v>
      </c>
      <c r="AL1640" s="1014">
        <v>12.00133134936174</v>
      </c>
      <c r="AM1640" s="1014">
        <v>11.001409664030078</v>
      </c>
      <c r="AN1640" s="1014">
        <v>10.00538946152796</v>
      </c>
      <c r="AO1640" s="1014">
        <v>9.0060050335440227</v>
      </c>
      <c r="AP1640" s="1014">
        <v>10.004682719494436</v>
      </c>
      <c r="AQ1640" s="1014">
        <v>8.0061436398742671</v>
      </c>
      <c r="AR1640" s="1014">
        <v>7.0068741000641879</v>
      </c>
      <c r="AS1640" s="1014">
        <v>6.0076045602541077</v>
      </c>
      <c r="AT1640" s="1014">
        <v>5.0083350204440276</v>
      </c>
      <c r="AU1640" s="1014">
        <v>4.0090654806339519</v>
      </c>
      <c r="AV1640" s="1014">
        <f t="shared" ca="1" si="124"/>
        <v>4.0090654806339519</v>
      </c>
      <c r="AX1640" s="88" t="str">
        <f t="shared" ca="1" si="126"/>
        <v>UNIT</v>
      </c>
    </row>
    <row r="1641" spans="1:50" hidden="1">
      <c r="A1641" s="88" t="str">
        <f t="shared" ca="1" si="123"/>
        <v>AVGO</v>
      </c>
      <c r="F1641" s="1014">
        <v>11.380952380952381</v>
      </c>
      <c r="G1641" s="1014">
        <v>12.380952380952381</v>
      </c>
      <c r="H1641" s="1014">
        <v>13.380952380952381</v>
      </c>
      <c r="I1641" s="1014">
        <v>12.276761685066184</v>
      </c>
      <c r="J1641" s="1014">
        <v>12.169110781567531</v>
      </c>
      <c r="K1641" s="1014">
        <v>12.152162825914683</v>
      </c>
      <c r="L1641" s="1014">
        <v>12.135214870261834</v>
      </c>
      <c r="M1641" s="1014">
        <v>12.136037857408759</v>
      </c>
      <c r="N1641" s="1014">
        <v>12.127975373155799</v>
      </c>
      <c r="O1641" s="1014">
        <v>12.119912888902837</v>
      </c>
      <c r="P1641" s="1014">
        <v>12.075569225511554</v>
      </c>
      <c r="Q1641" s="1014">
        <v>11.285445768721431</v>
      </c>
      <c r="R1641" s="1014">
        <v>10.67433465761032</v>
      </c>
      <c r="S1641" s="1014">
        <v>9.5043346576103183</v>
      </c>
      <c r="T1641" s="1014">
        <v>10.464334657610319</v>
      </c>
      <c r="U1641" s="1014">
        <v>8.4643346576103209</v>
      </c>
      <c r="V1641" s="1014">
        <v>8.0816186082276058</v>
      </c>
      <c r="W1641" s="1014">
        <v>7.3902605835362483</v>
      </c>
      <c r="X1641" s="1014">
        <v>6.6989025588448907</v>
      </c>
      <c r="Y1641" s="1014">
        <v>6.0075445341535332</v>
      </c>
      <c r="Z1641" s="1014">
        <f t="shared" ca="1" si="125"/>
        <v>6.0075445341535332</v>
      </c>
      <c r="AB1641" s="1014">
        <v>4.2445068198763201</v>
      </c>
      <c r="AC1641" s="1014">
        <v>5.2445068198763201</v>
      </c>
      <c r="AD1641" s="1014">
        <v>6.2445068198763201</v>
      </c>
      <c r="AE1641" s="1014">
        <v>5.2292897549797503</v>
      </c>
      <c r="AF1641" s="1014">
        <v>5.2137649030717927</v>
      </c>
      <c r="AG1641" s="1014">
        <v>7.194115859097991</v>
      </c>
      <c r="AH1641" s="1014">
        <v>6.1820639385151299</v>
      </c>
      <c r="AI1641" s="1014">
        <v>6.166719061711726</v>
      </c>
      <c r="AJ1641" s="1014">
        <v>6.1520754834344729</v>
      </c>
      <c r="AK1641" s="1014">
        <v>6.1374319051572197</v>
      </c>
      <c r="AL1641" s="1014">
        <v>5.1375577689069765</v>
      </c>
      <c r="AM1641" s="1014">
        <v>5.1212116175037714</v>
      </c>
      <c r="AN1641" s="1014">
        <v>4.1247361065156234</v>
      </c>
      <c r="AO1641" s="1014">
        <v>4.111578854040987</v>
      </c>
      <c r="AP1641" s="1014">
        <v>4.0968515470134168</v>
      </c>
      <c r="AQ1641" s="1014">
        <v>4.0829092672623135</v>
      </c>
      <c r="AR1641" s="1014">
        <v>6.0651862691747258</v>
      </c>
      <c r="AS1641" s="1014">
        <v>7.0493536302553794</v>
      </c>
      <c r="AT1641" s="1014">
        <v>8.033520991336033</v>
      </c>
      <c r="AU1641" s="1014">
        <v>9.0176883524166875</v>
      </c>
      <c r="AV1641" s="1014">
        <f t="shared" ca="1" si="124"/>
        <v>9.0176883524166875</v>
      </c>
      <c r="AX1641" s="88" t="str">
        <f t="shared" ca="1" si="126"/>
        <v>AVGO</v>
      </c>
    </row>
    <row r="1642" spans="1:50" hidden="1">
      <c r="A1642" s="88" t="str">
        <f t="shared" ca="1" si="123"/>
        <v>VLVLY</v>
      </c>
      <c r="F1642" s="1014">
        <v>4.7052154195011333</v>
      </c>
      <c r="G1642" s="1014">
        <v>5.7052154195011333</v>
      </c>
      <c r="H1642" s="1014">
        <v>6.7052154195011333</v>
      </c>
      <c r="I1642" s="1014">
        <v>5.6893424036281175</v>
      </c>
      <c r="J1642" s="1014">
        <v>5.6530612244897958</v>
      </c>
      <c r="K1642" s="1014">
        <v>7.5759637188208604</v>
      </c>
      <c r="L1642" s="1014">
        <v>6.7188208616780045</v>
      </c>
      <c r="M1642" s="1014">
        <v>6.7800453514739223</v>
      </c>
      <c r="N1642" s="1014">
        <v>6.8412698412698418</v>
      </c>
      <c r="O1642" s="1014">
        <v>6.9024943310657596</v>
      </c>
      <c r="P1642" s="1014">
        <v>5.9841269841269842</v>
      </c>
      <c r="Q1642" s="1014">
        <v>5.8623339142819662</v>
      </c>
      <c r="R1642" s="1014">
        <v>5.0762916736942723</v>
      </c>
      <c r="S1642" s="1014">
        <v>5.1307134424017553</v>
      </c>
      <c r="T1642" s="1014">
        <v>4.9629129888870152</v>
      </c>
      <c r="U1642" s="1014">
        <v>4.9062236464833875</v>
      </c>
      <c r="V1642" s="1014">
        <v>6.8495343040797598</v>
      </c>
      <c r="W1642" s="1014">
        <v>7.7928449616761313</v>
      </c>
      <c r="X1642" s="1014">
        <v>8.7361556192725018</v>
      </c>
      <c r="Y1642" s="1014">
        <v>9.679466276868876</v>
      </c>
      <c r="Z1642" s="1014">
        <f t="shared" ca="1" si="125"/>
        <v>9.679466276868876</v>
      </c>
      <c r="AB1642" s="1014">
        <v>10.003461064829438</v>
      </c>
      <c r="AC1642" s="1014">
        <v>12.002936619867024</v>
      </c>
      <c r="AD1642" s="1014">
        <v>13.002936619867024</v>
      </c>
      <c r="AE1642" s="1014">
        <v>14.002541900337178</v>
      </c>
      <c r="AF1642" s="1014">
        <v>15.002147180807333</v>
      </c>
      <c r="AG1642" s="1014">
        <v>16.002103323081798</v>
      </c>
      <c r="AH1642" s="1014">
        <v>17.001708603551947</v>
      </c>
      <c r="AI1642" s="1014">
        <v>18.001313884022103</v>
      </c>
      <c r="AJ1642" s="1014">
        <v>19.000919164492259</v>
      </c>
      <c r="AK1642" s="1014">
        <v>20.000524444962416</v>
      </c>
      <c r="AL1642" s="1014">
        <v>18.011589262939331</v>
      </c>
      <c r="AM1642" s="1014">
        <v>17.014945742839764</v>
      </c>
      <c r="AN1642" s="1014">
        <v>16.019390187284209</v>
      </c>
      <c r="AO1642" s="1014">
        <v>15.023834631728654</v>
      </c>
      <c r="AP1642" s="1014">
        <v>16.019390187284209</v>
      </c>
      <c r="AQ1642" s="1014">
        <v>14.030455005261125</v>
      </c>
      <c r="AR1642" s="1014">
        <v>13.041451521892501</v>
      </c>
      <c r="AS1642" s="1014">
        <v>12.049715984702418</v>
      </c>
      <c r="AT1642" s="1014">
        <v>11.057980447512335</v>
      </c>
      <c r="AU1642" s="1014">
        <v>10.066244910322252</v>
      </c>
      <c r="AV1642" s="1014">
        <f t="shared" ca="1" si="124"/>
        <v>10.066244910322252</v>
      </c>
      <c r="AX1642" s="88" t="str">
        <f t="shared" ca="1" si="126"/>
        <v>VLVLY</v>
      </c>
    </row>
    <row r="1643" spans="1:50" hidden="1">
      <c r="A1643" s="88" t="str">
        <f t="shared" ca="1" si="123"/>
        <v>VONN</v>
      </c>
      <c r="F1643" s="1014">
        <v>10.15437717099767</v>
      </c>
      <c r="G1643" s="1014">
        <v>12.085125093435343</v>
      </c>
      <c r="H1643" s="1014">
        <v>13.085125093435343</v>
      </c>
      <c r="I1643" s="1014">
        <v>14.082857519739198</v>
      </c>
      <c r="J1643" s="1014">
        <v>15.080589946043053</v>
      </c>
      <c r="K1643" s="1014">
        <v>16.078322372346907</v>
      </c>
      <c r="L1643" s="1014">
        <v>17.076054798650762</v>
      </c>
      <c r="M1643" s="1014">
        <v>18.073787224954614</v>
      </c>
      <c r="N1643" s="1014">
        <v>19.07151965125847</v>
      </c>
      <c r="O1643" s="1014">
        <v>20.069252077562325</v>
      </c>
      <c r="P1643" s="1014">
        <v>18.076172492787236</v>
      </c>
      <c r="Q1643" s="1014">
        <v>17.440059223950293</v>
      </c>
      <c r="R1643" s="1014">
        <v>18.256385754562537</v>
      </c>
      <c r="S1643" s="1014">
        <v>18.25638575456254</v>
      </c>
      <c r="T1643" s="1014">
        <v>18.25638575456254</v>
      </c>
      <c r="U1643" s="1014">
        <v>16.552243742728219</v>
      </c>
      <c r="V1643" s="1014">
        <v>15.420843674265214</v>
      </c>
      <c r="W1643" s="1014">
        <v>14.429108137075131</v>
      </c>
      <c r="X1643" s="1014">
        <v>13.437372599885048</v>
      </c>
      <c r="Y1643" s="1014">
        <v>12.445637062694965</v>
      </c>
      <c r="Z1643" s="1014">
        <f t="shared" ca="1" si="125"/>
        <v>12.445637062694965</v>
      </c>
      <c r="AB1643" s="1014">
        <v>3.1794395719001289</v>
      </c>
      <c r="AC1643" s="1014">
        <v>5.1682689723892556</v>
      </c>
      <c r="AD1643" s="1014">
        <v>6.1682689723892556</v>
      </c>
      <c r="AE1643" s="1014">
        <v>7.1489277154268418</v>
      </c>
      <c r="AF1643" s="1014">
        <v>8.1295864584644271</v>
      </c>
      <c r="AG1643" s="1014">
        <v>9.1137538195450816</v>
      </c>
      <c r="AH1643" s="1014">
        <v>10.101078936864498</v>
      </c>
      <c r="AI1643" s="1014">
        <v>11.088404054183915</v>
      </c>
      <c r="AJ1643" s="1014">
        <v>12.07572917150333</v>
      </c>
      <c r="AK1643" s="1014">
        <v>13.063054288822745</v>
      </c>
      <c r="AL1643" s="1014">
        <v>11.072494298146211</v>
      </c>
      <c r="AM1643" s="1014">
        <v>10.077214302807944</v>
      </c>
      <c r="AN1643" s="1014">
        <v>11.072494298146211</v>
      </c>
      <c r="AO1643" s="1014">
        <v>12.06508234253023</v>
      </c>
      <c r="AP1643" s="1014">
        <v>13.057670386914248</v>
      </c>
      <c r="AQ1643" s="1014">
        <v>14.050258431298266</v>
      </c>
      <c r="AR1643" s="1014">
        <v>13.052286485005752</v>
      </c>
      <c r="AS1643" s="1014">
        <v>13.049594534051502</v>
      </c>
      <c r="AT1643" s="1014">
        <v>13.046902583097253</v>
      </c>
      <c r="AU1643" s="1014">
        <v>13.044210632143004</v>
      </c>
      <c r="AV1643" s="1014">
        <f t="shared" ca="1" si="124"/>
        <v>13.044210632143004</v>
      </c>
      <c r="AX1643" s="88" t="str">
        <f t="shared" ca="1" si="126"/>
        <v>VONN</v>
      </c>
    </row>
    <row r="1644" spans="1:50" hidden="1">
      <c r="A1644" s="88" t="str">
        <f t="shared" ca="1" si="123"/>
        <v>VTRS</v>
      </c>
      <c r="F1644" s="1014">
        <v>3.547544507999278</v>
      </c>
      <c r="G1644" s="1014">
        <v>5.5164026394871675</v>
      </c>
      <c r="H1644" s="1014">
        <v>6.5164026394871675</v>
      </c>
      <c r="I1644" s="1014">
        <v>7.514135065791022</v>
      </c>
      <c r="J1644" s="1014">
        <v>8.5118674920948774</v>
      </c>
      <c r="K1644" s="1014">
        <v>9.509599918398731</v>
      </c>
      <c r="L1644" s="1014">
        <v>10.489191755133426</v>
      </c>
      <c r="M1644" s="1014">
        <v>11.468783591868119</v>
      </c>
      <c r="N1644" s="1014">
        <v>12.448375428602812</v>
      </c>
      <c r="O1644" s="1014">
        <v>13.427967265337507</v>
      </c>
      <c r="P1644" s="1014">
        <v>11.576727595916019</v>
      </c>
      <c r="Q1644" s="1014">
        <v>10.651107761205274</v>
      </c>
      <c r="R1644" s="1014">
        <v>11.576727595916019</v>
      </c>
      <c r="S1644" s="1014">
        <v>12.520038253512391</v>
      </c>
      <c r="T1644" s="1014">
        <v>13.463348911108763</v>
      </c>
      <c r="U1644" s="1014">
        <v>14.406659568705134</v>
      </c>
      <c r="V1644" s="1014">
        <v>13.349970226301506</v>
      </c>
      <c r="W1644" s="1014">
        <v>13.293280883897879</v>
      </c>
      <c r="X1644" s="1014">
        <v>13.236591541494249</v>
      </c>
      <c r="Y1644" s="1014">
        <v>13.179902199090623</v>
      </c>
      <c r="Z1644" s="1014">
        <f t="shared" ca="1" si="125"/>
        <v>13.179902199090623</v>
      </c>
      <c r="AB1644" s="1014">
        <v>11.044910310951273</v>
      </c>
      <c r="AC1644" s="1014">
        <v>10.071247317132407</v>
      </c>
      <c r="AD1644" s="1014">
        <v>10.084415820222974</v>
      </c>
      <c r="AE1644" s="1014">
        <v>12.063835361516425</v>
      </c>
      <c r="AF1644" s="1014">
        <v>13.056423405900444</v>
      </c>
      <c r="AG1644" s="1014">
        <v>14.051116621110303</v>
      </c>
      <c r="AH1644" s="1014">
        <v>13.099558828526561</v>
      </c>
      <c r="AI1644" s="1014">
        <v>15.067377547633221</v>
      </c>
      <c r="AJ1644" s="1014">
        <v>16.062070762843078</v>
      </c>
      <c r="AK1644" s="1014">
        <v>15.100300661740119</v>
      </c>
      <c r="AL1644" s="1014">
        <v>16.078532319896532</v>
      </c>
      <c r="AM1644" s="1014">
        <v>17.074979844127924</v>
      </c>
      <c r="AN1644" s="1014">
        <v>15.122702760381474</v>
      </c>
      <c r="AO1644" s="1014">
        <v>14.137046074546323</v>
      </c>
      <c r="AP1644" s="1014">
        <v>15.11794368840051</v>
      </c>
      <c r="AQ1644" s="1014">
        <v>15.11794368840051</v>
      </c>
      <c r="AR1644" s="1014">
        <v>15.117943688400509</v>
      </c>
      <c r="AS1644" s="1014">
        <v>15.117943688400509</v>
      </c>
      <c r="AT1644" s="1014">
        <v>13.147687888281533</v>
      </c>
      <c r="AU1644" s="1014">
        <v>14.132815788341022</v>
      </c>
      <c r="AV1644" s="1014">
        <f t="shared" ca="1" si="124"/>
        <v>14.132815788341022</v>
      </c>
      <c r="AX1644" s="88" t="str">
        <f t="shared" ca="1" si="126"/>
        <v>VTRS</v>
      </c>
    </row>
    <row r="1645" spans="1:50" hidden="1">
      <c r="A1645" s="88" t="str">
        <f t="shared" ca="1" si="123"/>
        <v>WBA</v>
      </c>
      <c r="F1645" s="1014">
        <v>11.18140589569161</v>
      </c>
      <c r="G1645" s="1014">
        <v>10.24368963271583</v>
      </c>
      <c r="H1645" s="1014">
        <v>10.27483150122794</v>
      </c>
      <c r="I1645" s="1014">
        <v>12.223281469450523</v>
      </c>
      <c r="J1645" s="1014">
        <v>13.202873306185218</v>
      </c>
      <c r="K1645" s="1014">
        <v>14.182465142919913</v>
      </c>
      <c r="L1645" s="1014">
        <v>13.305197569223767</v>
      </c>
      <c r="M1645" s="1014">
        <v>15.240429995527622</v>
      </c>
      <c r="N1645" s="1014">
        <v>16.238162421831476</v>
      </c>
      <c r="O1645" s="1014">
        <v>15.267144848135331</v>
      </c>
      <c r="P1645" s="1014">
        <v>16.251519848135331</v>
      </c>
      <c r="Q1645" s="1014">
        <v>17.14040873702422</v>
      </c>
      <c r="R1645" s="1014">
        <v>15.220408737024218</v>
      </c>
      <c r="S1645" s="1014">
        <v>14.260408737024219</v>
      </c>
      <c r="T1645" s="1014">
        <v>15.22040873702422</v>
      </c>
      <c r="U1645" s="1014">
        <v>15.22040873702422</v>
      </c>
      <c r="V1645" s="1014">
        <v>15.22040873702422</v>
      </c>
      <c r="W1645" s="1014">
        <v>15.220408737024218</v>
      </c>
      <c r="X1645" s="1014">
        <v>13.36916906760273</v>
      </c>
      <c r="Y1645" s="1014">
        <v>14.294788902313476</v>
      </c>
      <c r="Z1645" s="1014">
        <f t="shared" ca="1" si="125"/>
        <v>14.294788902313476</v>
      </c>
      <c r="AB1645" s="1014">
        <v>11.000350861804307</v>
      </c>
      <c r="AC1645" s="1014">
        <v>12.000350861804307</v>
      </c>
      <c r="AD1645" s="1014">
        <v>13.000350861804307</v>
      </c>
      <c r="AE1645" s="1014">
        <v>14.000307004078769</v>
      </c>
      <c r="AF1645" s="1014">
        <v>15.00026314635323</v>
      </c>
      <c r="AG1645" s="1014">
        <v>16.00021928862769</v>
      </c>
      <c r="AH1645" s="1014">
        <v>17.000175430902154</v>
      </c>
      <c r="AI1645" s="1014">
        <v>18.000131573176617</v>
      </c>
      <c r="AJ1645" s="1014">
        <v>19.000087715451077</v>
      </c>
      <c r="AK1645" s="1014">
        <v>20.000043857725537</v>
      </c>
      <c r="AL1645" s="1014">
        <v>20.000043857725537</v>
      </c>
      <c r="AM1645" s="1014">
        <v>21</v>
      </c>
      <c r="AN1645" s="1014">
        <v>21</v>
      </c>
      <c r="AO1645" s="1014">
        <v>21</v>
      </c>
      <c r="AP1645" s="1014">
        <v>19.091836734693878</v>
      </c>
      <c r="AQ1645" s="1014">
        <v>18.137755102040817</v>
      </c>
      <c r="AR1645" s="1014">
        <v>17.183673469387756</v>
      </c>
      <c r="AS1645" s="1014">
        <v>16.229591836734695</v>
      </c>
      <c r="AT1645" s="1014">
        <v>15.275510204081634</v>
      </c>
      <c r="AU1645" s="1014">
        <v>14.321428571428573</v>
      </c>
      <c r="AV1645" s="1014">
        <f t="shared" ca="1" si="124"/>
        <v>14.321428571428573</v>
      </c>
      <c r="AX1645" s="88" t="str">
        <f t="shared" ca="1" si="126"/>
        <v>WBA</v>
      </c>
    </row>
    <row r="1646" spans="1:50" hidden="1">
      <c r="A1646" s="88" t="str">
        <f t="shared" ca="1" si="123"/>
        <v>XOM</v>
      </c>
      <c r="F1646" s="1014">
        <v>11.453514739229025</v>
      </c>
      <c r="G1646" s="1014">
        <v>12.453514739229025</v>
      </c>
      <c r="H1646" s="1014">
        <v>13.453514739229025</v>
      </c>
      <c r="I1646" s="1014">
        <v>14.396825396825397</v>
      </c>
      <c r="J1646" s="1014">
        <v>15.34013605442177</v>
      </c>
      <c r="K1646" s="1014">
        <v>16.28344671201814</v>
      </c>
      <c r="L1646" s="1014">
        <v>17.226757369614511</v>
      </c>
      <c r="M1646" s="1014">
        <v>18.170068027210885</v>
      </c>
      <c r="N1646" s="1014">
        <v>19.113378684807255</v>
      </c>
      <c r="O1646" s="1014">
        <v>20.056689342403629</v>
      </c>
      <c r="P1646" s="1014">
        <v>20.056689342403629</v>
      </c>
      <c r="Q1646" s="1014">
        <v>21</v>
      </c>
      <c r="R1646" s="1014">
        <v>21</v>
      </c>
      <c r="S1646" s="1014">
        <v>21</v>
      </c>
      <c r="T1646" s="1014">
        <v>19</v>
      </c>
      <c r="U1646" s="1014">
        <v>18</v>
      </c>
      <c r="V1646" s="1014">
        <v>17.173010380622834</v>
      </c>
      <c r="W1646" s="1014">
        <v>16.259515570934251</v>
      </c>
      <c r="X1646" s="1014">
        <v>15.346020761245676</v>
      </c>
      <c r="Y1646" s="1014">
        <v>14.432525951557095</v>
      </c>
      <c r="Z1646" s="1014">
        <f t="shared" ca="1" si="125"/>
        <v>14.432525951557095</v>
      </c>
      <c r="AB1646" s="1014">
        <v>2.2968706793735887</v>
      </c>
      <c r="AC1646" s="1014">
        <v>4.281502876627874</v>
      </c>
      <c r="AD1646" s="1014">
        <v>5.281502876627874</v>
      </c>
      <c r="AE1646" s="1014">
        <v>4.2657867810335102</v>
      </c>
      <c r="AF1646" s="1014">
        <v>4.2500124137766555</v>
      </c>
      <c r="AG1646" s="1014">
        <v>4.2373958027585621</v>
      </c>
      <c r="AH1646" s="1014">
        <v>4.2216214355017074</v>
      </c>
      <c r="AI1646" s="1014">
        <v>4.2058470682448519</v>
      </c>
      <c r="AJ1646" s="1014">
        <v>4.1900727009879972</v>
      </c>
      <c r="AK1646" s="1014">
        <v>4.1742983337311426</v>
      </c>
      <c r="AL1646" s="1014">
        <v>3.1743566053936294</v>
      </c>
      <c r="AM1646" s="1014">
        <v>2.1744148770561207</v>
      </c>
      <c r="AN1646" s="1014">
        <v>2.1550153484312164</v>
      </c>
      <c r="AO1646" s="1014">
        <v>2.1356740914688026</v>
      </c>
      <c r="AP1646" s="1014">
        <v>2.1163328345063883</v>
      </c>
      <c r="AQ1646" s="1014">
        <v>2.0969915775439745</v>
      </c>
      <c r="AR1646" s="1014">
        <v>4.0776503205815597</v>
      </c>
      <c r="AS1646" s="1014">
        <v>5.0583090636191468</v>
      </c>
      <c r="AT1646" s="1014">
        <v>6.0371006556636377</v>
      </c>
      <c r="AU1646" s="1014">
        <v>7.0158922477081269</v>
      </c>
      <c r="AV1646" s="1014">
        <f t="shared" ca="1" si="124"/>
        <v>7.0158922477081269</v>
      </c>
      <c r="AX1646" s="88" t="str">
        <f t="shared" ca="1" si="126"/>
        <v>XOM</v>
      </c>
    </row>
    <row r="1647" spans="1:50" hidden="1">
      <c r="A1647" s="88" t="str">
        <f t="shared" ca="1" si="123"/>
        <v>XPER</v>
      </c>
      <c r="F1647" s="1014">
        <v>5.6621315192743751</v>
      </c>
      <c r="G1647" s="1014">
        <v>7.6621315192743751</v>
      </c>
      <c r="H1647" s="1014">
        <v>8.6621315192743751</v>
      </c>
      <c r="I1647" s="1014">
        <v>7.55656057436825</v>
      </c>
      <c r="J1647" s="1014">
        <v>7.4482195463596312</v>
      </c>
      <c r="K1647" s="1014">
        <v>7.267316160074369</v>
      </c>
      <c r="L1647" s="1014">
        <v>7.0864127737891067</v>
      </c>
      <c r="M1647" s="1014">
        <v>6.9055093875038445</v>
      </c>
      <c r="N1647" s="1014">
        <v>6.7246060012185822</v>
      </c>
      <c r="O1647" s="1014">
        <v>6.5437026149333199</v>
      </c>
      <c r="P1647" s="1014">
        <v>5.5464726980358137</v>
      </c>
      <c r="Q1647" s="1014">
        <v>4.5492427811383074</v>
      </c>
      <c r="R1647" s="1014">
        <v>4.2882527433872886</v>
      </c>
      <c r="S1647" s="1014">
        <v>3.9675327887387661</v>
      </c>
      <c r="T1647" s="1014">
        <v>3.8176708222559208</v>
      </c>
      <c r="U1647" s="1014">
        <v>3.5823798616902347</v>
      </c>
      <c r="V1647" s="1014">
        <v>5.0512309129588679</v>
      </c>
      <c r="W1647" s="1014">
        <v>5.668010958310342</v>
      </c>
      <c r="X1647" s="1014">
        <v>6.5568998471992312</v>
      </c>
      <c r="Y1647" s="1014">
        <v>7.4457887360881205</v>
      </c>
      <c r="Z1647" s="1014">
        <f t="shared" ca="1" si="125"/>
        <v>7.4457887360881205</v>
      </c>
      <c r="AB1647" s="1014">
        <v>1.2591151670280993</v>
      </c>
      <c r="AC1647" s="1014">
        <v>3.2548152476515879</v>
      </c>
      <c r="AD1647" s="1014">
        <v>4.2548152476515879</v>
      </c>
      <c r="AE1647" s="1014">
        <v>5.2421403649710037</v>
      </c>
      <c r="AF1647" s="1014">
        <v>6.2294654822904194</v>
      </c>
      <c r="AG1647" s="1014">
        <v>7.2136328433710739</v>
      </c>
      <c r="AH1647" s="1014">
        <v>8.1978002044517275</v>
      </c>
      <c r="AI1647" s="1014">
        <v>9.181967565532382</v>
      </c>
      <c r="AJ1647" s="1014">
        <v>10.166134926613037</v>
      </c>
      <c r="AK1647" s="1014">
        <v>11.150302287693691</v>
      </c>
      <c r="AL1647" s="1014">
        <v>11.150302287693691</v>
      </c>
      <c r="AM1647" s="1014">
        <v>12.130961030731276</v>
      </c>
      <c r="AN1647" s="1014">
        <v>11.13280681974677</v>
      </c>
      <c r="AO1647" s="1014">
        <v>11.125813394794845</v>
      </c>
      <c r="AP1647" s="1014">
        <v>13.101141541908079</v>
      </c>
      <c r="AQ1647" s="1014">
        <v>14.085308902988734</v>
      </c>
      <c r="AR1647" s="1014">
        <v>15.069476264069388</v>
      </c>
      <c r="AS1647" s="1014">
        <v>16.053643625150045</v>
      </c>
      <c r="AT1647" s="1014">
        <v>17.037810986230696</v>
      </c>
      <c r="AU1647" s="1014">
        <v>18.02197834731135</v>
      </c>
      <c r="AV1647" s="1014">
        <f t="shared" ca="1" si="124"/>
        <v>18.02197834731135</v>
      </c>
      <c r="AX1647" s="88" t="str">
        <f t="shared" ca="1" si="126"/>
        <v>XPER</v>
      </c>
    </row>
    <row r="1648" spans="1:50" hidden="1">
      <c r="A1648" s="88" t="str">
        <f t="shared" ca="1" si="123"/>
        <v>MVEALDNE</v>
      </c>
      <c r="F1648" s="1014">
        <v>1.1315192743764166</v>
      </c>
      <c r="G1648" s="1014">
        <v>3.1111111111111107</v>
      </c>
      <c r="H1648" s="1014">
        <v>4.1111111111111107</v>
      </c>
      <c r="I1648" s="1014">
        <v>5.0907029478458039</v>
      </c>
      <c r="J1648" s="1014">
        <v>6.070294784580498</v>
      </c>
      <c r="K1648" s="1014">
        <v>7.0498866213151921</v>
      </c>
      <c r="L1648" s="1014">
        <v>8.0476190476190474</v>
      </c>
      <c r="M1648" s="1014">
        <v>9.0453514739229028</v>
      </c>
      <c r="N1648" s="1014">
        <v>10.043083900226756</v>
      </c>
      <c r="O1648" s="1014">
        <v>11.040816326530612</v>
      </c>
      <c r="P1648" s="1014">
        <v>11.040816326530612</v>
      </c>
      <c r="Q1648" s="1014">
        <v>12.038548752834467</v>
      </c>
      <c r="R1648" s="1014">
        <v>11.258503401360542</v>
      </c>
      <c r="S1648" s="1014">
        <v>11.367346938775508</v>
      </c>
      <c r="T1648" s="1014">
        <v>13.253968253968253</v>
      </c>
      <c r="U1648" s="1014">
        <v>14.251700680272108</v>
      </c>
      <c r="V1648" s="1014">
        <v>15.249433106575964</v>
      </c>
      <c r="W1648" s="1014">
        <v>16.247165532879819</v>
      </c>
      <c r="X1648" s="1014">
        <v>17.244897959183675</v>
      </c>
      <c r="Y1648" s="1014">
        <v>18.242630385487526</v>
      </c>
      <c r="Z1648" s="1014">
        <f t="shared" ca="1" si="125"/>
        <v>18.242630385487526</v>
      </c>
      <c r="AB1648" s="1014">
        <v>8.3749993379596734</v>
      </c>
      <c r="AC1648" s="1014">
        <v>10.326813734152417</v>
      </c>
      <c r="AD1648" s="1014">
        <v>11.326813734152417</v>
      </c>
      <c r="AE1648" s="1014">
        <v>12.294841452234957</v>
      </c>
      <c r="AF1648" s="1014">
        <v>11.367673931531026</v>
      </c>
      <c r="AG1648" s="1014">
        <v>11.388104030220331</v>
      </c>
      <c r="AH1648" s="1014">
        <v>11.431759560757509</v>
      </c>
      <c r="AI1648" s="1014">
        <v>11.45474898183344</v>
      </c>
      <c r="AJ1648" s="1014">
        <v>11.482265099678026</v>
      </c>
      <c r="AK1648" s="1014">
        <v>11.500848618577699</v>
      </c>
      <c r="AL1648" s="1014">
        <v>11.528459640405817</v>
      </c>
      <c r="AM1648" s="1014">
        <v>11.556070662233935</v>
      </c>
      <c r="AN1648" s="1014">
        <v>12.501048561944348</v>
      </c>
      <c r="AO1648" s="1014">
        <v>10.589144888723801</v>
      </c>
      <c r="AP1648" s="1014">
        <v>9.6331930521135281</v>
      </c>
      <c r="AQ1648" s="1014">
        <v>8.6772412155032583</v>
      </c>
      <c r="AR1648" s="1014">
        <v>7.7017801577376774</v>
      </c>
      <c r="AS1648" s="1014">
        <v>6.736073710549749</v>
      </c>
      <c r="AT1648" s="1014">
        <v>5.7703672633618206</v>
      </c>
      <c r="AU1648" s="1014">
        <v>4.8122188622451683</v>
      </c>
      <c r="AV1648" s="1014">
        <f t="shared" ca="1" si="124"/>
        <v>4.8122188622451683</v>
      </c>
      <c r="AX1648" s="88" t="str">
        <f t="shared" ca="1" si="126"/>
        <v>MVEALDNE</v>
      </c>
    </row>
    <row r="1649" spans="1:50" hidden="1">
      <c r="A1649" s="88" t="str">
        <f t="shared" ca="1" si="123"/>
        <v>MVEDDD</v>
      </c>
      <c r="F1649" s="1014">
        <v>9.3911564625850339</v>
      </c>
      <c r="G1649" s="1014">
        <v>11.141156462585034</v>
      </c>
      <c r="H1649" s="1014">
        <v>12.141156462585034</v>
      </c>
      <c r="I1649" s="1014">
        <v>13.030045351473923</v>
      </c>
      <c r="J1649" s="1014">
        <v>11.959750566893426</v>
      </c>
      <c r="K1649" s="1014">
        <v>11.869047619047622</v>
      </c>
      <c r="L1649" s="1014">
        <v>11.737528344671203</v>
      </c>
      <c r="M1649" s="1014">
        <v>11.626417233560092</v>
      </c>
      <c r="N1649" s="1014">
        <v>11.515306122448981</v>
      </c>
      <c r="O1649" s="1014">
        <v>11.428886369362559</v>
      </c>
      <c r="P1649" s="1014">
        <v>11.384542705971276</v>
      </c>
      <c r="Q1649" s="1014">
        <v>11.340199042579993</v>
      </c>
      <c r="R1649" s="1014">
        <v>12.327853363567648</v>
      </c>
      <c r="S1649" s="1014">
        <v>12.327853363567648</v>
      </c>
      <c r="T1649" s="1014">
        <v>12.327853363567648</v>
      </c>
      <c r="U1649" s="1014">
        <v>12.327853363567648</v>
      </c>
      <c r="V1649" s="1014">
        <v>10.55007558578987</v>
      </c>
      <c r="W1649" s="1014">
        <v>9.6611866969009803</v>
      </c>
      <c r="X1649" s="1014">
        <v>8.772297808012091</v>
      </c>
      <c r="Y1649" s="1014">
        <v>9.6611866969009839</v>
      </c>
      <c r="Z1649" s="1014">
        <f t="shared" ca="1" si="125"/>
        <v>9.6611866969009839</v>
      </c>
      <c r="AB1649" s="1014">
        <v>3.6540064032279291</v>
      </c>
      <c r="AC1649" s="1014">
        <v>4.6540064032279291</v>
      </c>
      <c r="AD1649" s="1014">
        <v>3.6576589709830607</v>
      </c>
      <c r="AE1649" s="1014">
        <v>3.6117241917493597</v>
      </c>
      <c r="AF1649" s="1014">
        <v>3.5674876176499439</v>
      </c>
      <c r="AG1649" s="1014">
        <v>3.5374403691642224</v>
      </c>
      <c r="AH1649" s="1014">
        <v>5.4957997794180962</v>
      </c>
      <c r="AI1649" s="1014">
        <v>4.4642662051297588</v>
      </c>
      <c r="AJ1649" s="1014">
        <v>4.4300572443967123</v>
      </c>
      <c r="AK1649" s="1014">
        <v>4.3942782291107321</v>
      </c>
      <c r="AL1649" s="1014">
        <v>3.3947659912266737</v>
      </c>
      <c r="AM1649" s="1014">
        <v>5.3566925834068257</v>
      </c>
      <c r="AN1649" s="1014">
        <v>4.3240577943012095</v>
      </c>
      <c r="AO1649" s="1014">
        <v>4.2866667626272239</v>
      </c>
      <c r="AP1649" s="1014">
        <v>4.2611663373741635</v>
      </c>
      <c r="AQ1649" s="1014">
        <v>4.2297206089106414</v>
      </c>
      <c r="AR1649" s="1014">
        <v>6.1768717888894482</v>
      </c>
      <c r="AS1649" s="1014">
        <v>7.1347245146470897</v>
      </c>
      <c r="AT1649" s="1014">
        <v>8.0925772404047329</v>
      </c>
      <c r="AU1649" s="1014">
        <v>7.0687286429109566</v>
      </c>
      <c r="AV1649" s="1014">
        <f t="shared" ca="1" si="124"/>
        <v>7.0687286429109566</v>
      </c>
      <c r="AX1649" s="88" t="str">
        <f t="shared" ca="1" si="126"/>
        <v>MVEDDD</v>
      </c>
    </row>
    <row r="1650" spans="1:50" hidden="1">
      <c r="A1650" s="88" t="str">
        <f t="shared" ca="1" si="123"/>
        <v>MVEDSY</v>
      </c>
      <c r="F1650" s="1014">
        <v>3.2902494331065761</v>
      </c>
      <c r="G1650" s="1014">
        <v>4.2902494331065757</v>
      </c>
      <c r="H1650" s="1014">
        <v>3.331065759637188</v>
      </c>
      <c r="I1650" s="1014">
        <v>3.2991383219954642</v>
      </c>
      <c r="J1650" s="1014">
        <v>3.2831746031746025</v>
      </c>
      <c r="K1650" s="1014">
        <v>3.2853514739229017</v>
      </c>
      <c r="L1650" s="1014">
        <v>5.2604988662131511</v>
      </c>
      <c r="M1650" s="1014">
        <v>4.2713407029478452</v>
      </c>
      <c r="N1650" s="1014">
        <v>4.2665575396825393</v>
      </c>
      <c r="O1650" s="1014">
        <v>4.2394132653061209</v>
      </c>
      <c r="P1650" s="1014">
        <v>3.2438577097505652</v>
      </c>
      <c r="Q1650" s="1014">
        <v>5.2371456916099763</v>
      </c>
      <c r="R1650" s="1014">
        <v>4.3800028344671187</v>
      </c>
      <c r="S1650" s="1014">
        <v>4.4412273242630373</v>
      </c>
      <c r="T1650" s="1014">
        <v>4.5614087301587283</v>
      </c>
      <c r="U1650" s="1014">
        <v>4.6521116780045331</v>
      </c>
      <c r="V1650" s="1014">
        <v>6.5205924036281164</v>
      </c>
      <c r="W1650" s="1014">
        <v>7.5001842403628096</v>
      </c>
      <c r="X1650" s="1014">
        <v>8.4797760770975046</v>
      </c>
      <c r="Y1650" s="1014">
        <v>7.4593679138321978</v>
      </c>
      <c r="Z1650" s="1014">
        <f t="shared" ca="1" si="125"/>
        <v>7.4593679138321978</v>
      </c>
      <c r="AB1650" s="1014">
        <v>5.2381474496732601</v>
      </c>
      <c r="AC1650" s="1014">
        <v>6.2381474496732601</v>
      </c>
      <c r="AD1650" s="1014">
        <v>7.2381474496732601</v>
      </c>
      <c r="AE1650" s="1014">
        <v>6.2470831937204441</v>
      </c>
      <c r="AF1650" s="1014">
        <v>6.2399506973391423</v>
      </c>
      <c r="AG1650" s="1014">
        <v>6.2366776808052151</v>
      </c>
      <c r="AH1650" s="1014">
        <v>6.2334046642712879</v>
      </c>
      <c r="AI1650" s="1014">
        <v>6.2301316477373607</v>
      </c>
      <c r="AJ1650" s="1014">
        <v>6.2268586312034326</v>
      </c>
      <c r="AK1650" s="1014">
        <v>6.2235856146695054</v>
      </c>
      <c r="AL1650" s="1014">
        <v>6.2238212161786466</v>
      </c>
      <c r="AM1650" s="1014">
        <v>6.2240568176877877</v>
      </c>
      <c r="AN1650" s="1014">
        <v>7.2079885772593011</v>
      </c>
      <c r="AO1650" s="1014">
        <v>7.2079885772593011</v>
      </c>
      <c r="AP1650" s="1014">
        <v>7.2079885772593002</v>
      </c>
      <c r="AQ1650" s="1014">
        <v>8.1953136945787168</v>
      </c>
      <c r="AR1650" s="1014">
        <v>7.2147752927551059</v>
      </c>
      <c r="AS1650" s="1014">
        <v>7.2181686505030083</v>
      </c>
      <c r="AT1650" s="1014">
        <v>7.2215620082509107</v>
      </c>
      <c r="AU1650" s="1014">
        <v>7.2249553659988131</v>
      </c>
      <c r="AV1650" s="1014">
        <f t="shared" ca="1" si="124"/>
        <v>7.2249553659988131</v>
      </c>
      <c r="AX1650" s="88" t="str">
        <f t="shared" ca="1" si="126"/>
        <v>MVEDSY</v>
      </c>
    </row>
    <row r="1651" spans="1:50" hidden="1">
      <c r="A1651" s="88" t="str">
        <f t="shared" ca="1" si="123"/>
        <v>MVEEOAN</v>
      </c>
      <c r="F1651" s="1014">
        <v>5.612244897959183</v>
      </c>
      <c r="G1651" s="1014">
        <v>6.612244897959183</v>
      </c>
      <c r="H1651" s="1014">
        <v>7.612244897959183</v>
      </c>
      <c r="I1651" s="1014">
        <v>6.6899773242630385</v>
      </c>
      <c r="J1651" s="1014">
        <v>6.7277097505668939</v>
      </c>
      <c r="K1651" s="1014">
        <v>6.7473015873015871</v>
      </c>
      <c r="L1651" s="1014">
        <v>6.7306122448979595</v>
      </c>
      <c r="M1651" s="1014">
        <v>6.7139229024943319</v>
      </c>
      <c r="N1651" s="1014">
        <v>6.6972335600907025</v>
      </c>
      <c r="O1651" s="1014">
        <v>6.6805442176870748</v>
      </c>
      <c r="P1651" s="1014">
        <v>6.6638548752834472</v>
      </c>
      <c r="Q1651" s="1014">
        <v>6.6834467120181404</v>
      </c>
      <c r="R1651" s="1014">
        <v>7.6434467120181404</v>
      </c>
      <c r="S1651" s="1014">
        <v>7.6434467120181404</v>
      </c>
      <c r="T1651" s="1014">
        <v>7.6434467120181413</v>
      </c>
      <c r="U1651" s="1014">
        <v>8.5867573696145136</v>
      </c>
      <c r="V1651" s="1014">
        <v>8.1473519778281691</v>
      </c>
      <c r="W1651" s="1014">
        <v>8.3993046107331839</v>
      </c>
      <c r="X1651" s="1014">
        <v>8.6512572436381987</v>
      </c>
      <c r="Y1651" s="1014">
        <v>8.9032098765432117</v>
      </c>
      <c r="Z1651" s="1014">
        <f t="shared" ca="1" si="125"/>
        <v>8.9032098765432117</v>
      </c>
      <c r="AB1651" s="1014">
        <v>2.4163916415765598</v>
      </c>
      <c r="AC1651" s="1014">
        <v>4.3951832336210508</v>
      </c>
      <c r="AD1651" s="1014">
        <v>5.3951832336210508</v>
      </c>
      <c r="AE1651" s="1014">
        <v>4.4120845802089317</v>
      </c>
      <c r="AF1651" s="1014">
        <v>4.4108646250216657</v>
      </c>
      <c r="AG1651" s="1014">
        <v>4.4002001828086108</v>
      </c>
      <c r="AH1651" s="1014">
        <v>4.3923282441847622</v>
      </c>
      <c r="AI1651" s="1014">
        <v>4.3900413127393279</v>
      </c>
      <c r="AJ1651" s="1014">
        <v>4.3849618777046864</v>
      </c>
      <c r="AK1651" s="1014">
        <v>6.3436398391197493</v>
      </c>
      <c r="AL1651" s="1014">
        <v>6.343639839119751</v>
      </c>
      <c r="AM1651" s="1014">
        <v>6.343639839119751</v>
      </c>
      <c r="AN1651" s="1014">
        <v>5.3390395816593177</v>
      </c>
      <c r="AO1651" s="1014">
        <v>5.3230339136983655</v>
      </c>
      <c r="AP1651" s="1014">
        <v>5.3061675381150604</v>
      </c>
      <c r="AQ1651" s="1014">
        <v>5.2897315163429317</v>
      </c>
      <c r="AR1651" s="1014">
        <v>5.2666154349200855</v>
      </c>
      <c r="AS1651" s="1014">
        <v>5.2468393833225981</v>
      </c>
      <c r="AT1651" s="1014">
        <v>5.2270633317251107</v>
      </c>
      <c r="AU1651" s="1014">
        <v>5.2072872801276233</v>
      </c>
      <c r="AV1651" s="1014">
        <f t="shared" ca="1" si="124"/>
        <v>5.2072872801276233</v>
      </c>
      <c r="AX1651" s="88" t="str">
        <f t="shared" ca="1" si="126"/>
        <v>MVEEOAN</v>
      </c>
    </row>
    <row r="1652" spans="1:50" hidden="1">
      <c r="A1652" s="88" t="str">
        <f t="shared" ca="1" si="123"/>
        <v>MVEENI</v>
      </c>
      <c r="F1652" s="1014">
        <v>2.8911564625850334</v>
      </c>
      <c r="G1652" s="1014">
        <v>4.7800453514739223</v>
      </c>
      <c r="H1652" s="1014">
        <v>5.7800453514739223</v>
      </c>
      <c r="I1652" s="1014">
        <v>4.6032922973110804</v>
      </c>
      <c r="J1652" s="1014">
        <v>4.4230790355357819</v>
      </c>
      <c r="K1652" s="1014">
        <v>4.3876208435443882</v>
      </c>
      <c r="L1652" s="1014">
        <v>4.3432771801531063</v>
      </c>
      <c r="M1652" s="1014">
        <v>4.3054921587371329</v>
      </c>
      <c r="N1652" s="1014">
        <v>4.2644278163335043</v>
      </c>
      <c r="O1652" s="1014">
        <v>6.1921134739298758</v>
      </c>
      <c r="P1652" s="1014">
        <v>6.1921134739298758</v>
      </c>
      <c r="Q1652" s="1014">
        <v>6.1921134739298767</v>
      </c>
      <c r="R1652" s="1014">
        <v>7.1898459002337312</v>
      </c>
      <c r="S1652" s="1014">
        <v>8.1875783265375865</v>
      </c>
      <c r="T1652" s="1014">
        <v>7.1853107528414411</v>
      </c>
      <c r="U1652" s="1014">
        <v>7.1830431791452964</v>
      </c>
      <c r="V1652" s="1014">
        <v>7.3057756054491509</v>
      </c>
      <c r="W1652" s="1014">
        <v>7.3660080317530063</v>
      </c>
      <c r="X1652" s="1014">
        <v>7.4262404580568608</v>
      </c>
      <c r="Y1652" s="1014">
        <v>7.4864728843607153</v>
      </c>
      <c r="Z1652" s="1014">
        <f t="shared" ca="1" si="125"/>
        <v>7.4864728843607153</v>
      </c>
      <c r="AB1652" s="1014">
        <v>1.5681329766238323</v>
      </c>
      <c r="AC1652" s="1014">
        <v>3.5523003377044864</v>
      </c>
      <c r="AD1652" s="1014">
        <v>4.5523003377044864</v>
      </c>
      <c r="AE1652" s="1014">
        <v>5.5154159905267317</v>
      </c>
      <c r="AF1652" s="1014">
        <v>6.4785316433489761</v>
      </c>
      <c r="AG1652" s="1014">
        <v>7.4416472961712206</v>
      </c>
      <c r="AH1652" s="1014">
        <v>8.404762948993465</v>
      </c>
      <c r="AI1652" s="1014">
        <v>7.378457114212404</v>
      </c>
      <c r="AJ1652" s="1014">
        <v>7.3468620232329958</v>
      </c>
      <c r="AK1652" s="1014">
        <v>7.3201789975138833</v>
      </c>
      <c r="AL1652" s="1014">
        <v>7.2934959717947709</v>
      </c>
      <c r="AM1652" s="1014">
        <v>7.2713741495316473</v>
      </c>
      <c r="AN1652" s="1014">
        <v>8.2660848933333</v>
      </c>
      <c r="AO1652" s="1014">
        <v>9.2341126114158403</v>
      </c>
      <c r="AP1652" s="1014">
        <v>10.202140329498381</v>
      </c>
      <c r="AQ1652" s="1014">
        <v>11.170168047580921</v>
      </c>
      <c r="AR1652" s="1014">
        <v>10.142253877829681</v>
      </c>
      <c r="AS1652" s="1014">
        <v>10.112310651995331</v>
      </c>
      <c r="AT1652" s="1014">
        <v>10.082367426160982</v>
      </c>
      <c r="AU1652" s="1014">
        <v>10.052424200326632</v>
      </c>
      <c r="AV1652" s="1014">
        <f t="shared" ca="1" si="124"/>
        <v>10.052424200326632</v>
      </c>
      <c r="AX1652" s="88" t="str">
        <f t="shared" ca="1" si="126"/>
        <v>MVEENI</v>
      </c>
    </row>
    <row r="1653" spans="1:50" hidden="1">
      <c r="A1653" s="88" t="str">
        <f t="shared" ca="1" si="123"/>
        <v>MVEEPIX</v>
      </c>
      <c r="F1653" s="1014">
        <v>1.7845804988662131</v>
      </c>
      <c r="G1653" s="1014">
        <v>3.7823129251700678</v>
      </c>
      <c r="H1653" s="1014">
        <v>4.7823129251700678</v>
      </c>
      <c r="I1653" s="1014">
        <v>5.7256235827664401</v>
      </c>
      <c r="J1653" s="1014">
        <v>6.6689342403628116</v>
      </c>
      <c r="K1653" s="1014">
        <v>7.6122448979591839</v>
      </c>
      <c r="L1653" s="1014">
        <v>8.5011337868480723</v>
      </c>
      <c r="M1653" s="1014">
        <v>7.4700226757369617</v>
      </c>
      <c r="N1653" s="1014">
        <v>7.398911564625851</v>
      </c>
      <c r="O1653" s="1014">
        <v>7.3822222222222225</v>
      </c>
      <c r="P1653" s="1014">
        <v>7.3655328798185939</v>
      </c>
      <c r="Q1653" s="1014">
        <v>7.3851247165532881</v>
      </c>
      <c r="R1653" s="1014">
        <v>8.345124716553288</v>
      </c>
      <c r="S1653" s="1014">
        <v>9.3247165532879812</v>
      </c>
      <c r="T1653" s="1014">
        <v>10.304308390022676</v>
      </c>
      <c r="U1653" s="1014">
        <v>11.283900226757371</v>
      </c>
      <c r="V1653" s="1014">
        <v>10.304308390022676</v>
      </c>
      <c r="W1653" s="1014">
        <v>10.304308390022678</v>
      </c>
      <c r="X1653" s="1014">
        <v>10.30430839002268</v>
      </c>
      <c r="Y1653" s="1014">
        <v>10.304308390022678</v>
      </c>
      <c r="Z1653" s="1014">
        <f t="shared" ca="1" si="125"/>
        <v>10.304308390022678</v>
      </c>
      <c r="AB1653" s="1014">
        <v>4.5795798429893422</v>
      </c>
      <c r="AC1653" s="1014">
        <v>5.5795798429893422</v>
      </c>
      <c r="AD1653" s="1014">
        <v>6.5795798429893422</v>
      </c>
      <c r="AE1653" s="1014">
        <v>7.5258541292048591</v>
      </c>
      <c r="AF1653" s="1014">
        <v>8.4721284154203751</v>
      </c>
      <c r="AG1653" s="1014">
        <v>9.4243673523091083</v>
      </c>
      <c r="AH1653" s="1014">
        <v>10.382220078066752</v>
      </c>
      <c r="AI1653" s="1014">
        <v>11.340072803824393</v>
      </c>
      <c r="AJ1653" s="1014">
        <v>12.297925529582034</v>
      </c>
      <c r="AK1653" s="1014">
        <v>13.255778255339678</v>
      </c>
      <c r="AL1653" s="1014">
        <v>13.255778255339678</v>
      </c>
      <c r="AM1653" s="1014">
        <v>13.255778255339678</v>
      </c>
      <c r="AN1653" s="1014">
        <v>12.245966638242164</v>
      </c>
      <c r="AO1653" s="1014">
        <v>12.225074688734678</v>
      </c>
      <c r="AP1653" s="1014">
        <v>14.182022074407245</v>
      </c>
      <c r="AQ1653" s="1014">
        <v>15.150049792489785</v>
      </c>
      <c r="AR1653" s="1014">
        <v>14.131225793990881</v>
      </c>
      <c r="AS1653" s="1014">
        <v>14.105827653782699</v>
      </c>
      <c r="AT1653" s="1014">
        <v>14.080429513574517</v>
      </c>
      <c r="AU1653" s="1014">
        <v>14.055031373366335</v>
      </c>
      <c r="AV1653" s="1014">
        <f t="shared" ca="1" si="124"/>
        <v>14.055031373366335</v>
      </c>
      <c r="AX1653" s="88" t="str">
        <f t="shared" ca="1" si="126"/>
        <v>MVEEPIX</v>
      </c>
    </row>
    <row r="1654" spans="1:50" hidden="1">
      <c r="A1654" s="88" t="str">
        <f t="shared" ca="1" si="123"/>
        <v>MVEGLE</v>
      </c>
      <c r="F1654" s="1014">
        <v>4.2335600907029471</v>
      </c>
      <c r="G1654" s="1014">
        <v>5.2335600907029471</v>
      </c>
      <c r="H1654" s="1014">
        <v>6.2335600907029471</v>
      </c>
      <c r="I1654" s="1014">
        <v>7.1768707482993186</v>
      </c>
      <c r="J1654" s="1014">
        <v>8.1201814058956909</v>
      </c>
      <c r="K1654" s="1014">
        <v>9.0997732426303841</v>
      </c>
      <c r="L1654" s="1014">
        <v>10.079365079365079</v>
      </c>
      <c r="M1654" s="1014">
        <v>11.058956916099772</v>
      </c>
      <c r="N1654" s="1014">
        <v>12.038548752834465</v>
      </c>
      <c r="O1654" s="1014">
        <v>13.01814058956916</v>
      </c>
      <c r="P1654" s="1014">
        <v>13.01814058956916</v>
      </c>
      <c r="Q1654" s="1014">
        <v>13.01814058956916</v>
      </c>
      <c r="R1654" s="1014">
        <v>12.015873015873016</v>
      </c>
      <c r="S1654" s="1014">
        <v>12.013605442176871</v>
      </c>
      <c r="T1654" s="1014">
        <v>14.011337868480727</v>
      </c>
      <c r="U1654" s="1014">
        <v>15.00907029478458</v>
      </c>
      <c r="V1654" s="1014">
        <v>16.006802721088434</v>
      </c>
      <c r="W1654" s="1014">
        <v>17.004535147392289</v>
      </c>
      <c r="X1654" s="1014">
        <v>18.002267573696145</v>
      </c>
      <c r="Y1654" s="1014">
        <v>19</v>
      </c>
      <c r="Z1654" s="1014">
        <f t="shared" ca="1" si="125"/>
        <v>19</v>
      </c>
      <c r="AB1654" s="1014">
        <v>2.7059795759722896</v>
      </c>
      <c r="AC1654" s="1014">
        <v>4.6638323017299319</v>
      </c>
      <c r="AD1654" s="1014">
        <v>5.6638323017299319</v>
      </c>
      <c r="AE1654" s="1014">
        <v>6.6216850274875743</v>
      </c>
      <c r="AF1654" s="1014">
        <v>7.5795377532452166</v>
      </c>
      <c r="AG1654" s="1014">
        <v>8.537390479002859</v>
      </c>
      <c r="AH1654" s="1014">
        <v>7.5063815429204475</v>
      </c>
      <c r="AI1654" s="1014">
        <v>7.4698034377580633</v>
      </c>
      <c r="AJ1654" s="1014">
        <v>7.4332253325956792</v>
      </c>
      <c r="AK1654" s="1014">
        <v>7.3966472274332951</v>
      </c>
      <c r="AL1654" s="1014">
        <v>6.4022163965132677</v>
      </c>
      <c r="AM1654" s="1014">
        <v>5.4077855655932412</v>
      </c>
      <c r="AN1654" s="1014">
        <v>5.3692247828995256</v>
      </c>
      <c r="AO1654" s="1014">
        <v>5.3342868025037768</v>
      </c>
      <c r="AP1654" s="1014">
        <v>7.2954560885440145</v>
      </c>
      <c r="AQ1654" s="1014">
        <v>8.2585717413662607</v>
      </c>
      <c r="AR1654" s="1014">
        <v>9.2216873941885034</v>
      </c>
      <c r="AS1654" s="1014">
        <v>10.18480304701075</v>
      </c>
      <c r="AT1654" s="1014">
        <v>11.13212903464848</v>
      </c>
      <c r="AU1654" s="1014">
        <v>12.079455022286211</v>
      </c>
      <c r="AV1654" s="1014">
        <f t="shared" ca="1" si="124"/>
        <v>12.079455022286211</v>
      </c>
      <c r="AX1654" s="88" t="str">
        <f t="shared" ca="1" si="126"/>
        <v>MVEGLE</v>
      </c>
    </row>
    <row r="1655" spans="1:50" hidden="1">
      <c r="A1655" s="88" t="str">
        <f t="shared" ca="1" si="123"/>
        <v>MVEORA</v>
      </c>
      <c r="F1655" s="1014">
        <v>2.5413094138855907</v>
      </c>
      <c r="G1655" s="1014">
        <v>4.5209012506202848</v>
      </c>
      <c r="H1655" s="1014">
        <v>5.5209012506202848</v>
      </c>
      <c r="I1655" s="1014">
        <v>6.4642119082166563</v>
      </c>
      <c r="J1655" s="1014">
        <v>7.4075225658130286</v>
      </c>
      <c r="K1655" s="1014">
        <v>8.3871144025477236</v>
      </c>
      <c r="L1655" s="1014">
        <v>7.4165677351272921</v>
      </c>
      <c r="M1655" s="1014">
        <v>7.4210903197844242</v>
      </c>
      <c r="N1655" s="1014">
        <v>7.4256129044415564</v>
      </c>
      <c r="O1655" s="1014">
        <v>7.4301354890986886</v>
      </c>
      <c r="P1655" s="1014">
        <v>6.4550662370211267</v>
      </c>
      <c r="Q1655" s="1014">
        <v>5.4799969849435648</v>
      </c>
      <c r="R1655" s="1014">
        <v>5.4693275889448163</v>
      </c>
      <c r="S1655" s="1014">
        <v>5.4753244780585879</v>
      </c>
      <c r="T1655" s="1014">
        <v>7.4647924415525253</v>
      </c>
      <c r="U1655" s="1014">
        <v>8.4625248678563807</v>
      </c>
      <c r="V1655" s="1014">
        <v>9.4602572941602361</v>
      </c>
      <c r="W1655" s="1014">
        <v>10.457989720464091</v>
      </c>
      <c r="X1655" s="1014">
        <v>11.32225564844193</v>
      </c>
      <c r="Y1655" s="1014">
        <v>12.186521576419768</v>
      </c>
      <c r="Z1655" s="1014">
        <f t="shared" ca="1" si="125"/>
        <v>12.186521576419768</v>
      </c>
      <c r="AB1655" s="1014">
        <v>1.0590324985746247</v>
      </c>
      <c r="AC1655" s="1014">
        <v>3.0463576158940402</v>
      </c>
      <c r="AD1655" s="1014">
        <v>4.0463576158940402</v>
      </c>
      <c r="AE1655" s="1014">
        <v>3.0457236113305406</v>
      </c>
      <c r="AF1655" s="1014">
        <v>3.0443320947731012</v>
      </c>
      <c r="AG1655" s="1014">
        <v>3.0446948872371955</v>
      </c>
      <c r="AH1655" s="1014">
        <v>3.0450576797012907</v>
      </c>
      <c r="AI1655" s="1014">
        <v>3.045420472165385</v>
      </c>
      <c r="AJ1655" s="1014">
        <v>3.0457832646294793</v>
      </c>
      <c r="AK1655" s="1014">
        <v>3.0461460570935746</v>
      </c>
      <c r="AL1655" s="1014">
        <v>3.0465088495576689</v>
      </c>
      <c r="AM1655" s="1014">
        <v>2.0472663615516082</v>
      </c>
      <c r="AN1655" s="1014">
        <v>2.0526082849403009</v>
      </c>
      <c r="AO1655" s="1014">
        <v>4.0449315772046877</v>
      </c>
      <c r="AP1655" s="1014">
        <v>3.0428941254239614</v>
      </c>
      <c r="AQ1655" s="1014">
        <v>3.0400991616492945</v>
      </c>
      <c r="AR1655" s="1014">
        <v>5.035789173886748</v>
      </c>
      <c r="AS1655" s="1014">
        <v>6.0322366981181421</v>
      </c>
      <c r="AT1655" s="1014">
        <v>7.0286842223495345</v>
      </c>
      <c r="AU1655" s="1014">
        <v>8.0251317465809286</v>
      </c>
      <c r="AV1655" s="1014">
        <f t="shared" ca="1" si="124"/>
        <v>8.0251317465809286</v>
      </c>
      <c r="AX1655" s="88" t="str">
        <f t="shared" ca="1" si="126"/>
        <v>MVEORA</v>
      </c>
    </row>
    <row r="1656" spans="1:50" hidden="1">
      <c r="A1656" s="88" t="str">
        <f t="shared" ref="A1656:A1689" ca="1" si="127">A1557</f>
        <v>MVERWE</v>
      </c>
      <c r="F1656" s="1014">
        <v>1.3492063492063484</v>
      </c>
      <c r="G1656" s="1014">
        <v>3.2925170068027203</v>
      </c>
      <c r="H1656" s="1014">
        <v>4.2925170068027203</v>
      </c>
      <c r="I1656" s="1014">
        <v>3.8157093212038262</v>
      </c>
      <c r="J1656" s="1014">
        <v>4.0489608072025645</v>
      </c>
      <c r="K1656" s="1014">
        <v>4.3184934723396253</v>
      </c>
      <c r="L1656" s="1014">
        <v>4.5880261374766862</v>
      </c>
      <c r="M1656" s="1014">
        <v>4.8575588026137471</v>
      </c>
      <c r="N1656" s="1014">
        <v>5.127091467750807</v>
      </c>
      <c r="O1656" s="1014">
        <v>5.3966241328878679</v>
      </c>
      <c r="P1656" s="1014">
        <v>5.6842973875940901</v>
      </c>
      <c r="Q1656" s="1014">
        <v>4.9742382159964569</v>
      </c>
      <c r="R1656" s="1014">
        <v>4.6820298138979455</v>
      </c>
      <c r="S1656" s="1014">
        <v>6.6797622402018</v>
      </c>
      <c r="T1656" s="1014">
        <v>5.6774946665056554</v>
      </c>
      <c r="U1656" s="1014">
        <v>5.6752270928095099</v>
      </c>
      <c r="V1656" s="1014">
        <v>7.6729595191133644</v>
      </c>
      <c r="W1656" s="1014">
        <v>8.6706919454172198</v>
      </c>
      <c r="X1656" s="1014">
        <v>9.6684243717210734</v>
      </c>
      <c r="Y1656" s="1014">
        <v>10.666156798024929</v>
      </c>
      <c r="Z1656" s="1014">
        <f t="shared" ca="1" si="125"/>
        <v>10.666156798024929</v>
      </c>
      <c r="AB1656" s="1014">
        <v>9.0993816060699082</v>
      </c>
      <c r="AC1656" s="1014">
        <v>11.071970527608437</v>
      </c>
      <c r="AD1656" s="1014">
        <v>12.071970527608437</v>
      </c>
      <c r="AE1656" s="1014">
        <v>11.189200748994162</v>
      </c>
      <c r="AF1656" s="1014">
        <v>11.245162467291953</v>
      </c>
      <c r="AG1656" s="1014">
        <v>11.299019014763905</v>
      </c>
      <c r="AH1656" s="1014">
        <v>11.354980733061696</v>
      </c>
      <c r="AI1656" s="1014">
        <v>11.410942451359487</v>
      </c>
      <c r="AJ1656" s="1014">
        <v>11.46690416965728</v>
      </c>
      <c r="AK1656" s="1014">
        <v>11.522865887955069</v>
      </c>
      <c r="AL1656" s="1014">
        <v>11.578827606252862</v>
      </c>
      <c r="AM1656" s="1014">
        <v>10.640096109340794</v>
      </c>
      <c r="AN1656" s="1014">
        <v>11.578827606252862</v>
      </c>
      <c r="AO1656" s="1014">
        <v>11.578827606252862</v>
      </c>
      <c r="AP1656" s="1014">
        <v>9.6718687442766971</v>
      </c>
      <c r="AQ1656" s="1014">
        <v>8.7183893132886148</v>
      </c>
      <c r="AR1656" s="1014">
        <v>9.6718687442766988</v>
      </c>
      <c r="AS1656" s="1014">
        <v>9.6718687442766988</v>
      </c>
      <c r="AT1656" s="1014">
        <v>9.6718687442767024</v>
      </c>
      <c r="AU1656" s="1014">
        <v>9.6718687442767024</v>
      </c>
      <c r="AV1656" s="1014">
        <f t="shared" ca="1" si="124"/>
        <v>9.6718687442767024</v>
      </c>
      <c r="AX1656" s="88" t="str">
        <f t="shared" ca="1" si="126"/>
        <v>MVERWE</v>
      </c>
    </row>
    <row r="1657" spans="1:50" hidden="1">
      <c r="A1657" s="88" t="str">
        <f t="shared" ca="1" si="127"/>
        <v>MVESAP</v>
      </c>
      <c r="F1657" s="1014">
        <v>9.0589569160997723</v>
      </c>
      <c r="G1657" s="1014">
        <v>11.056689342403628</v>
      </c>
      <c r="H1657" s="1014">
        <v>12.056689342403628</v>
      </c>
      <c r="I1657" s="1014">
        <v>11.994861060795124</v>
      </c>
      <c r="J1657" s="1014">
        <v>12.45374283835822</v>
      </c>
      <c r="K1657" s="1014">
        <v>12.930765205490477</v>
      </c>
      <c r="L1657" s="1014">
        <v>13.407787572622732</v>
      </c>
      <c r="M1657" s="1014">
        <v>13.884809939754989</v>
      </c>
      <c r="N1657" s="1014">
        <v>14.361832306887244</v>
      </c>
      <c r="O1657" s="1014">
        <v>14.838854674019501</v>
      </c>
      <c r="P1657" s="1014">
        <v>15.315877041151758</v>
      </c>
      <c r="Q1657" s="1014">
        <v>14.795166981980159</v>
      </c>
      <c r="R1657" s="1014">
        <v>15.315877041151758</v>
      </c>
      <c r="S1657" s="1014">
        <v>15.315877041151758</v>
      </c>
      <c r="T1657" s="1014">
        <v>15.315877041151762</v>
      </c>
      <c r="U1657" s="1014">
        <v>15.315877041151763</v>
      </c>
      <c r="V1657" s="1014">
        <v>15.315877041151763</v>
      </c>
      <c r="W1657" s="1014">
        <v>15.315877041151765</v>
      </c>
      <c r="X1657" s="1014">
        <v>15.315877041151765</v>
      </c>
      <c r="Y1657" s="1014">
        <v>15.315877041151765</v>
      </c>
      <c r="Z1657" s="1014">
        <f t="shared" ca="1" si="125"/>
        <v>15.315877041151765</v>
      </c>
      <c r="AB1657" s="1014">
        <v>2.2410859172843285</v>
      </c>
      <c r="AC1657" s="1014">
        <v>4.2091136353668688</v>
      </c>
      <c r="AD1657" s="1014">
        <v>5.2091136353668688</v>
      </c>
      <c r="AE1657" s="1014">
        <v>6.2038068505767274</v>
      </c>
      <c r="AF1657" s="1014">
        <v>7.198500065786587</v>
      </c>
      <c r="AG1657" s="1014">
        <v>6.2919587130952124</v>
      </c>
      <c r="AH1657" s="1014">
        <v>6.3339294735286131</v>
      </c>
      <c r="AI1657" s="1014">
        <v>6.4193570240854703</v>
      </c>
      <c r="AJ1657" s="1014">
        <v>6.4806001469504508</v>
      </c>
      <c r="AK1657" s="1014">
        <v>6.5418432698154323</v>
      </c>
      <c r="AL1657" s="1014">
        <v>5.6129543809265448</v>
      </c>
      <c r="AM1657" s="1014">
        <v>4.6840654920376545</v>
      </c>
      <c r="AN1657" s="1014">
        <v>4.7004275271311649</v>
      </c>
      <c r="AO1657" s="1014">
        <v>4.7362477807738026</v>
      </c>
      <c r="AP1657" s="1014">
        <v>6.6687622492924739</v>
      </c>
      <c r="AQ1657" s="1014">
        <v>7.6529296103731284</v>
      </c>
      <c r="AR1657" s="1014">
        <v>8.6370969714537829</v>
      </c>
      <c r="AS1657" s="1014">
        <v>9.6212643325344374</v>
      </c>
      <c r="AT1657" s="1014">
        <v>10.605431693615092</v>
      </c>
      <c r="AU1657" s="1014">
        <v>9.6849881417614085</v>
      </c>
      <c r="AV1657" s="1014">
        <f t="shared" ca="1" si="124"/>
        <v>9.6849881417614085</v>
      </c>
      <c r="AX1657" s="88" t="str">
        <f t="shared" ca="1" si="126"/>
        <v>MVESAP</v>
      </c>
    </row>
    <row r="1658" spans="1:50" hidden="1">
      <c r="A1658" s="88" t="str">
        <f t="shared" ca="1" si="127"/>
        <v>MVEUN0</v>
      </c>
      <c r="F1658" s="1014">
        <v>2.2562358276643972</v>
      </c>
      <c r="G1658" s="1014">
        <v>4.2358276643990909</v>
      </c>
      <c r="H1658" s="1014">
        <v>5.2358276643990909</v>
      </c>
      <c r="I1658" s="1014">
        <v>6.2335600907029463</v>
      </c>
      <c r="J1658" s="1014">
        <v>7.2312925170068008</v>
      </c>
      <c r="K1658" s="1014">
        <v>6.240859262837283</v>
      </c>
      <c r="L1658" s="1014">
        <v>6.2445088489044522</v>
      </c>
      <c r="M1658" s="1014">
        <v>6.2481584349716215</v>
      </c>
      <c r="N1658" s="1014">
        <v>6.2336674314696285</v>
      </c>
      <c r="O1658" s="1014">
        <v>6.2191764279676365</v>
      </c>
      <c r="P1658" s="1014">
        <v>5.2250935877309521</v>
      </c>
      <c r="Q1658" s="1014">
        <v>4.231010747494266</v>
      </c>
      <c r="R1658" s="1014">
        <v>4.4269076466878676</v>
      </c>
      <c r="S1658" s="1014">
        <v>4.5176105945336715</v>
      </c>
      <c r="T1658" s="1014">
        <v>6.3860913201572549</v>
      </c>
      <c r="U1658" s="1014">
        <v>7.365683156891949</v>
      </c>
      <c r="V1658" s="1014">
        <v>8.3452749936266422</v>
      </c>
      <c r="W1658" s="1014">
        <v>9.3248668303613371</v>
      </c>
      <c r="X1658" s="1014">
        <v>10.30445866709603</v>
      </c>
      <c r="Y1658" s="1014">
        <v>10.409050503830723</v>
      </c>
      <c r="Z1658" s="1014">
        <f t="shared" ca="1" si="125"/>
        <v>10.409050503830723</v>
      </c>
      <c r="AB1658" s="1014">
        <v>10.32739792114381</v>
      </c>
      <c r="AC1658" s="1014">
        <v>12.29542563922635</v>
      </c>
      <c r="AD1658" s="1014">
        <v>13.29542563922635</v>
      </c>
      <c r="AE1658" s="1014">
        <v>12.259770716268253</v>
      </c>
      <c r="AF1658" s="1014">
        <v>12.223501081200327</v>
      </c>
      <c r="AG1658" s="1014">
        <v>12.1819685190678</v>
      </c>
      <c r="AH1658" s="1014">
        <v>12.145698883999872</v>
      </c>
      <c r="AI1658" s="1014">
        <v>12.109429248931947</v>
      </c>
      <c r="AJ1658" s="1014">
        <v>12.073159613864021</v>
      </c>
      <c r="AK1658" s="1014">
        <v>12.036889978796095</v>
      </c>
      <c r="AL1658" s="1014">
        <v>11.037504690905925</v>
      </c>
      <c r="AM1658" s="1014">
        <v>10.038119403015754</v>
      </c>
      <c r="AN1658" s="1014">
        <v>11.037504690905925</v>
      </c>
      <c r="AO1658" s="1014">
        <v>11.037504690905925</v>
      </c>
      <c r="AP1658" s="1014">
        <v>11.037504690905916</v>
      </c>
      <c r="AQ1658" s="1014">
        <v>11.037504690905916</v>
      </c>
      <c r="AR1658" s="1014">
        <v>9.0376412935969874</v>
      </c>
      <c r="AS1658" s="1014">
        <v>8.0377095949425232</v>
      </c>
      <c r="AT1658" s="1014">
        <v>7.0377778962880635</v>
      </c>
      <c r="AU1658" s="1014">
        <v>6.0378461976336002</v>
      </c>
      <c r="AV1658" s="1014">
        <f t="shared" ca="1" si="124"/>
        <v>6.0378461976336002</v>
      </c>
      <c r="AX1658" s="88" t="str">
        <f t="shared" ca="1" si="126"/>
        <v>MVEUN0</v>
      </c>
    </row>
    <row r="1659" spans="1:50" hidden="1">
      <c r="A1659" s="88" t="str">
        <f t="shared" ca="1" si="127"/>
        <v>SAFAAPL</v>
      </c>
      <c r="F1659" s="1014">
        <v>10.328798185941043</v>
      </c>
      <c r="G1659" s="1014">
        <v>12.326530612244898</v>
      </c>
      <c r="H1659" s="1014">
        <v>13.326530612244898</v>
      </c>
      <c r="I1659" s="1014">
        <v>12.306122448979592</v>
      </c>
      <c r="J1659" s="1014">
        <v>12.285714285714285</v>
      </c>
      <c r="K1659" s="1014">
        <v>12.229024943310657</v>
      </c>
      <c r="L1659" s="1014">
        <v>12.172335600907029</v>
      </c>
      <c r="M1659" s="1014">
        <v>12.1156462585034</v>
      </c>
      <c r="N1659" s="1014">
        <v>12.058956916099772</v>
      </c>
      <c r="O1659" s="1014">
        <v>12.002267573696145</v>
      </c>
      <c r="P1659" s="1014">
        <v>11.002267573696145</v>
      </c>
      <c r="Q1659" s="1014">
        <v>10.002267573696145</v>
      </c>
      <c r="R1659" s="1014">
        <v>11.002267573696145</v>
      </c>
      <c r="S1659" s="1014">
        <v>11.002267573696145</v>
      </c>
      <c r="T1659" s="1014">
        <v>11.002267573696145</v>
      </c>
      <c r="U1659" s="1014">
        <v>11.002267573696145</v>
      </c>
      <c r="V1659" s="1014">
        <v>11.002267573696145</v>
      </c>
      <c r="W1659" s="1014">
        <v>11.002267573696145</v>
      </c>
      <c r="X1659" s="1014">
        <v>11.002267573696145</v>
      </c>
      <c r="Y1659" s="1014">
        <v>11.002267573696145</v>
      </c>
      <c r="Z1659" s="1014">
        <f t="shared" ca="1" si="125"/>
        <v>11.002267573696145</v>
      </c>
      <c r="AB1659" s="1014">
        <v>10.115128297519592</v>
      </c>
      <c r="AC1659" s="1014">
        <v>12.062454285157322</v>
      </c>
      <c r="AD1659" s="1014">
        <v>11.139852833934533</v>
      </c>
      <c r="AE1659" s="1014">
        <v>13.099004530994547</v>
      </c>
      <c r="AF1659" s="1014">
        <v>14.096855502443168</v>
      </c>
      <c r="AG1659" s="1014">
        <v>15.09575905930471</v>
      </c>
      <c r="AH1659" s="1014">
        <v>14.159698896735991</v>
      </c>
      <c r="AI1659" s="1014">
        <v>14.191120593882401</v>
      </c>
      <c r="AJ1659" s="1014">
        <v>14.222542291028811</v>
      </c>
      <c r="AK1659" s="1014">
        <v>14.253963988175222</v>
      </c>
      <c r="AL1659" s="1014">
        <v>13.286482128460092</v>
      </c>
      <c r="AM1659" s="1014">
        <v>12.319000268744961</v>
      </c>
      <c r="AN1659" s="1014">
        <v>11.369104905907378</v>
      </c>
      <c r="AO1659" s="1014">
        <v>10.410416294631021</v>
      </c>
      <c r="AP1659" s="1014">
        <v>9.4390368247387606</v>
      </c>
      <c r="AQ1659" s="1014">
        <v>8.4740027841544521</v>
      </c>
      <c r="AR1659" s="1014">
        <v>7.4973354565055663</v>
      </c>
      <c r="AS1659" s="1014">
        <v>6.5264847723889687</v>
      </c>
      <c r="AT1659" s="1014">
        <v>5.5556340882723712</v>
      </c>
      <c r="AU1659" s="1014">
        <v>4.5847834041557736</v>
      </c>
      <c r="AV1659" s="1014">
        <f t="shared" ca="1" si="124"/>
        <v>4.5847834041557736</v>
      </c>
      <c r="AX1659" s="88" t="str">
        <f t="shared" ca="1" si="126"/>
        <v>SAFAAPL</v>
      </c>
    </row>
    <row r="1660" spans="1:50" hidden="1">
      <c r="A1660" s="88" t="str">
        <f t="shared" ca="1" si="127"/>
        <v>SAFAMZN</v>
      </c>
      <c r="F1660" s="1014">
        <v>10.523168824316429</v>
      </c>
      <c r="G1660" s="1014">
        <v>12.387434752294268</v>
      </c>
      <c r="H1660" s="1014">
        <v>11.437296248139145</v>
      </c>
      <c r="I1660" s="1014">
        <v>13.410097926520562</v>
      </c>
      <c r="J1660" s="1014">
        <v>14.407830352824417</v>
      </c>
      <c r="K1660" s="1014">
        <v>15.387422189559111</v>
      </c>
      <c r="L1660" s="1014">
        <v>14.337653262380398</v>
      </c>
      <c r="M1660" s="1014">
        <v>14.284424127589226</v>
      </c>
      <c r="N1660" s="1014">
        <v>14.231194992798056</v>
      </c>
      <c r="O1660" s="1014">
        <v>14.177965858006885</v>
      </c>
      <c r="P1660" s="1014">
        <v>13.181426065619343</v>
      </c>
      <c r="Q1660" s="1014">
        <v>12.218782184537499</v>
      </c>
      <c r="R1660" s="1014">
        <v>11.815657971889477</v>
      </c>
      <c r="S1660" s="1014">
        <v>10.802873984746515</v>
      </c>
      <c r="T1660" s="1014">
        <v>9.9749449906636762</v>
      </c>
      <c r="U1660" s="1014">
        <v>9.1349449906636764</v>
      </c>
      <c r="V1660" s="1014">
        <v>7.97494499066367</v>
      </c>
      <c r="W1660" s="1014">
        <v>6.97494499066367</v>
      </c>
      <c r="X1660" s="1014">
        <v>5.97494499066367</v>
      </c>
      <c r="Y1660" s="1014">
        <v>4.97494499066367</v>
      </c>
      <c r="Z1660" s="1014">
        <f t="shared" ca="1" si="125"/>
        <v>4.97494499066367</v>
      </c>
      <c r="AB1660" s="1014">
        <v>2.009517126441823</v>
      </c>
      <c r="AC1660" s="1014">
        <v>4.0059646506732163</v>
      </c>
      <c r="AD1660" s="1014">
        <v>5.0059646506732163</v>
      </c>
      <c r="AE1660" s="1014">
        <v>6.0059207929476779</v>
      </c>
      <c r="AF1660" s="1014">
        <v>5.0466932617527513</v>
      </c>
      <c r="AG1660" s="1014">
        <v>5.0667067054882127</v>
      </c>
      <c r="AH1660" s="1014">
        <v>5.0975619859583681</v>
      </c>
      <c r="AI1660" s="1014">
        <v>5.122996348061176</v>
      </c>
      <c r="AJ1660" s="1014">
        <v>5.1484307101639848</v>
      </c>
      <c r="AK1660" s="1014">
        <v>5.1738650722667927</v>
      </c>
      <c r="AL1660" s="1014">
        <v>4.1996941538994461</v>
      </c>
      <c r="AM1660" s="1014">
        <v>3.225523235532096</v>
      </c>
      <c r="AN1660" s="1014">
        <v>5.1996502961739051</v>
      </c>
      <c r="AO1660" s="1014">
        <v>6.1996064384483667</v>
      </c>
      <c r="AP1660" s="1014">
        <v>7.1995625807228283</v>
      </c>
      <c r="AQ1660" s="1014">
        <v>8.1995187229972899</v>
      </c>
      <c r="AR1660" s="1014">
        <v>9.1994748652717515</v>
      </c>
      <c r="AS1660" s="1014">
        <v>10.199431007546213</v>
      </c>
      <c r="AT1660" s="1014">
        <v>11.199387149820675</v>
      </c>
      <c r="AU1660" s="1014">
        <v>12.199343292095136</v>
      </c>
      <c r="AV1660" s="1014">
        <f t="shared" ref="AV1660:AV1689" ca="1" si="128">SUMPRODUCT(AB1561:AV1561,AB1561:AV1561)</f>
        <v>12.199343292095136</v>
      </c>
      <c r="AX1660" s="88" t="str">
        <f t="shared" ca="1" si="126"/>
        <v>SAFAMZN</v>
      </c>
    </row>
    <row r="1661" spans="1:50" hidden="1">
      <c r="A1661" s="88" t="str">
        <f t="shared" ca="1" si="127"/>
        <v>SAFASML</v>
      </c>
      <c r="F1661" s="1014">
        <v>2.3832199546485255</v>
      </c>
      <c r="G1661" s="1014">
        <v>4.3809523809523805</v>
      </c>
      <c r="H1661" s="1014">
        <v>5.3809523809523805</v>
      </c>
      <c r="I1661" s="1014">
        <v>6.3242630385487519</v>
      </c>
      <c r="J1661" s="1014">
        <v>5.4405840767679621</v>
      </c>
      <c r="K1661" s="1014">
        <v>5.5066811038140742</v>
      </c>
      <c r="L1661" s="1014">
        <v>5.9240402043170199</v>
      </c>
      <c r="M1661" s="1014">
        <v>6.1476276785223885</v>
      </c>
      <c r="N1661" s="1014">
        <v>6.3712151527277561</v>
      </c>
      <c r="O1661" s="1014">
        <v>6.5948026269331237</v>
      </c>
      <c r="P1661" s="1014">
        <v>5.8750794435421199</v>
      </c>
      <c r="Q1661" s="1014">
        <v>5.1553562601511178</v>
      </c>
      <c r="R1661" s="1014">
        <v>6.872811869845977</v>
      </c>
      <c r="S1661" s="1014">
        <v>7.8705442961498315</v>
      </c>
      <c r="T1661" s="1014">
        <v>8.868276722453686</v>
      </c>
      <c r="U1661" s="1014">
        <v>9.8660091487575414</v>
      </c>
      <c r="V1661" s="1014">
        <v>10.863741575061397</v>
      </c>
      <c r="W1661" s="1014">
        <v>11.861474001365252</v>
      </c>
      <c r="X1661" s="1014">
        <v>12.859206427669106</v>
      </c>
      <c r="Y1661" s="1014">
        <v>13.856938853972961</v>
      </c>
      <c r="Z1661" s="1014">
        <f t="shared" ref="Z1661:Z1689" ca="1" si="129">SUMPRODUCT(F1561:Z1561,F1561:Z1561)</f>
        <v>13.856938853972961</v>
      </c>
      <c r="AB1661" s="1014">
        <v>3.0087715451076704</v>
      </c>
      <c r="AC1661" s="1014">
        <v>4.0087715451076704</v>
      </c>
      <c r="AD1661" s="1014">
        <v>5.0087715451076704</v>
      </c>
      <c r="AE1661" s="1014">
        <v>4.0428631024883437</v>
      </c>
      <c r="AF1661" s="1014">
        <v>4.0597115214137585</v>
      </c>
      <c r="AG1661" s="1014">
        <v>4.0769108021434795</v>
      </c>
      <c r="AH1661" s="1014">
        <v>4.0941100828732004</v>
      </c>
      <c r="AI1661" s="1014">
        <v>4.1113093636029214</v>
      </c>
      <c r="AJ1661" s="1014">
        <v>4.1285086443326424</v>
      </c>
      <c r="AK1661" s="1014">
        <v>4.1457079250623634</v>
      </c>
      <c r="AL1661" s="1014">
        <v>4.1629072057920844</v>
      </c>
      <c r="AM1661" s="1014">
        <v>4.1801064865218054</v>
      </c>
      <c r="AN1661" s="1014">
        <v>5.1628633480665496</v>
      </c>
      <c r="AO1661" s="1014">
        <v>6.1617669049280916</v>
      </c>
      <c r="AP1661" s="1014">
        <v>7.160670461789632</v>
      </c>
      <c r="AQ1661" s="1014">
        <v>8.159574018651174</v>
      </c>
      <c r="AR1661" s="1014">
        <v>9.1584775755127144</v>
      </c>
      <c r="AS1661" s="1014">
        <v>10.157381132374256</v>
      </c>
      <c r="AT1661" s="1014">
        <v>11.156284689235797</v>
      </c>
      <c r="AU1661" s="1014">
        <v>12.155188246097339</v>
      </c>
      <c r="AV1661" s="1014">
        <f t="shared" ca="1" si="128"/>
        <v>12.155188246097339</v>
      </c>
      <c r="AX1661" s="88" t="str">
        <f t="shared" ca="1" si="126"/>
        <v>SAFASML</v>
      </c>
    </row>
    <row r="1662" spans="1:50" hidden="1">
      <c r="A1662" s="88" t="str">
        <f t="shared" ca="1" si="127"/>
        <v>SAFDDD</v>
      </c>
      <c r="F1662" s="1014">
        <v>5.1224489795918364</v>
      </c>
      <c r="G1662" s="1014">
        <v>6.1224489795918364</v>
      </c>
      <c r="H1662" s="1014">
        <v>7.1224489795918364</v>
      </c>
      <c r="I1662" s="1014">
        <v>6.9002267573696141</v>
      </c>
      <c r="J1662" s="1014">
        <v>7.233560090702948</v>
      </c>
      <c r="K1662" s="1014">
        <v>7.566893424036282</v>
      </c>
      <c r="L1662" s="1014">
        <v>7.9002267573696159</v>
      </c>
      <c r="M1662" s="1014">
        <v>8.233560090702948</v>
      </c>
      <c r="N1662" s="1014">
        <v>8.621315192743765</v>
      </c>
      <c r="O1662" s="1014">
        <v>9.009070294784582</v>
      </c>
      <c r="P1662" s="1014">
        <v>9.396825396825399</v>
      </c>
      <c r="Q1662" s="1014">
        <v>9.7301587301587311</v>
      </c>
      <c r="R1662" s="1014">
        <v>10.285714285714286</v>
      </c>
      <c r="S1662" s="1014">
        <v>11.102040816326532</v>
      </c>
      <c r="T1662" s="1014">
        <v>11.918367346938776</v>
      </c>
      <c r="U1662" s="1014">
        <v>12.734693877551022</v>
      </c>
      <c r="V1662" s="1014">
        <v>13.551020408163268</v>
      </c>
      <c r="W1662" s="1014">
        <v>14.367346938775512</v>
      </c>
      <c r="X1662" s="1014">
        <v>15.183673469387756</v>
      </c>
      <c r="Y1662" s="1014">
        <v>16</v>
      </c>
      <c r="Z1662" s="1014">
        <f t="shared" ca="1" si="129"/>
        <v>16</v>
      </c>
      <c r="AB1662" s="1014">
        <v>3.54191501069208</v>
      </c>
      <c r="AC1662" s="1014">
        <v>5.5400246515238383</v>
      </c>
      <c r="AD1662" s="1014">
        <v>6.5400246515238383</v>
      </c>
      <c r="AE1662" s="1014">
        <v>5.4936732524426439</v>
      </c>
      <c r="AF1662" s="1014">
        <v>5.4466170213464133</v>
      </c>
      <c r="AG1662" s="1014">
        <v>5.410437506183694</v>
      </c>
      <c r="AH1662" s="1014">
        <v>4.4111423381987303</v>
      </c>
      <c r="AI1662" s="1014">
        <v>4.3749628230360109</v>
      </c>
      <c r="AJ1662" s="1014">
        <v>4.3387833078732916</v>
      </c>
      <c r="AK1662" s="1014">
        <v>4.3026037927105731</v>
      </c>
      <c r="AL1662" s="1014">
        <v>3.3033086247256112</v>
      </c>
      <c r="AM1662" s="1014">
        <v>3.2671291095628918</v>
      </c>
      <c r="AN1662" s="1014">
        <v>2.2704823897140756</v>
      </c>
      <c r="AO1662" s="1014">
        <v>2.23562709861943</v>
      </c>
      <c r="AP1662" s="1014">
        <v>2.1973748523833581</v>
      </c>
      <c r="AQ1662" s="1014">
        <v>4.1601599266932059</v>
      </c>
      <c r="AR1662" s="1014">
        <v>3.1247364998952905</v>
      </c>
      <c r="AS1662" s="1014">
        <v>3.0885826129074547</v>
      </c>
      <c r="AT1662" s="1014">
        <v>3.0524287259196194</v>
      </c>
      <c r="AU1662" s="1014">
        <v>3.0162748389317842</v>
      </c>
      <c r="AV1662" s="1014">
        <f t="shared" ca="1" si="128"/>
        <v>3.0162748389317842</v>
      </c>
      <c r="AX1662" s="88" t="str">
        <f t="shared" ca="1" si="126"/>
        <v>SAFDDD</v>
      </c>
    </row>
    <row r="1663" spans="1:50" hidden="1">
      <c r="A1663" s="88" t="str">
        <f t="shared" ca="1" si="127"/>
        <v>SAFDIS</v>
      </c>
      <c r="F1663" s="1014">
        <v>3.0735673770893395</v>
      </c>
      <c r="G1663" s="1014">
        <v>5.0707972939868462</v>
      </c>
      <c r="H1663" s="1014">
        <v>6.0707972939868462</v>
      </c>
      <c r="I1663" s="1014">
        <v>5.0573095459464525</v>
      </c>
      <c r="J1663" s="1014">
        <v>5.0403615902936041</v>
      </c>
      <c r="K1663" s="1014">
        <v>5.0415542242099152</v>
      </c>
      <c r="L1663" s="1014">
        <v>4.0450144318223717</v>
      </c>
      <c r="M1663" s="1014">
        <v>4.0462070657386837</v>
      </c>
      <c r="N1663" s="1014">
        <v>4.0473996996549948</v>
      </c>
      <c r="O1663" s="1014">
        <v>4.0485923335713068</v>
      </c>
      <c r="P1663" s="1014">
        <v>3.0520525411837625</v>
      </c>
      <c r="Q1663" s="1014">
        <v>3.0532451751000744</v>
      </c>
      <c r="R1663" s="1014">
        <v>2.5497849674876183</v>
      </c>
      <c r="S1663" s="1014">
        <v>2.7975173937914732</v>
      </c>
      <c r="T1663" s="1014">
        <v>3.6702498200953277</v>
      </c>
      <c r="U1663" s="1014">
        <v>5.1054822463991831</v>
      </c>
      <c r="V1663" s="1014">
        <v>4.7204986233203226</v>
      </c>
      <c r="W1663" s="1014">
        <v>5.0268730249328204</v>
      </c>
      <c r="X1663" s="1014">
        <v>5.3332474265453165</v>
      </c>
      <c r="Y1663" s="1014">
        <v>5.6396218281578143</v>
      </c>
      <c r="Z1663" s="1014">
        <f t="shared" ca="1" si="129"/>
        <v>5.6396218281578143</v>
      </c>
      <c r="AB1663" s="1014">
        <v>3.0557870268847864</v>
      </c>
      <c r="AC1663" s="1014">
        <v>4.0557870268847864</v>
      </c>
      <c r="AD1663" s="1014">
        <v>5.0557870268847864</v>
      </c>
      <c r="AE1663" s="1014">
        <v>4.1203298697889839</v>
      </c>
      <c r="AF1663" s="1014">
        <v>4.151526776965393</v>
      </c>
      <c r="AG1663" s="1014">
        <v>4.1813202369245746</v>
      </c>
      <c r="AH1663" s="1014">
        <v>4.2111136968837561</v>
      </c>
      <c r="AI1663" s="1014">
        <v>4.2409071568429377</v>
      </c>
      <c r="AJ1663" s="1014">
        <v>4.2707006168021193</v>
      </c>
      <c r="AK1663" s="1014">
        <v>4.3004940767613018</v>
      </c>
      <c r="AL1663" s="1014">
        <v>3.3338400124890888</v>
      </c>
      <c r="AM1663" s="1014">
        <v>3.3618791634267362</v>
      </c>
      <c r="AN1663" s="1014">
        <v>3.3795743247091687</v>
      </c>
      <c r="AO1663" s="1014">
        <v>3.4033186353299762</v>
      </c>
      <c r="AP1663" s="1014">
        <v>5.3724693731719562</v>
      </c>
      <c r="AQ1663" s="1014">
        <v>6.3689168974033485</v>
      </c>
      <c r="AR1663" s="1014">
        <v>7.3653644216347427</v>
      </c>
      <c r="AS1663" s="1014">
        <v>8.3618119458661369</v>
      </c>
      <c r="AT1663" s="1014">
        <v>9.3582594700975292</v>
      </c>
      <c r="AU1663" s="1014">
        <v>10.354706994328922</v>
      </c>
      <c r="AV1663" s="1014">
        <f t="shared" ca="1" si="128"/>
        <v>10.354706994328922</v>
      </c>
      <c r="AX1663" s="88" t="str">
        <f t="shared" ca="1" si="126"/>
        <v>SAFDIS</v>
      </c>
    </row>
    <row r="1664" spans="1:50" hidden="1">
      <c r="A1664" s="88" t="str">
        <f t="shared" ca="1" si="127"/>
        <v>SAFGM</v>
      </c>
      <c r="F1664" s="1014">
        <v>3.562358276643991</v>
      </c>
      <c r="G1664" s="1014">
        <v>4.562358276643991</v>
      </c>
      <c r="H1664" s="1014">
        <v>5.562358276643991</v>
      </c>
      <c r="I1664" s="1014">
        <v>4.541950113378685</v>
      </c>
      <c r="J1664" s="1014">
        <v>4.5215419501133791</v>
      </c>
      <c r="K1664" s="1014">
        <v>4.5192743764172336</v>
      </c>
      <c r="L1664" s="1014">
        <v>4.5170068027210881</v>
      </c>
      <c r="M1664" s="1014">
        <v>4.5147392290249435</v>
      </c>
      <c r="N1664" s="1014">
        <v>4.512471655328798</v>
      </c>
      <c r="O1664" s="1014">
        <v>4.5102040816326525</v>
      </c>
      <c r="P1664" s="1014">
        <v>3.510204081632653</v>
      </c>
      <c r="Q1664" s="1014">
        <v>3.4535147392290249</v>
      </c>
      <c r="R1664" s="1014">
        <v>4.1168253968253969</v>
      </c>
      <c r="S1664" s="1014">
        <v>4.4201360544217696</v>
      </c>
      <c r="T1664" s="1014">
        <v>6.0034467120181407</v>
      </c>
      <c r="U1664" s="1014">
        <v>6.9467573696145131</v>
      </c>
      <c r="V1664" s="1014">
        <v>7.8900680272108845</v>
      </c>
      <c r="W1664" s="1014">
        <v>8.8333786848072577</v>
      </c>
      <c r="X1664" s="1014">
        <v>9.7766893424036283</v>
      </c>
      <c r="Y1664" s="1014">
        <v>10.72</v>
      </c>
      <c r="Z1664" s="1014">
        <f t="shared" ca="1" si="129"/>
        <v>10.72</v>
      </c>
      <c r="AB1664" s="1014">
        <v>1.1895806095514412</v>
      </c>
      <c r="AC1664" s="1014">
        <v>3.1825057558524281</v>
      </c>
      <c r="AD1664" s="1014">
        <v>4.1825057558524286</v>
      </c>
      <c r="AE1664" s="1014">
        <v>3.1864857546686283</v>
      </c>
      <c r="AF1664" s="1014">
        <v>3.1847697762687375</v>
      </c>
      <c r="AG1664" s="1014">
        <v>3.1805977652386987</v>
      </c>
      <c r="AH1664" s="1014">
        <v>3.1764257542086605</v>
      </c>
      <c r="AI1664" s="1014">
        <v>3.1722537431786213</v>
      </c>
      <c r="AJ1664" s="1014">
        <v>3.168081732148583</v>
      </c>
      <c r="AK1664" s="1014">
        <v>3.1639097211185443</v>
      </c>
      <c r="AL1664" s="1014">
        <v>2.1760136727027373</v>
      </c>
      <c r="AM1664" s="1014">
        <v>2.1791958334351498</v>
      </c>
      <c r="AN1664" s="1014">
        <v>2.1862034904371055</v>
      </c>
      <c r="AO1664" s="1014">
        <v>2.1888574059424624</v>
      </c>
      <c r="AP1664" s="1014">
        <v>4.1608537250759374</v>
      </c>
      <c r="AQ1664" s="1014">
        <v>3.188995168925965</v>
      </c>
      <c r="AR1664" s="1014">
        <v>3.1967284495106867</v>
      </c>
      <c r="AS1664" s="1014">
        <v>3.2044617300954088</v>
      </c>
      <c r="AT1664" s="1014">
        <v>3.2121950106801305</v>
      </c>
      <c r="AU1664" s="1014">
        <v>3.2199282912648521</v>
      </c>
      <c r="AV1664" s="1014">
        <f t="shared" ca="1" si="128"/>
        <v>3.2199282912648521</v>
      </c>
      <c r="AX1664" s="88" t="str">
        <f t="shared" ca="1" si="126"/>
        <v>SAFGM</v>
      </c>
    </row>
    <row r="1665" spans="1:50" hidden="1">
      <c r="A1665" s="88" t="str">
        <f t="shared" ca="1" si="127"/>
        <v>SAFIAG</v>
      </c>
      <c r="F1665" s="1014">
        <v>1.2981114014233146</v>
      </c>
      <c r="G1665" s="1014">
        <v>3.2669695329112036</v>
      </c>
      <c r="H1665" s="1014">
        <v>4.2669695329112036</v>
      </c>
      <c r="I1665" s="1014">
        <v>3.3447019592150591</v>
      </c>
      <c r="J1665" s="1014">
        <v>3.3824343855189136</v>
      </c>
      <c r="K1665" s="1014">
        <v>3.4201668118227686</v>
      </c>
      <c r="L1665" s="1014">
        <v>3.4578992381266236</v>
      </c>
      <c r="M1665" s="1014">
        <v>3.4956316644304786</v>
      </c>
      <c r="N1665" s="1014">
        <v>3.5333640907343336</v>
      </c>
      <c r="O1665" s="1014">
        <v>3.5710965170381881</v>
      </c>
      <c r="P1665" s="1014">
        <v>2.5719128435687999</v>
      </c>
      <c r="Q1665" s="1014">
        <v>4.4948153378998654</v>
      </c>
      <c r="R1665" s="1014">
        <v>5.4744071746345595</v>
      </c>
      <c r="S1665" s="1014">
        <v>6.4539990113692536</v>
      </c>
      <c r="T1665" s="1014">
        <v>7.4335908481039477</v>
      </c>
      <c r="U1665" s="1014">
        <v>6.4539990113692536</v>
      </c>
      <c r="V1665" s="1014">
        <v>8.4131826848386417</v>
      </c>
      <c r="W1665" s="1014">
        <v>9.3927745215733349</v>
      </c>
      <c r="X1665" s="1014">
        <v>10.372366358308028</v>
      </c>
      <c r="Y1665" s="1014">
        <v>11.351958195042723</v>
      </c>
      <c r="Z1665" s="1014">
        <f t="shared" ca="1" si="129"/>
        <v>11.351958195042723</v>
      </c>
      <c r="AB1665" s="1014">
        <v>9.2962150782860409</v>
      </c>
      <c r="AC1665" s="1014">
        <v>11.296171220560502</v>
      </c>
      <c r="AD1665" s="1014">
        <v>12.296171220560502</v>
      </c>
      <c r="AE1665" s="1014">
        <v>13.264198938643043</v>
      </c>
      <c r="AF1665" s="1014">
        <v>12.232842230748359</v>
      </c>
      <c r="AG1665" s="1014">
        <v>12.196265670581994</v>
      </c>
      <c r="AH1665" s="1014">
        <v>12.159230165729525</v>
      </c>
      <c r="AI1665" s="1014">
        <v>12.122424133220107</v>
      </c>
      <c r="AJ1665" s="1014">
        <v>12.08561810071069</v>
      </c>
      <c r="AK1665" s="1014">
        <v>12.048812068201272</v>
      </c>
      <c r="AL1665" s="1014">
        <v>11.04889038286961</v>
      </c>
      <c r="AM1665" s="1014">
        <v>11.001207634426681</v>
      </c>
      <c r="AN1665" s="1014">
        <v>12.001129319758343</v>
      </c>
      <c r="AO1665" s="1014">
        <v>12.001129319758343</v>
      </c>
      <c r="AP1665" s="1014">
        <v>10.001129319758343</v>
      </c>
      <c r="AQ1665" s="1014">
        <v>11.001129319758336</v>
      </c>
      <c r="AR1665" s="1014">
        <v>9.0017670748603766</v>
      </c>
      <c r="AS1665" s="1014">
        <v>8.002085952411397</v>
      </c>
      <c r="AT1665" s="1014">
        <v>7.0024048299624173</v>
      </c>
      <c r="AU1665" s="1014">
        <v>6.0027237075134412</v>
      </c>
      <c r="AV1665" s="1014">
        <f t="shared" ca="1" si="128"/>
        <v>6.0027237075134412</v>
      </c>
      <c r="AX1665" s="88" t="str">
        <f t="shared" ca="1" si="126"/>
        <v>SAFIAG</v>
      </c>
    </row>
    <row r="1666" spans="1:50" hidden="1">
      <c r="A1666" s="88" t="str">
        <f t="shared" ca="1" si="127"/>
        <v>SAFMRNA</v>
      </c>
      <c r="F1666" s="1014">
        <v>11.126984126984125</v>
      </c>
      <c r="G1666" s="1014">
        <v>13.12471655328798</v>
      </c>
      <c r="H1666" s="1014">
        <v>14.12471655328798</v>
      </c>
      <c r="I1666" s="1014">
        <v>14.941043083900226</v>
      </c>
      <c r="J1666" s="1014">
        <v>13.75736961451247</v>
      </c>
      <c r="K1666" s="1014">
        <v>13.51424319727891</v>
      </c>
      <c r="L1666" s="1014">
        <v>13.233130668934241</v>
      </c>
      <c r="M1666" s="1014">
        <v>12.963198696145126</v>
      </c>
      <c r="N1666" s="1014">
        <v>12.693266723356011</v>
      </c>
      <c r="O1666" s="1014">
        <v>12.423334750566896</v>
      </c>
      <c r="P1666" s="1014">
        <v>11.427779195011341</v>
      </c>
      <c r="Q1666" s="1014">
        <v>11.049003684807261</v>
      </c>
      <c r="R1666" s="1014">
        <v>12.044559240362815</v>
      </c>
      <c r="S1666" s="1014">
        <v>12.044559240362815</v>
      </c>
      <c r="T1666" s="1014">
        <v>10.124559240362814</v>
      </c>
      <c r="U1666" s="1014">
        <v>11.084559240362811</v>
      </c>
      <c r="V1666" s="1014">
        <v>11.084559240362809</v>
      </c>
      <c r="W1666" s="1014">
        <v>11.084559240362811</v>
      </c>
      <c r="X1666" s="1014">
        <v>11.084559240362811</v>
      </c>
      <c r="Y1666" s="1014">
        <v>9.9734481292517003</v>
      </c>
      <c r="Z1666" s="1014">
        <f t="shared" ca="1" si="129"/>
        <v>9.9734481292517003</v>
      </c>
      <c r="AB1666" s="1014">
        <v>10.05015477761007</v>
      </c>
      <c r="AC1666" s="1014">
        <v>12.043651135570528</v>
      </c>
      <c r="AD1666" s="1014">
        <v>13.043651135570528</v>
      </c>
      <c r="AE1666" s="1014">
        <v>14.038344350780386</v>
      </c>
      <c r="AF1666" s="1014">
        <v>15.033037565990247</v>
      </c>
      <c r="AG1666" s="1014">
        <v>16.027730781200106</v>
      </c>
      <c r="AH1666" s="1014">
        <v>15.048761002591098</v>
      </c>
      <c r="AI1666" s="1014">
        <v>15.056622720891525</v>
      </c>
      <c r="AJ1666" s="1014">
        <v>15.064484439191951</v>
      </c>
      <c r="AK1666" s="1014">
        <v>15.072346157492376</v>
      </c>
      <c r="AL1666" s="1014">
        <v>14.081518853423555</v>
      </c>
      <c r="AM1666" s="1014">
        <v>13.092689452934428</v>
      </c>
      <c r="AN1666" s="1014">
        <v>12.11591820843565</v>
      </c>
      <c r="AO1666" s="1014">
        <v>11.133117885941697</v>
      </c>
      <c r="AP1666" s="1014">
        <v>12.11591820843565</v>
      </c>
      <c r="AQ1666" s="1014">
        <v>10.146653813927079</v>
      </c>
      <c r="AR1666" s="1014">
        <v>11.131286011181365</v>
      </c>
      <c r="AS1666" s="1014">
        <v>11.131286011181363</v>
      </c>
      <c r="AT1666" s="1014">
        <v>11.131286011181363</v>
      </c>
      <c r="AU1666" s="1014">
        <v>11.131286011181363</v>
      </c>
      <c r="AV1666" s="1014">
        <f t="shared" ca="1" si="128"/>
        <v>11.131286011181363</v>
      </c>
      <c r="AX1666" s="88" t="str">
        <f t="shared" ca="1" si="126"/>
        <v>SAFMRNA</v>
      </c>
    </row>
    <row r="1667" spans="1:50" hidden="1">
      <c r="A1667" s="88" t="str">
        <f t="shared" ca="1" si="127"/>
        <v>BLNK</v>
      </c>
      <c r="F1667" s="1014">
        <v>10.935419501133786</v>
      </c>
      <c r="G1667" s="1014">
        <v>12.575419501133787</v>
      </c>
      <c r="H1667" s="1014">
        <v>13.575419501133787</v>
      </c>
      <c r="I1667" s="1014">
        <v>14.518730158730158</v>
      </c>
      <c r="J1667" s="1014">
        <v>15.46204081632653</v>
      </c>
      <c r="K1667" s="1014">
        <v>16.441632653061223</v>
      </c>
      <c r="L1667" s="1014">
        <v>16.441632653061223</v>
      </c>
      <c r="M1667" s="1014">
        <v>16.931428571428572</v>
      </c>
      <c r="N1667" s="1014">
        <v>17.421224489795918</v>
      </c>
      <c r="O1667" s="1014">
        <v>17.911020408163267</v>
      </c>
      <c r="P1667" s="1014">
        <v>17.053877551020406</v>
      </c>
      <c r="Q1667" s="1014">
        <v>16.380408163265304</v>
      </c>
      <c r="R1667" s="1014">
        <v>15.773877551020405</v>
      </c>
      <c r="S1667" s="1014">
        <v>15.133877551020404</v>
      </c>
      <c r="T1667" s="1014">
        <v>15.773877551020405</v>
      </c>
      <c r="U1667" s="1014">
        <v>14.493877551020404</v>
      </c>
      <c r="V1667" s="1014">
        <v>15.133877551020404</v>
      </c>
      <c r="W1667" s="1014">
        <v>15.133877551020406</v>
      </c>
      <c r="X1667" s="1014">
        <v>15.133877551020406</v>
      </c>
      <c r="Y1667" s="1014">
        <v>15.133877551020406</v>
      </c>
      <c r="Z1667" s="1014">
        <f t="shared" ca="1" si="129"/>
        <v>15.133877551020406</v>
      </c>
      <c r="AB1667" s="1014">
        <v>5.0363041922211522</v>
      </c>
      <c r="AC1667" s="1014">
        <v>7.0253886208244047</v>
      </c>
      <c r="AD1667" s="1014">
        <v>8.0253886208244047</v>
      </c>
      <c r="AE1667" s="1014">
        <v>7.0450707350665196</v>
      </c>
      <c r="AF1667" s="1014">
        <v>7.0538372779118879</v>
      </c>
      <c r="AG1667" s="1014">
        <v>9.0393692307465336</v>
      </c>
      <c r="AH1667" s="1014">
        <v>10.037220202195154</v>
      </c>
      <c r="AI1667" s="1014">
        <v>11.035071173643775</v>
      </c>
      <c r="AJ1667" s="1014">
        <v>12.033974730505317</v>
      </c>
      <c r="AK1667" s="1014">
        <v>13.032878287366858</v>
      </c>
      <c r="AL1667" s="1014">
        <v>13.032878287366858</v>
      </c>
      <c r="AM1667" s="1014">
        <v>13.032878287366858</v>
      </c>
      <c r="AN1667" s="1014">
        <v>14.032834429641319</v>
      </c>
      <c r="AO1667" s="1014">
        <v>15.032790571915781</v>
      </c>
      <c r="AP1667" s="1014">
        <v>14.035490198415207</v>
      </c>
      <c r="AQ1667" s="1014">
        <v>13.03686194052769</v>
      </c>
      <c r="AR1667" s="1014">
        <v>14.035490198415207</v>
      </c>
      <c r="AS1667" s="1014">
        <v>14.035490198415207</v>
      </c>
      <c r="AT1667" s="1014">
        <v>15.035490198415207</v>
      </c>
      <c r="AU1667" s="1014">
        <v>16.035490198415207</v>
      </c>
      <c r="AV1667" s="1014">
        <f t="shared" ca="1" si="128"/>
        <v>16.035490198415207</v>
      </c>
      <c r="AX1667" s="88" t="str">
        <f t="shared" ca="1" si="126"/>
        <v>BLNK</v>
      </c>
    </row>
    <row r="1668" spans="1:50" ht="23" hidden="1" customHeight="1">
      <c r="A1668" s="88" t="str">
        <f t="shared" ca="1" si="127"/>
        <v>ENI</v>
      </c>
      <c r="F1668" s="1014">
        <v>5.181788863693626</v>
      </c>
      <c r="G1668" s="1014">
        <v>7.1694431846812803</v>
      </c>
      <c r="H1668" s="1014">
        <v>8.1694431846812812</v>
      </c>
      <c r="I1668" s="1014">
        <v>7.1918669690098254</v>
      </c>
      <c r="J1668" s="1014">
        <v>7.2760191484001009</v>
      </c>
      <c r="K1668" s="1014">
        <v>9.2243688586545733</v>
      </c>
      <c r="L1668" s="1014">
        <v>10.203960695389267</v>
      </c>
      <c r="M1668" s="1014">
        <v>11.201693121693122</v>
      </c>
      <c r="N1668" s="1014">
        <v>12.199425547996977</v>
      </c>
      <c r="O1668" s="1014">
        <v>13.197157974300831</v>
      </c>
      <c r="P1668" s="1014">
        <v>13.197157974300833</v>
      </c>
      <c r="Q1668" s="1014">
        <v>13.197157974300833</v>
      </c>
      <c r="R1668" s="1014">
        <v>14.194890400604688</v>
      </c>
      <c r="S1668" s="1014">
        <v>15.17448223733938</v>
      </c>
      <c r="T1668" s="1014">
        <v>14.154074074074074</v>
      </c>
      <c r="U1668" s="1014">
        <v>13.154074074074074</v>
      </c>
      <c r="V1668" s="1014">
        <v>14.154074074074074</v>
      </c>
      <c r="W1668" s="1014">
        <v>14.154074074074074</v>
      </c>
      <c r="X1668" s="1014">
        <v>15.114074074074075</v>
      </c>
      <c r="Y1668" s="1014">
        <v>16.074074074074076</v>
      </c>
      <c r="Z1668" s="1014">
        <f t="shared" ca="1" si="129"/>
        <v>16.074074074074076</v>
      </c>
      <c r="AB1668" s="1014">
        <v>2.4838870323041582</v>
      </c>
      <c r="AC1668" s="1014">
        <v>4.4806830451201067</v>
      </c>
      <c r="AD1668" s="1014">
        <v>5.4806830451201067</v>
      </c>
      <c r="AE1668" s="1014">
        <v>4.4526875868312406</v>
      </c>
      <c r="AF1668" s="1014">
        <v>4.4202476840979292</v>
      </c>
      <c r="AG1668" s="1014">
        <v>6.3789188924757294</v>
      </c>
      <c r="AH1668" s="1014">
        <v>7.3420345452979738</v>
      </c>
      <c r="AI1668" s="1014">
        <v>8.3051501981202183</v>
      </c>
      <c r="AJ1668" s="1014">
        <v>9.2682658509424627</v>
      </c>
      <c r="AK1668" s="1014">
        <v>10.231381503764707</v>
      </c>
      <c r="AL1668" s="1014">
        <v>10.231381503764707</v>
      </c>
      <c r="AM1668" s="1014">
        <v>10.231381503764707</v>
      </c>
      <c r="AN1668" s="1014">
        <v>11.203970425303236</v>
      </c>
      <c r="AO1668" s="1014">
        <v>12.176559346841765</v>
      </c>
      <c r="AP1668" s="1014">
        <v>13.149148268380294</v>
      </c>
      <c r="AQ1668" s="1014">
        <v>14.121737189918823</v>
      </c>
      <c r="AR1668" s="1014">
        <v>15.094326111457352</v>
      </c>
      <c r="AS1668" s="1014">
        <v>16.06691503299588</v>
      </c>
      <c r="AT1668" s="1014">
        <v>17.03950395453441</v>
      </c>
      <c r="AU1668" s="1014">
        <v>18.012092876072941</v>
      </c>
      <c r="AV1668" s="1014">
        <f t="shared" ca="1" si="128"/>
        <v>18.012092876072941</v>
      </c>
      <c r="AX1668" s="88" t="str">
        <f t="shared" ca="1" si="126"/>
        <v>ENI</v>
      </c>
    </row>
    <row r="1669" spans="1:50" hidden="1">
      <c r="A1669" s="88" t="str">
        <f t="shared" ca="1" si="127"/>
        <v>EZJ</v>
      </c>
      <c r="F1669" s="1014">
        <v>2.8185941043083877</v>
      </c>
      <c r="G1669" s="1014">
        <v>4.7981859410430818</v>
      </c>
      <c r="H1669" s="1014">
        <v>5.7981859410430818</v>
      </c>
      <c r="I1669" s="1014">
        <v>4.8214965986394542</v>
      </c>
      <c r="J1669" s="1014">
        <v>4.8048072562358257</v>
      </c>
      <c r="K1669" s="1014">
        <v>6.7081179138321971</v>
      </c>
      <c r="L1669" s="1014">
        <v>7.5970068027210864</v>
      </c>
      <c r="M1669" s="1014">
        <v>8.4858956916099757</v>
      </c>
      <c r="N1669" s="1014">
        <v>9.374784580498865</v>
      </c>
      <c r="O1669" s="1014">
        <v>10.263673469387754</v>
      </c>
      <c r="P1669" s="1014">
        <v>10.263673469387754</v>
      </c>
      <c r="Q1669" s="1014">
        <v>10.263673469387754</v>
      </c>
      <c r="R1669" s="1014">
        <v>11.243265306122449</v>
      </c>
      <c r="S1669" s="1014">
        <v>12.222857142857142</v>
      </c>
      <c r="T1669" s="1014">
        <v>13.202448979591836</v>
      </c>
      <c r="U1669" s="1014">
        <v>14.182040816326531</v>
      </c>
      <c r="V1669" s="1014">
        <v>15.161632653061226</v>
      </c>
      <c r="W1669" s="1014">
        <v>16.141224489795917</v>
      </c>
      <c r="X1669" s="1014">
        <v>17.120816326530612</v>
      </c>
      <c r="Y1669" s="1014">
        <v>18.100408163265307</v>
      </c>
      <c r="Z1669" s="1014">
        <f t="shared" ca="1" si="129"/>
        <v>18.100408163265307</v>
      </c>
      <c r="AB1669" s="1014">
        <v>1.0260514889697825</v>
      </c>
      <c r="AC1669" s="1014">
        <v>1.0352077490826936</v>
      </c>
      <c r="AD1669" s="1014">
        <v>1.0461233204794413</v>
      </c>
      <c r="AE1669" s="1014">
        <v>1.0569950341506507</v>
      </c>
      <c r="AF1669" s="1014">
        <v>1.06786674782186</v>
      </c>
      <c r="AG1669" s="1014">
        <v>1.0787384614930693</v>
      </c>
      <c r="AH1669" s="1014">
        <v>1.0896101751642786</v>
      </c>
      <c r="AI1669" s="1014">
        <v>1.1004818888354881</v>
      </c>
      <c r="AJ1669" s="1014">
        <v>1.1113536025066975</v>
      </c>
      <c r="AK1669" s="1014">
        <v>1.1222253161779068</v>
      </c>
      <c r="AL1669" s="1014">
        <v>1.1330970298491161</v>
      </c>
      <c r="AM1669" s="1014">
        <v>0.14401260124586232</v>
      </c>
      <c r="AN1669" s="1014">
        <v>0.15488431491707158</v>
      </c>
      <c r="AO1669" s="1014">
        <v>0.16575602858828084</v>
      </c>
      <c r="AP1669" s="1014">
        <v>0.1766277422594901</v>
      </c>
      <c r="AQ1669" s="1014">
        <v>0.18749945593069939</v>
      </c>
      <c r="AR1669" s="1014">
        <v>0.19837116960190865</v>
      </c>
      <c r="AS1669" s="1014">
        <v>0.20924288327311791</v>
      </c>
      <c r="AT1669" s="1014">
        <v>0.22011459694432717</v>
      </c>
      <c r="AU1669" s="1014">
        <v>0.23098631061553646</v>
      </c>
      <c r="AV1669" s="1014">
        <f t="shared" ca="1" si="128"/>
        <v>0.23098631061553646</v>
      </c>
      <c r="AX1669" s="88" t="str">
        <f t="shared" ca="1" si="126"/>
        <v>EZJ</v>
      </c>
    </row>
    <row r="1670" spans="1:50" hidden="1">
      <c r="A1670" s="88" t="str">
        <f t="shared" ca="1" si="127"/>
        <v>F</v>
      </c>
      <c r="F1670" s="1014">
        <v>1.693877551020408</v>
      </c>
      <c r="G1670" s="1014">
        <v>1.6981607457797934</v>
      </c>
      <c r="H1670" s="1014">
        <v>1.7105064247921391</v>
      </c>
      <c r="I1670" s="1014">
        <v>1.7024439405391787</v>
      </c>
      <c r="J1670" s="1014">
        <v>1.6943814562862183</v>
      </c>
      <c r="K1670" s="1014">
        <v>1.6500377928949359</v>
      </c>
      <c r="L1670" s="1014">
        <v>1.6419753086419757</v>
      </c>
      <c r="M1670" s="1014">
        <v>1.6339128243890153</v>
      </c>
      <c r="N1670" s="1014">
        <v>1.6258503401360549</v>
      </c>
      <c r="O1670" s="1014">
        <v>1.6177878558830945</v>
      </c>
      <c r="P1670" s="1014">
        <v>1.6097253716301341</v>
      </c>
      <c r="Q1670" s="1014">
        <v>0.62207105064247981</v>
      </c>
      <c r="R1670" s="1014">
        <v>0.57772738725119721</v>
      </c>
      <c r="S1670" s="1014">
        <v>0.5333837238599145</v>
      </c>
      <c r="T1670" s="1014">
        <v>0.48904006046863197</v>
      </c>
      <c r="U1670" s="1014">
        <v>0.44469639707734954</v>
      </c>
      <c r="V1670" s="1014">
        <v>0.40035273368606705</v>
      </c>
      <c r="W1670" s="1014">
        <v>0.35600907029478462</v>
      </c>
      <c r="X1670" s="1014">
        <v>0.3116654069035022</v>
      </c>
      <c r="Y1670" s="1014">
        <v>0.26732174351221982</v>
      </c>
      <c r="Z1670" s="1014">
        <f t="shared" ca="1" si="129"/>
        <v>0.26732174351221982</v>
      </c>
      <c r="AB1670" s="1014">
        <v>5.160606990921452</v>
      </c>
      <c r="AC1670" s="1014">
        <v>4.1670149652895541</v>
      </c>
      <c r="AD1670" s="1014">
        <v>4.1702189524736051</v>
      </c>
      <c r="AE1670" s="1014">
        <v>4.1635549514115269</v>
      </c>
      <c r="AF1670" s="1014">
        <v>4.1568909503494478</v>
      </c>
      <c r="AG1670" s="1014">
        <v>3.160094937533501</v>
      </c>
      <c r="AH1670" s="1014">
        <v>3.1534309364714228</v>
      </c>
      <c r="AI1670" s="1014">
        <v>3.146766935409345</v>
      </c>
      <c r="AJ1670" s="1014">
        <v>3.1401029343472668</v>
      </c>
      <c r="AK1670" s="1014">
        <v>3.1334389332851886</v>
      </c>
      <c r="AL1670" s="1014">
        <v>2.1366429204692401</v>
      </c>
      <c r="AM1670" s="1014">
        <v>1.1398469076532882</v>
      </c>
      <c r="AN1670" s="1014">
        <v>1.1303760121567552</v>
      </c>
      <c r="AO1670" s="1014">
        <v>1.1209051166602224</v>
      </c>
      <c r="AP1670" s="1014">
        <v>1.1114342211636894</v>
      </c>
      <c r="AQ1670" s="1014">
        <v>1.1019633256671564</v>
      </c>
      <c r="AR1670" s="1014">
        <v>1.0924924301706236</v>
      </c>
      <c r="AS1670" s="1014">
        <v>1.0830215346740906</v>
      </c>
      <c r="AT1670" s="1014">
        <v>1.0735506391775578</v>
      </c>
      <c r="AU1670" s="1014">
        <v>1.0640797436810248</v>
      </c>
      <c r="AV1670" s="1014">
        <f t="shared" ca="1" si="128"/>
        <v>1.0640797436810248</v>
      </c>
      <c r="AX1670" s="88" t="str">
        <f t="shared" ca="1" si="126"/>
        <v>F</v>
      </c>
    </row>
    <row r="1671" spans="1:50" hidden="1">
      <c r="A1671" s="88" t="str">
        <f t="shared" ca="1" si="127"/>
        <v>GLE</v>
      </c>
      <c r="F1671" s="1014">
        <v>5.1405895691609969</v>
      </c>
      <c r="G1671" s="1014">
        <v>4.1814058956916087</v>
      </c>
      <c r="H1671" s="1014">
        <v>4.2018140589569146</v>
      </c>
      <c r="I1671" s="1014">
        <v>4.165532879818592</v>
      </c>
      <c r="J1671" s="1014">
        <v>4.1292517006802703</v>
      </c>
      <c r="K1671" s="1014">
        <v>3.1496598639455762</v>
      </c>
      <c r="L1671" s="1014">
        <v>3.1678004535147375</v>
      </c>
      <c r="M1671" s="1014">
        <v>3.1859410430838979</v>
      </c>
      <c r="N1671" s="1014">
        <v>3.2040816326530588</v>
      </c>
      <c r="O1671" s="1014">
        <v>3.2222222222222197</v>
      </c>
      <c r="P1671" s="1014">
        <v>2.2426303854875256</v>
      </c>
      <c r="Q1671" s="1014">
        <v>1.2630385487528348</v>
      </c>
      <c r="R1671" s="1014">
        <v>1.2811791383219957</v>
      </c>
      <c r="S1671" s="1014">
        <v>1.2993197278911568</v>
      </c>
      <c r="T1671" s="1014">
        <v>1.3174603174603179</v>
      </c>
      <c r="U1671" s="1014">
        <v>1.3356009070294788</v>
      </c>
      <c r="V1671" s="1014">
        <v>1.3537414965986398</v>
      </c>
      <c r="W1671" s="1014">
        <v>1.3718820861678009</v>
      </c>
      <c r="X1671" s="1014">
        <v>1.3900226757369618</v>
      </c>
      <c r="Y1671" s="1014">
        <v>1.4081632653061229</v>
      </c>
      <c r="Z1671" s="1014">
        <f t="shared" ca="1" si="129"/>
        <v>1.4081632653061229</v>
      </c>
      <c r="AB1671" s="1014">
        <v>2.6106896080616284</v>
      </c>
      <c r="AC1671" s="1014">
        <v>4.6003976525900887</v>
      </c>
      <c r="AD1671" s="1014">
        <v>5.6003976525900887</v>
      </c>
      <c r="AE1671" s="1014">
        <v>6.5582503783477311</v>
      </c>
      <c r="AF1671" s="1014">
        <v>7.5161031041053734</v>
      </c>
      <c r="AG1671" s="1014">
        <v>8.4739558298630158</v>
      </c>
      <c r="AH1671" s="1014">
        <v>9.4318085556206572</v>
      </c>
      <c r="AI1671" s="1014">
        <v>10.389661281378299</v>
      </c>
      <c r="AJ1671" s="1014">
        <v>11.347514007135942</v>
      </c>
      <c r="AK1671" s="1014">
        <v>12.305366732893585</v>
      </c>
      <c r="AL1671" s="1014">
        <v>12.305366732893582</v>
      </c>
      <c r="AM1671" s="1014">
        <v>12.305366732893582</v>
      </c>
      <c r="AN1671" s="1014">
        <v>11.283605259061762</v>
      </c>
      <c r="AO1671" s="1014">
        <v>11.254282348556973</v>
      </c>
      <c r="AP1671" s="1014">
        <v>13.209836564706251</v>
      </c>
      <c r="AQ1671" s="1014">
        <v>14.172952217528495</v>
      </c>
      <c r="AR1671" s="1014">
        <v>13.153561788884979</v>
      </c>
      <c r="AS1671" s="1014">
        <v>13.125424400974342</v>
      </c>
      <c r="AT1671" s="1014">
        <v>13.097287013063706</v>
      </c>
      <c r="AU1671" s="1014">
        <v>13.069149625153072</v>
      </c>
      <c r="AV1671" s="1014">
        <f t="shared" ca="1" si="128"/>
        <v>13.069149625153072</v>
      </c>
      <c r="AX1671" s="88" t="str">
        <f t="shared" ca="1" si="126"/>
        <v>GLE</v>
      </c>
    </row>
    <row r="1672" spans="1:50" hidden="1">
      <c r="A1672" s="88" t="str">
        <f t="shared" ca="1" si="127"/>
        <v>GNRC</v>
      </c>
      <c r="F1672" s="1014">
        <v>2.3852355757117647</v>
      </c>
      <c r="G1672" s="1014">
        <v>4.3728898966994194</v>
      </c>
      <c r="H1672" s="1014">
        <v>5.3728898966994194</v>
      </c>
      <c r="I1672" s="1014">
        <v>6.3162005542957909</v>
      </c>
      <c r="J1672" s="1014">
        <v>7.2595112118921623</v>
      </c>
      <c r="K1672" s="1014">
        <v>8.2391030486268573</v>
      </c>
      <c r="L1672" s="1014">
        <v>9.2186948853615505</v>
      </c>
      <c r="M1672" s="1014">
        <v>10.198286722096245</v>
      </c>
      <c r="N1672" s="1014">
        <v>11.177878558830939</v>
      </c>
      <c r="O1672" s="1014">
        <v>12.157470395565632</v>
      </c>
      <c r="P1672" s="1014">
        <v>12.157470395565634</v>
      </c>
      <c r="Q1672" s="1014">
        <v>12.157470395565634</v>
      </c>
      <c r="R1672" s="1014">
        <v>13.155202821869489</v>
      </c>
      <c r="S1672" s="1014">
        <v>14.134794658604182</v>
      </c>
      <c r="T1672" s="1014">
        <v>15.114386495338877</v>
      </c>
      <c r="U1672" s="1014">
        <v>16.093978332073569</v>
      </c>
      <c r="V1672" s="1014">
        <v>15.114386495338877</v>
      </c>
      <c r="W1672" s="1014">
        <v>15.114386495338879</v>
      </c>
      <c r="X1672" s="1014">
        <v>15.114386495338879</v>
      </c>
      <c r="Y1672" s="1014">
        <v>15.114386495338879</v>
      </c>
      <c r="Z1672" s="1014">
        <f t="shared" ca="1" si="129"/>
        <v>15.114386495338879</v>
      </c>
      <c r="AB1672" s="1014">
        <v>10.009780272795053</v>
      </c>
      <c r="AC1672" s="1014">
        <v>12.009780272795053</v>
      </c>
      <c r="AD1672" s="1014">
        <v>13.009780272795053</v>
      </c>
      <c r="AE1672" s="1014">
        <v>14.007631244243672</v>
      </c>
      <c r="AF1672" s="1014">
        <v>15.005482215692293</v>
      </c>
      <c r="AG1672" s="1014">
        <v>16.004385772553835</v>
      </c>
      <c r="AH1672" s="1014">
        <v>15.003686076092624</v>
      </c>
      <c r="AI1672" s="1014">
        <v>15.002391259615541</v>
      </c>
      <c r="AJ1672" s="1014">
        <v>15.001294816477081</v>
      </c>
      <c r="AK1672" s="1014">
        <v>15.001785360047609</v>
      </c>
      <c r="AL1672" s="1014">
        <v>14.001388613370363</v>
      </c>
      <c r="AM1672" s="1014">
        <v>13.00119024003174</v>
      </c>
      <c r="AN1672" s="1014">
        <v>14.00119024003174</v>
      </c>
      <c r="AO1672" s="1014">
        <v>14.00119024003174</v>
      </c>
      <c r="AP1672" s="1014">
        <v>12.001586986708986</v>
      </c>
      <c r="AQ1672" s="1014">
        <v>11.001785360047609</v>
      </c>
      <c r="AR1672" s="1014">
        <v>10.003173973417972</v>
      </c>
      <c r="AS1672" s="1014">
        <v>9.0039674667724654</v>
      </c>
      <c r="AT1672" s="1014">
        <v>8.0047609601269585</v>
      </c>
      <c r="AU1672" s="1014">
        <v>7.0055544534814516</v>
      </c>
      <c r="AV1672" s="1014">
        <f t="shared" ca="1" si="128"/>
        <v>7.0055544534814516</v>
      </c>
      <c r="AX1672" s="88" t="str">
        <f t="shared" ca="1" si="126"/>
        <v>GNRC</v>
      </c>
    </row>
    <row r="1673" spans="1:50" hidden="1">
      <c r="A1673" s="88" t="str">
        <f t="shared" ca="1" si="127"/>
        <v>GS</v>
      </c>
      <c r="F1673" s="1014">
        <v>10.197278911564625</v>
      </c>
      <c r="G1673" s="1014">
        <v>12.197278911564625</v>
      </c>
      <c r="H1673" s="1014">
        <v>13.197278911564625</v>
      </c>
      <c r="I1673" s="1014">
        <v>14.140589569160998</v>
      </c>
      <c r="J1673" s="1014">
        <v>15.08390022675737</v>
      </c>
      <c r="K1673" s="1014">
        <v>16.081632653061224</v>
      </c>
      <c r="L1673" s="1014">
        <v>15.102040816326532</v>
      </c>
      <c r="M1673" s="1014">
        <v>15.065759637188208</v>
      </c>
      <c r="N1673" s="1014">
        <v>15.047619047619046</v>
      </c>
      <c r="O1673" s="1014">
        <v>15.029478458049885</v>
      </c>
      <c r="P1673" s="1014">
        <v>14.027210884353741</v>
      </c>
      <c r="Q1673" s="1014">
        <v>13.200221264976578</v>
      </c>
      <c r="R1673" s="1014">
        <v>14.11371607466516</v>
      </c>
      <c r="S1673" s="1014">
        <v>14.11371607466516</v>
      </c>
      <c r="T1673" s="1014">
        <v>12.120636489890074</v>
      </c>
      <c r="U1673" s="1014">
        <v>11.124096697502532</v>
      </c>
      <c r="V1673" s="1014">
        <v>10.120636489890074</v>
      </c>
      <c r="W1673" s="1014">
        <v>9.1206364898900762</v>
      </c>
      <c r="X1673" s="1014">
        <v>8.1206364898900762</v>
      </c>
      <c r="Y1673" s="1014">
        <v>7.1206364898900745</v>
      </c>
      <c r="Z1673" s="1014">
        <f t="shared" ca="1" si="129"/>
        <v>7.1206364898900745</v>
      </c>
      <c r="AB1673" s="1014">
        <v>1.2744616464190173</v>
      </c>
      <c r="AC1673" s="1014">
        <v>3.2470505679575465</v>
      </c>
      <c r="AD1673" s="1014">
        <v>4.2470505679575465</v>
      </c>
      <c r="AE1673" s="1014">
        <v>3.3243701174484053</v>
      </c>
      <c r="AF1673" s="1014">
        <v>3.3580958980707698</v>
      </c>
      <c r="AG1673" s="1014">
        <v>3.411143016695791</v>
      </c>
      <c r="AH1673" s="1014">
        <v>3.4647198689848913</v>
      </c>
      <c r="AI1673" s="1014">
        <v>3.534514122106776</v>
      </c>
      <c r="AJ1673" s="1014">
        <v>3.5929503505373028</v>
      </c>
      <c r="AK1673" s="1014">
        <v>3.6513865789678297</v>
      </c>
      <c r="AL1673" s="1014">
        <v>2.7224976900789399</v>
      </c>
      <c r="AM1673" s="1014">
        <v>2.7809339185094668</v>
      </c>
      <c r="AN1673" s="1014">
        <v>4.6939901684790097</v>
      </c>
      <c r="AO1673" s="1014">
        <v>5.6781575295596642</v>
      </c>
      <c r="AP1673" s="1014">
        <v>6.6623248906403187</v>
      </c>
      <c r="AQ1673" s="1014">
        <v>7.6464922517209732</v>
      </c>
      <c r="AR1673" s="1014">
        <v>6.7260486998672899</v>
      </c>
      <c r="AS1673" s="1014">
        <v>6.7579106044807755</v>
      </c>
      <c r="AT1673" s="1014">
        <v>6.7897725090942611</v>
      </c>
      <c r="AU1673" s="1014">
        <v>6.8216344137077467</v>
      </c>
      <c r="AV1673" s="1014">
        <f t="shared" ca="1" si="128"/>
        <v>6.8216344137077467</v>
      </c>
      <c r="AX1673" s="88" t="str">
        <f t="shared" ca="1" si="126"/>
        <v>GS</v>
      </c>
    </row>
    <row r="1674" spans="1:50" hidden="1">
      <c r="A1674" s="88" t="str">
        <f t="shared" ca="1" si="127"/>
        <v>LAZR</v>
      </c>
      <c r="F1674" s="1014">
        <v>1.0770975056689336</v>
      </c>
      <c r="G1674" s="1014">
        <v>3.0566893424036277</v>
      </c>
      <c r="H1674" s="1014">
        <v>4.0566893424036277</v>
      </c>
      <c r="I1674" s="1014">
        <v>3.066256088234109</v>
      </c>
      <c r="J1674" s="1014">
        <v>3.0699056743012778</v>
      </c>
      <c r="K1674" s="1014">
        <v>3.0735552603684457</v>
      </c>
      <c r="L1674" s="1014">
        <v>3.0772048464356141</v>
      </c>
      <c r="M1674" s="1014">
        <v>3.0808544325027825</v>
      </c>
      <c r="N1674" s="1014">
        <v>3.0845040185699504</v>
      </c>
      <c r="O1674" s="1014">
        <v>3.1171356116411042</v>
      </c>
      <c r="P1674" s="1014">
        <v>2.1375437749064106</v>
      </c>
      <c r="Q1674" s="1014">
        <v>2.1556843644755714</v>
      </c>
      <c r="R1674" s="1014">
        <v>4.13300862751412</v>
      </c>
      <c r="S1674" s="1014">
        <v>5.1307410538179754</v>
      </c>
      <c r="T1674" s="1014">
        <v>6.1284734801218299</v>
      </c>
      <c r="U1674" s="1014">
        <v>7.1262059064256853</v>
      </c>
      <c r="V1674" s="1014">
        <v>8.1239383327295407</v>
      </c>
      <c r="W1674" s="1014">
        <v>9.1216707590333943</v>
      </c>
      <c r="X1674" s="1014">
        <v>8.1602195118678633</v>
      </c>
      <c r="Y1674" s="1014">
        <v>9.2625437749064101</v>
      </c>
      <c r="Z1674" s="1014">
        <f t="shared" ca="1" si="129"/>
        <v>9.2625437749064101</v>
      </c>
      <c r="AB1674" s="1014">
        <v>9.1986754966887414</v>
      </c>
      <c r="AC1674" s="1014">
        <v>11.198631638963203</v>
      </c>
      <c r="AD1674" s="1014">
        <v>12.198631638963203</v>
      </c>
      <c r="AE1674" s="1014">
        <v>13.175430902153414</v>
      </c>
      <c r="AF1674" s="1014">
        <v>14.152230165343626</v>
      </c>
      <c r="AG1674" s="1014">
        <v>15.129029428533835</v>
      </c>
      <c r="AH1674" s="1014">
        <v>14.103079270452204</v>
      </c>
      <c r="AI1674" s="1014">
        <v>14.07639865218065</v>
      </c>
      <c r="AJ1674" s="1014">
        <v>14.0497180339091</v>
      </c>
      <c r="AK1674" s="1014">
        <v>14.023037415637546</v>
      </c>
      <c r="AL1674" s="1014">
        <v>13.023767875827465</v>
      </c>
      <c r="AM1674" s="1014">
        <v>13.005157079054971</v>
      </c>
      <c r="AN1674" s="1014">
        <v>12.012675082799065</v>
      </c>
      <c r="AO1674" s="1014">
        <v>11.016799314766072</v>
      </c>
      <c r="AP1674" s="1014">
        <v>12.012675082799065</v>
      </c>
      <c r="AQ1674" s="1014">
        <v>10.020923546733078</v>
      </c>
      <c r="AR1674" s="1014">
        <v>9.0227497279892113</v>
      </c>
      <c r="AS1674" s="1014">
        <v>8.0257249346007864</v>
      </c>
      <c r="AT1674" s="1014">
        <v>7.0287001412123562</v>
      </c>
      <c r="AU1674" s="1014">
        <v>6.0336788344465777</v>
      </c>
      <c r="AV1674" s="1014">
        <f t="shared" ca="1" si="128"/>
        <v>6.0336788344465777</v>
      </c>
      <c r="AX1674" s="88" t="str">
        <f t="shared" ca="1" si="126"/>
        <v>LAZR</v>
      </c>
    </row>
    <row r="1675" spans="1:50" hidden="1">
      <c r="A1675" s="88" t="str">
        <f t="shared" ca="1" si="127"/>
        <v>LUV</v>
      </c>
      <c r="F1675" s="1014">
        <v>9.7845804988662124</v>
      </c>
      <c r="G1675" s="1014">
        <v>11.727891156462585</v>
      </c>
      <c r="H1675" s="1014">
        <v>12.727891156462585</v>
      </c>
      <c r="I1675" s="1014">
        <v>13.671201814058957</v>
      </c>
      <c r="J1675" s="1014">
        <v>14.614512471655329</v>
      </c>
      <c r="K1675" s="1014">
        <v>15.5578231292517</v>
      </c>
      <c r="L1675" s="1014">
        <v>14.471403376165279</v>
      </c>
      <c r="M1675" s="1014">
        <v>14.372637944066513</v>
      </c>
      <c r="N1675" s="1014">
        <v>14.273872511967747</v>
      </c>
      <c r="O1675" s="1014">
        <v>14.17510707986898</v>
      </c>
      <c r="P1675" s="1014">
        <v>13.187452758881324</v>
      </c>
      <c r="Q1675" s="1014">
        <v>13.340639959687573</v>
      </c>
      <c r="R1675" s="1014">
        <v>12.451751070798686</v>
      </c>
      <c r="S1675" s="1014">
        <v>11.562862181909797</v>
      </c>
      <c r="T1675" s="1014">
        <v>12.451751070798686</v>
      </c>
      <c r="U1675" s="1014">
        <v>11.171751070798685</v>
      </c>
      <c r="V1675" s="1014">
        <v>9.8525673973292971</v>
      </c>
      <c r="W1675" s="1014">
        <v>8.8729755605946092</v>
      </c>
      <c r="X1675" s="1014">
        <v>7.8933837238599134</v>
      </c>
      <c r="Y1675" s="1014">
        <v>7.0217358911731207</v>
      </c>
      <c r="Z1675" s="1014">
        <f t="shared" ca="1" si="129"/>
        <v>7.0217358911731207</v>
      </c>
      <c r="AB1675" s="1014">
        <v>9.0590758148467589</v>
      </c>
      <c r="AC1675" s="1014">
        <v>11.046730135834414</v>
      </c>
      <c r="AD1675" s="1014">
        <v>12.046730135834414</v>
      </c>
      <c r="AE1675" s="1014">
        <v>13.044581107283035</v>
      </c>
      <c r="AF1675" s="1014">
        <v>14.042432078731656</v>
      </c>
      <c r="AG1675" s="1014">
        <v>13.066257279672786</v>
      </c>
      <c r="AH1675" s="1014">
        <v>13.075516487748283</v>
      </c>
      <c r="AI1675" s="1014">
        <v>13.081201366047138</v>
      </c>
      <c r="AJ1675" s="1014">
        <v>13.088673409234312</v>
      </c>
      <c r="AK1675" s="1014">
        <v>13.096145452421489</v>
      </c>
      <c r="AL1675" s="1014">
        <v>12.098229882470333</v>
      </c>
      <c r="AM1675" s="1014">
        <v>12.102109035714806</v>
      </c>
      <c r="AN1675" s="1014">
        <v>11.116080498259395</v>
      </c>
      <c r="AO1675" s="1014">
        <v>10.126782044038229</v>
      </c>
      <c r="AP1675" s="1014">
        <v>9.1501069632877492</v>
      </c>
      <c r="AQ1675" s="1014">
        <v>8.1671201958019264</v>
      </c>
      <c r="AR1675" s="1014">
        <v>7.1841334283161062</v>
      </c>
      <c r="AS1675" s="1014">
        <v>6.2011466608302843</v>
      </c>
      <c r="AT1675" s="1014">
        <v>5.2181598933444624</v>
      </c>
      <c r="AU1675" s="1014">
        <v>4.2351731258586405</v>
      </c>
      <c r="AV1675" s="1014">
        <f t="shared" ca="1" si="128"/>
        <v>4.2351731258586405</v>
      </c>
      <c r="AX1675" s="88" t="str">
        <f t="shared" ca="1" si="126"/>
        <v>LUV</v>
      </c>
    </row>
    <row r="1676" spans="1:50" hidden="1">
      <c r="A1676" s="88" t="str">
        <f t="shared" ca="1" si="127"/>
        <v>MA</v>
      </c>
      <c r="F1676" s="1014">
        <v>9.2265759637188225</v>
      </c>
      <c r="G1676" s="1014">
        <v>11.222131519274377</v>
      </c>
      <c r="H1676" s="1014">
        <v>12.222131519274377</v>
      </c>
      <c r="I1676" s="1014">
        <v>13.165442176870748</v>
      </c>
      <c r="J1676" s="1014">
        <v>14.108752834467122</v>
      </c>
      <c r="K1676" s="1014">
        <v>13.115374149659866</v>
      </c>
      <c r="L1676" s="1014">
        <v>13.099410430839004</v>
      </c>
      <c r="M1676" s="1014">
        <v>13.083446712018144</v>
      </c>
      <c r="N1676" s="1014">
        <v>13.067482993197283</v>
      </c>
      <c r="O1676" s="1014">
        <v>13.051519274376421</v>
      </c>
      <c r="P1676" s="1014">
        <v>12.055963718820866</v>
      </c>
      <c r="Q1676" s="1014">
        <v>12.040000000000006</v>
      </c>
      <c r="R1676" s="1014">
        <v>11.257777777777783</v>
      </c>
      <c r="S1676" s="1014">
        <v>10.368888888888893</v>
      </c>
      <c r="T1676" s="1014">
        <v>9.7577777777777825</v>
      </c>
      <c r="U1676" s="1014">
        <v>9.0077777777777825</v>
      </c>
      <c r="V1676" s="1014">
        <v>8.2577777777777772</v>
      </c>
      <c r="W1676" s="1014">
        <v>7.5077777777777772</v>
      </c>
      <c r="X1676" s="1014">
        <v>6.7577777777777772</v>
      </c>
      <c r="Y1676" s="1014">
        <v>6.0077777777777772</v>
      </c>
      <c r="Z1676" s="1014">
        <f t="shared" ca="1" si="129"/>
        <v>6.0077777777777772</v>
      </c>
      <c r="AB1676" s="1014">
        <v>10.191614402877068</v>
      </c>
      <c r="AC1676" s="1014">
        <v>10.154817771150389</v>
      </c>
      <c r="AD1676" s="1014">
        <v>10.154861628875928</v>
      </c>
      <c r="AE1676" s="1014">
        <v>10.135564229639051</v>
      </c>
      <c r="AF1676" s="1014">
        <v>10.116266830402175</v>
      </c>
      <c r="AG1676" s="1014">
        <v>10.100478049208368</v>
      </c>
      <c r="AH1676" s="1014">
        <v>10.084689268014561</v>
      </c>
      <c r="AI1676" s="1014">
        <v>10.068900486820754</v>
      </c>
      <c r="AJ1676" s="1014">
        <v>10.053111705626947</v>
      </c>
      <c r="AK1676" s="1014">
        <v>10.037322924433139</v>
      </c>
      <c r="AL1676" s="1014">
        <v>9.0373667821586778</v>
      </c>
      <c r="AM1676" s="1014">
        <v>8.0374106398842162</v>
      </c>
      <c r="AN1676" s="1014">
        <v>7.0374544976097546</v>
      </c>
      <c r="AO1676" s="1014">
        <v>6.037498355335293</v>
      </c>
      <c r="AP1676" s="1014">
        <v>5.0375422130608314</v>
      </c>
      <c r="AQ1676" s="1014">
        <v>4.0375860707863698</v>
      </c>
      <c r="AR1676" s="1014">
        <v>3.0376299285119082</v>
      </c>
      <c r="AS1676" s="1014">
        <v>2.0376737862374465</v>
      </c>
      <c r="AT1676" s="1014">
        <v>1.0377176439629847</v>
      </c>
      <c r="AU1676" s="1014">
        <v>3.7761501688522457E-2</v>
      </c>
      <c r="AV1676" s="1014">
        <f t="shared" ca="1" si="128"/>
        <v>3.7761501688522457E-2</v>
      </c>
      <c r="AX1676" s="88" t="str">
        <f t="shared" ca="1" si="126"/>
        <v>MA</v>
      </c>
    </row>
    <row r="1677" spans="1:50" hidden="1">
      <c r="A1677" s="88" t="str">
        <f t="shared" ca="1" si="127"/>
        <v>NVAX</v>
      </c>
      <c r="F1677" s="1014">
        <v>10.111111111111112</v>
      </c>
      <c r="G1677" s="1014">
        <v>10.204081632653061</v>
      </c>
      <c r="H1677" s="1014">
        <v>10.260770975056689</v>
      </c>
      <c r="I1677" s="1014">
        <v>10.29705215419501</v>
      </c>
      <c r="J1677" s="1014">
        <v>10.333333333333332</v>
      </c>
      <c r="K1677" s="1014">
        <v>10.369614512471653</v>
      </c>
      <c r="L1677" s="1014">
        <v>10.424036281179136</v>
      </c>
      <c r="M1677" s="1014">
        <v>10.478458049886617</v>
      </c>
      <c r="N1677" s="1014">
        <v>10.5328798185941</v>
      </c>
      <c r="O1677" s="1014">
        <v>10.587301587301583</v>
      </c>
      <c r="P1677" s="1014">
        <v>9.6439909297052111</v>
      </c>
      <c r="Q1677" s="1014">
        <v>8.7006802721088388</v>
      </c>
      <c r="R1677" s="1014">
        <v>7.7573696145124771</v>
      </c>
      <c r="S1677" s="1014">
        <v>6.8140589569161056</v>
      </c>
      <c r="T1677" s="1014">
        <v>5.8707482993197342</v>
      </c>
      <c r="U1677" s="1014">
        <v>4.9274376417233627</v>
      </c>
      <c r="V1677" s="1014">
        <v>3.9841269841269837</v>
      </c>
      <c r="W1677" s="1014">
        <v>3.0408163265306118</v>
      </c>
      <c r="X1677" s="1014">
        <v>2.0975056689342404</v>
      </c>
      <c r="Y1677" s="1014">
        <v>1.1541950113378685</v>
      </c>
      <c r="Z1677" s="1014">
        <f t="shared" ca="1" si="129"/>
        <v>1.1541950113378685</v>
      </c>
      <c r="AB1677" s="1014">
        <v>5.2100785053287142</v>
      </c>
      <c r="AC1677" s="1014">
        <v>6.2100785053287142</v>
      </c>
      <c r="AD1677" s="1014">
        <v>7.2100785053287142</v>
      </c>
      <c r="AE1677" s="1014">
        <v>6.1942680724606447</v>
      </c>
      <c r="AF1677" s="1014">
        <v>6.176692227545403</v>
      </c>
      <c r="AG1677" s="1014">
        <v>6.1591163826301614</v>
      </c>
      <c r="AH1677" s="1014">
        <v>6.145049155757988</v>
      </c>
      <c r="AI1677" s="1014">
        <v>6.1309819288858138</v>
      </c>
      <c r="AJ1677" s="1014">
        <v>6.1169147020136405</v>
      </c>
      <c r="AK1677" s="1014">
        <v>6.1028474751414672</v>
      </c>
      <c r="AL1677" s="1014">
        <v>5.1046128871886394</v>
      </c>
      <c r="AM1677" s="1014">
        <v>4.1117363640303557</v>
      </c>
      <c r="AN1677" s="1014">
        <v>5.1072919195859079</v>
      </c>
      <c r="AO1677" s="1014">
        <v>6.0946170369053227</v>
      </c>
      <c r="AP1677" s="1014">
        <v>5.0953794022763379</v>
      </c>
      <c r="AQ1677" s="1014">
        <v>5.0894231436215529</v>
      </c>
      <c r="AR1677" s="1014">
        <v>7.0700296369151694</v>
      </c>
      <c r="AS1677" s="1014">
        <v>8.0573547542345842</v>
      </c>
      <c r="AT1677" s="1014">
        <v>7.0511574973058675</v>
      </c>
      <c r="AU1677" s="1014">
        <v>7.0417214275012165</v>
      </c>
      <c r="AV1677" s="1014">
        <f t="shared" ca="1" si="128"/>
        <v>7.0417214275012165</v>
      </c>
      <c r="AX1677" s="88" t="str">
        <f t="shared" ca="1" si="126"/>
        <v>NVAX</v>
      </c>
    </row>
    <row r="1678" spans="1:50" hidden="1">
      <c r="A1678" s="88" t="str">
        <f t="shared" ca="1" si="127"/>
        <v>NVS</v>
      </c>
      <c r="F1678" s="1014">
        <v>5.0317460317460316</v>
      </c>
      <c r="G1678" s="1014">
        <v>6.0317460317460316</v>
      </c>
      <c r="H1678" s="1014">
        <v>7.0317460317460316</v>
      </c>
      <c r="I1678" s="1014">
        <v>6.0350186242548718</v>
      </c>
      <c r="J1678" s="1014">
        <v>6.0355211336612191</v>
      </c>
      <c r="K1678" s="1014">
        <v>6.0360236430675673</v>
      </c>
      <c r="L1678" s="1014">
        <v>6.0365261524739156</v>
      </c>
      <c r="M1678" s="1014">
        <v>6.037028661880262</v>
      </c>
      <c r="N1678" s="1014">
        <v>6.0375311712866102</v>
      </c>
      <c r="O1678" s="1014">
        <v>6.0380336806929584</v>
      </c>
      <c r="P1678" s="1014">
        <v>5.0408037637954513</v>
      </c>
      <c r="Q1678" s="1014">
        <v>4.3580336806929587</v>
      </c>
      <c r="R1678" s="1014">
        <v>5.1980336806929621</v>
      </c>
      <c r="S1678" s="1014">
        <v>6.1957661069968175</v>
      </c>
      <c r="T1678" s="1014">
        <v>5.318498533300672</v>
      </c>
      <c r="U1678" s="1014">
        <v>5.3787309596045265</v>
      </c>
      <c r="V1678" s="1014">
        <v>7.3139633859083819</v>
      </c>
      <c r="W1678" s="1014">
        <v>8.3116958122122355</v>
      </c>
      <c r="X1678" s="1014">
        <v>7.4344282385160909</v>
      </c>
      <c r="Y1678" s="1014">
        <v>7.4946606648199463</v>
      </c>
      <c r="Z1678" s="1014">
        <f t="shared" ca="1" si="129"/>
        <v>7.4946606648199463</v>
      </c>
      <c r="AB1678" s="1014">
        <v>1.292004736634359</v>
      </c>
      <c r="AC1678" s="1014">
        <v>1.349940792070524</v>
      </c>
      <c r="AD1678" s="1014">
        <v>1.3868251392482793</v>
      </c>
      <c r="AE1678" s="1014">
        <v>1.4005087496162456</v>
      </c>
      <c r="AF1678" s="1014">
        <v>1.4141923599842119</v>
      </c>
      <c r="AG1678" s="1014">
        <v>1.4317354501995534</v>
      </c>
      <c r="AH1678" s="1014">
        <v>1.4492785404148947</v>
      </c>
      <c r="AI1678" s="1014">
        <v>1.4668216306302362</v>
      </c>
      <c r="AJ1678" s="1014">
        <v>1.4843647208455775</v>
      </c>
      <c r="AK1678" s="1014">
        <v>1.501907811060919</v>
      </c>
      <c r="AL1678" s="1014">
        <v>0.53879215823867399</v>
      </c>
      <c r="AM1678" s="1014">
        <v>0.55984386649708373</v>
      </c>
      <c r="AN1678" s="1014">
        <v>0.58405333099425494</v>
      </c>
      <c r="AO1678" s="1014">
        <v>0.60826279549142614</v>
      </c>
      <c r="AP1678" s="1014">
        <v>0.63247225998859735</v>
      </c>
      <c r="AQ1678" s="1014">
        <v>0.65668172448576856</v>
      </c>
      <c r="AR1678" s="1014">
        <v>0.68089118898293977</v>
      </c>
      <c r="AS1678" s="1014">
        <v>0.70510065348011097</v>
      </c>
      <c r="AT1678" s="1014">
        <v>0.72931011797728207</v>
      </c>
      <c r="AU1678" s="1014">
        <v>0.75351958247445339</v>
      </c>
      <c r="AV1678" s="1014">
        <f t="shared" ca="1" si="128"/>
        <v>0.75351958247445339</v>
      </c>
      <c r="AX1678" s="88" t="str">
        <f t="shared" ca="1" si="126"/>
        <v>NVS</v>
      </c>
    </row>
    <row r="1679" spans="1:50" hidden="1">
      <c r="A1679" s="88" t="str">
        <f t="shared" ca="1" si="127"/>
        <v>ORA</v>
      </c>
      <c r="F1679" s="1014">
        <v>2.6009070294784569</v>
      </c>
      <c r="G1679" s="1014">
        <v>2.6394557823129237</v>
      </c>
      <c r="H1679" s="1014">
        <v>2.6598639455782296</v>
      </c>
      <c r="I1679" s="1014">
        <v>2.4058956916099752</v>
      </c>
      <c r="J1679" s="1014">
        <v>2.1519274376417212</v>
      </c>
      <c r="K1679" s="1014">
        <v>1.8979591836734691</v>
      </c>
      <c r="L1679" s="1014">
        <v>1.7346938775510201</v>
      </c>
      <c r="M1679" s="1014">
        <v>1.571428571428571</v>
      </c>
      <c r="N1679" s="1014">
        <v>1.408163265306122</v>
      </c>
      <c r="O1679" s="1014">
        <v>1.2448979591836731</v>
      </c>
      <c r="P1679" s="1014">
        <v>0.26530612244897933</v>
      </c>
      <c r="Q1679" s="1014">
        <v>0.26530612244897933</v>
      </c>
      <c r="R1679" s="1014">
        <v>0.28344671201814031</v>
      </c>
      <c r="S1679" s="1014">
        <v>0.30158730158730124</v>
      </c>
      <c r="T1679" s="1014">
        <v>0.31972789115646222</v>
      </c>
      <c r="U1679" s="1014">
        <v>0.33786848072562314</v>
      </c>
      <c r="V1679" s="1014">
        <v>0.35600907029478412</v>
      </c>
      <c r="W1679" s="1014">
        <v>0.37414965986394511</v>
      </c>
      <c r="X1679" s="1014">
        <v>0.39229024943310603</v>
      </c>
      <c r="Y1679" s="1014">
        <v>0.41043083900226701</v>
      </c>
      <c r="Z1679" s="1014">
        <f t="shared" ca="1" si="129"/>
        <v>0.41043083900226701</v>
      </c>
      <c r="AB1679" s="1014">
        <v>4.03223542827069</v>
      </c>
      <c r="AC1679" s="1014">
        <v>5.03223542827069</v>
      </c>
      <c r="AD1679" s="1014">
        <v>6.03223542827069</v>
      </c>
      <c r="AE1679" s="1014">
        <v>7.0300863997193108</v>
      </c>
      <c r="AF1679" s="1014">
        <v>8.0279373711679316</v>
      </c>
      <c r="AG1679" s="1014">
        <v>9.0275426516380861</v>
      </c>
      <c r="AH1679" s="1014">
        <v>10.027147932108242</v>
      </c>
      <c r="AI1679" s="1014">
        <v>11.026753212578395</v>
      </c>
      <c r="AJ1679" s="1014">
        <v>12.026358493048551</v>
      </c>
      <c r="AK1679" s="1014">
        <v>13.025963773518706</v>
      </c>
      <c r="AL1679" s="1014">
        <v>11.09066021780213</v>
      </c>
      <c r="AM1679" s="1014">
        <v>11.121911996805382</v>
      </c>
      <c r="AN1679" s="1014">
        <v>10.160557263426536</v>
      </c>
      <c r="AO1679" s="1014">
        <v>10.192501532039364</v>
      </c>
      <c r="AP1679" s="1014">
        <v>12.153452311889323</v>
      </c>
      <c r="AQ1679" s="1014">
        <v>13.149899836120717</v>
      </c>
      <c r="AR1679" s="1014">
        <v>14.146347360352109</v>
      </c>
      <c r="AS1679" s="1014">
        <v>15.142794884583504</v>
      </c>
      <c r="AT1679" s="1014">
        <v>16.139242408814898</v>
      </c>
      <c r="AU1679" s="1014">
        <v>17.13568993304629</v>
      </c>
      <c r="AV1679" s="1014">
        <f t="shared" ca="1" si="128"/>
        <v>17.13568993304629</v>
      </c>
      <c r="AX1679" s="88" t="str">
        <f t="shared" ca="1" si="126"/>
        <v>ORA</v>
      </c>
    </row>
    <row r="1680" spans="1:50" hidden="1">
      <c r="A1680" s="88" t="str">
        <f t="shared" ca="1" si="127"/>
        <v>OXY</v>
      </c>
      <c r="F1680" s="1014">
        <v>4.2517006802721085</v>
      </c>
      <c r="G1680" s="1014">
        <v>5.2517006802721085</v>
      </c>
      <c r="H1680" s="1014">
        <v>6.2517006802721085</v>
      </c>
      <c r="I1680" s="1014">
        <v>7.1950113378684808</v>
      </c>
      <c r="J1680" s="1014">
        <v>8.1383219954648514</v>
      </c>
      <c r="K1680" s="1014">
        <v>9.1179138321995463</v>
      </c>
      <c r="L1680" s="1014">
        <v>10.09750566893424</v>
      </c>
      <c r="M1680" s="1014">
        <v>11.077097505668934</v>
      </c>
      <c r="N1680" s="1014">
        <v>12.056689342403628</v>
      </c>
      <c r="O1680" s="1014">
        <v>13.036281179138321</v>
      </c>
      <c r="P1680" s="1014">
        <v>11.045170068027211</v>
      </c>
      <c r="Q1680" s="1014">
        <v>11.029206349206351</v>
      </c>
      <c r="R1680" s="1014">
        <v>10.024761904761906</v>
      </c>
      <c r="S1680" s="1014">
        <v>10.022494331065761</v>
      </c>
      <c r="T1680" s="1014">
        <v>12.020226757369617</v>
      </c>
      <c r="U1680" s="1014">
        <v>13.01795918367347</v>
      </c>
      <c r="V1680" s="1014">
        <v>14.015691609977326</v>
      </c>
      <c r="W1680" s="1014">
        <v>15.013424036281179</v>
      </c>
      <c r="X1680" s="1014">
        <v>16.011156462585035</v>
      </c>
      <c r="Y1680" s="1014">
        <v>17.00888888888889</v>
      </c>
      <c r="Z1680" s="1014">
        <f t="shared" ca="1" si="129"/>
        <v>17.00888888888889</v>
      </c>
      <c r="AB1680" s="1014">
        <v>2.0180321521220721</v>
      </c>
      <c r="AC1680" s="1014">
        <v>4.0126781961434883</v>
      </c>
      <c r="AD1680" s="1014">
        <v>5.0126781961434883</v>
      </c>
      <c r="AE1680" s="1014">
        <v>6.0115817530050286</v>
      </c>
      <c r="AF1680" s="1014">
        <v>7.0104853098665707</v>
      </c>
      <c r="AG1680" s="1014">
        <v>8.0100905903367252</v>
      </c>
      <c r="AH1680" s="1014">
        <v>7.0204037827640473</v>
      </c>
      <c r="AI1680" s="1014">
        <v>7.0280923553072165</v>
      </c>
      <c r="AJ1680" s="1014">
        <v>7.0344162598031721</v>
      </c>
      <c r="AK1680" s="1014">
        <v>9.0273029162475282</v>
      </c>
      <c r="AL1680" s="1014">
        <v>9.0273029162475282</v>
      </c>
      <c r="AM1680" s="1014">
        <v>9.0273029162475282</v>
      </c>
      <c r="AN1680" s="1014">
        <v>10.026908196717683</v>
      </c>
      <c r="AO1680" s="1014">
        <v>11.026513477187837</v>
      </c>
      <c r="AP1680" s="1014">
        <v>10.042647683277828</v>
      </c>
      <c r="AQ1680" s="1014">
        <v>12.033988500938063</v>
      </c>
      <c r="AR1680" s="1014">
        <v>13.03359378140822</v>
      </c>
      <c r="AS1680" s="1014">
        <v>14.033199061878374</v>
      </c>
      <c r="AT1680" s="1014">
        <v>15.032804342348529</v>
      </c>
      <c r="AU1680" s="1014">
        <v>16.032409622818683</v>
      </c>
      <c r="AV1680" s="1014">
        <f t="shared" ca="1" si="128"/>
        <v>16.032409622818683</v>
      </c>
      <c r="AX1680" s="88" t="str">
        <f t="shared" ca="1" si="126"/>
        <v>OXY</v>
      </c>
    </row>
    <row r="1681" spans="1:65" ht="24" hidden="1" customHeight="1">
      <c r="A1681" s="88" t="str">
        <f t="shared" ca="1" si="127"/>
        <v>PFE</v>
      </c>
      <c r="F1681" s="1014">
        <v>2.3875736961451235</v>
      </c>
      <c r="G1681" s="1014">
        <v>4.3831292517006792</v>
      </c>
      <c r="H1681" s="1014">
        <v>5.3831292517006792</v>
      </c>
      <c r="I1681" s="1014">
        <v>6.2720181405895685</v>
      </c>
      <c r="J1681" s="1014">
        <v>7.1609070294784569</v>
      </c>
      <c r="K1681" s="1014">
        <v>8.1042176870748293</v>
      </c>
      <c r="L1681" s="1014">
        <v>7.0926984126984109</v>
      </c>
      <c r="M1681" s="1014">
        <v>7.1086621315192735</v>
      </c>
      <c r="N1681" s="1014">
        <v>7.1086621315192726</v>
      </c>
      <c r="O1681" s="1014">
        <v>9.0678458049886608</v>
      </c>
      <c r="P1681" s="1014">
        <v>9.0678458049886608</v>
      </c>
      <c r="Q1681" s="1014">
        <v>9.0678458049886608</v>
      </c>
      <c r="R1681" s="1014">
        <v>10.065578231292516</v>
      </c>
      <c r="S1681" s="1014">
        <v>11.063310657596372</v>
      </c>
      <c r="T1681" s="1014">
        <v>10.428390022675739</v>
      </c>
      <c r="U1681" s="1014">
        <v>12.242448979591838</v>
      </c>
      <c r="V1681" s="1014">
        <v>13.240181405895692</v>
      </c>
      <c r="W1681" s="1014">
        <v>14.237913832199546</v>
      </c>
      <c r="X1681" s="1014">
        <v>15.235646258503401</v>
      </c>
      <c r="Y1681" s="1014">
        <v>16.233378684807256</v>
      </c>
      <c r="Z1681" s="1014">
        <f t="shared" ca="1" si="129"/>
        <v>16.233378684807256</v>
      </c>
      <c r="AB1681" s="1014">
        <v>11.000701723608614</v>
      </c>
      <c r="AC1681" s="1014">
        <v>12.000701723608614</v>
      </c>
      <c r="AD1681" s="1014">
        <v>13.000701723608614</v>
      </c>
      <c r="AE1681" s="1014">
        <v>14.000657865883076</v>
      </c>
      <c r="AF1681" s="1014">
        <v>15.000614008157537</v>
      </c>
      <c r="AG1681" s="1014">
        <v>16.000570150431997</v>
      </c>
      <c r="AH1681" s="1014">
        <v>17.000526292706461</v>
      </c>
      <c r="AI1681" s="1014">
        <v>18.000482434980924</v>
      </c>
      <c r="AJ1681" s="1014">
        <v>19.000438577255384</v>
      </c>
      <c r="AK1681" s="1014">
        <v>20.000394719529844</v>
      </c>
      <c r="AL1681" s="1014">
        <v>20.000394719529844</v>
      </c>
      <c r="AM1681" s="1014">
        <v>21</v>
      </c>
      <c r="AN1681" s="1014">
        <v>21</v>
      </c>
      <c r="AO1681" s="1014">
        <v>21</v>
      </c>
      <c r="AP1681" s="1014">
        <v>19.049861495844873</v>
      </c>
      <c r="AQ1681" s="1014">
        <v>18.074792243767309</v>
      </c>
      <c r="AR1681" s="1014">
        <v>17.099722991689745</v>
      </c>
      <c r="AS1681" s="1014">
        <v>16.124653739612182</v>
      </c>
      <c r="AT1681" s="1014">
        <v>15.149584487534629</v>
      </c>
      <c r="AU1681" s="1014">
        <v>14.174515235457067</v>
      </c>
      <c r="AV1681" s="1014">
        <f t="shared" ca="1" si="128"/>
        <v>14.174515235457067</v>
      </c>
      <c r="AX1681" s="88" t="str">
        <f t="shared" ca="1" si="126"/>
        <v>PFE</v>
      </c>
    </row>
    <row r="1682" spans="1:65" hidden="1">
      <c r="A1682" s="88" t="str">
        <f t="shared" ca="1" si="127"/>
        <v>RIG</v>
      </c>
      <c r="F1682" s="1014">
        <v>11.163265306122449</v>
      </c>
      <c r="G1682" s="1014">
        <v>12.163265306122449</v>
      </c>
      <c r="H1682" s="1014">
        <v>13.163265306122449</v>
      </c>
      <c r="I1682" s="1014">
        <v>14.142857142857142</v>
      </c>
      <c r="J1682" s="1014">
        <v>15.122448979591837</v>
      </c>
      <c r="K1682" s="1014">
        <v>16.102040816326529</v>
      </c>
      <c r="L1682" s="1014">
        <v>17.081632653061224</v>
      </c>
      <c r="M1682" s="1014">
        <v>18.061224489795919</v>
      </c>
      <c r="N1682" s="1014">
        <v>19.04081632653061</v>
      </c>
      <c r="O1682" s="1014">
        <v>20.020408163265305</v>
      </c>
      <c r="P1682" s="1014">
        <v>20.020408163265305</v>
      </c>
      <c r="Q1682" s="1014">
        <v>21</v>
      </c>
      <c r="R1682" s="1014">
        <v>21</v>
      </c>
      <c r="S1682" s="1014">
        <v>21</v>
      </c>
      <c r="T1682" s="1014">
        <v>19</v>
      </c>
      <c r="U1682" s="1014">
        <v>18</v>
      </c>
      <c r="V1682" s="1014">
        <v>19</v>
      </c>
      <c r="W1682" s="1014">
        <v>19</v>
      </c>
      <c r="X1682" s="1014">
        <v>19</v>
      </c>
      <c r="Y1682" s="1014">
        <v>19</v>
      </c>
      <c r="Z1682" s="1014">
        <f t="shared" ca="1" si="129"/>
        <v>19</v>
      </c>
      <c r="AB1682" s="1014">
        <v>2.1396868558396571</v>
      </c>
      <c r="AC1682" s="1014">
        <v>4.1270119731590729</v>
      </c>
      <c r="AD1682" s="1014">
        <v>5.1270119731590729</v>
      </c>
      <c r="AE1682" s="1014">
        <v>6.1171439849129428</v>
      </c>
      <c r="AF1682" s="1014">
        <v>7.1072759966668144</v>
      </c>
      <c r="AG1682" s="1014">
        <v>8.0974080084206843</v>
      </c>
      <c r="AH1682" s="1014">
        <v>9.0847331257401009</v>
      </c>
      <c r="AI1682" s="1014">
        <v>10.074865137493971</v>
      </c>
      <c r="AJ1682" s="1014">
        <v>11.064997149247841</v>
      </c>
      <c r="AK1682" s="1014">
        <v>12.055129161001712</v>
      </c>
      <c r="AL1682" s="1014">
        <v>10.060350536674363</v>
      </c>
      <c r="AM1682" s="1014">
        <v>10.057654439720547</v>
      </c>
      <c r="AN1682" s="1014">
        <v>11.05504375188422</v>
      </c>
      <c r="AO1682" s="1014">
        <v>12.049736967094081</v>
      </c>
      <c r="AP1682" s="1014">
        <v>13.044430182303939</v>
      </c>
      <c r="AQ1682" s="1014">
        <v>12.043016131077813</v>
      </c>
      <c r="AR1682" s="1014">
        <v>14.035762979505666</v>
      </c>
      <c r="AS1682" s="1014">
        <v>15.030456194715525</v>
      </c>
      <c r="AT1682" s="1014">
        <v>16.025149409925383</v>
      </c>
      <c r="AU1682" s="1014">
        <v>17.019842625135244</v>
      </c>
      <c r="AV1682" s="1014">
        <f t="shared" ca="1" si="128"/>
        <v>17.019842625135244</v>
      </c>
      <c r="AX1682" s="88" t="str">
        <f t="shared" ca="1" si="126"/>
        <v>RIG</v>
      </c>
    </row>
    <row r="1683" spans="1:65">
      <c r="A1683" s="88" t="str">
        <f t="shared" ca="1" si="127"/>
        <v>RRC</v>
      </c>
      <c r="F1683" s="1014">
        <v>2.4376417233560086</v>
      </c>
      <c r="G1683" s="1014">
        <v>4.4353741496598635</v>
      </c>
      <c r="H1683" s="1014">
        <v>5.4353741496598635</v>
      </c>
      <c r="I1683" s="1014">
        <v>6.4331065759637189</v>
      </c>
      <c r="J1683" s="1014">
        <v>7.4308390022675734</v>
      </c>
      <c r="K1683" s="1014">
        <v>8.4285714285714288</v>
      </c>
      <c r="L1683" s="1014">
        <v>9.408163265306122</v>
      </c>
      <c r="M1683" s="1014">
        <v>10.405895691609977</v>
      </c>
      <c r="N1683" s="1014">
        <v>11.403628117913833</v>
      </c>
      <c r="O1683" s="1014">
        <v>12.401360544217686</v>
      </c>
      <c r="P1683" s="1014">
        <v>10.768707482993198</v>
      </c>
      <c r="Q1683" s="1014">
        <v>10.95011337868481</v>
      </c>
      <c r="R1683" s="1014">
        <v>11.766439909297054</v>
      </c>
      <c r="S1683" s="1014">
        <v>12.709750566893426</v>
      </c>
      <c r="T1683" s="1014">
        <v>13.653061224489797</v>
      </c>
      <c r="U1683" s="1014">
        <v>12.963718820861683</v>
      </c>
      <c r="V1683" s="1014">
        <v>14.723356009070297</v>
      </c>
      <c r="W1683" s="1014">
        <v>15.66666666666667</v>
      </c>
      <c r="X1683" s="1014">
        <v>16.609977324263042</v>
      </c>
      <c r="Y1683" s="1014">
        <v>17.553287981859413</v>
      </c>
      <c r="Z1683" s="1014">
        <f t="shared" ca="1" si="129"/>
        <v>17.553287981859413</v>
      </c>
      <c r="AB1683" s="1014">
        <v>1.1807815446690946</v>
      </c>
      <c r="AC1683" s="1014">
        <v>3.1681066619885101</v>
      </c>
      <c r="AD1683" s="1014">
        <v>4.1681066619885101</v>
      </c>
      <c r="AE1683" s="1014">
        <v>5.1582386737423809</v>
      </c>
      <c r="AF1683" s="1014">
        <v>6.1483706854962517</v>
      </c>
      <c r="AG1683" s="1014">
        <v>7.1409587298802695</v>
      </c>
      <c r="AH1683" s="1014">
        <v>8.1310907416341394</v>
      </c>
      <c r="AI1683" s="1014">
        <v>9.121222753388011</v>
      </c>
      <c r="AJ1683" s="1014">
        <v>10.111354765141881</v>
      </c>
      <c r="AK1683" s="1014">
        <v>11.101486776895751</v>
      </c>
      <c r="AL1683" s="1014">
        <v>11.101486776895751</v>
      </c>
      <c r="AM1683" s="1014">
        <v>12.091618788649621</v>
      </c>
      <c r="AN1683" s="1014">
        <v>13.081750800403491</v>
      </c>
      <c r="AO1683" s="1014">
        <v>14.071882812157362</v>
      </c>
      <c r="AP1683" s="1014">
        <v>15.062014823911232</v>
      </c>
      <c r="AQ1683" s="1014">
        <v>16.052146835665102</v>
      </c>
      <c r="AR1683" s="1014">
        <v>17.042278847418974</v>
      </c>
      <c r="AS1683" s="1014">
        <v>18.032410859172842</v>
      </c>
      <c r="AT1683" s="1014">
        <v>19.022542870926713</v>
      </c>
      <c r="AU1683" s="1014">
        <v>20.012674882680585</v>
      </c>
      <c r="AV1683" s="1014">
        <f t="shared" ca="1" si="128"/>
        <v>20.012674882680585</v>
      </c>
      <c r="AX1683" s="88" t="str">
        <f t="shared" ca="1" si="126"/>
        <v>RRC</v>
      </c>
    </row>
    <row r="1684" spans="1:65">
      <c r="A1684" s="88" t="str">
        <f t="shared" ca="1" si="127"/>
        <v>XYZ</v>
      </c>
      <c r="F1684" s="1014">
        <v>1.6031746031746028</v>
      </c>
      <c r="G1684" s="1014">
        <v>3.6009070294784578</v>
      </c>
      <c r="H1684" s="1014">
        <v>4.6009070294784582</v>
      </c>
      <c r="I1684" s="1014">
        <v>5.5986394557823127</v>
      </c>
      <c r="J1684" s="1014">
        <v>6.5963718820861672</v>
      </c>
      <c r="K1684" s="1014">
        <v>7.5941043083900226</v>
      </c>
      <c r="L1684" s="1014">
        <v>8.5736961451247158</v>
      </c>
      <c r="M1684" s="1014">
        <v>9.5532879818594107</v>
      </c>
      <c r="N1684" s="1014">
        <v>10.532879818594104</v>
      </c>
      <c r="O1684" s="1014">
        <v>11.512471655328799</v>
      </c>
      <c r="P1684" s="1014">
        <v>11.512471655328799</v>
      </c>
      <c r="Q1684" s="1014">
        <v>12.455782312925169</v>
      </c>
      <c r="R1684" s="1014">
        <v>13.399092970521542</v>
      </c>
      <c r="S1684" s="1014">
        <v>14.342403628117914</v>
      </c>
      <c r="T1684" s="1014">
        <v>15.285714285714285</v>
      </c>
      <c r="U1684" s="1014">
        <v>16.229024943310659</v>
      </c>
      <c r="V1684" s="1014">
        <v>17.172335600907029</v>
      </c>
      <c r="W1684" s="1014">
        <v>18.115646258503403</v>
      </c>
      <c r="X1684" s="1014">
        <v>19.058956916099774</v>
      </c>
      <c r="Y1684" s="1014">
        <v>20.002267573696145</v>
      </c>
      <c r="Z1684" s="1014">
        <f t="shared" ca="1" si="129"/>
        <v>20.002267573696145</v>
      </c>
      <c r="AB1684" s="1014">
        <v>10.05863777904478</v>
      </c>
      <c r="AC1684" s="1014">
        <v>9.0910344732596542</v>
      </c>
      <c r="AD1684" s="1014">
        <v>9.1072328203670914</v>
      </c>
      <c r="AE1684" s="1014">
        <v>11.083622517643672</v>
      </c>
      <c r="AF1684" s="1014">
        <v>12.07621056202769</v>
      </c>
      <c r="AG1684" s="1014">
        <v>13.070903777237548</v>
      </c>
      <c r="AH1684" s="1014">
        <v>14.065596992447407</v>
      </c>
      <c r="AI1684" s="1014">
        <v>13.111948370922573</v>
      </c>
      <c r="AJ1684" s="1014">
        <v>13.132470667765084</v>
      </c>
      <c r="AK1684" s="1014">
        <v>13.146600679641296</v>
      </c>
      <c r="AL1684" s="1014">
        <v>12.169233618790798</v>
      </c>
      <c r="AM1684" s="1014">
        <v>12.184454602324321</v>
      </c>
      <c r="AN1684" s="1014">
        <v>12.208496865468277</v>
      </c>
      <c r="AO1684" s="1014">
        <v>11.236768460738073</v>
      </c>
      <c r="AP1684" s="1014">
        <v>10.258358361313155</v>
      </c>
      <c r="AQ1684" s="1014">
        <v>9.2832891092355929</v>
      </c>
      <c r="AR1684" s="1014">
        <v>10.258358361313155</v>
      </c>
      <c r="AS1684" s="1014">
        <v>10.258358361313155</v>
      </c>
      <c r="AT1684" s="1014">
        <v>10.258358361313155</v>
      </c>
      <c r="AU1684" s="1014">
        <v>10.258358361313155</v>
      </c>
      <c r="AV1684" s="1014">
        <f t="shared" ca="1" si="128"/>
        <v>10.258358361313155</v>
      </c>
      <c r="AX1684" s="88" t="str">
        <f t="shared" ca="1" si="126"/>
        <v>XYZ</v>
      </c>
    </row>
    <row r="1685" spans="1:65">
      <c r="A1685" s="88" t="str">
        <f t="shared" ca="1" si="127"/>
        <v>THC</v>
      </c>
      <c r="F1685" s="1014">
        <v>10.891156462585034</v>
      </c>
      <c r="G1685" s="1014">
        <v>9.8980768778099488</v>
      </c>
      <c r="H1685" s="1014">
        <v>9.9015370854224063</v>
      </c>
      <c r="I1685" s="1014">
        <v>11.841387535406321</v>
      </c>
      <c r="J1685" s="1014">
        <v>12.784698193002694</v>
      </c>
      <c r="K1685" s="1014">
        <v>13.673587081891583</v>
      </c>
      <c r="L1685" s="1014">
        <v>14.56247597078047</v>
      </c>
      <c r="M1685" s="1014">
        <v>14.068648810286644</v>
      </c>
      <c r="N1685" s="1014">
        <v>14.266179674484176</v>
      </c>
      <c r="O1685" s="1014">
        <v>14.185526934085182</v>
      </c>
      <c r="P1685" s="1014">
        <v>13.355077107095562</v>
      </c>
      <c r="Q1685" s="1014">
        <v>13.413516168994832</v>
      </c>
      <c r="R1685" s="1014">
        <v>13.452854884873341</v>
      </c>
      <c r="S1685" s="1014">
        <v>12.61285488487334</v>
      </c>
      <c r="T1685" s="1014">
        <v>11.77285488487334</v>
      </c>
      <c r="U1685" s="1014">
        <v>10.93285488487334</v>
      </c>
      <c r="V1685" s="1014">
        <v>11.77285488487334</v>
      </c>
      <c r="W1685" s="1014">
        <v>11.77285488487334</v>
      </c>
      <c r="X1685" s="1014">
        <v>11.77285488487334</v>
      </c>
      <c r="Y1685" s="1014">
        <v>11.77285488487334</v>
      </c>
      <c r="Z1685" s="1014">
        <f t="shared" ca="1" si="129"/>
        <v>11.77285488487334</v>
      </c>
      <c r="AB1685" s="1014">
        <v>0.48958392055837885</v>
      </c>
      <c r="AC1685" s="1014">
        <v>2.4869085341136703</v>
      </c>
      <c r="AD1685" s="1014">
        <v>3.4869085341136703</v>
      </c>
      <c r="AE1685" s="1014">
        <v>2.474360713678359</v>
      </c>
      <c r="AF1685" s="1014">
        <v>2.4543812642299678</v>
      </c>
      <c r="AG1685" s="1014">
        <v>2.4344018147815767</v>
      </c>
      <c r="AH1685" s="1014">
        <v>2.4196892618757286</v>
      </c>
      <c r="AI1685" s="1014">
        <v>2.4000626589706147</v>
      </c>
      <c r="AJ1685" s="1014">
        <v>2.3804360560655007</v>
      </c>
      <c r="AK1685" s="1014">
        <v>2.3608094531603867</v>
      </c>
      <c r="AL1685" s="1014">
        <v>2.3457440537112615</v>
      </c>
      <c r="AM1685" s="1014">
        <v>2.3230764848540679</v>
      </c>
      <c r="AN1685" s="1014">
        <v>4.2871208120842859</v>
      </c>
      <c r="AO1685" s="1014">
        <v>5.2597097336228149</v>
      </c>
      <c r="AP1685" s="1014">
        <v>6.232298655161344</v>
      </c>
      <c r="AQ1685" s="1014">
        <v>7.2048875766998721</v>
      </c>
      <c r="AR1685" s="1014">
        <v>6.1893108177650289</v>
      </c>
      <c r="AS1685" s="1014">
        <v>6.1678168990668718</v>
      </c>
      <c r="AT1685" s="1014">
        <v>6.1463229803687147</v>
      </c>
      <c r="AU1685" s="1014">
        <v>6.1248290616705576</v>
      </c>
      <c r="AV1685" s="1014">
        <f t="shared" ca="1" si="128"/>
        <v>6.1248290616705576</v>
      </c>
      <c r="AX1685" s="88" t="str">
        <f t="shared" ref="AX1685:AX1689" ca="1" si="130">A1685</f>
        <v>THC</v>
      </c>
    </row>
    <row r="1686" spans="1:65">
      <c r="A1686" s="88" t="str">
        <f t="shared" ca="1" si="127"/>
        <v>X</v>
      </c>
      <c r="F1686" s="1014">
        <v>1.8232469458371585</v>
      </c>
      <c r="G1686" s="1014">
        <v>3.8197867382247015</v>
      </c>
      <c r="H1686" s="1014">
        <v>4.8197867382247015</v>
      </c>
      <c r="I1686" s="1014">
        <v>3.6608046268616379</v>
      </c>
      <c r="J1686" s="1014">
        <v>3.4894768364862285</v>
      </c>
      <c r="K1686" s="1014">
        <v>3.3181490461108192</v>
      </c>
      <c r="L1686" s="1014">
        <v>3.1290503129356315</v>
      </c>
      <c r="M1686" s="1014">
        <v>2.948837051160333</v>
      </c>
      <c r="N1686" s="1014">
        <v>2.7686237893850345</v>
      </c>
      <c r="O1686" s="1014">
        <v>2.588410527609736</v>
      </c>
      <c r="P1686" s="1014">
        <v>2.5351813928185645</v>
      </c>
      <c r="Q1686" s="1014">
        <v>2.5113130219408015</v>
      </c>
      <c r="R1686" s="1014">
        <v>4.4546236795371739</v>
      </c>
      <c r="S1686" s="1014">
        <v>5.3979343371335453</v>
      </c>
      <c r="T1686" s="1014">
        <v>6.3412449947299177</v>
      </c>
      <c r="U1686" s="1014">
        <v>7.2845556523262891</v>
      </c>
      <c r="V1686" s="1014">
        <v>6.2278663099226614</v>
      </c>
      <c r="W1686" s="1014">
        <v>6.1711769675190329</v>
      </c>
      <c r="X1686" s="1014">
        <v>6.1144876251154052</v>
      </c>
      <c r="Y1686" s="1014">
        <v>6.0577982827117767</v>
      </c>
      <c r="Z1686" s="1014">
        <f t="shared" ca="1" si="129"/>
        <v>6.0577982827117767</v>
      </c>
      <c r="AB1686" s="1014">
        <v>17.013635215890915</v>
      </c>
      <c r="AC1686" s="1014">
        <v>19.006817607945457</v>
      </c>
      <c r="AD1686" s="1014">
        <v>20.006817607945457</v>
      </c>
      <c r="AE1686" s="1014">
        <v>18.020452823836372</v>
      </c>
      <c r="AF1686" s="1014">
        <v>19.013635215890915</v>
      </c>
      <c r="AG1686" s="1014">
        <v>19.013635215890915</v>
      </c>
      <c r="AH1686" s="1014">
        <v>19.013635215890918</v>
      </c>
      <c r="AI1686" s="1014">
        <v>19.013635215890918</v>
      </c>
      <c r="AJ1686" s="1014">
        <v>19.013635215890918</v>
      </c>
      <c r="AK1686" s="1014">
        <v>19.013635215890918</v>
      </c>
      <c r="AL1686" s="1014">
        <v>19.013635215890918</v>
      </c>
      <c r="AM1686" s="1014">
        <v>19.013635215890918</v>
      </c>
      <c r="AN1686" s="1014">
        <v>19.013635215890918</v>
      </c>
      <c r="AO1686" s="1014">
        <v>19.013635215890918</v>
      </c>
      <c r="AP1686" s="1014">
        <v>17.017843615857249</v>
      </c>
      <c r="AQ1686" s="1014">
        <v>16.019947815840414</v>
      </c>
      <c r="AR1686" s="1014">
        <v>15.023794029080392</v>
      </c>
      <c r="AS1686" s="1014">
        <v>14.026769235691962</v>
      </c>
      <c r="AT1686" s="1014">
        <v>13.029744442303532</v>
      </c>
      <c r="AU1686" s="1014">
        <v>12.032719648915101</v>
      </c>
      <c r="AV1686" s="1014">
        <f t="shared" ca="1" si="128"/>
        <v>12.032719648915101</v>
      </c>
      <c r="AX1686" s="88" t="str">
        <f t="shared" ca="1" si="130"/>
        <v>X</v>
      </c>
    </row>
    <row r="1687" spans="1:65">
      <c r="A1687" s="88" t="str">
        <f t="shared" ca="1" si="127"/>
        <v>JBEOAN</v>
      </c>
      <c r="F1687" s="1014">
        <v>11.37641723356009</v>
      </c>
      <c r="G1687" s="1014">
        <v>13.37641723356009</v>
      </c>
      <c r="H1687" s="1014">
        <v>14.37641723356009</v>
      </c>
      <c r="I1687" s="1014">
        <v>13.204578083698962</v>
      </c>
      <c r="J1687" s="1014">
        <v>15.014987454547894</v>
      </c>
      <c r="K1687" s="1014">
        <v>15.740611037314334</v>
      </c>
      <c r="L1687" s="1014">
        <v>16.556937567926578</v>
      </c>
      <c r="M1687" s="1014">
        <v>17.373264098538826</v>
      </c>
      <c r="N1687" s="1014">
        <v>18.18959062915107</v>
      </c>
      <c r="O1687" s="1014">
        <v>19.005917159763314</v>
      </c>
      <c r="P1687" s="1014">
        <v>19.005917159763314</v>
      </c>
      <c r="Q1687" s="1014">
        <v>19.005917159763314</v>
      </c>
      <c r="R1687" s="1014">
        <v>19.005917159763314</v>
      </c>
      <c r="S1687" s="1014">
        <v>19.005917159763314</v>
      </c>
      <c r="T1687" s="1014">
        <v>17.228139381985535</v>
      </c>
      <c r="U1687" s="1014">
        <v>16.339250493096646</v>
      </c>
      <c r="V1687" s="1014">
        <v>15.252830740010225</v>
      </c>
      <c r="W1687" s="1014">
        <v>14.26517641902257</v>
      </c>
      <c r="X1687" s="1014">
        <v>13.277522098034915</v>
      </c>
      <c r="Y1687" s="1014">
        <v>12.28986777704726</v>
      </c>
      <c r="Z1687" s="1014">
        <f t="shared" ca="1" si="129"/>
        <v>12.28986777704726</v>
      </c>
      <c r="AB1687" s="1014">
        <v>4.9293295105879908E-3</v>
      </c>
      <c r="AC1687" s="1014">
        <v>2.0024646647552942</v>
      </c>
      <c r="AD1687" s="1014">
        <v>3.0024646647552942</v>
      </c>
      <c r="AE1687" s="1014">
        <v>4.0024646647552942</v>
      </c>
      <c r="AF1687" s="1014">
        <v>5.0024646647552942</v>
      </c>
      <c r="AG1687" s="1014">
        <v>4.0028728280205996</v>
      </c>
      <c r="AH1687" s="1014">
        <v>4.0030769096532524</v>
      </c>
      <c r="AI1687" s="1014">
        <v>4.0032809912859051</v>
      </c>
      <c r="AJ1687" s="1014">
        <v>4.0034850729185578</v>
      </c>
      <c r="AK1687" s="1014">
        <v>4.0036891545512105</v>
      </c>
      <c r="AL1687" s="1014">
        <v>4.0038932361838633</v>
      </c>
      <c r="AM1687" s="1014">
        <v>4.004097317816516</v>
      </c>
      <c r="AN1687" s="1014">
        <v>6.0038932361838633</v>
      </c>
      <c r="AO1687" s="1014">
        <v>7.0038932361838633</v>
      </c>
      <c r="AP1687" s="1014">
        <v>6.0043013994491687</v>
      </c>
      <c r="AQ1687" s="1014">
        <v>6.0045054810818215</v>
      </c>
      <c r="AR1687" s="1014">
        <v>8.0043013994491687</v>
      </c>
      <c r="AS1687" s="1014">
        <v>9.0043013994491687</v>
      </c>
      <c r="AT1687" s="1014">
        <v>8.0047095627144742</v>
      </c>
      <c r="AU1687" s="1014">
        <v>8.0061381341430469</v>
      </c>
      <c r="AV1687" s="1014">
        <f t="shared" ca="1" si="128"/>
        <v>8.0061381341430469</v>
      </c>
      <c r="AX1687" s="88" t="str">
        <f t="shared" ca="1" si="130"/>
        <v>JBEOAN</v>
      </c>
    </row>
    <row r="1688" spans="1:65" ht="23" customHeight="1">
      <c r="A1688" s="88" t="str">
        <f t="shared" si="127"/>
        <v>LOCK</v>
      </c>
      <c r="F1688" s="1014">
        <v>16.191111111111109</v>
      </c>
      <c r="G1688" s="1014">
        <v>18.15111111111111</v>
      </c>
      <c r="H1688" s="1014">
        <v>19.15111111111111</v>
      </c>
      <c r="I1688" s="1014">
        <v>19.15111111111111</v>
      </c>
      <c r="J1688" s="1014">
        <v>19.15111111111111</v>
      </c>
      <c r="K1688" s="1014">
        <v>17.599864573714985</v>
      </c>
      <c r="L1688" s="1014">
        <v>16.824241305016923</v>
      </c>
      <c r="M1688" s="1014">
        <v>16.048618036318867</v>
      </c>
      <c r="N1688" s="1014">
        <v>15.272994767620807</v>
      </c>
      <c r="O1688" s="1014">
        <v>14.497371498922746</v>
      </c>
      <c r="P1688" s="1014">
        <v>14.610637119113575</v>
      </c>
      <c r="Q1688" s="1014">
        <v>13.835013850415514</v>
      </c>
      <c r="R1688" s="1014">
        <v>14.610637119113575</v>
      </c>
      <c r="S1688" s="1014">
        <v>14.610637119113575</v>
      </c>
      <c r="T1688" s="1014">
        <v>12.795892317601288</v>
      </c>
      <c r="U1688" s="1014">
        <v>11.888519916845144</v>
      </c>
      <c r="V1688" s="1014">
        <v>12.795892317601288</v>
      </c>
      <c r="W1688" s="1014">
        <v>12.79589231760129</v>
      </c>
      <c r="X1688" s="1014">
        <v>10.944652648179801</v>
      </c>
      <c r="Y1688" s="1014">
        <v>9.9258280384461024</v>
      </c>
      <c r="Z1688" s="1014">
        <f t="shared" ca="1" si="129"/>
        <v>9.9258280384461024</v>
      </c>
      <c r="AB1688" s="1014">
        <v>10.020042980571029</v>
      </c>
      <c r="AC1688" s="1014">
        <v>10.023810208215817</v>
      </c>
      <c r="AD1688" s="1014">
        <v>10.030627816161276</v>
      </c>
      <c r="AE1688" s="1014">
        <v>10.037401566381197</v>
      </c>
      <c r="AF1688" s="1014">
        <v>10.044175316601118</v>
      </c>
      <c r="AG1688" s="1014">
        <v>10.050949066821039</v>
      </c>
      <c r="AH1688" s="1014">
        <v>10.057722817040959</v>
      </c>
      <c r="AI1688" s="1014">
        <v>10.06449656726088</v>
      </c>
      <c r="AJ1688" s="1014">
        <v>10.071270317480801</v>
      </c>
      <c r="AK1688" s="1014">
        <v>10.078044067700722</v>
      </c>
      <c r="AL1688" s="1014">
        <v>9.0848616756461809</v>
      </c>
      <c r="AM1688" s="1014">
        <v>8.09167928359164</v>
      </c>
      <c r="AN1688" s="1014">
        <v>7.0984968915370983</v>
      </c>
      <c r="AO1688" s="1014">
        <v>6.1053144994825574</v>
      </c>
      <c r="AP1688" s="1014">
        <v>5.1121321074280166</v>
      </c>
      <c r="AQ1688" s="1014">
        <v>4.1189497153734758</v>
      </c>
      <c r="AR1688" s="1014">
        <v>3.1257673233189354</v>
      </c>
      <c r="AS1688" s="1014">
        <v>2.1325849312643945</v>
      </c>
      <c r="AT1688" s="1014">
        <v>1.1394025392098537</v>
      </c>
      <c r="AU1688" s="1014">
        <v>0.14622014715531217</v>
      </c>
      <c r="AV1688" s="1014">
        <f t="shared" ca="1" si="128"/>
        <v>0.14622014715531217</v>
      </c>
      <c r="AX1688" s="88" t="str">
        <f t="shared" si="130"/>
        <v>LOCK</v>
      </c>
    </row>
    <row r="1689" spans="1:65" ht="23" customHeight="1">
      <c r="A1689" s="88" t="str">
        <f t="shared" si="127"/>
        <v>Total</v>
      </c>
      <c r="F1689" s="1014">
        <v>0.11337868480725627</v>
      </c>
      <c r="G1689" s="1014">
        <v>5.6689342403628135E-2</v>
      </c>
      <c r="H1689" s="1014">
        <v>5.6689342403628135E-2</v>
      </c>
      <c r="I1689" s="1014">
        <v>5.6689342403628135E-2</v>
      </c>
      <c r="J1689" s="1014">
        <v>5.6689342403628135E-2</v>
      </c>
      <c r="K1689" s="1014">
        <v>5.6689342403628135E-2</v>
      </c>
      <c r="L1689" s="1014">
        <v>5.6689342403628135E-2</v>
      </c>
      <c r="M1689" s="1014">
        <v>5.6689342403628135E-2</v>
      </c>
      <c r="N1689" s="1014">
        <v>5.6689342403628135E-2</v>
      </c>
      <c r="O1689" s="1014">
        <v>5.6689342403628135E-2</v>
      </c>
      <c r="P1689" s="1014">
        <v>5.6689342403628135E-2</v>
      </c>
      <c r="Q1689" s="1014">
        <v>5.6689342403628135E-2</v>
      </c>
      <c r="R1689" s="1014">
        <v>5.6689342403628135E-2</v>
      </c>
      <c r="S1689" s="1014">
        <v>5.6689342403628135E-2</v>
      </c>
      <c r="T1689" s="1014">
        <v>5.6689342403628135E-2</v>
      </c>
      <c r="U1689" s="1014">
        <v>5.6689342403628135E-2</v>
      </c>
      <c r="V1689" s="1014">
        <v>5.6689342403628135E-2</v>
      </c>
      <c r="W1689" s="1014">
        <v>5.6689342403628135E-2</v>
      </c>
      <c r="X1689" s="1014">
        <v>5.6689342403628135E-2</v>
      </c>
      <c r="Y1689" s="1014">
        <v>5.6689342403628135E-2</v>
      </c>
      <c r="Z1689" s="1014">
        <f t="shared" ca="1" si="129"/>
        <v>5.6689342403628135E-2</v>
      </c>
      <c r="AB1689" s="1014">
        <v>0</v>
      </c>
      <c r="AC1689" s="1014">
        <v>13.000307004078769</v>
      </c>
      <c r="AD1689" s="1014">
        <v>14.000307004078769</v>
      </c>
      <c r="AE1689" s="1014">
        <v>13.057717900734154</v>
      </c>
      <c r="AF1689" s="1014">
        <v>13.086401420199078</v>
      </c>
      <c r="AG1689" s="1014">
        <v>13.122061480483602</v>
      </c>
      <c r="AH1689" s="1014">
        <v>13.167090308856391</v>
      </c>
      <c r="AI1689" s="1014">
        <v>13.205690617980148</v>
      </c>
      <c r="AJ1689" s="1014">
        <v>13.244290927103904</v>
      </c>
      <c r="AK1689" s="1014">
        <v>13.282891236227661</v>
      </c>
      <c r="AL1689" s="1014">
        <v>12.321535403076956</v>
      </c>
      <c r="AM1689" s="1014">
        <v>11.360179569926251</v>
      </c>
      <c r="AN1689" s="1014">
        <v>12.321535403076956</v>
      </c>
      <c r="AO1689" s="1014">
        <v>12.321535403076956</v>
      </c>
      <c r="AP1689" s="1014">
        <v>12.321535403076956</v>
      </c>
      <c r="AQ1689" s="1014">
        <v>12.321535403076957</v>
      </c>
      <c r="AR1689" s="1014">
        <v>12.321535403076957</v>
      </c>
      <c r="AS1689" s="1014">
        <v>12.321535403076957</v>
      </c>
      <c r="AT1689" s="1014">
        <v>12.321535403076957</v>
      </c>
      <c r="AU1689" s="1014">
        <v>10.401535403076956</v>
      </c>
      <c r="AV1689" s="1014">
        <f t="shared" ca="1" si="128"/>
        <v>10.401535403076956</v>
      </c>
      <c r="AX1689" s="88" t="str">
        <f t="shared" si="130"/>
        <v>Total</v>
      </c>
    </row>
    <row r="1690" spans="1:65" ht="23" customHeight="1"/>
    <row r="1691" spans="1:65" ht="23" customHeight="1"/>
    <row r="1695" spans="1:65">
      <c r="A1695" s="88"/>
      <c r="D1695" s="1" t="s">
        <v>8</v>
      </c>
      <c r="E1695" t="s">
        <v>2497</v>
      </c>
      <c r="AW1695">
        <f>Y704*100</f>
        <v>1.2482</v>
      </c>
      <c r="AX1695">
        <f ca="1">Z704*100</f>
        <v>1.2482</v>
      </c>
      <c r="AY1695">
        <f>AA698*100</f>
        <v>0</v>
      </c>
      <c r="AZ1695">
        <f t="shared" ref="AZ1695:BM1695" si="131">AB704*100</f>
        <v>500</v>
      </c>
      <c r="BA1695">
        <f t="shared" si="131"/>
        <v>300</v>
      </c>
      <c r="BB1695">
        <f t="shared" si="131"/>
        <v>300</v>
      </c>
      <c r="BC1695">
        <f t="shared" si="131"/>
        <v>100</v>
      </c>
      <c r="BD1695">
        <f t="shared" si="131"/>
        <v>100</v>
      </c>
      <c r="BE1695">
        <f t="shared" si="131"/>
        <v>400</v>
      </c>
      <c r="BF1695">
        <f t="shared" si="131"/>
        <v>100</v>
      </c>
      <c r="BG1695">
        <f t="shared" si="131"/>
        <v>1000</v>
      </c>
      <c r="BH1695">
        <f t="shared" si="131"/>
        <v>1000</v>
      </c>
      <c r="BI1695">
        <f t="shared" si="131"/>
        <v>1500</v>
      </c>
      <c r="BJ1695">
        <f t="shared" si="131"/>
        <v>1500</v>
      </c>
      <c r="BK1695">
        <f t="shared" si="131"/>
        <v>1500</v>
      </c>
      <c r="BL1695">
        <f t="shared" si="131"/>
        <v>1800</v>
      </c>
      <c r="BM1695">
        <f t="shared" si="131"/>
        <v>1500</v>
      </c>
    </row>
    <row r="1696" spans="1:65">
      <c r="D1696" s="1" t="s">
        <v>2302</v>
      </c>
      <c r="E1696" s="171" t="s">
        <v>2489</v>
      </c>
      <c r="AU1696" s="1014"/>
      <c r="AW1696" t="e">
        <f t="shared" ref="AW1696:BM1696" si="132">TANH(AW1695/$AD$1699)</f>
        <v>#DIV/0!</v>
      </c>
      <c r="AX1696" t="e">
        <f t="shared" ca="1" si="132"/>
        <v>#DIV/0!</v>
      </c>
      <c r="AY1696" t="e">
        <f t="shared" si="132"/>
        <v>#DIV/0!</v>
      </c>
      <c r="AZ1696" t="e">
        <f t="shared" si="132"/>
        <v>#DIV/0!</v>
      </c>
      <c r="BA1696" t="e">
        <f t="shared" si="132"/>
        <v>#DIV/0!</v>
      </c>
      <c r="BB1696" t="e">
        <f t="shared" si="132"/>
        <v>#DIV/0!</v>
      </c>
      <c r="BC1696" t="e">
        <f t="shared" si="132"/>
        <v>#DIV/0!</v>
      </c>
      <c r="BD1696" t="e">
        <f t="shared" si="132"/>
        <v>#DIV/0!</v>
      </c>
      <c r="BE1696" t="e">
        <f t="shared" si="132"/>
        <v>#DIV/0!</v>
      </c>
      <c r="BF1696" t="e">
        <f t="shared" si="132"/>
        <v>#DIV/0!</v>
      </c>
      <c r="BG1696" t="e">
        <f t="shared" si="132"/>
        <v>#DIV/0!</v>
      </c>
      <c r="BH1696" t="e">
        <f t="shared" si="132"/>
        <v>#DIV/0!</v>
      </c>
      <c r="BI1696" t="e">
        <f t="shared" si="132"/>
        <v>#DIV/0!</v>
      </c>
      <c r="BJ1696" t="e">
        <f t="shared" si="132"/>
        <v>#DIV/0!</v>
      </c>
      <c r="BK1696" t="e">
        <f t="shared" si="132"/>
        <v>#DIV/0!</v>
      </c>
      <c r="BL1696" t="e">
        <f t="shared" si="132"/>
        <v>#DIV/0!</v>
      </c>
      <c r="BM1696" t="e">
        <f t="shared" si="132"/>
        <v>#DIV/0!</v>
      </c>
    </row>
    <row r="1697" spans="1:52">
      <c r="B1697"/>
      <c r="C1697"/>
      <c r="D1697" s="319" t="s">
        <v>157</v>
      </c>
      <c r="E1697"/>
      <c r="F1697" s="1083">
        <f>MEDIAN(W1703:Z1703)</f>
        <v>8</v>
      </c>
      <c r="AD1697" s="1084"/>
      <c r="AE1697" s="1085"/>
      <c r="AH1697" s="86"/>
      <c r="AI1697" s="88"/>
      <c r="AJ1697" s="91"/>
      <c r="AK1697" s="1"/>
      <c r="AM1697" s="82"/>
      <c r="AN1697" s="82"/>
      <c r="AP1697" s="87"/>
      <c r="AU1697" s="90"/>
      <c r="AV1697" s="115"/>
      <c r="AX1697" s="88"/>
    </row>
    <row r="1698" spans="1:52">
      <c r="A1698" s="319" t="s">
        <v>1836</v>
      </c>
      <c r="B1698"/>
      <c r="C1698" s="319" t="s">
        <v>1912</v>
      </c>
      <c r="D1698" s="319" t="s">
        <v>1909</v>
      </c>
      <c r="E1698" s="319" t="s">
        <v>1911</v>
      </c>
      <c r="F1698" cm="1">
        <f t="array" ref="F1698">MEDIAN(ABS(W1703:Z1703 - F1697))</f>
        <v>7</v>
      </c>
      <c r="AH1698" s="86"/>
      <c r="AI1698" s="88"/>
      <c r="AJ1698" s="91"/>
      <c r="AK1698" s="1"/>
      <c r="AM1698" s="82"/>
      <c r="AN1698" s="82"/>
      <c r="AP1698" s="87"/>
      <c r="AU1698" s="90"/>
      <c r="AV1698" s="115"/>
      <c r="AX1698" s="88"/>
    </row>
    <row r="1699" spans="1:52">
      <c r="A1699" s="93">
        <v>19083746.583999999</v>
      </c>
      <c r="B1699" s="713" t="s">
        <v>1462</v>
      </c>
      <c r="C1699" s="93">
        <v>-43578449.623417005</v>
      </c>
      <c r="D1699" s="694">
        <v>-3520822.5087989997</v>
      </c>
      <c r="E1699" s="93">
        <v>2052479.3559999983</v>
      </c>
      <c r="F1699">
        <f>1.4826*F1698</f>
        <v>10.3782</v>
      </c>
      <c r="AH1699" s="86"/>
      <c r="AI1699" s="88"/>
      <c r="AJ1699" s="91"/>
      <c r="AK1699" s="1"/>
      <c r="AM1699" s="82"/>
      <c r="AN1699" s="82"/>
      <c r="AP1699" s="87"/>
      <c r="AU1699" s="90"/>
      <c r="AV1699" s="115"/>
      <c r="AX1699" s="88"/>
    </row>
    <row r="1700" spans="1:52">
      <c r="A1700" s="93">
        <v>10005085.549999999</v>
      </c>
      <c r="B1700" s="140" t="s">
        <v>1463</v>
      </c>
      <c r="C1700" s="93">
        <v>-15990901.022973999</v>
      </c>
      <c r="D1700" s="694">
        <v>-6925744.983074001</v>
      </c>
      <c r="E1700" s="93">
        <v>2003399.2212362839</v>
      </c>
      <c r="F1700" t="e">
        <f>SUMPRODUCT(F1702:I1702, F1704:I1704) / SQRT(SUMSQ(F1702:I1702) * SUMSQ(F1704:I1704))</f>
        <v>#N/A</v>
      </c>
      <c r="AH1700" s="86"/>
      <c r="AI1700" s="88"/>
      <c r="AJ1700" s="91"/>
      <c r="AK1700" s="1"/>
      <c r="AM1700" s="82"/>
      <c r="AN1700" s="82"/>
      <c r="AP1700" s="87"/>
      <c r="AU1700" s="90"/>
      <c r="AV1700" s="115"/>
      <c r="AX1700" s="88"/>
    </row>
    <row r="1701" spans="1:52">
      <c r="A1701" s="663">
        <v>29088832.134000011</v>
      </c>
      <c r="B1701" t="s">
        <v>1910</v>
      </c>
      <c r="C1701"/>
      <c r="E1701"/>
      <c r="F1701" t="e" cm="1">
        <f t="array" ref="F1701">2*SUMPRODUCT(ABS(F1702:I1702), --(SIGN(F1702:I1702)=SIGN(F1703:I1703)))/SUMPRODUCT(ABS(F1702:I1702)) - 1</f>
        <v>#N/A</v>
      </c>
      <c r="AH1701" s="86"/>
      <c r="AI1701" s="88"/>
      <c r="AJ1701" s="91"/>
      <c r="AK1701" s="1"/>
      <c r="AM1701" s="82"/>
      <c r="AN1701" s="82"/>
      <c r="AP1701" s="87"/>
      <c r="AU1701" s="90"/>
      <c r="AV1701" s="115"/>
      <c r="AX1701" s="88"/>
    </row>
    <row r="1702" spans="1:52">
      <c r="B1702" t="s">
        <v>1906</v>
      </c>
      <c r="C1702"/>
      <c r="D1702" s="694">
        <v>-20207171.195754714</v>
      </c>
      <c r="E1702"/>
      <c r="F1702" s="977" t="e">
        <f>W1497</f>
        <v>#N/A</v>
      </c>
      <c r="G1702" s="977" t="e">
        <f>X1497</f>
        <v>#N/A</v>
      </c>
      <c r="H1702" s="977" t="e">
        <f>Y1497</f>
        <v>#N/A</v>
      </c>
      <c r="I1702" s="977" t="e">
        <f ca="1">Z1497</f>
        <v>#N/A</v>
      </c>
      <c r="J1702" s="977">
        <f>AA1490</f>
        <v>0</v>
      </c>
      <c r="K1702" s="977" t="str">
        <f t="shared" ref="K1702:AA1702" si="133">AB1496</f>
        <v>Rev_GL0</v>
      </c>
      <c r="L1702" s="977" t="str">
        <f t="shared" si="133"/>
        <v>Rev_GL1</v>
      </c>
      <c r="M1702" s="977" t="str">
        <f t="shared" si="133"/>
        <v>Rev_GL2</v>
      </c>
      <c r="N1702" s="977" t="str">
        <f t="shared" si="133"/>
        <v>Rev_GL3</v>
      </c>
      <c r="O1702" s="977" t="str">
        <f t="shared" si="133"/>
        <v>Rev_GL4</v>
      </c>
      <c r="P1702" s="977" t="str">
        <f t="shared" si="133"/>
        <v>Rev_GL5</v>
      </c>
      <c r="Q1702" s="977" t="str">
        <f t="shared" si="133"/>
        <v>Rev_GL6</v>
      </c>
      <c r="R1702" s="977" t="str">
        <f t="shared" si="133"/>
        <v>Rev_GL7</v>
      </c>
      <c r="S1702" s="977" t="str">
        <f t="shared" si="133"/>
        <v>Rev_GL8</v>
      </c>
      <c r="T1702" s="977" t="str">
        <f t="shared" si="133"/>
        <v>Rev_GL9</v>
      </c>
      <c r="U1702" s="977" t="str">
        <f t="shared" si="133"/>
        <v>Rev_GL10</v>
      </c>
      <c r="V1702" s="977" t="str">
        <f t="shared" si="133"/>
        <v>Rev_GL11</v>
      </c>
      <c r="W1702" s="977" t="str">
        <f t="shared" si="133"/>
        <v>Rev_GL12</v>
      </c>
      <c r="X1702" s="977" t="str">
        <f t="shared" si="133"/>
        <v>Rev_GL13</v>
      </c>
      <c r="Y1702" s="977" t="str">
        <f t="shared" si="133"/>
        <v>Rev_GL14</v>
      </c>
      <c r="Z1702" s="977" t="str">
        <f t="shared" si="133"/>
        <v>Rev_GL15</v>
      </c>
      <c r="AA1702" s="977" t="str">
        <f t="shared" si="133"/>
        <v>Rev_GL16</v>
      </c>
      <c r="AB1702" s="977"/>
      <c r="AC1702" s="977"/>
      <c r="AD1702" s="977"/>
      <c r="AE1702" s="977"/>
      <c r="AF1702" s="977"/>
      <c r="AG1702" s="977"/>
      <c r="AH1702" s="977"/>
      <c r="AI1702" s="977"/>
      <c r="AJ1702" s="977"/>
      <c r="AK1702" s="977"/>
      <c r="AL1702" s="977"/>
      <c r="AM1702" s="977"/>
      <c r="AN1702" s="977"/>
      <c r="AO1702" s="977"/>
      <c r="AP1702" s="977"/>
      <c r="AQ1702" s="977"/>
      <c r="AR1702" s="977"/>
      <c r="AS1702" s="977"/>
      <c r="AX1702" s="88"/>
    </row>
    <row r="1703" spans="1:52">
      <c r="B1703" t="s">
        <v>946</v>
      </c>
      <c r="C1703"/>
      <c r="D1703" s="695">
        <v>8881660.9382452965</v>
      </c>
      <c r="E1703" s="90">
        <v>0.4395301475998396</v>
      </c>
      <c r="F1703" s="1086">
        <f>W704</f>
        <v>-1.644E-2</v>
      </c>
      <c r="G1703" s="1086">
        <f>X704</f>
        <v>4.372E-3</v>
      </c>
      <c r="H1703" s="1086">
        <f>Y704</f>
        <v>1.2482E-2</v>
      </c>
      <c r="I1703" s="1086">
        <f ca="1">Z704</f>
        <v>1.2482E-2</v>
      </c>
      <c r="J1703" s="1086">
        <f>AA698</f>
        <v>0</v>
      </c>
      <c r="K1703" s="1086">
        <f t="shared" ref="K1703:AA1703" si="134">AB704</f>
        <v>5</v>
      </c>
      <c r="L1703" s="1086">
        <f t="shared" si="134"/>
        <v>3</v>
      </c>
      <c r="M1703" s="1086">
        <f t="shared" si="134"/>
        <v>3</v>
      </c>
      <c r="N1703" s="1086">
        <f t="shared" si="134"/>
        <v>1</v>
      </c>
      <c r="O1703" s="1086">
        <f t="shared" si="134"/>
        <v>1</v>
      </c>
      <c r="P1703" s="1086">
        <f t="shared" si="134"/>
        <v>4</v>
      </c>
      <c r="Q1703" s="1086">
        <f t="shared" si="134"/>
        <v>1</v>
      </c>
      <c r="R1703" s="1086">
        <f t="shared" si="134"/>
        <v>10</v>
      </c>
      <c r="S1703" s="1086">
        <f t="shared" si="134"/>
        <v>10</v>
      </c>
      <c r="T1703" s="1086">
        <f t="shared" si="134"/>
        <v>15</v>
      </c>
      <c r="U1703" s="1086">
        <f t="shared" si="134"/>
        <v>15</v>
      </c>
      <c r="V1703" s="1086">
        <f t="shared" si="134"/>
        <v>15</v>
      </c>
      <c r="W1703" s="1086">
        <f t="shared" si="134"/>
        <v>18</v>
      </c>
      <c r="X1703" s="1086">
        <f t="shared" si="134"/>
        <v>15</v>
      </c>
      <c r="Y1703" s="1086">
        <f t="shared" si="134"/>
        <v>1</v>
      </c>
      <c r="Z1703" s="1086">
        <f t="shared" si="134"/>
        <v>1</v>
      </c>
      <c r="AA1703" s="1086">
        <f t="shared" si="134"/>
        <v>3</v>
      </c>
      <c r="AB1703" s="1086">
        <v>21.991662999999999</v>
      </c>
      <c r="AC1703" s="1086">
        <v>22.991662999999999</v>
      </c>
      <c r="AD1703" s="1086">
        <v>23.991662999999999</v>
      </c>
      <c r="AE1703" s="1086">
        <v>24.991662999999999</v>
      </c>
      <c r="AF1703" s="1086">
        <v>25.991662999999999</v>
      </c>
      <c r="AG1703" s="1086">
        <v>26.991662999999999</v>
      </c>
      <c r="AH1703" s="1086">
        <v>27.991662999999999</v>
      </c>
      <c r="AI1703" s="1086">
        <v>28.991662999999999</v>
      </c>
      <c r="AJ1703" s="1086">
        <v>29.991662999999999</v>
      </c>
      <c r="AK1703" s="1086">
        <v>30.991662999999999</v>
      </c>
      <c r="AL1703" s="1086">
        <v>31.991662999999999</v>
      </c>
      <c r="AM1703" s="1086">
        <v>32.991663000000003</v>
      </c>
      <c r="AN1703" s="1086">
        <v>33.991663000000003</v>
      </c>
      <c r="AO1703" s="1086">
        <v>34.991663000000003</v>
      </c>
      <c r="AP1703" s="1086">
        <v>35.991663000000003</v>
      </c>
      <c r="AQ1703" s="1086">
        <v>36.991663000000003</v>
      </c>
      <c r="AR1703" s="1086">
        <v>37.991663000000003</v>
      </c>
      <c r="AS1703" s="1086">
        <v>38.991663000000003</v>
      </c>
      <c r="AT1703">
        <f>V704*100</f>
        <v>-1.6439999999999999</v>
      </c>
      <c r="AU1703">
        <f>W704*100</f>
        <v>-1.6439999999999999</v>
      </c>
      <c r="AV1703">
        <f>X704*100</f>
        <v>0.43719999999999998</v>
      </c>
      <c r="AX1703" s="88"/>
    </row>
    <row r="1704" spans="1:52">
      <c r="B1704" s="660" t="s">
        <v>1907</v>
      </c>
      <c r="C1704"/>
      <c r="D1704" s="1203">
        <v>4055878.5772362803</v>
      </c>
      <c r="E1704" s="90">
        <v>0.45665766858665729</v>
      </c>
      <c r="F1704">
        <f t="shared" ref="F1704:AA1704" si="135">TANH(W1703/$F$1699)</f>
        <v>0.93957431970767247</v>
      </c>
      <c r="G1704">
        <f t="shared" si="135"/>
        <v>0.89476704665632556</v>
      </c>
      <c r="H1704">
        <f t="shared" si="135"/>
        <v>9.6058722665114116E-2</v>
      </c>
      <c r="I1704">
        <f t="shared" si="135"/>
        <v>9.6058722665114116E-2</v>
      </c>
      <c r="J1704">
        <f t="shared" si="135"/>
        <v>0.28127628495582069</v>
      </c>
      <c r="K1704">
        <f t="shared" si="135"/>
        <v>0.9715394084782385</v>
      </c>
      <c r="L1704">
        <f t="shared" si="135"/>
        <v>0.97646929563859708</v>
      </c>
      <c r="M1704">
        <f t="shared" si="135"/>
        <v>0.98055366044776626</v>
      </c>
      <c r="N1704">
        <f t="shared" si="135"/>
        <v>0.9839348401533613</v>
      </c>
      <c r="O1704">
        <f t="shared" si="135"/>
        <v>0.98673206474020081</v>
      </c>
      <c r="P1704">
        <f t="shared" si="135"/>
        <v>0.98904493314020359</v>
      </c>
      <c r="Q1704">
        <f t="shared" si="135"/>
        <v>0.99095645724589532</v>
      </c>
      <c r="R1704">
        <f t="shared" si="135"/>
        <v>0.99253569563003641</v>
      </c>
      <c r="S1704">
        <f t="shared" si="135"/>
        <v>0.99384001105947939</v>
      </c>
      <c r="T1704">
        <f t="shared" si="135"/>
        <v>0.99491699132779154</v>
      </c>
      <c r="U1704">
        <f t="shared" si="135"/>
        <v>0.99580607405991584</v>
      </c>
      <c r="V1704">
        <f t="shared" si="135"/>
        <v>0.99653991466529424</v>
      </c>
      <c r="W1704">
        <f t="shared" si="135"/>
        <v>0.99714553368779857</v>
      </c>
      <c r="X1704">
        <f t="shared" si="135"/>
        <v>0.99764527618114252</v>
      </c>
      <c r="Y1704">
        <f t="shared" si="135"/>
        <v>0.99805761191006503</v>
      </c>
      <c r="Z1704">
        <f t="shared" si="135"/>
        <v>0.99839780143316437</v>
      </c>
      <c r="AA1704">
        <f t="shared" si="135"/>
        <v>0.99867844962819774</v>
      </c>
      <c r="AB1704">
        <f t="shared" ref="AB1704:AS1704" si="136">TANH(VS1690/$F$1699)</f>
        <v>0</v>
      </c>
      <c r="AC1704">
        <f t="shared" si="136"/>
        <v>0</v>
      </c>
      <c r="AD1704">
        <f t="shared" si="136"/>
        <v>0</v>
      </c>
      <c r="AE1704">
        <f t="shared" si="136"/>
        <v>0</v>
      </c>
      <c r="AF1704">
        <f t="shared" si="136"/>
        <v>0</v>
      </c>
      <c r="AG1704">
        <f t="shared" si="136"/>
        <v>0</v>
      </c>
      <c r="AH1704">
        <f t="shared" si="136"/>
        <v>0</v>
      </c>
      <c r="AI1704">
        <f t="shared" si="136"/>
        <v>0</v>
      </c>
      <c r="AJ1704">
        <f t="shared" si="136"/>
        <v>0</v>
      </c>
      <c r="AK1704">
        <f t="shared" si="136"/>
        <v>0</v>
      </c>
      <c r="AL1704">
        <f t="shared" si="136"/>
        <v>0</v>
      </c>
      <c r="AM1704">
        <f t="shared" si="136"/>
        <v>0</v>
      </c>
      <c r="AN1704">
        <f t="shared" si="136"/>
        <v>0</v>
      </c>
      <c r="AO1704">
        <f t="shared" si="136"/>
        <v>0</v>
      </c>
      <c r="AP1704">
        <f t="shared" si="136"/>
        <v>0</v>
      </c>
      <c r="AQ1704">
        <f t="shared" si="136"/>
        <v>0</v>
      </c>
      <c r="AR1704">
        <f t="shared" si="136"/>
        <v>0</v>
      </c>
      <c r="AS1704">
        <f t="shared" si="136"/>
        <v>0</v>
      </c>
      <c r="AT1704" t="e">
        <f>TANH(AT1703/$AD$1699)</f>
        <v>#DIV/0!</v>
      </c>
      <c r="AU1704" t="e">
        <f>TANH(AU1703/$AD$1699)</f>
        <v>#DIV/0!</v>
      </c>
      <c r="AV1704" t="e">
        <f>TANH(AV1703/$AD$1699)</f>
        <v>#DIV/0!</v>
      </c>
      <c r="AX1704" s="88"/>
    </row>
    <row r="1705" spans="1:52">
      <c r="B1705" s="1" t="s">
        <v>2493</v>
      </c>
      <c r="C1705" s="171" t="s">
        <v>2487</v>
      </c>
      <c r="E1705"/>
      <c r="J1705"/>
      <c r="K1705"/>
      <c r="AU1705" s="1014"/>
      <c r="AX1705" s="88"/>
    </row>
    <row r="1706" spans="1:52">
      <c r="B1706" s="1" t="s">
        <v>2492</v>
      </c>
      <c r="C1706" s="171" t="s">
        <v>2488</v>
      </c>
      <c r="E1706"/>
      <c r="F1706" s="319" t="s">
        <v>1914</v>
      </c>
      <c r="G1706" s="334" t="s">
        <v>1906</v>
      </c>
      <c r="H1706" s="319" t="s">
        <v>1913</v>
      </c>
      <c r="I1706" s="334" t="s">
        <v>976</v>
      </c>
      <c r="J1706" s="319" t="s">
        <v>1915</v>
      </c>
      <c r="K1706" s="319" t="s">
        <v>1908</v>
      </c>
      <c r="AU1706" s="1014"/>
      <c r="AX1706" s="88"/>
    </row>
    <row r="1707" spans="1:52">
      <c r="B1707" s="1" t="s">
        <v>2491</v>
      </c>
      <c r="C1707" s="171" t="s">
        <v>547</v>
      </c>
      <c r="E1707"/>
      <c r="F1707" s="93">
        <v>-60609716.851417005</v>
      </c>
      <c r="G1707" s="93">
        <v>-5627126.3840170009</v>
      </c>
      <c r="H1707" s="93">
        <v>54982590.467400014</v>
      </c>
      <c r="I1707" s="93">
        <v>13456620.199983001</v>
      </c>
      <c r="J1707" s="93">
        <v>11062436.651100002</v>
      </c>
      <c r="K1707" s="93">
        <v>-157585.2638136842</v>
      </c>
      <c r="AU1707" s="1014"/>
      <c r="AX1707" s="88"/>
    </row>
    <row r="1708" spans="1:52">
      <c r="B1708" s="1" t="s">
        <v>2494</v>
      </c>
      <c r="C1708" s="171" t="s">
        <v>2490</v>
      </c>
      <c r="E1708"/>
      <c r="F1708" s="93">
        <v>-23992587.351737719</v>
      </c>
      <c r="G1708" s="93">
        <v>-14580044.811737716</v>
      </c>
      <c r="H1708" s="93">
        <v>9412542.5399999991</v>
      </c>
      <c r="I1708" s="93">
        <v>-4574959.2617377173</v>
      </c>
      <c r="J1708" s="93">
        <v>0</v>
      </c>
      <c r="K1708" s="93">
        <v>-62380.727114518064</v>
      </c>
      <c r="AU1708" s="1014"/>
    </row>
    <row r="1709" spans="1:52">
      <c r="B1709" s="1" t="s">
        <v>2495</v>
      </c>
      <c r="C1709" s="171" t="s">
        <v>2496</v>
      </c>
      <c r="E1709" s="731"/>
      <c r="J1709"/>
      <c r="K1709"/>
      <c r="AB1709" s="672" t="s">
        <v>2533</v>
      </c>
      <c r="AU1709" s="1014"/>
    </row>
    <row r="1710" spans="1:52">
      <c r="B1710" s="1" t="s">
        <v>691</v>
      </c>
      <c r="C1710" t="s">
        <v>2498</v>
      </c>
      <c r="E1710" s="93"/>
      <c r="F1710" s="62">
        <f t="shared" ref="F1710:Z1710" ca="1" si="137">F1396</f>
        <v>45929</v>
      </c>
      <c r="G1710" s="62">
        <f t="shared" ca="1" si="137"/>
        <v>45930</v>
      </c>
      <c r="H1710" s="62">
        <f t="shared" ca="1" si="137"/>
        <v>45931</v>
      </c>
      <c r="I1710" s="62">
        <f t="shared" ca="1" si="137"/>
        <v>45932</v>
      </c>
      <c r="J1710" s="62">
        <f t="shared" ca="1" si="137"/>
        <v>45933</v>
      </c>
      <c r="K1710" s="62">
        <f t="shared" ca="1" si="137"/>
        <v>45936</v>
      </c>
      <c r="L1710" s="62">
        <f t="shared" ca="1" si="137"/>
        <v>45937</v>
      </c>
      <c r="M1710" s="62">
        <f t="shared" ca="1" si="137"/>
        <v>45938</v>
      </c>
      <c r="N1710" s="62">
        <f t="shared" ca="1" si="137"/>
        <v>45939</v>
      </c>
      <c r="O1710" s="62">
        <f t="shared" ca="1" si="137"/>
        <v>45940</v>
      </c>
      <c r="P1710" s="62">
        <f t="shared" ca="1" si="137"/>
        <v>45943</v>
      </c>
      <c r="Q1710" s="62">
        <f t="shared" ca="1" si="137"/>
        <v>45944</v>
      </c>
      <c r="R1710" s="62">
        <f t="shared" ca="1" si="137"/>
        <v>45945</v>
      </c>
      <c r="S1710" s="62">
        <f t="shared" ca="1" si="137"/>
        <v>45946</v>
      </c>
      <c r="T1710" s="62">
        <f t="shared" ca="1" si="137"/>
        <v>45947</v>
      </c>
      <c r="U1710" s="62">
        <f t="shared" ca="1" si="137"/>
        <v>45950</v>
      </c>
      <c r="V1710" s="62">
        <f t="shared" ca="1" si="137"/>
        <v>45951</v>
      </c>
      <c r="W1710" s="62">
        <f t="shared" ca="1" si="137"/>
        <v>45952</v>
      </c>
      <c r="X1710" s="62">
        <f t="shared" ca="1" si="137"/>
        <v>45953</v>
      </c>
      <c r="Y1710" s="62">
        <f t="shared" ca="1" si="137"/>
        <v>45954</v>
      </c>
      <c r="Z1710" s="62">
        <f t="shared" ca="1" si="137"/>
        <v>45956</v>
      </c>
      <c r="AU1710" s="1014"/>
      <c r="AV1710" s="1" t="s">
        <v>2355</v>
      </c>
    </row>
    <row r="1711" spans="1:52" ht="23" thickBot="1">
      <c r="E1711" s="93"/>
      <c r="F1711" t="s">
        <v>2107</v>
      </c>
      <c r="G1711" t="s">
        <v>2108</v>
      </c>
      <c r="H1711" t="s">
        <v>2109</v>
      </c>
      <c r="I1711" t="s">
        <v>2110</v>
      </c>
      <c r="J1711" t="s">
        <v>2111</v>
      </c>
      <c r="K1711" t="s">
        <v>2112</v>
      </c>
      <c r="L1711" t="s">
        <v>2113</v>
      </c>
      <c r="M1711" t="s">
        <v>2114</v>
      </c>
      <c r="N1711" t="s">
        <v>2115</v>
      </c>
      <c r="O1711" t="s">
        <v>2116</v>
      </c>
      <c r="P1711" t="s">
        <v>2117</v>
      </c>
      <c r="Q1711" t="s">
        <v>2118</v>
      </c>
      <c r="R1711" t="s">
        <v>2119</v>
      </c>
      <c r="S1711" t="s">
        <v>2120</v>
      </c>
      <c r="T1711" t="s">
        <v>2121</v>
      </c>
      <c r="U1711" t="s">
        <v>2122</v>
      </c>
      <c r="V1711" t="s">
        <v>2123</v>
      </c>
      <c r="W1711" t="s">
        <v>2124</v>
      </c>
      <c r="X1711" t="s">
        <v>2125</v>
      </c>
      <c r="Y1711" t="s">
        <v>2126</v>
      </c>
      <c r="Z1711" t="s">
        <v>2127</v>
      </c>
      <c r="AB1711" t="s">
        <v>2241</v>
      </c>
      <c r="AC1711" t="s">
        <v>2242</v>
      </c>
      <c r="AD1711" t="s">
        <v>2243</v>
      </c>
      <c r="AE1711" t="s">
        <v>2244</v>
      </c>
      <c r="AF1711" t="s">
        <v>2245</v>
      </c>
      <c r="AG1711" t="s">
        <v>2246</v>
      </c>
      <c r="AH1711" t="s">
        <v>2247</v>
      </c>
      <c r="AI1711" t="s">
        <v>2248</v>
      </c>
      <c r="AJ1711" t="s">
        <v>2249</v>
      </c>
      <c r="AK1711" t="s">
        <v>2250</v>
      </c>
      <c r="AL1711" t="s">
        <v>2251</v>
      </c>
      <c r="AM1711" t="s">
        <v>2252</v>
      </c>
      <c r="AN1711" t="s">
        <v>2253</v>
      </c>
      <c r="AO1711" t="s">
        <v>2254</v>
      </c>
      <c r="AP1711" t="s">
        <v>2255</v>
      </c>
      <c r="AQ1711" t="s">
        <v>2256</v>
      </c>
      <c r="AR1711" t="s">
        <v>2257</v>
      </c>
      <c r="AS1711" t="s">
        <v>2258</v>
      </c>
      <c r="AT1711" t="s">
        <v>2259</v>
      </c>
      <c r="AU1711" s="1014" t="s">
        <v>2240</v>
      </c>
      <c r="AV1711" t="s">
        <v>2239</v>
      </c>
    </row>
    <row r="1712" spans="1:52" ht="23" thickBot="1">
      <c r="B1712" s="319" t="s">
        <v>1836</v>
      </c>
      <c r="C1712" s="895">
        <f ca="1">Calc!BB103</f>
        <v>-17975153.991799995</v>
      </c>
      <c r="D1712" s="896" t="s">
        <v>2286</v>
      </c>
      <c r="E1712" s="93"/>
      <c r="F1712" s="731">
        <v>26746309.109999999</v>
      </c>
      <c r="G1712" s="731">
        <v>27484101.669999998</v>
      </c>
      <c r="H1712" s="731">
        <v>27291331.440000001</v>
      </c>
      <c r="I1712" s="731">
        <v>27486378.029999997</v>
      </c>
      <c r="J1712" s="731">
        <v>27416833.044999998</v>
      </c>
      <c r="K1712" s="731">
        <v>27439021.219999995</v>
      </c>
      <c r="L1712" s="731">
        <v>27640332.239999998</v>
      </c>
      <c r="M1712" s="731">
        <v>27184057.77</v>
      </c>
      <c r="N1712" s="731">
        <v>27074947.559999995</v>
      </c>
      <c r="O1712" s="731">
        <v>27231305.359999999</v>
      </c>
      <c r="P1712" s="731">
        <v>27228748.919999994</v>
      </c>
      <c r="Q1712" s="731">
        <v>27305380.827499993</v>
      </c>
      <c r="R1712" s="731">
        <v>26957816.880000003</v>
      </c>
      <c r="S1712" s="731">
        <v>27000558.569999997</v>
      </c>
      <c r="T1712" s="731">
        <v>27827152.870000001</v>
      </c>
      <c r="U1712" s="731">
        <v>27433901.329999998</v>
      </c>
      <c r="V1712" s="731">
        <v>29011270.359999992</v>
      </c>
      <c r="W1712" s="731">
        <v>29011105.359999992</v>
      </c>
      <c r="X1712" s="731">
        <v>29498781.279999997</v>
      </c>
      <c r="Y1712" s="731">
        <v>30184125.434999999</v>
      </c>
      <c r="Z1712" s="731">
        <f ca="1">Calc!BC103</f>
        <v>30005199.299999997</v>
      </c>
      <c r="AB1712" s="93">
        <f ca="1">Tab1SDataShiftSummary[[#This Row],[Summary0]]-Tab1SDataShiftSummary[[#This Row],[Summary20]]</f>
        <v>-3258890.1899999976</v>
      </c>
      <c r="AC1712" s="93">
        <f>Tab1SDataShiftSummary[[#This Row],[Summary1]]-Tab1SDataShiftSummary[[#This Row],[Summary0]]</f>
        <v>737792.55999999866</v>
      </c>
      <c r="AD1712" s="93">
        <f>Tab1SDataShiftSummary[[#This Row],[Summary2]]-Tab1SDataShiftSummary[[#This Row],[Summary1]]</f>
        <v>-192770.22999999672</v>
      </c>
      <c r="AE1712" s="93">
        <f>Tab1SDataShiftSummary[[#This Row],[Summary3]]-Tab1SDataShiftSummary[[#This Row],[Summary2]]</f>
        <v>195046.58999999613</v>
      </c>
      <c r="AF1712" s="93">
        <f>Tab1SDataShiftSummary[[#This Row],[Summary4]]-Tab1SDataShiftSummary[[#This Row],[Summary3]]</f>
        <v>-69544.984999999404</v>
      </c>
      <c r="AG1712" s="93">
        <f>Tab1SDataShiftSummary[[#This Row],[Summary5]]-Tab1SDataShiftSummary[[#This Row],[Summary4]]</f>
        <v>22188.17499999702</v>
      </c>
      <c r="AH1712" s="93">
        <f>Tab1SDataShiftSummary[[#This Row],[Summary6]]-Tab1SDataShiftSummary[[#This Row],[Summary5]]</f>
        <v>201311.02000000328</v>
      </c>
      <c r="AI1712" s="93">
        <f>Tab1SDataShiftSummary[[#This Row],[Summary7]]-Tab1SDataShiftSummary[[#This Row],[Summary6]]</f>
        <v>-456274.46999999881</v>
      </c>
      <c r="AJ1712" s="93">
        <f>Tab1SDataShiftSummary[[#This Row],[Summary8]]-Tab1SDataShiftSummary[[#This Row],[Summary7]]</f>
        <v>-109110.21000000462</v>
      </c>
      <c r="AK1712" s="93">
        <f>Tab1SDataShiftSummary[[#This Row],[Summary9]]-Tab1SDataShiftSummary[[#This Row],[Summary8]]</f>
        <v>156357.80000000447</v>
      </c>
      <c r="AL1712" s="93">
        <f>Tab1SDataShiftSummary[[#This Row],[Summary10]]-Tab1SDataShiftSummary[[#This Row],[Summary9]]</f>
        <v>-2556.4400000050664</v>
      </c>
      <c r="AM1712" s="93">
        <f>Tab1SDataShiftSummary[[#This Row],[Summary11]]-Tab1SDataShiftSummary[[#This Row],[Summary10]]</f>
        <v>76631.907499998808</v>
      </c>
      <c r="AN1712" s="93">
        <f>Tab1SDataShiftSummary[[#This Row],[Summary12]]-Tab1SDataShiftSummary[[#This Row],[Summary11]]</f>
        <v>-347563.94749999046</v>
      </c>
      <c r="AO1712" s="93">
        <f>Tab1SDataShiftSummary[[#This Row],[Summary13]]-Tab1SDataShiftSummary[[#This Row],[Summary12]]</f>
        <v>42741.689999993891</v>
      </c>
      <c r="AP1712" s="93">
        <f>Tab1SDataShiftSummary[[#This Row],[Summary14]]-Tab1SDataShiftSummary[[#This Row],[Summary13]]</f>
        <v>826594.30000000447</v>
      </c>
      <c r="AQ1712" s="93">
        <f>Tab1SDataShiftSummary[[#This Row],[Summary15]]-Tab1SDataShiftSummary[[#This Row],[Summary14]]</f>
        <v>-393251.54000000283</v>
      </c>
      <c r="AR1712" s="93">
        <f>Tab1SDataShiftSummary[[#This Row],[Summary16]]-Tab1SDataShiftSummary[[#This Row],[Summary15]]</f>
        <v>1577369.0299999937</v>
      </c>
      <c r="AS1712" s="93">
        <f>Tab1SDataShiftSummary[[#This Row],[Summary17]]-Tab1SDataShiftSummary[[#This Row],[Summary16]]</f>
        <v>-165</v>
      </c>
      <c r="AT1712" s="93">
        <f>Tab1SDataShiftSummary[[#This Row],[Summary18]]-Tab1SDataShiftSummary[[#This Row],[Summary17]]</f>
        <v>487675.92000000551</v>
      </c>
      <c r="AU1712" s="93">
        <f>Tab1SDataShiftSummary[[#This Row],[Summary19]]-Tab1SDataShiftSummary[[#This Row],[Summary18]]</f>
        <v>685344.15500000119</v>
      </c>
      <c r="AV1712" s="93">
        <f ca="1">Tab1SDataShiftSummary[[#This Row],[Summary20]]-Tab1SDataShiftSummary[[#This Row],[Summary19]]</f>
        <v>-178926.13500000164</v>
      </c>
      <c r="AY1712" s="319" t="s">
        <v>1836</v>
      </c>
      <c r="AZ1712">
        <v>-17286632.757999998</v>
      </c>
    </row>
    <row r="1713" spans="1:52">
      <c r="A1713" s="713" t="s">
        <v>1462</v>
      </c>
      <c r="B1713" s="319" t="s">
        <v>1912</v>
      </c>
      <c r="C1713"/>
      <c r="E1713" s="93"/>
      <c r="F1713" s="93">
        <v>-56038697.48788204</v>
      </c>
      <c r="G1713" s="93">
        <v>-56038697.48788204</v>
      </c>
      <c r="H1713" s="93">
        <v>-56100098.97665704</v>
      </c>
      <c r="I1713" s="93">
        <v>-56679618.124610536</v>
      </c>
      <c r="J1713" s="93">
        <v>-56472298.115857035</v>
      </c>
      <c r="K1713" s="93">
        <v>-57005982.900022656</v>
      </c>
      <c r="L1713" s="93">
        <v>-57175053.343222663</v>
      </c>
      <c r="M1713" s="93">
        <v>-57111642.804822654</v>
      </c>
      <c r="N1713" s="93">
        <v>-57111642.804822654</v>
      </c>
      <c r="O1713" s="93">
        <v>-57614150.737302661</v>
      </c>
      <c r="P1713" s="93">
        <v>-57614150.737302661</v>
      </c>
      <c r="Q1713" s="93">
        <v>-57614150.737302661</v>
      </c>
      <c r="R1713" s="93">
        <v>-57355762.439402558</v>
      </c>
      <c r="S1713" s="93">
        <v>-57933184.072902665</v>
      </c>
      <c r="T1713" s="93">
        <v>-58643376.759214662</v>
      </c>
      <c r="U1713" s="93">
        <v>-58466955.479622662</v>
      </c>
      <c r="V1713" s="93">
        <v>-60441473.010622665</v>
      </c>
      <c r="W1713" s="93">
        <v>-60441473.010622665</v>
      </c>
      <c r="X1713" s="93">
        <v>-60047207.337883458</v>
      </c>
      <c r="Y1713" s="93">
        <v>-60743241.474645555</v>
      </c>
      <c r="Z1713" s="93">
        <f ca="1">Calc!BD103</f>
        <v>-60742300.612645552</v>
      </c>
      <c r="AB1713" s="93">
        <f ca="1">Tab1SDataShiftSummary[[#This Row],[Summary0]]-Tab1SDataShiftSummary[[#This Row],[Summary20]]</f>
        <v>4703603.1247635111</v>
      </c>
      <c r="AC1713" s="93">
        <f>Tab1SDataShiftSummary[[#This Row],[Summary1]]-Tab1SDataShiftSummary[[#This Row],[Summary0]]</f>
        <v>0</v>
      </c>
      <c r="AD1713" s="93">
        <f>Tab1SDataShiftSummary[[#This Row],[Summary2]]-Tab1SDataShiftSummary[[#This Row],[Summary1]]</f>
        <v>-61401.488774999976</v>
      </c>
      <c r="AE1713" s="93">
        <f>Tab1SDataShiftSummary[[#This Row],[Summary3]]-Tab1SDataShiftSummary[[#This Row],[Summary2]]</f>
        <v>-579519.14795349538</v>
      </c>
      <c r="AF1713" s="93">
        <f>Tab1SDataShiftSummary[[#This Row],[Summary4]]-Tab1SDataShiftSummary[[#This Row],[Summary3]]</f>
        <v>207320.00875350088</v>
      </c>
      <c r="AG1713" s="93">
        <f>Tab1SDataShiftSummary[[#This Row],[Summary5]]-Tab1SDataShiftSummary[[#This Row],[Summary4]]</f>
        <v>-533684.7841656208</v>
      </c>
      <c r="AH1713" s="93">
        <f>Tab1SDataShiftSummary[[#This Row],[Summary6]]-Tab1SDataShiftSummary[[#This Row],[Summary5]]</f>
        <v>-169070.44320000708</v>
      </c>
      <c r="AI1713" s="93">
        <f>Tab1SDataShiftSummary[[#This Row],[Summary7]]-Tab1SDataShiftSummary[[#This Row],[Summary6]]</f>
        <v>63410.538400009274</v>
      </c>
      <c r="AJ1713" s="93">
        <f>Tab1SDataShiftSummary[[#This Row],[Summary8]]-Tab1SDataShiftSummary[[#This Row],[Summary7]]</f>
        <v>0</v>
      </c>
      <c r="AK1713" s="93">
        <f>Tab1SDataShiftSummary[[#This Row],[Summary9]]-Tab1SDataShiftSummary[[#This Row],[Summary8]]</f>
        <v>-502507.93248000741</v>
      </c>
      <c r="AL1713" s="93">
        <f>Tab1SDataShiftSummary[[#This Row],[Summary10]]-Tab1SDataShiftSummary[[#This Row],[Summary9]]</f>
        <v>0</v>
      </c>
      <c r="AM1713" s="93">
        <f>Tab1SDataShiftSummary[[#This Row],[Summary11]]-Tab1SDataShiftSummary[[#This Row],[Summary10]]</f>
        <v>0</v>
      </c>
      <c r="AN1713" s="93">
        <f>Tab1SDataShiftSummary[[#This Row],[Summary12]]-Tab1SDataShiftSummary[[#This Row],[Summary11]]</f>
        <v>258388.29790010303</v>
      </c>
      <c r="AO1713" s="93">
        <f>Tab1SDataShiftSummary[[#This Row],[Summary13]]-Tab1SDataShiftSummary[[#This Row],[Summary12]]</f>
        <v>-577421.63350010663</v>
      </c>
      <c r="AP1713" s="93">
        <f>Tab1SDataShiftSummary[[#This Row],[Summary14]]-Tab1SDataShiftSummary[[#This Row],[Summary13]]</f>
        <v>-710192.68631199747</v>
      </c>
      <c r="AQ1713" s="93">
        <f>Tab1SDataShiftSummary[[#This Row],[Summary15]]-Tab1SDataShiftSummary[[#This Row],[Summary14]]</f>
        <v>176421.27959199995</v>
      </c>
      <c r="AR1713" s="93">
        <f>Tab1SDataShiftSummary[[#This Row],[Summary16]]-Tab1SDataShiftSummary[[#This Row],[Summary15]]</f>
        <v>-1974517.5310000032</v>
      </c>
      <c r="AS1713" s="93">
        <f>Tab1SDataShiftSummary[[#This Row],[Summary17]]-Tab1SDataShiftSummary[[#This Row],[Summary16]]</f>
        <v>0</v>
      </c>
      <c r="AT1713" s="93">
        <f>Tab1SDataShiftSummary[[#This Row],[Summary18]]-Tab1SDataShiftSummary[[#This Row],[Summary17]]</f>
        <v>394265.67273920774</v>
      </c>
      <c r="AU1713" s="93">
        <f>Tab1SDataShiftSummary[[#This Row],[Summary19]]-Tab1SDataShiftSummary[[#This Row],[Summary18]]</f>
        <v>-696034.13676209748</v>
      </c>
      <c r="AV1713" s="93">
        <f ca="1">Tab1SDataShiftSummary[[#This Row],[Summary20]]-Tab1SDataShiftSummary[[#This Row],[Summary19]]</f>
        <v>940.86200000345707</v>
      </c>
      <c r="AX1713" s="713" t="s">
        <v>1462</v>
      </c>
      <c r="AY1713" s="319" t="s">
        <v>1912</v>
      </c>
    </row>
    <row r="1714" spans="1:52">
      <c r="B1714" s="319" t="s">
        <v>2300</v>
      </c>
      <c r="C1714" s="1148"/>
      <c r="D1714" s="1204"/>
      <c r="E1714" s="93"/>
      <c r="F1714" s="93">
        <v>-6665078.4238507496</v>
      </c>
      <c r="G1714" s="93">
        <v>-6914443.0988507504</v>
      </c>
      <c r="H1714" s="93">
        <v>-6914476.8875757502</v>
      </c>
      <c r="I1714" s="93">
        <v>-6854531.8875757502</v>
      </c>
      <c r="J1714" s="93">
        <v>-6854531.8875757502</v>
      </c>
      <c r="K1714" s="93">
        <v>-6786584.0554128187</v>
      </c>
      <c r="L1714" s="93">
        <v>-6728304.0554128187</v>
      </c>
      <c r="M1714" s="93">
        <v>-6563648.5831728987</v>
      </c>
      <c r="N1714" s="93">
        <v>-6516088.5831728987</v>
      </c>
      <c r="O1714" s="93">
        <v>-6833789.6614128193</v>
      </c>
      <c r="P1714" s="93">
        <v>-6833789.6614128193</v>
      </c>
      <c r="Q1714" s="93">
        <v>-6802385.2014128193</v>
      </c>
      <c r="R1714" s="93">
        <v>-6552278.7378040198</v>
      </c>
      <c r="S1714" s="93">
        <v>-6551184.4900128199</v>
      </c>
      <c r="T1714" s="93">
        <v>-6890984.2719128197</v>
      </c>
      <c r="U1714" s="93">
        <v>-6419394.4900128199</v>
      </c>
      <c r="V1714" s="93">
        <v>-6756938.66321282</v>
      </c>
      <c r="W1714" s="93">
        <v>-6756938.66321282</v>
      </c>
      <c r="X1714" s="93">
        <v>-6651341.7212128201</v>
      </c>
      <c r="Y1714" s="93">
        <v>-6854952.0041087214</v>
      </c>
      <c r="Z1714" s="93">
        <f ca="1">Calc!BE103</f>
        <v>-6854952.0041087214</v>
      </c>
      <c r="AB1714" s="93">
        <f ca="1">Tab1SDataShiftSummary[[#This Row],[Summary0]]-Tab1SDataShiftSummary[[#This Row],[Summary20]]</f>
        <v>189873.58025797177</v>
      </c>
      <c r="AC1714" s="93">
        <f>Tab1SDataShiftSummary[[#This Row],[Summary1]]-Tab1SDataShiftSummary[[#This Row],[Summary0]]</f>
        <v>-249364.67500000075</v>
      </c>
      <c r="AD1714" s="93">
        <f>Tab1SDataShiftSummary[[#This Row],[Summary2]]-Tab1SDataShiftSummary[[#This Row],[Summary1]]</f>
        <v>-33.78872499987483</v>
      </c>
      <c r="AE1714" s="93">
        <f>Tab1SDataShiftSummary[[#This Row],[Summary3]]-Tab1SDataShiftSummary[[#This Row],[Summary2]]</f>
        <v>59945</v>
      </c>
      <c r="AF1714" s="93">
        <f>Tab1SDataShiftSummary[[#This Row],[Summary4]]-Tab1SDataShiftSummary[[#This Row],[Summary3]]</f>
        <v>0</v>
      </c>
      <c r="AG1714" s="93">
        <f>Tab1SDataShiftSummary[[#This Row],[Summary5]]-Tab1SDataShiftSummary[[#This Row],[Summary4]]</f>
        <v>67947.832162931561</v>
      </c>
      <c r="AH1714" s="93">
        <f>Tab1SDataShiftSummary[[#This Row],[Summary6]]-Tab1SDataShiftSummary[[#This Row],[Summary5]]</f>
        <v>58280</v>
      </c>
      <c r="AI1714" s="93">
        <f>Tab1SDataShiftSummary[[#This Row],[Summary7]]-Tab1SDataShiftSummary[[#This Row],[Summary6]]</f>
        <v>164655.47223991994</v>
      </c>
      <c r="AJ1714" s="93">
        <f>Tab1SDataShiftSummary[[#This Row],[Summary8]]-Tab1SDataShiftSummary[[#This Row],[Summary7]]</f>
        <v>47560</v>
      </c>
      <c r="AK1714" s="93">
        <f>Tab1SDataShiftSummary[[#This Row],[Summary9]]-Tab1SDataShiftSummary[[#This Row],[Summary8]]</f>
        <v>-317701.07823992055</v>
      </c>
      <c r="AL1714" s="93">
        <f>Tab1SDataShiftSummary[[#This Row],[Summary10]]-Tab1SDataShiftSummary[[#This Row],[Summary9]]</f>
        <v>0</v>
      </c>
      <c r="AM1714" s="93">
        <f>Tab1SDataShiftSummary[[#This Row],[Summary11]]-Tab1SDataShiftSummary[[#This Row],[Summary10]]</f>
        <v>31404.459999999963</v>
      </c>
      <c r="AN1714" s="93">
        <f>Tab1SDataShiftSummary[[#This Row],[Summary12]]-Tab1SDataShiftSummary[[#This Row],[Summary11]]</f>
        <v>250106.4636087995</v>
      </c>
      <c r="AO1714" s="93">
        <f>Tab1SDataShiftSummary[[#This Row],[Summary13]]-Tab1SDataShiftSummary[[#This Row],[Summary12]]</f>
        <v>1094.2477911999449</v>
      </c>
      <c r="AP1714" s="93">
        <f>Tab1SDataShiftSummary[[#This Row],[Summary14]]-Tab1SDataShiftSummary[[#This Row],[Summary13]]</f>
        <v>-339799.78189999983</v>
      </c>
      <c r="AQ1714" s="93">
        <f>Tab1SDataShiftSummary[[#This Row],[Summary15]]-Tab1SDataShiftSummary[[#This Row],[Summary14]]</f>
        <v>471589.78189999983</v>
      </c>
      <c r="AR1714" s="93">
        <f>Tab1SDataShiftSummary[[#This Row],[Summary16]]-Tab1SDataShiftSummary[[#This Row],[Summary15]]</f>
        <v>-337544.17320000008</v>
      </c>
      <c r="AS1714" s="93">
        <f>Tab1SDataShiftSummary[[#This Row],[Summary17]]-Tab1SDataShiftSummary[[#This Row],[Summary16]]</f>
        <v>0</v>
      </c>
      <c r="AT1714" s="93">
        <f>Tab1SDataShiftSummary[[#This Row],[Summary18]]-Tab1SDataShiftSummary[[#This Row],[Summary17]]</f>
        <v>105596.94199999981</v>
      </c>
      <c r="AU1714" s="93">
        <f>Tab1SDataShiftSummary[[#This Row],[Summary19]]-Tab1SDataShiftSummary[[#This Row],[Summary18]]</f>
        <v>-203610.28289590124</v>
      </c>
      <c r="AV1714" s="93">
        <f ca="1">Tab1SDataShiftSummary[[#This Row],[Summary20]]-Tab1SDataShiftSummary[[#This Row],[Summary19]]</f>
        <v>0</v>
      </c>
      <c r="AY1714" s="319" t="s">
        <v>2300</v>
      </c>
    </row>
    <row r="1715" spans="1:52">
      <c r="B1715" s="319" t="s">
        <v>2132</v>
      </c>
      <c r="C1715"/>
      <c r="E1715" s="93"/>
      <c r="F1715" s="93">
        <v>8812406.2066999972</v>
      </c>
      <c r="G1715" s="93">
        <v>9550198.7667000033</v>
      </c>
      <c r="H1715" s="93">
        <v>9061744.0267000049</v>
      </c>
      <c r="I1715" s="93">
        <v>9066990.7620000001</v>
      </c>
      <c r="J1715" s="93">
        <v>9096105.6317000035</v>
      </c>
      <c r="K1715" s="93">
        <v>9098203.8067000043</v>
      </c>
      <c r="L1715" s="93">
        <v>9299514.8267000038</v>
      </c>
      <c r="M1715" s="93">
        <v>8863330.3567000069</v>
      </c>
      <c r="N1715" s="93">
        <v>8754220.1467000041</v>
      </c>
      <c r="O1715" s="93">
        <v>8910577.9467000049</v>
      </c>
      <c r="P1715" s="93">
        <v>8908021.5067000054</v>
      </c>
      <c r="Q1715" s="93">
        <v>8984653.4142000061</v>
      </c>
      <c r="R1715" s="93">
        <v>8798855.7737000044</v>
      </c>
      <c r="S1715" s="93">
        <v>8679831.156700002</v>
      </c>
      <c r="T1715" s="93">
        <v>9464256.9567000028</v>
      </c>
      <c r="U1715" s="93">
        <v>9113173.9167000074</v>
      </c>
      <c r="V1715" s="93">
        <v>10670452.946700007</v>
      </c>
      <c r="W1715" s="93">
        <v>10670287.946700007</v>
      </c>
      <c r="X1715" s="93">
        <v>11158213.866700005</v>
      </c>
      <c r="Y1715" s="93">
        <v>11847101.443200003</v>
      </c>
      <c r="Z1715" s="93">
        <f ca="1">Calc!BF103</f>
        <v>12030045.308200002</v>
      </c>
      <c r="AA1715" s="310"/>
      <c r="AB1715" s="93">
        <f ca="1">Tab1SDataShiftSummary[[#This Row],[Summary0]]-Tab1SDataShiftSummary[[#This Row],[Summary20]]</f>
        <v>-3217639.1015000045</v>
      </c>
      <c r="AC1715" s="93">
        <f>Tab1SDataShiftSummary[[#This Row],[Summary1]]-Tab1SDataShiftSummary[[#This Row],[Summary0]]</f>
        <v>737792.56000000611</v>
      </c>
      <c r="AD1715" s="93">
        <f>Tab1SDataShiftSummary[[#This Row],[Summary2]]-Tab1SDataShiftSummary[[#This Row],[Summary1]]</f>
        <v>-488454.73999999836</v>
      </c>
      <c r="AE1715" s="93">
        <f>Tab1SDataShiftSummary[[#This Row],[Summary3]]-Tab1SDataShiftSummary[[#This Row],[Summary2]]</f>
        <v>5246.735299995169</v>
      </c>
      <c r="AF1715" s="93">
        <f>Tab1SDataShiftSummary[[#This Row],[Summary4]]-Tab1SDataShiftSummary[[#This Row],[Summary3]]</f>
        <v>29114.869700003415</v>
      </c>
      <c r="AG1715" s="93">
        <f>Tab1SDataShiftSummary[[#This Row],[Summary5]]-Tab1SDataShiftSummary[[#This Row],[Summary4]]</f>
        <v>2098.1750000007451</v>
      </c>
      <c r="AH1715" s="93">
        <f>Tab1SDataShiftSummary[[#This Row],[Summary6]]-Tab1SDataShiftSummary[[#This Row],[Summary5]]</f>
        <v>201311.01999999955</v>
      </c>
      <c r="AI1715" s="93">
        <f>Tab1SDataShiftSummary[[#This Row],[Summary7]]-Tab1SDataShiftSummary[[#This Row],[Summary6]]</f>
        <v>-436184.46999999695</v>
      </c>
      <c r="AJ1715" s="93">
        <f>Tab1SDataShiftSummary[[#This Row],[Summary8]]-Tab1SDataShiftSummary[[#This Row],[Summary7]]</f>
        <v>-109110.21000000276</v>
      </c>
      <c r="AK1715" s="93">
        <f>Tab1SDataShiftSummary[[#This Row],[Summary9]]-Tab1SDataShiftSummary[[#This Row],[Summary8]]</f>
        <v>156357.80000000075</v>
      </c>
      <c r="AL1715" s="93">
        <f>Tab1SDataShiftSummary[[#This Row],[Summary10]]-Tab1SDataShiftSummary[[#This Row],[Summary9]]</f>
        <v>-2556.4399999994785</v>
      </c>
      <c r="AM1715" s="93">
        <f>Tab1SDataShiftSummary[[#This Row],[Summary11]]-Tab1SDataShiftSummary[[#This Row],[Summary10]]</f>
        <v>76631.907500000671</v>
      </c>
      <c r="AN1715" s="93">
        <f>Tab1SDataShiftSummary[[#This Row],[Summary12]]-Tab1SDataShiftSummary[[#This Row],[Summary11]]</f>
        <v>-185797.64050000161</v>
      </c>
      <c r="AO1715" s="93">
        <f>Tab1SDataShiftSummary[[#This Row],[Summary13]]-Tab1SDataShiftSummary[[#This Row],[Summary12]]</f>
        <v>-119024.61700000241</v>
      </c>
      <c r="AP1715" s="93">
        <f>Tab1SDataShiftSummary[[#This Row],[Summary14]]-Tab1SDataShiftSummary[[#This Row],[Summary13]]</f>
        <v>784425.80000000075</v>
      </c>
      <c r="AQ1715" s="93">
        <f>Tab1SDataShiftSummary[[#This Row],[Summary15]]-Tab1SDataShiftSummary[[#This Row],[Summary14]]</f>
        <v>-351083.03999999538</v>
      </c>
      <c r="AR1715" s="93">
        <f>Tab1SDataShiftSummary[[#This Row],[Summary16]]-Tab1SDataShiftSummary[[#This Row],[Summary15]]</f>
        <v>1557279.0299999993</v>
      </c>
      <c r="AS1715" s="93">
        <f>Tab1SDataShiftSummary[[#This Row],[Summary17]]-Tab1SDataShiftSummary[[#This Row],[Summary16]]</f>
        <v>-165</v>
      </c>
      <c r="AT1715" s="93">
        <f>Tab1SDataShiftSummary[[#This Row],[Summary18]]-Tab1SDataShiftSummary[[#This Row],[Summary17]]</f>
        <v>487925.91999999806</v>
      </c>
      <c r="AU1715" s="93">
        <f>Tab1SDataShiftSummary[[#This Row],[Summary19]]-Tab1SDataShiftSummary[[#This Row],[Summary18]]</f>
        <v>688887.57649999857</v>
      </c>
      <c r="AV1715" s="93">
        <f ca="1">Tab1SDataShiftSummary[[#This Row],[Summary20]]-Tab1SDataShiftSummary[[#This Row],[Summary19]]</f>
        <v>182943.86499999836</v>
      </c>
      <c r="AY1715" s="319" t="s">
        <v>2132</v>
      </c>
      <c r="AZ1715" t="s">
        <v>2129</v>
      </c>
    </row>
    <row r="1716" spans="1:52">
      <c r="B1716" s="319" t="s">
        <v>1914</v>
      </c>
      <c r="C1716"/>
      <c r="E1716" s="93"/>
      <c r="F1716" s="93">
        <v>-73972600.39118202</v>
      </c>
      <c r="G1716" s="93">
        <v>-73972600.39118202</v>
      </c>
      <c r="H1716" s="93">
        <v>-74329686.389957011</v>
      </c>
      <c r="I1716" s="93">
        <v>-75099005.39261052</v>
      </c>
      <c r="J1716" s="93">
        <v>-74793025.529157013</v>
      </c>
      <c r="K1716" s="93">
        <v>-75346800.313322678</v>
      </c>
      <c r="L1716" s="93">
        <v>-75515870.75652267</v>
      </c>
      <c r="M1716" s="93">
        <v>-75432370.218122676</v>
      </c>
      <c r="N1716" s="93">
        <v>-75432370.218122676</v>
      </c>
      <c r="O1716" s="93">
        <v>-75934878.150602669</v>
      </c>
      <c r="P1716" s="93">
        <v>-75934878.150602669</v>
      </c>
      <c r="Q1716" s="93">
        <v>-75934878.150602669</v>
      </c>
      <c r="R1716" s="93">
        <v>-75514723.545702577</v>
      </c>
      <c r="S1716" s="93">
        <v>-76253911.486202672</v>
      </c>
      <c r="T1716" s="93">
        <v>-77006272.672514662</v>
      </c>
      <c r="U1716" s="93">
        <v>-76787682.89292267</v>
      </c>
      <c r="V1716" s="93">
        <v>-78782290.423922673</v>
      </c>
      <c r="W1716" s="93">
        <v>-78782290.423922673</v>
      </c>
      <c r="X1716" s="93">
        <v>-78387774.751183465</v>
      </c>
      <c r="Y1716" s="93">
        <v>-79080265.466445565</v>
      </c>
      <c r="Z1716" s="93">
        <f ca="1">Calc!BG103</f>
        <v>-78717454.604445562</v>
      </c>
      <c r="AB1716" s="93">
        <f ca="1">Tab1SDataShiftSummary[[#This Row],[Summary0]]-Tab1SDataShiftSummary[[#This Row],[Summary20]]</f>
        <v>4744854.2132635415</v>
      </c>
      <c r="AC1716" s="93">
        <f>Tab1SDataShiftSummary[[#This Row],[Summary1]]-Tab1SDataShiftSummary[[#This Row],[Summary0]]</f>
        <v>0</v>
      </c>
      <c r="AD1716" s="93">
        <f>Tab1SDataShiftSummary[[#This Row],[Summary2]]-Tab1SDataShiftSummary[[#This Row],[Summary1]]</f>
        <v>-357085.99877499044</v>
      </c>
      <c r="AE1716" s="93">
        <f>Tab1SDataShiftSummary[[#This Row],[Summary3]]-Tab1SDataShiftSummary[[#This Row],[Summary2]]</f>
        <v>-769319.00265350938</v>
      </c>
      <c r="AF1716" s="93">
        <f>Tab1SDataShiftSummary[[#This Row],[Summary4]]-Tab1SDataShiftSummary[[#This Row],[Summary3]]</f>
        <v>305979.86345350742</v>
      </c>
      <c r="AG1716" s="93">
        <f>Tab1SDataShiftSummary[[#This Row],[Summary5]]-Tab1SDataShiftSummary[[#This Row],[Summary4]]</f>
        <v>-553774.78416566551</v>
      </c>
      <c r="AH1716" s="93">
        <f>Tab1SDataShiftSummary[[#This Row],[Summary6]]-Tab1SDataShiftSummary[[#This Row],[Summary5]]</f>
        <v>-169070.44319999218</v>
      </c>
      <c r="AI1716" s="93">
        <f>Tab1SDataShiftSummary[[#This Row],[Summary7]]-Tab1SDataShiftSummary[[#This Row],[Summary6]]</f>
        <v>83500.538399994373</v>
      </c>
      <c r="AJ1716" s="93">
        <f>Tab1SDataShiftSummary[[#This Row],[Summary8]]-Tab1SDataShiftSummary[[#This Row],[Summary7]]</f>
        <v>0</v>
      </c>
      <c r="AK1716" s="93">
        <f>Tab1SDataShiftSummary[[#This Row],[Summary9]]-Tab1SDataShiftSummary[[#This Row],[Summary8]]</f>
        <v>-502507.93247999251</v>
      </c>
      <c r="AL1716" s="93">
        <f>Tab1SDataShiftSummary[[#This Row],[Summary10]]-Tab1SDataShiftSummary[[#This Row],[Summary9]]</f>
        <v>0</v>
      </c>
      <c r="AM1716" s="93">
        <f>Tab1SDataShiftSummary[[#This Row],[Summary11]]-Tab1SDataShiftSummary[[#This Row],[Summary10]]</f>
        <v>0</v>
      </c>
      <c r="AN1716" s="93">
        <f>Tab1SDataShiftSummary[[#This Row],[Summary12]]-Tab1SDataShiftSummary[[#This Row],[Summary11]]</f>
        <v>420154.60490009189</v>
      </c>
      <c r="AO1716" s="93">
        <f>Tab1SDataShiftSummary[[#This Row],[Summary13]]-Tab1SDataShiftSummary[[#This Row],[Summary12]]</f>
        <v>-739187.94050009549</v>
      </c>
      <c r="AP1716" s="93">
        <f>Tab1SDataShiftSummary[[#This Row],[Summary14]]-Tab1SDataShiftSummary[[#This Row],[Summary13]]</f>
        <v>-752361.18631199002</v>
      </c>
      <c r="AQ1716" s="93">
        <f>Tab1SDataShiftSummary[[#This Row],[Summary15]]-Tab1SDataShiftSummary[[#This Row],[Summary14]]</f>
        <v>218589.7795919925</v>
      </c>
      <c r="AR1716" s="93">
        <f>Tab1SDataShiftSummary[[#This Row],[Summary16]]-Tab1SDataShiftSummary[[#This Row],[Summary15]]</f>
        <v>-1994607.5310000032</v>
      </c>
      <c r="AS1716" s="93">
        <f>Tab1SDataShiftSummary[[#This Row],[Summary17]]-Tab1SDataShiftSummary[[#This Row],[Summary16]]</f>
        <v>0</v>
      </c>
      <c r="AT1716" s="93">
        <f>Tab1SDataShiftSummary[[#This Row],[Summary18]]-Tab1SDataShiftSummary[[#This Row],[Summary17]]</f>
        <v>394515.67273920774</v>
      </c>
      <c r="AU1716" s="93">
        <f>Tab1SDataShiftSummary[[#This Row],[Summary19]]-Tab1SDataShiftSummary[[#This Row],[Summary18]]</f>
        <v>-692490.7152621001</v>
      </c>
      <c r="AV1716" s="93">
        <f ca="1">Tab1SDataShiftSummary[[#This Row],[Summary20]]-Tab1SDataShiftSummary[[#This Row],[Summary19]]</f>
        <v>362810.86200000346</v>
      </c>
      <c r="AY1716" s="319" t="s">
        <v>1914</v>
      </c>
    </row>
    <row r="1717" spans="1:52">
      <c r="B1717" s="334" t="s">
        <v>2293</v>
      </c>
      <c r="C1717"/>
      <c r="E1717" s="93"/>
      <c r="F1717" s="93">
        <v>-10465136.121416997</v>
      </c>
      <c r="G1717" s="93">
        <v>-10465136.121416999</v>
      </c>
      <c r="H1717" s="93">
        <v>-10761593.631416997</v>
      </c>
      <c r="I1717" s="93">
        <v>-10718853.487016996</v>
      </c>
      <c r="J1717" s="93">
        <v>-10613825.251416998</v>
      </c>
      <c r="K1717" s="93">
        <v>-10435775.551416999</v>
      </c>
      <c r="L1717" s="93">
        <v>-10452326.551416999</v>
      </c>
      <c r="M1717" s="93">
        <v>-10077154.251417</v>
      </c>
      <c r="N1717" s="93">
        <v>-10029594.251417</v>
      </c>
      <c r="O1717" s="93">
        <v>-10510698.451416999</v>
      </c>
      <c r="P1717" s="93">
        <v>-10481439.091417</v>
      </c>
      <c r="Q1717" s="93">
        <v>-10369474.631416999</v>
      </c>
      <c r="R1717" s="93">
        <v>-10096298.775609998</v>
      </c>
      <c r="S1717" s="93">
        <v>-10317509.711416999</v>
      </c>
      <c r="T1717" s="93">
        <v>-10615178.831416998</v>
      </c>
      <c r="U1717" s="93">
        <v>-10329865.911416998</v>
      </c>
      <c r="V1717" s="93">
        <v>-12138605.811417</v>
      </c>
      <c r="W1717" s="93">
        <v>-12138605.811417</v>
      </c>
      <c r="X1717" s="93">
        <v>-12371217.219417</v>
      </c>
      <c r="Y1717" s="93">
        <v>-12966020.967917001</v>
      </c>
      <c r="Z1717" s="93">
        <f ca="1">Calc!BH103</f>
        <v>-12852610.967917001</v>
      </c>
      <c r="AB1717" s="93">
        <f ca="1">Tab1SDataShiftSummary[[#This Row],[Summary0]]-Tab1SDataShiftSummary[[#This Row],[Summary20]]</f>
        <v>2387474.8465000037</v>
      </c>
      <c r="AC1717" s="93">
        <f>Tab1SDataShiftSummary[[#This Row],[Summary1]]-Tab1SDataShiftSummary[[#This Row],[Summary0]]</f>
        <v>0</v>
      </c>
      <c r="AD1717" s="93">
        <f>Tab1SDataShiftSummary[[#This Row],[Summary2]]-Tab1SDataShiftSummary[[#This Row],[Summary1]]</f>
        <v>-296457.50999999791</v>
      </c>
      <c r="AE1717" s="93">
        <f>Tab1SDataShiftSummary[[#This Row],[Summary3]]-Tab1SDataShiftSummary[[#This Row],[Summary2]]</f>
        <v>42740.144400000572</v>
      </c>
      <c r="AF1717" s="93">
        <f>Tab1SDataShiftSummary[[#This Row],[Summary4]]-Tab1SDataShiftSummary[[#This Row],[Summary3]]</f>
        <v>105028.23559999838</v>
      </c>
      <c r="AG1717" s="93">
        <f>Tab1SDataShiftSummary[[#This Row],[Summary5]]-Tab1SDataShiftSummary[[#This Row],[Summary4]]</f>
        <v>178049.69999999925</v>
      </c>
      <c r="AH1717" s="93">
        <f>Tab1SDataShiftSummary[[#This Row],[Summary6]]-Tab1SDataShiftSummary[[#This Row],[Summary5]]</f>
        <v>-16551</v>
      </c>
      <c r="AI1717" s="93">
        <f>Tab1SDataShiftSummary[[#This Row],[Summary7]]-Tab1SDataShiftSummary[[#This Row],[Summary6]]</f>
        <v>375172.29999999888</v>
      </c>
      <c r="AJ1717" s="93">
        <f>Tab1SDataShiftSummary[[#This Row],[Summary8]]-Tab1SDataShiftSummary[[#This Row],[Summary7]]</f>
        <v>47560</v>
      </c>
      <c r="AK1717" s="93">
        <f>Tab1SDataShiftSummary[[#This Row],[Summary9]]-Tab1SDataShiftSummary[[#This Row],[Summary8]]</f>
        <v>-481104.19999999925</v>
      </c>
      <c r="AL1717" s="93">
        <f>Tab1SDataShiftSummary[[#This Row],[Summary10]]-Tab1SDataShiftSummary[[#This Row],[Summary9]]</f>
        <v>29259.359999999404</v>
      </c>
      <c r="AM1717" s="93">
        <f>Tab1SDataShiftSummary[[#This Row],[Summary11]]-Tab1SDataShiftSummary[[#This Row],[Summary10]]</f>
        <v>111964.46000000089</v>
      </c>
      <c r="AN1717" s="93">
        <f>Tab1SDataShiftSummary[[#This Row],[Summary12]]-Tab1SDataShiftSummary[[#This Row],[Summary11]]</f>
        <v>273175.85580700077</v>
      </c>
      <c r="AO1717" s="93">
        <f>Tab1SDataShiftSummary[[#This Row],[Summary13]]-Tab1SDataShiftSummary[[#This Row],[Summary12]]</f>
        <v>-221210.93580700085</v>
      </c>
      <c r="AP1717" s="93">
        <f>Tab1SDataShiftSummary[[#This Row],[Summary14]]-Tab1SDataShiftSummary[[#This Row],[Summary13]]</f>
        <v>-297669.11999999918</v>
      </c>
      <c r="AQ1717" s="93">
        <f>Tab1SDataShiftSummary[[#This Row],[Summary15]]-Tab1SDataShiftSummary[[#This Row],[Summary14]]</f>
        <v>285312.91999999993</v>
      </c>
      <c r="AR1717" s="93">
        <f>Tab1SDataShiftSummary[[#This Row],[Summary16]]-Tab1SDataShiftSummary[[#This Row],[Summary15]]</f>
        <v>-1808739.9000000022</v>
      </c>
      <c r="AS1717" s="93">
        <f>Tab1SDataShiftSummary[[#This Row],[Summary17]]-Tab1SDataShiftSummary[[#This Row],[Summary16]]</f>
        <v>0</v>
      </c>
      <c r="AT1717" s="93">
        <f>Tab1SDataShiftSummary[[#This Row],[Summary18]]-Tab1SDataShiftSummary[[#This Row],[Summary17]]</f>
        <v>-232611.40799999982</v>
      </c>
      <c r="AU1717" s="93">
        <f>Tab1SDataShiftSummary[[#This Row],[Summary19]]-Tab1SDataShiftSummary[[#This Row],[Summary18]]</f>
        <v>-594803.74850000069</v>
      </c>
      <c r="AV1717" s="93">
        <f ca="1">Tab1SDataShiftSummary[[#This Row],[Summary20]]-Tab1SDataShiftSummary[[#This Row],[Summary19]]</f>
        <v>113410</v>
      </c>
      <c r="AY1717" s="334" t="s">
        <v>2293</v>
      </c>
    </row>
    <row r="1718" spans="1:52">
      <c r="B1718" s="319" t="s">
        <v>1913</v>
      </c>
      <c r="C1718"/>
      <c r="E1718" s="93"/>
      <c r="F1718" s="93">
        <v>63164686.459738515</v>
      </c>
      <c r="G1718" s="93">
        <v>63164686.459738523</v>
      </c>
      <c r="H1718" s="93">
        <v>63224275.114738524</v>
      </c>
      <c r="I1718" s="93">
        <v>64032390.408924013</v>
      </c>
      <c r="J1718" s="93">
        <v>63832702.294588521</v>
      </c>
      <c r="K1718" s="93">
        <v>64547370.463728011</v>
      </c>
      <c r="L1718" s="93">
        <v>64699056.053128019</v>
      </c>
      <c r="M1718" s="93">
        <v>64990185.443547994</v>
      </c>
      <c r="N1718" s="93">
        <v>65037621.787548006</v>
      </c>
      <c r="O1718" s="93">
        <v>65057670.125988007</v>
      </c>
      <c r="P1718" s="93">
        <v>65086853.411651999</v>
      </c>
      <c r="Q1718" s="93">
        <v>65198526.764055997</v>
      </c>
      <c r="R1718" s="93">
        <v>65053016.895924017</v>
      </c>
      <c r="S1718" s="93">
        <v>65567735.239664018</v>
      </c>
      <c r="T1718" s="93">
        <v>66019299.113064006</v>
      </c>
      <c r="U1718" s="93">
        <v>66086414.15906401</v>
      </c>
      <c r="V1718" s="93">
        <v>66266639.451804012</v>
      </c>
      <c r="W1718" s="93">
        <v>66266639.451804012</v>
      </c>
      <c r="X1718" s="93">
        <v>65642163.322204024</v>
      </c>
      <c r="Y1718" s="93">
        <v>65737805.165188029</v>
      </c>
      <c r="Z1718" s="93">
        <f ca="1">Calc!BI103</f>
        <v>65489991.161188029</v>
      </c>
      <c r="AB1718" s="93">
        <f ca="1">Tab1SDataShiftSummary[[#This Row],[Summary0]]-Tab1SDataShiftSummary[[#This Row],[Summary20]]</f>
        <v>-2325304.7014495134</v>
      </c>
      <c r="AC1718" s="93">
        <f>Tab1SDataShiftSummary[[#This Row],[Summary1]]-Tab1SDataShiftSummary[[#This Row],[Summary0]]</f>
        <v>0</v>
      </c>
      <c r="AD1718" s="93">
        <f>Tab1SDataShiftSummary[[#This Row],[Summary2]]-Tab1SDataShiftSummary[[#This Row],[Summary1]]</f>
        <v>59588.655000001192</v>
      </c>
      <c r="AE1718" s="93">
        <f>Tab1SDataShiftSummary[[#This Row],[Summary3]]-Tab1SDataShiftSummary[[#This Row],[Summary2]]</f>
        <v>808115.29418548942</v>
      </c>
      <c r="AF1718" s="93">
        <f>Tab1SDataShiftSummary[[#This Row],[Summary4]]-Tab1SDataShiftSummary[[#This Row],[Summary3]]</f>
        <v>-199688.11433549225</v>
      </c>
      <c r="AG1718" s="93">
        <f>Tab1SDataShiftSummary[[#This Row],[Summary5]]-Tab1SDataShiftSummary[[#This Row],[Summary4]]</f>
        <v>714668.16913948953</v>
      </c>
      <c r="AH1718" s="93">
        <f>Tab1SDataShiftSummary[[#This Row],[Summary6]]-Tab1SDataShiftSummary[[#This Row],[Summary5]]</f>
        <v>151685.58940000832</v>
      </c>
      <c r="AI1718" s="93">
        <f>Tab1SDataShiftSummary[[#This Row],[Summary7]]-Tab1SDataShiftSummary[[#This Row],[Summary6]]</f>
        <v>291129.39041997492</v>
      </c>
      <c r="AJ1718" s="93">
        <f>Tab1SDataShiftSummary[[#This Row],[Summary8]]-Tab1SDataShiftSummary[[#This Row],[Summary7]]</f>
        <v>47436.344000011683</v>
      </c>
      <c r="AK1718" s="93">
        <f>Tab1SDataShiftSummary[[#This Row],[Summary9]]-Tab1SDataShiftSummary[[#This Row],[Summary8]]</f>
        <v>20048.338440001011</v>
      </c>
      <c r="AL1718" s="93">
        <f>Tab1SDataShiftSummary[[#This Row],[Summary10]]-Tab1SDataShiftSummary[[#This Row],[Summary9]]</f>
        <v>29183.285663992167</v>
      </c>
      <c r="AM1718" s="93">
        <f>Tab1SDataShiftSummary[[#This Row],[Summary11]]-Tab1SDataShiftSummary[[#This Row],[Summary10]]</f>
        <v>111673.35240399837</v>
      </c>
      <c r="AN1718" s="93">
        <f>Tab1SDataShiftSummary[[#This Row],[Summary12]]-Tab1SDataShiftSummary[[#This Row],[Summary11]]</f>
        <v>-145509.8681319803</v>
      </c>
      <c r="AO1718" s="93">
        <f>Tab1SDataShiftSummary[[#This Row],[Summary13]]-Tab1SDataShiftSummary[[#This Row],[Summary12]]</f>
        <v>514718.34374000132</v>
      </c>
      <c r="AP1718" s="93">
        <f>Tab1SDataShiftSummary[[#This Row],[Summary14]]-Tab1SDataShiftSummary[[#This Row],[Summary13]]</f>
        <v>451563.87339998782</v>
      </c>
      <c r="AQ1718" s="93">
        <f>Tab1SDataShiftSummary[[#This Row],[Summary15]]-Tab1SDataShiftSummary[[#This Row],[Summary14]]</f>
        <v>67115.046000003815</v>
      </c>
      <c r="AR1718" s="93">
        <f>Tab1SDataShiftSummary[[#This Row],[Summary16]]-Tab1SDataShiftSummary[[#This Row],[Summary15]]</f>
        <v>180225.29274000227</v>
      </c>
      <c r="AS1718" s="93">
        <f>Tab1SDataShiftSummary[[#This Row],[Summary17]]-Tab1SDataShiftSummary[[#This Row],[Summary16]]</f>
        <v>0</v>
      </c>
      <c r="AT1718" s="93">
        <f>Tab1SDataShiftSummary[[#This Row],[Summary18]]-Tab1SDataShiftSummary[[#This Row],[Summary17]]</f>
        <v>-624476.12959998846</v>
      </c>
      <c r="AU1718" s="93">
        <f>Tab1SDataShiftSummary[[#This Row],[Summary19]]-Tab1SDataShiftSummary[[#This Row],[Summary18]]</f>
        <v>95641.842984005809</v>
      </c>
      <c r="AV1718" s="93">
        <f ca="1">Tab1SDataShiftSummary[[#This Row],[Summary20]]-Tab1SDataShiftSummary[[#This Row],[Summary19]]</f>
        <v>-247814.00400000066</v>
      </c>
      <c r="AY1718" s="319" t="s">
        <v>1913</v>
      </c>
    </row>
    <row r="1719" spans="1:52">
      <c r="B1719" s="334" t="s">
        <v>976</v>
      </c>
      <c r="C1719"/>
      <c r="E1719" s="93"/>
      <c r="F1719" s="93">
        <v>16281172.988583</v>
      </c>
      <c r="G1719" s="93">
        <v>17018965.548583005</v>
      </c>
      <c r="H1719" s="93">
        <v>16529737.808583004</v>
      </c>
      <c r="I1719" s="93">
        <v>16767524.542983003</v>
      </c>
      <c r="J1719" s="93">
        <v>16803007.793583002</v>
      </c>
      <c r="K1719" s="93">
        <v>17003245.668583002</v>
      </c>
      <c r="L1719" s="93">
        <v>17188005.688583009</v>
      </c>
      <c r="M1719" s="93">
        <v>17106903.518583003</v>
      </c>
      <c r="N1719" s="93">
        <v>17045353.308583006</v>
      </c>
      <c r="O1719" s="93">
        <v>16720606.908583002</v>
      </c>
      <c r="P1719" s="93">
        <v>16747309.828583006</v>
      </c>
      <c r="Q1719" s="93">
        <v>16935906.196083002</v>
      </c>
      <c r="R1719" s="93">
        <v>16861518.104390003</v>
      </c>
      <c r="S1719" s="93">
        <v>16683048.858583</v>
      </c>
      <c r="T1719" s="93">
        <v>17211974.038583007</v>
      </c>
      <c r="U1719" s="93">
        <v>17104035.418583006</v>
      </c>
      <c r="V1719" s="93">
        <v>16872664.548583001</v>
      </c>
      <c r="W1719" s="93">
        <v>16872499.548583001</v>
      </c>
      <c r="X1719" s="93">
        <v>17127564.060583007</v>
      </c>
      <c r="Y1719" s="93">
        <v>17218104.467083</v>
      </c>
      <c r="Z1719" s="93">
        <f ca="1">Calc!BJ103</f>
        <v>17152588.332083002</v>
      </c>
      <c r="AB1719" s="93">
        <f ca="1">Tab1SDataShiftSummary[[#This Row],[Summary0]]-Tab1SDataShiftSummary[[#This Row],[Summary20]]</f>
        <v>-871415.34350000136</v>
      </c>
      <c r="AC1719" s="93">
        <f>Tab1SDataShiftSummary[[#This Row],[Summary1]]-Tab1SDataShiftSummary[[#This Row],[Summary0]]</f>
        <v>737792.56000000425</v>
      </c>
      <c r="AD1719" s="93">
        <f>Tab1SDataShiftSummary[[#This Row],[Summary2]]-Tab1SDataShiftSummary[[#This Row],[Summary1]]</f>
        <v>-489227.74000000022</v>
      </c>
      <c r="AE1719" s="93">
        <f>Tab1SDataShiftSummary[[#This Row],[Summary3]]-Tab1SDataShiftSummary[[#This Row],[Summary2]]</f>
        <v>237786.73439999856</v>
      </c>
      <c r="AF1719" s="93">
        <f>Tab1SDataShiftSummary[[#This Row],[Summary4]]-Tab1SDataShiftSummary[[#This Row],[Summary3]]</f>
        <v>35483.250599998981</v>
      </c>
      <c r="AG1719" s="93">
        <f>Tab1SDataShiftSummary[[#This Row],[Summary5]]-Tab1SDataShiftSummary[[#This Row],[Summary4]]</f>
        <v>200237.875</v>
      </c>
      <c r="AH1719" s="93">
        <f>Tab1SDataShiftSummary[[#This Row],[Summary6]]-Tab1SDataShiftSummary[[#This Row],[Summary5]]</f>
        <v>184760.020000007</v>
      </c>
      <c r="AI1719" s="93">
        <f>Tab1SDataShiftSummary[[#This Row],[Summary7]]-Tab1SDataShiftSummary[[#This Row],[Summary6]]</f>
        <v>-81102.170000005513</v>
      </c>
      <c r="AJ1719" s="93">
        <f>Tab1SDataShiftSummary[[#This Row],[Summary8]]-Tab1SDataShiftSummary[[#This Row],[Summary7]]</f>
        <v>-61550.209999997169</v>
      </c>
      <c r="AK1719" s="93">
        <f>Tab1SDataShiftSummary[[#This Row],[Summary9]]-Tab1SDataShiftSummary[[#This Row],[Summary8]]</f>
        <v>-324746.4000000041</v>
      </c>
      <c r="AL1719" s="93">
        <f>Tab1SDataShiftSummary[[#This Row],[Summary10]]-Tab1SDataShiftSummary[[#This Row],[Summary9]]</f>
        <v>26702.920000003651</v>
      </c>
      <c r="AM1719" s="93">
        <f>Tab1SDataShiftSummary[[#This Row],[Summary11]]-Tab1SDataShiftSummary[[#This Row],[Summary10]]</f>
        <v>188596.36749999598</v>
      </c>
      <c r="AN1719" s="93">
        <f>Tab1SDataShiftSummary[[#This Row],[Summary12]]-Tab1SDataShiftSummary[[#This Row],[Summary11]]</f>
        <v>-74388.091692999005</v>
      </c>
      <c r="AO1719" s="93">
        <f>Tab1SDataShiftSummary[[#This Row],[Summary13]]-Tab1SDataShiftSummary[[#This Row],[Summary12]]</f>
        <v>-178469.24580700323</v>
      </c>
      <c r="AP1719" s="93">
        <f>Tab1SDataShiftSummary[[#This Row],[Summary14]]-Tab1SDataShiftSummary[[#This Row],[Summary13]]</f>
        <v>528925.18000000715</v>
      </c>
      <c r="AQ1719" s="93">
        <f>Tab1SDataShiftSummary[[#This Row],[Summary15]]-Tab1SDataShiftSummary[[#This Row],[Summary14]]</f>
        <v>-107938.62000000104</v>
      </c>
      <c r="AR1719" s="93">
        <f>Tab1SDataShiftSummary[[#This Row],[Summary16]]-Tab1SDataShiftSummary[[#This Row],[Summary15]]</f>
        <v>-231370.87000000477</v>
      </c>
      <c r="AS1719" s="93">
        <f>Tab1SDataShiftSummary[[#This Row],[Summary17]]-Tab1SDataShiftSummary[[#This Row],[Summary16]]</f>
        <v>-165</v>
      </c>
      <c r="AT1719" s="93">
        <f>Tab1SDataShiftSummary[[#This Row],[Summary18]]-Tab1SDataShiftSummary[[#This Row],[Summary17]]</f>
        <v>255064.51200000569</v>
      </c>
      <c r="AU1719" s="93">
        <f>Tab1SDataShiftSummary[[#This Row],[Summary19]]-Tab1SDataShiftSummary[[#This Row],[Summary18]]</f>
        <v>90540.406499993056</v>
      </c>
      <c r="AV1719" s="93">
        <f ca="1">Tab1SDataShiftSummary[[#This Row],[Summary20]]-Tab1SDataShiftSummary[[#This Row],[Summary19]]</f>
        <v>-65516.134999997914</v>
      </c>
      <c r="AY1719" s="334" t="s">
        <v>976</v>
      </c>
    </row>
    <row r="1720" spans="1:52">
      <c r="B1720" s="319" t="s">
        <v>2297</v>
      </c>
      <c r="C1720"/>
      <c r="E1720" s="93"/>
      <c r="F1720" s="93">
        <v>12464789.71999</v>
      </c>
      <c r="G1720" s="93">
        <v>13292308.079990001</v>
      </c>
      <c r="H1720" s="93">
        <v>12632346.29999</v>
      </c>
      <c r="I1720" s="93">
        <v>12617969.78999</v>
      </c>
      <c r="J1720" s="93">
        <v>12659869.10499</v>
      </c>
      <c r="K1720" s="93">
        <v>12707789.05999</v>
      </c>
      <c r="L1720" s="93">
        <v>12755168.229990002</v>
      </c>
      <c r="M1720" s="93">
        <v>12694081.759990001</v>
      </c>
      <c r="N1720" s="93">
        <v>12680997.82999</v>
      </c>
      <c r="O1720" s="93">
        <v>12634153.526989998</v>
      </c>
      <c r="P1720" s="93">
        <v>12640171.84699</v>
      </c>
      <c r="Q1720" s="93">
        <v>12787492.429089997</v>
      </c>
      <c r="R1720" s="93">
        <v>12717381.206989998</v>
      </c>
      <c r="S1720" s="93">
        <v>12577791.496989999</v>
      </c>
      <c r="T1720" s="93">
        <v>12638319.586989999</v>
      </c>
      <c r="U1720" s="93">
        <v>12853787.87489</v>
      </c>
      <c r="V1720" s="93">
        <v>12790540.744889999</v>
      </c>
      <c r="W1720" s="93">
        <v>12790375.744889999</v>
      </c>
      <c r="X1720" s="93">
        <v>12837225.18489</v>
      </c>
      <c r="Y1720" s="93">
        <v>11341834.24989</v>
      </c>
      <c r="Z1720" s="93">
        <f ca="1">Calc!BK103</f>
        <v>11342880.714890001</v>
      </c>
      <c r="AB1720" s="93">
        <f ca="1">Tab1SDataShiftSummary[[#This Row],[Summary0]]-Tab1SDataShiftSummary[[#This Row],[Summary20]]</f>
        <v>1121909.0050999988</v>
      </c>
      <c r="AC1720" s="93">
        <f>Tab1SDataShiftSummary[[#This Row],[Summary1]]-Tab1SDataShiftSummary[[#This Row],[Summary0]]</f>
        <v>827518.36000000127</v>
      </c>
      <c r="AD1720" s="93">
        <f>Tab1SDataShiftSummary[[#This Row],[Summary2]]-Tab1SDataShiftSummary[[#This Row],[Summary1]]</f>
        <v>-659961.78000000119</v>
      </c>
      <c r="AE1720" s="93">
        <f>Tab1SDataShiftSummary[[#This Row],[Summary3]]-Tab1SDataShiftSummary[[#This Row],[Summary2]]</f>
        <v>-14376.509999999776</v>
      </c>
      <c r="AF1720" s="93">
        <f>Tab1SDataShiftSummary[[#This Row],[Summary4]]-Tab1SDataShiftSummary[[#This Row],[Summary3]]</f>
        <v>41899.314999999478</v>
      </c>
      <c r="AG1720" s="93">
        <f>Tab1SDataShiftSummary[[#This Row],[Summary5]]-Tab1SDataShiftSummary[[#This Row],[Summary4]]</f>
        <v>47919.955000000075</v>
      </c>
      <c r="AH1720" s="93">
        <f>Tab1SDataShiftSummary[[#This Row],[Summary6]]-Tab1SDataShiftSummary[[#This Row],[Summary5]]</f>
        <v>47379.170000001788</v>
      </c>
      <c r="AI1720" s="93">
        <f>Tab1SDataShiftSummary[[#This Row],[Summary7]]-Tab1SDataShiftSummary[[#This Row],[Summary6]]</f>
        <v>-61086.470000000671</v>
      </c>
      <c r="AJ1720" s="93">
        <f>Tab1SDataShiftSummary[[#This Row],[Summary8]]-Tab1SDataShiftSummary[[#This Row],[Summary7]]</f>
        <v>-13083.930000001565</v>
      </c>
      <c r="AK1720" s="93">
        <f>Tab1SDataShiftSummary[[#This Row],[Summary9]]-Tab1SDataShiftSummary[[#This Row],[Summary8]]</f>
        <v>-46844.303000001237</v>
      </c>
      <c r="AL1720" s="93">
        <f>Tab1SDataShiftSummary[[#This Row],[Summary10]]-Tab1SDataShiftSummary[[#This Row],[Summary9]]</f>
        <v>6018.3200000021607</v>
      </c>
      <c r="AM1720" s="93">
        <f>Tab1SDataShiftSummary[[#This Row],[Summary11]]-Tab1SDataShiftSummary[[#This Row],[Summary10]]</f>
        <v>147320.58209999651</v>
      </c>
      <c r="AN1720" s="93">
        <f>Tab1SDataShiftSummary[[#This Row],[Summary12]]-Tab1SDataShiftSummary[[#This Row],[Summary11]]</f>
        <v>-70111.222099998966</v>
      </c>
      <c r="AO1720" s="93">
        <f>Tab1SDataShiftSummary[[#This Row],[Summary13]]-Tab1SDataShiftSummary[[#This Row],[Summary12]]</f>
        <v>-139589.70999999903</v>
      </c>
      <c r="AP1720" s="93">
        <f>Tab1SDataShiftSummary[[#This Row],[Summary14]]-Tab1SDataShiftSummary[[#This Row],[Summary13]]</f>
        <v>60528.089999999851</v>
      </c>
      <c r="AQ1720" s="93">
        <f>Tab1SDataShiftSummary[[#This Row],[Summary15]]-Tab1SDataShiftSummary[[#This Row],[Summary14]]</f>
        <v>215468.28790000081</v>
      </c>
      <c r="AR1720" s="93">
        <f>Tab1SDataShiftSummary[[#This Row],[Summary16]]-Tab1SDataShiftSummary[[#This Row],[Summary15]]</f>
        <v>-63247.13000000082</v>
      </c>
      <c r="AS1720" s="93">
        <f>Tab1SDataShiftSummary[[#This Row],[Summary17]]-Tab1SDataShiftSummary[[#This Row],[Summary16]]</f>
        <v>-165</v>
      </c>
      <c r="AT1720" s="93">
        <f>Tab1SDataShiftSummary[[#This Row],[Summary18]]-Tab1SDataShiftSummary[[#This Row],[Summary17]]</f>
        <v>46849.440000001341</v>
      </c>
      <c r="AU1720" s="93">
        <f>Tab1SDataShiftSummary[[#This Row],[Summary19]]-Tab1SDataShiftSummary[[#This Row],[Summary18]]</f>
        <v>-1495390.9350000005</v>
      </c>
      <c r="AV1720" s="93">
        <f ca="1">Tab1SDataShiftSummary[[#This Row],[Summary20]]-Tab1SDataShiftSummary[[#This Row],[Summary19]]</f>
        <v>1046.4650000017136</v>
      </c>
      <c r="AY1720" s="319" t="s">
        <v>2297</v>
      </c>
    </row>
    <row r="1721" spans="1:52">
      <c r="B1721" s="319" t="s">
        <v>1908</v>
      </c>
      <c r="C1721"/>
      <c r="E1721" s="90"/>
      <c r="F1721" s="93">
        <v>-342843.21712730132</v>
      </c>
      <c r="G1721" s="93">
        <v>-342843.21712730138</v>
      </c>
      <c r="H1721" s="93">
        <v>-343884.90376173885</v>
      </c>
      <c r="I1721" s="93">
        <v>-347828.48950383632</v>
      </c>
      <c r="J1721" s="93">
        <v>-346564.31955936388</v>
      </c>
      <c r="K1721" s="93">
        <v>-363724.84402033174</v>
      </c>
      <c r="L1721" s="93">
        <v>-364558.80970509176</v>
      </c>
      <c r="M1721" s="93">
        <v>-365098.64472034376</v>
      </c>
      <c r="N1721" s="93">
        <v>-365221.97921474371</v>
      </c>
      <c r="O1721" s="93">
        <v>-366580.62551913573</v>
      </c>
      <c r="P1721" s="93">
        <v>-366656.50206186209</v>
      </c>
      <c r="Q1721" s="93">
        <v>-366946.85277811252</v>
      </c>
      <c r="R1721" s="93">
        <v>-365476.12514822918</v>
      </c>
      <c r="S1721" s="93">
        <v>-368736.28148725332</v>
      </c>
      <c r="T1721" s="93">
        <v>-371866.48664250452</v>
      </c>
      <c r="U1721" s="93">
        <v>-371472.65233516536</v>
      </c>
      <c r="V1721" s="93">
        <v>-377127.21767688938</v>
      </c>
      <c r="W1721" s="93">
        <v>-377127.21767688938</v>
      </c>
      <c r="X1721" s="93">
        <v>-374477.83899080748</v>
      </c>
      <c r="Y1721" s="93">
        <v>-376526.98364224727</v>
      </c>
      <c r="Z1721" s="93">
        <f ca="1">Calc!BL103</f>
        <v>-374939.35899064731</v>
      </c>
      <c r="AB1721" s="93">
        <f ca="1">Tab1SDataShiftSummary[[#This Row],[Summary0]]-Tab1SDataShiftSummary[[#This Row],[Summary20]]</f>
        <v>32096.141863345983</v>
      </c>
      <c r="AC1721" s="93">
        <f>Tab1SDataShiftSummary[[#This Row],[Summary1]]-Tab1SDataShiftSummary[[#This Row],[Summary0]]</f>
        <v>0</v>
      </c>
      <c r="AD1721" s="93">
        <f>Tab1SDataShiftSummary[[#This Row],[Summary2]]-Tab1SDataShiftSummary[[#This Row],[Summary1]]</f>
        <v>-1041.6866344374721</v>
      </c>
      <c r="AE1721" s="93">
        <f>Tab1SDataShiftSummary[[#This Row],[Summary3]]-Tab1SDataShiftSummary[[#This Row],[Summary2]]</f>
        <v>-3943.5857420974644</v>
      </c>
      <c r="AF1721" s="93">
        <f>Tab1SDataShiftSummary[[#This Row],[Summary4]]-Tab1SDataShiftSummary[[#This Row],[Summary3]]</f>
        <v>1264.1699444724363</v>
      </c>
      <c r="AG1721" s="93">
        <f>Tab1SDataShiftSummary[[#This Row],[Summary5]]-Tab1SDataShiftSummary[[#This Row],[Summary4]]</f>
        <v>-17160.524460967863</v>
      </c>
      <c r="AH1721" s="93">
        <f>Tab1SDataShiftSummary[[#This Row],[Summary6]]-Tab1SDataShiftSummary[[#This Row],[Summary5]]</f>
        <v>-833.96568476001266</v>
      </c>
      <c r="AI1721" s="93">
        <f>Tab1SDataShiftSummary[[#This Row],[Summary7]]-Tab1SDataShiftSummary[[#This Row],[Summary6]]</f>
        <v>-539.83501525199972</v>
      </c>
      <c r="AJ1721" s="93">
        <f>Tab1SDataShiftSummary[[#This Row],[Summary8]]-Tab1SDataShiftSummary[[#This Row],[Summary7]]</f>
        <v>-123.33449439995456</v>
      </c>
      <c r="AK1721" s="93">
        <f>Tab1SDataShiftSummary[[#This Row],[Summary9]]-Tab1SDataShiftSummary[[#This Row],[Summary8]]</f>
        <v>-1358.646304392023</v>
      </c>
      <c r="AL1721" s="93">
        <f>Tab1SDataShiftSummary[[#This Row],[Summary10]]-Tab1SDataShiftSummary[[#This Row],[Summary9]]</f>
        <v>-75.876542726357002</v>
      </c>
      <c r="AM1721" s="93">
        <f>Tab1SDataShiftSummary[[#This Row],[Summary11]]-Tab1SDataShiftSummary[[#This Row],[Summary10]]</f>
        <v>-290.35071625042474</v>
      </c>
      <c r="AN1721" s="93">
        <f>Tab1SDataShiftSummary[[#This Row],[Summary12]]-Tab1SDataShiftSummary[[#This Row],[Summary11]]</f>
        <v>1470.7276298833312</v>
      </c>
      <c r="AO1721" s="93">
        <f>Tab1SDataShiftSummary[[#This Row],[Summary13]]-Tab1SDataShiftSummary[[#This Row],[Summary12]]</f>
        <v>-3260.1563390241354</v>
      </c>
      <c r="AP1721" s="93">
        <f>Tab1SDataShiftSummary[[#This Row],[Summary14]]-Tab1SDataShiftSummary[[#This Row],[Summary13]]</f>
        <v>-3130.2051552511984</v>
      </c>
      <c r="AQ1721" s="93">
        <f>Tab1SDataShiftSummary[[#This Row],[Summary15]]-Tab1SDataShiftSummary[[#This Row],[Summary14]]</f>
        <v>393.83430733915884</v>
      </c>
      <c r="AR1721" s="93">
        <f>Tab1SDataShiftSummary[[#This Row],[Summary16]]-Tab1SDataShiftSummary[[#This Row],[Summary15]]</f>
        <v>-5654.5653417240246</v>
      </c>
      <c r="AS1721" s="93">
        <f>Tab1SDataShiftSummary[[#This Row],[Summary17]]-Tab1SDataShiftSummary[[#This Row],[Summary16]]</f>
        <v>0</v>
      </c>
      <c r="AT1721" s="93">
        <f>Tab1SDataShiftSummary[[#This Row],[Summary18]]-Tab1SDataShiftSummary[[#This Row],[Summary17]]</f>
        <v>2649.3786860819091</v>
      </c>
      <c r="AU1721" s="93">
        <f>Tab1SDataShiftSummary[[#This Row],[Summary19]]-Tab1SDataShiftSummary[[#This Row],[Summary18]]</f>
        <v>-2049.1446514397976</v>
      </c>
      <c r="AV1721" s="93">
        <f ca="1">Tab1SDataShiftSummary[[#This Row],[Summary20]]-Tab1SDataShiftSummary[[#This Row],[Summary19]]</f>
        <v>1587.6246515999665</v>
      </c>
      <c r="AY1721" s="319" t="s">
        <v>1908</v>
      </c>
    </row>
    <row r="1722" spans="1:52">
      <c r="B1722" s="319" t="s">
        <v>1907</v>
      </c>
      <c r="C1722" t="s">
        <v>2299</v>
      </c>
      <c r="E1722" s="90"/>
      <c r="F1722" s="93">
        <v>7125988.9718564749</v>
      </c>
      <c r="G1722" s="93">
        <v>7125988.9718564823</v>
      </c>
      <c r="H1722" s="93">
        <v>7124176.1380814835</v>
      </c>
      <c r="I1722" s="93">
        <v>7352772.2843134776</v>
      </c>
      <c r="J1722" s="93">
        <v>7360404.1787314862</v>
      </c>
      <c r="K1722" s="93">
        <v>7541387.5637053549</v>
      </c>
      <c r="L1722" s="93">
        <v>7524002.7099053562</v>
      </c>
      <c r="M1722" s="93">
        <v>7878542.6387253404</v>
      </c>
      <c r="N1722" s="93">
        <v>7925978.982725352</v>
      </c>
      <c r="O1722" s="93">
        <v>7443519.3886853456</v>
      </c>
      <c r="P1722" s="93">
        <v>7472702.6743493378</v>
      </c>
      <c r="Q1722" s="93">
        <v>7584376.0267533362</v>
      </c>
      <c r="R1722" s="93">
        <v>7697254.4565214589</v>
      </c>
      <c r="S1722" s="93">
        <v>7634551.1667613536</v>
      </c>
      <c r="T1722" s="93">
        <v>7375922.353849344</v>
      </c>
      <c r="U1722" s="93">
        <v>7619458.6794413477</v>
      </c>
      <c r="V1722" s="93">
        <v>5825166.4411813468</v>
      </c>
      <c r="W1722" s="93">
        <v>5825166.4411813468</v>
      </c>
      <c r="X1722" s="93">
        <v>5594955.9843205661</v>
      </c>
      <c r="Y1722" s="93">
        <v>4994563.6905424744</v>
      </c>
      <c r="Z1722" s="93">
        <f ca="1">Z1718+Z1713</f>
        <v>4747690.5485424772</v>
      </c>
      <c r="AB1722" s="93">
        <f ca="1">Tab1SDataShiftSummary[[#This Row],[Summary0]]-Tab1SDataShiftSummary[[#This Row],[Summary20]]</f>
        <v>2378298.4233139977</v>
      </c>
      <c r="AC1722" s="93">
        <f>Tab1SDataShiftSummary[[#This Row],[Summary1]]-Tab1SDataShiftSummary[[#This Row],[Summary0]]</f>
        <v>7.4505805969238281E-9</v>
      </c>
      <c r="AD1722" s="93">
        <f>Tab1SDataShiftSummary[[#This Row],[Summary2]]-Tab1SDataShiftSummary[[#This Row],[Summary1]]</f>
        <v>-1812.8337749987841</v>
      </c>
      <c r="AE1722" s="93">
        <f>Tab1SDataShiftSummary[[#This Row],[Summary3]]-Tab1SDataShiftSummary[[#This Row],[Summary2]]</f>
        <v>228596.14623199403</v>
      </c>
      <c r="AF1722" s="93">
        <f>Tab1SDataShiftSummary[[#This Row],[Summary4]]-Tab1SDataShiftSummary[[#This Row],[Summary3]]</f>
        <v>7631.8944180086255</v>
      </c>
      <c r="AG1722" s="93">
        <f>Tab1SDataShiftSummary[[#This Row],[Summary5]]-Tab1SDataShiftSummary[[#This Row],[Summary4]]</f>
        <v>180983.38497386873</v>
      </c>
      <c r="AH1722" s="93">
        <f>Tab1SDataShiftSummary[[#This Row],[Summary6]]-Tab1SDataShiftSummary[[#This Row],[Summary5]]</f>
        <v>-17384.85379999876</v>
      </c>
      <c r="AI1722" s="93">
        <f>Tab1SDataShiftSummary[[#This Row],[Summary7]]-Tab1SDataShiftSummary[[#This Row],[Summary6]]</f>
        <v>354539.9288199842</v>
      </c>
      <c r="AJ1722" s="93">
        <f>Tab1SDataShiftSummary[[#This Row],[Summary8]]-Tab1SDataShiftSummary[[#This Row],[Summary7]]</f>
        <v>47436.344000011683</v>
      </c>
      <c r="AK1722" s="93">
        <f>Tab1SDataShiftSummary[[#This Row],[Summary9]]-Tab1SDataShiftSummary[[#This Row],[Summary8]]</f>
        <v>-482459.5940400064</v>
      </c>
      <c r="AL1722" s="93">
        <f>Tab1SDataShiftSummary[[#This Row],[Summary10]]-Tab1SDataShiftSummary[[#This Row],[Summary9]]</f>
        <v>29183.285663992167</v>
      </c>
      <c r="AM1722" s="93">
        <f>Tab1SDataShiftSummary[[#This Row],[Summary11]]-Tab1SDataShiftSummary[[#This Row],[Summary10]]</f>
        <v>111673.35240399837</v>
      </c>
      <c r="AN1722" s="93">
        <f>Tab1SDataShiftSummary[[#This Row],[Summary12]]-Tab1SDataShiftSummary[[#This Row],[Summary11]]</f>
        <v>112878.42976812273</v>
      </c>
      <c r="AO1722" s="93">
        <f>Tab1SDataShiftSummary[[#This Row],[Summary13]]-Tab1SDataShiftSummary[[#This Row],[Summary12]]</f>
        <v>-62703.289760105312</v>
      </c>
      <c r="AP1722" s="93">
        <f>Tab1SDataShiftSummary[[#This Row],[Summary14]]-Tab1SDataShiftSummary[[#This Row],[Summary13]]</f>
        <v>-258628.81291200966</v>
      </c>
      <c r="AQ1722" s="93">
        <f>Tab1SDataShiftSummary[[#This Row],[Summary15]]-Tab1SDataShiftSummary[[#This Row],[Summary14]]</f>
        <v>243536.32559200376</v>
      </c>
      <c r="AR1722" s="93">
        <f>Tab1SDataShiftSummary[[#This Row],[Summary16]]-Tab1SDataShiftSummary[[#This Row],[Summary15]]</f>
        <v>-1794292.2382600009</v>
      </c>
      <c r="AS1722" s="93">
        <f>Tab1SDataShiftSummary[[#This Row],[Summary17]]-Tab1SDataShiftSummary[[#This Row],[Summary16]]</f>
        <v>0</v>
      </c>
      <c r="AT1722" s="93">
        <f>Tab1SDataShiftSummary[[#This Row],[Summary18]]-Tab1SDataShiftSummary[[#This Row],[Summary17]]</f>
        <v>-230210.45686078072</v>
      </c>
      <c r="AU1722" s="93">
        <f>Tab1SDataShiftSummary[[#This Row],[Summary19]]-Tab1SDataShiftSummary[[#This Row],[Summary18]]</f>
        <v>-600392.29377809167</v>
      </c>
      <c r="AV1722" s="93">
        <f ca="1">Tab1SDataShiftSummary[[#This Row],[Summary20]]-Tab1SDataShiftSummary[[#This Row],[Summary19]]</f>
        <v>-246873.1419999972</v>
      </c>
      <c r="AY1722" s="319" t="s">
        <v>1907</v>
      </c>
    </row>
    <row r="1723" spans="1:52">
      <c r="B1723" s="319" t="s">
        <v>2288</v>
      </c>
      <c r="C1723" t="s">
        <v>2298</v>
      </c>
      <c r="E1723" s="90"/>
      <c r="F1723" s="310">
        <v>1.3221759214662967</v>
      </c>
      <c r="G1723" s="310">
        <v>1.3811956552635949</v>
      </c>
      <c r="H1723" s="310">
        <v>1.3105465784378516</v>
      </c>
      <c r="I1723" s="310">
        <v>1.3227731536904022</v>
      </c>
      <c r="J1723" s="310">
        <v>1.3270206895072207</v>
      </c>
      <c r="K1723" s="310">
        <v>1.3406160938128353</v>
      </c>
      <c r="L1723" s="310">
        <v>1.3821484210748005</v>
      </c>
      <c r="M1723" s="310">
        <v>1.3503663769298617</v>
      </c>
      <c r="N1723" s="310">
        <v>1.3434777681363694</v>
      </c>
      <c r="O1723" s="310">
        <v>1.3038999425185454</v>
      </c>
      <c r="P1723" s="310">
        <v>1.303525854329318</v>
      </c>
      <c r="Q1723" s="310">
        <v>1.3208092673631511</v>
      </c>
      <c r="R1723" s="310">
        <v>1.3428695764931575</v>
      </c>
      <c r="S1723" s="310">
        <v>1.3249254649952649</v>
      </c>
      <c r="T1723" s="310">
        <v>1.3734259988483308</v>
      </c>
      <c r="U1723" s="310">
        <v>1.4196313890473815</v>
      </c>
      <c r="V1723" s="310">
        <v>1.5791845210603659</v>
      </c>
      <c r="W1723" s="310">
        <v>1.5791601017177874</v>
      </c>
      <c r="X1723" s="310">
        <v>1.6775884226657041</v>
      </c>
      <c r="Y1723" s="310">
        <v>1.7282544700676368</v>
      </c>
      <c r="Z1723" s="310">
        <f ca="1">Z1715/ABS(Z1714)</f>
        <v>1.7549423104624851</v>
      </c>
      <c r="AB1723" s="310">
        <f ca="1">Tab1SDataShiftSummary[[#This Row],[Summary0]]-Tab1SDataShiftSummary[[#This Row],[Summary20]]</f>
        <v>-0.43276638899618836</v>
      </c>
      <c r="AC1723" s="310">
        <f>Tab1SDataShiftSummary[[#This Row],[Summary1]]-Tab1SDataShiftSummary[[#This Row],[Summary0]]</f>
        <v>5.9019733797298191E-2</v>
      </c>
      <c r="AD1723" s="310">
        <f>Tab1SDataShiftSummary[[#This Row],[Summary2]]-Tab1SDataShiftSummary[[#This Row],[Summary1]]</f>
        <v>-7.0649076825743284E-2</v>
      </c>
      <c r="AE1723" s="310">
        <f>Tab1SDataShiftSummary[[#This Row],[Summary3]]-Tab1SDataShiftSummary[[#This Row],[Summary2]]</f>
        <v>1.2226575252550553E-2</v>
      </c>
      <c r="AF1723" s="310">
        <f>Tab1SDataShiftSummary[[#This Row],[Summary4]]-Tab1SDataShiftSummary[[#This Row],[Summary3]]</f>
        <v>4.2475358168185817E-3</v>
      </c>
      <c r="AG1723" s="310">
        <f>Tab1SDataShiftSummary[[#This Row],[Summary5]]-Tab1SDataShiftSummary[[#This Row],[Summary4]]</f>
        <v>1.3595404305614567E-2</v>
      </c>
      <c r="AH1723" s="310">
        <f>Tab1SDataShiftSummary[[#This Row],[Summary6]]-Tab1SDataShiftSummary[[#This Row],[Summary5]]</f>
        <v>4.1532327261965207E-2</v>
      </c>
      <c r="AI1723" s="310">
        <f>Tab1SDataShiftSummary[[#This Row],[Summary7]]-Tab1SDataShiftSummary[[#This Row],[Summary6]]</f>
        <v>-3.1782044144938792E-2</v>
      </c>
      <c r="AJ1723" s="310">
        <f>Tab1SDataShiftSummary[[#This Row],[Summary8]]-Tab1SDataShiftSummary[[#This Row],[Summary7]]</f>
        <v>-6.8886087934922902E-3</v>
      </c>
      <c r="AK1723" s="310">
        <f>Tab1SDataShiftSummary[[#This Row],[Summary9]]-Tab1SDataShiftSummary[[#This Row],[Summary8]]</f>
        <v>-3.9577825617824081E-2</v>
      </c>
      <c r="AL1723" s="310">
        <f>Tab1SDataShiftSummary[[#This Row],[Summary10]]-Tab1SDataShiftSummary[[#This Row],[Summary9]]</f>
        <v>-3.7408818922735065E-4</v>
      </c>
      <c r="AM1723" s="310">
        <f>Tab1SDataShiftSummary[[#This Row],[Summary11]]-Tab1SDataShiftSummary[[#This Row],[Summary10]]</f>
        <v>1.7283413033833073E-2</v>
      </c>
      <c r="AN1723" s="310">
        <f>Tab1SDataShiftSummary[[#This Row],[Summary12]]-Tab1SDataShiftSummary[[#This Row],[Summary11]]</f>
        <v>2.206030913000645E-2</v>
      </c>
      <c r="AO1723" s="310">
        <f>Tab1SDataShiftSummary[[#This Row],[Summary13]]-Tab1SDataShiftSummary[[#This Row],[Summary12]]</f>
        <v>-1.7944111497892656E-2</v>
      </c>
      <c r="AP1723" s="310">
        <f>Tab1SDataShiftSummary[[#This Row],[Summary14]]-Tab1SDataShiftSummary[[#This Row],[Summary13]]</f>
        <v>4.8500533853065964E-2</v>
      </c>
      <c r="AQ1723" s="310">
        <f>Tab1SDataShiftSummary[[#This Row],[Summary15]]-Tab1SDataShiftSummary[[#This Row],[Summary14]]</f>
        <v>4.6205390199050678E-2</v>
      </c>
      <c r="AR1723" s="310">
        <f>Tab1SDataShiftSummary[[#This Row],[Summary16]]-Tab1SDataShiftSummary[[#This Row],[Summary15]]</f>
        <v>0.15955313201298438</v>
      </c>
      <c r="AS1723" s="310">
        <f>Tab1SDataShiftSummary[[#This Row],[Summary17]]-Tab1SDataShiftSummary[[#This Row],[Summary16]]</f>
        <v>-2.4419342578463343E-5</v>
      </c>
      <c r="AT1723" s="310">
        <f>Tab1SDataShiftSummary[[#This Row],[Summary18]]-Tab1SDataShiftSummary[[#This Row],[Summary17]]</f>
        <v>9.8428320947916648E-2</v>
      </c>
      <c r="AU1723" s="310">
        <f>Tab1SDataShiftSummary[[#This Row],[Summary19]]-Tab1SDataShiftSummary[[#This Row],[Summary18]]</f>
        <v>5.0666047401932701E-2</v>
      </c>
      <c r="AV1723" s="310">
        <f ca="1">Tab1SDataShiftSummary[[#This Row],[Summary20]]-Tab1SDataShiftSummary[[#This Row],[Summary19]]</f>
        <v>2.6687840394848283E-2</v>
      </c>
      <c r="AY1723" s="319" t="s">
        <v>2288</v>
      </c>
      <c r="AZ1723" t="s">
        <v>2279</v>
      </c>
    </row>
    <row r="1724" spans="1:52">
      <c r="B1724" s="319" t="s">
        <v>1135</v>
      </c>
      <c r="C1724"/>
      <c r="E1724" s="90"/>
      <c r="F1724" s="93">
        <v>6559534.1299999999</v>
      </c>
      <c r="G1724" s="93">
        <v>6090835.0200000005</v>
      </c>
      <c r="H1724" s="93">
        <v>6429157.4399999995</v>
      </c>
      <c r="I1724" s="93">
        <v>6531922.129999999</v>
      </c>
      <c r="J1724" s="93">
        <v>6533943.5700000003</v>
      </c>
      <c r="K1724" s="93">
        <v>6509710.1200000001</v>
      </c>
      <c r="L1724" s="93">
        <v>6485226.9900000002</v>
      </c>
      <c r="M1724" s="93">
        <v>6597511.0199999996</v>
      </c>
      <c r="N1724" s="93">
        <v>6509817.3399999999</v>
      </c>
      <c r="O1724" s="93">
        <v>6637615.96</v>
      </c>
      <c r="P1724" s="93">
        <v>6649597.4800000004</v>
      </c>
      <c r="Q1724" s="93">
        <v>6786238.3900000006</v>
      </c>
      <c r="R1724" s="93">
        <v>6726706.5800000001</v>
      </c>
      <c r="S1724" s="93">
        <v>6668466.21</v>
      </c>
      <c r="T1724" s="93">
        <v>6798718.7199999997</v>
      </c>
      <c r="U1724" s="93">
        <v>6768865.7700000005</v>
      </c>
      <c r="V1724" s="93">
        <v>6675025.0699999994</v>
      </c>
      <c r="W1724" s="93">
        <v>6675025.0699999994</v>
      </c>
      <c r="X1724" s="93">
        <v>6681525.7999999998</v>
      </c>
      <c r="Y1724" s="93">
        <v>6578769.4299999997</v>
      </c>
      <c r="Z1724" s="93">
        <f ca="1">Calc!BP103</f>
        <v>6400358.0199999996</v>
      </c>
      <c r="AB1724" s="93">
        <f ca="1">Tab1SDataShiftSummary[[#This Row],[Summary0]]-Tab1SDataShiftSummary[[#This Row],[Summary20]]</f>
        <v>159176.11000000034</v>
      </c>
      <c r="AC1724" s="93">
        <f>Tab1SDataShiftSummary[[#This Row],[Summary1]]-Tab1SDataShiftSummary[[#This Row],[Summary0]]</f>
        <v>-468699.1099999994</v>
      </c>
      <c r="AD1724" s="93">
        <f>Tab1SDataShiftSummary[[#This Row],[Summary2]]-Tab1SDataShiftSummary[[#This Row],[Summary1]]</f>
        <v>338322.41999999899</v>
      </c>
      <c r="AE1724" s="93">
        <f>Tab1SDataShiftSummary[[#This Row],[Summary3]]-Tab1SDataShiftSummary[[#This Row],[Summary2]]</f>
        <v>102764.68999999948</v>
      </c>
      <c r="AF1724" s="93">
        <f>Tab1SDataShiftSummary[[#This Row],[Summary4]]-Tab1SDataShiftSummary[[#This Row],[Summary3]]</f>
        <v>2021.4400000013411</v>
      </c>
      <c r="AG1724" s="93">
        <f>Tab1SDataShiftSummary[[#This Row],[Summary5]]-Tab1SDataShiftSummary[[#This Row],[Summary4]]</f>
        <v>-24233.450000000186</v>
      </c>
      <c r="AH1724" s="93">
        <f>Tab1SDataShiftSummary[[#This Row],[Summary6]]-Tab1SDataShiftSummary[[#This Row],[Summary5]]</f>
        <v>-24483.129999999888</v>
      </c>
      <c r="AI1724" s="93">
        <f>Tab1SDataShiftSummary[[#This Row],[Summary7]]-Tab1SDataShiftSummary[[#This Row],[Summary6]]</f>
        <v>112284.02999999933</v>
      </c>
      <c r="AJ1724" s="93">
        <f>Tab1SDataShiftSummary[[#This Row],[Summary8]]-Tab1SDataShiftSummary[[#This Row],[Summary7]]</f>
        <v>-87693.679999999702</v>
      </c>
      <c r="AK1724" s="93">
        <f>Tab1SDataShiftSummary[[#This Row],[Summary9]]-Tab1SDataShiftSummary[[#This Row],[Summary8]]</f>
        <v>127798.62000000011</v>
      </c>
      <c r="AL1724" s="93">
        <f>Tab1SDataShiftSummary[[#This Row],[Summary10]]-Tab1SDataShiftSummary[[#This Row],[Summary9]]</f>
        <v>11981.520000000484</v>
      </c>
      <c r="AM1724" s="93">
        <f>Tab1SDataShiftSummary[[#This Row],[Summary11]]-Tab1SDataShiftSummary[[#This Row],[Summary10]]</f>
        <v>136640.91000000015</v>
      </c>
      <c r="AN1724" s="93">
        <f>Tab1SDataShiftSummary[[#This Row],[Summary12]]-Tab1SDataShiftSummary[[#This Row],[Summary11]]</f>
        <v>-59531.810000000522</v>
      </c>
      <c r="AO1724" s="93">
        <f>Tab1SDataShiftSummary[[#This Row],[Summary13]]-Tab1SDataShiftSummary[[#This Row],[Summary12]]</f>
        <v>-58240.370000000112</v>
      </c>
      <c r="AP1724" s="93">
        <f>Tab1SDataShiftSummary[[#This Row],[Summary14]]-Tab1SDataShiftSummary[[#This Row],[Summary13]]</f>
        <v>130252.50999999978</v>
      </c>
      <c r="AQ1724" s="93">
        <f>Tab1SDataShiftSummary[[#This Row],[Summary15]]-Tab1SDataShiftSummary[[#This Row],[Summary14]]</f>
        <v>-29852.949999999255</v>
      </c>
      <c r="AR1724" s="93">
        <f>Tab1SDataShiftSummary[[#This Row],[Summary16]]-Tab1SDataShiftSummary[[#This Row],[Summary15]]</f>
        <v>-93840.700000001118</v>
      </c>
      <c r="AS1724" s="93">
        <f>Tab1SDataShiftSummary[[#This Row],[Summary17]]-Tab1SDataShiftSummary[[#This Row],[Summary16]]</f>
        <v>0</v>
      </c>
      <c r="AT1724" s="93">
        <f>Tab1SDataShiftSummary[[#This Row],[Summary18]]-Tab1SDataShiftSummary[[#This Row],[Summary17]]</f>
        <v>6500.730000000447</v>
      </c>
      <c r="AU1724" s="93">
        <f>Tab1SDataShiftSummary[[#This Row],[Summary19]]-Tab1SDataShiftSummary[[#This Row],[Summary18]]</f>
        <v>-102756.37000000011</v>
      </c>
      <c r="AV1724" s="93">
        <f ca="1">Tab1SDataShiftSummary[[#This Row],[Summary20]]-Tab1SDataShiftSummary[[#This Row],[Summary19]]</f>
        <v>-178411.41000000015</v>
      </c>
      <c r="AY1724" s="867" t="s">
        <v>1135</v>
      </c>
      <c r="AZ1724" t="s">
        <v>2281</v>
      </c>
    </row>
    <row r="1725" spans="1:52">
      <c r="B1725" s="319" t="s">
        <v>1132</v>
      </c>
      <c r="C1725"/>
      <c r="E1725" s="93"/>
      <c r="F1725" s="93">
        <v>17620884.980000004</v>
      </c>
      <c r="G1725" s="93">
        <v>17912830.649999995</v>
      </c>
      <c r="H1725" s="93">
        <v>18327914</v>
      </c>
      <c r="I1725" s="93">
        <v>18392555.899999999</v>
      </c>
      <c r="J1725" s="93">
        <v>18420249.475000001</v>
      </c>
      <c r="K1725" s="93">
        <v>18456791.099999998</v>
      </c>
      <c r="L1725" s="93">
        <v>18688085.25</v>
      </c>
      <c r="M1725" s="93">
        <v>18182826.75</v>
      </c>
      <c r="N1725" s="93">
        <v>18181991.5</v>
      </c>
      <c r="O1725" s="93">
        <v>18226349.399999999</v>
      </c>
      <c r="P1725" s="93">
        <v>18197891.440000001</v>
      </c>
      <c r="Q1725" s="93">
        <v>18160842.437499996</v>
      </c>
      <c r="R1725" s="93">
        <v>18163110.300000001</v>
      </c>
      <c r="S1725" s="93">
        <v>17909652.359999999</v>
      </c>
      <c r="T1725" s="93">
        <v>18591174.149999999</v>
      </c>
      <c r="U1725" s="93">
        <v>18235995.559999999</v>
      </c>
      <c r="V1725" s="93">
        <v>19941595.289999999</v>
      </c>
      <c r="W1725" s="93">
        <v>19941430.289999999</v>
      </c>
      <c r="X1725" s="93">
        <v>20444025.479999993</v>
      </c>
      <c r="Y1725" s="93">
        <v>21283166.004999995</v>
      </c>
      <c r="Z1725" s="93">
        <f ca="1">Calc!BQ103</f>
        <v>21282651.279999994</v>
      </c>
      <c r="AB1725" s="93">
        <f ca="1">Tab1SDataShiftSummary[[#This Row],[Summary0]]-Tab1SDataShiftSummary[[#This Row],[Summary20]]</f>
        <v>-3661766.2999999896</v>
      </c>
      <c r="AC1725" s="93">
        <f>Tab1SDataShiftSummary[[#This Row],[Summary1]]-Tab1SDataShiftSummary[[#This Row],[Summary0]]</f>
        <v>291945.66999999061</v>
      </c>
      <c r="AD1725" s="93">
        <f>Tab1SDataShiftSummary[[#This Row],[Summary2]]-Tab1SDataShiftSummary[[#This Row],[Summary1]]</f>
        <v>415083.35000000522</v>
      </c>
      <c r="AE1725" s="93">
        <f>Tab1SDataShiftSummary[[#This Row],[Summary3]]-Tab1SDataShiftSummary[[#This Row],[Summary2]]</f>
        <v>64641.89999999851</v>
      </c>
      <c r="AF1725" s="93">
        <f>Tab1SDataShiftSummary[[#This Row],[Summary4]]-Tab1SDataShiftSummary[[#This Row],[Summary3]]</f>
        <v>27693.57500000298</v>
      </c>
      <c r="AG1725" s="93">
        <f>Tab1SDataShiftSummary[[#This Row],[Summary5]]-Tab1SDataShiftSummary[[#This Row],[Summary4]]</f>
        <v>36541.624999996275</v>
      </c>
      <c r="AH1725" s="93">
        <f>Tab1SDataShiftSummary[[#This Row],[Summary6]]-Tab1SDataShiftSummary[[#This Row],[Summary5]]</f>
        <v>231294.15000000224</v>
      </c>
      <c r="AI1725" s="93">
        <f>Tab1SDataShiftSummary[[#This Row],[Summary7]]-Tab1SDataShiftSummary[[#This Row],[Summary6]]</f>
        <v>-505258.5</v>
      </c>
      <c r="AJ1725" s="93">
        <f>Tab1SDataShiftSummary[[#This Row],[Summary8]]-Tab1SDataShiftSummary[[#This Row],[Summary7]]</f>
        <v>-835.25</v>
      </c>
      <c r="AK1725" s="93">
        <f>Tab1SDataShiftSummary[[#This Row],[Summary9]]-Tab1SDataShiftSummary[[#This Row],[Summary8]]</f>
        <v>44357.89999999851</v>
      </c>
      <c r="AL1725" s="93">
        <f>Tab1SDataShiftSummary[[#This Row],[Summary10]]-Tab1SDataShiftSummary[[#This Row],[Summary9]]</f>
        <v>-28457.959999997169</v>
      </c>
      <c r="AM1725" s="93">
        <f>Tab1SDataShiftSummary[[#This Row],[Summary11]]-Tab1SDataShiftSummary[[#This Row],[Summary10]]</f>
        <v>-37049.002500005066</v>
      </c>
      <c r="AN1725" s="93">
        <f>Tab1SDataShiftSummary[[#This Row],[Summary12]]-Tab1SDataShiftSummary[[#This Row],[Summary11]]</f>
        <v>2267.8625000044703</v>
      </c>
      <c r="AO1725" s="93">
        <f>Tab1SDataShiftSummary[[#This Row],[Summary13]]-Tab1SDataShiftSummary[[#This Row],[Summary12]]</f>
        <v>-253457.94000000134</v>
      </c>
      <c r="AP1725" s="93">
        <f>Tab1SDataShiftSummary[[#This Row],[Summary14]]-Tab1SDataShiftSummary[[#This Row],[Summary13]]</f>
        <v>681521.78999999911</v>
      </c>
      <c r="AQ1725" s="93">
        <f>Tab1SDataShiftSummary[[#This Row],[Summary15]]-Tab1SDataShiftSummary[[#This Row],[Summary14]]</f>
        <v>-355178.58999999985</v>
      </c>
      <c r="AR1725" s="93">
        <f>Tab1SDataShiftSummary[[#This Row],[Summary16]]-Tab1SDataShiftSummary[[#This Row],[Summary15]]</f>
        <v>1705599.7300000004</v>
      </c>
      <c r="AS1725" s="93">
        <f>Tab1SDataShiftSummary[[#This Row],[Summary17]]-Tab1SDataShiftSummary[[#This Row],[Summary16]]</f>
        <v>-165</v>
      </c>
      <c r="AT1725" s="93">
        <f>Tab1SDataShiftSummary[[#This Row],[Summary18]]-Tab1SDataShiftSummary[[#This Row],[Summary17]]</f>
        <v>502595.18999999389</v>
      </c>
      <c r="AU1725" s="93">
        <f>Tab1SDataShiftSummary[[#This Row],[Summary19]]-Tab1SDataShiftSummary[[#This Row],[Summary18]]</f>
        <v>839140.52500000224</v>
      </c>
      <c r="AV1725" s="93">
        <f ca="1">Tab1SDataShiftSummary[[#This Row],[Summary20]]-Tab1SDataShiftSummary[[#This Row],[Summary19]]</f>
        <v>-514.72500000149012</v>
      </c>
      <c r="AY1725" s="867" t="s">
        <v>1132</v>
      </c>
      <c r="AZ1725" t="s">
        <v>2281</v>
      </c>
    </row>
    <row r="1726" spans="1:52">
      <c r="B1726" s="319" t="s">
        <v>1446</v>
      </c>
      <c r="C1726"/>
      <c r="E1726" s="93"/>
      <c r="F1726" s="93">
        <v>1604290</v>
      </c>
      <c r="G1726" s="93">
        <v>1611830</v>
      </c>
      <c r="H1726" s="93">
        <v>1577460</v>
      </c>
      <c r="I1726" s="93">
        <v>1601900</v>
      </c>
      <c r="J1726" s="93">
        <v>1556640</v>
      </c>
      <c r="K1726" s="93">
        <v>1560520</v>
      </c>
      <c r="L1726" s="93">
        <v>1550520</v>
      </c>
      <c r="M1726" s="93">
        <v>1544120</v>
      </c>
      <c r="N1726" s="93">
        <v>1529138.72</v>
      </c>
      <c r="O1726" s="93">
        <v>1520340</v>
      </c>
      <c r="P1726" s="93">
        <v>1531460</v>
      </c>
      <c r="Q1726" s="93">
        <v>1515500</v>
      </c>
      <c r="R1726" s="93">
        <v>1171000</v>
      </c>
      <c r="S1726" s="93">
        <v>1478440</v>
      </c>
      <c r="T1726" s="93">
        <v>1491660</v>
      </c>
      <c r="U1726" s="93">
        <v>1489840</v>
      </c>
      <c r="V1726" s="93">
        <v>1429850</v>
      </c>
      <c r="W1726" s="93">
        <v>1429850</v>
      </c>
      <c r="X1726" s="93">
        <v>1395630</v>
      </c>
      <c r="Y1726" s="93">
        <v>1341390</v>
      </c>
      <c r="Z1726" s="93">
        <f ca="1">Calc!BR103</f>
        <v>1341390</v>
      </c>
      <c r="AB1726" s="93">
        <f ca="1">Tab1SDataShiftSummary[[#This Row],[Summary0]]-Tab1SDataShiftSummary[[#This Row],[Summary20]]</f>
        <v>262900</v>
      </c>
      <c r="AC1726" s="93">
        <f>Tab1SDataShiftSummary[[#This Row],[Summary1]]-Tab1SDataShiftSummary[[#This Row],[Summary0]]</f>
        <v>7540</v>
      </c>
      <c r="AD1726" s="93">
        <f>Tab1SDataShiftSummary[[#This Row],[Summary2]]-Tab1SDataShiftSummary[[#This Row],[Summary1]]</f>
        <v>-34370</v>
      </c>
      <c r="AE1726" s="93">
        <f>Tab1SDataShiftSummary[[#This Row],[Summary3]]-Tab1SDataShiftSummary[[#This Row],[Summary2]]</f>
        <v>24440</v>
      </c>
      <c r="AF1726" s="93">
        <f>Tab1SDataShiftSummary[[#This Row],[Summary4]]-Tab1SDataShiftSummary[[#This Row],[Summary3]]</f>
        <v>-45260</v>
      </c>
      <c r="AG1726" s="93">
        <f>Tab1SDataShiftSummary[[#This Row],[Summary5]]-Tab1SDataShiftSummary[[#This Row],[Summary4]]</f>
        <v>3880</v>
      </c>
      <c r="AH1726" s="93">
        <f>Tab1SDataShiftSummary[[#This Row],[Summary6]]-Tab1SDataShiftSummary[[#This Row],[Summary5]]</f>
        <v>-10000</v>
      </c>
      <c r="AI1726" s="93">
        <f>Tab1SDataShiftSummary[[#This Row],[Summary7]]-Tab1SDataShiftSummary[[#This Row],[Summary6]]</f>
        <v>-6400</v>
      </c>
      <c r="AJ1726" s="93">
        <f>Tab1SDataShiftSummary[[#This Row],[Summary8]]-Tab1SDataShiftSummary[[#This Row],[Summary7]]</f>
        <v>-14981.280000000028</v>
      </c>
      <c r="AK1726" s="93">
        <f>Tab1SDataShiftSummary[[#This Row],[Summary9]]-Tab1SDataShiftSummary[[#This Row],[Summary8]]</f>
        <v>-8798.7199999999721</v>
      </c>
      <c r="AL1726" s="93">
        <f>Tab1SDataShiftSummary[[#This Row],[Summary10]]-Tab1SDataShiftSummary[[#This Row],[Summary9]]</f>
        <v>11120</v>
      </c>
      <c r="AM1726" s="93">
        <f>Tab1SDataShiftSummary[[#This Row],[Summary11]]-Tab1SDataShiftSummary[[#This Row],[Summary10]]</f>
        <v>-15960</v>
      </c>
      <c r="AN1726" s="93">
        <f>Tab1SDataShiftSummary[[#This Row],[Summary12]]-Tab1SDataShiftSummary[[#This Row],[Summary11]]</f>
        <v>-344500</v>
      </c>
      <c r="AO1726" s="93">
        <f>Tab1SDataShiftSummary[[#This Row],[Summary13]]-Tab1SDataShiftSummary[[#This Row],[Summary12]]</f>
        <v>307440</v>
      </c>
      <c r="AP1726" s="93">
        <f>Tab1SDataShiftSummary[[#This Row],[Summary14]]-Tab1SDataShiftSummary[[#This Row],[Summary13]]</f>
        <v>13220</v>
      </c>
      <c r="AQ1726" s="93">
        <f>Tab1SDataShiftSummary[[#This Row],[Summary15]]-Tab1SDataShiftSummary[[#This Row],[Summary14]]</f>
        <v>-1820</v>
      </c>
      <c r="AR1726" s="93">
        <f>Tab1SDataShiftSummary[[#This Row],[Summary16]]-Tab1SDataShiftSummary[[#This Row],[Summary15]]</f>
        <v>-59990</v>
      </c>
      <c r="AS1726" s="93">
        <f>Tab1SDataShiftSummary[[#This Row],[Summary17]]-Tab1SDataShiftSummary[[#This Row],[Summary16]]</f>
        <v>0</v>
      </c>
      <c r="AT1726" s="93">
        <f>Tab1SDataShiftSummary[[#This Row],[Summary18]]-Tab1SDataShiftSummary[[#This Row],[Summary17]]</f>
        <v>-34220</v>
      </c>
      <c r="AU1726" s="93">
        <f>Tab1SDataShiftSummary[[#This Row],[Summary19]]-Tab1SDataShiftSummary[[#This Row],[Summary18]]</f>
        <v>-54240</v>
      </c>
      <c r="AV1726" s="93">
        <f ca="1">Tab1SDataShiftSummary[[#This Row],[Summary20]]-Tab1SDataShiftSummary[[#This Row],[Summary19]]</f>
        <v>0</v>
      </c>
      <c r="AY1726" s="867" t="s">
        <v>1446</v>
      </c>
      <c r="AZ1726" t="s">
        <v>2281</v>
      </c>
    </row>
    <row r="1727" spans="1:52">
      <c r="B1727" s="319" t="s">
        <v>1134</v>
      </c>
      <c r="C1727"/>
      <c r="E1727" s="93"/>
      <c r="F1727" s="93">
        <v>361201</v>
      </c>
      <c r="G1727" s="93">
        <v>361201</v>
      </c>
      <c r="H1727" s="93">
        <v>361201</v>
      </c>
      <c r="I1727" s="93">
        <v>361201</v>
      </c>
      <c r="J1727" s="93">
        <v>361201</v>
      </c>
      <c r="K1727" s="93">
        <v>361201</v>
      </c>
      <c r="L1727" s="93">
        <v>361201</v>
      </c>
      <c r="M1727" s="93">
        <v>361201</v>
      </c>
      <c r="N1727" s="93">
        <v>361201</v>
      </c>
      <c r="O1727" s="93">
        <v>361201</v>
      </c>
      <c r="P1727" s="93">
        <v>361201</v>
      </c>
      <c r="Q1727" s="93">
        <v>361201</v>
      </c>
      <c r="R1727" s="93">
        <v>361201</v>
      </c>
      <c r="S1727" s="93">
        <v>361201</v>
      </c>
      <c r="T1727" s="93">
        <v>361201</v>
      </c>
      <c r="U1727" s="93">
        <v>361201</v>
      </c>
      <c r="V1727" s="93">
        <v>361201</v>
      </c>
      <c r="W1727" s="93">
        <v>361201</v>
      </c>
      <c r="X1727" s="93">
        <v>361201</v>
      </c>
      <c r="Y1727" s="93">
        <v>361201</v>
      </c>
      <c r="Z1727" s="93">
        <f>Calc!BS103</f>
        <v>361201</v>
      </c>
      <c r="AB1727" s="93">
        <f>Tab1SDataShiftSummary[[#This Row],[Summary0]]-Tab1SDataShiftSummary[[#This Row],[Summary20]]</f>
        <v>0</v>
      </c>
      <c r="AC1727" s="93">
        <f>Tab1SDataShiftSummary[[#This Row],[Summary1]]-Tab1SDataShiftSummary[[#This Row],[Summary0]]</f>
        <v>0</v>
      </c>
      <c r="AD1727" s="93">
        <f>Tab1SDataShiftSummary[[#This Row],[Summary2]]-Tab1SDataShiftSummary[[#This Row],[Summary1]]</f>
        <v>0</v>
      </c>
      <c r="AE1727" s="93">
        <f>Tab1SDataShiftSummary[[#This Row],[Summary3]]-Tab1SDataShiftSummary[[#This Row],[Summary2]]</f>
        <v>0</v>
      </c>
      <c r="AF1727" s="93">
        <f>Tab1SDataShiftSummary[[#This Row],[Summary4]]-Tab1SDataShiftSummary[[#This Row],[Summary3]]</f>
        <v>0</v>
      </c>
      <c r="AG1727" s="93">
        <f>Tab1SDataShiftSummary[[#This Row],[Summary5]]-Tab1SDataShiftSummary[[#This Row],[Summary4]]</f>
        <v>0</v>
      </c>
      <c r="AH1727" s="93">
        <f>Tab1SDataShiftSummary[[#This Row],[Summary6]]-Tab1SDataShiftSummary[[#This Row],[Summary5]]</f>
        <v>0</v>
      </c>
      <c r="AI1727" s="93">
        <f>Tab1SDataShiftSummary[[#This Row],[Summary7]]-Tab1SDataShiftSummary[[#This Row],[Summary6]]</f>
        <v>0</v>
      </c>
      <c r="AJ1727" s="93">
        <f>Tab1SDataShiftSummary[[#This Row],[Summary8]]-Tab1SDataShiftSummary[[#This Row],[Summary7]]</f>
        <v>0</v>
      </c>
      <c r="AK1727" s="93">
        <f>Tab1SDataShiftSummary[[#This Row],[Summary9]]-Tab1SDataShiftSummary[[#This Row],[Summary8]]</f>
        <v>0</v>
      </c>
      <c r="AL1727" s="93">
        <f>Tab1SDataShiftSummary[[#This Row],[Summary10]]-Tab1SDataShiftSummary[[#This Row],[Summary9]]</f>
        <v>0</v>
      </c>
      <c r="AM1727" s="93">
        <f>Tab1SDataShiftSummary[[#This Row],[Summary11]]-Tab1SDataShiftSummary[[#This Row],[Summary10]]</f>
        <v>0</v>
      </c>
      <c r="AN1727" s="93">
        <f>Tab1SDataShiftSummary[[#This Row],[Summary12]]-Tab1SDataShiftSummary[[#This Row],[Summary11]]</f>
        <v>0</v>
      </c>
      <c r="AO1727" s="93">
        <f>Tab1SDataShiftSummary[[#This Row],[Summary13]]-Tab1SDataShiftSummary[[#This Row],[Summary12]]</f>
        <v>0</v>
      </c>
      <c r="AP1727" s="93">
        <f>Tab1SDataShiftSummary[[#This Row],[Summary14]]-Tab1SDataShiftSummary[[#This Row],[Summary13]]</f>
        <v>0</v>
      </c>
      <c r="AQ1727" s="93">
        <f>Tab1SDataShiftSummary[[#This Row],[Summary15]]-Tab1SDataShiftSummary[[#This Row],[Summary14]]</f>
        <v>0</v>
      </c>
      <c r="AR1727" s="93">
        <f>Tab1SDataShiftSummary[[#This Row],[Summary16]]-Tab1SDataShiftSummary[[#This Row],[Summary15]]</f>
        <v>0</v>
      </c>
      <c r="AS1727" s="93">
        <f>Tab1SDataShiftSummary[[#This Row],[Summary17]]-Tab1SDataShiftSummary[[#This Row],[Summary16]]</f>
        <v>0</v>
      </c>
      <c r="AT1727" s="93">
        <f>Tab1SDataShiftSummary[[#This Row],[Summary18]]-Tab1SDataShiftSummary[[#This Row],[Summary17]]</f>
        <v>0</v>
      </c>
      <c r="AU1727" s="93">
        <f>Tab1SDataShiftSummary[[#This Row],[Summary19]]-Tab1SDataShiftSummary[[#This Row],[Summary18]]</f>
        <v>0</v>
      </c>
      <c r="AV1727" s="93">
        <f>Tab1SDataShiftSummary[[#This Row],[Summary20]]-Tab1SDataShiftSummary[[#This Row],[Summary19]]</f>
        <v>0</v>
      </c>
      <c r="AY1727" s="867" t="s">
        <v>1134</v>
      </c>
      <c r="AZ1727" t="s">
        <v>2281</v>
      </c>
    </row>
    <row r="1728" spans="1:52">
      <c r="B1728" s="319" t="s">
        <v>2128</v>
      </c>
      <c r="C1728"/>
      <c r="E1728" s="93"/>
      <c r="F1728" s="310">
        <v>2.4427579021908268</v>
      </c>
      <c r="G1728" s="310">
        <v>2.4613646110431842</v>
      </c>
      <c r="H1728" s="310">
        <v>2.390598461365081</v>
      </c>
      <c r="I1728" s="310">
        <v>2.4461954248655764</v>
      </c>
      <c r="J1728" s="310">
        <v>2.4513720366578875</v>
      </c>
      <c r="K1728" s="310">
        <v>2.5054203307217002</v>
      </c>
      <c r="L1728" s="310">
        <v>2.554582186985964</v>
      </c>
      <c r="M1728" s="310">
        <v>2.6063100883310004</v>
      </c>
      <c r="N1728" s="310">
        <v>2.6158872905136383</v>
      </c>
      <c r="O1728" s="310">
        <v>2.4467546905923032</v>
      </c>
      <c r="P1728" s="310">
        <v>2.4506621740419008</v>
      </c>
      <c r="Q1728" s="310">
        <v>2.4897011407947764</v>
      </c>
      <c r="R1728" s="310">
        <v>2.5733822963156019</v>
      </c>
      <c r="S1728" s="310">
        <v>2.5465698430590762</v>
      </c>
      <c r="T1728" s="310">
        <v>2.4977526227621554</v>
      </c>
      <c r="U1728" s="310">
        <v>2.6644312707675404</v>
      </c>
      <c r="V1728" s="310">
        <v>2.4970871262223815</v>
      </c>
      <c r="W1728" s="310">
        <v>2.4970627068798028</v>
      </c>
      <c r="X1728" s="310">
        <v>2.5750539933858532</v>
      </c>
      <c r="Y1728" s="310">
        <v>2.5117760790685058</v>
      </c>
      <c r="Z1728" s="310">
        <f ca="1">-Z1719/Z1714</f>
        <v>2.5022185891020219</v>
      </c>
      <c r="AB1728" s="310">
        <f ca="1">Tab1SDataShiftSummary[[#This Row],[Summary0]]-Tab1SDataShiftSummary[[#This Row],[Summary20]]</f>
        <v>-5.9460686911195104E-2</v>
      </c>
      <c r="AC1728" s="310">
        <f>Tab1SDataShiftSummary[[#This Row],[Summary1]]-Tab1SDataShiftSummary[[#This Row],[Summary0]]</f>
        <v>1.8606708852357379E-2</v>
      </c>
      <c r="AD1728" s="310">
        <f>Tab1SDataShiftSummary[[#This Row],[Summary2]]-Tab1SDataShiftSummary[[#This Row],[Summary1]]</f>
        <v>-7.076614967810313E-2</v>
      </c>
      <c r="AE1728" s="310">
        <f>Tab1SDataShiftSummary[[#This Row],[Summary3]]-Tab1SDataShiftSummary[[#This Row],[Summary2]]</f>
        <v>5.5596963500495367E-2</v>
      </c>
      <c r="AF1728" s="310">
        <f>Tab1SDataShiftSummary[[#This Row],[Summary4]]-Tab1SDataShiftSummary[[#This Row],[Summary3]]</f>
        <v>5.1766117923111032E-3</v>
      </c>
      <c r="AG1728" s="310">
        <f>Tab1SDataShiftSummary[[#This Row],[Summary5]]-Tab1SDataShiftSummary[[#This Row],[Summary4]]</f>
        <v>5.404829406381273E-2</v>
      </c>
      <c r="AH1728" s="310">
        <f>Tab1SDataShiftSummary[[#This Row],[Summary6]]-Tab1SDataShiftSummary[[#This Row],[Summary5]]</f>
        <v>4.9161856264263726E-2</v>
      </c>
      <c r="AI1728" s="310">
        <f>Tab1SDataShiftSummary[[#This Row],[Summary7]]-Tab1SDataShiftSummary[[#This Row],[Summary6]]</f>
        <v>5.1727901345036464E-2</v>
      </c>
      <c r="AJ1728" s="310">
        <f>Tab1SDataShiftSummary[[#This Row],[Summary8]]-Tab1SDataShiftSummary[[#This Row],[Summary7]]</f>
        <v>9.5772021826379117E-3</v>
      </c>
      <c r="AK1728" s="310">
        <f>Tab1SDataShiftSummary[[#This Row],[Summary9]]-Tab1SDataShiftSummary[[#This Row],[Summary8]]</f>
        <v>-0.16913259992133511</v>
      </c>
      <c r="AL1728" s="310">
        <f>Tab1SDataShiftSummary[[#This Row],[Summary10]]-Tab1SDataShiftSummary[[#This Row],[Summary9]]</f>
        <v>3.9074834495975708E-3</v>
      </c>
      <c r="AM1728" s="310">
        <f>Tab1SDataShiftSummary[[#This Row],[Summary11]]-Tab1SDataShiftSummary[[#This Row],[Summary10]]</f>
        <v>3.9038966752875659E-2</v>
      </c>
      <c r="AN1728" s="310">
        <f>Tab1SDataShiftSummary[[#This Row],[Summary12]]-Tab1SDataShiftSummary[[#This Row],[Summary11]]</f>
        <v>8.3681155520825445E-2</v>
      </c>
      <c r="AO1728" s="310">
        <f>Tab1SDataShiftSummary[[#This Row],[Summary13]]-Tab1SDataShiftSummary[[#This Row],[Summary12]]</f>
        <v>-2.6812453256525703E-2</v>
      </c>
      <c r="AP1728" s="310">
        <f>Tab1SDataShiftSummary[[#This Row],[Summary14]]-Tab1SDataShiftSummary[[#This Row],[Summary13]]</f>
        <v>-4.8817220296920816E-2</v>
      </c>
      <c r="AQ1728" s="310">
        <f>Tab1SDataShiftSummary[[#This Row],[Summary15]]-Tab1SDataShiftSummary[[#This Row],[Summary14]]</f>
        <v>0.16667864800538501</v>
      </c>
      <c r="AR1728" s="310">
        <f>Tab1SDataShiftSummary[[#This Row],[Summary16]]-Tab1SDataShiftSummary[[#This Row],[Summary15]]</f>
        <v>-0.16734414454515889</v>
      </c>
      <c r="AS1728" s="310">
        <f>Tab1SDataShiftSummary[[#This Row],[Summary17]]-Tab1SDataShiftSummary[[#This Row],[Summary16]]</f>
        <v>-2.4419342578685388E-5</v>
      </c>
      <c r="AT1728" s="310">
        <f>Tab1SDataShiftSummary[[#This Row],[Summary18]]-Tab1SDataShiftSummary[[#This Row],[Summary17]]</f>
        <v>7.7991286506050361E-2</v>
      </c>
      <c r="AU1728" s="310">
        <f>Tab1SDataShiftSummary[[#This Row],[Summary19]]-Tab1SDataShiftSummary[[#This Row],[Summary18]]</f>
        <v>-6.3277914317347417E-2</v>
      </c>
      <c r="AV1728" s="310">
        <f ca="1">Tab1SDataShiftSummary[[#This Row],[Summary20]]-Tab1SDataShiftSummary[[#This Row],[Summary19]]</f>
        <v>-9.5574899664838675E-3</v>
      </c>
      <c r="AY1728" s="867" t="s">
        <v>2128</v>
      </c>
    </row>
    <row r="1729" spans="1:52">
      <c r="B1729" s="319" t="s">
        <v>2285</v>
      </c>
      <c r="C1729"/>
      <c r="E1729" s="93"/>
      <c r="F1729" s="310">
        <v>1.5557535802390026</v>
      </c>
      <c r="G1729" s="310">
        <v>1.6262536245231947</v>
      </c>
      <c r="H1729" s="310">
        <v>1.5359934945254485</v>
      </c>
      <c r="I1729" s="310">
        <v>1.5643020555596119</v>
      </c>
      <c r="J1729" s="310">
        <v>1.5831245941551293</v>
      </c>
      <c r="K1729" s="310">
        <v>1.6293226684311211</v>
      </c>
      <c r="L1729" s="310">
        <v>1.6444191256398186</v>
      </c>
      <c r="M1729" s="310">
        <v>1.6975927024415163</v>
      </c>
      <c r="N1729" s="310">
        <v>1.6995057707518721</v>
      </c>
      <c r="O1729" s="310">
        <v>1.5908178686573216</v>
      </c>
      <c r="P1729" s="310">
        <v>1.5978063396177122</v>
      </c>
      <c r="Q1729" s="310">
        <v>1.6332463117052523</v>
      </c>
      <c r="R1729" s="310">
        <v>1.6700692480617745</v>
      </c>
      <c r="S1729" s="310">
        <v>1.6169646867520864</v>
      </c>
      <c r="T1729" s="310">
        <v>1.6214492767321012</v>
      </c>
      <c r="U1729" s="310">
        <v>1.6557848441845606</v>
      </c>
      <c r="V1729" s="310">
        <v>1.3900002035417742</v>
      </c>
      <c r="W1729" s="310">
        <v>1.3899866105474417</v>
      </c>
      <c r="X1729" s="310">
        <v>1.3844687840175309</v>
      </c>
      <c r="Y1729" s="310">
        <v>1.327940507707593</v>
      </c>
      <c r="Z1729" s="310">
        <f ca="1">ABS((Z1712+Z1717)/Z1717)</f>
        <v>1.3345606098947289</v>
      </c>
      <c r="AB1729" s="310">
        <f ca="1">Tab1SDataShiftSummary[[#This Row],[Summary0]]-Tab1SDataShiftSummary[[#This Row],[Summary20]]</f>
        <v>0.22119297034427365</v>
      </c>
      <c r="AC1729" s="310">
        <f>Tab1SDataShiftSummary[[#This Row],[Summary1]]-Tab1SDataShiftSummary[[#This Row],[Summary0]]</f>
        <v>7.0500044284192098E-2</v>
      </c>
      <c r="AD1729" s="310">
        <f>Tab1SDataShiftSummary[[#This Row],[Summary2]]-Tab1SDataShiftSummary[[#This Row],[Summary1]]</f>
        <v>-9.026012999774613E-2</v>
      </c>
      <c r="AE1729" s="310">
        <f>Tab1SDataShiftSummary[[#This Row],[Summary3]]-Tab1SDataShiftSummary[[#This Row],[Summary2]]</f>
        <v>2.8308561034163349E-2</v>
      </c>
      <c r="AF1729" s="310">
        <f>Tab1SDataShiftSummary[[#This Row],[Summary4]]-Tab1SDataShiftSummary[[#This Row],[Summary3]]</f>
        <v>1.8822538595517413E-2</v>
      </c>
      <c r="AG1729" s="310">
        <f>Tab1SDataShiftSummary[[#This Row],[Summary5]]-Tab1SDataShiftSummary[[#This Row],[Summary4]]</f>
        <v>4.6198074275991763E-2</v>
      </c>
      <c r="AH1729" s="310">
        <f>Tab1SDataShiftSummary[[#This Row],[Summary6]]-Tab1SDataShiftSummary[[#This Row],[Summary5]]</f>
        <v>1.5096457208697567E-2</v>
      </c>
      <c r="AI1729" s="310">
        <f>Tab1SDataShiftSummary[[#This Row],[Summary7]]-Tab1SDataShiftSummary[[#This Row],[Summary6]]</f>
        <v>5.3173576801697653E-2</v>
      </c>
      <c r="AJ1729" s="310">
        <f>Tab1SDataShiftSummary[[#This Row],[Summary8]]-Tab1SDataShiftSummary[[#This Row],[Summary7]]</f>
        <v>1.9130683103558699E-3</v>
      </c>
      <c r="AK1729" s="310">
        <f>Tab1SDataShiftSummary[[#This Row],[Summary9]]-Tab1SDataShiftSummary[[#This Row],[Summary8]]</f>
        <v>-0.10868790209455059</v>
      </c>
      <c r="AL1729" s="310">
        <f>Tab1SDataShiftSummary[[#This Row],[Summary10]]-Tab1SDataShiftSummary[[#This Row],[Summary9]]</f>
        <v>6.9884709603906803E-3</v>
      </c>
      <c r="AM1729" s="310">
        <f>Tab1SDataShiftSummary[[#This Row],[Summary11]]-Tab1SDataShiftSummary[[#This Row],[Summary10]]</f>
        <v>3.5439972087540017E-2</v>
      </c>
      <c r="AN1729" s="310">
        <f>Tab1SDataShiftSummary[[#This Row],[Summary12]]-Tab1SDataShiftSummary[[#This Row],[Summary11]]</f>
        <v>3.6822936356522229E-2</v>
      </c>
      <c r="AO1729" s="310">
        <f>Tab1SDataShiftSummary[[#This Row],[Summary13]]-Tab1SDataShiftSummary[[#This Row],[Summary12]]</f>
        <v>-5.3104561309688103E-2</v>
      </c>
      <c r="AP1729" s="310">
        <f>Tab1SDataShiftSummary[[#This Row],[Summary14]]-Tab1SDataShiftSummary[[#This Row],[Summary13]]</f>
        <v>4.4845899800147748E-3</v>
      </c>
      <c r="AQ1729" s="310">
        <f>Tab1SDataShiftSummary[[#This Row],[Summary15]]-Tab1SDataShiftSummary[[#This Row],[Summary14]]</f>
        <v>3.433556745245947E-2</v>
      </c>
      <c r="AR1729" s="310">
        <f>Tab1SDataShiftSummary[[#This Row],[Summary16]]-Tab1SDataShiftSummary[[#This Row],[Summary15]]</f>
        <v>-0.2657846406427864</v>
      </c>
      <c r="AS1729" s="310">
        <f>Tab1SDataShiftSummary[[#This Row],[Summary17]]-Tab1SDataShiftSummary[[#This Row],[Summary16]]</f>
        <v>-1.3592994332567443E-5</v>
      </c>
      <c r="AT1729" s="310">
        <f>Tab1SDataShiftSummary[[#This Row],[Summary18]]-Tab1SDataShiftSummary[[#This Row],[Summary17]]</f>
        <v>-5.5178265299107299E-3</v>
      </c>
      <c r="AU1729" s="310">
        <f>Tab1SDataShiftSummary[[#This Row],[Summary19]]-Tab1SDataShiftSummary[[#This Row],[Summary18]]</f>
        <v>-5.6528276309937953E-2</v>
      </c>
      <c r="AV1729" s="310">
        <f ca="1">Tab1SDataShiftSummary[[#This Row],[Summary20]]-Tab1SDataShiftSummary[[#This Row],[Summary19]]</f>
        <v>6.6201021871359345E-3</v>
      </c>
      <c r="AY1729" s="867" t="s">
        <v>2285</v>
      </c>
    </row>
    <row r="1730" spans="1:52">
      <c r="B1730" s="319" t="s">
        <v>2295</v>
      </c>
      <c r="C1730"/>
      <c r="E1730"/>
      <c r="F1730" s="869"/>
      <c r="G1730" s="869"/>
      <c r="H1730" s="869"/>
      <c r="I1730" s="869"/>
      <c r="J1730" s="869"/>
      <c r="K1730" s="869"/>
      <c r="L1730" s="871"/>
      <c r="M1730" s="872"/>
      <c r="N1730" s="869"/>
      <c r="O1730" s="873"/>
      <c r="P1730" s="873"/>
      <c r="Q1730" s="869"/>
      <c r="R1730" s="874"/>
      <c r="S1730" s="869"/>
      <c r="T1730" s="869"/>
      <c r="U1730" s="869"/>
      <c r="V1730" s="869"/>
      <c r="W1730" s="871"/>
      <c r="X1730" s="875"/>
      <c r="Y1730" s="869"/>
      <c r="Z1730" s="869"/>
      <c r="AB1730" s="93"/>
      <c r="AC1730" s="93"/>
      <c r="AD1730" s="93"/>
      <c r="AE1730" s="93"/>
      <c r="AF1730" s="93"/>
      <c r="AG1730" s="93"/>
      <c r="AH1730" s="93"/>
      <c r="AI1730" s="93"/>
      <c r="AJ1730" s="93"/>
      <c r="AK1730" s="93"/>
      <c r="AL1730" s="93"/>
      <c r="AM1730" s="93"/>
      <c r="AN1730" s="93"/>
      <c r="AO1730" s="93"/>
      <c r="AP1730" s="93"/>
      <c r="AQ1730" s="93"/>
      <c r="AR1730" s="93"/>
      <c r="AS1730" s="93"/>
      <c r="AT1730" s="93"/>
      <c r="AU1730" s="93"/>
      <c r="AV1730" s="93"/>
      <c r="AY1730" s="867" t="s">
        <v>2295</v>
      </c>
    </row>
    <row r="1731" spans="1:52">
      <c r="B1731" s="319" t="s">
        <v>1845</v>
      </c>
      <c r="C1731"/>
      <c r="E1731"/>
      <c r="F1731" s="737">
        <v>2791469.2047000001</v>
      </c>
      <c r="G1731" s="737">
        <v>2791469.2047000001</v>
      </c>
      <c r="H1731" s="737">
        <v>2791469.2047000001</v>
      </c>
      <c r="I1731" s="737">
        <v>2791469.2047000001</v>
      </c>
      <c r="J1731" s="737">
        <v>2829929.2047000001</v>
      </c>
      <c r="K1731" s="737">
        <v>2772977.4357000003</v>
      </c>
      <c r="L1731" s="1149">
        <v>2759281.5877</v>
      </c>
      <c r="M1731" s="1150">
        <v>2976328.2629080005</v>
      </c>
      <c r="N1731" s="737">
        <v>2976328.2629080005</v>
      </c>
      <c r="O1731" s="1151">
        <v>2956532.3797000004</v>
      </c>
      <c r="P1731" s="1151">
        <v>2985791.7396999998</v>
      </c>
      <c r="Q1731" s="737">
        <v>3046430.5897000004</v>
      </c>
      <c r="R1731" s="1152">
        <v>2928464.5897000004</v>
      </c>
      <c r="S1731" s="737">
        <v>2928464.5897000004</v>
      </c>
      <c r="T1731" s="737">
        <v>3145237.8597000008</v>
      </c>
      <c r="U1731" s="737">
        <v>3111660.5897000004</v>
      </c>
      <c r="V1731" s="737">
        <v>2434106.5996999992</v>
      </c>
      <c r="W1731" s="1149">
        <v>2434106.5996999992</v>
      </c>
      <c r="X1731" s="1153">
        <v>2474607.5996999992</v>
      </c>
      <c r="Y1731" s="737">
        <v>2555847.5996999992</v>
      </c>
      <c r="Z1731" s="737">
        <f ca="1">Calc!AZ103</f>
        <v>2555847.5996999992</v>
      </c>
      <c r="AB1731" s="93">
        <f ca="1">Tab1SDataShiftSummary[[#This Row],[Summary0]]-Tab1SDataShiftSummary[[#This Row],[Summary20]]</f>
        <v>235621.60500000091</v>
      </c>
      <c r="AC1731" s="93">
        <f>Tab1SDataShiftSummary[[#This Row],[Summary1]]-Tab1SDataShiftSummary[[#This Row],[Summary0]]</f>
        <v>0</v>
      </c>
      <c r="AD1731" s="93">
        <f>Tab1SDataShiftSummary[[#This Row],[Summary2]]-Tab1SDataShiftSummary[[#This Row],[Summary1]]</f>
        <v>0</v>
      </c>
      <c r="AE1731" s="93">
        <f>Tab1SDataShiftSummary[[#This Row],[Summary3]]-Tab1SDataShiftSummary[[#This Row],[Summary2]]</f>
        <v>0</v>
      </c>
      <c r="AF1731" s="93">
        <f>Tab1SDataShiftSummary[[#This Row],[Summary4]]-Tab1SDataShiftSummary[[#This Row],[Summary3]]</f>
        <v>38460</v>
      </c>
      <c r="AG1731" s="93">
        <f>Tab1SDataShiftSummary[[#This Row],[Summary5]]-Tab1SDataShiftSummary[[#This Row],[Summary4]]</f>
        <v>-56951.768999999855</v>
      </c>
      <c r="AH1731" s="93">
        <f>Tab1SDataShiftSummary[[#This Row],[Summary6]]-Tab1SDataShiftSummary[[#This Row],[Summary5]]</f>
        <v>-13695.848000000231</v>
      </c>
      <c r="AI1731" s="93">
        <f>Tab1SDataShiftSummary[[#This Row],[Summary7]]-Tab1SDataShiftSummary[[#This Row],[Summary6]]</f>
        <v>217046.67520800047</v>
      </c>
      <c r="AJ1731" s="93">
        <f>Tab1SDataShiftSummary[[#This Row],[Summary8]]-Tab1SDataShiftSummary[[#This Row],[Summary7]]</f>
        <v>0</v>
      </c>
      <c r="AK1731" s="93">
        <f>Tab1SDataShiftSummary[[#This Row],[Summary9]]-Tab1SDataShiftSummary[[#This Row],[Summary8]]</f>
        <v>-19795.883208000101</v>
      </c>
      <c r="AL1731" s="93">
        <f>Tab1SDataShiftSummary[[#This Row],[Summary10]]-Tab1SDataShiftSummary[[#This Row],[Summary9]]</f>
        <v>29259.359999999404</v>
      </c>
      <c r="AM1731" s="93">
        <f>Tab1SDataShiftSummary[[#This Row],[Summary11]]-Tab1SDataShiftSummary[[#This Row],[Summary10]]</f>
        <v>60638.850000000559</v>
      </c>
      <c r="AN1731" s="93">
        <f>Tab1SDataShiftSummary[[#This Row],[Summary12]]-Tab1SDataShiftSummary[[#This Row],[Summary11]]</f>
        <v>-117966</v>
      </c>
      <c r="AO1731" s="93">
        <f>Tab1SDataShiftSummary[[#This Row],[Summary13]]-Tab1SDataShiftSummary[[#This Row],[Summary12]]</f>
        <v>0</v>
      </c>
      <c r="AP1731" s="93">
        <f>Tab1SDataShiftSummary[[#This Row],[Summary14]]-Tab1SDataShiftSummary[[#This Row],[Summary13]]</f>
        <v>216773.27000000048</v>
      </c>
      <c r="AQ1731" s="93">
        <f>Tab1SDataShiftSummary[[#This Row],[Summary15]]-Tab1SDataShiftSummary[[#This Row],[Summary14]]</f>
        <v>-33577.270000000484</v>
      </c>
      <c r="AR1731" s="93">
        <f>Tab1SDataShiftSummary[[#This Row],[Summary16]]-Tab1SDataShiftSummary[[#This Row],[Summary15]]</f>
        <v>-677553.99000000115</v>
      </c>
      <c r="AS1731" s="93">
        <f>Tab1SDataShiftSummary[[#This Row],[Summary17]]-Tab1SDataShiftSummary[[#This Row],[Summary16]]</f>
        <v>0</v>
      </c>
      <c r="AT1731" s="93">
        <f>Tab1SDataShiftSummary[[#This Row],[Summary18]]-Tab1SDataShiftSummary[[#This Row],[Summary17]]</f>
        <v>40501</v>
      </c>
      <c r="AU1731" s="93">
        <f>Tab1SDataShiftSummary[[#This Row],[Summary19]]-Tab1SDataShiftSummary[[#This Row],[Summary18]]</f>
        <v>81240</v>
      </c>
      <c r="AV1731" s="93">
        <f ca="1">Tab1SDataShiftSummary[[#This Row],[Summary20]]-Tab1SDataShiftSummary[[#This Row],[Summary19]]</f>
        <v>0</v>
      </c>
      <c r="AY1731" s="867" t="s">
        <v>1845</v>
      </c>
    </row>
    <row r="1732" spans="1:52" ht="23" thickBot="1">
      <c r="B1732" s="319" t="s">
        <v>2532</v>
      </c>
      <c r="C1732"/>
      <c r="E1732"/>
      <c r="F1732" s="977">
        <v>0.60913658883859212</v>
      </c>
      <c r="G1732" s="977">
        <v>0.58272978743894388</v>
      </c>
      <c r="H1732" s="977">
        <v>0.59986706731868567</v>
      </c>
      <c r="I1732" s="977">
        <v>0.60499338844019857</v>
      </c>
      <c r="J1732" s="977">
        <v>0.60645888573134699</v>
      </c>
      <c r="K1732" s="977">
        <v>0.60661153761150832</v>
      </c>
      <c r="L1732" s="977">
        <v>0.59828257471638746</v>
      </c>
      <c r="M1732" s="977">
        <v>0.63453160239325823</v>
      </c>
      <c r="N1732" s="977">
        <v>0.63960582384312392</v>
      </c>
      <c r="O1732" s="977">
        <v>0.6219900883530014</v>
      </c>
      <c r="P1732" s="977">
        <v>0.62448802351525101</v>
      </c>
      <c r="Q1732" s="977">
        <v>0.62770816591509393</v>
      </c>
      <c r="R1732" s="977">
        <v>0.63017570425375791</v>
      </c>
      <c r="S1732" s="977">
        <v>0.63315859385180384</v>
      </c>
      <c r="T1732" s="977">
        <v>0.61126981658028989</v>
      </c>
      <c r="U1732" s="977">
        <v>0.62740277405426315</v>
      </c>
      <c r="V1732" s="977">
        <v>0.48950614866428882</v>
      </c>
      <c r="W1732" s="977">
        <v>0.48951093565594334</v>
      </c>
      <c r="X1732" s="977">
        <v>0.4711448490560125</v>
      </c>
      <c r="Y1732" s="977">
        <v>0.43851582528594241</v>
      </c>
      <c r="Z1732" s="977">
        <f ca="1">(Z1722+Z1731)/Z1719</f>
        <v>0.42579801991642263</v>
      </c>
      <c r="AB1732" s="93"/>
      <c r="AC1732" s="93"/>
      <c r="AD1732" s="93"/>
      <c r="AE1732" s="93"/>
      <c r="AF1732" s="93"/>
      <c r="AG1732" s="93"/>
      <c r="AH1732" s="93"/>
      <c r="AI1732" s="93"/>
      <c r="AJ1732" s="93"/>
      <c r="AK1732" s="93"/>
      <c r="AL1732" s="93"/>
      <c r="AM1732" s="93"/>
      <c r="AN1732" s="93"/>
      <c r="AO1732" s="93"/>
      <c r="AP1732" s="93"/>
      <c r="AQ1732" s="93"/>
      <c r="AR1732" s="93"/>
      <c r="AS1732" s="93"/>
      <c r="AT1732" s="93"/>
      <c r="AU1732" s="93"/>
      <c r="AV1732" s="93"/>
      <c r="AY1732" s="867"/>
    </row>
    <row r="1733" spans="1:52" ht="23" thickBot="1">
      <c r="A1733" s="140" t="s">
        <v>2106</v>
      </c>
      <c r="B1733" s="734" t="s">
        <v>1836</v>
      </c>
      <c r="C1733" s="885">
        <f ca="1">Calc!BB104</f>
        <v>-7057799.564963717</v>
      </c>
      <c r="D1733" s="1205" t="s">
        <v>2286</v>
      </c>
      <c r="E1733"/>
      <c r="F1733" s="736">
        <v>6026988.0449999999</v>
      </c>
      <c r="G1733" s="736">
        <v>5689897.4299999997</v>
      </c>
      <c r="H1733" s="868">
        <v>5517998.4400000004</v>
      </c>
      <c r="I1733" s="868">
        <v>5492019.0199999986</v>
      </c>
      <c r="J1733" s="868">
        <v>5575145.5899999999</v>
      </c>
      <c r="K1733" s="736">
        <v>5287643.8400000008</v>
      </c>
      <c r="L1733" s="736">
        <v>5563825.5300000003</v>
      </c>
      <c r="M1733" s="736">
        <v>5712152.7400000002</v>
      </c>
      <c r="N1733" s="736">
        <v>5715214.7300000004</v>
      </c>
      <c r="O1733" s="736">
        <v>5675545.3400000008</v>
      </c>
      <c r="P1733" s="736">
        <v>5631143.9200000009</v>
      </c>
      <c r="Q1733" s="736">
        <v>5696624.0980000002</v>
      </c>
      <c r="R1733" s="736">
        <v>5879362.0199999996</v>
      </c>
      <c r="S1733" s="736">
        <v>5470058.1400000006</v>
      </c>
      <c r="T1733" s="736">
        <v>5139646</v>
      </c>
      <c r="U1733" s="736">
        <v>5497883.4199999999</v>
      </c>
      <c r="V1733" s="736">
        <v>5257168.7300000004</v>
      </c>
      <c r="W1733" s="736">
        <v>5257068.7300000004</v>
      </c>
      <c r="X1733" s="736">
        <v>5327584.04</v>
      </c>
      <c r="Y1733" s="736">
        <v>5347671.05</v>
      </c>
      <c r="Z1733" s="736">
        <f ca="1">Calc!BC104</f>
        <v>5348386.080000001</v>
      </c>
      <c r="AB1733" s="93">
        <f ca="1">Tab1SDataShiftSummary[[#This Row],[Summary0]]-Tab1SDataShiftSummary[[#This Row],[Summary20]]</f>
        <v>678601.96499999892</v>
      </c>
      <c r="AC1733" s="93">
        <f>Tab1SDataShiftSummary[[#This Row],[Summary1]]-Tab1SDataShiftSummary[[#This Row],[Summary0]]</f>
        <v>-337090.61500000022</v>
      </c>
      <c r="AD1733" s="93">
        <f>Tab1SDataShiftSummary[[#This Row],[Summary2]]-Tab1SDataShiftSummary[[#This Row],[Summary1]]</f>
        <v>-171898.98999999929</v>
      </c>
      <c r="AE1733" s="93">
        <f>Tab1SDataShiftSummary[[#This Row],[Summary3]]-Tab1SDataShiftSummary[[#This Row],[Summary2]]</f>
        <v>-25979.420000001788</v>
      </c>
      <c r="AF1733" s="93">
        <f>Tab1SDataShiftSummary[[#This Row],[Summary4]]-Tab1SDataShiftSummary[[#This Row],[Summary3]]</f>
        <v>83126.570000001229</v>
      </c>
      <c r="AG1733" s="93">
        <f>Tab1SDataShiftSummary[[#This Row],[Summary5]]-Tab1SDataShiftSummary[[#This Row],[Summary4]]</f>
        <v>-287501.74999999907</v>
      </c>
      <c r="AH1733" s="93">
        <f>Tab1SDataShiftSummary[[#This Row],[Summary6]]-Tab1SDataShiftSummary[[#This Row],[Summary5]]</f>
        <v>276181.68999999948</v>
      </c>
      <c r="AI1733" s="93">
        <f>Tab1SDataShiftSummary[[#This Row],[Summary7]]-Tab1SDataShiftSummary[[#This Row],[Summary6]]</f>
        <v>148327.20999999996</v>
      </c>
      <c r="AJ1733" s="93">
        <f>Tab1SDataShiftSummary[[#This Row],[Summary8]]-Tab1SDataShiftSummary[[#This Row],[Summary7]]</f>
        <v>3061.9900000002235</v>
      </c>
      <c r="AK1733" s="93">
        <f>Tab1SDataShiftSummary[[#This Row],[Summary9]]-Tab1SDataShiftSummary[[#This Row],[Summary8]]</f>
        <v>-39669.389999999665</v>
      </c>
      <c r="AL1733" s="93">
        <f>Tab1SDataShiftSummary[[#This Row],[Summary10]]-Tab1SDataShiftSummary[[#This Row],[Summary9]]</f>
        <v>-44401.419999999925</v>
      </c>
      <c r="AM1733" s="93">
        <f>Tab1SDataShiftSummary[[#This Row],[Summary11]]-Tab1SDataShiftSummary[[#This Row],[Summary10]]</f>
        <v>65480.177999999374</v>
      </c>
      <c r="AN1733" s="93">
        <f>Tab1SDataShiftSummary[[#This Row],[Summary12]]-Tab1SDataShiftSummary[[#This Row],[Summary11]]</f>
        <v>182737.92199999932</v>
      </c>
      <c r="AO1733" s="93">
        <f>Tab1SDataShiftSummary[[#This Row],[Summary13]]-Tab1SDataShiftSummary[[#This Row],[Summary12]]</f>
        <v>-409303.87999999896</v>
      </c>
      <c r="AP1733" s="93">
        <f>Tab1SDataShiftSummary[[#This Row],[Summary14]]-Tab1SDataShiftSummary[[#This Row],[Summary13]]</f>
        <v>-330412.1400000006</v>
      </c>
      <c r="AQ1733" s="93">
        <f>Tab1SDataShiftSummary[[#This Row],[Summary15]]-Tab1SDataShiftSummary[[#This Row],[Summary14]]</f>
        <v>358237.41999999993</v>
      </c>
      <c r="AR1733" s="93">
        <f>Tab1SDataShiftSummary[[#This Row],[Summary16]]-Tab1SDataShiftSummary[[#This Row],[Summary15]]</f>
        <v>-240714.68999999948</v>
      </c>
      <c r="AS1733" s="93">
        <f>Tab1SDataShiftSummary[[#This Row],[Summary17]]-Tab1SDataShiftSummary[[#This Row],[Summary16]]</f>
        <v>-100</v>
      </c>
      <c r="AT1733" s="93">
        <f>Tab1SDataShiftSummary[[#This Row],[Summary18]]-Tab1SDataShiftSummary[[#This Row],[Summary17]]</f>
        <v>70515.30999999959</v>
      </c>
      <c r="AU1733" s="93">
        <f>Tab1SDataShiftSummary[[#This Row],[Summary19]]-Tab1SDataShiftSummary[[#This Row],[Summary18]]</f>
        <v>20087.009999999776</v>
      </c>
      <c r="AV1733" s="93">
        <f ca="1">Tab1SDataShiftSummary[[#This Row],[Summary20]]-Tab1SDataShiftSummary[[#This Row],[Summary19]]</f>
        <v>715.03000000119209</v>
      </c>
      <c r="AX1733" s="140" t="s">
        <v>2106</v>
      </c>
      <c r="AY1733" s="734" t="s">
        <v>1836</v>
      </c>
      <c r="AZ1733">
        <v>-7746320.7987637175</v>
      </c>
    </row>
    <row r="1734" spans="1:52">
      <c r="B1734" s="734" t="s">
        <v>1912</v>
      </c>
      <c r="C1734"/>
      <c r="D1734" s="694"/>
      <c r="E1734"/>
      <c r="F1734" s="736">
        <v>-10511070.352356846</v>
      </c>
      <c r="G1734" s="736">
        <v>-10511070.352356846</v>
      </c>
      <c r="H1734" s="868">
        <v>-10449668.863581846</v>
      </c>
      <c r="I1734" s="868">
        <v>-9986615.1531283446</v>
      </c>
      <c r="J1734" s="868">
        <v>-10193935.161881845</v>
      </c>
      <c r="K1734" s="736">
        <v>-9962410.6907701585</v>
      </c>
      <c r="L1734" s="736">
        <v>-9962410.6907701585</v>
      </c>
      <c r="M1734" s="736">
        <v>-10229044.238770159</v>
      </c>
      <c r="N1734" s="736">
        <v>-10229044.238770159</v>
      </c>
      <c r="O1734" s="736">
        <v>-10229044.238770159</v>
      </c>
      <c r="P1734" s="736">
        <v>-10185055.16377016</v>
      </c>
      <c r="Q1734" s="736">
        <v>-10185055.16377016</v>
      </c>
      <c r="R1734" s="736">
        <v>-10649273.231270257</v>
      </c>
      <c r="S1734" s="736">
        <v>-10185055.16377016</v>
      </c>
      <c r="T1734" s="736">
        <v>-9518244.2094613593</v>
      </c>
      <c r="U1734" s="736">
        <v>-10094923.46105336</v>
      </c>
      <c r="V1734" s="736">
        <v>-9861676.4930533599</v>
      </c>
      <c r="W1734" s="736">
        <v>-9861676.4930533599</v>
      </c>
      <c r="X1734" s="736">
        <v>-10635887.461792558</v>
      </c>
      <c r="Y1734" s="736">
        <v>-10724326.004714459</v>
      </c>
      <c r="Z1734" s="736">
        <f ca="1">Calc!BD104</f>
        <v>-10724326.004714459</v>
      </c>
      <c r="AB1734" s="93">
        <f ca="1">Tab1SDataShiftSummary[[#This Row],[Summary0]]-Tab1SDataShiftSummary[[#This Row],[Summary20]]</f>
        <v>213255.65235761367</v>
      </c>
      <c r="AC1734" s="93">
        <f>Tab1SDataShiftSummary[[#This Row],[Summary1]]-Tab1SDataShiftSummary[[#This Row],[Summary0]]</f>
        <v>0</v>
      </c>
      <c r="AD1734" s="93">
        <f>Tab1SDataShiftSummary[[#This Row],[Summary2]]-Tab1SDataShiftSummary[[#This Row],[Summary1]]</f>
        <v>61401.488774999976</v>
      </c>
      <c r="AE1734" s="93">
        <f>Tab1SDataShiftSummary[[#This Row],[Summary3]]-Tab1SDataShiftSummary[[#This Row],[Summary2]]</f>
        <v>463053.71045350097</v>
      </c>
      <c r="AF1734" s="93">
        <f>Tab1SDataShiftSummary[[#This Row],[Summary4]]-Tab1SDataShiftSummary[[#This Row],[Summary3]]</f>
        <v>-207320.00875350088</v>
      </c>
      <c r="AG1734" s="93">
        <f>Tab1SDataShiftSummary[[#This Row],[Summary5]]-Tab1SDataShiftSummary[[#This Row],[Summary4]]</f>
        <v>231524.4711116869</v>
      </c>
      <c r="AH1734" s="93">
        <f>Tab1SDataShiftSummary[[#This Row],[Summary6]]-Tab1SDataShiftSummary[[#This Row],[Summary5]]</f>
        <v>0</v>
      </c>
      <c r="AI1734" s="93">
        <f>Tab1SDataShiftSummary[[#This Row],[Summary7]]-Tab1SDataShiftSummary[[#This Row],[Summary6]]</f>
        <v>-266633.54800000042</v>
      </c>
      <c r="AJ1734" s="93">
        <f>Tab1SDataShiftSummary[[#This Row],[Summary8]]-Tab1SDataShiftSummary[[#This Row],[Summary7]]</f>
        <v>0</v>
      </c>
      <c r="AK1734" s="93">
        <f>Tab1SDataShiftSummary[[#This Row],[Summary9]]-Tab1SDataShiftSummary[[#This Row],[Summary8]]</f>
        <v>0</v>
      </c>
      <c r="AL1734" s="93">
        <f>Tab1SDataShiftSummary[[#This Row],[Summary10]]-Tab1SDataShiftSummary[[#This Row],[Summary9]]</f>
        <v>43989.074999999255</v>
      </c>
      <c r="AM1734" s="93">
        <f>Tab1SDataShiftSummary[[#This Row],[Summary11]]-Tab1SDataShiftSummary[[#This Row],[Summary10]]</f>
        <v>0</v>
      </c>
      <c r="AN1734" s="93">
        <f>Tab1SDataShiftSummary[[#This Row],[Summary12]]-Tab1SDataShiftSummary[[#This Row],[Summary11]]</f>
        <v>-464218.06750009768</v>
      </c>
      <c r="AO1734" s="93">
        <f>Tab1SDataShiftSummary[[#This Row],[Summary13]]-Tab1SDataShiftSummary[[#This Row],[Summary12]]</f>
        <v>464218.06750009768</v>
      </c>
      <c r="AP1734" s="93">
        <f>Tab1SDataShiftSummary[[#This Row],[Summary14]]-Tab1SDataShiftSummary[[#This Row],[Summary13]]</f>
        <v>666810.9543088004</v>
      </c>
      <c r="AQ1734" s="93">
        <f>Tab1SDataShiftSummary[[#This Row],[Summary15]]-Tab1SDataShiftSummary[[#This Row],[Summary14]]</f>
        <v>-576679.25159200095</v>
      </c>
      <c r="AR1734" s="93">
        <f>Tab1SDataShiftSummary[[#This Row],[Summary16]]-Tab1SDataShiftSummary[[#This Row],[Summary15]]</f>
        <v>233246.96800000034</v>
      </c>
      <c r="AS1734" s="93">
        <f>Tab1SDataShiftSummary[[#This Row],[Summary17]]-Tab1SDataShiftSummary[[#This Row],[Summary16]]</f>
        <v>0</v>
      </c>
      <c r="AT1734" s="93">
        <f>Tab1SDataShiftSummary[[#This Row],[Summary18]]-Tab1SDataShiftSummary[[#This Row],[Summary17]]</f>
        <v>-774210.96873919852</v>
      </c>
      <c r="AU1734" s="93">
        <f>Tab1SDataShiftSummary[[#This Row],[Summary19]]-Tab1SDataShiftSummary[[#This Row],[Summary18]]</f>
        <v>-88438.542921900749</v>
      </c>
      <c r="AV1734" s="93">
        <f ca="1">Tab1SDataShiftSummary[[#This Row],[Summary20]]-Tab1SDataShiftSummary[[#This Row],[Summary19]]</f>
        <v>0</v>
      </c>
      <c r="AY1734" s="734" t="s">
        <v>1912</v>
      </c>
    </row>
    <row r="1735" spans="1:52">
      <c r="B1735" s="734" t="s">
        <v>2300</v>
      </c>
      <c r="C1735" s="197"/>
      <c r="D1735" s="1206"/>
      <c r="E1735"/>
      <c r="F1735" s="736">
        <v>-3476323.65590209</v>
      </c>
      <c r="G1735" s="736">
        <v>-3476323.65590209</v>
      </c>
      <c r="H1735" s="736">
        <v>-3476289.8671770901</v>
      </c>
      <c r="I1735" s="736">
        <v>-3476289.8671770901</v>
      </c>
      <c r="J1735" s="736">
        <v>-3476289.8671770901</v>
      </c>
      <c r="K1735" s="736">
        <v>-3283893.8489412144</v>
      </c>
      <c r="L1735" s="736">
        <v>-3252393.8489412144</v>
      </c>
      <c r="M1735" s="736">
        <v>-3427376.5149412146</v>
      </c>
      <c r="N1735" s="736">
        <v>-3427376.5149412146</v>
      </c>
      <c r="O1735" s="736">
        <v>-3427376.5149412146</v>
      </c>
      <c r="P1735" s="736">
        <v>-3409818.9009412145</v>
      </c>
      <c r="Q1735" s="736">
        <v>-3409818.9009412145</v>
      </c>
      <c r="R1735" s="736">
        <v>-3535916.7916200142</v>
      </c>
      <c r="S1735" s="736">
        <v>-3355342.6552112144</v>
      </c>
      <c r="T1735" s="736">
        <v>-2925644.9053112147</v>
      </c>
      <c r="U1735" s="736">
        <v>-3265444.6872112146</v>
      </c>
      <c r="V1735" s="736">
        <v>-3123762.0212112144</v>
      </c>
      <c r="W1735" s="736">
        <v>-3123762.0212112144</v>
      </c>
      <c r="X1735" s="736">
        <v>-3229358.9632112142</v>
      </c>
      <c r="Y1735" s="736">
        <v>-3242725.9203153141</v>
      </c>
      <c r="Z1735" s="736">
        <f ca="1">Calc!BE104</f>
        <v>-3242725.9203153141</v>
      </c>
      <c r="AB1735" s="93">
        <f ca="1">Tab1SDataShiftSummary[[#This Row],[Summary0]]-Tab1SDataShiftSummary[[#This Row],[Summary20]]</f>
        <v>-233597.73558677593</v>
      </c>
      <c r="AC1735" s="93">
        <f>Tab1SDataShiftSummary[[#This Row],[Summary1]]-Tab1SDataShiftSummary[[#This Row],[Summary0]]</f>
        <v>0</v>
      </c>
      <c r="AD1735" s="93">
        <f>Tab1SDataShiftSummary[[#This Row],[Summary2]]-Tab1SDataShiftSummary[[#This Row],[Summary1]]</f>
        <v>33.78872499987483</v>
      </c>
      <c r="AE1735" s="93">
        <f>Tab1SDataShiftSummary[[#This Row],[Summary3]]-Tab1SDataShiftSummary[[#This Row],[Summary2]]</f>
        <v>0</v>
      </c>
      <c r="AF1735" s="93">
        <f>Tab1SDataShiftSummary[[#This Row],[Summary4]]-Tab1SDataShiftSummary[[#This Row],[Summary3]]</f>
        <v>0</v>
      </c>
      <c r="AG1735" s="93">
        <f>Tab1SDataShiftSummary[[#This Row],[Summary5]]-Tab1SDataShiftSummary[[#This Row],[Summary4]]</f>
        <v>192396.01823587576</v>
      </c>
      <c r="AH1735" s="93">
        <f>Tab1SDataShiftSummary[[#This Row],[Summary6]]-Tab1SDataShiftSummary[[#This Row],[Summary5]]</f>
        <v>31500</v>
      </c>
      <c r="AI1735" s="93">
        <f>Tab1SDataShiftSummary[[#This Row],[Summary7]]-Tab1SDataShiftSummary[[#This Row],[Summary6]]</f>
        <v>-174982.6660000002</v>
      </c>
      <c r="AJ1735" s="93">
        <f>Tab1SDataShiftSummary[[#This Row],[Summary8]]-Tab1SDataShiftSummary[[#This Row],[Summary7]]</f>
        <v>0</v>
      </c>
      <c r="AK1735" s="93">
        <f>Tab1SDataShiftSummary[[#This Row],[Summary9]]-Tab1SDataShiftSummary[[#This Row],[Summary8]]</f>
        <v>0</v>
      </c>
      <c r="AL1735" s="93">
        <f>Tab1SDataShiftSummary[[#This Row],[Summary10]]-Tab1SDataShiftSummary[[#This Row],[Summary9]]</f>
        <v>17557.61400000006</v>
      </c>
      <c r="AM1735" s="93">
        <f>Tab1SDataShiftSummary[[#This Row],[Summary11]]-Tab1SDataShiftSummary[[#This Row],[Summary10]]</f>
        <v>0</v>
      </c>
      <c r="AN1735" s="93">
        <f>Tab1SDataShiftSummary[[#This Row],[Summary12]]-Tab1SDataShiftSummary[[#This Row],[Summary11]]</f>
        <v>-126097.89067879971</v>
      </c>
      <c r="AO1735" s="93">
        <f>Tab1SDataShiftSummary[[#This Row],[Summary13]]-Tab1SDataShiftSummary[[#This Row],[Summary12]]</f>
        <v>180574.13640879979</v>
      </c>
      <c r="AP1735" s="93">
        <f>Tab1SDataShiftSummary[[#This Row],[Summary14]]-Tab1SDataShiftSummary[[#This Row],[Summary13]]</f>
        <v>429697.7498999997</v>
      </c>
      <c r="AQ1735" s="93">
        <f>Tab1SDataShiftSummary[[#This Row],[Summary15]]-Tab1SDataShiftSummary[[#This Row],[Summary14]]</f>
        <v>-339799.78189999983</v>
      </c>
      <c r="AR1735" s="93">
        <f>Tab1SDataShiftSummary[[#This Row],[Summary16]]-Tab1SDataShiftSummary[[#This Row],[Summary15]]</f>
        <v>141682.6660000002</v>
      </c>
      <c r="AS1735" s="93">
        <f>Tab1SDataShiftSummary[[#This Row],[Summary17]]-Tab1SDataShiftSummary[[#This Row],[Summary16]]</f>
        <v>0</v>
      </c>
      <c r="AT1735" s="93">
        <f>Tab1SDataShiftSummary[[#This Row],[Summary18]]-Tab1SDataShiftSummary[[#This Row],[Summary17]]</f>
        <v>-105596.94199999981</v>
      </c>
      <c r="AU1735" s="93">
        <f>Tab1SDataShiftSummary[[#This Row],[Summary19]]-Tab1SDataShiftSummary[[#This Row],[Summary18]]</f>
        <v>-13366.957104099914</v>
      </c>
      <c r="AV1735" s="93">
        <f ca="1">Tab1SDataShiftSummary[[#This Row],[Summary20]]-Tab1SDataShiftSummary[[#This Row],[Summary19]]</f>
        <v>0</v>
      </c>
      <c r="AY1735" s="734" t="s">
        <v>2300</v>
      </c>
    </row>
    <row r="1736" spans="1:52">
      <c r="B1736" s="734" t="s">
        <v>2132</v>
      </c>
      <c r="C1736"/>
      <c r="D1736" s="694"/>
      <c r="E1736"/>
      <c r="F1736" s="736">
        <v>-1433932.6084637167</v>
      </c>
      <c r="G1736" s="736">
        <v>-1771023.2234637169</v>
      </c>
      <c r="H1736" s="736">
        <v>-1647237.7034637164</v>
      </c>
      <c r="I1736" s="736">
        <v>-1483417.2687637168</v>
      </c>
      <c r="J1736" s="736">
        <v>-1498950.5534637165</v>
      </c>
      <c r="K1736" s="736">
        <v>-1766362.3034637168</v>
      </c>
      <c r="L1736" s="736">
        <v>-1490180.613463717</v>
      </c>
      <c r="M1736" s="736">
        <v>-1361943.4034637171</v>
      </c>
      <c r="N1736" s="736">
        <v>-1358881.4134637169</v>
      </c>
      <c r="O1736" s="736">
        <v>-1398550.803463717</v>
      </c>
      <c r="P1736" s="736">
        <v>-1442952.2234637169</v>
      </c>
      <c r="Q1736" s="736">
        <v>-1377472.0454637171</v>
      </c>
      <c r="R1736" s="736">
        <v>-1356500.4304637169</v>
      </c>
      <c r="S1736" s="736">
        <v>-1604038.0034637167</v>
      </c>
      <c r="T1736" s="736">
        <v>-1892281.6434637171</v>
      </c>
      <c r="U1736" s="736">
        <v>-1576212.7234637169</v>
      </c>
      <c r="V1736" s="736">
        <v>-1796837.4134637169</v>
      </c>
      <c r="W1736" s="736">
        <v>-1796937.4134637169</v>
      </c>
      <c r="X1736" s="736">
        <v>-1726672.1034637168</v>
      </c>
      <c r="Y1736" s="736">
        <v>-1710128.5149637167</v>
      </c>
      <c r="Z1736" s="736">
        <f ca="1">Calc!BF104</f>
        <v>-1709413.4849637169</v>
      </c>
      <c r="AB1736" s="93">
        <f ca="1">Tab1SDataShiftSummary[[#This Row],[Summary0]]-Tab1SDataShiftSummary[[#This Row],[Summary20]]</f>
        <v>275480.87650000025</v>
      </c>
      <c r="AC1736" s="93">
        <f>Tab1SDataShiftSummary[[#This Row],[Summary1]]-Tab1SDataShiftSummary[[#This Row],[Summary0]]</f>
        <v>-337090.61500000022</v>
      </c>
      <c r="AD1736" s="93">
        <f>Tab1SDataShiftSummary[[#This Row],[Summary2]]-Tab1SDataShiftSummary[[#This Row],[Summary1]]</f>
        <v>123785.52000000048</v>
      </c>
      <c r="AE1736" s="93">
        <f>Tab1SDataShiftSummary[[#This Row],[Summary3]]-Tab1SDataShiftSummary[[#This Row],[Summary2]]</f>
        <v>163820.43469999963</v>
      </c>
      <c r="AF1736" s="93">
        <f>Tab1SDataShiftSummary[[#This Row],[Summary4]]-Tab1SDataShiftSummary[[#This Row],[Summary3]]</f>
        <v>-15533.284699999727</v>
      </c>
      <c r="AG1736" s="93">
        <f>Tab1SDataShiftSummary[[#This Row],[Summary5]]-Tab1SDataShiftSummary[[#This Row],[Summary4]]</f>
        <v>-267411.75000000023</v>
      </c>
      <c r="AH1736" s="93">
        <f>Tab1SDataShiftSummary[[#This Row],[Summary6]]-Tab1SDataShiftSummary[[#This Row],[Summary5]]</f>
        <v>276181.68999999971</v>
      </c>
      <c r="AI1736" s="93">
        <f>Tab1SDataShiftSummary[[#This Row],[Summary7]]-Tab1SDataShiftSummary[[#This Row],[Summary6]]</f>
        <v>128237.20999999996</v>
      </c>
      <c r="AJ1736" s="93">
        <f>Tab1SDataShiftSummary[[#This Row],[Summary8]]-Tab1SDataShiftSummary[[#This Row],[Summary7]]</f>
        <v>3061.9900000002235</v>
      </c>
      <c r="AK1736" s="93">
        <f>Tab1SDataShiftSummary[[#This Row],[Summary9]]-Tab1SDataShiftSummary[[#This Row],[Summary8]]</f>
        <v>-39669.39000000013</v>
      </c>
      <c r="AL1736" s="93">
        <f>Tab1SDataShiftSummary[[#This Row],[Summary10]]-Tab1SDataShiftSummary[[#This Row],[Summary9]]</f>
        <v>-44401.419999999925</v>
      </c>
      <c r="AM1736" s="93">
        <f>Tab1SDataShiftSummary[[#This Row],[Summary11]]-Tab1SDataShiftSummary[[#This Row],[Summary10]]</f>
        <v>65480.17799999984</v>
      </c>
      <c r="AN1736" s="93">
        <f>Tab1SDataShiftSummary[[#This Row],[Summary12]]-Tab1SDataShiftSummary[[#This Row],[Summary11]]</f>
        <v>20971.615000000224</v>
      </c>
      <c r="AO1736" s="93">
        <f>Tab1SDataShiftSummary[[#This Row],[Summary13]]-Tab1SDataShiftSummary[[#This Row],[Summary12]]</f>
        <v>-247537.57299999986</v>
      </c>
      <c r="AP1736" s="93">
        <f>Tab1SDataShiftSummary[[#This Row],[Summary14]]-Tab1SDataShiftSummary[[#This Row],[Summary13]]</f>
        <v>-288243.64000000036</v>
      </c>
      <c r="AQ1736" s="93">
        <f>Tab1SDataShiftSummary[[#This Row],[Summary15]]-Tab1SDataShiftSummary[[#This Row],[Summary14]]</f>
        <v>316068.92000000016</v>
      </c>
      <c r="AR1736" s="93">
        <f>Tab1SDataShiftSummary[[#This Row],[Summary16]]-Tab1SDataShiftSummary[[#This Row],[Summary15]]</f>
        <v>-220624.68999999994</v>
      </c>
      <c r="AS1736" s="93">
        <f>Tab1SDataShiftSummary[[#This Row],[Summary17]]-Tab1SDataShiftSummary[[#This Row],[Summary16]]</f>
        <v>-100</v>
      </c>
      <c r="AT1736" s="93">
        <f>Tab1SDataShiftSummary[[#This Row],[Summary18]]-Tab1SDataShiftSummary[[#This Row],[Summary17]]</f>
        <v>70265.310000000056</v>
      </c>
      <c r="AU1736" s="93">
        <f>Tab1SDataShiftSummary[[#This Row],[Summary19]]-Tab1SDataShiftSummary[[#This Row],[Summary18]]</f>
        <v>16543.588500000071</v>
      </c>
      <c r="AV1736" s="93">
        <f ca="1">Tab1SDataShiftSummary[[#This Row],[Summary20]]-Tab1SDataShiftSummary[[#This Row],[Summary19]]</f>
        <v>715.02999999979511</v>
      </c>
      <c r="AY1736" s="734" t="s">
        <v>2132</v>
      </c>
      <c r="AZ1736" t="s">
        <v>2129</v>
      </c>
    </row>
    <row r="1737" spans="1:52">
      <c r="B1737" s="734" t="s">
        <v>1914</v>
      </c>
      <c r="C1737"/>
      <c r="D1737" s="694"/>
      <c r="E1737"/>
      <c r="F1737" s="736">
        <v>-17971991.005820561</v>
      </c>
      <c r="G1737" s="736">
        <v>-17971991.005820561</v>
      </c>
      <c r="H1737" s="736">
        <v>-17614905.007045563</v>
      </c>
      <c r="I1737" s="736">
        <v>-16962051.441892061</v>
      </c>
      <c r="J1737" s="736">
        <v>-17268031.305345561</v>
      </c>
      <c r="K1737" s="736">
        <v>-17016416.834233869</v>
      </c>
      <c r="L1737" s="736">
        <v>-17016416.834233869</v>
      </c>
      <c r="M1737" s="736">
        <v>-17303140.382233873</v>
      </c>
      <c r="N1737" s="736">
        <v>-17303140.382233873</v>
      </c>
      <c r="O1737" s="736">
        <v>-17303140.382233873</v>
      </c>
      <c r="P1737" s="736">
        <v>-17259151.307233874</v>
      </c>
      <c r="Q1737" s="736">
        <v>-17259151.307233874</v>
      </c>
      <c r="R1737" s="736">
        <v>-17885135.681733966</v>
      </c>
      <c r="S1737" s="736">
        <v>-17259151.307233874</v>
      </c>
      <c r="T1737" s="736">
        <v>-16550171.852925073</v>
      </c>
      <c r="U1737" s="736">
        <v>-17169019.604517072</v>
      </c>
      <c r="V1737" s="736">
        <v>-16915682.63651707</v>
      </c>
      <c r="W1737" s="736">
        <v>-16915682.63651707</v>
      </c>
      <c r="X1737" s="736">
        <v>-17690143.605256271</v>
      </c>
      <c r="Y1737" s="736">
        <v>-17782125.569678172</v>
      </c>
      <c r="Z1737" s="736">
        <f ca="1">Calc!BG104</f>
        <v>-17782125.569678172</v>
      </c>
      <c r="AB1737" s="93">
        <f ca="1">Tab1SDataShiftSummary[[#This Row],[Summary0]]-Tab1SDataShiftSummary[[#This Row],[Summary20]]</f>
        <v>-189865.43614238873</v>
      </c>
      <c r="AC1737" s="93">
        <f>Tab1SDataShiftSummary[[#This Row],[Summary1]]-Tab1SDataShiftSummary[[#This Row],[Summary0]]</f>
        <v>0</v>
      </c>
      <c r="AD1737" s="93">
        <f>Tab1SDataShiftSummary[[#This Row],[Summary2]]-Tab1SDataShiftSummary[[#This Row],[Summary1]]</f>
        <v>357085.99877499789</v>
      </c>
      <c r="AE1737" s="93">
        <f>Tab1SDataShiftSummary[[#This Row],[Summary3]]-Tab1SDataShiftSummary[[#This Row],[Summary2]]</f>
        <v>652853.56515350193</v>
      </c>
      <c r="AF1737" s="93">
        <f>Tab1SDataShiftSummary[[#This Row],[Summary4]]-Tab1SDataShiftSummary[[#This Row],[Summary3]]</f>
        <v>-305979.86345349997</v>
      </c>
      <c r="AG1737" s="93">
        <f>Tab1SDataShiftSummary[[#This Row],[Summary5]]-Tab1SDataShiftSummary[[#This Row],[Summary4]]</f>
        <v>251614.47111169249</v>
      </c>
      <c r="AH1737" s="93">
        <f>Tab1SDataShiftSummary[[#This Row],[Summary6]]-Tab1SDataShiftSummary[[#This Row],[Summary5]]</f>
        <v>0</v>
      </c>
      <c r="AI1737" s="93">
        <f>Tab1SDataShiftSummary[[#This Row],[Summary7]]-Tab1SDataShiftSummary[[#This Row],[Summary6]]</f>
        <v>-286723.54800000414</v>
      </c>
      <c r="AJ1737" s="93">
        <f>Tab1SDataShiftSummary[[#This Row],[Summary8]]-Tab1SDataShiftSummary[[#This Row],[Summary7]]</f>
        <v>0</v>
      </c>
      <c r="AK1737" s="93">
        <f>Tab1SDataShiftSummary[[#This Row],[Summary9]]-Tab1SDataShiftSummary[[#This Row],[Summary8]]</f>
        <v>0</v>
      </c>
      <c r="AL1737" s="93">
        <f>Tab1SDataShiftSummary[[#This Row],[Summary10]]-Tab1SDataShiftSummary[[#This Row],[Summary9]]</f>
        <v>43989.074999999255</v>
      </c>
      <c r="AM1737" s="93">
        <f>Tab1SDataShiftSummary[[#This Row],[Summary11]]-Tab1SDataShiftSummary[[#This Row],[Summary10]]</f>
        <v>0</v>
      </c>
      <c r="AN1737" s="93">
        <f>Tab1SDataShiftSummary[[#This Row],[Summary12]]-Tab1SDataShiftSummary[[#This Row],[Summary11]]</f>
        <v>-625984.37450009212</v>
      </c>
      <c r="AO1737" s="93">
        <f>Tab1SDataShiftSummary[[#This Row],[Summary13]]-Tab1SDataShiftSummary[[#This Row],[Summary12]]</f>
        <v>625984.37450009212</v>
      </c>
      <c r="AP1737" s="93">
        <f>Tab1SDataShiftSummary[[#This Row],[Summary14]]-Tab1SDataShiftSummary[[#This Row],[Summary13]]</f>
        <v>708979.4543088004</v>
      </c>
      <c r="AQ1737" s="93">
        <f>Tab1SDataShiftSummary[[#This Row],[Summary15]]-Tab1SDataShiftSummary[[#This Row],[Summary14]]</f>
        <v>-618847.75159199908</v>
      </c>
      <c r="AR1737" s="93">
        <f>Tab1SDataShiftSummary[[#This Row],[Summary16]]-Tab1SDataShiftSummary[[#This Row],[Summary15]]</f>
        <v>253336.96800000221</v>
      </c>
      <c r="AS1737" s="93">
        <f>Tab1SDataShiftSummary[[#This Row],[Summary17]]-Tab1SDataShiftSummary[[#This Row],[Summary16]]</f>
        <v>0</v>
      </c>
      <c r="AT1737" s="93">
        <f>Tab1SDataShiftSummary[[#This Row],[Summary18]]-Tab1SDataShiftSummary[[#This Row],[Summary17]]</f>
        <v>-774460.96873920038</v>
      </c>
      <c r="AU1737" s="93">
        <f>Tab1SDataShiftSummary[[#This Row],[Summary19]]-Tab1SDataShiftSummary[[#This Row],[Summary18]]</f>
        <v>-91981.964421901852</v>
      </c>
      <c r="AV1737" s="93">
        <f ca="1">Tab1SDataShiftSummary[[#This Row],[Summary20]]-Tab1SDataShiftSummary[[#This Row],[Summary19]]</f>
        <v>0</v>
      </c>
      <c r="AY1737" s="734" t="s">
        <v>1914</v>
      </c>
    </row>
    <row r="1738" spans="1:52">
      <c r="B1738" s="735" t="s">
        <v>2292</v>
      </c>
      <c r="C1738"/>
      <c r="E1738"/>
      <c r="F1738" s="736">
        <v>-10428675.795337716</v>
      </c>
      <c r="G1738" s="736">
        <v>-10428675.795337716</v>
      </c>
      <c r="H1738" s="736">
        <v>-10132218.285337716</v>
      </c>
      <c r="I1738" s="736">
        <v>-10095157.429737717</v>
      </c>
      <c r="J1738" s="736">
        <v>-10101525.665337717</v>
      </c>
      <c r="K1738" s="736">
        <v>-9889540.7653377168</v>
      </c>
      <c r="L1738" s="736">
        <v>-9858040.7653377168</v>
      </c>
      <c r="M1738" s="736">
        <v>-10053165.665337717</v>
      </c>
      <c r="N1738" s="736">
        <v>-10053165.665337717</v>
      </c>
      <c r="O1738" s="736">
        <v>-10053165.665337717</v>
      </c>
      <c r="P1738" s="736">
        <v>-10009290.665337717</v>
      </c>
      <c r="Q1738" s="736">
        <v>-10009290.665337717</v>
      </c>
      <c r="R1738" s="736">
        <v>-10278781.701144718</v>
      </c>
      <c r="S1738" s="736">
        <v>-9936020.6653377172</v>
      </c>
      <c r="T1738" s="736">
        <v>-9427984.7773377169</v>
      </c>
      <c r="U1738" s="736">
        <v>-9810062.6973377168</v>
      </c>
      <c r="V1738" s="736">
        <v>-9648237.7973377164</v>
      </c>
      <c r="W1738" s="736">
        <v>-9648237.7973377164</v>
      </c>
      <c r="X1738" s="736">
        <v>-9754085.3893377166</v>
      </c>
      <c r="Y1738" s="736">
        <v>-9771004.9808377158</v>
      </c>
      <c r="Z1738" s="736">
        <f ca="1">Calc!BH104</f>
        <v>-9771004.9808377158</v>
      </c>
      <c r="AB1738" s="93">
        <f ca="1">Tab1SDataShiftSummary[[#This Row],[Summary0]]-Tab1SDataShiftSummary[[#This Row],[Summary20]]</f>
        <v>-657670.81450000033</v>
      </c>
      <c r="AC1738" s="93">
        <f>Tab1SDataShiftSummary[[#This Row],[Summary1]]-Tab1SDataShiftSummary[[#This Row],[Summary0]]</f>
        <v>0</v>
      </c>
      <c r="AD1738" s="93">
        <f>Tab1SDataShiftSummary[[#This Row],[Summary2]]-Tab1SDataShiftSummary[[#This Row],[Summary1]]</f>
        <v>296457.50999999978</v>
      </c>
      <c r="AE1738" s="93">
        <f>Tab1SDataShiftSummary[[#This Row],[Summary3]]-Tab1SDataShiftSummary[[#This Row],[Summary2]]</f>
        <v>37060.855599999428</v>
      </c>
      <c r="AF1738" s="93">
        <f>Tab1SDataShiftSummary[[#This Row],[Summary4]]-Tab1SDataShiftSummary[[#This Row],[Summary3]]</f>
        <v>-6368.2356000002474</v>
      </c>
      <c r="AG1738" s="93">
        <f>Tab1SDataShiftSummary[[#This Row],[Summary5]]-Tab1SDataShiftSummary[[#This Row],[Summary4]]</f>
        <v>211984.90000000037</v>
      </c>
      <c r="AH1738" s="93">
        <f>Tab1SDataShiftSummary[[#This Row],[Summary6]]-Tab1SDataShiftSummary[[#This Row],[Summary5]]</f>
        <v>31500</v>
      </c>
      <c r="AI1738" s="93">
        <f>Tab1SDataShiftSummary[[#This Row],[Summary7]]-Tab1SDataShiftSummary[[#This Row],[Summary6]]</f>
        <v>-195124.90000000037</v>
      </c>
      <c r="AJ1738" s="93">
        <f>Tab1SDataShiftSummary[[#This Row],[Summary8]]-Tab1SDataShiftSummary[[#This Row],[Summary7]]</f>
        <v>0</v>
      </c>
      <c r="AK1738" s="93">
        <f>Tab1SDataShiftSummary[[#This Row],[Summary9]]-Tab1SDataShiftSummary[[#This Row],[Summary8]]</f>
        <v>0</v>
      </c>
      <c r="AL1738" s="93">
        <f>Tab1SDataShiftSummary[[#This Row],[Summary10]]-Tab1SDataShiftSummary[[#This Row],[Summary9]]</f>
        <v>43875</v>
      </c>
      <c r="AM1738" s="93">
        <f>Tab1SDataShiftSummary[[#This Row],[Summary11]]-Tab1SDataShiftSummary[[#This Row],[Summary10]]</f>
        <v>0</v>
      </c>
      <c r="AN1738" s="93">
        <f>Tab1SDataShiftSummary[[#This Row],[Summary12]]-Tab1SDataShiftSummary[[#This Row],[Summary11]]</f>
        <v>-269491.03580700047</v>
      </c>
      <c r="AO1738" s="93">
        <f>Tab1SDataShiftSummary[[#This Row],[Summary13]]-Tab1SDataShiftSummary[[#This Row],[Summary12]]</f>
        <v>342761.03580700047</v>
      </c>
      <c r="AP1738" s="93">
        <f>Tab1SDataShiftSummary[[#This Row],[Summary14]]-Tab1SDataShiftSummary[[#This Row],[Summary13]]</f>
        <v>508035.88800000027</v>
      </c>
      <c r="AQ1738" s="93">
        <f>Tab1SDataShiftSummary[[#This Row],[Summary15]]-Tab1SDataShiftSummary[[#This Row],[Summary14]]</f>
        <v>-382077.91999999993</v>
      </c>
      <c r="AR1738" s="93">
        <f>Tab1SDataShiftSummary[[#This Row],[Summary16]]-Tab1SDataShiftSummary[[#This Row],[Summary15]]</f>
        <v>161824.90000000037</v>
      </c>
      <c r="AS1738" s="93">
        <f>Tab1SDataShiftSummary[[#This Row],[Summary17]]-Tab1SDataShiftSummary[[#This Row],[Summary16]]</f>
        <v>0</v>
      </c>
      <c r="AT1738" s="93">
        <f>Tab1SDataShiftSummary[[#This Row],[Summary18]]-Tab1SDataShiftSummary[[#This Row],[Summary17]]</f>
        <v>-105847.59200000018</v>
      </c>
      <c r="AU1738" s="93">
        <f>Tab1SDataShiftSummary[[#This Row],[Summary19]]-Tab1SDataShiftSummary[[#This Row],[Summary18]]</f>
        <v>-16919.591499999166</v>
      </c>
      <c r="AV1738" s="93">
        <f ca="1">Tab1SDataShiftSummary[[#This Row],[Summary20]]-Tab1SDataShiftSummary[[#This Row],[Summary19]]</f>
        <v>0</v>
      </c>
      <c r="AY1738" s="735" t="s">
        <v>2292</v>
      </c>
    </row>
    <row r="1739" spans="1:52">
      <c r="B1739" s="734" t="s">
        <v>1913</v>
      </c>
      <c r="C1739"/>
      <c r="E1739"/>
      <c r="F1739" s="736">
        <v>7479751.0346055003</v>
      </c>
      <c r="G1739" s="736">
        <v>7479751.0346055003</v>
      </c>
      <c r="H1739" s="736">
        <v>7420162.3796055</v>
      </c>
      <c r="I1739" s="736">
        <v>6807533.14542</v>
      </c>
      <c r="J1739" s="736">
        <v>7105634.6097555002</v>
      </c>
      <c r="K1739" s="736">
        <v>7064332.972693719</v>
      </c>
      <c r="L1739" s="736">
        <v>7095751.0726937195</v>
      </c>
      <c r="M1739" s="736">
        <v>7186369.9494337197</v>
      </c>
      <c r="N1739" s="736">
        <v>7186369.9494337197</v>
      </c>
      <c r="O1739" s="736">
        <v>7186369.9494337197</v>
      </c>
      <c r="P1739" s="736">
        <v>7186369.9494337197</v>
      </c>
      <c r="Q1739" s="736">
        <v>7186369.9494337197</v>
      </c>
      <c r="R1739" s="736">
        <v>7540317.2874337193</v>
      </c>
      <c r="S1739" s="736">
        <v>7259449.4474337194</v>
      </c>
      <c r="T1739" s="736">
        <v>7060862.1204337198</v>
      </c>
      <c r="U1739" s="736">
        <v>7295415.6914337194</v>
      </c>
      <c r="V1739" s="736">
        <v>7204796.8146937191</v>
      </c>
      <c r="W1739" s="736">
        <v>7204796.8146937191</v>
      </c>
      <c r="X1739" s="736">
        <v>7869668.6416937178</v>
      </c>
      <c r="Y1739" s="736">
        <v>7944297.9397097183</v>
      </c>
      <c r="Z1739" s="736">
        <f ca="1">Calc!BI104</f>
        <v>7944297.9397097183</v>
      </c>
      <c r="AB1739" s="93">
        <f ca="1">Tab1SDataShiftSummary[[#This Row],[Summary0]]-Tab1SDataShiftSummary[[#This Row],[Summary20]]</f>
        <v>-464546.90510421805</v>
      </c>
      <c r="AC1739" s="93">
        <f>Tab1SDataShiftSummary[[#This Row],[Summary1]]-Tab1SDataShiftSummary[[#This Row],[Summary0]]</f>
        <v>0</v>
      </c>
      <c r="AD1739" s="93">
        <f>Tab1SDataShiftSummary[[#This Row],[Summary2]]-Tab1SDataShiftSummary[[#This Row],[Summary1]]</f>
        <v>-59588.655000000261</v>
      </c>
      <c r="AE1739" s="93">
        <f>Tab1SDataShiftSummary[[#This Row],[Summary3]]-Tab1SDataShiftSummary[[#This Row],[Summary2]]</f>
        <v>-612629.23418550007</v>
      </c>
      <c r="AF1739" s="93">
        <f>Tab1SDataShiftSummary[[#This Row],[Summary4]]-Tab1SDataShiftSummary[[#This Row],[Summary3]]</f>
        <v>298101.46433550026</v>
      </c>
      <c r="AG1739" s="93">
        <f>Tab1SDataShiftSummary[[#This Row],[Summary5]]-Tab1SDataShiftSummary[[#This Row],[Summary4]]</f>
        <v>-41301.63706178125</v>
      </c>
      <c r="AH1739" s="93">
        <f>Tab1SDataShiftSummary[[#This Row],[Summary6]]-Tab1SDataShiftSummary[[#This Row],[Summary5]]</f>
        <v>31418.100000000559</v>
      </c>
      <c r="AI1739" s="93">
        <f>Tab1SDataShiftSummary[[#This Row],[Summary7]]-Tab1SDataShiftSummary[[#This Row],[Summary6]]</f>
        <v>90618.876740000211</v>
      </c>
      <c r="AJ1739" s="93">
        <f>Tab1SDataShiftSummary[[#This Row],[Summary8]]-Tab1SDataShiftSummary[[#This Row],[Summary7]]</f>
        <v>0</v>
      </c>
      <c r="AK1739" s="93">
        <f>Tab1SDataShiftSummary[[#This Row],[Summary9]]-Tab1SDataShiftSummary[[#This Row],[Summary8]]</f>
        <v>0</v>
      </c>
      <c r="AL1739" s="93">
        <f>Tab1SDataShiftSummary[[#This Row],[Summary10]]-Tab1SDataShiftSummary[[#This Row],[Summary9]]</f>
        <v>0</v>
      </c>
      <c r="AM1739" s="93">
        <f>Tab1SDataShiftSummary[[#This Row],[Summary11]]-Tab1SDataShiftSummary[[#This Row],[Summary10]]</f>
        <v>0</v>
      </c>
      <c r="AN1739" s="93">
        <f>Tab1SDataShiftSummary[[#This Row],[Summary12]]-Tab1SDataShiftSummary[[#This Row],[Summary11]]</f>
        <v>353947.33799999952</v>
      </c>
      <c r="AO1739" s="93">
        <f>Tab1SDataShiftSummary[[#This Row],[Summary13]]-Tab1SDataShiftSummary[[#This Row],[Summary12]]</f>
        <v>-280867.83999999985</v>
      </c>
      <c r="AP1739" s="93">
        <f>Tab1SDataShiftSummary[[#This Row],[Summary14]]-Tab1SDataShiftSummary[[#This Row],[Summary13]]</f>
        <v>-198587.32699999958</v>
      </c>
      <c r="AQ1739" s="93">
        <f>Tab1SDataShiftSummary[[#This Row],[Summary15]]-Tab1SDataShiftSummary[[#This Row],[Summary14]]</f>
        <v>234553.57099999953</v>
      </c>
      <c r="AR1739" s="93">
        <f>Tab1SDataShiftSummary[[#This Row],[Summary16]]-Tab1SDataShiftSummary[[#This Row],[Summary15]]</f>
        <v>-90618.876740000211</v>
      </c>
      <c r="AS1739" s="93">
        <v>0</v>
      </c>
      <c r="AT1739" s="93">
        <v>0</v>
      </c>
      <c r="AU1739" s="93">
        <v>315316.06000000052</v>
      </c>
      <c r="AV1739" s="93">
        <f ca="1">Tab1SDataShiftSummary[[#This Row],[Summary20]]-Tab1SDataShiftSummary[[#This Row],[Summary19]]</f>
        <v>0</v>
      </c>
      <c r="AY1739" s="734" t="s">
        <v>1913</v>
      </c>
    </row>
    <row r="1740" spans="1:52">
      <c r="B1740" s="735" t="s">
        <v>976</v>
      </c>
      <c r="C1740"/>
      <c r="E1740"/>
      <c r="F1740" s="736">
        <v>-4401687.7503377162</v>
      </c>
      <c r="G1740" s="736">
        <v>-4738778.3653377173</v>
      </c>
      <c r="H1740" s="736">
        <v>-4614219.8453377169</v>
      </c>
      <c r="I1740" s="736">
        <v>-4603138.4097377174</v>
      </c>
      <c r="J1740" s="736">
        <v>-4526380.0753377173</v>
      </c>
      <c r="K1740" s="736">
        <v>-4601896.9253377169</v>
      </c>
      <c r="L1740" s="736">
        <v>-4294215.2353377165</v>
      </c>
      <c r="M1740" s="736">
        <v>-4341012.925337716</v>
      </c>
      <c r="N1740" s="736">
        <v>-4337950.9353377158</v>
      </c>
      <c r="O1740" s="736">
        <v>-4377620.3253377173</v>
      </c>
      <c r="P1740" s="736">
        <v>-4378146.7453377172</v>
      </c>
      <c r="Q1740" s="736">
        <v>-4312666.567337716</v>
      </c>
      <c r="R1740" s="736">
        <v>-4399419.6811447162</v>
      </c>
      <c r="S1740" s="736">
        <v>-4465962.5253377166</v>
      </c>
      <c r="T1740" s="736">
        <v>-4288338.777337716</v>
      </c>
      <c r="U1740" s="736">
        <v>-4312179.277337716</v>
      </c>
      <c r="V1740" s="736">
        <v>-4391069.067337716</v>
      </c>
      <c r="W1740" s="736">
        <v>-4391169.067337716</v>
      </c>
      <c r="X1740" s="736">
        <v>-4426501.3493377166</v>
      </c>
      <c r="Y1740" s="736">
        <v>-4423333.9308377169</v>
      </c>
      <c r="Z1740" s="736">
        <f ca="1">Calc!BJ104</f>
        <v>-4422618.9008377166</v>
      </c>
      <c r="AB1740" s="93">
        <f ca="1">Tab1SDataShiftSummary[[#This Row],[Summary0]]-Tab1SDataShiftSummary[[#This Row],[Summary20]]</f>
        <v>20931.150500000454</v>
      </c>
      <c r="AC1740" s="93">
        <f>Tab1SDataShiftSummary[[#This Row],[Summary1]]-Tab1SDataShiftSummary[[#This Row],[Summary0]]</f>
        <v>-337090.61500000115</v>
      </c>
      <c r="AD1740" s="93">
        <f>Tab1SDataShiftSummary[[#This Row],[Summary2]]-Tab1SDataShiftSummary[[#This Row],[Summary1]]</f>
        <v>124558.52000000048</v>
      </c>
      <c r="AE1740" s="93">
        <f>Tab1SDataShiftSummary[[#This Row],[Summary3]]-Tab1SDataShiftSummary[[#This Row],[Summary2]]</f>
        <v>11081.435599999502</v>
      </c>
      <c r="AF1740" s="93">
        <f>Tab1SDataShiftSummary[[#This Row],[Summary4]]-Tab1SDataShiftSummary[[#This Row],[Summary3]]</f>
        <v>76758.334400000051</v>
      </c>
      <c r="AG1740" s="93">
        <f>Tab1SDataShiftSummary[[#This Row],[Summary5]]-Tab1SDataShiftSummary[[#This Row],[Summary4]]</f>
        <v>-75516.849999999627</v>
      </c>
      <c r="AH1740" s="93">
        <f>Tab1SDataShiftSummary[[#This Row],[Summary6]]-Tab1SDataShiftSummary[[#This Row],[Summary5]]</f>
        <v>307681.69000000041</v>
      </c>
      <c r="AI1740" s="93">
        <f>Tab1SDataShiftSummary[[#This Row],[Summary7]]-Tab1SDataShiftSummary[[#This Row],[Summary6]]</f>
        <v>-46797.689999999478</v>
      </c>
      <c r="AJ1740" s="93">
        <f>Tab1SDataShiftSummary[[#This Row],[Summary8]]-Tab1SDataShiftSummary[[#This Row],[Summary7]]</f>
        <v>3061.9900000002235</v>
      </c>
      <c r="AK1740" s="93">
        <f>Tab1SDataShiftSummary[[#This Row],[Summary9]]-Tab1SDataShiftSummary[[#This Row],[Summary8]]</f>
        <v>-39669.390000001527</v>
      </c>
      <c r="AL1740" s="93">
        <f>Tab1SDataShiftSummary[[#This Row],[Summary10]]-Tab1SDataShiftSummary[[#This Row],[Summary9]]</f>
        <v>-526.41999999992549</v>
      </c>
      <c r="AM1740" s="93">
        <f>Tab1SDataShiftSummary[[#This Row],[Summary11]]-Tab1SDataShiftSummary[[#This Row],[Summary10]]</f>
        <v>65480.178000001237</v>
      </c>
      <c r="AN1740" s="93">
        <f>Tab1SDataShiftSummary[[#This Row],[Summary12]]-Tab1SDataShiftSummary[[#This Row],[Summary11]]</f>
        <v>-86753.11380700022</v>
      </c>
      <c r="AO1740" s="93">
        <f>Tab1SDataShiftSummary[[#This Row],[Summary13]]-Tab1SDataShiftSummary[[#This Row],[Summary12]]</f>
        <v>-66542.844193000346</v>
      </c>
      <c r="AP1740" s="93">
        <f>Tab1SDataShiftSummary[[#This Row],[Summary14]]-Tab1SDataShiftSummary[[#This Row],[Summary13]]</f>
        <v>177623.7480000006</v>
      </c>
      <c r="AQ1740" s="93">
        <f>Tab1SDataShiftSummary[[#This Row],[Summary15]]-Tab1SDataShiftSummary[[#This Row],[Summary14]]</f>
        <v>-23840.5</v>
      </c>
      <c r="AR1740" s="93">
        <f>Tab1SDataShiftSummary[[#This Row],[Summary16]]-Tab1SDataShiftSummary[[#This Row],[Summary15]]</f>
        <v>-78889.790000000037</v>
      </c>
      <c r="AS1740" s="93">
        <f>Tab1SDataShiftSummary[[#This Row],[Summary17]]-Tab1SDataShiftSummary[[#This Row],[Summary16]]</f>
        <v>-100</v>
      </c>
      <c r="AT1740" s="93">
        <f>Tab1SDataShiftSummary[[#This Row],[Summary18]]-Tab1SDataShiftSummary[[#This Row],[Summary17]]</f>
        <v>-35332.282000000589</v>
      </c>
      <c r="AU1740" s="93">
        <f>Tab1SDataShiftSummary[[#This Row],[Summary19]]-Tab1SDataShiftSummary[[#This Row],[Summary18]]</f>
        <v>3167.4184999996796</v>
      </c>
      <c r="AV1740" s="93">
        <f ca="1">Tab1SDataShiftSummary[[#This Row],[Summary20]]-Tab1SDataShiftSummary[[#This Row],[Summary19]]</f>
        <v>715.03000000026077</v>
      </c>
      <c r="AY1740" s="735" t="s">
        <v>976</v>
      </c>
    </row>
    <row r="1741" spans="1:52">
      <c r="B1741" s="734" t="s">
        <v>2297</v>
      </c>
      <c r="C1741"/>
      <c r="E1741"/>
      <c r="F1741" s="736">
        <v>0</v>
      </c>
      <c r="G1741" s="736">
        <v>0</v>
      </c>
      <c r="H1741" s="736">
        <v>0</v>
      </c>
      <c r="I1741" s="736">
        <v>0</v>
      </c>
      <c r="J1741" s="736">
        <v>0</v>
      </c>
      <c r="K1741" s="736">
        <v>0</v>
      </c>
      <c r="L1741" s="736">
        <v>0</v>
      </c>
      <c r="M1741" s="736">
        <v>0</v>
      </c>
      <c r="N1741" s="736">
        <v>0</v>
      </c>
      <c r="O1741" s="736">
        <v>0</v>
      </c>
      <c r="P1741" s="736">
        <v>0</v>
      </c>
      <c r="Q1741" s="736">
        <v>0</v>
      </c>
      <c r="R1741" s="736">
        <v>0</v>
      </c>
      <c r="S1741" s="736">
        <v>0</v>
      </c>
      <c r="T1741" s="736">
        <v>0</v>
      </c>
      <c r="U1741" s="736">
        <v>-28648.984799999995</v>
      </c>
      <c r="V1741" s="736">
        <v>-28648.984799999995</v>
      </c>
      <c r="W1741" s="736">
        <v>-28648.984799999995</v>
      </c>
      <c r="X1741" s="736">
        <v>-28648.984799999995</v>
      </c>
      <c r="Y1741" s="736">
        <v>-28648.984799999995</v>
      </c>
      <c r="Z1741" s="736">
        <f ca="1">Calc!BK104</f>
        <v>-28648.984799999995</v>
      </c>
      <c r="AB1741" s="93">
        <f ca="1">Tab1SDataShiftSummary[[#This Row],[Summary0]]-Tab1SDataShiftSummary[[#This Row],[Summary20]]</f>
        <v>28648.984799999995</v>
      </c>
      <c r="AC1741" s="93">
        <f>Tab1SDataShiftSummary[[#This Row],[Summary1]]-Tab1SDataShiftSummary[[#This Row],[Summary0]]</f>
        <v>0</v>
      </c>
      <c r="AD1741" s="93">
        <f>Tab1SDataShiftSummary[[#This Row],[Summary2]]-Tab1SDataShiftSummary[[#This Row],[Summary1]]</f>
        <v>0</v>
      </c>
      <c r="AE1741" s="93">
        <f>Tab1SDataShiftSummary[[#This Row],[Summary3]]-Tab1SDataShiftSummary[[#This Row],[Summary2]]</f>
        <v>0</v>
      </c>
      <c r="AF1741" s="93">
        <f>Tab1SDataShiftSummary[[#This Row],[Summary4]]-Tab1SDataShiftSummary[[#This Row],[Summary3]]</f>
        <v>0</v>
      </c>
      <c r="AG1741" s="93">
        <f>Tab1SDataShiftSummary[[#This Row],[Summary5]]-Tab1SDataShiftSummary[[#This Row],[Summary4]]</f>
        <v>0</v>
      </c>
      <c r="AH1741" s="93">
        <f>Tab1SDataShiftSummary[[#This Row],[Summary6]]-Tab1SDataShiftSummary[[#This Row],[Summary5]]</f>
        <v>0</v>
      </c>
      <c r="AI1741" s="93">
        <f>Tab1SDataShiftSummary[[#This Row],[Summary7]]-Tab1SDataShiftSummary[[#This Row],[Summary6]]</f>
        <v>0</v>
      </c>
      <c r="AJ1741" s="93">
        <f>Tab1SDataShiftSummary[[#This Row],[Summary8]]-Tab1SDataShiftSummary[[#This Row],[Summary7]]</f>
        <v>0</v>
      </c>
      <c r="AK1741" s="93">
        <f>Tab1SDataShiftSummary[[#This Row],[Summary9]]-Tab1SDataShiftSummary[[#This Row],[Summary8]]</f>
        <v>0</v>
      </c>
      <c r="AL1741" s="93">
        <f>Tab1SDataShiftSummary[[#This Row],[Summary10]]-Tab1SDataShiftSummary[[#This Row],[Summary9]]</f>
        <v>0</v>
      </c>
      <c r="AM1741" s="93">
        <f>Tab1SDataShiftSummary[[#This Row],[Summary11]]-Tab1SDataShiftSummary[[#This Row],[Summary10]]</f>
        <v>0</v>
      </c>
      <c r="AN1741" s="93">
        <f>Tab1SDataShiftSummary[[#This Row],[Summary12]]-Tab1SDataShiftSummary[[#This Row],[Summary11]]</f>
        <v>0</v>
      </c>
      <c r="AO1741" s="93">
        <f>Tab1SDataShiftSummary[[#This Row],[Summary13]]-Tab1SDataShiftSummary[[#This Row],[Summary12]]</f>
        <v>0</v>
      </c>
      <c r="AP1741" s="93">
        <f>Tab1SDataShiftSummary[[#This Row],[Summary14]]-Tab1SDataShiftSummary[[#This Row],[Summary13]]</f>
        <v>0</v>
      </c>
      <c r="AQ1741" s="93">
        <f>Tab1SDataShiftSummary[[#This Row],[Summary15]]-Tab1SDataShiftSummary[[#This Row],[Summary14]]</f>
        <v>-28648.984799999995</v>
      </c>
      <c r="AR1741" s="93">
        <f>Tab1SDataShiftSummary[[#This Row],[Summary16]]-Tab1SDataShiftSummary[[#This Row],[Summary15]]</f>
        <v>0</v>
      </c>
      <c r="AS1741" s="93">
        <f>Tab1SDataShiftSummary[[#This Row],[Summary17]]-Tab1SDataShiftSummary[[#This Row],[Summary16]]</f>
        <v>0</v>
      </c>
      <c r="AT1741" s="93">
        <f>Tab1SDataShiftSummary[[#This Row],[Summary18]]-Tab1SDataShiftSummary[[#This Row],[Summary17]]</f>
        <v>0</v>
      </c>
      <c r="AU1741" s="93">
        <f>Tab1SDataShiftSummary[[#This Row],[Summary19]]-Tab1SDataShiftSummary[[#This Row],[Summary18]]</f>
        <v>0</v>
      </c>
      <c r="AV1741" s="93">
        <f ca="1">Tab1SDataShiftSummary[[#This Row],[Summary20]]-Tab1SDataShiftSummary[[#This Row],[Summary19]]</f>
        <v>0</v>
      </c>
      <c r="AY1741" s="734" t="s">
        <v>2297</v>
      </c>
    </row>
    <row r="1742" spans="1:52">
      <c r="B1742" s="734" t="s">
        <v>1908</v>
      </c>
      <c r="C1742"/>
      <c r="E1742"/>
      <c r="F1742" s="736">
        <v>-63629.35510106515</v>
      </c>
      <c r="G1742" s="736">
        <v>-63629.35510106515</v>
      </c>
      <c r="H1742" s="736">
        <v>-62587.668466627656</v>
      </c>
      <c r="I1742" s="736">
        <v>-59423.961468280155</v>
      </c>
      <c r="J1742" s="736">
        <v>-60934.164787752656</v>
      </c>
      <c r="K1742" s="736">
        <v>-62609.949498011723</v>
      </c>
      <c r="L1742" s="736">
        <v>-62691.636558011727</v>
      </c>
      <c r="M1742" s="736">
        <v>-63672.726862335745</v>
      </c>
      <c r="N1742" s="736">
        <v>-63672.726862335745</v>
      </c>
      <c r="O1742" s="736">
        <v>-63672.726862335745</v>
      </c>
      <c r="P1742" s="736">
        <v>-63558.355267335734</v>
      </c>
      <c r="Q1742" s="736">
        <v>-63558.355267335734</v>
      </c>
      <c r="R1742" s="736">
        <v>-66106.177719835978</v>
      </c>
      <c r="S1742" s="736">
        <v>-63748.361962135743</v>
      </c>
      <c r="T1742" s="736">
        <v>-61388.688330732861</v>
      </c>
      <c r="U1742" s="736">
        <v>-63607.531769472058</v>
      </c>
      <c r="V1742" s="736">
        <v>-62713.246573148048</v>
      </c>
      <c r="W1742" s="736">
        <v>-62713.246573148048</v>
      </c>
      <c r="X1742" s="736">
        <v>-66455.511842069973</v>
      </c>
      <c r="Y1742" s="736">
        <v>-66888.701124408515</v>
      </c>
      <c r="Z1742" s="736">
        <f ca="1">Calc!BL104</f>
        <v>-66888.701124408515</v>
      </c>
      <c r="AB1742" s="93">
        <f ca="1">Tab1SDataShiftSummary[[#This Row],[Summary0]]-Tab1SDataShiftSummary[[#This Row],[Summary20]]</f>
        <v>3259.3460233433652</v>
      </c>
      <c r="AC1742" s="93">
        <f>Tab1SDataShiftSummary[[#This Row],[Summary1]]-Tab1SDataShiftSummary[[#This Row],[Summary0]]</f>
        <v>0</v>
      </c>
      <c r="AD1742" s="93">
        <f>Tab1SDataShiftSummary[[#This Row],[Summary2]]-Tab1SDataShiftSummary[[#This Row],[Summary1]]</f>
        <v>1041.6866344374939</v>
      </c>
      <c r="AE1742" s="93">
        <f>Tab1SDataShiftSummary[[#This Row],[Summary3]]-Tab1SDataShiftSummary[[#This Row],[Summary2]]</f>
        <v>3163.7069983475012</v>
      </c>
      <c r="AF1742" s="93">
        <f>Tab1SDataShiftSummary[[#This Row],[Summary4]]-Tab1SDataShiftSummary[[#This Row],[Summary3]]</f>
        <v>-1510.2033194725009</v>
      </c>
      <c r="AG1742" s="93">
        <f>Tab1SDataShiftSummary[[#This Row],[Summary5]]-Tab1SDataShiftSummary[[#This Row],[Summary4]]</f>
        <v>-1675.7847102590677</v>
      </c>
      <c r="AH1742" s="93">
        <f>Tab1SDataShiftSummary[[#This Row],[Summary6]]-Tab1SDataShiftSummary[[#This Row],[Summary5]]</f>
        <v>-81.687060000003839</v>
      </c>
      <c r="AI1742" s="93">
        <f>Tab1SDataShiftSummary[[#This Row],[Summary7]]-Tab1SDataShiftSummary[[#This Row],[Summary6]]</f>
        <v>-981.09030432401778</v>
      </c>
      <c r="AJ1742" s="93">
        <f>Tab1SDataShiftSummary[[#This Row],[Summary8]]-Tab1SDataShiftSummary[[#This Row],[Summary7]]</f>
        <v>0</v>
      </c>
      <c r="AK1742" s="93">
        <f>Tab1SDataShiftSummary[[#This Row],[Summary9]]-Tab1SDataShiftSummary[[#This Row],[Summary8]]</f>
        <v>0</v>
      </c>
      <c r="AL1742" s="93">
        <f>Tab1SDataShiftSummary[[#This Row],[Summary10]]-Tab1SDataShiftSummary[[#This Row],[Summary9]]</f>
        <v>114.37159500001144</v>
      </c>
      <c r="AM1742" s="93">
        <f>Tab1SDataShiftSummary[[#This Row],[Summary11]]-Tab1SDataShiftSummary[[#This Row],[Summary10]]</f>
        <v>0</v>
      </c>
      <c r="AN1742" s="93">
        <f>Tab1SDataShiftSummary[[#This Row],[Summary12]]-Tab1SDataShiftSummary[[#This Row],[Summary11]]</f>
        <v>-2547.8224525002443</v>
      </c>
      <c r="AO1742" s="93">
        <f>Tab1SDataShiftSummary[[#This Row],[Summary13]]-Tab1SDataShiftSummary[[#This Row],[Summary12]]</f>
        <v>2357.8157577002348</v>
      </c>
      <c r="AP1742" s="93">
        <f>Tab1SDataShiftSummary[[#This Row],[Summary14]]-Tab1SDataShiftSummary[[#This Row],[Summary13]]</f>
        <v>2359.6736314028822</v>
      </c>
      <c r="AQ1742" s="93">
        <f>Tab1SDataShiftSummary[[#This Row],[Summary15]]-Tab1SDataShiftSummary[[#This Row],[Summary14]]</f>
        <v>-2218.8434387391972</v>
      </c>
      <c r="AR1742" s="93">
        <f>Tab1SDataShiftSummary[[#This Row],[Summary16]]-Tab1SDataShiftSummary[[#This Row],[Summary15]]</f>
        <v>894.28519632401003</v>
      </c>
      <c r="AS1742" s="93">
        <f>Tab1SDataShiftSummary[[#This Row],[Summary17]]-Tab1SDataShiftSummary[[#This Row],[Summary16]]</f>
        <v>0</v>
      </c>
      <c r="AT1742" s="93">
        <f>Tab1SDataShiftSummary[[#This Row],[Summary18]]-Tab1SDataShiftSummary[[#This Row],[Summary17]]</f>
        <v>-3742.2652689219249</v>
      </c>
      <c r="AU1742" s="93">
        <f>Tab1SDataShiftSummary[[#This Row],[Summary19]]-Tab1SDataShiftSummary[[#This Row],[Summary18]]</f>
        <v>-433.1892823385424</v>
      </c>
      <c r="AV1742" s="93">
        <f ca="1">Tab1SDataShiftSummary[[#This Row],[Summary20]]-Tab1SDataShiftSummary[[#This Row],[Summary19]]</f>
        <v>0</v>
      </c>
      <c r="AY1742" s="734" t="s">
        <v>1908</v>
      </c>
    </row>
    <row r="1743" spans="1:52">
      <c r="B1743" s="734" t="s">
        <v>1907</v>
      </c>
      <c r="C1743" t="s">
        <v>2299</v>
      </c>
      <c r="E1743"/>
      <c r="F1743" s="736">
        <v>-3031319.3177513452</v>
      </c>
      <c r="G1743" s="736">
        <v>-3031319.3177513452</v>
      </c>
      <c r="H1743" s="736">
        <v>-3029506.4839763455</v>
      </c>
      <c r="I1743" s="736">
        <v>-3179082.0077083446</v>
      </c>
      <c r="J1743" s="736">
        <v>-3088300.5521263452</v>
      </c>
      <c r="K1743" s="736">
        <v>-2898077.7180764396</v>
      </c>
      <c r="L1743" s="736">
        <v>-2866659.618076439</v>
      </c>
      <c r="M1743" s="736">
        <v>-3042674.2893364392</v>
      </c>
      <c r="N1743" s="736">
        <v>-3042674.2893364392</v>
      </c>
      <c r="O1743" s="736">
        <v>-3042674.2893364392</v>
      </c>
      <c r="P1743" s="736">
        <v>-2998685.21433644</v>
      </c>
      <c r="Q1743" s="736">
        <v>-2998685.21433644</v>
      </c>
      <c r="R1743" s="736">
        <v>-3108955.9438365381</v>
      </c>
      <c r="S1743" s="736">
        <v>-2925605.7163364403</v>
      </c>
      <c r="T1743" s="736">
        <v>-2457382.0890276395</v>
      </c>
      <c r="U1743" s="736">
        <v>-2799507.7696196409</v>
      </c>
      <c r="V1743" s="736">
        <v>-2656879.6783596408</v>
      </c>
      <c r="W1743" s="736">
        <v>-2656879.6783596408</v>
      </c>
      <c r="X1743" s="736">
        <v>-2766218.8200988406</v>
      </c>
      <c r="Y1743" s="736">
        <v>-2780028.0650047408</v>
      </c>
      <c r="Z1743" s="736">
        <f ca="1">Z1739+Z1734</f>
        <v>-2780028.0650047408</v>
      </c>
      <c r="AB1743" s="93">
        <f ca="1">Tab1SDataShiftSummary[[#This Row],[Summary0]]-Tab1SDataShiftSummary[[#This Row],[Summary20]]</f>
        <v>-251291.25274660438</v>
      </c>
      <c r="AC1743" s="93">
        <f>Tab1SDataShiftSummary[[#This Row],[Summary1]]-Tab1SDataShiftSummary[[#This Row],[Summary0]]</f>
        <v>0</v>
      </c>
      <c r="AD1743" s="93">
        <f>Tab1SDataShiftSummary[[#This Row],[Summary2]]-Tab1SDataShiftSummary[[#This Row],[Summary1]]</f>
        <v>1812.8337749997154</v>
      </c>
      <c r="AE1743" s="93">
        <f>Tab1SDataShiftSummary[[#This Row],[Summary3]]-Tab1SDataShiftSummary[[#This Row],[Summary2]]</f>
        <v>-149575.5237319991</v>
      </c>
      <c r="AF1743" s="93">
        <f>Tab1SDataShiftSummary[[#This Row],[Summary4]]-Tab1SDataShiftSummary[[#This Row],[Summary3]]</f>
        <v>90781.455581999384</v>
      </c>
      <c r="AG1743" s="93">
        <f>Tab1SDataShiftSummary[[#This Row],[Summary5]]-Tab1SDataShiftSummary[[#This Row],[Summary4]]</f>
        <v>190222.83404990565</v>
      </c>
      <c r="AH1743" s="93">
        <f>Tab1SDataShiftSummary[[#This Row],[Summary6]]-Tab1SDataShiftSummary[[#This Row],[Summary5]]</f>
        <v>31418.100000000559</v>
      </c>
      <c r="AI1743" s="93">
        <f>Tab1SDataShiftSummary[[#This Row],[Summary7]]-Tab1SDataShiftSummary[[#This Row],[Summary6]]</f>
        <v>-176014.67126000021</v>
      </c>
      <c r="AJ1743" s="93">
        <f>Tab1SDataShiftSummary[[#This Row],[Summary8]]-Tab1SDataShiftSummary[[#This Row],[Summary7]]</f>
        <v>0</v>
      </c>
      <c r="AK1743" s="93">
        <f>Tab1SDataShiftSummary[[#This Row],[Summary9]]-Tab1SDataShiftSummary[[#This Row],[Summary8]]</f>
        <v>0</v>
      </c>
      <c r="AL1743" s="93">
        <f>Tab1SDataShiftSummary[[#This Row],[Summary10]]-Tab1SDataShiftSummary[[#This Row],[Summary9]]</f>
        <v>43989.074999999255</v>
      </c>
      <c r="AM1743" s="93">
        <f>Tab1SDataShiftSummary[[#This Row],[Summary11]]-Tab1SDataShiftSummary[[#This Row],[Summary10]]</f>
        <v>0</v>
      </c>
      <c r="AN1743" s="93">
        <f>Tab1SDataShiftSummary[[#This Row],[Summary12]]-Tab1SDataShiftSummary[[#This Row],[Summary11]]</f>
        <v>-110270.72950009815</v>
      </c>
      <c r="AO1743" s="93">
        <f>Tab1SDataShiftSummary[[#This Row],[Summary13]]-Tab1SDataShiftSummary[[#This Row],[Summary12]]</f>
        <v>183350.22750009783</v>
      </c>
      <c r="AP1743" s="93">
        <f>Tab1SDataShiftSummary[[#This Row],[Summary14]]-Tab1SDataShiftSummary[[#This Row],[Summary13]]</f>
        <v>468223.62730880082</v>
      </c>
      <c r="AQ1743" s="93">
        <f>Tab1SDataShiftSummary[[#This Row],[Summary15]]-Tab1SDataShiftSummary[[#This Row],[Summary14]]</f>
        <v>-342125.68059200142</v>
      </c>
      <c r="AR1743" s="93">
        <f>Tab1SDataShiftSummary[[#This Row],[Summary16]]-Tab1SDataShiftSummary[[#This Row],[Summary15]]</f>
        <v>142628.09126000013</v>
      </c>
      <c r="AS1743" s="93">
        <f>Tab1SDataShiftSummary[[#This Row],[Summary17]]-Tab1SDataShiftSummary[[#This Row],[Summary16]]</f>
        <v>0</v>
      </c>
      <c r="AT1743" s="93">
        <f>Tab1SDataShiftSummary[[#This Row],[Summary18]]-Tab1SDataShiftSummary[[#This Row],[Summary17]]</f>
        <v>-109339.14173919987</v>
      </c>
      <c r="AU1743" s="93">
        <f>Tab1SDataShiftSummary[[#This Row],[Summary19]]-Tab1SDataShiftSummary[[#This Row],[Summary18]]</f>
        <v>-13809.24490590021</v>
      </c>
      <c r="AV1743" s="93">
        <f ca="1">Tab1SDataShiftSummary[[#This Row],[Summary20]]-Tab1SDataShiftSummary[[#This Row],[Summary19]]</f>
        <v>0</v>
      </c>
      <c r="AY1743" s="734" t="s">
        <v>1907</v>
      </c>
    </row>
    <row r="1744" spans="1:52">
      <c r="B1744" s="734" t="s">
        <v>2288</v>
      </c>
      <c r="C1744" t="s">
        <v>2298</v>
      </c>
      <c r="E1744"/>
      <c r="F1744" s="310">
        <v>-0.4124853582114516</v>
      </c>
      <c r="G1744" s="310">
        <v>-0.50945291600132803</v>
      </c>
      <c r="H1744" s="310">
        <v>-0.47384935272999845</v>
      </c>
      <c r="I1744" s="310">
        <v>-0.42672427370630084</v>
      </c>
      <c r="J1744" s="310">
        <v>-0.43119262510779471</v>
      </c>
      <c r="K1744" s="310">
        <v>-0.5378865410138709</v>
      </c>
      <c r="L1744" s="310">
        <v>-0.45817963096592101</v>
      </c>
      <c r="M1744" s="310">
        <v>-0.39737198336001223</v>
      </c>
      <c r="N1744" s="310">
        <v>-0.39647859158159166</v>
      </c>
      <c r="O1744" s="310">
        <v>-0.40805286415627567</v>
      </c>
      <c r="P1744" s="310">
        <v>-0.42317561881817767</v>
      </c>
      <c r="Q1744" s="310">
        <v>-0.40397220071819434</v>
      </c>
      <c r="R1744" s="310">
        <v>-0.38363471495668966</v>
      </c>
      <c r="S1744" s="310">
        <v>-0.47805490177656523</v>
      </c>
      <c r="T1744" s="310">
        <v>-0.64679129036762784</v>
      </c>
      <c r="U1744" s="310">
        <v>-0.48269466319144688</v>
      </c>
      <c r="V1744" s="310">
        <v>-0.57521584591357799</v>
      </c>
      <c r="W1744" s="310">
        <v>-0.57524785859550476</v>
      </c>
      <c r="X1744" s="310">
        <v>-0.53467952096187732</v>
      </c>
      <c r="Y1744" s="310">
        <v>-0.52737374572730722</v>
      </c>
      <c r="Z1744" s="310">
        <f ca="1">Z1736/ABS(Z1735)</f>
        <v>-0.52715324297204191</v>
      </c>
      <c r="AB1744" s="310">
        <f ca="1">Tab1SDataShiftSummary[[#This Row],[Summary0]]-Tab1SDataShiftSummary[[#This Row],[Summary20]]</f>
        <v>0.11466788476059031</v>
      </c>
      <c r="AC1744" s="310">
        <f>Tab1SDataShiftSummary[[#This Row],[Summary1]]-Tab1SDataShiftSummary[[#This Row],[Summary0]]</f>
        <v>-9.6967557789876424E-2</v>
      </c>
      <c r="AD1744" s="310">
        <f>Tab1SDataShiftSummary[[#This Row],[Summary2]]-Tab1SDataShiftSummary[[#This Row],[Summary1]]</f>
        <v>3.5603563271329575E-2</v>
      </c>
      <c r="AE1744" s="310">
        <f>Tab1SDataShiftSummary[[#This Row],[Summary3]]-Tab1SDataShiftSummary[[#This Row],[Summary2]]</f>
        <v>4.7125079023697614E-2</v>
      </c>
      <c r="AF1744" s="310">
        <f>Tab1SDataShiftSummary[[#This Row],[Summary4]]-Tab1SDataShiftSummary[[#This Row],[Summary3]]</f>
        <v>-4.4683514014938752E-3</v>
      </c>
      <c r="AG1744" s="310">
        <f>Tab1SDataShiftSummary[[#This Row],[Summary5]]-Tab1SDataShiftSummary[[#This Row],[Summary4]]</f>
        <v>-0.10669391590607619</v>
      </c>
      <c r="AH1744" s="310">
        <f>Tab1SDataShiftSummary[[#This Row],[Summary6]]-Tab1SDataShiftSummary[[#This Row],[Summary5]]</f>
        <v>7.9706910047949886E-2</v>
      </c>
      <c r="AI1744" s="310">
        <f>Tab1SDataShiftSummary[[#This Row],[Summary7]]-Tab1SDataShiftSummary[[#This Row],[Summary6]]</f>
        <v>6.0807647605908788E-2</v>
      </c>
      <c r="AJ1744" s="310">
        <f>Tab1SDataShiftSummary[[#This Row],[Summary8]]-Tab1SDataShiftSummary[[#This Row],[Summary7]]</f>
        <v>8.9339177842057138E-4</v>
      </c>
      <c r="AK1744" s="310">
        <f>Tab1SDataShiftSummary[[#This Row],[Summary9]]-Tab1SDataShiftSummary[[#This Row],[Summary8]]</f>
        <v>-1.1574272574684019E-2</v>
      </c>
      <c r="AL1744" s="310">
        <f>Tab1SDataShiftSummary[[#This Row],[Summary10]]-Tab1SDataShiftSummary[[#This Row],[Summary9]]</f>
        <v>-1.5122754661901994E-2</v>
      </c>
      <c r="AM1744" s="310">
        <f>Tab1SDataShiftSummary[[#This Row],[Summary11]]-Tab1SDataShiftSummary[[#This Row],[Summary10]]</f>
        <v>1.9203418099983327E-2</v>
      </c>
      <c r="AN1744" s="310">
        <f>Tab1SDataShiftSummary[[#This Row],[Summary12]]-Tab1SDataShiftSummary[[#This Row],[Summary11]]</f>
        <v>2.0337485761504681E-2</v>
      </c>
      <c r="AO1744" s="310">
        <f>Tab1SDataShiftSummary[[#This Row],[Summary13]]-Tab1SDataShiftSummary[[#This Row],[Summary12]]</f>
        <v>-9.4420186819875573E-2</v>
      </c>
      <c r="AP1744" s="310">
        <f>Tab1SDataShiftSummary[[#This Row],[Summary14]]-Tab1SDataShiftSummary[[#This Row],[Summary13]]</f>
        <v>-0.1687363885910626</v>
      </c>
      <c r="AQ1744" s="310">
        <f>Tab1SDataShiftSummary[[#This Row],[Summary15]]-Tab1SDataShiftSummary[[#This Row],[Summary14]]</f>
        <v>0.16409662717618095</v>
      </c>
      <c r="AR1744" s="310">
        <f>Tab1SDataShiftSummary[[#This Row],[Summary16]]-Tab1SDataShiftSummary[[#This Row],[Summary15]]</f>
        <v>-9.2521182722131112E-2</v>
      </c>
      <c r="AS1744" s="310">
        <f>Tab1SDataShiftSummary[[#This Row],[Summary17]]-Tab1SDataShiftSummary[[#This Row],[Summary16]]</f>
        <v>-3.2012681926762987E-5</v>
      </c>
      <c r="AT1744" s="310">
        <f>Tab1SDataShiftSummary[[#This Row],[Summary18]]-Tab1SDataShiftSummary[[#This Row],[Summary17]]</f>
        <v>4.0568337633627438E-2</v>
      </c>
      <c r="AU1744" s="310">
        <f>Tab1SDataShiftSummary[[#This Row],[Summary19]]-Tab1SDataShiftSummary[[#This Row],[Summary18]]</f>
        <v>7.3057752345700999E-3</v>
      </c>
      <c r="AV1744" s="310">
        <f ca="1">Tab1SDataShiftSummary[[#This Row],[Summary20]]-Tab1SDataShiftSummary[[#This Row],[Summary19]]</f>
        <v>2.2050275526530605E-4</v>
      </c>
      <c r="AY1744" s="734" t="s">
        <v>2288</v>
      </c>
    </row>
    <row r="1745" spans="1:55">
      <c r="B1745" s="734" t="s">
        <v>1135</v>
      </c>
      <c r="C1745"/>
      <c r="E1745"/>
      <c r="F1745" s="736">
        <v>3072730</v>
      </c>
      <c r="G1745" s="736">
        <v>2736680</v>
      </c>
      <c r="H1745" s="736">
        <v>2772800</v>
      </c>
      <c r="I1745" s="736">
        <v>2741850</v>
      </c>
      <c r="J1745" s="736">
        <v>2736380</v>
      </c>
      <c r="K1745" s="736">
        <v>2645550</v>
      </c>
      <c r="L1745" s="736">
        <v>2937810</v>
      </c>
      <c r="M1745" s="736">
        <v>2940930</v>
      </c>
      <c r="N1745" s="736">
        <v>2943840</v>
      </c>
      <c r="O1745" s="736">
        <v>2984750</v>
      </c>
      <c r="P1745" s="736">
        <v>2984250</v>
      </c>
      <c r="Q1745" s="736">
        <v>2984690</v>
      </c>
      <c r="R1745" s="736">
        <v>2966860</v>
      </c>
      <c r="S1745" s="736">
        <v>2965660</v>
      </c>
      <c r="T1745" s="736">
        <v>2945060</v>
      </c>
      <c r="U1745" s="736">
        <v>2977390</v>
      </c>
      <c r="V1745" s="736">
        <v>3006240</v>
      </c>
      <c r="W1745" s="736">
        <v>3006240</v>
      </c>
      <c r="X1745" s="736">
        <v>3055540</v>
      </c>
      <c r="Y1745" s="736">
        <v>3025284</v>
      </c>
      <c r="Z1745" s="736">
        <f ca="1">Calc!BP104</f>
        <v>3025284</v>
      </c>
      <c r="AB1745" s="93">
        <f ca="1">Tab1SDataShiftSummary[[#This Row],[Summary0]]-Tab1SDataShiftSummary[[#This Row],[Summary20]]</f>
        <v>47446</v>
      </c>
      <c r="AC1745" s="93">
        <f>Tab1SDataShiftSummary[[#This Row],[Summary1]]-Tab1SDataShiftSummary[[#This Row],[Summary0]]</f>
        <v>-336050</v>
      </c>
      <c r="AD1745" s="93">
        <f>Tab1SDataShiftSummary[[#This Row],[Summary2]]-Tab1SDataShiftSummary[[#This Row],[Summary1]]</f>
        <v>36120</v>
      </c>
      <c r="AE1745" s="93">
        <f>Tab1SDataShiftSummary[[#This Row],[Summary3]]-Tab1SDataShiftSummary[[#This Row],[Summary2]]</f>
        <v>-30950</v>
      </c>
      <c r="AF1745" s="93">
        <f>Tab1SDataShiftSummary[[#This Row],[Summary4]]-Tab1SDataShiftSummary[[#This Row],[Summary3]]</f>
        <v>-5470</v>
      </c>
      <c r="AG1745" s="93">
        <f>Tab1SDataShiftSummary[[#This Row],[Summary5]]-Tab1SDataShiftSummary[[#This Row],[Summary4]]</f>
        <v>-90830</v>
      </c>
      <c r="AH1745" s="93">
        <f>Tab1SDataShiftSummary[[#This Row],[Summary6]]-Tab1SDataShiftSummary[[#This Row],[Summary5]]</f>
        <v>292260</v>
      </c>
      <c r="AI1745" s="93">
        <f>Tab1SDataShiftSummary[[#This Row],[Summary7]]-Tab1SDataShiftSummary[[#This Row],[Summary6]]</f>
        <v>3120</v>
      </c>
      <c r="AJ1745" s="93">
        <f>Tab1SDataShiftSummary[[#This Row],[Summary8]]-Tab1SDataShiftSummary[[#This Row],[Summary7]]</f>
        <v>2910</v>
      </c>
      <c r="AK1745" s="93">
        <f>Tab1SDataShiftSummary[[#This Row],[Summary9]]-Tab1SDataShiftSummary[[#This Row],[Summary8]]</f>
        <v>40910</v>
      </c>
      <c r="AL1745" s="93">
        <f>Tab1SDataShiftSummary[[#This Row],[Summary10]]-Tab1SDataShiftSummary[[#This Row],[Summary9]]</f>
        <v>-500</v>
      </c>
      <c r="AM1745" s="93">
        <f>Tab1SDataShiftSummary[[#This Row],[Summary11]]-Tab1SDataShiftSummary[[#This Row],[Summary10]]</f>
        <v>440</v>
      </c>
      <c r="AN1745" s="93">
        <f>Tab1SDataShiftSummary[[#This Row],[Summary12]]-Tab1SDataShiftSummary[[#This Row],[Summary11]]</f>
        <v>-17830</v>
      </c>
      <c r="AO1745" s="93">
        <f>Tab1SDataShiftSummary[[#This Row],[Summary13]]-Tab1SDataShiftSummary[[#This Row],[Summary12]]</f>
        <v>-1200</v>
      </c>
      <c r="AP1745" s="93">
        <f>Tab1SDataShiftSummary[[#This Row],[Summary14]]-Tab1SDataShiftSummary[[#This Row],[Summary13]]</f>
        <v>-20600</v>
      </c>
      <c r="AQ1745" s="93">
        <f>Tab1SDataShiftSummary[[#This Row],[Summary15]]-Tab1SDataShiftSummary[[#This Row],[Summary14]]</f>
        <v>32330</v>
      </c>
      <c r="AR1745" s="93">
        <f>Tab1SDataShiftSummary[[#This Row],[Summary16]]-Tab1SDataShiftSummary[[#This Row],[Summary15]]</f>
        <v>28850</v>
      </c>
      <c r="AS1745" s="93">
        <f>Tab1SDataShiftSummary[[#This Row],[Summary17]]-Tab1SDataShiftSummary[[#This Row],[Summary16]]</f>
        <v>0</v>
      </c>
      <c r="AT1745" s="93">
        <f>Tab1SDataShiftSummary[[#This Row],[Summary18]]-Tab1SDataShiftSummary[[#This Row],[Summary17]]</f>
        <v>49300</v>
      </c>
      <c r="AU1745" s="93">
        <f>Tab1SDataShiftSummary[[#This Row],[Summary19]]-Tab1SDataShiftSummary[[#This Row],[Summary18]]</f>
        <v>-30256</v>
      </c>
      <c r="AV1745" s="93">
        <f ca="1">Tab1SDataShiftSummary[[#This Row],[Summary20]]-Tab1SDataShiftSummary[[#This Row],[Summary19]]</f>
        <v>0</v>
      </c>
      <c r="AY1745" s="734" t="s">
        <v>1135</v>
      </c>
      <c r="AZ1745" t="s">
        <v>2281</v>
      </c>
    </row>
    <row r="1746" spans="1:55">
      <c r="B1746" s="734" t="s">
        <v>1132</v>
      </c>
      <c r="C1746"/>
      <c r="E1746"/>
      <c r="F1746" s="736">
        <v>2954258.0449999999</v>
      </c>
      <c r="G1746" s="736">
        <v>2953217.4299999997</v>
      </c>
      <c r="H1746" s="736">
        <v>2745198.4400000004</v>
      </c>
      <c r="I1746" s="736">
        <v>2750169.02</v>
      </c>
      <c r="J1746" s="736">
        <v>2838765.5900000003</v>
      </c>
      <c r="K1746" s="736">
        <v>2642093.84</v>
      </c>
      <c r="L1746" s="736">
        <v>2626015.5299999998</v>
      </c>
      <c r="M1746" s="736">
        <v>2771222.7399999998</v>
      </c>
      <c r="N1746" s="736">
        <v>2771374.7299999995</v>
      </c>
      <c r="O1746" s="736">
        <v>2690795.34</v>
      </c>
      <c r="P1746" s="736">
        <v>2646893.92</v>
      </c>
      <c r="Q1746" s="736">
        <v>2711934.0979999998</v>
      </c>
      <c r="R1746" s="736">
        <v>2576302.02</v>
      </c>
      <c r="S1746" s="736">
        <v>2504398.1399999997</v>
      </c>
      <c r="T1746" s="736">
        <v>2194586</v>
      </c>
      <c r="U1746" s="736">
        <v>2520493.42</v>
      </c>
      <c r="V1746" s="736">
        <v>2250928.73</v>
      </c>
      <c r="W1746" s="736">
        <v>2250828.73</v>
      </c>
      <c r="X1746" s="736">
        <v>2272044.04</v>
      </c>
      <c r="Y1746" s="736">
        <v>2322387.0499999998</v>
      </c>
      <c r="Z1746" s="736">
        <f ca="1">Calc!BQ104</f>
        <v>2323102.08</v>
      </c>
      <c r="AB1746" s="93">
        <f ca="1">Tab1SDataShiftSummary[[#This Row],[Summary0]]-Tab1SDataShiftSummary[[#This Row],[Summary20]]</f>
        <v>631155.96499999985</v>
      </c>
      <c r="AC1746" s="93">
        <f>Tab1SDataShiftSummary[[#This Row],[Summary1]]-Tab1SDataShiftSummary[[#This Row],[Summary0]]</f>
        <v>-1040.6150000002235</v>
      </c>
      <c r="AD1746" s="93">
        <f>Tab1SDataShiftSummary[[#This Row],[Summary2]]-Tab1SDataShiftSummary[[#This Row],[Summary1]]</f>
        <v>-208018.98999999929</v>
      </c>
      <c r="AE1746" s="93">
        <f>Tab1SDataShiftSummary[[#This Row],[Summary3]]-Tab1SDataShiftSummary[[#This Row],[Summary2]]</f>
        <v>4970.5799999996088</v>
      </c>
      <c r="AF1746" s="93">
        <f>Tab1SDataShiftSummary[[#This Row],[Summary4]]-Tab1SDataShiftSummary[[#This Row],[Summary3]]</f>
        <v>88596.570000000298</v>
      </c>
      <c r="AG1746" s="93">
        <f>Tab1SDataShiftSummary[[#This Row],[Summary5]]-Tab1SDataShiftSummary[[#This Row],[Summary4]]</f>
        <v>-196671.75000000047</v>
      </c>
      <c r="AH1746" s="93">
        <f>Tab1SDataShiftSummary[[#This Row],[Summary6]]-Tab1SDataShiftSummary[[#This Row],[Summary5]]</f>
        <v>-16078.310000000056</v>
      </c>
      <c r="AI1746" s="93">
        <f>Tab1SDataShiftSummary[[#This Row],[Summary7]]-Tab1SDataShiftSummary[[#This Row],[Summary6]]</f>
        <v>145207.20999999996</v>
      </c>
      <c r="AJ1746" s="93">
        <f>Tab1SDataShiftSummary[[#This Row],[Summary8]]-Tab1SDataShiftSummary[[#This Row],[Summary7]]</f>
        <v>151.98999999975786</v>
      </c>
      <c r="AK1746" s="93">
        <f>Tab1SDataShiftSummary[[#This Row],[Summary9]]-Tab1SDataShiftSummary[[#This Row],[Summary8]]</f>
        <v>-80579.389999999665</v>
      </c>
      <c r="AL1746" s="93">
        <f>Tab1SDataShiftSummary[[#This Row],[Summary10]]-Tab1SDataShiftSummary[[#This Row],[Summary9]]</f>
        <v>-43901.419999999925</v>
      </c>
      <c r="AM1746" s="93">
        <f>Tab1SDataShiftSummary[[#This Row],[Summary11]]-Tab1SDataShiftSummary[[#This Row],[Summary10]]</f>
        <v>65040.17799999984</v>
      </c>
      <c r="AN1746" s="93">
        <f>Tab1SDataShiftSummary[[#This Row],[Summary12]]-Tab1SDataShiftSummary[[#This Row],[Summary11]]</f>
        <v>-135632.07799999975</v>
      </c>
      <c r="AO1746" s="93">
        <f>Tab1SDataShiftSummary[[#This Row],[Summary13]]-Tab1SDataShiftSummary[[#This Row],[Summary12]]</f>
        <v>-71903.880000000354</v>
      </c>
      <c r="AP1746" s="93">
        <f>Tab1SDataShiftSummary[[#This Row],[Summary14]]-Tab1SDataShiftSummary[[#This Row],[Summary13]]</f>
        <v>-309812.13999999966</v>
      </c>
      <c r="AQ1746" s="93">
        <f>Tab1SDataShiftSummary[[#This Row],[Summary15]]-Tab1SDataShiftSummary[[#This Row],[Summary14]]</f>
        <v>325907.41999999993</v>
      </c>
      <c r="AR1746" s="93">
        <f>Tab1SDataShiftSummary[[#This Row],[Summary16]]-Tab1SDataShiftSummary[[#This Row],[Summary15]]</f>
        <v>-269564.68999999994</v>
      </c>
      <c r="AS1746" s="93">
        <f>Tab1SDataShiftSummary[[#This Row],[Summary17]]-Tab1SDataShiftSummary[[#This Row],[Summary16]]</f>
        <v>-100</v>
      </c>
      <c r="AT1746" s="93">
        <f>Tab1SDataShiftSummary[[#This Row],[Summary18]]-Tab1SDataShiftSummary[[#This Row],[Summary17]]</f>
        <v>21215.310000000056</v>
      </c>
      <c r="AU1746" s="93">
        <f>Tab1SDataShiftSummary[[#This Row],[Summary19]]-Tab1SDataShiftSummary[[#This Row],[Summary18]]</f>
        <v>50343.009999999776</v>
      </c>
      <c r="AV1746" s="93">
        <f ca="1">Tab1SDataShiftSummary[[#This Row],[Summary20]]-Tab1SDataShiftSummary[[#This Row],[Summary19]]</f>
        <v>715.03000000026077</v>
      </c>
      <c r="AY1746" s="734" t="s">
        <v>1132</v>
      </c>
      <c r="AZ1746" t="s">
        <v>2281</v>
      </c>
    </row>
    <row r="1747" spans="1:55">
      <c r="B1747" s="734" t="s">
        <v>1446</v>
      </c>
      <c r="C1747"/>
      <c r="E1747"/>
      <c r="F1747" s="736">
        <v>0</v>
      </c>
      <c r="G1747" s="736">
        <v>0</v>
      </c>
      <c r="H1747" s="736">
        <v>0</v>
      </c>
      <c r="I1747" s="736">
        <v>0</v>
      </c>
      <c r="J1747" s="736">
        <v>0</v>
      </c>
      <c r="K1747" s="736">
        <v>0</v>
      </c>
      <c r="L1747" s="736">
        <v>0</v>
      </c>
      <c r="M1747" s="736">
        <v>0</v>
      </c>
      <c r="N1747" s="736">
        <v>0</v>
      </c>
      <c r="O1747" s="736">
        <v>0</v>
      </c>
      <c r="P1747" s="736">
        <v>0</v>
      </c>
      <c r="Q1747" s="736">
        <v>0</v>
      </c>
      <c r="R1747" s="736">
        <v>336200</v>
      </c>
      <c r="S1747" s="736">
        <v>0</v>
      </c>
      <c r="T1747" s="736">
        <v>0</v>
      </c>
      <c r="U1747" s="736">
        <v>0</v>
      </c>
      <c r="V1747" s="736">
        <v>0</v>
      </c>
      <c r="W1747" s="736">
        <v>0</v>
      </c>
      <c r="X1747" s="736">
        <v>0</v>
      </c>
      <c r="Y1747" s="736">
        <v>0</v>
      </c>
      <c r="Z1747" s="736">
        <f ca="1">Calc!BR104</f>
        <v>0</v>
      </c>
      <c r="AB1747" s="93">
        <f ca="1">Tab1SDataShiftSummary[[#This Row],[Summary0]]-Tab1SDataShiftSummary[[#This Row],[Summary20]]</f>
        <v>0</v>
      </c>
      <c r="AC1747" s="93">
        <f>Tab1SDataShiftSummary[[#This Row],[Summary1]]-Tab1SDataShiftSummary[[#This Row],[Summary0]]</f>
        <v>0</v>
      </c>
      <c r="AD1747" s="93">
        <f>Tab1SDataShiftSummary[[#This Row],[Summary2]]-Tab1SDataShiftSummary[[#This Row],[Summary1]]</f>
        <v>0</v>
      </c>
      <c r="AE1747" s="93">
        <f>Tab1SDataShiftSummary[[#This Row],[Summary3]]-Tab1SDataShiftSummary[[#This Row],[Summary2]]</f>
        <v>0</v>
      </c>
      <c r="AF1747" s="93">
        <f>Tab1SDataShiftSummary[[#This Row],[Summary4]]-Tab1SDataShiftSummary[[#This Row],[Summary3]]</f>
        <v>0</v>
      </c>
      <c r="AG1747" s="93">
        <f>Tab1SDataShiftSummary[[#This Row],[Summary5]]-Tab1SDataShiftSummary[[#This Row],[Summary4]]</f>
        <v>0</v>
      </c>
      <c r="AH1747" s="93">
        <f>Tab1SDataShiftSummary[[#This Row],[Summary6]]-Tab1SDataShiftSummary[[#This Row],[Summary5]]</f>
        <v>0</v>
      </c>
      <c r="AI1747" s="93">
        <f>Tab1SDataShiftSummary[[#This Row],[Summary7]]-Tab1SDataShiftSummary[[#This Row],[Summary6]]</f>
        <v>0</v>
      </c>
      <c r="AJ1747" s="93">
        <f>Tab1SDataShiftSummary[[#This Row],[Summary8]]-Tab1SDataShiftSummary[[#This Row],[Summary7]]</f>
        <v>0</v>
      </c>
      <c r="AK1747" s="93">
        <f>Tab1SDataShiftSummary[[#This Row],[Summary9]]-Tab1SDataShiftSummary[[#This Row],[Summary8]]</f>
        <v>0</v>
      </c>
      <c r="AL1747" s="93">
        <f>Tab1SDataShiftSummary[[#This Row],[Summary10]]-Tab1SDataShiftSummary[[#This Row],[Summary9]]</f>
        <v>0</v>
      </c>
      <c r="AM1747" s="93">
        <f>Tab1SDataShiftSummary[[#This Row],[Summary11]]-Tab1SDataShiftSummary[[#This Row],[Summary10]]</f>
        <v>0</v>
      </c>
      <c r="AN1747" s="93">
        <f>Tab1SDataShiftSummary[[#This Row],[Summary12]]-Tab1SDataShiftSummary[[#This Row],[Summary11]]</f>
        <v>336200</v>
      </c>
      <c r="AO1747" s="93">
        <f>Tab1SDataShiftSummary[[#This Row],[Summary13]]-Tab1SDataShiftSummary[[#This Row],[Summary12]]</f>
        <v>-336200</v>
      </c>
      <c r="AP1747" s="93">
        <f>Tab1SDataShiftSummary[[#This Row],[Summary14]]-Tab1SDataShiftSummary[[#This Row],[Summary13]]</f>
        <v>0</v>
      </c>
      <c r="AQ1747" s="93">
        <f>Tab1SDataShiftSummary[[#This Row],[Summary15]]-Tab1SDataShiftSummary[[#This Row],[Summary14]]</f>
        <v>0</v>
      </c>
      <c r="AR1747" s="93">
        <f>Tab1SDataShiftSummary[[#This Row],[Summary16]]-Tab1SDataShiftSummary[[#This Row],[Summary15]]</f>
        <v>0</v>
      </c>
      <c r="AS1747" s="93">
        <f>Tab1SDataShiftSummary[[#This Row],[Summary17]]-Tab1SDataShiftSummary[[#This Row],[Summary16]]</f>
        <v>0</v>
      </c>
      <c r="AT1747" s="93">
        <f>Tab1SDataShiftSummary[[#This Row],[Summary18]]-Tab1SDataShiftSummary[[#This Row],[Summary17]]</f>
        <v>0</v>
      </c>
      <c r="AU1747" s="93">
        <f>Tab1SDataShiftSummary[[#This Row],[Summary19]]-Tab1SDataShiftSummary[[#This Row],[Summary18]]</f>
        <v>0</v>
      </c>
      <c r="AV1747" s="93">
        <f ca="1">Tab1SDataShiftSummary[[#This Row],[Summary20]]-Tab1SDataShiftSummary[[#This Row],[Summary19]]</f>
        <v>0</v>
      </c>
      <c r="AY1747" s="734" t="s">
        <v>1446</v>
      </c>
      <c r="AZ1747" t="s">
        <v>2281</v>
      </c>
    </row>
    <row r="1748" spans="1:55">
      <c r="B1748" s="734" t="s">
        <v>1134</v>
      </c>
      <c r="C1748"/>
      <c r="E1748"/>
      <c r="F1748" s="736">
        <v>0</v>
      </c>
      <c r="G1748" s="736">
        <v>0</v>
      </c>
      <c r="H1748" s="736">
        <v>0</v>
      </c>
      <c r="I1748" s="736">
        <v>0</v>
      </c>
      <c r="J1748" s="736">
        <v>0</v>
      </c>
      <c r="K1748" s="736">
        <v>0</v>
      </c>
      <c r="L1748" s="736">
        <v>0</v>
      </c>
      <c r="M1748" s="736">
        <v>0</v>
      </c>
      <c r="N1748" s="736">
        <v>0</v>
      </c>
      <c r="O1748" s="736">
        <v>0</v>
      </c>
      <c r="P1748" s="736">
        <v>0</v>
      </c>
      <c r="Q1748" s="736">
        <v>0</v>
      </c>
      <c r="R1748" s="736">
        <v>0</v>
      </c>
      <c r="S1748" s="736">
        <v>0</v>
      </c>
      <c r="T1748" s="736">
        <v>0</v>
      </c>
      <c r="U1748" s="736">
        <v>0</v>
      </c>
      <c r="V1748" s="736">
        <v>0</v>
      </c>
      <c r="W1748" s="736">
        <v>0</v>
      </c>
      <c r="X1748" s="736">
        <v>0</v>
      </c>
      <c r="Y1748" s="736">
        <v>0</v>
      </c>
      <c r="Z1748" s="736">
        <f ca="1">Calc!BS104</f>
        <v>0</v>
      </c>
      <c r="AB1748" s="93">
        <f ca="1">Tab1SDataShiftSummary[[#This Row],[Summary0]]-Tab1SDataShiftSummary[[#This Row],[Summary20]]</f>
        <v>0</v>
      </c>
      <c r="AC1748" s="93">
        <f>Tab1SDataShiftSummary[[#This Row],[Summary1]]-Tab1SDataShiftSummary[[#This Row],[Summary0]]</f>
        <v>0</v>
      </c>
      <c r="AD1748" s="93">
        <f>Tab1SDataShiftSummary[[#This Row],[Summary2]]-Tab1SDataShiftSummary[[#This Row],[Summary1]]</f>
        <v>0</v>
      </c>
      <c r="AE1748" s="93">
        <f>Tab1SDataShiftSummary[[#This Row],[Summary3]]-Tab1SDataShiftSummary[[#This Row],[Summary2]]</f>
        <v>0</v>
      </c>
      <c r="AF1748" s="93">
        <f>Tab1SDataShiftSummary[[#This Row],[Summary4]]-Tab1SDataShiftSummary[[#This Row],[Summary3]]</f>
        <v>0</v>
      </c>
      <c r="AG1748" s="93">
        <f>Tab1SDataShiftSummary[[#This Row],[Summary5]]-Tab1SDataShiftSummary[[#This Row],[Summary4]]</f>
        <v>0</v>
      </c>
      <c r="AH1748" s="93">
        <f>Tab1SDataShiftSummary[[#This Row],[Summary6]]-Tab1SDataShiftSummary[[#This Row],[Summary5]]</f>
        <v>0</v>
      </c>
      <c r="AI1748" s="93">
        <f>Tab1SDataShiftSummary[[#This Row],[Summary7]]-Tab1SDataShiftSummary[[#This Row],[Summary6]]</f>
        <v>0</v>
      </c>
      <c r="AJ1748" s="93">
        <f>Tab1SDataShiftSummary[[#This Row],[Summary8]]-Tab1SDataShiftSummary[[#This Row],[Summary7]]</f>
        <v>0</v>
      </c>
      <c r="AK1748" s="93">
        <f>Tab1SDataShiftSummary[[#This Row],[Summary9]]-Tab1SDataShiftSummary[[#This Row],[Summary8]]</f>
        <v>0</v>
      </c>
      <c r="AL1748" s="93">
        <f>Tab1SDataShiftSummary[[#This Row],[Summary10]]-Tab1SDataShiftSummary[[#This Row],[Summary9]]</f>
        <v>0</v>
      </c>
      <c r="AM1748" s="93">
        <f>Tab1SDataShiftSummary[[#This Row],[Summary11]]-Tab1SDataShiftSummary[[#This Row],[Summary10]]</f>
        <v>0</v>
      </c>
      <c r="AN1748" s="93">
        <f>Tab1SDataShiftSummary[[#This Row],[Summary12]]-Tab1SDataShiftSummary[[#This Row],[Summary11]]</f>
        <v>0</v>
      </c>
      <c r="AO1748" s="93">
        <f>Tab1SDataShiftSummary[[#This Row],[Summary13]]-Tab1SDataShiftSummary[[#This Row],[Summary12]]</f>
        <v>0</v>
      </c>
      <c r="AP1748" s="93">
        <f>Tab1SDataShiftSummary[[#This Row],[Summary14]]-Tab1SDataShiftSummary[[#This Row],[Summary13]]</f>
        <v>0</v>
      </c>
      <c r="AQ1748" s="93">
        <f>Tab1SDataShiftSummary[[#This Row],[Summary15]]-Tab1SDataShiftSummary[[#This Row],[Summary14]]</f>
        <v>0</v>
      </c>
      <c r="AR1748" s="93">
        <f>Tab1SDataShiftSummary[[#This Row],[Summary16]]-Tab1SDataShiftSummary[[#This Row],[Summary15]]</f>
        <v>0</v>
      </c>
      <c r="AS1748" s="93">
        <f>Tab1SDataShiftSummary[[#This Row],[Summary17]]-Tab1SDataShiftSummary[[#This Row],[Summary16]]</f>
        <v>0</v>
      </c>
      <c r="AT1748" s="93">
        <f>Tab1SDataShiftSummary[[#This Row],[Summary18]]-Tab1SDataShiftSummary[[#This Row],[Summary17]]</f>
        <v>0</v>
      </c>
      <c r="AU1748" s="93">
        <f>Tab1SDataShiftSummary[[#This Row],[Summary19]]-Tab1SDataShiftSummary[[#This Row],[Summary18]]</f>
        <v>0</v>
      </c>
      <c r="AV1748" s="93">
        <f ca="1">Tab1SDataShiftSummary[[#This Row],[Summary20]]-Tab1SDataShiftSummary[[#This Row],[Summary19]]</f>
        <v>0</v>
      </c>
      <c r="AY1748" s="734" t="s">
        <v>1134</v>
      </c>
      <c r="AZ1748" t="s">
        <v>2281</v>
      </c>
    </row>
    <row r="1749" spans="1:55">
      <c r="B1749" s="734" t="s">
        <v>2128</v>
      </c>
      <c r="C1749"/>
      <c r="E1749"/>
      <c r="F1749" s="310">
        <v>-1.2661904316258201</v>
      </c>
      <c r="G1749" s="310">
        <v>-1.3631579894156967</v>
      </c>
      <c r="H1749" s="310">
        <v>-1.3273403604529328</v>
      </c>
      <c r="I1749" s="310">
        <v>-1.324152641354871</v>
      </c>
      <c r="J1749" s="310">
        <v>-1.3020721079894726</v>
      </c>
      <c r="K1749" s="310">
        <v>-1.4013537395008826</v>
      </c>
      <c r="L1749" s="310">
        <v>-1.3203244855279925</v>
      </c>
      <c r="M1749" s="310">
        <v>-1.2665701904688962</v>
      </c>
      <c r="N1749" s="310">
        <v>-1.2656767986904758</v>
      </c>
      <c r="O1749" s="310">
        <v>-1.2772510712651601</v>
      </c>
      <c r="P1749" s="310">
        <v>-1.2839821915847831</v>
      </c>
      <c r="Q1749" s="310">
        <v>-1.2647787734847995</v>
      </c>
      <c r="R1749" s="310">
        <v>-1.2442090525351643</v>
      </c>
      <c r="S1749" s="310">
        <v>-1.3310004325196378</v>
      </c>
      <c r="T1749" s="310">
        <v>-1.465775552444067</v>
      </c>
      <c r="U1749" s="310">
        <v>-1.3205488655881792</v>
      </c>
      <c r="V1749" s="310">
        <v>-1.4056989737121885</v>
      </c>
      <c r="W1749" s="310">
        <v>-1.4057309863941154</v>
      </c>
      <c r="X1749" s="310">
        <v>-1.3707058892381807</v>
      </c>
      <c r="Y1749" s="310">
        <v>-1.3640788767024761</v>
      </c>
      <c r="Z1749" s="310">
        <f ca="1">-Z1740/Z1735</f>
        <v>-1.3638583739472108</v>
      </c>
      <c r="AB1749" s="310">
        <f ca="1">Tab1SDataShiftSummary[[#This Row],[Summary0]]-Tab1SDataShiftSummary[[#This Row],[Summary20]]</f>
        <v>9.7667942321390644E-2</v>
      </c>
      <c r="AC1749" s="310">
        <f>Tab1SDataShiftSummary[[#This Row],[Summary1]]-Tab1SDataShiftSummary[[#This Row],[Summary0]]</f>
        <v>-9.6967557789876535E-2</v>
      </c>
      <c r="AD1749" s="310">
        <f>Tab1SDataShiftSummary[[#This Row],[Summary2]]-Tab1SDataShiftSummary[[#This Row],[Summary1]]</f>
        <v>3.5817628962763859E-2</v>
      </c>
      <c r="AE1749" s="310">
        <f>Tab1SDataShiftSummary[[#This Row],[Summary3]]-Tab1SDataShiftSummary[[#This Row],[Summary2]]</f>
        <v>3.1877190980618142E-3</v>
      </c>
      <c r="AF1749" s="310">
        <f>Tab1SDataShiftSummary[[#This Row],[Summary4]]-Tab1SDataShiftSummary[[#This Row],[Summary3]]</f>
        <v>2.2080533365398392E-2</v>
      </c>
      <c r="AG1749" s="310">
        <f>Tab1SDataShiftSummary[[#This Row],[Summary5]]-Tab1SDataShiftSummary[[#This Row],[Summary4]]</f>
        <v>-9.9281631511410007E-2</v>
      </c>
      <c r="AH1749" s="310">
        <f>Tab1SDataShiftSummary[[#This Row],[Summary6]]-Tab1SDataShiftSummary[[#This Row],[Summary5]]</f>
        <v>8.102925397289007E-2</v>
      </c>
      <c r="AI1749" s="310">
        <f>Tab1SDataShiftSummary[[#This Row],[Summary7]]-Tab1SDataShiftSummary[[#This Row],[Summary6]]</f>
        <v>5.3754295059096346E-2</v>
      </c>
      <c r="AJ1749" s="310">
        <f>Tab1SDataShiftSummary[[#This Row],[Summary8]]-Tab1SDataShiftSummary[[#This Row],[Summary7]]</f>
        <v>8.9339177842040485E-4</v>
      </c>
      <c r="AK1749" s="310">
        <f>Tab1SDataShiftSummary[[#This Row],[Summary9]]-Tab1SDataShiftSummary[[#This Row],[Summary8]]</f>
        <v>-1.1574272574684352E-2</v>
      </c>
      <c r="AL1749" s="310">
        <f>Tab1SDataShiftSummary[[#This Row],[Summary10]]-Tab1SDataShiftSummary[[#This Row],[Summary9]]</f>
        <v>-6.7311203196229741E-3</v>
      </c>
      <c r="AM1749" s="310">
        <f>Tab1SDataShiftSummary[[#This Row],[Summary11]]-Tab1SDataShiftSummary[[#This Row],[Summary10]]</f>
        <v>1.9203418099983605E-2</v>
      </c>
      <c r="AN1749" s="310">
        <f>Tab1SDataShiftSummary[[#This Row],[Summary12]]-Tab1SDataShiftSummary[[#This Row],[Summary11]]</f>
        <v>2.0569720949635162E-2</v>
      </c>
      <c r="AO1749" s="310">
        <f>Tab1SDataShiftSummary[[#This Row],[Summary13]]-Tab1SDataShiftSummary[[#This Row],[Summary12]]</f>
        <v>-8.6791379984473505E-2</v>
      </c>
      <c r="AP1749" s="310">
        <f>Tab1SDataShiftSummary[[#This Row],[Summary14]]-Tab1SDataShiftSummary[[#This Row],[Summary13]]</f>
        <v>-0.13477511992442914</v>
      </c>
      <c r="AQ1749" s="310">
        <f>Tab1SDataShiftSummary[[#This Row],[Summary15]]-Tab1SDataShiftSummary[[#This Row],[Summary14]]</f>
        <v>0.1452266868558878</v>
      </c>
      <c r="AR1749" s="310">
        <f>Tab1SDataShiftSummary[[#This Row],[Summary16]]-Tab1SDataShiftSummary[[#This Row],[Summary15]]</f>
        <v>-8.515010812400936E-2</v>
      </c>
      <c r="AS1749" s="310">
        <f>Tab1SDataShiftSummary[[#This Row],[Summary17]]-Tab1SDataShiftSummary[[#This Row],[Summary16]]</f>
        <v>-3.2012681926874009E-5</v>
      </c>
      <c r="AT1749" s="310">
        <f>Tab1SDataShiftSummary[[#This Row],[Summary18]]-Tab1SDataShiftSummary[[#This Row],[Summary17]]</f>
        <v>3.5025097155934715E-2</v>
      </c>
      <c r="AU1749" s="310">
        <f>Tab1SDataShiftSummary[[#This Row],[Summary19]]-Tab1SDataShiftSummary[[#This Row],[Summary18]]</f>
        <v>6.627012535704635E-3</v>
      </c>
      <c r="AV1749" s="310">
        <f ca="1">Tab1SDataShiftSummary[[#This Row],[Summary20]]-Tab1SDataShiftSummary[[#This Row],[Summary19]]</f>
        <v>2.2050275526530605E-4</v>
      </c>
      <c r="AY1749" s="734" t="s">
        <v>2128</v>
      </c>
    </row>
    <row r="1750" spans="1:55">
      <c r="B1750" s="734" t="s">
        <v>2285</v>
      </c>
      <c r="C1750"/>
      <c r="E1750"/>
      <c r="F1750" s="310">
        <v>0.42207542325800862</v>
      </c>
      <c r="G1750" s="310">
        <v>0.45439885737518593</v>
      </c>
      <c r="H1750" s="310">
        <v>0.45540075385218765</v>
      </c>
      <c r="I1750" s="310">
        <v>0.45597490101323884</v>
      </c>
      <c r="J1750" s="310">
        <v>0.44808875661916064</v>
      </c>
      <c r="K1750" s="310">
        <v>0.46532968866128804</v>
      </c>
      <c r="L1750" s="310">
        <v>0.43560534365376052</v>
      </c>
      <c r="M1750" s="310">
        <v>0.43180556949390414</v>
      </c>
      <c r="N1750" s="310">
        <v>0.43150098981204754</v>
      </c>
      <c r="O1750" s="310">
        <v>0.43544694985295046</v>
      </c>
      <c r="P1750" s="310">
        <v>0.43740829312703311</v>
      </c>
      <c r="Q1750" s="310">
        <v>0.43086635322446259</v>
      </c>
      <c r="R1750" s="310">
        <v>0.42800983706607637</v>
      </c>
      <c r="S1750" s="310">
        <v>0.44947194412723396</v>
      </c>
      <c r="T1750" s="310">
        <v>0.45485211088224325</v>
      </c>
      <c r="U1750" s="310">
        <v>0.4395669436962894</v>
      </c>
      <c r="V1750" s="310">
        <v>0.4551161734995135</v>
      </c>
      <c r="W1750" s="310">
        <v>0.4551265380865086</v>
      </c>
      <c r="X1750" s="310">
        <v>0.45380998552425705</v>
      </c>
      <c r="Y1750" s="310">
        <v>0.45269999754503065</v>
      </c>
      <c r="Z1750" s="310">
        <f ca="1">ABS((Z1733+Z1738)/Z1738)</f>
        <v>0.45262681878794236</v>
      </c>
      <c r="AB1750" s="310">
        <f ca="1">Tab1SDataShiftSummary[[#This Row],[Summary0]]-Tab1SDataShiftSummary[[#This Row],[Summary20]]</f>
        <v>-3.0551395529933745E-2</v>
      </c>
      <c r="AC1750" s="310">
        <f>Tab1SDataShiftSummary[[#This Row],[Summary1]]-Tab1SDataShiftSummary[[#This Row],[Summary0]]</f>
        <v>3.2323434117177308E-2</v>
      </c>
      <c r="AD1750" s="310">
        <f>Tab1SDataShiftSummary[[#This Row],[Summary2]]-Tab1SDataShiftSummary[[#This Row],[Summary1]]</f>
        <v>1.001896477001718E-3</v>
      </c>
      <c r="AE1750" s="310">
        <f>Tab1SDataShiftSummary[[#This Row],[Summary3]]-Tab1SDataShiftSummary[[#This Row],[Summary2]]</f>
        <v>5.7414716105119723E-4</v>
      </c>
      <c r="AF1750" s="310">
        <f>Tab1SDataShiftSummary[[#This Row],[Summary4]]-Tab1SDataShiftSummary[[#This Row],[Summary3]]</f>
        <v>-7.8861443940781983E-3</v>
      </c>
      <c r="AG1750" s="310">
        <f>Tab1SDataShiftSummary[[#This Row],[Summary5]]-Tab1SDataShiftSummary[[#This Row],[Summary4]]</f>
        <v>1.7240932042127399E-2</v>
      </c>
      <c r="AH1750" s="310">
        <f>Tab1SDataShiftSummary[[#This Row],[Summary6]]-Tab1SDataShiftSummary[[#This Row],[Summary5]]</f>
        <v>-2.972434500752752E-2</v>
      </c>
      <c r="AI1750" s="310">
        <f>Tab1SDataShiftSummary[[#This Row],[Summary7]]-Tab1SDataShiftSummary[[#This Row],[Summary6]]</f>
        <v>-3.7997741598563839E-3</v>
      </c>
      <c r="AJ1750" s="310">
        <f>Tab1SDataShiftSummary[[#This Row],[Summary8]]-Tab1SDataShiftSummary[[#This Row],[Summary7]]</f>
        <v>-3.0457968185659823E-4</v>
      </c>
      <c r="AK1750" s="310">
        <f>Tab1SDataShiftSummary[[#This Row],[Summary9]]-Tab1SDataShiftSummary[[#This Row],[Summary8]]</f>
        <v>3.9459600409029183E-3</v>
      </c>
      <c r="AL1750" s="310">
        <f>Tab1SDataShiftSummary[[#This Row],[Summary10]]-Tab1SDataShiftSummary[[#This Row],[Summary9]]</f>
        <v>1.9613432740826497E-3</v>
      </c>
      <c r="AM1750" s="310">
        <f>Tab1SDataShiftSummary[[#This Row],[Summary11]]-Tab1SDataShiftSummary[[#This Row],[Summary10]]</f>
        <v>-6.5419399025705149E-3</v>
      </c>
      <c r="AN1750" s="310">
        <f>Tab1SDataShiftSummary[[#This Row],[Summary12]]-Tab1SDataShiftSummary[[#This Row],[Summary11]]</f>
        <v>-2.8565161583862242E-3</v>
      </c>
      <c r="AO1750" s="310">
        <f>Tab1SDataShiftSummary[[#This Row],[Summary13]]-Tab1SDataShiftSummary[[#This Row],[Summary12]]</f>
        <v>2.1462107061157587E-2</v>
      </c>
      <c r="AP1750" s="310">
        <f>Tab1SDataShiftSummary[[#This Row],[Summary14]]-Tab1SDataShiftSummary[[#This Row],[Summary13]]</f>
        <v>5.3801667550092969E-3</v>
      </c>
      <c r="AQ1750" s="310">
        <f>Tab1SDataShiftSummary[[#This Row],[Summary15]]-Tab1SDataShiftSummary[[#This Row],[Summary14]]</f>
        <v>-1.5285167185953852E-2</v>
      </c>
      <c r="AR1750" s="310">
        <f>Tab1SDataShiftSummary[[#This Row],[Summary16]]-Tab1SDataShiftSummary[[#This Row],[Summary15]]</f>
        <v>1.5549229803224096E-2</v>
      </c>
      <c r="AS1750" s="310">
        <f>Tab1SDataShiftSummary[[#This Row],[Summary17]]-Tab1SDataShiftSummary[[#This Row],[Summary16]]</f>
        <v>1.0364586995104119E-5</v>
      </c>
      <c r="AT1750" s="310">
        <f>Tab1SDataShiftSummary[[#This Row],[Summary18]]-Tab1SDataShiftSummary[[#This Row],[Summary17]]</f>
        <v>-1.3165525622515495E-3</v>
      </c>
      <c r="AU1750" s="310">
        <f>Tab1SDataShiftSummary[[#This Row],[Summary19]]-Tab1SDataShiftSummary[[#This Row],[Summary18]]</f>
        <v>-1.1099879792264011E-3</v>
      </c>
      <c r="AV1750" s="310">
        <f ca="1">Tab1SDataShiftSummary[[#This Row],[Summary20]]-Tab1SDataShiftSummary[[#This Row],[Summary19]]</f>
        <v>-7.3178757088288027E-5</v>
      </c>
      <c r="AY1750" s="734" t="s">
        <v>2285</v>
      </c>
    </row>
    <row r="1751" spans="1:55">
      <c r="B1751" s="734" t="s">
        <v>2295</v>
      </c>
      <c r="C1751"/>
      <c r="E1751"/>
      <c r="F1751" s="977"/>
      <c r="G1751" s="977"/>
      <c r="H1751" s="977"/>
      <c r="I1751" s="977"/>
      <c r="J1751" s="977"/>
      <c r="K1751" s="977"/>
      <c r="L1751" s="977"/>
      <c r="M1751" s="977"/>
      <c r="N1751" s="977"/>
      <c r="O1751" s="977"/>
      <c r="P1751" s="977"/>
      <c r="Q1751" s="977"/>
      <c r="R1751" s="977"/>
      <c r="S1751" s="977"/>
      <c r="T1751" s="977"/>
      <c r="U1751" s="977"/>
      <c r="V1751" s="977"/>
      <c r="W1751" s="977"/>
      <c r="X1751" s="977"/>
      <c r="Y1751" s="977"/>
      <c r="Z1751" s="977"/>
      <c r="AB1751" s="93"/>
      <c r="AC1751" s="93"/>
      <c r="AD1751" s="93"/>
      <c r="AE1751" s="93"/>
      <c r="AF1751" s="93"/>
      <c r="AG1751" s="93"/>
      <c r="AH1751" s="93"/>
      <c r="AI1751" s="93"/>
      <c r="AJ1751" s="93"/>
      <c r="AK1751" s="93"/>
      <c r="AL1751" s="93"/>
      <c r="AM1751" s="93"/>
      <c r="AN1751" s="93"/>
      <c r="AO1751" s="93"/>
      <c r="AP1751" s="93"/>
      <c r="AQ1751" s="93"/>
      <c r="AR1751" s="93"/>
      <c r="AS1751" s="93"/>
      <c r="AT1751" s="93"/>
      <c r="AU1751" s="93"/>
      <c r="AV1751" s="93"/>
      <c r="AY1751" s="734" t="s">
        <v>2295</v>
      </c>
    </row>
    <row r="1752" spans="1:55" ht="23" thickBot="1">
      <c r="B1752" s="734" t="s">
        <v>1845</v>
      </c>
      <c r="C1752"/>
      <c r="E1752" t="s">
        <v>2736</v>
      </c>
      <c r="F1752" s="879"/>
      <c r="G1752" s="879"/>
      <c r="H1752" s="879"/>
      <c r="I1752" s="879"/>
      <c r="J1752" s="879"/>
      <c r="K1752" s="879"/>
      <c r="L1752" s="880"/>
      <c r="M1752" s="881"/>
      <c r="N1752" s="879"/>
      <c r="O1752" s="882"/>
      <c r="P1752" s="882"/>
      <c r="Q1752" s="879"/>
      <c r="R1752" s="883"/>
      <c r="S1752" s="879"/>
      <c r="T1752" s="879"/>
      <c r="U1752" s="879"/>
      <c r="V1752" s="879"/>
      <c r="W1752" s="880"/>
      <c r="X1752" s="884"/>
      <c r="Y1752" s="879"/>
      <c r="Z1752" s="736"/>
      <c r="AB1752" s="93"/>
      <c r="AC1752" s="93"/>
      <c r="AD1752" s="93"/>
      <c r="AE1752" s="93"/>
      <c r="AF1752" s="93"/>
      <c r="AG1752" s="93"/>
      <c r="AH1752" s="93"/>
      <c r="AI1752" s="93"/>
      <c r="AJ1752" s="93"/>
      <c r="AK1752" s="93"/>
      <c r="AL1752" s="93"/>
      <c r="AM1752" s="93"/>
      <c r="AN1752" s="93"/>
      <c r="AO1752" s="93"/>
      <c r="AP1752" s="93"/>
      <c r="AQ1752" s="93"/>
      <c r="AR1752" s="93"/>
      <c r="AS1752" s="93"/>
      <c r="AT1752" s="93"/>
      <c r="AU1752" s="93"/>
      <c r="AV1752" s="1326" t="s">
        <v>2714</v>
      </c>
      <c r="AY1752" s="734" t="s">
        <v>1845</v>
      </c>
    </row>
    <row r="1753" spans="1:55" ht="23" thickTop="1">
      <c r="B1753" s="734" t="s">
        <v>2532</v>
      </c>
      <c r="C1753"/>
      <c r="E1753" s="93">
        <f ca="1">MIN(F1754:Z1754)</f>
        <v>32470616.709999997</v>
      </c>
      <c r="F1753" s="977">
        <v>0.68867204801584792</v>
      </c>
      <c r="G1753" s="977">
        <v>0.63968370834226873</v>
      </c>
      <c r="H1753" s="977">
        <v>0.65655876519134826</v>
      </c>
      <c r="I1753" s="977">
        <v>0.69063359054838536</v>
      </c>
      <c r="J1753" s="977">
        <v>0.68228926884712049</v>
      </c>
      <c r="K1753" s="977">
        <v>0.62975719906281036</v>
      </c>
      <c r="L1753" s="977">
        <v>0.66756309615928977</v>
      </c>
      <c r="M1753" s="977">
        <v>0.70091343694852726</v>
      </c>
      <c r="N1753" s="977">
        <v>0.70140818434581087</v>
      </c>
      <c r="O1753" s="977">
        <v>0.69505212037814357</v>
      </c>
      <c r="P1753" s="977">
        <v>0.68492112959204388</v>
      </c>
      <c r="Q1753" s="977">
        <v>0.69532043980566305</v>
      </c>
      <c r="R1753" s="977">
        <v>0.70667410003211983</v>
      </c>
      <c r="S1753" s="977">
        <v>0.65508962507812485</v>
      </c>
      <c r="T1753" s="977">
        <v>0.57303823616128347</v>
      </c>
      <c r="U1753" s="977">
        <v>0.64920950395829113</v>
      </c>
      <c r="V1753" s="977">
        <v>0.60506442454354148</v>
      </c>
      <c r="W1753" s="977">
        <v>0.60505064542423947</v>
      </c>
      <c r="X1753" s="977">
        <v>0.62492216804874945</v>
      </c>
      <c r="Y1753" s="977">
        <v>0.6284915650666788</v>
      </c>
      <c r="Z1753" s="977">
        <f ca="1">(Z1743+Z1752)/Z1740</f>
        <v>0.62859317687946337</v>
      </c>
      <c r="AB1753" s="93"/>
      <c r="AC1753" s="93"/>
      <c r="AD1753" s="93"/>
      <c r="AE1753" s="93"/>
      <c r="AF1753" s="93"/>
      <c r="AG1753" s="93"/>
      <c r="AH1753" s="93"/>
      <c r="AI1753" s="93"/>
      <c r="AJ1753" s="93"/>
      <c r="AK1753" s="93"/>
      <c r="AL1753" s="93"/>
      <c r="AM1753" s="93"/>
      <c r="AN1753" s="93"/>
      <c r="AO1753" s="93"/>
      <c r="AP1753" s="93"/>
      <c r="AQ1753" s="93"/>
      <c r="AR1753" s="93"/>
      <c r="AS1753" s="93"/>
      <c r="AT1753" s="93"/>
      <c r="AU1753" s="93"/>
      <c r="AV1753" s="1031" t="s">
        <v>2538</v>
      </c>
      <c r="AY1753" s="734"/>
      <c r="AZ1753" s="355" t="s">
        <v>969</v>
      </c>
      <c r="BA1753" s="355" t="s">
        <v>157</v>
      </c>
      <c r="BB1753" s="355" t="s">
        <v>2743</v>
      </c>
      <c r="BC1753" s="355" t="s">
        <v>1087</v>
      </c>
    </row>
    <row r="1754" spans="1:55">
      <c r="A1754" t="s">
        <v>1087</v>
      </c>
      <c r="B1754" s="732" t="s">
        <v>1836</v>
      </c>
      <c r="C1754" s="894" t="e">
        <f ca="1">Calc!BB105</f>
        <v>#VALUE!</v>
      </c>
      <c r="D1754" s="732" t="s">
        <v>2286</v>
      </c>
      <c r="E1754" s="1391">
        <f ca="1">MAX(Tab1SDataShiftSummary[#This Row])</f>
        <v>35531796.484999999</v>
      </c>
      <c r="F1754" s="737">
        <v>32773297.155000001</v>
      </c>
      <c r="G1754" s="737">
        <v>33173999.099999998</v>
      </c>
      <c r="H1754" s="737">
        <v>32809329.880000003</v>
      </c>
      <c r="I1754" s="737">
        <v>32978397.049999997</v>
      </c>
      <c r="J1754" s="737">
        <v>32991978.634999998</v>
      </c>
      <c r="K1754" s="737">
        <v>32726665.059999995</v>
      </c>
      <c r="L1754" s="737">
        <v>33204157.77</v>
      </c>
      <c r="M1754" s="737">
        <v>32896210.509999998</v>
      </c>
      <c r="N1754" s="737">
        <v>32790162.289999995</v>
      </c>
      <c r="O1754" s="737">
        <v>32906850.699999999</v>
      </c>
      <c r="P1754" s="737">
        <v>32859892.839999996</v>
      </c>
      <c r="Q1754" s="737">
        <v>33002004.925499994</v>
      </c>
      <c r="R1754" s="737">
        <v>32837178.900000002</v>
      </c>
      <c r="S1754" s="737">
        <v>32470616.709999997</v>
      </c>
      <c r="T1754" s="737">
        <v>32966798.870000001</v>
      </c>
      <c r="U1754" s="737">
        <v>32931784.75</v>
      </c>
      <c r="V1754" s="737">
        <v>34268439.089999989</v>
      </c>
      <c r="W1754" s="737">
        <v>34268174.089999989</v>
      </c>
      <c r="X1754" s="737">
        <v>34826365.32</v>
      </c>
      <c r="Y1754" s="737">
        <v>35531796.484999999</v>
      </c>
      <c r="Z1754" s="737">
        <f t="shared" ref="Z1754:Z1763" ca="1" si="138">Z1712+Z1733</f>
        <v>35353585.379999995</v>
      </c>
      <c r="AB1754" s="93">
        <f ca="1">Tab1SDataShiftSummary[[#This Row],[Summary0]]-Tab1SDataShiftSummary[[#This Row],[Summary20]]</f>
        <v>-2580288.224999994</v>
      </c>
      <c r="AC1754" s="93">
        <f>Tab1SDataShiftSummary[[#This Row],[Summary1]]-Tab1SDataShiftSummary[[#This Row],[Summary0]]</f>
        <v>400701.94499999657</v>
      </c>
      <c r="AD1754" s="93">
        <f>Tab1SDataShiftSummary[[#This Row],[Summary2]]-Tab1SDataShiftSummary[[#This Row],[Summary1]]</f>
        <v>-364669.21999999508</v>
      </c>
      <c r="AE1754" s="93">
        <f>Tab1SDataShiftSummary[[#This Row],[Summary3]]-Tab1SDataShiftSummary[[#This Row],[Summary2]]</f>
        <v>169067.16999999434</v>
      </c>
      <c r="AF1754" s="93">
        <f>Tab1SDataShiftSummary[[#This Row],[Summary4]]-Tab1SDataShiftSummary[[#This Row],[Summary3]]</f>
        <v>13581.585000000894</v>
      </c>
      <c r="AG1754" s="93">
        <f>Tab1SDataShiftSummary[[#This Row],[Summary5]]-Tab1SDataShiftSummary[[#This Row],[Summary4]]</f>
        <v>-265313.57500000298</v>
      </c>
      <c r="AH1754" s="93">
        <f>Tab1SDataShiftSummary[[#This Row],[Summary6]]-Tab1SDataShiftSummary[[#This Row],[Summary5]]</f>
        <v>477492.71000000462</v>
      </c>
      <c r="AI1754" s="93">
        <f>Tab1SDataShiftSummary[[#This Row],[Summary7]]-Tab1SDataShiftSummary[[#This Row],[Summary6]]</f>
        <v>-307947.26000000164</v>
      </c>
      <c r="AJ1754" s="93">
        <f>Tab1SDataShiftSummary[[#This Row],[Summary8]]-Tab1SDataShiftSummary[[#This Row],[Summary7]]</f>
        <v>-106048.22000000253</v>
      </c>
      <c r="AK1754" s="93">
        <f>Tab1SDataShiftSummary[[#This Row],[Summary9]]-Tab1SDataShiftSummary[[#This Row],[Summary8]]</f>
        <v>116688.41000000387</v>
      </c>
      <c r="AL1754" s="93">
        <f>Tab1SDataShiftSummary[[#This Row],[Summary10]]-Tab1SDataShiftSummary[[#This Row],[Summary9]]</f>
        <v>-46957.860000003129</v>
      </c>
      <c r="AM1754" s="93">
        <f>Tab1SDataShiftSummary[[#This Row],[Summary11]]-Tab1SDataShiftSummary[[#This Row],[Summary10]]</f>
        <v>142112.08549999818</v>
      </c>
      <c r="AN1754" s="93">
        <f>Tab1SDataShiftSummary[[#This Row],[Summary12]]-Tab1SDataShiftSummary[[#This Row],[Summary11]]</f>
        <v>-164826.02549999207</v>
      </c>
      <c r="AO1754" s="93">
        <f>Tab1SDataShiftSummary[[#This Row],[Summary13]]-Tab1SDataShiftSummary[[#This Row],[Summary12]]</f>
        <v>-366562.19000000507</v>
      </c>
      <c r="AP1754" s="93">
        <f>Tab1SDataShiftSummary[[#This Row],[Summary14]]-Tab1SDataShiftSummary[[#This Row],[Summary13]]</f>
        <v>496182.16000000387</v>
      </c>
      <c r="AQ1754" s="93">
        <f>Tab1SDataShiftSummary[[#This Row],[Summary15]]-Tab1SDataShiftSummary[[#This Row],[Summary14]]</f>
        <v>-35014.120000001043</v>
      </c>
      <c r="AR1754" s="93">
        <f>Tab1SDataShiftSummary[[#This Row],[Summary16]]-Tab1SDataShiftSummary[[#This Row],[Summary15]]</f>
        <v>1336654.3399999887</v>
      </c>
      <c r="AS1754" s="93">
        <f>Tab1SDataShiftSummary[[#This Row],[Summary17]]-Tab1SDataShiftSummary[[#This Row],[Summary16]]</f>
        <v>-265</v>
      </c>
      <c r="AT1754" s="93">
        <f>Tab1SDataShiftSummary[[#This Row],[Summary18]]-Tab1SDataShiftSummary[[#This Row],[Summary17]]</f>
        <v>558191.23000001162</v>
      </c>
      <c r="AU1754" s="93">
        <f>Tab1SDataShiftSummary[[#This Row],[Summary19]]-Tab1SDataShiftSummary[[#This Row],[Summary18]]</f>
        <v>705431.16499999911</v>
      </c>
      <c r="AV1754" s="93">
        <f ca="1">Tab1SDataShiftSummary[[#This Row],[Summary20]]-Tab1SDataShiftSummary[[#This Row],[Summary19]]</f>
        <v>-178211.10500000417</v>
      </c>
      <c r="AX1754" t="s">
        <v>1087</v>
      </c>
      <c r="AY1754" s="732" t="s">
        <v>1836</v>
      </c>
      <c r="AZ1754" s="93" t="e">
        <f ca="1">Tab1SDataShiftSummary[[#This Row],[Summary20]]+C1754</f>
        <v>#VALUE!</v>
      </c>
      <c r="BA1754" s="93">
        <f ca="1">Z1764</f>
        <v>1967662.4835377336</v>
      </c>
      <c r="BB1754" s="93">
        <f ca="1">Z1773</f>
        <v>2555847.5996999992</v>
      </c>
      <c r="BC1754" s="93" t="e">
        <f ca="1">AZ1754+Z1773</f>
        <v>#VALUE!</v>
      </c>
    </row>
    <row r="1755" spans="1:55">
      <c r="B1755" s="732" t="s">
        <v>1912</v>
      </c>
      <c r="C1755"/>
      <c r="E1755"/>
      <c r="F1755" s="893">
        <v>-66549767.840238884</v>
      </c>
      <c r="G1755" s="893">
        <v>-66549767.840238884</v>
      </c>
      <c r="H1755" s="893">
        <v>-66549767.840238884</v>
      </c>
      <c r="I1755" s="893">
        <v>-66666233.277738884</v>
      </c>
      <c r="J1755" s="893">
        <v>-66666233.277738884</v>
      </c>
      <c r="K1755" s="893">
        <v>-66968393.590792812</v>
      </c>
      <c r="L1755" s="893">
        <v>-67137464.033992827</v>
      </c>
      <c r="M1755" s="893">
        <v>-67340687.043592811</v>
      </c>
      <c r="N1755" s="893">
        <v>-67340687.043592811</v>
      </c>
      <c r="O1755" s="893">
        <v>-67843194.976072818</v>
      </c>
      <c r="P1755" s="893">
        <v>-67799205.901072815</v>
      </c>
      <c r="Q1755" s="893">
        <v>-67799205.901072815</v>
      </c>
      <c r="R1755" s="893">
        <v>-68005035.670672819</v>
      </c>
      <c r="S1755" s="893">
        <v>-68118239.236672819</v>
      </c>
      <c r="T1755" s="893">
        <v>-68161620.968676016</v>
      </c>
      <c r="U1755" s="893">
        <v>-68561878.940676019</v>
      </c>
      <c r="V1755" s="893">
        <v>-70303149.503676027</v>
      </c>
      <c r="W1755" s="893">
        <v>-70303149.503676027</v>
      </c>
      <c r="X1755" s="893">
        <v>-70683094.799676016</v>
      </c>
      <c r="Y1755" s="893">
        <v>-71467567.479360014</v>
      </c>
      <c r="Z1755" s="893">
        <f t="shared" ca="1" si="138"/>
        <v>-71466626.617360011</v>
      </c>
      <c r="AB1755" s="93">
        <f ca="1">Tab1SDataShiftSummary[[#This Row],[Summary0]]-Tab1SDataShiftSummary[[#This Row],[Summary20]]</f>
        <v>4916858.7771211267</v>
      </c>
      <c r="AC1755" s="93">
        <f>Tab1SDataShiftSummary[[#This Row],[Summary1]]-Tab1SDataShiftSummary[[#This Row],[Summary0]]</f>
        <v>0</v>
      </c>
      <c r="AD1755" s="93">
        <f>Tab1SDataShiftSummary[[#This Row],[Summary2]]-Tab1SDataShiftSummary[[#This Row],[Summary1]]</f>
        <v>0</v>
      </c>
      <c r="AE1755" s="93">
        <f>Tab1SDataShiftSummary[[#This Row],[Summary3]]-Tab1SDataShiftSummary[[#This Row],[Summary2]]</f>
        <v>-116465.4375</v>
      </c>
      <c r="AF1755" s="93">
        <f>Tab1SDataShiftSummary[[#This Row],[Summary4]]-Tab1SDataShiftSummary[[#This Row],[Summary3]]</f>
        <v>0</v>
      </c>
      <c r="AG1755" s="93">
        <f>Tab1SDataShiftSummary[[#This Row],[Summary5]]-Tab1SDataShiftSummary[[#This Row],[Summary4]]</f>
        <v>-302160.31305392832</v>
      </c>
      <c r="AH1755" s="93">
        <f>Tab1SDataShiftSummary[[#This Row],[Summary6]]-Tab1SDataShiftSummary[[#This Row],[Summary5]]</f>
        <v>-169070.44320001453</v>
      </c>
      <c r="AI1755" s="93">
        <f>Tab1SDataShiftSummary[[#This Row],[Summary7]]-Tab1SDataShiftSummary[[#This Row],[Summary6]]</f>
        <v>-203223.00959998369</v>
      </c>
      <c r="AJ1755" s="93">
        <f>Tab1SDataShiftSummary[[#This Row],[Summary8]]-Tab1SDataShiftSummary[[#This Row],[Summary7]]</f>
        <v>0</v>
      </c>
      <c r="AK1755" s="93">
        <f>Tab1SDataShiftSummary[[#This Row],[Summary9]]-Tab1SDataShiftSummary[[#This Row],[Summary8]]</f>
        <v>-502507.93248000741</v>
      </c>
      <c r="AL1755" s="93">
        <f>Tab1SDataShiftSummary[[#This Row],[Summary10]]-Tab1SDataShiftSummary[[#This Row],[Summary9]]</f>
        <v>43989.07500000298</v>
      </c>
      <c r="AM1755" s="93">
        <f>Tab1SDataShiftSummary[[#This Row],[Summary11]]-Tab1SDataShiftSummary[[#This Row],[Summary10]]</f>
        <v>0</v>
      </c>
      <c r="AN1755" s="93">
        <f>Tab1SDataShiftSummary[[#This Row],[Summary12]]-Tab1SDataShiftSummary[[#This Row],[Summary11]]</f>
        <v>-205829.76960000396</v>
      </c>
      <c r="AO1755" s="93">
        <f>Tab1SDataShiftSummary[[#This Row],[Summary13]]-Tab1SDataShiftSummary[[#This Row],[Summary12]]</f>
        <v>-113203.56599999964</v>
      </c>
      <c r="AP1755" s="93">
        <f>Tab1SDataShiftSummary[[#This Row],[Summary14]]-Tab1SDataShiftSummary[[#This Row],[Summary13]]</f>
        <v>-43381.732003197074</v>
      </c>
      <c r="AQ1755" s="93">
        <f>Tab1SDataShiftSummary[[#This Row],[Summary15]]-Tab1SDataShiftSummary[[#This Row],[Summary14]]</f>
        <v>-400257.97200000286</v>
      </c>
      <c r="AR1755" s="93">
        <f>Tab1SDataShiftSummary[[#This Row],[Summary16]]-Tab1SDataShiftSummary[[#This Row],[Summary15]]</f>
        <v>-1741270.5630000085</v>
      </c>
      <c r="AS1755" s="93">
        <f>Tab1SDataShiftSummary[[#This Row],[Summary17]]-Tab1SDataShiftSummary[[#This Row],[Summary16]]</f>
        <v>0</v>
      </c>
      <c r="AT1755" s="93">
        <f>Tab1SDataShiftSummary[[#This Row],[Summary18]]-Tab1SDataShiftSummary[[#This Row],[Summary17]]</f>
        <v>-379945.29599998891</v>
      </c>
      <c r="AU1755" s="93">
        <f>Tab1SDataShiftSummary[[#This Row],[Summary19]]-Tab1SDataShiftSummary[[#This Row],[Summary18]]</f>
        <v>-784472.67968399823</v>
      </c>
      <c r="AV1755" s="93">
        <f ca="1">Tab1SDataShiftSummary[[#This Row],[Summary20]]-Tab1SDataShiftSummary[[#This Row],[Summary19]]</f>
        <v>940.86200000345707</v>
      </c>
      <c r="AY1755" s="732" t="s">
        <v>1912</v>
      </c>
    </row>
    <row r="1756" spans="1:55">
      <c r="B1756" s="732" t="s">
        <v>2300</v>
      </c>
      <c r="C1756" s="93">
        <f ca="1">Tab1SDataShiftSummary[[#This Row],[Summary20]]</f>
        <v>-10097677.924424035</v>
      </c>
      <c r="E1756"/>
      <c r="F1756" s="737">
        <v>-10141402.07975284</v>
      </c>
      <c r="G1756" s="737">
        <v>-10390766.754752841</v>
      </c>
      <c r="H1756" s="737">
        <v>-10390766.754752841</v>
      </c>
      <c r="I1756" s="737">
        <v>-10330821.754752841</v>
      </c>
      <c r="J1756" s="737">
        <v>-10330821.754752841</v>
      </c>
      <c r="K1756" s="737">
        <v>-10070477.904354032</v>
      </c>
      <c r="L1756" s="737">
        <v>-9980697.9043540321</v>
      </c>
      <c r="M1756" s="737">
        <v>-9991025.0981141143</v>
      </c>
      <c r="N1756" s="737">
        <v>-9943465.0981141143</v>
      </c>
      <c r="O1756" s="737">
        <v>-10261166.176354034</v>
      </c>
      <c r="P1756" s="737">
        <v>-10243608.562354034</v>
      </c>
      <c r="Q1756" s="737">
        <v>-10212204.102354035</v>
      </c>
      <c r="R1756" s="737">
        <v>-10088195.529424034</v>
      </c>
      <c r="S1756" s="737">
        <v>-9906527.1452240348</v>
      </c>
      <c r="T1756" s="737">
        <v>-9816629.1772240344</v>
      </c>
      <c r="U1756" s="737">
        <v>-9684839.1772240344</v>
      </c>
      <c r="V1756" s="737">
        <v>-9880700.6844240353</v>
      </c>
      <c r="W1756" s="737">
        <v>-9880700.6844240353</v>
      </c>
      <c r="X1756" s="737">
        <v>-9880700.6844240353</v>
      </c>
      <c r="Y1756" s="737">
        <v>-10097677.924424035</v>
      </c>
      <c r="Z1756" s="737">
        <f t="shared" ca="1" si="138"/>
        <v>-10097677.924424035</v>
      </c>
      <c r="AB1756" s="93">
        <f ca="1">Tab1SDataShiftSummary[[#This Row],[Summary0]]-Tab1SDataShiftSummary[[#This Row],[Summary20]]</f>
        <v>-43724.155328804627</v>
      </c>
      <c r="AC1756" s="93">
        <f>Tab1SDataShiftSummary[[#This Row],[Summary1]]-Tab1SDataShiftSummary[[#This Row],[Summary0]]</f>
        <v>-249364.67500000075</v>
      </c>
      <c r="AD1756" s="93">
        <f>Tab1SDataShiftSummary[[#This Row],[Summary2]]-Tab1SDataShiftSummary[[#This Row],[Summary1]]</f>
        <v>0</v>
      </c>
      <c r="AE1756" s="93">
        <f>Tab1SDataShiftSummary[[#This Row],[Summary3]]-Tab1SDataShiftSummary[[#This Row],[Summary2]]</f>
        <v>59945</v>
      </c>
      <c r="AF1756" s="93">
        <f>Tab1SDataShiftSummary[[#This Row],[Summary4]]-Tab1SDataShiftSummary[[#This Row],[Summary3]]</f>
        <v>0</v>
      </c>
      <c r="AG1756" s="93">
        <f>Tab1SDataShiftSummary[[#This Row],[Summary5]]-Tab1SDataShiftSummary[[#This Row],[Summary4]]</f>
        <v>260343.85039880872</v>
      </c>
      <c r="AH1756" s="93">
        <f>Tab1SDataShiftSummary[[#This Row],[Summary6]]-Tab1SDataShiftSummary[[#This Row],[Summary5]]</f>
        <v>89780</v>
      </c>
      <c r="AI1756" s="93">
        <f>Tab1SDataShiftSummary[[#This Row],[Summary7]]-Tab1SDataShiftSummary[[#This Row],[Summary6]]</f>
        <v>-10327.193760082126</v>
      </c>
      <c r="AJ1756" s="93">
        <f>Tab1SDataShiftSummary[[#This Row],[Summary8]]-Tab1SDataShiftSummary[[#This Row],[Summary7]]</f>
        <v>47560</v>
      </c>
      <c r="AK1756" s="93">
        <f>Tab1SDataShiftSummary[[#This Row],[Summary9]]-Tab1SDataShiftSummary[[#This Row],[Summary8]]</f>
        <v>-317701.07823991962</v>
      </c>
      <c r="AL1756" s="93">
        <f>Tab1SDataShiftSummary[[#This Row],[Summary10]]-Tab1SDataShiftSummary[[#This Row],[Summary9]]</f>
        <v>17557.61400000006</v>
      </c>
      <c r="AM1756" s="93">
        <f>Tab1SDataShiftSummary[[#This Row],[Summary11]]-Tab1SDataShiftSummary[[#This Row],[Summary10]]</f>
        <v>31404.459999999031</v>
      </c>
      <c r="AN1756" s="93">
        <f>Tab1SDataShiftSummary[[#This Row],[Summary12]]-Tab1SDataShiftSummary[[#This Row],[Summary11]]</f>
        <v>124008.57293000072</v>
      </c>
      <c r="AO1756" s="93">
        <f>Tab1SDataShiftSummary[[#This Row],[Summary13]]-Tab1SDataShiftSummary[[#This Row],[Summary12]]</f>
        <v>181668.38419999927</v>
      </c>
      <c r="AP1756" s="93">
        <f>Tab1SDataShiftSummary[[#This Row],[Summary14]]-Tab1SDataShiftSummary[[#This Row],[Summary13]]</f>
        <v>89897.968000000343</v>
      </c>
      <c r="AQ1756" s="93">
        <f>Tab1SDataShiftSummary[[#This Row],[Summary15]]-Tab1SDataShiftSummary[[#This Row],[Summary14]]</f>
        <v>131790</v>
      </c>
      <c r="AR1756" s="93">
        <f>Tab1SDataShiftSummary[[#This Row],[Summary16]]-Tab1SDataShiftSummary[[#This Row],[Summary15]]</f>
        <v>-195861.50720000081</v>
      </c>
      <c r="AS1756" s="93">
        <f>Tab1SDataShiftSummary[[#This Row],[Summary17]]-Tab1SDataShiftSummary[[#This Row],[Summary16]]</f>
        <v>0</v>
      </c>
      <c r="AT1756" s="93">
        <f>Tab1SDataShiftSummary[[#This Row],[Summary18]]-Tab1SDataShiftSummary[[#This Row],[Summary17]]</f>
        <v>0</v>
      </c>
      <c r="AU1756" s="93">
        <f>Tab1SDataShiftSummary[[#This Row],[Summary19]]-Tab1SDataShiftSummary[[#This Row],[Summary18]]</f>
        <v>-216977.24000000022</v>
      </c>
      <c r="AV1756" s="93">
        <f ca="1">Tab1SDataShiftSummary[[#This Row],[Summary20]]-Tab1SDataShiftSummary[[#This Row],[Summary19]]</f>
        <v>0</v>
      </c>
      <c r="AY1756" s="732" t="s">
        <v>2300</v>
      </c>
    </row>
    <row r="1757" spans="1:55">
      <c r="B1757" s="732" t="s">
        <v>2132</v>
      </c>
      <c r="C1757" s="93">
        <f ca="1">Tab1SDataShiftSummary[[#This Row],[Summary20]]</f>
        <v>10320631.823236285</v>
      </c>
      <c r="E1757"/>
      <c r="F1757" s="737">
        <v>7378473.5982362805</v>
      </c>
      <c r="G1757" s="737">
        <v>7779175.5432362864</v>
      </c>
      <c r="H1757" s="737">
        <v>7414506.3232362885</v>
      </c>
      <c r="I1757" s="737">
        <v>7583573.4932362828</v>
      </c>
      <c r="J1757" s="737">
        <v>7597155.0782362875</v>
      </c>
      <c r="K1757" s="737">
        <v>7331841.5032362873</v>
      </c>
      <c r="L1757" s="737">
        <v>7809334.2132362872</v>
      </c>
      <c r="M1757" s="737">
        <v>7501386.9532362893</v>
      </c>
      <c r="N1757" s="737">
        <v>7395338.7332362868</v>
      </c>
      <c r="O1757" s="737">
        <v>7512027.1432362879</v>
      </c>
      <c r="P1757" s="737">
        <v>7465069.2832362885</v>
      </c>
      <c r="Q1757" s="737">
        <v>7607181.3687362894</v>
      </c>
      <c r="R1757" s="737">
        <v>7442355.3432362881</v>
      </c>
      <c r="S1757" s="737">
        <v>7075793.1532362849</v>
      </c>
      <c r="T1757" s="737">
        <v>7571975.3132362859</v>
      </c>
      <c r="U1757" s="737">
        <v>7536961.1932362905</v>
      </c>
      <c r="V1757" s="737">
        <v>8873615.5332362894</v>
      </c>
      <c r="W1757" s="737">
        <v>8873350.5332362894</v>
      </c>
      <c r="X1757" s="737">
        <v>9431541.763236288</v>
      </c>
      <c r="Y1757" s="737">
        <v>10136972.928236287</v>
      </c>
      <c r="Z1757" s="737">
        <f t="shared" ca="1" si="138"/>
        <v>10320631.823236285</v>
      </c>
      <c r="AB1757" s="93">
        <f ca="1">Tab1SDataShiftSummary[[#This Row],[Summary0]]-Tab1SDataShiftSummary[[#This Row],[Summary20]]</f>
        <v>-2942158.2250000043</v>
      </c>
      <c r="AC1757" s="93">
        <f>Tab1SDataShiftSummary[[#This Row],[Summary1]]-Tab1SDataShiftSummary[[#This Row],[Summary0]]</f>
        <v>400701.94500000589</v>
      </c>
      <c r="AD1757" s="93">
        <f>Tab1SDataShiftSummary[[#This Row],[Summary2]]-Tab1SDataShiftSummary[[#This Row],[Summary1]]</f>
        <v>-364669.21999999788</v>
      </c>
      <c r="AE1757" s="93">
        <f>Tab1SDataShiftSummary[[#This Row],[Summary3]]-Tab1SDataShiftSummary[[#This Row],[Summary2]]</f>
        <v>169067.16999999434</v>
      </c>
      <c r="AF1757" s="93">
        <f>Tab1SDataShiftSummary[[#This Row],[Summary4]]-Tab1SDataShiftSummary[[#This Row],[Summary3]]</f>
        <v>13581.585000004619</v>
      </c>
      <c r="AG1757" s="93">
        <f>Tab1SDataShiftSummary[[#This Row],[Summary5]]-Tab1SDataShiftSummary[[#This Row],[Summary4]]</f>
        <v>-265313.57500000019</v>
      </c>
      <c r="AH1757" s="93">
        <f>Tab1SDataShiftSummary[[#This Row],[Summary6]]-Tab1SDataShiftSummary[[#This Row],[Summary5]]</f>
        <v>477492.70999999996</v>
      </c>
      <c r="AI1757" s="93">
        <f>Tab1SDataShiftSummary[[#This Row],[Summary7]]-Tab1SDataShiftSummary[[#This Row],[Summary6]]</f>
        <v>-307947.25999999791</v>
      </c>
      <c r="AJ1757" s="93">
        <f>Tab1SDataShiftSummary[[#This Row],[Summary8]]-Tab1SDataShiftSummary[[#This Row],[Summary7]]</f>
        <v>-106048.22000000253</v>
      </c>
      <c r="AK1757" s="93">
        <f>Tab1SDataShiftSummary[[#This Row],[Summary9]]-Tab1SDataShiftSummary[[#This Row],[Summary8]]</f>
        <v>116688.41000000108</v>
      </c>
      <c r="AL1757" s="93">
        <f>Tab1SDataShiftSummary[[#This Row],[Summary10]]-Tab1SDataShiftSummary[[#This Row],[Summary9]]</f>
        <v>-46957.859999999404</v>
      </c>
      <c r="AM1757" s="93">
        <f>Tab1SDataShiftSummary[[#This Row],[Summary11]]-Tab1SDataShiftSummary[[#This Row],[Summary10]]</f>
        <v>142112.08550000098</v>
      </c>
      <c r="AN1757" s="93">
        <f>Tab1SDataShiftSummary[[#This Row],[Summary12]]-Tab1SDataShiftSummary[[#This Row],[Summary11]]</f>
        <v>-164826.02550000139</v>
      </c>
      <c r="AO1757" s="93">
        <f>Tab1SDataShiftSummary[[#This Row],[Summary13]]-Tab1SDataShiftSummary[[#This Row],[Summary12]]</f>
        <v>-366562.1900000032</v>
      </c>
      <c r="AP1757" s="93">
        <f>Tab1SDataShiftSummary[[#This Row],[Summary14]]-Tab1SDataShiftSummary[[#This Row],[Summary13]]</f>
        <v>496182.16000000108</v>
      </c>
      <c r="AQ1757" s="93">
        <f>Tab1SDataShiftSummary[[#This Row],[Summary15]]-Tab1SDataShiftSummary[[#This Row],[Summary14]]</f>
        <v>-35014.119999995455</v>
      </c>
      <c r="AR1757" s="93">
        <f>Tab1SDataShiftSummary[[#This Row],[Summary16]]-Tab1SDataShiftSummary[[#This Row],[Summary15]]</f>
        <v>1336654.3399999989</v>
      </c>
      <c r="AS1757" s="93">
        <f>Tab1SDataShiftSummary[[#This Row],[Summary17]]-Tab1SDataShiftSummary[[#This Row],[Summary16]]</f>
        <v>-265</v>
      </c>
      <c r="AT1757" s="93">
        <f>Tab1SDataShiftSummary[[#This Row],[Summary18]]-Tab1SDataShiftSummary[[#This Row],[Summary17]]</f>
        <v>558191.22999999858</v>
      </c>
      <c r="AU1757" s="93">
        <f>Tab1SDataShiftSummary[[#This Row],[Summary19]]-Tab1SDataShiftSummary[[#This Row],[Summary18]]</f>
        <v>705431.16499999911</v>
      </c>
      <c r="AV1757" s="93">
        <f ca="1">Tab1SDataShiftSummary[[#This Row],[Summary20]]-Tab1SDataShiftSummary[[#This Row],[Summary19]]</f>
        <v>183658.89499999769</v>
      </c>
      <c r="AY1757" s="732" t="s">
        <v>2132</v>
      </c>
      <c r="AZ1757" t="s">
        <v>2129</v>
      </c>
    </row>
    <row r="1758" spans="1:55">
      <c r="B1758" s="732" t="s">
        <v>1914</v>
      </c>
      <c r="C1758" s="93"/>
      <c r="E1758"/>
      <c r="F1758" s="737">
        <v>-91944591.397002578</v>
      </c>
      <c r="G1758" s="737">
        <v>-91944591.397002578</v>
      </c>
      <c r="H1758" s="737">
        <v>-91944591.397002578</v>
      </c>
      <c r="I1758" s="737">
        <v>-92061056.834502578</v>
      </c>
      <c r="J1758" s="737">
        <v>-92061056.834502578</v>
      </c>
      <c r="K1758" s="737">
        <v>-92363217.147556543</v>
      </c>
      <c r="L1758" s="737">
        <v>-92532287.590756536</v>
      </c>
      <c r="M1758" s="737">
        <v>-92735510.600356549</v>
      </c>
      <c r="N1758" s="737">
        <v>-92735510.600356549</v>
      </c>
      <c r="O1758" s="737">
        <v>-93238018.532836542</v>
      </c>
      <c r="P1758" s="737">
        <v>-93194029.457836539</v>
      </c>
      <c r="Q1758" s="737">
        <v>-93194029.457836539</v>
      </c>
      <c r="R1758" s="737">
        <v>-93399859.227436543</v>
      </c>
      <c r="S1758" s="737">
        <v>-93513062.793436542</v>
      </c>
      <c r="T1758" s="737">
        <v>-93556444.525439739</v>
      </c>
      <c r="U1758" s="737">
        <v>-93956702.497439742</v>
      </c>
      <c r="V1758" s="737">
        <v>-95697973.060439736</v>
      </c>
      <c r="W1758" s="737">
        <v>-95697973.060439736</v>
      </c>
      <c r="X1758" s="737">
        <v>-96077918.356439739</v>
      </c>
      <c r="Y1758" s="737">
        <v>-96862391.036123738</v>
      </c>
      <c r="Z1758" s="737">
        <f t="shared" ca="1" si="138"/>
        <v>-96499580.174123734</v>
      </c>
      <c r="AA1758" s="364"/>
      <c r="AB1758" s="93">
        <f ca="1">Tab1SDataShiftSummary[[#This Row],[Summary0]]-Tab1SDataShiftSummary[[#This Row],[Summary20]]</f>
        <v>4554988.7771211565</v>
      </c>
      <c r="AC1758" s="93">
        <f>Tab1SDataShiftSummary[[#This Row],[Summary1]]-Tab1SDataShiftSummary[[#This Row],[Summary0]]</f>
        <v>0</v>
      </c>
      <c r="AD1758" s="93">
        <f>Tab1SDataShiftSummary[[#This Row],[Summary2]]-Tab1SDataShiftSummary[[#This Row],[Summary1]]</f>
        <v>0</v>
      </c>
      <c r="AE1758" s="93">
        <f>Tab1SDataShiftSummary[[#This Row],[Summary3]]-Tab1SDataShiftSummary[[#This Row],[Summary2]]</f>
        <v>-116465.4375</v>
      </c>
      <c r="AF1758" s="93">
        <f>Tab1SDataShiftSummary[[#This Row],[Summary4]]-Tab1SDataShiftSummary[[#This Row],[Summary3]]</f>
        <v>0</v>
      </c>
      <c r="AG1758" s="93">
        <f>Tab1SDataShiftSummary[[#This Row],[Summary5]]-Tab1SDataShiftSummary[[#This Row],[Summary4]]</f>
        <v>-302160.31305396557</v>
      </c>
      <c r="AH1758" s="93">
        <f>Tab1SDataShiftSummary[[#This Row],[Summary6]]-Tab1SDataShiftSummary[[#This Row],[Summary5]]</f>
        <v>-169070.44319999218</v>
      </c>
      <c r="AI1758" s="93">
        <f>Tab1SDataShiftSummary[[#This Row],[Summary7]]-Tab1SDataShiftSummary[[#This Row],[Summary6]]</f>
        <v>-203223.00960001349</v>
      </c>
      <c r="AJ1758" s="93">
        <f>Tab1SDataShiftSummary[[#This Row],[Summary8]]-Tab1SDataShiftSummary[[#This Row],[Summary7]]</f>
        <v>0</v>
      </c>
      <c r="AK1758" s="93">
        <f>Tab1SDataShiftSummary[[#This Row],[Summary9]]-Tab1SDataShiftSummary[[#This Row],[Summary8]]</f>
        <v>-502507.93247999251</v>
      </c>
      <c r="AL1758" s="93">
        <f>Tab1SDataShiftSummary[[#This Row],[Summary10]]-Tab1SDataShiftSummary[[#This Row],[Summary9]]</f>
        <v>43989.07500000298</v>
      </c>
      <c r="AM1758" s="93">
        <f>Tab1SDataShiftSummary[[#This Row],[Summary11]]-Tab1SDataShiftSummary[[#This Row],[Summary10]]</f>
        <v>0</v>
      </c>
      <c r="AN1758" s="93">
        <f>Tab1SDataShiftSummary[[#This Row],[Summary12]]-Tab1SDataShiftSummary[[#This Row],[Summary11]]</f>
        <v>-205829.76960000396</v>
      </c>
      <c r="AO1758" s="93">
        <f>Tab1SDataShiftSummary[[#This Row],[Summary13]]-Tab1SDataShiftSummary[[#This Row],[Summary12]]</f>
        <v>-113203.56599999964</v>
      </c>
      <c r="AP1758" s="93">
        <f>Tab1SDataShiftSummary[[#This Row],[Summary14]]-Tab1SDataShiftSummary[[#This Row],[Summary13]]</f>
        <v>-43381.732003197074</v>
      </c>
      <c r="AQ1758" s="93">
        <f>Tab1SDataShiftSummary[[#This Row],[Summary15]]-Tab1SDataShiftSummary[[#This Row],[Summary14]]</f>
        <v>-400257.97200000286</v>
      </c>
      <c r="AR1758" s="93">
        <f>Tab1SDataShiftSummary[[#This Row],[Summary16]]-Tab1SDataShiftSummary[[#This Row],[Summary15]]</f>
        <v>-1741270.5629999936</v>
      </c>
      <c r="AS1758" s="93">
        <f>Tab1SDataShiftSummary[[#This Row],[Summary17]]-Tab1SDataShiftSummary[[#This Row],[Summary16]]</f>
        <v>0</v>
      </c>
      <c r="AT1758" s="93">
        <f>Tab1SDataShiftSummary[[#This Row],[Summary18]]-Tab1SDataShiftSummary[[#This Row],[Summary17]]</f>
        <v>-379945.29600000381</v>
      </c>
      <c r="AU1758" s="93">
        <f>Tab1SDataShiftSummary[[#This Row],[Summary19]]-Tab1SDataShiftSummary[[#This Row],[Summary18]]</f>
        <v>-784472.67968399823</v>
      </c>
      <c r="AV1758" s="93">
        <f ca="1">Tab1SDataShiftSummary[[#This Row],[Summary20]]-Tab1SDataShiftSummary[[#This Row],[Summary19]]</f>
        <v>362810.86200000346</v>
      </c>
      <c r="AY1758" s="732" t="s">
        <v>1914</v>
      </c>
    </row>
    <row r="1759" spans="1:55">
      <c r="B1759" s="733" t="s">
        <v>2294</v>
      </c>
      <c r="C1759" s="93">
        <f ca="1">Tab1SDataShiftSummary[[#This Row],[Summary20]]</f>
        <v>-22623615.948754717</v>
      </c>
      <c r="E1759"/>
      <c r="F1759" s="737">
        <v>-20893811.916754715</v>
      </c>
      <c r="G1759" s="737">
        <v>-20893811.916754715</v>
      </c>
      <c r="H1759" s="737">
        <v>-20893811.916754715</v>
      </c>
      <c r="I1759" s="737">
        <v>-20814010.916754715</v>
      </c>
      <c r="J1759" s="737">
        <v>-20715350.916754715</v>
      </c>
      <c r="K1759" s="737">
        <v>-20325316.316754714</v>
      </c>
      <c r="L1759" s="737">
        <v>-20310367.316754714</v>
      </c>
      <c r="M1759" s="737">
        <v>-20130319.916754715</v>
      </c>
      <c r="N1759" s="737">
        <v>-20082759.916754715</v>
      </c>
      <c r="O1759" s="737">
        <v>-20563864.116754718</v>
      </c>
      <c r="P1759" s="737">
        <v>-20490729.756754719</v>
      </c>
      <c r="Q1759" s="737">
        <v>-20378765.296754718</v>
      </c>
      <c r="R1759" s="737">
        <v>-20375080.476754718</v>
      </c>
      <c r="S1759" s="737">
        <v>-20253530.376754716</v>
      </c>
      <c r="T1759" s="737">
        <v>-20043163.608754717</v>
      </c>
      <c r="U1759" s="737">
        <v>-20139928.608754717</v>
      </c>
      <c r="V1759" s="737">
        <v>-21786843.608754717</v>
      </c>
      <c r="W1759" s="737">
        <v>-21786843.608754717</v>
      </c>
      <c r="X1759" s="737">
        <v>-22125302.608754717</v>
      </c>
      <c r="Y1759" s="737">
        <v>-22737025.948754717</v>
      </c>
      <c r="Z1759" s="737">
        <f t="shared" ca="1" si="138"/>
        <v>-22623615.948754717</v>
      </c>
      <c r="AA1759" s="364"/>
      <c r="AB1759" s="93">
        <f ca="1">Tab1SDataShiftSummary[[#This Row],[Summary0]]-Tab1SDataShiftSummary[[#This Row],[Summary20]]</f>
        <v>1729804.0320000015</v>
      </c>
      <c r="AC1759" s="93">
        <f>Tab1SDataShiftSummary[[#This Row],[Summary1]]-Tab1SDataShiftSummary[[#This Row],[Summary0]]</f>
        <v>0</v>
      </c>
      <c r="AD1759" s="93">
        <f>Tab1SDataShiftSummary[[#This Row],[Summary2]]-Tab1SDataShiftSummary[[#This Row],[Summary1]]</f>
        <v>0</v>
      </c>
      <c r="AE1759" s="93">
        <f>Tab1SDataShiftSummary[[#This Row],[Summary3]]-Tab1SDataShiftSummary[[#This Row],[Summary2]]</f>
        <v>79801</v>
      </c>
      <c r="AF1759" s="93">
        <f>Tab1SDataShiftSummary[[#This Row],[Summary4]]-Tab1SDataShiftSummary[[#This Row],[Summary3]]</f>
        <v>98660</v>
      </c>
      <c r="AG1759" s="93">
        <f>Tab1SDataShiftSummary[[#This Row],[Summary5]]-Tab1SDataShiftSummary[[#This Row],[Summary4]]</f>
        <v>390034.60000000149</v>
      </c>
      <c r="AH1759" s="93">
        <f>Tab1SDataShiftSummary[[#This Row],[Summary6]]-Tab1SDataShiftSummary[[#This Row],[Summary5]]</f>
        <v>14949</v>
      </c>
      <c r="AI1759" s="93">
        <f>Tab1SDataShiftSummary[[#This Row],[Summary7]]-Tab1SDataShiftSummary[[#This Row],[Summary6]]</f>
        <v>180047.39999999851</v>
      </c>
      <c r="AJ1759" s="93">
        <f>Tab1SDataShiftSummary[[#This Row],[Summary8]]-Tab1SDataShiftSummary[[#This Row],[Summary7]]</f>
        <v>47560</v>
      </c>
      <c r="AK1759" s="93">
        <f>Tab1SDataShiftSummary[[#This Row],[Summary9]]-Tab1SDataShiftSummary[[#This Row],[Summary8]]</f>
        <v>-481104.20000000298</v>
      </c>
      <c r="AL1759" s="93">
        <f>Tab1SDataShiftSummary[[#This Row],[Summary10]]-Tab1SDataShiftSummary[[#This Row],[Summary9]]</f>
        <v>73134.359999999404</v>
      </c>
      <c r="AM1759" s="93">
        <f>Tab1SDataShiftSummary[[#This Row],[Summary11]]-Tab1SDataShiftSummary[[#This Row],[Summary10]]</f>
        <v>111964.46000000089</v>
      </c>
      <c r="AN1759" s="93">
        <f>Tab1SDataShiftSummary[[#This Row],[Summary12]]-Tab1SDataShiftSummary[[#This Row],[Summary11]]</f>
        <v>3684.820000000298</v>
      </c>
      <c r="AO1759" s="93">
        <f>Tab1SDataShiftSummary[[#This Row],[Summary13]]-Tab1SDataShiftSummary[[#This Row],[Summary12]]</f>
        <v>121550.10000000149</v>
      </c>
      <c r="AP1759" s="93">
        <f>Tab1SDataShiftSummary[[#This Row],[Summary14]]-Tab1SDataShiftSummary[[#This Row],[Summary13]]</f>
        <v>210366.76799999923</v>
      </c>
      <c r="AQ1759" s="93">
        <f>Tab1SDataShiftSummary[[#This Row],[Summary15]]-Tab1SDataShiftSummary[[#This Row],[Summary14]]</f>
        <v>-96765</v>
      </c>
      <c r="AR1759" s="93">
        <f>Tab1SDataShiftSummary[[#This Row],[Summary16]]-Tab1SDataShiftSummary[[#This Row],[Summary15]]</f>
        <v>-1646915</v>
      </c>
      <c r="AS1759" s="93">
        <f>Tab1SDataShiftSummary[[#This Row],[Summary17]]-Tab1SDataShiftSummary[[#This Row],[Summary16]]</f>
        <v>0</v>
      </c>
      <c r="AT1759" s="93">
        <f>Tab1SDataShiftSummary[[#This Row],[Summary18]]-Tab1SDataShiftSummary[[#This Row],[Summary17]]</f>
        <v>-338459</v>
      </c>
      <c r="AU1759" s="93">
        <f>Tab1SDataShiftSummary[[#This Row],[Summary19]]-Tab1SDataShiftSummary[[#This Row],[Summary18]]</f>
        <v>-611723.33999999985</v>
      </c>
      <c r="AV1759" s="93">
        <f ca="1">Tab1SDataShiftSummary[[#This Row],[Summary20]]-Tab1SDataShiftSummary[[#This Row],[Summary19]]</f>
        <v>113410</v>
      </c>
      <c r="AY1759" s="733" t="s">
        <v>2537</v>
      </c>
    </row>
    <row r="1760" spans="1:55">
      <c r="B1760" s="732" t="s">
        <v>1913</v>
      </c>
      <c r="C1760" s="93"/>
      <c r="E1760"/>
      <c r="F1760" s="893">
        <v>70644437.494344011</v>
      </c>
      <c r="G1760" s="893">
        <v>70644437.494344026</v>
      </c>
      <c r="H1760" s="893">
        <v>70644437.494344026</v>
      </c>
      <c r="I1760" s="893">
        <v>70839923.554344013</v>
      </c>
      <c r="J1760" s="893">
        <v>70938336.904344022</v>
      </c>
      <c r="K1760" s="893">
        <v>71611703.436421722</v>
      </c>
      <c r="L1760" s="893">
        <v>71794807.125821739</v>
      </c>
      <c r="M1760" s="893">
        <v>72176555.392981708</v>
      </c>
      <c r="N1760" s="893">
        <v>72223991.73698172</v>
      </c>
      <c r="O1760" s="893">
        <v>72244040.075421721</v>
      </c>
      <c r="P1760" s="893">
        <v>72273223.361085713</v>
      </c>
      <c r="Q1760" s="893">
        <v>72384896.713489711</v>
      </c>
      <c r="R1760" s="893">
        <v>72593334.183357731</v>
      </c>
      <c r="S1760" s="893">
        <v>72827184.687097743</v>
      </c>
      <c r="T1760" s="893">
        <v>73080161.233497724</v>
      </c>
      <c r="U1760" s="893">
        <v>73381829.850497723</v>
      </c>
      <c r="V1760" s="893">
        <v>73471436.266497731</v>
      </c>
      <c r="W1760" s="893">
        <v>73471436.266497731</v>
      </c>
      <c r="X1760" s="893">
        <v>73511831.963897735</v>
      </c>
      <c r="Y1760" s="893">
        <v>73682103.104897752</v>
      </c>
      <c r="Z1760" s="893">
        <f t="shared" ca="1" si="138"/>
        <v>73434289.100897744</v>
      </c>
      <c r="AA1760" s="364"/>
      <c r="AB1760" s="93">
        <f ca="1">Tab1SDataShiftSummary[[#This Row],[Summary0]]-Tab1SDataShiftSummary[[#This Row],[Summary20]]</f>
        <v>-2789851.6065537333</v>
      </c>
      <c r="AC1760" s="93">
        <f>Tab1SDataShiftSummary[[#This Row],[Summary1]]-Tab1SDataShiftSummary[[#This Row],[Summary0]]</f>
        <v>0</v>
      </c>
      <c r="AD1760" s="93">
        <f>Tab1SDataShiftSummary[[#This Row],[Summary2]]-Tab1SDataShiftSummary[[#This Row],[Summary1]]</f>
        <v>0</v>
      </c>
      <c r="AE1760" s="93">
        <f>Tab1SDataShiftSummary[[#This Row],[Summary3]]-Tab1SDataShiftSummary[[#This Row],[Summary2]]</f>
        <v>195486.05999998748</v>
      </c>
      <c r="AF1760" s="93">
        <f>Tab1SDataShiftSummary[[#This Row],[Summary4]]-Tab1SDataShiftSummary[[#This Row],[Summary3]]</f>
        <v>98413.350000008941</v>
      </c>
      <c r="AG1760" s="93">
        <f>Tab1SDataShiftSummary[[#This Row],[Summary5]]-Tab1SDataShiftSummary[[#This Row],[Summary4]]</f>
        <v>673366.5320776999</v>
      </c>
      <c r="AH1760" s="93">
        <f>Tab1SDataShiftSummary[[#This Row],[Summary6]]-Tab1SDataShiftSummary[[#This Row],[Summary5]]</f>
        <v>183103.68940001726</v>
      </c>
      <c r="AI1760" s="93">
        <f>Tab1SDataShiftSummary[[#This Row],[Summary7]]-Tab1SDataShiftSummary[[#This Row],[Summary6]]</f>
        <v>381748.26715996861</v>
      </c>
      <c r="AJ1760" s="93">
        <f>Tab1SDataShiftSummary[[#This Row],[Summary8]]-Tab1SDataShiftSummary[[#This Row],[Summary7]]</f>
        <v>47436.344000011683</v>
      </c>
      <c r="AK1760" s="93">
        <f>Tab1SDataShiftSummary[[#This Row],[Summary9]]-Tab1SDataShiftSummary[[#This Row],[Summary8]]</f>
        <v>20048.338440001011</v>
      </c>
      <c r="AL1760" s="93">
        <f>Tab1SDataShiftSummary[[#This Row],[Summary10]]-Tab1SDataShiftSummary[[#This Row],[Summary9]]</f>
        <v>29183.285663992167</v>
      </c>
      <c r="AM1760" s="93">
        <f>Tab1SDataShiftSummary[[#This Row],[Summary11]]-Tab1SDataShiftSummary[[#This Row],[Summary10]]</f>
        <v>111673.35240399837</v>
      </c>
      <c r="AN1760" s="93">
        <f>Tab1SDataShiftSummary[[#This Row],[Summary12]]-Tab1SDataShiftSummary[[#This Row],[Summary11]]</f>
        <v>208437.46986801922</v>
      </c>
      <c r="AO1760" s="93">
        <f>Tab1SDataShiftSummary[[#This Row],[Summary13]]-Tab1SDataShiftSummary[[#This Row],[Summary12]]</f>
        <v>233850.50374001265</v>
      </c>
      <c r="AP1760" s="93">
        <f>Tab1SDataShiftSummary[[#This Row],[Summary14]]-Tab1SDataShiftSummary[[#This Row],[Summary13]]</f>
        <v>252976.54639998078</v>
      </c>
      <c r="AQ1760" s="93">
        <f>Tab1SDataShiftSummary[[#This Row],[Summary15]]-Tab1SDataShiftSummary[[#This Row],[Summary14]]</f>
        <v>301668.61699999869</v>
      </c>
      <c r="AR1760" s="93">
        <f>Tab1SDataShiftSummary[[#This Row],[Summary16]]-Tab1SDataShiftSummary[[#This Row],[Summary15]]</f>
        <v>89606.416000008583</v>
      </c>
      <c r="AS1760" s="93">
        <f>Tab1SDataShiftSummary[[#This Row],[Summary17]]-Tab1SDataShiftSummary[[#This Row],[Summary16]]</f>
        <v>0</v>
      </c>
      <c r="AT1760" s="93">
        <f>Tab1SDataShiftSummary[[#This Row],[Summary18]]-Tab1SDataShiftSummary[[#This Row],[Summary17]]</f>
        <v>40395.697400003672</v>
      </c>
      <c r="AU1760" s="93">
        <f>Tab1SDataShiftSummary[[#This Row],[Summary19]]-Tab1SDataShiftSummary[[#This Row],[Summary18]]</f>
        <v>170271.14100001752</v>
      </c>
      <c r="AV1760" s="93">
        <f ca="1">Tab1SDataShiftSummary[[#This Row],[Summary20]]-Tab1SDataShiftSummary[[#This Row],[Summary19]]</f>
        <v>-247814.00400000811</v>
      </c>
      <c r="AY1760" s="732" t="s">
        <v>1913</v>
      </c>
    </row>
    <row r="1761" spans="2:58">
      <c r="B1761" s="733" t="s">
        <v>976</v>
      </c>
      <c r="C1761" s="93">
        <f ca="1">Tab1SDataShiftSummary[[#This Row],[Summary20]]</f>
        <v>12729969.431245286</v>
      </c>
      <c r="E1761"/>
      <c r="F1761" s="737">
        <v>11879485.238245284</v>
      </c>
      <c r="G1761" s="737">
        <v>12280187.183245286</v>
      </c>
      <c r="H1761" s="737">
        <v>11915517.963245288</v>
      </c>
      <c r="I1761" s="737">
        <v>12164386.133245286</v>
      </c>
      <c r="J1761" s="737">
        <v>12276627.718245285</v>
      </c>
      <c r="K1761" s="737">
        <v>12401348.743245285</v>
      </c>
      <c r="L1761" s="737">
        <v>12893790.453245293</v>
      </c>
      <c r="M1761" s="737">
        <v>12765890.593245286</v>
      </c>
      <c r="N1761" s="737">
        <v>12707402.373245291</v>
      </c>
      <c r="O1761" s="737">
        <v>12342986.583245285</v>
      </c>
      <c r="P1761" s="737">
        <v>12369163.083245289</v>
      </c>
      <c r="Q1761" s="737">
        <v>12623239.628745286</v>
      </c>
      <c r="R1761" s="737">
        <v>12462098.423245287</v>
      </c>
      <c r="S1761" s="737">
        <v>12217086.333245283</v>
      </c>
      <c r="T1761" s="737">
        <v>12923635.261245292</v>
      </c>
      <c r="U1761" s="737">
        <v>12791856.141245291</v>
      </c>
      <c r="V1761" s="737">
        <v>12481595.481245285</v>
      </c>
      <c r="W1761" s="737">
        <v>12481330.481245285</v>
      </c>
      <c r="X1761" s="737">
        <v>12701062.711245291</v>
      </c>
      <c r="Y1761" s="737">
        <v>12794770.536245283</v>
      </c>
      <c r="Z1761" s="737">
        <f t="shared" ca="1" si="138"/>
        <v>12729969.431245286</v>
      </c>
      <c r="AA1761" s="364"/>
      <c r="AB1761" s="93">
        <f ca="1">Tab1SDataShiftSummary[[#This Row],[Summary0]]-Tab1SDataShiftSummary[[#This Row],[Summary20]]</f>
        <v>-850484.19300000183</v>
      </c>
      <c r="AC1761" s="93">
        <f>Tab1SDataShiftSummary[[#This Row],[Summary1]]-Tab1SDataShiftSummary[[#This Row],[Summary0]]</f>
        <v>400701.94500000216</v>
      </c>
      <c r="AD1761" s="93">
        <f>Tab1SDataShiftSummary[[#This Row],[Summary2]]-Tab1SDataShiftSummary[[#This Row],[Summary1]]</f>
        <v>-364669.21999999881</v>
      </c>
      <c r="AE1761" s="93">
        <f>Tab1SDataShiftSummary[[#This Row],[Summary3]]-Tab1SDataShiftSummary[[#This Row],[Summary2]]</f>
        <v>248868.16999999806</v>
      </c>
      <c r="AF1761" s="93">
        <f>Tab1SDataShiftSummary[[#This Row],[Summary4]]-Tab1SDataShiftSummary[[#This Row],[Summary3]]</f>
        <v>112241.58499999903</v>
      </c>
      <c r="AG1761" s="93">
        <f>Tab1SDataShiftSummary[[#This Row],[Summary5]]-Tab1SDataShiftSummary[[#This Row],[Summary4]]</f>
        <v>124721.02500000037</v>
      </c>
      <c r="AH1761" s="93">
        <f>Tab1SDataShiftSummary[[#This Row],[Summary6]]-Tab1SDataShiftSummary[[#This Row],[Summary5]]</f>
        <v>492441.71000000834</v>
      </c>
      <c r="AI1761" s="93">
        <f>Tab1SDataShiftSummary[[#This Row],[Summary7]]-Tab1SDataShiftSummary[[#This Row],[Summary6]]</f>
        <v>-127899.86000000685</v>
      </c>
      <c r="AJ1761" s="93">
        <f>Tab1SDataShiftSummary[[#This Row],[Summary8]]-Tab1SDataShiftSummary[[#This Row],[Summary7]]</f>
        <v>-58488.219999995083</v>
      </c>
      <c r="AK1761" s="93">
        <f>Tab1SDataShiftSummary[[#This Row],[Summary9]]-Tab1SDataShiftSummary[[#This Row],[Summary8]]</f>
        <v>-364415.79000000656</v>
      </c>
      <c r="AL1761" s="93">
        <f>Tab1SDataShiftSummary[[#This Row],[Summary10]]-Tab1SDataShiftSummary[[#This Row],[Summary9]]</f>
        <v>26176.500000003725</v>
      </c>
      <c r="AM1761" s="93">
        <f>Tab1SDataShiftSummary[[#This Row],[Summary11]]-Tab1SDataShiftSummary[[#This Row],[Summary10]]</f>
        <v>254076.54549999721</v>
      </c>
      <c r="AN1761" s="93">
        <f>Tab1SDataShiftSummary[[#This Row],[Summary12]]-Tab1SDataShiftSummary[[#This Row],[Summary11]]</f>
        <v>-161141.20549999923</v>
      </c>
      <c r="AO1761" s="93">
        <f>Tab1SDataShiftSummary[[#This Row],[Summary13]]-Tab1SDataShiftSummary[[#This Row],[Summary12]]</f>
        <v>-245012.09000000358</v>
      </c>
      <c r="AP1761" s="93">
        <f>Tab1SDataShiftSummary[[#This Row],[Summary14]]-Tab1SDataShiftSummary[[#This Row],[Summary13]]</f>
        <v>706548.92800000869</v>
      </c>
      <c r="AQ1761" s="93">
        <f>Tab1SDataShiftSummary[[#This Row],[Summary15]]-Tab1SDataShiftSummary[[#This Row],[Summary14]]</f>
        <v>-131779.12000000104</v>
      </c>
      <c r="AR1761" s="93">
        <f>Tab1SDataShiftSummary[[#This Row],[Summary16]]-Tab1SDataShiftSummary[[#This Row],[Summary15]]</f>
        <v>-310260.66000000574</v>
      </c>
      <c r="AS1761" s="93">
        <f>Tab1SDataShiftSummary[[#This Row],[Summary17]]-Tab1SDataShiftSummary[[#This Row],[Summary16]]</f>
        <v>-265</v>
      </c>
      <c r="AT1761" s="93">
        <f>Tab1SDataShiftSummary[[#This Row],[Summary18]]-Tab1SDataShiftSummary[[#This Row],[Summary17]]</f>
        <v>219732.23000000603</v>
      </c>
      <c r="AU1761" s="93">
        <f>Tab1SDataShiftSummary[[#This Row],[Summary19]]-Tab1SDataShiftSummary[[#This Row],[Summary18]]</f>
        <v>93707.824999991804</v>
      </c>
      <c r="AV1761" s="93">
        <f ca="1">Tab1SDataShiftSummary[[#This Row],[Summary20]]-Tab1SDataShiftSummary[[#This Row],[Summary19]]</f>
        <v>-64801.104999996722</v>
      </c>
      <c r="AY1761" s="733" t="s">
        <v>976</v>
      </c>
    </row>
    <row r="1762" spans="2:58">
      <c r="B1762" s="732" t="s">
        <v>2297</v>
      </c>
      <c r="C1762" s="93">
        <f ca="1">Tab1SDataShiftSummary[[#This Row],[Summary20]]</f>
        <v>11314231.730090002</v>
      </c>
      <c r="E1762"/>
      <c r="F1762" s="737">
        <v>12464789.71999</v>
      </c>
      <c r="G1762" s="737">
        <v>13292308.079990001</v>
      </c>
      <c r="H1762" s="737">
        <v>12632346.29999</v>
      </c>
      <c r="I1762" s="737">
        <v>12617969.78999</v>
      </c>
      <c r="J1762" s="737">
        <v>12659869.10499</v>
      </c>
      <c r="K1762" s="737">
        <v>12707789.05999</v>
      </c>
      <c r="L1762" s="737">
        <v>12755168.229990002</v>
      </c>
      <c r="M1762" s="737">
        <v>12694081.759990001</v>
      </c>
      <c r="N1762" s="737">
        <v>12680997.82999</v>
      </c>
      <c r="O1762" s="737">
        <v>12634153.526989998</v>
      </c>
      <c r="P1762" s="737">
        <v>12640171.84699</v>
      </c>
      <c r="Q1762" s="737">
        <v>12787492.429089997</v>
      </c>
      <c r="R1762" s="737">
        <v>12717381.206989998</v>
      </c>
      <c r="S1762" s="737">
        <v>12577791.496989999</v>
      </c>
      <c r="T1762" s="737">
        <v>12638319.586989999</v>
      </c>
      <c r="U1762" s="737">
        <v>12825138.89009</v>
      </c>
      <c r="V1762" s="737">
        <v>12761891.760089999</v>
      </c>
      <c r="W1762" s="737">
        <v>12761726.760089999</v>
      </c>
      <c r="X1762" s="737">
        <v>12808576.20009</v>
      </c>
      <c r="Y1762" s="737">
        <v>11313185.26509</v>
      </c>
      <c r="Z1762" s="737">
        <f t="shared" ca="1" si="138"/>
        <v>11314231.730090002</v>
      </c>
      <c r="AB1762" s="93">
        <f ca="1">Tab1SDataShiftSummary[[#This Row],[Summary0]]-Tab1SDataShiftSummary[[#This Row],[Summary20]]</f>
        <v>1150557.9898999985</v>
      </c>
      <c r="AC1762" s="93">
        <f>Tab1SDataShiftSummary[[#This Row],[Summary1]]-Tab1SDataShiftSummary[[#This Row],[Summary0]]</f>
        <v>827518.36000000127</v>
      </c>
      <c r="AD1762" s="93">
        <f>Tab1SDataShiftSummary[[#This Row],[Summary2]]-Tab1SDataShiftSummary[[#This Row],[Summary1]]</f>
        <v>-659961.78000000119</v>
      </c>
      <c r="AE1762" s="93">
        <f>Tab1SDataShiftSummary[[#This Row],[Summary3]]-Tab1SDataShiftSummary[[#This Row],[Summary2]]</f>
        <v>-14376.509999999776</v>
      </c>
      <c r="AF1762" s="93">
        <f>Tab1SDataShiftSummary[[#This Row],[Summary4]]-Tab1SDataShiftSummary[[#This Row],[Summary3]]</f>
        <v>41899.314999999478</v>
      </c>
      <c r="AG1762" s="93">
        <f>Tab1SDataShiftSummary[[#This Row],[Summary5]]-Tab1SDataShiftSummary[[#This Row],[Summary4]]</f>
        <v>47919.955000000075</v>
      </c>
      <c r="AH1762" s="93">
        <f>Tab1SDataShiftSummary[[#This Row],[Summary6]]-Tab1SDataShiftSummary[[#This Row],[Summary5]]</f>
        <v>47379.170000001788</v>
      </c>
      <c r="AI1762" s="93">
        <f>Tab1SDataShiftSummary[[#This Row],[Summary7]]-Tab1SDataShiftSummary[[#This Row],[Summary6]]</f>
        <v>-61086.470000000671</v>
      </c>
      <c r="AJ1762" s="93">
        <f>Tab1SDataShiftSummary[[#This Row],[Summary8]]-Tab1SDataShiftSummary[[#This Row],[Summary7]]</f>
        <v>-13083.930000001565</v>
      </c>
      <c r="AK1762" s="93">
        <f>Tab1SDataShiftSummary[[#This Row],[Summary9]]-Tab1SDataShiftSummary[[#This Row],[Summary8]]</f>
        <v>-46844.303000001237</v>
      </c>
      <c r="AL1762" s="93">
        <f>Tab1SDataShiftSummary[[#This Row],[Summary10]]-Tab1SDataShiftSummary[[#This Row],[Summary9]]</f>
        <v>6018.3200000021607</v>
      </c>
      <c r="AM1762" s="93">
        <f>Tab1SDataShiftSummary[[#This Row],[Summary11]]-Tab1SDataShiftSummary[[#This Row],[Summary10]]</f>
        <v>147320.58209999651</v>
      </c>
      <c r="AN1762" s="93">
        <f>Tab1SDataShiftSummary[[#This Row],[Summary12]]-Tab1SDataShiftSummary[[#This Row],[Summary11]]</f>
        <v>-70111.222099998966</v>
      </c>
      <c r="AO1762" s="93">
        <f>Tab1SDataShiftSummary[[#This Row],[Summary13]]-Tab1SDataShiftSummary[[#This Row],[Summary12]]</f>
        <v>-139589.70999999903</v>
      </c>
      <c r="AP1762" s="93">
        <f>Tab1SDataShiftSummary[[#This Row],[Summary14]]-Tab1SDataShiftSummary[[#This Row],[Summary13]]</f>
        <v>60528.089999999851</v>
      </c>
      <c r="AQ1762" s="93">
        <f>Tab1SDataShiftSummary[[#This Row],[Summary15]]-Tab1SDataShiftSummary[[#This Row],[Summary14]]</f>
        <v>186819.30310000107</v>
      </c>
      <c r="AR1762" s="93">
        <f>Tab1SDataShiftSummary[[#This Row],[Summary16]]-Tab1SDataShiftSummary[[#This Row],[Summary15]]</f>
        <v>-63247.13000000082</v>
      </c>
      <c r="AS1762" s="93">
        <f>Tab1SDataShiftSummary[[#This Row],[Summary17]]-Tab1SDataShiftSummary[[#This Row],[Summary16]]</f>
        <v>-165</v>
      </c>
      <c r="AT1762" s="93">
        <f>Tab1SDataShiftSummary[[#This Row],[Summary18]]-Tab1SDataShiftSummary[[#This Row],[Summary17]]</f>
        <v>46849.440000001341</v>
      </c>
      <c r="AU1762" s="93">
        <f>Tab1SDataShiftSummary[[#This Row],[Summary19]]-Tab1SDataShiftSummary[[#This Row],[Summary18]]</f>
        <v>-1495390.9350000005</v>
      </c>
      <c r="AV1762" s="93">
        <f ca="1">Tab1SDataShiftSummary[[#This Row],[Summary20]]-Tab1SDataShiftSummary[[#This Row],[Summary19]]</f>
        <v>1046.4650000017136</v>
      </c>
      <c r="AY1762" s="732" t="s">
        <v>2297</v>
      </c>
    </row>
    <row r="1763" spans="2:58" ht="23" thickBot="1">
      <c r="B1763" s="732" t="s">
        <v>1908</v>
      </c>
      <c r="C1763"/>
      <c r="E1763"/>
      <c r="F1763" s="737">
        <v>-406472.57222836645</v>
      </c>
      <c r="G1763" s="737">
        <v>-406472.57222836651</v>
      </c>
      <c r="H1763" s="737">
        <v>-406472.57222836651</v>
      </c>
      <c r="I1763" s="737">
        <v>-407252.45097211649</v>
      </c>
      <c r="J1763" s="737">
        <v>-407498.48434711655</v>
      </c>
      <c r="K1763" s="737">
        <v>-426334.79351834347</v>
      </c>
      <c r="L1763" s="737">
        <v>-427250.44626310351</v>
      </c>
      <c r="M1763" s="737">
        <v>-428771.37158267951</v>
      </c>
      <c r="N1763" s="737">
        <v>-428894.70607707946</v>
      </c>
      <c r="O1763" s="737">
        <v>-430253.35238147149</v>
      </c>
      <c r="P1763" s="737">
        <v>-430214.85732919781</v>
      </c>
      <c r="Q1763" s="737">
        <v>-430505.20804544823</v>
      </c>
      <c r="R1763" s="737">
        <v>-431582.30286806519</v>
      </c>
      <c r="S1763" s="737">
        <v>-432484.64344938908</v>
      </c>
      <c r="T1763" s="737">
        <v>-433255.17497323739</v>
      </c>
      <c r="U1763" s="737">
        <v>-435080.18410463742</v>
      </c>
      <c r="V1763" s="737">
        <v>-439840.46425003745</v>
      </c>
      <c r="W1763" s="737">
        <v>-439840.46425003745</v>
      </c>
      <c r="X1763" s="737">
        <v>-440933.35083287745</v>
      </c>
      <c r="Y1763" s="737">
        <v>-443415.68476665579</v>
      </c>
      <c r="Z1763" s="737">
        <f t="shared" ca="1" si="138"/>
        <v>-441828.06011505582</v>
      </c>
      <c r="AB1763" s="93">
        <f ca="1">Tab1SDataShiftSummary[[#This Row],[Summary0]]-Tab1SDataShiftSummary[[#This Row],[Summary20]]</f>
        <v>35355.48788668937</v>
      </c>
      <c r="AC1763" s="93">
        <f>Tab1SDataShiftSummary[[#This Row],[Summary1]]-Tab1SDataShiftSummary[[#This Row],[Summary0]]</f>
        <v>0</v>
      </c>
      <c r="AD1763" s="93">
        <f>Tab1SDataShiftSummary[[#This Row],[Summary2]]-Tab1SDataShiftSummary[[#This Row],[Summary1]]</f>
        <v>0</v>
      </c>
      <c r="AE1763" s="93">
        <f>Tab1SDataShiftSummary[[#This Row],[Summary3]]-Tab1SDataShiftSummary[[#This Row],[Summary2]]</f>
        <v>-779.87874374998501</v>
      </c>
      <c r="AF1763" s="93">
        <f>Tab1SDataShiftSummary[[#This Row],[Summary4]]-Tab1SDataShiftSummary[[#This Row],[Summary3]]</f>
        <v>-246.03337500005728</v>
      </c>
      <c r="AG1763" s="93">
        <f>Tab1SDataShiftSummary[[#This Row],[Summary5]]-Tab1SDataShiftSummary[[#This Row],[Summary4]]</f>
        <v>-18836.309171226923</v>
      </c>
      <c r="AH1763" s="93">
        <f>Tab1SDataShiftSummary[[#This Row],[Summary6]]-Tab1SDataShiftSummary[[#This Row],[Summary5]]</f>
        <v>-915.65274476003833</v>
      </c>
      <c r="AI1763" s="93">
        <f>Tab1SDataShiftSummary[[#This Row],[Summary7]]-Tab1SDataShiftSummary[[#This Row],[Summary6]]</f>
        <v>-1520.9253195759957</v>
      </c>
      <c r="AJ1763" s="93">
        <f>Tab1SDataShiftSummary[[#This Row],[Summary8]]-Tab1SDataShiftSummary[[#This Row],[Summary7]]</f>
        <v>-123.33449439995456</v>
      </c>
      <c r="AK1763" s="93">
        <f>Tab1SDataShiftSummary[[#This Row],[Summary9]]-Tab1SDataShiftSummary[[#This Row],[Summary8]]</f>
        <v>-1358.646304392023</v>
      </c>
      <c r="AL1763" s="93">
        <f>Tab1SDataShiftSummary[[#This Row],[Summary10]]-Tab1SDataShiftSummary[[#This Row],[Summary9]]</f>
        <v>38.495052273676265</v>
      </c>
      <c r="AM1763" s="93">
        <f>Tab1SDataShiftSummary[[#This Row],[Summary11]]-Tab1SDataShiftSummary[[#This Row],[Summary10]]</f>
        <v>-290.35071625042474</v>
      </c>
      <c r="AN1763" s="93">
        <f>Tab1SDataShiftSummary[[#This Row],[Summary12]]-Tab1SDataShiftSummary[[#This Row],[Summary11]]</f>
        <v>-1077.0948226169567</v>
      </c>
      <c r="AO1763" s="93">
        <f>Tab1SDataShiftSummary[[#This Row],[Summary13]]-Tab1SDataShiftSummary[[#This Row],[Summary12]]</f>
        <v>-902.34058132389328</v>
      </c>
      <c r="AP1763" s="93">
        <f>Tab1SDataShiftSummary[[#This Row],[Summary14]]-Tab1SDataShiftSummary[[#This Row],[Summary13]]</f>
        <v>-770.53152384830173</v>
      </c>
      <c r="AQ1763" s="93">
        <f>Tab1SDataShiftSummary[[#This Row],[Summary15]]-Tab1SDataShiftSummary[[#This Row],[Summary14]]</f>
        <v>-1825.009131400031</v>
      </c>
      <c r="AR1763" s="93">
        <f>Tab1SDataShiftSummary[[#This Row],[Summary16]]-Tab1SDataShiftSummary[[#This Row],[Summary15]]</f>
        <v>-4760.2801454000291</v>
      </c>
      <c r="AS1763" s="93">
        <f>Tab1SDataShiftSummary[[#This Row],[Summary17]]-Tab1SDataShiftSummary[[#This Row],[Summary16]]</f>
        <v>0</v>
      </c>
      <c r="AT1763" s="93">
        <f>Tab1SDataShiftSummary[[#This Row],[Summary18]]-Tab1SDataShiftSummary[[#This Row],[Summary17]]</f>
        <v>-1092.8865828400012</v>
      </c>
      <c r="AU1763" s="93">
        <f>Tab1SDataShiftSummary[[#This Row],[Summary19]]-Tab1SDataShiftSummary[[#This Row],[Summary18]]</f>
        <v>-2482.33393377834</v>
      </c>
      <c r="AV1763" s="93">
        <f ca="1">Tab1SDataShiftSummary[[#This Row],[Summary20]]-Tab1SDataShiftSummary[[#This Row],[Summary19]]</f>
        <v>1587.6246515999665</v>
      </c>
      <c r="AY1763" s="732" t="s">
        <v>1908</v>
      </c>
      <c r="BA1763" s="1036" t="s">
        <v>2452</v>
      </c>
      <c r="BE1763" s="1036" t="s">
        <v>2503</v>
      </c>
    </row>
    <row r="1764" spans="2:58" ht="23" thickBot="1">
      <c r="B1764" s="732" t="s">
        <v>1907</v>
      </c>
      <c r="C1764" t="s">
        <v>2299</v>
      </c>
      <c r="E1764"/>
      <c r="F1764" s="737">
        <v>4094669.6541051269</v>
      </c>
      <c r="G1764" s="737">
        <v>4094669.6541051418</v>
      </c>
      <c r="H1764" s="737">
        <v>4094669.6541051418</v>
      </c>
      <c r="I1764" s="737">
        <v>4173690.2766051292</v>
      </c>
      <c r="J1764" s="737">
        <v>4272103.6266051382</v>
      </c>
      <c r="K1764" s="737">
        <v>4643309.8456289098</v>
      </c>
      <c r="L1764" s="737">
        <v>4657343.0918289125</v>
      </c>
      <c r="M1764" s="737">
        <v>4835868.3493888974</v>
      </c>
      <c r="N1764" s="737">
        <v>4883304.6933889091</v>
      </c>
      <c r="O1764" s="737">
        <v>4400845.0993489027</v>
      </c>
      <c r="P1764" s="737">
        <v>4474017.4600128978</v>
      </c>
      <c r="Q1764" s="737">
        <v>4585690.8124168962</v>
      </c>
      <c r="R1764" s="737">
        <v>4588298.5126849115</v>
      </c>
      <c r="S1764" s="737">
        <v>4708945.4504249245</v>
      </c>
      <c r="T1764" s="737">
        <v>4918540.2648217082</v>
      </c>
      <c r="U1764" s="737">
        <v>4819950.909821704</v>
      </c>
      <c r="V1764" s="737">
        <v>3168286.7628217041</v>
      </c>
      <c r="W1764" s="737">
        <v>3168286.7628217041</v>
      </c>
      <c r="X1764" s="737">
        <v>2828737.1642217189</v>
      </c>
      <c r="Y1764" s="737">
        <v>2214535.6255377382</v>
      </c>
      <c r="Z1764" s="737">
        <f ca="1">Z1760+Z1755</f>
        <v>1967662.4835377336</v>
      </c>
      <c r="AB1764" s="93">
        <f ca="1">Tab1SDataShiftSummary[[#This Row],[Summary0]]-Tab1SDataShiftSummary[[#This Row],[Summary20]]</f>
        <v>2127007.1705673933</v>
      </c>
      <c r="AC1764" s="93">
        <f>Tab1SDataShiftSummary[[#This Row],[Summary1]]-Tab1SDataShiftSummary[[#This Row],[Summary0]]</f>
        <v>1.4901161193847656E-8</v>
      </c>
      <c r="AD1764" s="93">
        <f>Tab1SDataShiftSummary[[#This Row],[Summary2]]-Tab1SDataShiftSummary[[#This Row],[Summary1]]</f>
        <v>0</v>
      </c>
      <c r="AE1764" s="93">
        <f>Tab1SDataShiftSummary[[#This Row],[Summary3]]-Tab1SDataShiftSummary[[#This Row],[Summary2]]</f>
        <v>79020.622499987483</v>
      </c>
      <c r="AF1764" s="93">
        <f>Tab1SDataShiftSummary[[#This Row],[Summary4]]-Tab1SDataShiftSummary[[#This Row],[Summary3]]</f>
        <v>98413.350000008941</v>
      </c>
      <c r="AG1764" s="93">
        <f>Tab1SDataShiftSummary[[#This Row],[Summary5]]-Tab1SDataShiftSummary[[#This Row],[Summary4]]</f>
        <v>371206.21902377158</v>
      </c>
      <c r="AH1764" s="93">
        <f>Tab1SDataShiftSummary[[#This Row],[Summary6]]-Tab1SDataShiftSummary[[#This Row],[Summary5]]</f>
        <v>14033.24620000273</v>
      </c>
      <c r="AI1764" s="93">
        <f>Tab1SDataShiftSummary[[#This Row],[Summary7]]-Tab1SDataShiftSummary[[#This Row],[Summary6]]</f>
        <v>178525.25755998492</v>
      </c>
      <c r="AJ1764" s="93">
        <f>Tab1SDataShiftSummary[[#This Row],[Summary8]]-Tab1SDataShiftSummary[[#This Row],[Summary7]]</f>
        <v>47436.344000011683</v>
      </c>
      <c r="AK1764" s="93">
        <f>Tab1SDataShiftSummary[[#This Row],[Summary9]]-Tab1SDataShiftSummary[[#This Row],[Summary8]]</f>
        <v>-482459.5940400064</v>
      </c>
      <c r="AL1764" s="93">
        <f>Tab1SDataShiftSummary[[#This Row],[Summary10]]-Tab1SDataShiftSummary[[#This Row],[Summary9]]</f>
        <v>73172.360663995147</v>
      </c>
      <c r="AM1764" s="93">
        <f>Tab1SDataShiftSummary[[#This Row],[Summary11]]-Tab1SDataShiftSummary[[#This Row],[Summary10]]</f>
        <v>111673.35240399837</v>
      </c>
      <c r="AN1764" s="93">
        <f>Tab1SDataShiftSummary[[#This Row],[Summary12]]-Tab1SDataShiftSummary[[#This Row],[Summary11]]</f>
        <v>2607.7002680152655</v>
      </c>
      <c r="AO1764" s="93">
        <f>Tab1SDataShiftSummary[[#This Row],[Summary13]]-Tab1SDataShiftSummary[[#This Row],[Summary12]]</f>
        <v>120646.937740013</v>
      </c>
      <c r="AP1764" s="93">
        <f>Tab1SDataShiftSummary[[#This Row],[Summary14]]-Tab1SDataShiftSummary[[#This Row],[Summary13]]</f>
        <v>209594.81439678371</v>
      </c>
      <c r="AQ1764" s="93">
        <f>Tab1SDataShiftSummary[[#This Row],[Summary15]]-Tab1SDataShiftSummary[[#This Row],[Summary14]]</f>
        <v>-98589.355000004172</v>
      </c>
      <c r="AR1764" s="93">
        <f>Tab1SDataShiftSummary[[#This Row],[Summary16]]-Tab1SDataShiftSummary[[#This Row],[Summary15]]</f>
        <v>-1651664.1469999999</v>
      </c>
      <c r="AS1764" s="93">
        <f>Tab1SDataShiftSummary[[#This Row],[Summary17]]-Tab1SDataShiftSummary[[#This Row],[Summary16]]</f>
        <v>0</v>
      </c>
      <c r="AT1764" s="93">
        <f>Tab1SDataShiftSummary[[#This Row],[Summary18]]-Tab1SDataShiftSummary[[#This Row],[Summary17]]</f>
        <v>-339549.59859998524</v>
      </c>
      <c r="AU1764" s="93">
        <f>Tab1SDataShiftSummary[[#This Row],[Summary19]]-Tab1SDataShiftSummary[[#This Row],[Summary18]]</f>
        <v>-614201.5386839807</v>
      </c>
      <c r="AV1764" s="93">
        <f ca="1">Tab1SDataShiftSummary[[#This Row],[Summary20]]-Tab1SDataShiftSummary[[#This Row],[Summary19]]</f>
        <v>-246873.14200000465</v>
      </c>
      <c r="AY1764" s="732" t="s">
        <v>1907</v>
      </c>
      <c r="BA1764" s="1033">
        <f ca="1">V3</f>
        <v>45951</v>
      </c>
      <c r="BB1764" s="1033">
        <f ca="1">W3</f>
        <v>45952</v>
      </c>
      <c r="BC1764" s="1033">
        <f ca="1">X3</f>
        <v>45953</v>
      </c>
      <c r="BD1764" s="1033">
        <f ca="1">Y3</f>
        <v>45954</v>
      </c>
      <c r="BE1764" s="1034">
        <f ca="1">Z3</f>
        <v>45956</v>
      </c>
      <c r="BF1764" s="1143" t="s">
        <v>2531</v>
      </c>
    </row>
    <row r="1765" spans="2:58" ht="23" thickBot="1">
      <c r="B1765" s="732" t="s">
        <v>2288</v>
      </c>
      <c r="C1765" t="s">
        <v>2298</v>
      </c>
      <c r="E1765"/>
      <c r="F1765" s="310">
        <v>0.72755951693970344</v>
      </c>
      <c r="G1765" s="310">
        <v>0.74866231981177067</v>
      </c>
      <c r="H1765" s="310">
        <v>0.71356681352170848</v>
      </c>
      <c r="I1765" s="310">
        <v>0.73407262977384669</v>
      </c>
      <c r="J1765" s="310">
        <v>0.73538729624689425</v>
      </c>
      <c r="K1765" s="310">
        <v>0.72805298545626329</v>
      </c>
      <c r="L1765" s="310">
        <v>0.78244370164029331</v>
      </c>
      <c r="M1765" s="310">
        <v>0.75081254221373506</v>
      </c>
      <c r="N1765" s="310">
        <v>0.74373859215726446</v>
      </c>
      <c r="O1765" s="310">
        <v>0.73208317788938082</v>
      </c>
      <c r="P1765" s="310">
        <v>0.72875386030182099</v>
      </c>
      <c r="Q1765" s="310">
        <v>0.74491082360787753</v>
      </c>
      <c r="R1765" s="310">
        <v>0.73772909352612392</v>
      </c>
      <c r="S1765" s="310">
        <v>0.71425566694656917</v>
      </c>
      <c r="T1765" s="310">
        <v>0.77134168730793429</v>
      </c>
      <c r="U1765" s="310">
        <v>0.77822264833896904</v>
      </c>
      <c r="V1765" s="310">
        <v>0.89807553296545883</v>
      </c>
      <c r="W1765" s="310">
        <v>0.8980487130051682</v>
      </c>
      <c r="X1765" s="310">
        <v>0.95454179460209709</v>
      </c>
      <c r="Y1765" s="310">
        <v>1.003891489123178</v>
      </c>
      <c r="Z1765" s="310">
        <f ca="1">Z1757/ABS(Z1756)</f>
        <v>1.0220797197614091</v>
      </c>
      <c r="AB1765" s="310">
        <f ca="1">Tab1SDataShiftSummary[[#This Row],[Summary0]]-Tab1SDataShiftSummary[[#This Row],[Summary20]]</f>
        <v>-0.29452020282170566</v>
      </c>
      <c r="AC1765" s="310">
        <f>Tab1SDataShiftSummary[[#This Row],[Summary1]]-Tab1SDataShiftSummary[[#This Row],[Summary0]]</f>
        <v>2.1102802872067228E-2</v>
      </c>
      <c r="AD1765" s="310">
        <f>Tab1SDataShiftSummary[[#This Row],[Summary2]]-Tab1SDataShiftSummary[[#This Row],[Summary1]]</f>
        <v>-3.5095506290062195E-2</v>
      </c>
      <c r="AE1765" s="310">
        <f>Tab1SDataShiftSummary[[#This Row],[Summary3]]-Tab1SDataShiftSummary[[#This Row],[Summary2]]</f>
        <v>2.0505816252138209E-2</v>
      </c>
      <c r="AF1765" s="310">
        <f>Tab1SDataShiftSummary[[#This Row],[Summary4]]-Tab1SDataShiftSummary[[#This Row],[Summary3]]</f>
        <v>1.3146664730475655E-3</v>
      </c>
      <c r="AG1765" s="310">
        <f>Tab1SDataShiftSummary[[#This Row],[Summary5]]-Tab1SDataShiftSummary[[#This Row],[Summary4]]</f>
        <v>-7.3343107906309601E-3</v>
      </c>
      <c r="AH1765" s="310">
        <f>Tab1SDataShiftSummary[[#This Row],[Summary6]]-Tab1SDataShiftSummary[[#This Row],[Summary5]]</f>
        <v>5.4390716184030019E-2</v>
      </c>
      <c r="AI1765" s="310">
        <f>Tab1SDataShiftSummary[[#This Row],[Summary7]]-Tab1SDataShiftSummary[[#This Row],[Summary6]]</f>
        <v>-3.1631159426558253E-2</v>
      </c>
      <c r="AJ1765" s="310">
        <f>Tab1SDataShiftSummary[[#This Row],[Summary8]]-Tab1SDataShiftSummary[[#This Row],[Summary7]]</f>
        <v>-7.0739500564706015E-3</v>
      </c>
      <c r="AK1765" s="310">
        <f>Tab1SDataShiftSummary[[#This Row],[Summary9]]-Tab1SDataShiftSummary[[#This Row],[Summary8]]</f>
        <v>-1.1655414267883635E-2</v>
      </c>
      <c r="AL1765" s="310">
        <f>Tab1SDataShiftSummary[[#This Row],[Summary10]]-Tab1SDataShiftSummary[[#This Row],[Summary9]]</f>
        <v>-3.3293175875598324E-3</v>
      </c>
      <c r="AM1765" s="310">
        <f>Tab1SDataShiftSummary[[#This Row],[Summary11]]-Tab1SDataShiftSummary[[#This Row],[Summary10]]</f>
        <v>1.6156963306056538E-2</v>
      </c>
      <c r="AN1765" s="310">
        <f>Tab1SDataShiftSummary[[#This Row],[Summary12]]-Tab1SDataShiftSummary[[#This Row],[Summary11]]</f>
        <v>-7.1817300817536012E-3</v>
      </c>
      <c r="AO1765" s="310">
        <f>Tab1SDataShiftSummary[[#This Row],[Summary13]]-Tab1SDataShiftSummary[[#This Row],[Summary12]]</f>
        <v>-2.3473426579554757E-2</v>
      </c>
      <c r="AP1765" s="310">
        <f>Tab1SDataShiftSummary[[#This Row],[Summary14]]-Tab1SDataShiftSummary[[#This Row],[Summary13]]</f>
        <v>5.708602036136512E-2</v>
      </c>
      <c r="AQ1765" s="310">
        <f>Tab1SDataShiftSummary[[#This Row],[Summary15]]-Tab1SDataShiftSummary[[#This Row],[Summary14]]</f>
        <v>6.8809610310347491E-3</v>
      </c>
      <c r="AR1765" s="310">
        <f>Tab1SDataShiftSummary[[#This Row],[Summary16]]-Tab1SDataShiftSummary[[#This Row],[Summary15]]</f>
        <v>0.1198528846264898</v>
      </c>
      <c r="AS1765" s="310">
        <f>Tab1SDataShiftSummary[[#This Row],[Summary17]]-Tab1SDataShiftSummary[[#This Row],[Summary16]]</f>
        <v>-2.6819960290636047E-5</v>
      </c>
      <c r="AT1765" s="310">
        <f>Tab1SDataShiftSummary[[#This Row],[Summary18]]-Tab1SDataShiftSummary[[#This Row],[Summary17]]</f>
        <v>5.6493081596928896E-2</v>
      </c>
      <c r="AU1765" s="310">
        <f>Tab1SDataShiftSummary[[#This Row],[Summary19]]-Tab1SDataShiftSummary[[#This Row],[Summary18]]</f>
        <v>4.9349694521080956E-2</v>
      </c>
      <c r="AV1765" s="310">
        <f ca="1">Tab1SDataShiftSummary[[#This Row],[Summary20]]-Tab1SDataShiftSummary[[#This Row],[Summary19]]</f>
        <v>1.8188230638231051E-2</v>
      </c>
      <c r="AX1765" s="609" t="s">
        <v>2526</v>
      </c>
      <c r="AY1765" s="732" t="s">
        <v>2288</v>
      </c>
      <c r="BA1765" s="1146" t="s">
        <v>2338</v>
      </c>
      <c r="BB1765" s="1146" t="s">
        <v>2338</v>
      </c>
      <c r="BC1765" s="1146" t="s">
        <v>2338</v>
      </c>
      <c r="BD1765" s="1146" t="s">
        <v>2338</v>
      </c>
      <c r="BE1765" s="1146" t="s">
        <v>2338</v>
      </c>
      <c r="BF1765" s="1144">
        <f ca="1">SUM(BF1766:BF1769)</f>
        <v>-2693862.34</v>
      </c>
    </row>
    <row r="1766" spans="2:58">
      <c r="B1766" s="732" t="s">
        <v>1135</v>
      </c>
      <c r="C1766"/>
      <c r="E1766"/>
      <c r="F1766" s="737">
        <v>9632264.129999999</v>
      </c>
      <c r="G1766" s="737">
        <v>8827515.0199999996</v>
      </c>
      <c r="H1766" s="737">
        <v>9201957.4399999995</v>
      </c>
      <c r="I1766" s="737">
        <v>9273772.129999999</v>
      </c>
      <c r="J1766" s="737">
        <v>9270323.5700000003</v>
      </c>
      <c r="K1766" s="737">
        <v>9155260.120000001</v>
      </c>
      <c r="L1766" s="737">
        <v>9423036.9900000002</v>
      </c>
      <c r="M1766" s="737">
        <v>9538441.0199999996</v>
      </c>
      <c r="N1766" s="737">
        <v>9453657.3399999999</v>
      </c>
      <c r="O1766" s="737">
        <v>9622365.9600000009</v>
      </c>
      <c r="P1766" s="737">
        <v>9633847.4800000004</v>
      </c>
      <c r="Q1766" s="737">
        <v>9770928.3900000006</v>
      </c>
      <c r="R1766" s="737">
        <v>9693566.5800000001</v>
      </c>
      <c r="S1766" s="737">
        <v>9634126.2100000009</v>
      </c>
      <c r="T1766" s="737">
        <v>9743778.7199999988</v>
      </c>
      <c r="U1766" s="737">
        <v>9746255.7699999996</v>
      </c>
      <c r="V1766" s="737">
        <v>9681265.0700000003</v>
      </c>
      <c r="W1766" s="737">
        <v>9681265.0700000003</v>
      </c>
      <c r="X1766" s="737">
        <v>9737065.8000000007</v>
      </c>
      <c r="Y1766" s="737">
        <v>9604053.4299999997</v>
      </c>
      <c r="Z1766" s="737">
        <f ca="1">Z1724+Z1745</f>
        <v>9425642.0199999996</v>
      </c>
      <c r="AB1766" s="93">
        <f ca="1">Tab1SDataShiftSummary[[#This Row],[Summary0]]-Tab1SDataShiftSummary[[#This Row],[Summary20]]</f>
        <v>206622.1099999994</v>
      </c>
      <c r="AC1766" s="93">
        <f>Tab1SDataShiftSummary[[#This Row],[Summary1]]-Tab1SDataShiftSummary[[#This Row],[Summary0]]</f>
        <v>-804749.1099999994</v>
      </c>
      <c r="AD1766" s="93">
        <f>Tab1SDataShiftSummary[[#This Row],[Summary2]]-Tab1SDataShiftSummary[[#This Row],[Summary1]]</f>
        <v>374442.41999999993</v>
      </c>
      <c r="AE1766" s="93">
        <f>Tab1SDataShiftSummary[[#This Row],[Summary3]]-Tab1SDataShiftSummary[[#This Row],[Summary2]]</f>
        <v>71814.689999999478</v>
      </c>
      <c r="AF1766" s="93">
        <f>Tab1SDataShiftSummary[[#This Row],[Summary4]]-Tab1SDataShiftSummary[[#This Row],[Summary3]]</f>
        <v>-3448.5599999986589</v>
      </c>
      <c r="AG1766" s="93">
        <f>Tab1SDataShiftSummary[[#This Row],[Summary5]]-Tab1SDataShiftSummary[[#This Row],[Summary4]]</f>
        <v>-115063.44999999925</v>
      </c>
      <c r="AH1766" s="93">
        <f>Tab1SDataShiftSummary[[#This Row],[Summary6]]-Tab1SDataShiftSummary[[#This Row],[Summary5]]</f>
        <v>267776.86999999918</v>
      </c>
      <c r="AI1766" s="93">
        <f>Tab1SDataShiftSummary[[#This Row],[Summary7]]-Tab1SDataShiftSummary[[#This Row],[Summary6]]</f>
        <v>115404.02999999933</v>
      </c>
      <c r="AJ1766" s="93">
        <f>Tab1SDataShiftSummary[[#This Row],[Summary8]]-Tab1SDataShiftSummary[[#This Row],[Summary7]]</f>
        <v>-84783.679999999702</v>
      </c>
      <c r="AK1766" s="93">
        <f>Tab1SDataShiftSummary[[#This Row],[Summary9]]-Tab1SDataShiftSummary[[#This Row],[Summary8]]</f>
        <v>168708.62000000104</v>
      </c>
      <c r="AL1766" s="93">
        <f>Tab1SDataShiftSummary[[#This Row],[Summary10]]-Tab1SDataShiftSummary[[#This Row],[Summary9]]</f>
        <v>11481.519999999553</v>
      </c>
      <c r="AM1766" s="93">
        <f>Tab1SDataShiftSummary[[#This Row],[Summary11]]-Tab1SDataShiftSummary[[#This Row],[Summary10]]</f>
        <v>137080.91000000015</v>
      </c>
      <c r="AN1766" s="93">
        <f>Tab1SDataShiftSummary[[#This Row],[Summary12]]-Tab1SDataShiftSummary[[#This Row],[Summary11]]</f>
        <v>-77361.810000000522</v>
      </c>
      <c r="AO1766" s="93">
        <f>Tab1SDataShiftSummary[[#This Row],[Summary13]]-Tab1SDataShiftSummary[[#This Row],[Summary12]]</f>
        <v>-59440.36999999918</v>
      </c>
      <c r="AP1766" s="93">
        <f>Tab1SDataShiftSummary[[#This Row],[Summary14]]-Tab1SDataShiftSummary[[#This Row],[Summary13]]</f>
        <v>109652.50999999791</v>
      </c>
      <c r="AQ1766" s="93">
        <f>Tab1SDataShiftSummary[[#This Row],[Summary15]]-Tab1SDataShiftSummary[[#This Row],[Summary14]]</f>
        <v>2477.0500000007451</v>
      </c>
      <c r="AR1766" s="93">
        <f>Tab1SDataShiftSummary[[#This Row],[Summary16]]-Tab1SDataShiftSummary[[#This Row],[Summary15]]</f>
        <v>-64990.699999999255</v>
      </c>
      <c r="AS1766" s="93">
        <f>Tab1SDataShiftSummary[[#This Row],[Summary17]]-Tab1SDataShiftSummary[[#This Row],[Summary16]]</f>
        <v>0</v>
      </c>
      <c r="AT1766" s="93">
        <f>Tab1SDataShiftSummary[[#This Row],[Summary18]]-Tab1SDataShiftSummary[[#This Row],[Summary17]]</f>
        <v>55800.730000000447</v>
      </c>
      <c r="AU1766" s="93">
        <f>Tab1SDataShiftSummary[[#This Row],[Summary19]]-Tab1SDataShiftSummary[[#This Row],[Summary18]]</f>
        <v>-133012.37000000104</v>
      </c>
      <c r="AV1766" s="93">
        <f ca="1">Tab1SDataShiftSummary[[#This Row],[Summary20]]-Tab1SDataShiftSummary[[#This Row],[Summary19]]</f>
        <v>-178411.41000000015</v>
      </c>
      <c r="AW1766" s="1" t="s">
        <v>2281</v>
      </c>
      <c r="AX1766" s="1154">
        <f ca="1">AV1766+BE1766</f>
        <v>-178411.41000000015</v>
      </c>
      <c r="AY1766" s="1110" t="s">
        <v>1135</v>
      </c>
      <c r="BA1766" s="1035" cm="1">
        <f t="array" aca="1" ref="BA1766" ca="1">SUMPRODUCT(
  (Entries!$A$555:$A$800 = BA$1764) *
  (Entries!$J$555:$J$800= Entries!$K33) *
  --(Entries!$E$555:$E$800)
)</f>
        <v>0</v>
      </c>
      <c r="BB1766" s="1035" cm="1">
        <f t="array" aca="1" ref="BB1766" ca="1">SUMPRODUCT(
  (Entries!$A$555:$A$800 = BB$1764) *
  (Entries!$J$555:$J$800= Entries!$K33) *
  --(Entries!$E$555:$E$800)
)</f>
        <v>0</v>
      </c>
      <c r="BC1766" s="1035" cm="1">
        <f t="array" aca="1" ref="BC1766" ca="1">SUMPRODUCT(
  (Entries!$A$555:$A$800 = BC$1764) *
  (Entries!$J$555:$J$800= Entries!$K33) *
  --(Entries!$E$555:$E$800)
)</f>
        <v>0</v>
      </c>
      <c r="BD1766" s="1035" cm="1">
        <f t="array" aca="1" ref="BD1766" ca="1">SUMPRODUCT(
  (Entries!$A$555:$A$800 = BD$1764) *
  (Entries!$J$555:$J$800= Entries!$K33) *
  --(Entries!$E$555:$E$800)
)</f>
        <v>89475</v>
      </c>
      <c r="BE1766" s="1035" cm="1">
        <f t="array" aca="1" ref="BE1766" ca="1">SUMPRODUCT(
  (Entries!$A$604:$A$800 = BE$1764) *
  (Entries!$J$604:$J$800= Entries!$K33) *
  --(Entries!$E$604:$E$800)
)</f>
        <v>0</v>
      </c>
      <c r="BF1766" s="1145">
        <f ca="1">SUM(BA1766:BE1766)</f>
        <v>89475</v>
      </c>
    </row>
    <row r="1767" spans="2:58">
      <c r="B1767" s="732" t="s">
        <v>1132</v>
      </c>
      <c r="C1767"/>
      <c r="E1767"/>
      <c r="F1767" s="737">
        <v>20575143.025000006</v>
      </c>
      <c r="G1767" s="737">
        <v>20866048.079999994</v>
      </c>
      <c r="H1767" s="737">
        <v>21073112.440000001</v>
      </c>
      <c r="I1767" s="737">
        <v>21142724.919999998</v>
      </c>
      <c r="J1767" s="737">
        <v>21259015.065000001</v>
      </c>
      <c r="K1767" s="737">
        <v>21098884.939999998</v>
      </c>
      <c r="L1767" s="737">
        <v>21314100.780000001</v>
      </c>
      <c r="M1767" s="737">
        <v>20954049.489999998</v>
      </c>
      <c r="N1767" s="737">
        <v>20953366.23</v>
      </c>
      <c r="O1767" s="737">
        <v>20917144.739999998</v>
      </c>
      <c r="P1767" s="737">
        <v>20844785.359999999</v>
      </c>
      <c r="Q1767" s="737">
        <v>20872776.535499997</v>
      </c>
      <c r="R1767" s="737">
        <v>20739412.32</v>
      </c>
      <c r="S1767" s="737">
        <v>20414050.5</v>
      </c>
      <c r="T1767" s="737">
        <v>20785760.149999999</v>
      </c>
      <c r="U1767" s="737">
        <v>20756488.979999997</v>
      </c>
      <c r="V1767" s="737">
        <v>22192524.02</v>
      </c>
      <c r="W1767" s="737">
        <v>22192259.02</v>
      </c>
      <c r="X1767" s="737">
        <v>22716069.519999992</v>
      </c>
      <c r="Y1767" s="737">
        <v>23605553.054999996</v>
      </c>
      <c r="Z1767" s="737">
        <f ca="1">Z1725+Z1746</f>
        <v>23605753.359999992</v>
      </c>
      <c r="AB1767" s="93">
        <f ca="1">Tab1SDataShiftSummary[[#This Row],[Summary0]]-Tab1SDataShiftSummary[[#This Row],[Summary20]]</f>
        <v>-3030610.334999986</v>
      </c>
      <c r="AC1767" s="93">
        <f>Tab1SDataShiftSummary[[#This Row],[Summary1]]-Tab1SDataShiftSummary[[#This Row],[Summary0]]</f>
        <v>290905.05499998853</v>
      </c>
      <c r="AD1767" s="93">
        <f>Tab1SDataShiftSummary[[#This Row],[Summary2]]-Tab1SDataShiftSummary[[#This Row],[Summary1]]</f>
        <v>207064.36000000685</v>
      </c>
      <c r="AE1767" s="93">
        <f>Tab1SDataShiftSummary[[#This Row],[Summary3]]-Tab1SDataShiftSummary[[#This Row],[Summary2]]</f>
        <v>69612.479999996722</v>
      </c>
      <c r="AF1767" s="93">
        <f>Tab1SDataShiftSummary[[#This Row],[Summary4]]-Tab1SDataShiftSummary[[#This Row],[Summary3]]</f>
        <v>116290.14500000328</v>
      </c>
      <c r="AG1767" s="93">
        <f>Tab1SDataShiftSummary[[#This Row],[Summary5]]-Tab1SDataShiftSummary[[#This Row],[Summary4]]</f>
        <v>-160130.12500000373</v>
      </c>
      <c r="AH1767" s="93">
        <f>Tab1SDataShiftSummary[[#This Row],[Summary6]]-Tab1SDataShiftSummary[[#This Row],[Summary5]]</f>
        <v>215215.84000000358</v>
      </c>
      <c r="AI1767" s="93">
        <f>Tab1SDataShiftSummary[[#This Row],[Summary7]]-Tab1SDataShiftSummary[[#This Row],[Summary6]]</f>
        <v>-360051.29000000283</v>
      </c>
      <c r="AJ1767" s="93">
        <f>Tab1SDataShiftSummary[[#This Row],[Summary8]]-Tab1SDataShiftSummary[[#This Row],[Summary7]]</f>
        <v>-683.25999999791384</v>
      </c>
      <c r="AK1767" s="93">
        <f>Tab1SDataShiftSummary[[#This Row],[Summary9]]-Tab1SDataShiftSummary[[#This Row],[Summary8]]</f>
        <v>-36221.490000002086</v>
      </c>
      <c r="AL1767" s="93">
        <f>Tab1SDataShiftSummary[[#This Row],[Summary10]]-Tab1SDataShiftSummary[[#This Row],[Summary9]]</f>
        <v>-72359.379999998957</v>
      </c>
      <c r="AM1767" s="93">
        <f>Tab1SDataShiftSummary[[#This Row],[Summary11]]-Tab1SDataShiftSummary[[#This Row],[Summary10]]</f>
        <v>27991.175499998033</v>
      </c>
      <c r="AN1767" s="93">
        <f>Tab1SDataShiftSummary[[#This Row],[Summary12]]-Tab1SDataShiftSummary[[#This Row],[Summary11]]</f>
        <v>-133364.21549999714</v>
      </c>
      <c r="AO1767" s="93">
        <f>Tab1SDataShiftSummary[[#This Row],[Summary13]]-Tab1SDataShiftSummary[[#This Row],[Summary12]]</f>
        <v>-325361.8200000003</v>
      </c>
      <c r="AP1767" s="93">
        <f>Tab1SDataShiftSummary[[#This Row],[Summary14]]-Tab1SDataShiftSummary[[#This Row],[Summary13]]</f>
        <v>371709.64999999851</v>
      </c>
      <c r="AQ1767" s="93">
        <f>Tab1SDataShiftSummary[[#This Row],[Summary15]]-Tab1SDataShiftSummary[[#This Row],[Summary14]]</f>
        <v>-29271.170000001788</v>
      </c>
      <c r="AR1767" s="93">
        <f>Tab1SDataShiftSummary[[#This Row],[Summary16]]-Tab1SDataShiftSummary[[#This Row],[Summary15]]</f>
        <v>1436035.0400000028</v>
      </c>
      <c r="AS1767" s="93">
        <f>Tab1SDataShiftSummary[[#This Row],[Summary17]]-Tab1SDataShiftSummary[[#This Row],[Summary16]]</f>
        <v>-265</v>
      </c>
      <c r="AT1767" s="93">
        <f>Tab1SDataShiftSummary[[#This Row],[Summary18]]-Tab1SDataShiftSummary[[#This Row],[Summary17]]</f>
        <v>523810.49999999255</v>
      </c>
      <c r="AU1767" s="93">
        <f>Tab1SDataShiftSummary[[#This Row],[Summary19]]-Tab1SDataShiftSummary[[#This Row],[Summary18]]</f>
        <v>889483.53500000387</v>
      </c>
      <c r="AV1767" s="93">
        <f ca="1">Tab1SDataShiftSummary[[#This Row],[Summary20]]-Tab1SDataShiftSummary[[#This Row],[Summary19]]</f>
        <v>200.30499999597669</v>
      </c>
      <c r="AW1767" s="1" t="s">
        <v>2281</v>
      </c>
      <c r="AX1767" s="1155">
        <f ca="1">AV1767+BE1767</f>
        <v>200.30499999597669</v>
      </c>
      <c r="AY1767" s="1111" t="s">
        <v>1132</v>
      </c>
      <c r="BA1767" s="594" cm="1">
        <f t="array" aca="1" ref="BA1767" ca="1">SUMPRODUCT(
  (Entries!$A$555:$A$800 = BA$1764) *
  (Entries!$J$555:$J$800= Entries!$K34) *
  --(Entries!$E$555:$E$800)
)</f>
        <v>76055</v>
      </c>
      <c r="BB1767" s="594" cm="1">
        <f t="array" aca="1" ref="BB1767" ca="1">SUMPRODUCT(
  (Entries!$A$555:$A$800 = BB$1764) *
  (Entries!$J$555:$J$800= Entries!$K34) *
  --(Entries!$E$555:$E$800)
)</f>
        <v>-1736755</v>
      </c>
      <c r="BC1767" s="594" cm="1">
        <f t="array" aca="1" ref="BC1767" ca="1">SUMPRODUCT(
  (Entries!$A$555:$A$800 = BC$1764) *
  (Entries!$J$555:$J$800= Entries!$K34) *
  --(Entries!$E$555:$E$800)
)</f>
        <v>-551780</v>
      </c>
      <c r="BD1767" s="594" cm="1">
        <f t="array" aca="1" ref="BD1767" ca="1">SUMPRODUCT(
  (Entries!$A$555:$A$800 = BD$1764) *
  (Entries!$J$555:$J$800= Entries!$K34) *
  --(Entries!$E$555:$E$800)
)</f>
        <v>-782438.34</v>
      </c>
      <c r="BE1767" s="594" cm="1">
        <f t="array" aca="1" ref="BE1767" ca="1">SUMPRODUCT(
  (Entries!$A$604:$A$800 = BE$1764) *
  (Entries!$J$604:$J$800= Entries!$K34) *
  --(Entries!$E$604:$E$800)
)</f>
        <v>0</v>
      </c>
      <c r="BF1767" s="1140">
        <f t="shared" ref="BF1767:BF1769" ca="1" si="139">SUM(BA1767:BE1767)</f>
        <v>-2994918.34</v>
      </c>
    </row>
    <row r="1768" spans="2:58">
      <c r="B1768" s="732" t="s">
        <v>1446</v>
      </c>
      <c r="C1768"/>
      <c r="E1768"/>
      <c r="F1768" s="737">
        <v>1604290</v>
      </c>
      <c r="G1768" s="737">
        <v>1611830</v>
      </c>
      <c r="H1768" s="737">
        <v>1577460</v>
      </c>
      <c r="I1768" s="737">
        <v>1601900</v>
      </c>
      <c r="J1768" s="737">
        <v>1556640</v>
      </c>
      <c r="K1768" s="737">
        <v>1560520</v>
      </c>
      <c r="L1768" s="737">
        <v>1550520</v>
      </c>
      <c r="M1768" s="737">
        <v>1544120</v>
      </c>
      <c r="N1768" s="737">
        <v>1529138.72</v>
      </c>
      <c r="O1768" s="737">
        <v>1520340</v>
      </c>
      <c r="P1768" s="737">
        <v>1531460</v>
      </c>
      <c r="Q1768" s="737">
        <v>1515500</v>
      </c>
      <c r="R1768" s="737">
        <v>1507200</v>
      </c>
      <c r="S1768" s="737">
        <v>1478440</v>
      </c>
      <c r="T1768" s="737">
        <v>1491660</v>
      </c>
      <c r="U1768" s="737">
        <v>1489840</v>
      </c>
      <c r="V1768" s="737">
        <v>1429850</v>
      </c>
      <c r="W1768" s="737">
        <v>1429850</v>
      </c>
      <c r="X1768" s="737">
        <v>1395630</v>
      </c>
      <c r="Y1768" s="737">
        <v>1341390</v>
      </c>
      <c r="Z1768" s="737">
        <f ca="1">Z1726+Z1747</f>
        <v>1341390</v>
      </c>
      <c r="AB1768" s="93">
        <f ca="1">Tab1SDataShiftSummary[[#This Row],[Summary0]]-Tab1SDataShiftSummary[[#This Row],[Summary20]]</f>
        <v>262900</v>
      </c>
      <c r="AC1768" s="93">
        <f>Tab1SDataShiftSummary[[#This Row],[Summary1]]-Tab1SDataShiftSummary[[#This Row],[Summary0]]</f>
        <v>7540</v>
      </c>
      <c r="AD1768" s="93">
        <f>Tab1SDataShiftSummary[[#This Row],[Summary2]]-Tab1SDataShiftSummary[[#This Row],[Summary1]]</f>
        <v>-34370</v>
      </c>
      <c r="AE1768" s="93">
        <f>Tab1SDataShiftSummary[[#This Row],[Summary3]]-Tab1SDataShiftSummary[[#This Row],[Summary2]]</f>
        <v>24440</v>
      </c>
      <c r="AF1768" s="93">
        <f>Tab1SDataShiftSummary[[#This Row],[Summary4]]-Tab1SDataShiftSummary[[#This Row],[Summary3]]</f>
        <v>-45260</v>
      </c>
      <c r="AG1768" s="93">
        <f>Tab1SDataShiftSummary[[#This Row],[Summary5]]-Tab1SDataShiftSummary[[#This Row],[Summary4]]</f>
        <v>3880</v>
      </c>
      <c r="AH1768" s="93">
        <f>Tab1SDataShiftSummary[[#This Row],[Summary6]]-Tab1SDataShiftSummary[[#This Row],[Summary5]]</f>
        <v>-10000</v>
      </c>
      <c r="AI1768" s="93">
        <f>Tab1SDataShiftSummary[[#This Row],[Summary7]]-Tab1SDataShiftSummary[[#This Row],[Summary6]]</f>
        <v>-6400</v>
      </c>
      <c r="AJ1768" s="93">
        <f>Tab1SDataShiftSummary[[#This Row],[Summary8]]-Tab1SDataShiftSummary[[#This Row],[Summary7]]</f>
        <v>-14981.280000000028</v>
      </c>
      <c r="AK1768" s="93">
        <f>Tab1SDataShiftSummary[[#This Row],[Summary9]]-Tab1SDataShiftSummary[[#This Row],[Summary8]]</f>
        <v>-8798.7199999999721</v>
      </c>
      <c r="AL1768" s="93">
        <f>Tab1SDataShiftSummary[[#This Row],[Summary10]]-Tab1SDataShiftSummary[[#This Row],[Summary9]]</f>
        <v>11120</v>
      </c>
      <c r="AM1768" s="93">
        <f>Tab1SDataShiftSummary[[#This Row],[Summary11]]-Tab1SDataShiftSummary[[#This Row],[Summary10]]</f>
        <v>-15960</v>
      </c>
      <c r="AN1768" s="93">
        <f>Tab1SDataShiftSummary[[#This Row],[Summary12]]-Tab1SDataShiftSummary[[#This Row],[Summary11]]</f>
        <v>-8300</v>
      </c>
      <c r="AO1768" s="93">
        <f>Tab1SDataShiftSummary[[#This Row],[Summary13]]-Tab1SDataShiftSummary[[#This Row],[Summary12]]</f>
        <v>-28760</v>
      </c>
      <c r="AP1768" s="93">
        <f>Tab1SDataShiftSummary[[#This Row],[Summary14]]-Tab1SDataShiftSummary[[#This Row],[Summary13]]</f>
        <v>13220</v>
      </c>
      <c r="AQ1768" s="93">
        <f>Tab1SDataShiftSummary[[#This Row],[Summary15]]-Tab1SDataShiftSummary[[#This Row],[Summary14]]</f>
        <v>-1820</v>
      </c>
      <c r="AR1768" s="93">
        <f>Tab1SDataShiftSummary[[#This Row],[Summary16]]-Tab1SDataShiftSummary[[#This Row],[Summary15]]</f>
        <v>-59990</v>
      </c>
      <c r="AS1768" s="93">
        <f>Tab1SDataShiftSummary[[#This Row],[Summary17]]-Tab1SDataShiftSummary[[#This Row],[Summary16]]</f>
        <v>0</v>
      </c>
      <c r="AT1768" s="93">
        <f>Tab1SDataShiftSummary[[#This Row],[Summary18]]-Tab1SDataShiftSummary[[#This Row],[Summary17]]</f>
        <v>-34220</v>
      </c>
      <c r="AU1768" s="93">
        <f>Tab1SDataShiftSummary[[#This Row],[Summary19]]-Tab1SDataShiftSummary[[#This Row],[Summary18]]</f>
        <v>-54240</v>
      </c>
      <c r="AV1768" s="93">
        <f ca="1">Tab1SDataShiftSummary[[#This Row],[Summary20]]-Tab1SDataShiftSummary[[#This Row],[Summary19]]</f>
        <v>0</v>
      </c>
      <c r="AW1768" s="1" t="s">
        <v>2281</v>
      </c>
      <c r="AX1768" s="1155">
        <f ca="1">AV1768+BE1768</f>
        <v>0</v>
      </c>
      <c r="AY1768" s="1111" t="s">
        <v>1446</v>
      </c>
      <c r="BA1768" s="594" cm="1">
        <f t="array" aca="1" ref="BA1768" ca="1">SUMPRODUCT(
  (Entries!$A$555:$A$800 = BA$1764) *
  (Entries!$J$555:$J$800= Entries!$K35) *
  --(Entries!$E$555:$E$800)
)</f>
        <v>0</v>
      </c>
      <c r="BB1768" s="594" cm="1">
        <f t="array" aca="1" ref="BB1768" ca="1">SUMPRODUCT(
  (Entries!$A$555:$A$800 = BB$1764) *
  (Entries!$J$555:$J$800= Entries!$K35) *
  --(Entries!$E$555:$E$800)
)</f>
        <v>89840</v>
      </c>
      <c r="BC1768" s="594" cm="1">
        <f t="array" aca="1" ref="BC1768" ca="1">SUMPRODUCT(
  (Entries!$A$555:$A$800 = BC$1764) *
  (Entries!$J$555:$J$800= Entries!$K35) *
  --(Entries!$E$555:$E$800)
)</f>
        <v>40501</v>
      </c>
      <c r="BD1768" s="594" cm="1">
        <f t="array" aca="1" ref="BD1768" ca="1">SUMPRODUCT(
  (Entries!$A$555:$A$800 = BD$1764) *
  (Entries!$J$555:$J$800= Entries!$K35) *
  --(Entries!$E$555:$E$800)
)</f>
        <v>81240</v>
      </c>
      <c r="BE1768" s="594" cm="1">
        <f t="array" aca="1" ref="BE1768" ca="1">SUMPRODUCT(
  (Entries!$A$604:$A$800 = BE$1764) *
  (Entries!$J$604:$J$800= Entries!$K35) *
  --(Entries!$E$604:$E$800)
)</f>
        <v>0</v>
      </c>
      <c r="BF1768" s="1140">
        <f t="shared" ca="1" si="139"/>
        <v>211581</v>
      </c>
    </row>
    <row r="1769" spans="2:58" ht="23" thickBot="1">
      <c r="B1769" s="732" t="s">
        <v>1134</v>
      </c>
      <c r="C1769"/>
      <c r="E1769"/>
      <c r="F1769" s="737">
        <v>361201</v>
      </c>
      <c r="G1769" s="737">
        <v>361201</v>
      </c>
      <c r="H1769" s="737">
        <v>361201</v>
      </c>
      <c r="I1769" s="737">
        <v>361201</v>
      </c>
      <c r="J1769" s="737">
        <v>361201</v>
      </c>
      <c r="K1769" s="737">
        <v>361201</v>
      </c>
      <c r="L1769" s="737">
        <v>361201</v>
      </c>
      <c r="M1769" s="737">
        <v>361201</v>
      </c>
      <c r="N1769" s="737">
        <v>361201</v>
      </c>
      <c r="O1769" s="737">
        <v>361201</v>
      </c>
      <c r="P1769" s="737">
        <v>361201</v>
      </c>
      <c r="Q1769" s="737">
        <v>361201</v>
      </c>
      <c r="R1769" s="737">
        <v>361201</v>
      </c>
      <c r="S1769" s="737">
        <v>361201</v>
      </c>
      <c r="T1769" s="737">
        <v>361201</v>
      </c>
      <c r="U1769" s="737">
        <v>361201</v>
      </c>
      <c r="V1769" s="737">
        <v>361201</v>
      </c>
      <c r="W1769" s="737">
        <v>361201</v>
      </c>
      <c r="X1769" s="737">
        <v>361201</v>
      </c>
      <c r="Y1769" s="737">
        <v>361201</v>
      </c>
      <c r="Z1769" s="737">
        <f ca="1">Z1727+Z1748</f>
        <v>361201</v>
      </c>
      <c r="AB1769" s="892">
        <f ca="1">Tab1SDataShiftSummary[[#This Row],[Summary0]]-Tab1SDataShiftSummary[[#This Row],[Summary20]]</f>
        <v>0</v>
      </c>
      <c r="AC1769" s="892">
        <f>Tab1SDataShiftSummary[[#This Row],[Summary1]]-Tab1SDataShiftSummary[[#This Row],[Summary0]]</f>
        <v>0</v>
      </c>
      <c r="AD1769" s="892">
        <f>Tab1SDataShiftSummary[[#This Row],[Summary2]]-Tab1SDataShiftSummary[[#This Row],[Summary1]]</f>
        <v>0</v>
      </c>
      <c r="AE1769" s="892">
        <f>Tab1SDataShiftSummary[[#This Row],[Summary3]]-Tab1SDataShiftSummary[[#This Row],[Summary2]]</f>
        <v>0</v>
      </c>
      <c r="AF1769" s="892">
        <f>Tab1SDataShiftSummary[[#This Row],[Summary4]]-Tab1SDataShiftSummary[[#This Row],[Summary3]]</f>
        <v>0</v>
      </c>
      <c r="AG1769" s="892">
        <f>Tab1SDataShiftSummary[[#This Row],[Summary5]]-Tab1SDataShiftSummary[[#This Row],[Summary4]]</f>
        <v>0</v>
      </c>
      <c r="AH1769" s="892">
        <f>Tab1SDataShiftSummary[[#This Row],[Summary6]]-Tab1SDataShiftSummary[[#This Row],[Summary5]]</f>
        <v>0</v>
      </c>
      <c r="AI1769" s="892">
        <f>Tab1SDataShiftSummary[[#This Row],[Summary7]]-Tab1SDataShiftSummary[[#This Row],[Summary6]]</f>
        <v>0</v>
      </c>
      <c r="AJ1769" s="892">
        <f>Tab1SDataShiftSummary[[#This Row],[Summary8]]-Tab1SDataShiftSummary[[#This Row],[Summary7]]</f>
        <v>0</v>
      </c>
      <c r="AK1769" s="892">
        <f>Tab1SDataShiftSummary[[#This Row],[Summary9]]-Tab1SDataShiftSummary[[#This Row],[Summary8]]</f>
        <v>0</v>
      </c>
      <c r="AL1769" s="892">
        <f>Tab1SDataShiftSummary[[#This Row],[Summary10]]-Tab1SDataShiftSummary[[#This Row],[Summary9]]</f>
        <v>0</v>
      </c>
      <c r="AM1769" s="892">
        <f>Tab1SDataShiftSummary[[#This Row],[Summary11]]-Tab1SDataShiftSummary[[#This Row],[Summary10]]</f>
        <v>0</v>
      </c>
      <c r="AN1769" s="892">
        <f>Tab1SDataShiftSummary[[#This Row],[Summary12]]-Tab1SDataShiftSummary[[#This Row],[Summary11]]</f>
        <v>0</v>
      </c>
      <c r="AO1769" s="892">
        <f>Tab1SDataShiftSummary[[#This Row],[Summary13]]-Tab1SDataShiftSummary[[#This Row],[Summary12]]</f>
        <v>0</v>
      </c>
      <c r="AP1769" s="892">
        <f>Tab1SDataShiftSummary[[#This Row],[Summary14]]-Tab1SDataShiftSummary[[#This Row],[Summary13]]</f>
        <v>0</v>
      </c>
      <c r="AQ1769" s="892">
        <f>Tab1SDataShiftSummary[[#This Row],[Summary15]]-Tab1SDataShiftSummary[[#This Row],[Summary14]]</f>
        <v>0</v>
      </c>
      <c r="AR1769" s="892">
        <f>Tab1SDataShiftSummary[[#This Row],[Summary16]]-Tab1SDataShiftSummary[[#This Row],[Summary15]]</f>
        <v>0</v>
      </c>
      <c r="AS1769" s="892">
        <f>Tab1SDataShiftSummary[[#This Row],[Summary17]]-Tab1SDataShiftSummary[[#This Row],[Summary16]]</f>
        <v>0</v>
      </c>
      <c r="AT1769" s="891">
        <f>Tab1SDataShiftSummary[[#This Row],[Summary18]]-Tab1SDataShiftSummary[[#This Row],[Summary17]]</f>
        <v>0</v>
      </c>
      <c r="AU1769" s="93">
        <f>Tab1SDataShiftSummary[[#This Row],[Summary19]]-Tab1SDataShiftSummary[[#This Row],[Summary18]]</f>
        <v>0</v>
      </c>
      <c r="AV1769" s="93">
        <f ca="1">Tab1SDataShiftSummary[[#This Row],[Summary20]]-Tab1SDataShiftSummary[[#This Row],[Summary19]]</f>
        <v>0</v>
      </c>
      <c r="AW1769" s="1" t="s">
        <v>2281</v>
      </c>
      <c r="AX1769" s="1156">
        <f ca="1">AV1769+BE1769</f>
        <v>0</v>
      </c>
      <c r="AY1769" s="1112" t="s">
        <v>1134</v>
      </c>
      <c r="BA1769" s="1032" cm="1">
        <f t="array" aca="1" ref="BA1769" ca="1">SUMPRODUCT(
  (Entries!$A$555:$A$800 = BA$1764) *
  (Entries!$J$555:$J$800= Entries!$K36) *
  --(Entries!$E$555:$E$800)
)</f>
        <v>0</v>
      </c>
      <c r="BB1769" s="1032" cm="1">
        <f t="array" aca="1" ref="BB1769" ca="1">SUMPRODUCT(
  (Entries!$A$555:$A$800 = BB$1764) *
  (Entries!$J$555:$J$800= Entries!$K36) *
  --(Entries!$E$555:$E$800)
)</f>
        <v>0</v>
      </c>
      <c r="BC1769" s="1032" cm="1">
        <f t="array" aca="1" ref="BC1769" ca="1">SUMPRODUCT(
  (Entries!$A$555:$A$800 = BC$1764) *
  (Entries!$J$555:$J$800= Entries!$K36) *
  --(Entries!$E$555:$E$800)
)</f>
        <v>0</v>
      </c>
      <c r="BD1769" s="1032" cm="1">
        <f t="array" aca="1" ref="BD1769" ca="1">SUMPRODUCT(
  (Entries!$A$555:$A$800 = BD$1764) *
  (Entries!$J$555:$J$800= Entries!$K36) *
  --(Entries!$E$555:$E$800)
)</f>
        <v>0</v>
      </c>
      <c r="BE1769" s="1032" cm="1">
        <f t="array" aca="1" ref="BE1769" ca="1">SUMPRODUCT(
  (Entries!$A$604:$A$800 = BE$1764) *
  (Entries!$J$604:$J$800= Entries!$K36) *
  --(Entries!$E$604:$E$800)
)</f>
        <v>0</v>
      </c>
      <c r="BF1769" s="1141">
        <f t="shared" ca="1" si="139"/>
        <v>0</v>
      </c>
    </row>
    <row r="1770" spans="2:58" ht="23" thickBot="1">
      <c r="B1770" s="732" t="s">
        <v>2285</v>
      </c>
      <c r="C1770"/>
      <c r="E1770"/>
      <c r="F1770" s="310">
        <v>1.1713848977512193</v>
      </c>
      <c r="G1770" s="310">
        <v>1.1818364778160577</v>
      </c>
      <c r="H1770" s="310">
        <v>1.1467409715259955</v>
      </c>
      <c r="I1770" s="310">
        <v>1.1774848528045592</v>
      </c>
      <c r="J1770" s="310">
        <v>1.1883495824131558</v>
      </c>
      <c r="K1770" s="310">
        <v>1.2314558316923059</v>
      </c>
      <c r="L1770" s="310">
        <v>1.2918726302316432</v>
      </c>
      <c r="M1770" s="310">
        <v>1.2777358146818139</v>
      </c>
      <c r="N1770" s="310">
        <v>1.2779652010500231</v>
      </c>
      <c r="O1770" s="310">
        <v>1.2028834121884338</v>
      </c>
      <c r="P1770" s="310">
        <v>1.2075005607596929</v>
      </c>
      <c r="Q1770" s="310">
        <v>1.2360935506405986</v>
      </c>
      <c r="R1770" s="310">
        <v>1.2353149170133884</v>
      </c>
      <c r="S1770" s="310">
        <v>1.2332360426766886</v>
      </c>
      <c r="T1770" s="310">
        <v>1.3165043751708529</v>
      </c>
      <c r="U1770" s="310">
        <v>1.3208124479060086</v>
      </c>
      <c r="V1770" s="310">
        <v>1.2632297930977008</v>
      </c>
      <c r="W1770" s="310">
        <v>1.2632029731374101</v>
      </c>
      <c r="X1770" s="310">
        <v>1.2854415002437309</v>
      </c>
      <c r="Y1770" s="310">
        <v>1.2671002810752738</v>
      </c>
      <c r="Z1770" s="310">
        <f ca="1">-Z1761/Z1756</f>
        <v>1.2606828546644693</v>
      </c>
      <c r="AB1770" s="310">
        <f ca="1">Tab1SDataShiftSummary[[#This Row],[Summary0]]-Tab1SDataShiftSummary[[#This Row],[Summary20]]</f>
        <v>-8.9297956913249932E-2</v>
      </c>
      <c r="AC1770" s="310">
        <f>Tab1SDataShiftSummary[[#This Row],[Summary1]]-Tab1SDataShiftSummary[[#This Row],[Summary0]]</f>
        <v>1.0451580064838373E-2</v>
      </c>
      <c r="AD1770" s="310">
        <f>Tab1SDataShiftSummary[[#This Row],[Summary2]]-Tab1SDataShiftSummary[[#This Row],[Summary1]]</f>
        <v>-3.5095506290062195E-2</v>
      </c>
      <c r="AE1770" s="310">
        <f>Tab1SDataShiftSummary[[#This Row],[Summary3]]-Tab1SDataShiftSummary[[#This Row],[Summary2]]</f>
        <v>3.0743881278563645E-2</v>
      </c>
      <c r="AF1770" s="310">
        <f>Tab1SDataShiftSummary[[#This Row],[Summary4]]-Tab1SDataShiftSummary[[#This Row],[Summary3]]</f>
        <v>1.0864729608596635E-2</v>
      </c>
      <c r="AG1770" s="310">
        <f>Tab1SDataShiftSummary[[#This Row],[Summary5]]-Tab1SDataShiftSummary[[#This Row],[Summary4]]</f>
        <v>4.3106249279150077E-2</v>
      </c>
      <c r="AH1770" s="310">
        <f>Tab1SDataShiftSummary[[#This Row],[Summary6]]-Tab1SDataShiftSummary[[#This Row],[Summary5]]</f>
        <v>6.0416798539337346E-2</v>
      </c>
      <c r="AI1770" s="310">
        <f>Tab1SDataShiftSummary[[#This Row],[Summary7]]-Tab1SDataShiftSummary[[#This Row],[Summary6]]</f>
        <v>-1.4136815549829373E-2</v>
      </c>
      <c r="AJ1770" s="310">
        <f>Tab1SDataShiftSummary[[#This Row],[Summary8]]-Tab1SDataShiftSummary[[#This Row],[Summary7]]</f>
        <v>2.2938636820923897E-4</v>
      </c>
      <c r="AK1770" s="310">
        <f>Tab1SDataShiftSummary[[#This Row],[Summary9]]-Tab1SDataShiftSummary[[#This Row],[Summary8]]</f>
        <v>-7.5081788861589338E-2</v>
      </c>
      <c r="AL1770" s="310">
        <f>Tab1SDataShiftSummary[[#This Row],[Summary10]]-Tab1SDataShiftSummary[[#This Row],[Summary9]]</f>
        <v>4.6171485712591664E-3</v>
      </c>
      <c r="AM1770" s="310">
        <f>Tab1SDataShiftSummary[[#This Row],[Summary11]]-Tab1SDataShiftSummary[[#This Row],[Summary10]]</f>
        <v>2.8592989880905639E-2</v>
      </c>
      <c r="AN1770" s="310">
        <f>Tab1SDataShiftSummary[[#This Row],[Summary12]]-Tab1SDataShiftSummary[[#This Row],[Summary11]]</f>
        <v>-7.7863362721020124E-4</v>
      </c>
      <c r="AO1770" s="310">
        <f>Tab1SDataShiftSummary[[#This Row],[Summary13]]-Tab1SDataShiftSummary[[#This Row],[Summary12]]</f>
        <v>-2.078874336699732E-3</v>
      </c>
      <c r="AP1770" s="310">
        <f>Tab1SDataShiftSummary[[#This Row],[Summary14]]-Tab1SDataShiftSummary[[#This Row],[Summary13]]</f>
        <v>8.3268332494164321E-2</v>
      </c>
      <c r="AQ1770" s="310">
        <f>Tab1SDataShiftSummary[[#This Row],[Summary15]]-Tab1SDataShiftSummary[[#This Row],[Summary14]]</f>
        <v>4.3080727351556547E-3</v>
      </c>
      <c r="AR1770" s="310">
        <f>Tab1SDataShiftSummary[[#This Row],[Summary16]]-Tab1SDataShiftSummary[[#This Row],[Summary15]]</f>
        <v>-5.758265480830782E-2</v>
      </c>
      <c r="AS1770" s="310">
        <f>Tab1SDataShiftSummary[[#This Row],[Summary17]]-Tab1SDataShiftSummary[[#This Row],[Summary16]]</f>
        <v>-2.6819960290636047E-5</v>
      </c>
      <c r="AT1770" s="310">
        <f>Tab1SDataShiftSummary[[#This Row],[Summary18]]-Tab1SDataShiftSummary[[#This Row],[Summary17]]</f>
        <v>2.2238527106320793E-2</v>
      </c>
      <c r="AU1770" s="310">
        <f>Tab1SDataShiftSummary[[#This Row],[Summary19]]-Tab1SDataShiftSummary[[#This Row],[Summary18]]</f>
        <v>-1.8341219168457101E-2</v>
      </c>
      <c r="AV1770" s="310">
        <f ca="1">Tab1SDataShiftSummary[[#This Row],[Summary20]]-Tab1SDataShiftSummary[[#This Row],[Summary19]]</f>
        <v>-6.4174264108045609E-3</v>
      </c>
      <c r="AX1770" s="1142">
        <f ca="1">SUM(AX1766:AX1769)</f>
        <v>-178211.10500000417</v>
      </c>
      <c r="AY1770" s="732" t="s">
        <v>2128</v>
      </c>
    </row>
    <row r="1771" spans="2:58">
      <c r="B1771" s="732" t="s">
        <v>2287</v>
      </c>
      <c r="C1771"/>
      <c r="E1771"/>
      <c r="F1771" s="310">
        <v>0.56856476384374577</v>
      </c>
      <c r="G1771" s="310">
        <v>0.58774278394828561</v>
      </c>
      <c r="H1771" s="310">
        <v>0.57028932828146373</v>
      </c>
      <c r="I1771" s="310">
        <v>0.58443258158634293</v>
      </c>
      <c r="J1771" s="310">
        <v>0.59263431102757058</v>
      </c>
      <c r="K1771" s="310">
        <v>0.61014296407394708</v>
      </c>
      <c r="L1771" s="310">
        <v>0.63483787625095089</v>
      </c>
      <c r="M1771" s="310">
        <v>0.63416233055591298</v>
      </c>
      <c r="N1771" s="310">
        <v>0.63275179437083762</v>
      </c>
      <c r="O1771" s="310">
        <v>0.60022700564280851</v>
      </c>
      <c r="P1771" s="310">
        <v>0.60364678223174617</v>
      </c>
      <c r="Q1771" s="310">
        <v>0.6194310324951583</v>
      </c>
      <c r="R1771" s="310">
        <v>0.61163431660860912</v>
      </c>
      <c r="S1771" s="310">
        <v>0.60320774235325492</v>
      </c>
      <c r="T1771" s="310">
        <v>0.64479018948886535</v>
      </c>
      <c r="U1771" s="310">
        <v>0.63514903104893494</v>
      </c>
      <c r="V1771" s="310">
        <v>0.57289599656508894</v>
      </c>
      <c r="W1771" s="310">
        <v>0.57288383326118131</v>
      </c>
      <c r="X1771" s="310">
        <v>0.57405148014651897</v>
      </c>
      <c r="Y1771" s="310">
        <v>0.56272841334141321</v>
      </c>
      <c r="Z1771" s="310">
        <f ca="1">ABS((Z1754+Z1759)/Z1759)</f>
        <v>0.56268500402765986</v>
      </c>
      <c r="AB1771" s="310">
        <f ca="1">Tab1SDataShiftSummary[[#This Row],[Summary0]]-Tab1SDataShiftSummary[[#This Row],[Summary20]]</f>
        <v>5.8797598160859055E-3</v>
      </c>
      <c r="AC1771" s="310">
        <f>Tab1SDataShiftSummary[[#This Row],[Summary1]]-Tab1SDataShiftSummary[[#This Row],[Summary0]]</f>
        <v>1.9178020104539839E-2</v>
      </c>
      <c r="AD1771" s="310">
        <f>Tab1SDataShiftSummary[[#This Row],[Summary2]]-Tab1SDataShiftSummary[[#This Row],[Summary1]]</f>
        <v>-1.7453455666821882E-2</v>
      </c>
      <c r="AE1771" s="310">
        <f>Tab1SDataShiftSummary[[#This Row],[Summary3]]-Tab1SDataShiftSummary[[#This Row],[Summary2]]</f>
        <v>1.41432533048792E-2</v>
      </c>
      <c r="AF1771" s="310">
        <f>Tab1SDataShiftSummary[[#This Row],[Summary4]]-Tab1SDataShiftSummary[[#This Row],[Summary3]]</f>
        <v>8.2017294412276565E-3</v>
      </c>
      <c r="AG1771" s="310">
        <f>Tab1SDataShiftSummary[[#This Row],[Summary5]]-Tab1SDataShiftSummary[[#This Row],[Summary4]]</f>
        <v>1.7508653046376499E-2</v>
      </c>
      <c r="AH1771" s="310">
        <f>Tab1SDataShiftSummary[[#This Row],[Summary6]]-Tab1SDataShiftSummary[[#This Row],[Summary5]]</f>
        <v>2.4694912177003814E-2</v>
      </c>
      <c r="AI1771" s="310">
        <f>Tab1SDataShiftSummary[[#This Row],[Summary7]]-Tab1SDataShiftSummary[[#This Row],[Summary6]]</f>
        <v>-6.7554569503791573E-4</v>
      </c>
      <c r="AJ1771" s="310">
        <f>Tab1SDataShiftSummary[[#This Row],[Summary8]]-Tab1SDataShiftSummary[[#This Row],[Summary7]]</f>
        <v>-1.4105361850753617E-3</v>
      </c>
      <c r="AK1771" s="310">
        <f>Tab1SDataShiftSummary[[#This Row],[Summary9]]-Tab1SDataShiftSummary[[#This Row],[Summary8]]</f>
        <v>-3.2524788728029108E-2</v>
      </c>
      <c r="AL1771" s="310">
        <f>Tab1SDataShiftSummary[[#This Row],[Summary10]]-Tab1SDataShiftSummary[[#This Row],[Summary9]]</f>
        <v>3.4197765889376619E-3</v>
      </c>
      <c r="AM1771" s="310">
        <f>Tab1SDataShiftSummary[[#This Row],[Summary11]]-Tab1SDataShiftSummary[[#This Row],[Summary10]]</f>
        <v>1.5784250263412125E-2</v>
      </c>
      <c r="AN1771" s="310">
        <f>Tab1SDataShiftSummary[[#This Row],[Summary12]]-Tab1SDataShiftSummary[[#This Row],[Summary11]]</f>
        <v>-7.796715886549177E-3</v>
      </c>
      <c r="AO1771" s="310">
        <f>Tab1SDataShiftSummary[[#This Row],[Summary13]]-Tab1SDataShiftSummary[[#This Row],[Summary12]]</f>
        <v>-8.4265742553542022E-3</v>
      </c>
      <c r="AP1771" s="310">
        <f>Tab1SDataShiftSummary[[#This Row],[Summary14]]-Tab1SDataShiftSummary[[#This Row],[Summary13]]</f>
        <v>4.1582447135610434E-2</v>
      </c>
      <c r="AQ1771" s="310">
        <f>Tab1SDataShiftSummary[[#This Row],[Summary15]]-Tab1SDataShiftSummary[[#This Row],[Summary14]]</f>
        <v>-9.6411584399304084E-3</v>
      </c>
      <c r="AR1771" s="310">
        <f>Tab1SDataShiftSummary[[#This Row],[Summary16]]-Tab1SDataShiftSummary[[#This Row],[Summary15]]</f>
        <v>-6.2253034483846004E-2</v>
      </c>
      <c r="AS1771" s="310">
        <f>Tab1SDataShiftSummary[[#This Row],[Summary17]]-Tab1SDataShiftSummary[[#This Row],[Summary16]]</f>
        <v>-1.2163303907630763E-5</v>
      </c>
      <c r="AT1771" s="310">
        <f>Tab1SDataShiftSummary[[#This Row],[Summary18]]-Tab1SDataShiftSummary[[#This Row],[Summary17]]</f>
        <v>1.1676468853376587E-3</v>
      </c>
      <c r="AU1771" s="310">
        <f>Tab1SDataShiftSummary[[#This Row],[Summary19]]-Tab1SDataShiftSummary[[#This Row],[Summary18]]</f>
        <v>-1.1323066805105753E-2</v>
      </c>
      <c r="AV1771" s="310">
        <f ca="1">Tab1SDataShiftSummary[[#This Row],[Summary20]]-Tab1SDataShiftSummary[[#This Row],[Summary19]]</f>
        <v>-4.3409313753350887E-5</v>
      </c>
      <c r="AY1771" s="732" t="s">
        <v>2285</v>
      </c>
    </row>
    <row r="1772" spans="2:58">
      <c r="B1772" s="732" t="s">
        <v>2295</v>
      </c>
      <c r="C1772"/>
      <c r="E1772"/>
      <c r="F1772" s="737">
        <v>-23685281.121454712</v>
      </c>
      <c r="G1772" s="737">
        <v>-23685281.121454712</v>
      </c>
      <c r="H1772" s="737">
        <v>-23685281.121454712</v>
      </c>
      <c r="I1772" s="737">
        <v>-23605480.121454712</v>
      </c>
      <c r="J1772" s="737">
        <v>-23545280.121454712</v>
      </c>
      <c r="K1772" s="737">
        <v>-23098293.752454717</v>
      </c>
      <c r="L1772" s="737">
        <v>-23069648.904454716</v>
      </c>
      <c r="M1772" s="737">
        <v>-23106648.179662712</v>
      </c>
      <c r="N1772" s="737">
        <v>-23059088.179662712</v>
      </c>
      <c r="O1772" s="737">
        <v>-23520396.496454716</v>
      </c>
      <c r="P1772" s="737">
        <v>-23476521.496454716</v>
      </c>
      <c r="Q1772" s="737">
        <v>-23425195.886454709</v>
      </c>
      <c r="R1772" s="737">
        <v>-23303545.066454716</v>
      </c>
      <c r="S1772" s="737">
        <v>-23181994.966454715</v>
      </c>
      <c r="T1772" s="737">
        <v>-23188401.468454711</v>
      </c>
      <c r="U1772" s="737">
        <v>-23251589.198454715</v>
      </c>
      <c r="V1772" s="737">
        <v>-24220950.208454713</v>
      </c>
      <c r="W1772" s="737">
        <v>-24220950.208454713</v>
      </c>
      <c r="X1772" s="737">
        <v>-24599910.208454713</v>
      </c>
      <c r="Y1772" s="737">
        <v>-25292873.548454717</v>
      </c>
      <c r="Z1772" s="737">
        <f ca="1">Calc!BA103</f>
        <v>-25179463.548454709</v>
      </c>
      <c r="AB1772" s="890">
        <f ca="1">Tab1SDataShiftSummary[[#This Row],[Summary0]]-Tab1SDataShiftSummary[[#This Row],[Summary20]]</f>
        <v>1494182.4269999973</v>
      </c>
      <c r="AC1772" s="891">
        <f>Tab1SDataShiftSummary[[#This Row],[Summary1]]-Tab1SDataShiftSummary[[#This Row],[Summary0]]</f>
        <v>0</v>
      </c>
      <c r="AD1772" s="891">
        <f>Tab1SDataShiftSummary[[#This Row],[Summary2]]-Tab1SDataShiftSummary[[#This Row],[Summary1]]</f>
        <v>0</v>
      </c>
      <c r="AE1772" s="891">
        <f>Tab1SDataShiftSummary[[#This Row],[Summary3]]-Tab1SDataShiftSummary[[#This Row],[Summary2]]</f>
        <v>79801</v>
      </c>
      <c r="AF1772" s="891">
        <f>Tab1SDataShiftSummary[[#This Row],[Summary4]]-Tab1SDataShiftSummary[[#This Row],[Summary3]]</f>
        <v>60200</v>
      </c>
      <c r="AG1772" s="891">
        <f>Tab1SDataShiftSummary[[#This Row],[Summary5]]-Tab1SDataShiftSummary[[#This Row],[Summary4]]</f>
        <v>446986.36899999529</v>
      </c>
      <c r="AH1772" s="891">
        <f>Tab1SDataShiftSummary[[#This Row],[Summary6]]-Tab1SDataShiftSummary[[#This Row],[Summary5]]</f>
        <v>28644.848000001162</v>
      </c>
      <c r="AI1772" s="891">
        <f>Tab1SDataShiftSummary[[#This Row],[Summary7]]-Tab1SDataShiftSummary[[#This Row],[Summary6]]</f>
        <v>-36999.275207996368</v>
      </c>
      <c r="AJ1772" s="891">
        <f>Tab1SDataShiftSummary[[#This Row],[Summary8]]-Tab1SDataShiftSummary[[#This Row],[Summary7]]</f>
        <v>47560</v>
      </c>
      <c r="AK1772" s="891">
        <f>Tab1SDataShiftSummary[[#This Row],[Summary9]]-Tab1SDataShiftSummary[[#This Row],[Summary8]]</f>
        <v>-461308.31679200381</v>
      </c>
      <c r="AL1772" s="891">
        <f>Tab1SDataShiftSummary[[#This Row],[Summary10]]-Tab1SDataShiftSummary[[#This Row],[Summary9]]</f>
        <v>43875</v>
      </c>
      <c r="AM1772" s="891">
        <f>Tab1SDataShiftSummary[[#This Row],[Summary11]]-Tab1SDataShiftSummary[[#This Row],[Summary10]]</f>
        <v>51325.610000006855</v>
      </c>
      <c r="AN1772" s="891">
        <f>Tab1SDataShiftSummary[[#This Row],[Summary12]]-Tab1SDataShiftSummary[[#This Row],[Summary11]]</f>
        <v>121650.81999999285</v>
      </c>
      <c r="AO1772" s="891">
        <f>Tab1SDataShiftSummary[[#This Row],[Summary13]]-Tab1SDataShiftSummary[[#This Row],[Summary12]]</f>
        <v>121550.10000000149</v>
      </c>
      <c r="AP1772" s="891">
        <f>Tab1SDataShiftSummary[[#This Row],[Summary14]]-Tab1SDataShiftSummary[[#This Row],[Summary13]]</f>
        <v>-6406.5019999966025</v>
      </c>
      <c r="AQ1772" s="891">
        <f>Tab1SDataShiftSummary[[#This Row],[Summary15]]-Tab1SDataShiftSummary[[#This Row],[Summary14]]</f>
        <v>-63187.730000004172</v>
      </c>
      <c r="AR1772" s="891">
        <f>Tab1SDataShiftSummary[[#This Row],[Summary16]]-Tab1SDataShiftSummary[[#This Row],[Summary15]]</f>
        <v>-969361.00999999791</v>
      </c>
      <c r="AS1772" s="891">
        <f>Tab1SDataShiftSummary[[#This Row],[Summary17]]-Tab1SDataShiftSummary[[#This Row],[Summary16]]</f>
        <v>0</v>
      </c>
      <c r="AT1772" s="891">
        <f>Tab1SDataShiftSummary[[#This Row],[Summary18]]-Tab1SDataShiftSummary[[#This Row],[Summary17]]</f>
        <v>-378960</v>
      </c>
      <c r="AU1772" s="93">
        <f>Tab1SDataShiftSummary[[#This Row],[Summary19]]-Tab1SDataShiftSummary[[#This Row],[Summary18]]</f>
        <v>-692963.34000000358</v>
      </c>
      <c r="AV1772" s="93">
        <f ca="1">Tab1SDataShiftSummary[[#This Row],[Summary20]]-Tab1SDataShiftSummary[[#This Row],[Summary19]]</f>
        <v>113410.00000000745</v>
      </c>
      <c r="AY1772" s="732" t="s">
        <v>2295</v>
      </c>
    </row>
    <row r="1773" spans="2:58">
      <c r="B1773" s="732" t="s">
        <v>1845</v>
      </c>
      <c r="C1773"/>
      <c r="E1773"/>
      <c r="F1773" s="737">
        <v>2791469.2047000001</v>
      </c>
      <c r="G1773" s="737">
        <v>2791469.2047000001</v>
      </c>
      <c r="H1773" s="737">
        <v>2791469.2047000001</v>
      </c>
      <c r="I1773" s="737">
        <v>2791469.2047000001</v>
      </c>
      <c r="J1773" s="737">
        <v>2829929.2047000001</v>
      </c>
      <c r="K1773" s="737">
        <v>2772977.4357000003</v>
      </c>
      <c r="L1773" s="737">
        <v>2759281.5877</v>
      </c>
      <c r="M1773" s="737">
        <v>2976328.2629080005</v>
      </c>
      <c r="N1773" s="737">
        <v>2976328.2629080005</v>
      </c>
      <c r="O1773" s="737">
        <v>2956532.3797000004</v>
      </c>
      <c r="P1773" s="737">
        <v>2985791.7396999998</v>
      </c>
      <c r="Q1773" s="737">
        <v>3046430.5897000004</v>
      </c>
      <c r="R1773" s="737">
        <v>2928464.5897000004</v>
      </c>
      <c r="S1773" s="737">
        <v>2928464.5897000004</v>
      </c>
      <c r="T1773" s="737">
        <v>3145237.8597000008</v>
      </c>
      <c r="U1773" s="737">
        <v>3111660.5897000004</v>
      </c>
      <c r="V1773" s="737">
        <v>2434106.5996999992</v>
      </c>
      <c r="W1773" s="737">
        <v>2434106.5996999992</v>
      </c>
      <c r="X1773" s="737">
        <v>2474607.5996999992</v>
      </c>
      <c r="Y1773" s="737">
        <v>2555847.5996999992</v>
      </c>
      <c r="Z1773" s="737">
        <f ca="1">Calc!AZ103</f>
        <v>2555847.5996999992</v>
      </c>
      <c r="AB1773" s="890">
        <f ca="1">Tab1SDataShiftSummary[[#This Row],[Summary0]]-Tab1SDataShiftSummary[[#This Row],[Summary20]]</f>
        <v>235621.60500000091</v>
      </c>
      <c r="AC1773" s="891">
        <f>Tab1SDataShiftSummary[[#This Row],[Summary1]]-Tab1SDataShiftSummary[[#This Row],[Summary0]]</f>
        <v>0</v>
      </c>
      <c r="AD1773" s="891">
        <f>Tab1SDataShiftSummary[[#This Row],[Summary2]]-Tab1SDataShiftSummary[[#This Row],[Summary1]]</f>
        <v>0</v>
      </c>
      <c r="AE1773" s="891">
        <f>Tab1SDataShiftSummary[[#This Row],[Summary3]]-Tab1SDataShiftSummary[[#This Row],[Summary2]]</f>
        <v>0</v>
      </c>
      <c r="AF1773" s="891">
        <f>Tab1SDataShiftSummary[[#This Row],[Summary4]]-Tab1SDataShiftSummary[[#This Row],[Summary3]]</f>
        <v>38460</v>
      </c>
      <c r="AG1773" s="891">
        <f>Tab1SDataShiftSummary[[#This Row],[Summary5]]-Tab1SDataShiftSummary[[#This Row],[Summary4]]</f>
        <v>-56951.768999999855</v>
      </c>
      <c r="AH1773" s="891">
        <f>Tab1SDataShiftSummary[[#This Row],[Summary6]]-Tab1SDataShiftSummary[[#This Row],[Summary5]]</f>
        <v>-13695.848000000231</v>
      </c>
      <c r="AI1773" s="891">
        <f>Tab1SDataShiftSummary[[#This Row],[Summary7]]-Tab1SDataShiftSummary[[#This Row],[Summary6]]</f>
        <v>217046.67520800047</v>
      </c>
      <c r="AJ1773" s="891">
        <f>Tab1SDataShiftSummary[[#This Row],[Summary8]]-Tab1SDataShiftSummary[[#This Row],[Summary7]]</f>
        <v>0</v>
      </c>
      <c r="AK1773" s="891">
        <f>Tab1SDataShiftSummary[[#This Row],[Summary9]]-Tab1SDataShiftSummary[[#This Row],[Summary8]]</f>
        <v>-19795.883208000101</v>
      </c>
      <c r="AL1773" s="891">
        <f>Tab1SDataShiftSummary[[#This Row],[Summary10]]-Tab1SDataShiftSummary[[#This Row],[Summary9]]</f>
        <v>29259.359999999404</v>
      </c>
      <c r="AM1773" s="891">
        <f>Tab1SDataShiftSummary[[#This Row],[Summary11]]-Tab1SDataShiftSummary[[#This Row],[Summary10]]</f>
        <v>60638.850000000559</v>
      </c>
      <c r="AN1773" s="891">
        <f>Tab1SDataShiftSummary[[#This Row],[Summary12]]-Tab1SDataShiftSummary[[#This Row],[Summary11]]</f>
        <v>-117966</v>
      </c>
      <c r="AO1773" s="891">
        <f>Tab1SDataShiftSummary[[#This Row],[Summary13]]-Tab1SDataShiftSummary[[#This Row],[Summary12]]</f>
        <v>0</v>
      </c>
      <c r="AP1773" s="891">
        <f>Tab1SDataShiftSummary[[#This Row],[Summary14]]-Tab1SDataShiftSummary[[#This Row],[Summary13]]</f>
        <v>216773.27000000048</v>
      </c>
      <c r="AQ1773" s="891">
        <f>Tab1SDataShiftSummary[[#This Row],[Summary15]]-Tab1SDataShiftSummary[[#This Row],[Summary14]]</f>
        <v>-33577.270000000484</v>
      </c>
      <c r="AR1773" s="891">
        <f>Tab1SDataShiftSummary[[#This Row],[Summary16]]-Tab1SDataShiftSummary[[#This Row],[Summary15]]</f>
        <v>-677553.99000000115</v>
      </c>
      <c r="AS1773" s="891">
        <f>Tab1SDataShiftSummary[[#This Row],[Summary17]]-Tab1SDataShiftSummary[[#This Row],[Summary16]]</f>
        <v>0</v>
      </c>
      <c r="AT1773" s="891">
        <f>Tab1SDataShiftSummary[[#This Row],[Summary18]]-Tab1SDataShiftSummary[[#This Row],[Summary17]]</f>
        <v>40501</v>
      </c>
      <c r="AU1773" s="93">
        <f>Tab1SDataShiftSummary[[#This Row],[Summary19]]-Tab1SDataShiftSummary[[#This Row],[Summary18]]</f>
        <v>81240</v>
      </c>
      <c r="AV1773" s="93">
        <f ca="1">Tab1SDataShiftSummary[[#This Row],[Summary20]]-Tab1SDataShiftSummary[[#This Row],[Summary19]]</f>
        <v>0</v>
      </c>
      <c r="AY1773" s="732" t="s">
        <v>1845</v>
      </c>
    </row>
    <row r="1774" spans="2:58">
      <c r="B1774" s="732" t="s">
        <v>2532</v>
      </c>
      <c r="C1774"/>
      <c r="E1774"/>
      <c r="F1774" s="977">
        <v>0.57966643509397364</v>
      </c>
      <c r="G1774" s="977">
        <v>0.5607519458824195</v>
      </c>
      <c r="H1774" s="977">
        <v>0.57791351412890213</v>
      </c>
      <c r="I1774" s="977">
        <v>0.57258618766378511</v>
      </c>
      <c r="J1774" s="977">
        <v>0.57850030108433081</v>
      </c>
      <c r="K1774" s="977">
        <v>0.59802263728518901</v>
      </c>
      <c r="L1774" s="977">
        <v>0.57520902844067789</v>
      </c>
      <c r="M1774" s="977">
        <v>0.61195860603963681</v>
      </c>
      <c r="N1774" s="977">
        <v>0.61850823051333581</v>
      </c>
      <c r="O1774" s="977">
        <v>0.59607757242773096</v>
      </c>
      <c r="P1774" s="977">
        <v>0.60309732756435397</v>
      </c>
      <c r="Q1774" s="977">
        <v>0.60460877132818147</v>
      </c>
      <c r="R1774" s="977">
        <v>0.60316993551937081</v>
      </c>
      <c r="S1774" s="977">
        <v>0.62514169351017124</v>
      </c>
      <c r="T1774" s="977">
        <v>0.62395587321339352</v>
      </c>
      <c r="U1774" s="977">
        <v>0.62005164941993784</v>
      </c>
      <c r="V1774" s="977">
        <v>0.44885234190931772</v>
      </c>
      <c r="W1774" s="977">
        <v>0.44886187181246262</v>
      </c>
      <c r="X1774" s="977">
        <v>0.41755126200788167</v>
      </c>
      <c r="Y1774" s="977">
        <v>0.37283851333825019</v>
      </c>
      <c r="Z1774" s="977">
        <f ca="1">(Z1764+Z1773)/Z1761</f>
        <v>0.35534335786658905</v>
      </c>
      <c r="AB1774" s="310">
        <f ca="1">Tab1SDataShiftSummary[[#This Row],[Summary20]]-Tab1SDataShiftSummary[[#This Row],[Summary0]]</f>
        <v>-0.22432307722738459</v>
      </c>
      <c r="AC1774" s="310">
        <f>Tab1SDataShiftSummary[[#This Row],[Summary1]]-Tab1SDataShiftSummary[[#This Row],[Summary0]]</f>
        <v>-1.8914489211554142E-2</v>
      </c>
      <c r="AD1774" s="310">
        <f>Tab1SDataShiftSummary[[#This Row],[Summary2]]-Tab1SDataShiftSummary[[#This Row],[Summary1]]</f>
        <v>1.7161568246482628E-2</v>
      </c>
      <c r="AE1774" s="310">
        <f>Tab1SDataShiftSummary[[#This Row],[Summary3]]-Tab1SDataShiftSummary[[#This Row],[Summary2]]</f>
        <v>-5.3273264651170216E-3</v>
      </c>
      <c r="AF1774" s="310">
        <f>Tab1SDataShiftSummary[[#This Row],[Summary4]]-Tab1SDataShiftSummary[[#This Row],[Summary3]]</f>
        <v>5.914113420545708E-3</v>
      </c>
      <c r="AG1774" s="310">
        <f>Tab1SDataShiftSummary[[#This Row],[Summary5]]-Tab1SDataShiftSummary[[#This Row],[Summary4]]</f>
        <v>1.9522336200858192E-2</v>
      </c>
      <c r="AH1774" s="310">
        <f>Tab1SDataShiftSummary[[#This Row],[Summary6]]-Tab1SDataShiftSummary[[#This Row],[Summary5]]</f>
        <v>-2.2813608844511113E-2</v>
      </c>
      <c r="AI1774" s="310">
        <f>Tab1SDataShiftSummary[[#This Row],[Summary7]]-Tab1SDataShiftSummary[[#This Row],[Summary6]]</f>
        <v>3.6749577598958916E-2</v>
      </c>
      <c r="AJ1774" s="310">
        <f>Tab1SDataShiftSummary[[#This Row],[Summary8]]-Tab1SDataShiftSummary[[#This Row],[Summary7]]</f>
        <v>6.5496244736990006E-3</v>
      </c>
      <c r="AK1774" s="310">
        <f>Tab1SDataShiftSummary[[#This Row],[Summary9]]-Tab1SDataShiftSummary[[#This Row],[Summary8]]</f>
        <v>-2.2430658085604849E-2</v>
      </c>
      <c r="AL1774" s="310">
        <f>Tab1SDataShiftSummary[[#This Row],[Summary10]]-Tab1SDataShiftSummary[[#This Row],[Summary9]]</f>
        <v>7.0197551366230071E-3</v>
      </c>
      <c r="AM1774" s="310">
        <f>Tab1SDataShiftSummary[[#This Row],[Summary11]]-Tab1SDataShiftSummary[[#This Row],[Summary10]]</f>
        <v>1.5114437638275025E-3</v>
      </c>
      <c r="AN1774" s="310">
        <f>Tab1SDataShiftSummary[[#This Row],[Summary12]]-Tab1SDataShiftSummary[[#This Row],[Summary11]]</f>
        <v>-1.4388358088106568E-3</v>
      </c>
      <c r="AO1774" s="310">
        <f>Tab1SDataShiftSummary[[#This Row],[Summary13]]-Tab1SDataShiftSummary[[#This Row],[Summary12]]</f>
        <v>2.1971757990800422E-2</v>
      </c>
      <c r="AP1774" s="310">
        <f>Tab1SDataShiftSummary[[#This Row],[Summary14]]-Tab1SDataShiftSummary[[#This Row],[Summary13]]</f>
        <v>-1.1858202967777176E-3</v>
      </c>
      <c r="AQ1774" s="310">
        <f>Tab1SDataShiftSummary[[#This Row],[Summary15]]-Tab1SDataShiftSummary[[#This Row],[Summary14]]</f>
        <v>-3.9042237934556745E-3</v>
      </c>
      <c r="AR1774" s="310">
        <f>Tab1SDataShiftSummary[[#This Row],[Summary16]]-Tab1SDataShiftSummary[[#This Row],[Summary15]]</f>
        <v>-0.17119930751062012</v>
      </c>
      <c r="AS1774" s="310">
        <f>Tab1SDataShiftSummary[[#This Row],[Summary17]]-Tab1SDataShiftSummary[[#This Row],[Summary16]]</f>
        <v>9.5299031449003202E-6</v>
      </c>
      <c r="AT1774" s="310">
        <f>Tab1SDataShiftSummary[[#This Row],[Summary18]]-Tab1SDataShiftSummary[[#This Row],[Summary17]]</f>
        <v>-3.1310609804580947E-2</v>
      </c>
      <c r="AU1774" s="310">
        <f>Tab1SDataShiftSummary[[#This Row],[Summary19]]-Tab1SDataShiftSummary[[#This Row],[Summary18]]</f>
        <v>-4.4712748669631486E-2</v>
      </c>
      <c r="AV1774" s="310">
        <f ca="1">Tab1SDataShiftSummary[[#This Row],[Summary20]]-Tab1SDataShiftSummary[[#This Row],[Summary19]]</f>
        <v>-1.7495155471661139E-2</v>
      </c>
      <c r="AY1774" s="732" t="s">
        <v>2532</v>
      </c>
    </row>
    <row r="1775" spans="2:58">
      <c r="B1775"/>
      <c r="C1775"/>
      <c r="E1775"/>
      <c r="F1775" s="977"/>
      <c r="G1775" s="977"/>
      <c r="H1775" s="977"/>
      <c r="I1775" s="977"/>
      <c r="J1775" s="977"/>
      <c r="K1775" s="977"/>
      <c r="L1775" s="977"/>
      <c r="M1775" s="977"/>
      <c r="N1775" s="977"/>
      <c r="O1775" s="977"/>
      <c r="P1775" s="977"/>
      <c r="Q1775" s="977"/>
      <c r="R1775" s="977"/>
      <c r="S1775" s="977"/>
      <c r="T1775" s="977"/>
      <c r="U1775" s="977"/>
      <c r="V1775" s="977"/>
      <c r="W1775" s="977"/>
      <c r="X1775" s="977"/>
      <c r="Y1775" s="977"/>
      <c r="Z1775" s="977"/>
      <c r="AB1775" s="93"/>
      <c r="AC1775" s="93"/>
      <c r="AD1775" s="93"/>
      <c r="AE1775" s="93"/>
      <c r="AF1775" s="93"/>
      <c r="AG1775" s="93"/>
      <c r="AH1775" s="93"/>
      <c r="AI1775" s="93"/>
      <c r="AJ1775" s="93"/>
      <c r="AK1775" s="93"/>
      <c r="AL1775" s="93"/>
      <c r="AM1775" s="93"/>
      <c r="AN1775" s="93"/>
      <c r="AO1775" s="93"/>
      <c r="AP1775" s="93"/>
      <c r="AQ1775" s="93"/>
      <c r="AR1775" s="93"/>
      <c r="AS1775" s="93"/>
      <c r="AT1775" s="93"/>
      <c r="AV1775" s="93"/>
      <c r="AY1775" s="1147" t="s">
        <v>2450</v>
      </c>
    </row>
    <row r="1776" spans="2:58">
      <c r="B1776"/>
      <c r="C1776"/>
      <c r="E1776"/>
      <c r="J1776"/>
      <c r="K1776"/>
      <c r="AB1776" s="93"/>
      <c r="AC1776" s="93"/>
      <c r="AD1776" s="93"/>
      <c r="AE1776" s="93"/>
      <c r="AF1776" s="93"/>
      <c r="AG1776" s="93"/>
      <c r="AH1776" s="93"/>
      <c r="AI1776" s="93"/>
      <c r="AJ1776" s="93"/>
      <c r="AK1776" s="93"/>
      <c r="AL1776" s="93"/>
      <c r="AM1776" s="93"/>
      <c r="AN1776" s="93"/>
      <c r="AO1776" s="93"/>
      <c r="AP1776" s="93"/>
      <c r="AQ1776" s="93"/>
      <c r="AR1776" s="93"/>
      <c r="AS1776" s="93"/>
      <c r="AV1776" s="93"/>
      <c r="AY1776" s="1147" t="s">
        <v>2451</v>
      </c>
    </row>
    <row r="1777" spans="2:48">
      <c r="B1777"/>
      <c r="C1777"/>
      <c r="E1777"/>
      <c r="J1777"/>
      <c r="K1777"/>
      <c r="AB1777" s="93"/>
      <c r="AC1777" s="93"/>
      <c r="AD1777" s="93"/>
      <c r="AE1777" s="93"/>
      <c r="AF1777" s="93"/>
      <c r="AG1777" s="93"/>
      <c r="AH1777" s="93"/>
      <c r="AI1777" s="93"/>
      <c r="AJ1777" s="93"/>
      <c r="AK1777" s="93"/>
      <c r="AL1777" s="93"/>
      <c r="AM1777" s="93"/>
      <c r="AN1777" s="93"/>
      <c r="AO1777" s="93"/>
      <c r="AP1777" s="93"/>
      <c r="AQ1777" s="93"/>
      <c r="AR1777" s="93"/>
      <c r="AS1777" s="93"/>
      <c r="AT1777" s="93"/>
      <c r="AV1777" s="93"/>
    </row>
    <row r="1778" spans="2:48">
      <c r="B1778"/>
      <c r="C1778"/>
      <c r="E1778"/>
      <c r="J1778"/>
      <c r="K1778"/>
      <c r="AB1778" s="93"/>
      <c r="AC1778" s="93"/>
      <c r="AD1778" s="93"/>
      <c r="AE1778" s="93"/>
      <c r="AF1778" s="93"/>
      <c r="AG1778" s="93"/>
      <c r="AH1778" s="93"/>
      <c r="AI1778" s="93"/>
      <c r="AJ1778" s="93"/>
      <c r="AK1778" s="93"/>
      <c r="AL1778" s="93"/>
      <c r="AM1778" s="93"/>
      <c r="AN1778" s="93"/>
      <c r="AO1778" s="93"/>
      <c r="AP1778" s="93"/>
      <c r="AQ1778" s="93"/>
      <c r="AR1778" s="93"/>
      <c r="AS1778" s="93"/>
      <c r="AT1778" s="93"/>
      <c r="AV1778" s="93"/>
    </row>
    <row r="1779" spans="2:48">
      <c r="B1779"/>
      <c r="C1779"/>
      <c r="E1779"/>
      <c r="J1779"/>
      <c r="K1779"/>
      <c r="Z1779" s="93">
        <v>-56021873.837484539</v>
      </c>
      <c r="AB1779" s="93"/>
      <c r="AC1779" s="93"/>
      <c r="AD1779" s="93"/>
      <c r="AE1779" s="93"/>
      <c r="AF1779" s="93"/>
      <c r="AG1779" s="93"/>
      <c r="AH1779" s="93"/>
      <c r="AI1779" s="93"/>
      <c r="AJ1779" s="93"/>
      <c r="AK1779" s="93"/>
      <c r="AL1779" s="93"/>
      <c r="AM1779" s="93"/>
      <c r="AN1779" s="93"/>
      <c r="AO1779" s="93"/>
      <c r="AP1779" s="93"/>
      <c r="AQ1779" s="93"/>
      <c r="AR1779" s="93"/>
      <c r="AS1779" s="93"/>
      <c r="AT1779" s="93"/>
      <c r="AV1779" s="93"/>
    </row>
    <row r="1780" spans="2:48">
      <c r="B1780"/>
      <c r="C1780"/>
      <c r="E1780"/>
      <c r="J1780"/>
      <c r="K1780"/>
      <c r="Z1780" s="93">
        <v>-10255336.650656845</v>
      </c>
      <c r="AB1780" s="93"/>
      <c r="AC1780" s="93"/>
      <c r="AD1780" s="93"/>
      <c r="AE1780" s="93"/>
      <c r="AF1780" s="93"/>
      <c r="AG1780" s="93"/>
      <c r="AH1780" s="93"/>
      <c r="AI1780" s="93"/>
      <c r="AJ1780" s="93"/>
      <c r="AK1780" s="93"/>
      <c r="AL1780" s="93"/>
      <c r="AM1780" s="93"/>
      <c r="AN1780" s="93"/>
      <c r="AO1780" s="93"/>
      <c r="AP1780" s="93"/>
      <c r="AQ1780" s="93"/>
      <c r="AR1780" s="93"/>
      <c r="AS1780" s="93"/>
      <c r="AT1780" s="93"/>
      <c r="AV1780" s="93"/>
    </row>
    <row r="1781" spans="2:48">
      <c r="B1781"/>
      <c r="C1781"/>
      <c r="E1781"/>
      <c r="J1781"/>
      <c r="K1781"/>
      <c r="Y1781" s="732" t="s">
        <v>1912</v>
      </c>
      <c r="Z1781" s="572">
        <v>-66277210.488141388</v>
      </c>
      <c r="AB1781" s="93"/>
      <c r="AC1781" s="93"/>
      <c r="AD1781" s="93"/>
      <c r="AE1781" s="93"/>
      <c r="AF1781" s="93"/>
      <c r="AG1781" s="93"/>
      <c r="AH1781" s="93"/>
      <c r="AI1781" s="93"/>
      <c r="AJ1781" s="93"/>
      <c r="AK1781" s="93"/>
      <c r="AL1781" s="93"/>
      <c r="AM1781" s="93"/>
      <c r="AN1781" s="93"/>
      <c r="AO1781" s="93"/>
      <c r="AP1781" s="93"/>
      <c r="AQ1781" s="93"/>
      <c r="AR1781" s="93"/>
      <c r="AS1781" s="93"/>
      <c r="AT1781" s="93"/>
      <c r="AV1781" s="93"/>
    </row>
    <row r="1782" spans="2:48">
      <c r="B1782"/>
      <c r="C1782"/>
      <c r="E1782"/>
      <c r="J1782"/>
      <c r="K1782"/>
      <c r="W1782" s="732" t="s">
        <v>1907</v>
      </c>
      <c r="X1782" t="s">
        <v>2299</v>
      </c>
      <c r="Z1782" s="93">
        <v>4009304.3444801271</v>
      </c>
    </row>
    <row r="1783" spans="2:48">
      <c r="B1783"/>
      <c r="C1783"/>
      <c r="E1783"/>
      <c r="J1783"/>
      <c r="K1783"/>
      <c r="Y1783" s="732" t="s">
        <v>2132</v>
      </c>
      <c r="Z1783" s="892">
        <v>7111424.9632362872</v>
      </c>
    </row>
    <row r="1784" spans="2:48">
      <c r="B1784"/>
      <c r="C1784"/>
      <c r="E1784"/>
      <c r="J1784"/>
      <c r="K1784"/>
    </row>
    <row r="1785" spans="2:48">
      <c r="B1785"/>
      <c r="C1785"/>
      <c r="E1785"/>
      <c r="J1785"/>
      <c r="K1785"/>
    </row>
    <row r="1786" spans="2:48">
      <c r="B1786"/>
      <c r="C1786"/>
      <c r="E1786"/>
      <c r="J1786"/>
      <c r="K1786"/>
    </row>
    <row r="1787" spans="2:48">
      <c r="B1787"/>
      <c r="C1787"/>
      <c r="E1787"/>
      <c r="J1787"/>
      <c r="K1787"/>
    </row>
    <row r="1788" spans="2:48">
      <c r="B1788"/>
      <c r="C1788"/>
      <c r="E1788"/>
      <c r="J1788"/>
      <c r="K1788"/>
    </row>
    <row r="1789" spans="2:48">
      <c r="B1789"/>
      <c r="C1789"/>
      <c r="E1789"/>
      <c r="J1789"/>
      <c r="K1789"/>
    </row>
    <row r="1790" spans="2:48">
      <c r="B1790"/>
      <c r="C1790"/>
      <c r="E1790"/>
      <c r="J1790"/>
      <c r="K1790"/>
    </row>
    <row r="1791" spans="2:48">
      <c r="B1791"/>
      <c r="C1791"/>
      <c r="E1791"/>
      <c r="J1791"/>
      <c r="K1791"/>
    </row>
    <row r="1792" spans="2:48">
      <c r="B1792"/>
      <c r="C1792"/>
      <c r="E1792"/>
      <c r="J1792"/>
      <c r="K1792"/>
    </row>
    <row r="1793" spans="2:11">
      <c r="B1793"/>
      <c r="C1793"/>
      <c r="E1793"/>
      <c r="J1793"/>
      <c r="K1793"/>
    </row>
    <row r="1794" spans="2:11">
      <c r="B1794"/>
      <c r="C1794"/>
      <c r="E1794"/>
      <c r="J1794"/>
      <c r="K1794"/>
    </row>
    <row r="1795" spans="2:11">
      <c r="B1795"/>
      <c r="C1795"/>
      <c r="E1795"/>
      <c r="J1795"/>
      <c r="K1795"/>
    </row>
    <row r="1796" spans="2:11">
      <c r="B1796"/>
      <c r="C1796"/>
      <c r="E1796"/>
      <c r="J1796"/>
      <c r="K1796"/>
    </row>
    <row r="1797" spans="2:11">
      <c r="B1797"/>
      <c r="C1797"/>
      <c r="E1797"/>
      <c r="J1797"/>
      <c r="K1797"/>
    </row>
    <row r="1798" spans="2:11">
      <c r="B1798"/>
      <c r="C1798"/>
      <c r="E1798"/>
      <c r="J1798"/>
      <c r="K1798"/>
    </row>
    <row r="1799" spans="2:11">
      <c r="B1799"/>
      <c r="C1799"/>
      <c r="E1799"/>
      <c r="J1799"/>
      <c r="K1799"/>
    </row>
    <row r="1800" spans="2:11">
      <c r="B1800"/>
      <c r="C1800"/>
      <c r="E1800"/>
      <c r="J1800"/>
      <c r="K1800"/>
    </row>
    <row r="1801" spans="2:11">
      <c r="B1801"/>
      <c r="C1801"/>
      <c r="E1801"/>
      <c r="J1801"/>
      <c r="K1801"/>
    </row>
    <row r="1802" spans="2:11">
      <c r="B1802"/>
      <c r="C1802"/>
      <c r="E1802"/>
      <c r="J1802"/>
      <c r="K1802"/>
    </row>
    <row r="1803" spans="2:11">
      <c r="B1803"/>
      <c r="C1803"/>
      <c r="E1803"/>
      <c r="J1803"/>
      <c r="K1803"/>
    </row>
    <row r="1804" spans="2:11">
      <c r="B1804"/>
      <c r="C1804"/>
      <c r="E1804"/>
      <c r="J1804"/>
      <c r="K1804"/>
    </row>
    <row r="1805" spans="2:11">
      <c r="B1805"/>
      <c r="C1805"/>
      <c r="E1805"/>
      <c r="J1805"/>
      <c r="K1805"/>
    </row>
    <row r="1806" spans="2:11">
      <c r="B1806"/>
      <c r="C1806"/>
      <c r="E1806"/>
      <c r="J1806"/>
      <c r="K1806"/>
    </row>
    <row r="1807" spans="2:11">
      <c r="B1807"/>
      <c r="C1807"/>
      <c r="E1807"/>
      <c r="J1807"/>
      <c r="K1807"/>
    </row>
    <row r="1808" spans="2:11">
      <c r="B1808"/>
      <c r="C1808"/>
      <c r="E1808"/>
      <c r="J1808"/>
      <c r="K1808"/>
    </row>
    <row r="1809" spans="2:11">
      <c r="B1809"/>
      <c r="C1809"/>
      <c r="E1809"/>
      <c r="J1809"/>
      <c r="K1809"/>
    </row>
    <row r="1810" spans="2:11">
      <c r="B1810"/>
      <c r="C1810"/>
      <c r="E1810"/>
      <c r="J1810"/>
      <c r="K1810"/>
    </row>
    <row r="1811" spans="2:11">
      <c r="B1811"/>
      <c r="C1811"/>
      <c r="E1811"/>
      <c r="J1811"/>
      <c r="K1811"/>
    </row>
    <row r="1812" spans="2:11">
      <c r="B1812"/>
      <c r="C1812"/>
      <c r="E1812"/>
      <c r="J1812"/>
      <c r="K1812"/>
    </row>
    <row r="1813" spans="2:11">
      <c r="B1813"/>
      <c r="C1813"/>
      <c r="J1813"/>
      <c r="K1813"/>
    </row>
    <row r="1814" spans="2:11">
      <c r="B1814"/>
      <c r="C1814"/>
      <c r="J1814"/>
      <c r="K1814"/>
    </row>
    <row r="1815" spans="2:11">
      <c r="B1815"/>
      <c r="C1815"/>
      <c r="J1815"/>
      <c r="K1815"/>
    </row>
    <row r="1816" spans="2:11">
      <c r="B1816" t="s">
        <v>1135</v>
      </c>
      <c r="C1816"/>
      <c r="J1816"/>
      <c r="K1816"/>
    </row>
    <row r="1817" spans="2:11">
      <c r="B1817"/>
      <c r="C1817"/>
      <c r="J1817"/>
      <c r="K1817"/>
    </row>
    <row r="1818" spans="2:11">
      <c r="B1818" t="s">
        <v>1132</v>
      </c>
      <c r="C1818"/>
      <c r="J1818"/>
      <c r="K1818"/>
    </row>
    <row r="1819" spans="2:11">
      <c r="B1819"/>
      <c r="C1819"/>
      <c r="J1819"/>
      <c r="K1819"/>
    </row>
    <row r="1820" spans="2:11">
      <c r="B1820" t="s">
        <v>1446</v>
      </c>
      <c r="C1820"/>
      <c r="J1820"/>
      <c r="K1820"/>
    </row>
    <row r="1821" spans="2:11">
      <c r="B1821"/>
      <c r="J1821"/>
      <c r="K1821"/>
    </row>
    <row r="1822" spans="2:11">
      <c r="B1822" t="s">
        <v>1134</v>
      </c>
      <c r="J1822"/>
      <c r="K1822"/>
    </row>
    <row r="1823" spans="2:11">
      <c r="J1823"/>
      <c r="K1823"/>
    </row>
    <row r="1824" spans="2:11">
      <c r="J1824"/>
      <c r="K1824"/>
    </row>
  </sheetData>
  <phoneticPr fontId="47" type="noConversion"/>
  <conditionalFormatting sqref="E1">
    <cfRule type="colorScale" priority="462">
      <colorScale>
        <cfvo type="min"/>
        <cfvo type="percentile" val="50"/>
        <cfvo type="max"/>
        <color rgb="FFF8696B"/>
        <color rgb="FFFFEB84"/>
        <color rgb="FF63BE7B"/>
      </colorScale>
    </cfRule>
  </conditionalFormatting>
  <conditionalFormatting sqref="N199:N201">
    <cfRule type="colorScale" priority="479">
      <colorScale>
        <cfvo type="min"/>
        <cfvo type="percentile" val="50"/>
        <cfvo type="max"/>
        <color rgb="FFF8696B"/>
        <color rgb="FFFFEB84"/>
        <color rgb="FF63BE7B"/>
      </colorScale>
    </cfRule>
  </conditionalFormatting>
  <conditionalFormatting sqref="G404:J404">
    <cfRule type="colorScale" priority="192">
      <colorScale>
        <cfvo type="min"/>
        <cfvo type="percentile" val="50"/>
        <cfvo type="max"/>
        <color rgb="FFF8696B"/>
        <color rgb="FFFFEB84"/>
        <color rgb="FF63BE7B"/>
      </colorScale>
    </cfRule>
  </conditionalFormatting>
  <conditionalFormatting sqref="BF1765">
    <cfRule type="cellIs" dxfId="1810" priority="22" operator="lessThan">
      <formula>0</formula>
    </cfRule>
    <cfRule type="cellIs" dxfId="1809" priority="23" operator="greaterThan">
      <formula>0</formula>
    </cfRule>
  </conditionalFormatting>
  <conditionalFormatting sqref="AC704:AC797">
    <cfRule type="top10" dxfId="1808" priority="2147" rank="20"/>
    <cfRule type="top10" dxfId="1807" priority="2148" rank="10"/>
    <cfRule type="top10" dxfId="1806" priority="2149" bottom="1" rank="30"/>
    <cfRule type="top10" dxfId="1805" priority="2150" bottom="1" rank="10"/>
  </conditionalFormatting>
  <conditionalFormatting sqref="AD704:AD797">
    <cfRule type="top10" dxfId="1804" priority="2159" rank="20"/>
    <cfRule type="top10" dxfId="1803" priority="2160" rank="10"/>
    <cfRule type="top10" dxfId="1802" priority="2161" bottom="1" rank="30"/>
    <cfRule type="top10" dxfId="1801" priority="2162" bottom="1" rank="10"/>
  </conditionalFormatting>
  <conditionalFormatting sqref="AE704:AE797">
    <cfRule type="top10" dxfId="1800" priority="2171" rank="20"/>
    <cfRule type="top10" dxfId="1799" priority="2172" rank="10"/>
    <cfRule type="top10" dxfId="1798" priority="2173" bottom="1" rank="30"/>
    <cfRule type="top10" dxfId="1797" priority="2174" bottom="1" rank="10"/>
  </conditionalFormatting>
  <conditionalFormatting sqref="AF704:AF797">
    <cfRule type="top10" dxfId="1796" priority="2183" rank="20"/>
    <cfRule type="top10" dxfId="1795" priority="2184" rank="10"/>
    <cfRule type="top10" dxfId="1794" priority="2185" bottom="1" rank="30"/>
    <cfRule type="top10" dxfId="1793" priority="2186" bottom="1" rank="10"/>
  </conditionalFormatting>
  <conditionalFormatting sqref="AG704:AG797">
    <cfRule type="top10" dxfId="1792" priority="2195" rank="20"/>
    <cfRule type="top10" dxfId="1791" priority="2196" rank="10"/>
    <cfRule type="top10" dxfId="1790" priority="2197" bottom="1" rank="30"/>
    <cfRule type="top10" dxfId="1789" priority="2198" bottom="1" rank="10"/>
  </conditionalFormatting>
  <conditionalFormatting sqref="AH704:AH797">
    <cfRule type="top10" dxfId="1788" priority="2207" rank="20"/>
    <cfRule type="top10" dxfId="1787" priority="2208" rank="10"/>
    <cfRule type="top10" dxfId="1786" priority="2209" bottom="1" rank="30"/>
    <cfRule type="top10" dxfId="1785" priority="2210" bottom="1" rank="10"/>
  </conditionalFormatting>
  <conditionalFormatting sqref="AI704:AI797">
    <cfRule type="top10" dxfId="1784" priority="2219" rank="20"/>
    <cfRule type="top10" dxfId="1783" priority="2220" rank="10"/>
    <cfRule type="top10" dxfId="1782" priority="2221" bottom="1" rank="30"/>
    <cfRule type="top10" dxfId="1781" priority="2222" bottom="1" rank="10"/>
  </conditionalFormatting>
  <conditionalFormatting sqref="AJ704:AJ797">
    <cfRule type="top10" dxfId="1780" priority="2231" rank="20"/>
    <cfRule type="top10" dxfId="1779" priority="2232" rank="10"/>
    <cfRule type="top10" dxfId="1778" priority="2233" bottom="1" rank="30"/>
    <cfRule type="top10" dxfId="1777" priority="2234" bottom="1" rank="10"/>
  </conditionalFormatting>
  <conditionalFormatting sqref="AK704:AK797">
    <cfRule type="top10" dxfId="1776" priority="2327" rank="20"/>
    <cfRule type="top10" dxfId="1775" priority="2328" rank="10"/>
    <cfRule type="top10" dxfId="1774" priority="2329" bottom="1" rank="30"/>
    <cfRule type="top10" dxfId="1773" priority="2330" bottom="1" rank="10"/>
  </conditionalFormatting>
  <conditionalFormatting sqref="AL704:AL797">
    <cfRule type="top10" dxfId="1772" priority="2351" rank="20"/>
    <cfRule type="top10" dxfId="1771" priority="2352" rank="10"/>
    <cfRule type="top10" dxfId="1770" priority="2353" bottom="1" rank="30"/>
    <cfRule type="top10" dxfId="1769" priority="2354" bottom="1" rank="10"/>
  </conditionalFormatting>
  <conditionalFormatting sqref="AB698:AU698">
    <cfRule type="colorScale" priority="21">
      <colorScale>
        <cfvo type="min"/>
        <cfvo type="percentile" val="50"/>
        <cfvo type="max"/>
        <color rgb="FFF8696B"/>
        <color rgb="FFFFEB84"/>
        <color rgb="FF63BE7B"/>
      </colorScale>
    </cfRule>
  </conditionalFormatting>
  <conditionalFormatting sqref="A810:Y849 Z810:Z848 A850:E1001 A1002:C1002 E1002 F849:Z1783 AA1758:AV1761 AX1758:BF1761 AA1783:BF1783 AA1775:AT1782 AV1775:BF1782 A3:BF809 A1003:E1783 AA810:BF1752 AA1755:BF1757 AA1754:AZ1754 BC1753:BF1754 AA1753:BB1753 AA1762:BF1774">
    <cfRule type="expression" dxfId="1768" priority="20">
      <formula>AND(ROW()&gt;2, ROW()=SelRowNum)</formula>
    </cfRule>
  </conditionalFormatting>
  <conditionalFormatting sqref="AV605:AV698">
    <cfRule type="colorScale" priority="2804">
      <colorScale>
        <cfvo type="min"/>
        <cfvo type="percentile" val="50"/>
        <cfvo type="max"/>
        <color rgb="FFF8696B"/>
        <color rgb="FFFFEB84"/>
        <color rgb="FF63BE7B"/>
      </colorScale>
    </cfRule>
  </conditionalFormatting>
  <conditionalFormatting sqref="AT611">
    <cfRule type="colorScale" priority="1">
      <colorScale>
        <cfvo type="min"/>
        <cfvo type="percentile" val="50"/>
        <cfvo type="max"/>
        <color rgb="FFF8696B"/>
        <color rgb="FFFFEB84"/>
        <color rgb="FF63BE7B"/>
      </colorScale>
    </cfRule>
  </conditionalFormatting>
  <conditionalFormatting sqref="AS611">
    <cfRule type="colorScale" priority="2">
      <colorScale>
        <cfvo type="min"/>
        <cfvo type="percentile" val="50"/>
        <cfvo type="max"/>
        <color rgb="FFF8696B"/>
        <color rgb="FFFFEB84"/>
        <color rgb="FF63BE7B"/>
      </colorScale>
    </cfRule>
  </conditionalFormatting>
  <conditionalFormatting sqref="AR611">
    <cfRule type="colorScale" priority="3">
      <colorScale>
        <cfvo type="min"/>
        <cfvo type="percentile" val="50"/>
        <cfvo type="max"/>
        <color rgb="FFF8696B"/>
        <color rgb="FFFFEB84"/>
        <color rgb="FF63BE7B"/>
      </colorScale>
    </cfRule>
  </conditionalFormatting>
  <conditionalFormatting sqref="AQ611">
    <cfRule type="colorScale" priority="4">
      <colorScale>
        <cfvo type="min"/>
        <cfvo type="percentile" val="50"/>
        <cfvo type="max"/>
        <color rgb="FFF8696B"/>
        <color rgb="FFFFEB84"/>
        <color rgb="FF63BE7B"/>
      </colorScale>
    </cfRule>
  </conditionalFormatting>
  <conditionalFormatting sqref="AP611">
    <cfRule type="colorScale" priority="5">
      <colorScale>
        <cfvo type="min"/>
        <cfvo type="percentile" val="50"/>
        <cfvo type="max"/>
        <color rgb="FFF8696B"/>
        <color rgb="FFFFEB84"/>
        <color rgb="FF63BE7B"/>
      </colorScale>
    </cfRule>
  </conditionalFormatting>
  <conditionalFormatting sqref="AO611">
    <cfRule type="colorScale" priority="6">
      <colorScale>
        <cfvo type="min"/>
        <cfvo type="percentile" val="50"/>
        <cfvo type="max"/>
        <color rgb="FFF8696B"/>
        <color rgb="FFFFEB84"/>
        <color rgb="FF63BE7B"/>
      </colorScale>
    </cfRule>
  </conditionalFormatting>
  <conditionalFormatting sqref="AN611">
    <cfRule type="colorScale" priority="7">
      <colorScale>
        <cfvo type="min"/>
        <cfvo type="percentile" val="50"/>
        <cfvo type="max"/>
        <color rgb="FFF8696B"/>
        <color rgb="FFFFEB84"/>
        <color rgb="FF63BE7B"/>
      </colorScale>
    </cfRule>
  </conditionalFormatting>
  <conditionalFormatting sqref="AM611">
    <cfRule type="colorScale" priority="8">
      <colorScale>
        <cfvo type="min"/>
        <cfvo type="percentile" val="50"/>
        <cfvo type="max"/>
        <color rgb="FFF8696B"/>
        <color rgb="FFFFEB84"/>
        <color rgb="FF63BE7B"/>
      </colorScale>
    </cfRule>
  </conditionalFormatting>
  <conditionalFormatting sqref="AL611">
    <cfRule type="colorScale" priority="9">
      <colorScale>
        <cfvo type="min"/>
        <cfvo type="percentile" val="50"/>
        <cfvo type="max"/>
        <color rgb="FFF8696B"/>
        <color rgb="FFFFEB84"/>
        <color rgb="FF63BE7B"/>
      </colorScale>
    </cfRule>
  </conditionalFormatting>
  <conditionalFormatting sqref="AK611">
    <cfRule type="colorScale" priority="10">
      <colorScale>
        <cfvo type="min"/>
        <cfvo type="percentile" val="50"/>
        <cfvo type="max"/>
        <color rgb="FFF8696B"/>
        <color rgb="FFFFEB84"/>
        <color rgb="FF63BE7B"/>
      </colorScale>
    </cfRule>
  </conditionalFormatting>
  <conditionalFormatting sqref="AJ611">
    <cfRule type="colorScale" priority="11">
      <colorScale>
        <cfvo type="min"/>
        <cfvo type="percentile" val="50"/>
        <cfvo type="max"/>
        <color rgb="FFF8696B"/>
        <color rgb="FFFFEB84"/>
        <color rgb="FF63BE7B"/>
      </colorScale>
    </cfRule>
  </conditionalFormatting>
  <conditionalFormatting sqref="AI611">
    <cfRule type="colorScale" priority="12">
      <colorScale>
        <cfvo type="min"/>
        <cfvo type="percentile" val="50"/>
        <cfvo type="max"/>
        <color rgb="FFF8696B"/>
        <color rgb="FFFFEB84"/>
        <color rgb="FF63BE7B"/>
      </colorScale>
    </cfRule>
  </conditionalFormatting>
  <conditionalFormatting sqref="AH611">
    <cfRule type="colorScale" priority="13">
      <colorScale>
        <cfvo type="min"/>
        <cfvo type="percentile" val="50"/>
        <cfvo type="max"/>
        <color rgb="FFF8696B"/>
        <color rgb="FFFFEB84"/>
        <color rgb="FF63BE7B"/>
      </colorScale>
    </cfRule>
  </conditionalFormatting>
  <conditionalFormatting sqref="AG611">
    <cfRule type="colorScale" priority="14">
      <colorScale>
        <cfvo type="min"/>
        <cfvo type="percentile" val="50"/>
        <cfvo type="max"/>
        <color rgb="FFF8696B"/>
        <color rgb="FFFFEB84"/>
        <color rgb="FF63BE7B"/>
      </colorScale>
    </cfRule>
  </conditionalFormatting>
  <conditionalFormatting sqref="AF611">
    <cfRule type="colorScale" priority="15">
      <colorScale>
        <cfvo type="min"/>
        <cfvo type="percentile" val="50"/>
        <cfvo type="max"/>
        <color rgb="FFF8696B"/>
        <color rgb="FFFFEB84"/>
        <color rgb="FF63BE7B"/>
      </colorScale>
    </cfRule>
  </conditionalFormatting>
  <conditionalFormatting sqref="AE611">
    <cfRule type="colorScale" priority="16">
      <colorScale>
        <cfvo type="min"/>
        <cfvo type="percentile" val="50"/>
        <cfvo type="max"/>
        <color rgb="FFF8696B"/>
        <color rgb="FFFFEB84"/>
        <color rgb="FF63BE7B"/>
      </colorScale>
    </cfRule>
  </conditionalFormatting>
  <conditionalFormatting sqref="AD611">
    <cfRule type="colorScale" priority="17">
      <colorScale>
        <cfvo type="min"/>
        <cfvo type="percentile" val="50"/>
        <cfvo type="max"/>
        <color rgb="FFF8696B"/>
        <color rgb="FFFFEB84"/>
        <color rgb="FF63BE7B"/>
      </colorScale>
    </cfRule>
  </conditionalFormatting>
  <conditionalFormatting sqref="AC611">
    <cfRule type="colorScale" priority="18">
      <colorScale>
        <cfvo type="min"/>
        <cfvo type="percentile" val="50"/>
        <cfvo type="max"/>
        <color rgb="FFF8696B"/>
        <color rgb="FFFFEB84"/>
        <color rgb="FF63BE7B"/>
      </colorScale>
    </cfRule>
  </conditionalFormatting>
  <conditionalFormatting sqref="AB611">
    <cfRule type="colorScale" priority="19">
      <colorScale>
        <cfvo type="min"/>
        <cfvo type="percentile" val="50"/>
        <cfvo type="max"/>
        <color rgb="FFF8696B"/>
        <color rgb="FFFFEB84"/>
        <color rgb="FF63BE7B"/>
      </colorScale>
    </cfRule>
  </conditionalFormatting>
  <conditionalFormatting sqref="AU605:AU696">
    <cfRule type="colorScale" priority="2846">
      <colorScale>
        <cfvo type="min"/>
        <cfvo type="percentile" val="50"/>
        <cfvo type="max"/>
        <color rgb="FFF8696B"/>
        <color rgb="FFFFEB84"/>
        <color rgb="FF63BE7B"/>
      </colorScale>
    </cfRule>
  </conditionalFormatting>
  <conditionalFormatting sqref="AT605:AT696">
    <cfRule type="colorScale" priority="2848">
      <colorScale>
        <cfvo type="min"/>
        <cfvo type="percentile" val="50"/>
        <cfvo type="max"/>
        <color rgb="FFF8696B"/>
        <color rgb="FFFFEB84"/>
        <color rgb="FF63BE7B"/>
      </colorScale>
    </cfRule>
  </conditionalFormatting>
  <conditionalFormatting sqref="AS605:AS696">
    <cfRule type="colorScale" priority="2850">
      <colorScale>
        <cfvo type="min"/>
        <cfvo type="percentile" val="50"/>
        <cfvo type="max"/>
        <color rgb="FFF8696B"/>
        <color rgb="FFFFEB84"/>
        <color rgb="FF63BE7B"/>
      </colorScale>
    </cfRule>
  </conditionalFormatting>
  <conditionalFormatting sqref="AR605:AR696">
    <cfRule type="colorScale" priority="2852">
      <colorScale>
        <cfvo type="min"/>
        <cfvo type="percentile" val="50"/>
        <cfvo type="max"/>
        <color rgb="FFF8696B"/>
        <color rgb="FFFFEB84"/>
        <color rgb="FF63BE7B"/>
      </colorScale>
    </cfRule>
  </conditionalFormatting>
  <conditionalFormatting sqref="AQ605:AQ696">
    <cfRule type="colorScale" priority="2854">
      <colorScale>
        <cfvo type="min"/>
        <cfvo type="percentile" val="50"/>
        <cfvo type="max"/>
        <color rgb="FFF8696B"/>
        <color rgb="FFFFEB84"/>
        <color rgb="FF63BE7B"/>
      </colorScale>
    </cfRule>
  </conditionalFormatting>
  <conditionalFormatting sqref="AP605:AP696">
    <cfRule type="colorScale" priority="2856">
      <colorScale>
        <cfvo type="min"/>
        <cfvo type="percentile" val="50"/>
        <cfvo type="max"/>
        <color rgb="FFF8696B"/>
        <color rgb="FFFFEB84"/>
        <color rgb="FF63BE7B"/>
      </colorScale>
    </cfRule>
  </conditionalFormatting>
  <conditionalFormatting sqref="AO605:AO696">
    <cfRule type="colorScale" priority="2858">
      <colorScale>
        <cfvo type="min"/>
        <cfvo type="percentile" val="50"/>
        <cfvo type="max"/>
        <color rgb="FFF8696B"/>
        <color rgb="FFFFEB84"/>
        <color rgb="FF63BE7B"/>
      </colorScale>
    </cfRule>
  </conditionalFormatting>
  <conditionalFormatting sqref="AN605:AN696">
    <cfRule type="colorScale" priority="2860">
      <colorScale>
        <cfvo type="min"/>
        <cfvo type="percentile" val="50"/>
        <cfvo type="max"/>
        <color rgb="FFF8696B"/>
        <color rgb="FFFFEB84"/>
        <color rgb="FF63BE7B"/>
      </colorScale>
    </cfRule>
  </conditionalFormatting>
  <conditionalFormatting sqref="AM605:AM696">
    <cfRule type="colorScale" priority="2862">
      <colorScale>
        <cfvo type="min"/>
        <cfvo type="percentile" val="50"/>
        <cfvo type="max"/>
        <color rgb="FFF8696B"/>
        <color rgb="FFFFEB84"/>
        <color rgb="FF63BE7B"/>
      </colorScale>
    </cfRule>
  </conditionalFormatting>
  <conditionalFormatting sqref="AL605:AL696">
    <cfRule type="colorScale" priority="2864">
      <colorScale>
        <cfvo type="min"/>
        <cfvo type="percentile" val="50"/>
        <cfvo type="max"/>
        <color rgb="FFF8696B"/>
        <color rgb="FFFFEB84"/>
        <color rgb="FF63BE7B"/>
      </colorScale>
    </cfRule>
  </conditionalFormatting>
  <conditionalFormatting sqref="AK605:AK696">
    <cfRule type="colorScale" priority="2866">
      <colorScale>
        <cfvo type="min"/>
        <cfvo type="percentile" val="50"/>
        <cfvo type="max"/>
        <color rgb="FFF8696B"/>
        <color rgb="FFFFEB84"/>
        <color rgb="FF63BE7B"/>
      </colorScale>
    </cfRule>
  </conditionalFormatting>
  <conditionalFormatting sqref="AJ605:AJ696">
    <cfRule type="colorScale" priority="2868">
      <colorScale>
        <cfvo type="min"/>
        <cfvo type="percentile" val="50"/>
        <cfvo type="max"/>
        <color rgb="FFF8696B"/>
        <color rgb="FFFFEB84"/>
        <color rgb="FF63BE7B"/>
      </colorScale>
    </cfRule>
  </conditionalFormatting>
  <conditionalFormatting sqref="AI605:AI696">
    <cfRule type="colorScale" priority="2870">
      <colorScale>
        <cfvo type="min"/>
        <cfvo type="percentile" val="50"/>
        <cfvo type="max"/>
        <color rgb="FFF8696B"/>
        <color rgb="FFFFEB84"/>
        <color rgb="FF63BE7B"/>
      </colorScale>
    </cfRule>
  </conditionalFormatting>
  <conditionalFormatting sqref="AH605:AH696">
    <cfRule type="colorScale" priority="2872">
      <colorScale>
        <cfvo type="min"/>
        <cfvo type="percentile" val="50"/>
        <cfvo type="max"/>
        <color rgb="FFF8696B"/>
        <color rgb="FFFFEB84"/>
        <color rgb="FF63BE7B"/>
      </colorScale>
    </cfRule>
  </conditionalFormatting>
  <conditionalFormatting sqref="AG605:AG696">
    <cfRule type="colorScale" priority="2874">
      <colorScale>
        <cfvo type="min"/>
        <cfvo type="percentile" val="50"/>
        <cfvo type="max"/>
        <color rgb="FFF8696B"/>
        <color rgb="FFFFEB84"/>
        <color rgb="FF63BE7B"/>
      </colorScale>
    </cfRule>
  </conditionalFormatting>
  <conditionalFormatting sqref="AF605:AF696">
    <cfRule type="colorScale" priority="2876">
      <colorScale>
        <cfvo type="min"/>
        <cfvo type="percentile" val="50"/>
        <cfvo type="max"/>
        <color rgb="FFF8696B"/>
        <color rgb="FFFFEB84"/>
        <color rgb="FF63BE7B"/>
      </colorScale>
    </cfRule>
  </conditionalFormatting>
  <conditionalFormatting sqref="AE605:AE696">
    <cfRule type="colorScale" priority="2878">
      <colorScale>
        <cfvo type="min"/>
        <cfvo type="percentile" val="50"/>
        <cfvo type="max"/>
        <color rgb="FFF8696B"/>
        <color rgb="FFFFEB84"/>
        <color rgb="FF63BE7B"/>
      </colorScale>
    </cfRule>
  </conditionalFormatting>
  <conditionalFormatting sqref="AD605:AD696">
    <cfRule type="colorScale" priority="2880">
      <colorScale>
        <cfvo type="min"/>
        <cfvo type="percentile" val="50"/>
        <cfvo type="max"/>
        <color rgb="FFF8696B"/>
        <color rgb="FFFFEB84"/>
        <color rgb="FF63BE7B"/>
      </colorScale>
    </cfRule>
  </conditionalFormatting>
  <conditionalFormatting sqref="AC605:AC696">
    <cfRule type="colorScale" priority="2882">
      <colorScale>
        <cfvo type="min"/>
        <cfvo type="percentile" val="50"/>
        <cfvo type="max"/>
        <color rgb="FFF8696B"/>
        <color rgb="FFFFEB84"/>
        <color rgb="FF63BE7B"/>
      </colorScale>
    </cfRule>
  </conditionalFormatting>
  <conditionalFormatting sqref="AB605:AB696">
    <cfRule type="colorScale" priority="2884">
      <colorScale>
        <cfvo type="min"/>
        <cfvo type="percentile" val="50"/>
        <cfvo type="max"/>
        <color rgb="FFF8696B"/>
        <color rgb="FFFFEB84"/>
        <color rgb="FF63BE7B"/>
      </colorScale>
    </cfRule>
  </conditionalFormatting>
  <pageMargins left="0.7" right="0.7" top="0.75" bottom="0.75" header="0.3" footer="0.3"/>
  <drawing r:id="rId1"/>
  <legacyDrawing r:id="rId2"/>
  <tableParts count="35">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4415C-B4F5-BC4F-ACEB-25F98B2C3FED}">
  <sheetPr codeName="Sheet12">
    <tabColor theme="4" tint="0.79998168889431442"/>
  </sheetPr>
  <dimension ref="A1:KO77"/>
  <sheetViews>
    <sheetView zoomScale="90" zoomScaleNormal="90" workbookViewId="0">
      <pane xSplit="1" ySplit="3" topLeftCell="L28" activePane="bottomRight" state="frozen"/>
      <selection pane="topRight" activeCell="B1" sqref="B1"/>
      <selection pane="bottomLeft" activeCell="A4" sqref="A4"/>
      <selection pane="bottomRight" activeCell="Q54" sqref="Q54:Q55"/>
    </sheetView>
  </sheetViews>
  <sheetFormatPr baseColWidth="10" defaultRowHeight="22"/>
  <cols>
    <col min="1" max="1" width="24.125" customWidth="1"/>
    <col min="2" max="2" width="12.625" bestFit="1" customWidth="1"/>
    <col min="6" max="6" width="12.625" bestFit="1" customWidth="1"/>
    <col min="7" max="27" width="13.125" customWidth="1"/>
    <col min="28" max="28" width="17.125" customWidth="1"/>
    <col min="29" max="290" width="13.125" customWidth="1"/>
  </cols>
  <sheetData>
    <row r="1" spans="1:296">
      <c r="B1" t="s">
        <v>0</v>
      </c>
      <c r="C1" t="s">
        <v>839</v>
      </c>
      <c r="D1" t="s">
        <v>548</v>
      </c>
      <c r="E1" t="s">
        <v>1</v>
      </c>
      <c r="F1" t="str">
        <f>Calc!$L$2</f>
        <v>E</v>
      </c>
      <c r="G1" t="s">
        <v>551</v>
      </c>
      <c r="H1" t="s">
        <v>2</v>
      </c>
      <c r="I1" t="s">
        <v>841</v>
      </c>
      <c r="J1" t="s">
        <v>552</v>
      </c>
      <c r="K1" t="s">
        <v>3</v>
      </c>
      <c r="L1" t="s">
        <v>842</v>
      </c>
      <c r="M1" t="s">
        <v>553</v>
      </c>
      <c r="N1" t="s">
        <v>4</v>
      </c>
      <c r="O1" t="s">
        <v>843</v>
      </c>
      <c r="P1" t="s">
        <v>554</v>
      </c>
      <c r="Q1" t="s">
        <v>32</v>
      </c>
      <c r="R1" t="s">
        <v>871</v>
      </c>
      <c r="S1" t="s">
        <v>582</v>
      </c>
      <c r="T1" t="s">
        <v>46</v>
      </c>
      <c r="U1" t="s">
        <v>884</v>
      </c>
      <c r="V1" t="s">
        <v>594</v>
      </c>
      <c r="W1" t="s">
        <v>5</v>
      </c>
      <c r="X1" t="s">
        <v>844</v>
      </c>
      <c r="Y1" t="s">
        <v>555</v>
      </c>
      <c r="Z1" t="s">
        <v>6</v>
      </c>
      <c r="AA1" t="s">
        <v>845</v>
      </c>
      <c r="AB1" t="s">
        <v>556</v>
      </c>
      <c r="AC1" t="s">
        <v>7</v>
      </c>
      <c r="AD1" t="s">
        <v>846</v>
      </c>
      <c r="AE1" t="s">
        <v>557</v>
      </c>
      <c r="AF1" t="s">
        <v>8</v>
      </c>
      <c r="AG1" t="s">
        <v>847</v>
      </c>
      <c r="AH1" t="s">
        <v>558</v>
      </c>
      <c r="AI1" t="s">
        <v>9</v>
      </c>
      <c r="AJ1" t="s">
        <v>848</v>
      </c>
      <c r="AK1" t="s">
        <v>559</v>
      </c>
      <c r="AL1" t="s">
        <v>10</v>
      </c>
      <c r="AM1" t="s">
        <v>849</v>
      </c>
      <c r="AN1" t="s">
        <v>560</v>
      </c>
      <c r="AO1" t="s">
        <v>11</v>
      </c>
      <c r="AP1" t="s">
        <v>850</v>
      </c>
      <c r="AQ1" t="s">
        <v>561</v>
      </c>
      <c r="AR1" t="s">
        <v>12</v>
      </c>
      <c r="AS1" t="s">
        <v>851</v>
      </c>
      <c r="AT1" t="s">
        <v>562</v>
      </c>
      <c r="AU1" t="s">
        <v>13</v>
      </c>
      <c r="AV1" t="s">
        <v>852</v>
      </c>
      <c r="AW1" t="s">
        <v>563</v>
      </c>
      <c r="AX1" t="s">
        <v>14</v>
      </c>
      <c r="AY1" t="s">
        <v>853</v>
      </c>
      <c r="AZ1" t="s">
        <v>564</v>
      </c>
      <c r="BA1" t="s">
        <v>15</v>
      </c>
      <c r="BB1" t="s">
        <v>854</v>
      </c>
      <c r="BC1" t="s">
        <v>565</v>
      </c>
      <c r="BD1" t="s">
        <v>16</v>
      </c>
      <c r="BE1" t="s">
        <v>855</v>
      </c>
      <c r="BF1" t="s">
        <v>566</v>
      </c>
      <c r="BG1" t="s">
        <v>17</v>
      </c>
      <c r="BH1" t="s">
        <v>856</v>
      </c>
      <c r="BI1" t="s">
        <v>567</v>
      </c>
      <c r="BJ1" t="s">
        <v>19</v>
      </c>
      <c r="BK1" t="s">
        <v>858</v>
      </c>
      <c r="BL1" t="s">
        <v>569</v>
      </c>
      <c r="BM1" t="s">
        <v>20</v>
      </c>
      <c r="BN1" t="s">
        <v>859</v>
      </c>
      <c r="BO1" t="s">
        <v>570</v>
      </c>
      <c r="BP1" t="s">
        <v>21</v>
      </c>
      <c r="BQ1" t="s">
        <v>860</v>
      </c>
      <c r="BR1" t="s">
        <v>571</v>
      </c>
      <c r="BS1" t="s">
        <v>22</v>
      </c>
      <c r="BT1" t="s">
        <v>861</v>
      </c>
      <c r="BU1" t="s">
        <v>572</v>
      </c>
      <c r="BV1" t="s">
        <v>23</v>
      </c>
      <c r="BW1" t="s">
        <v>862</v>
      </c>
      <c r="BX1" t="s">
        <v>573</v>
      </c>
      <c r="BY1" t="s">
        <v>24</v>
      </c>
      <c r="BZ1" t="s">
        <v>863</v>
      </c>
      <c r="CA1" t="s">
        <v>574</v>
      </c>
      <c r="CB1" t="s">
        <v>25</v>
      </c>
      <c r="CC1" t="s">
        <v>864</v>
      </c>
      <c r="CD1" t="s">
        <v>575</v>
      </c>
      <c r="CE1" t="s">
        <v>26</v>
      </c>
      <c r="CF1" t="s">
        <v>865</v>
      </c>
      <c r="CG1" t="s">
        <v>576</v>
      </c>
      <c r="CH1" t="s">
        <v>27</v>
      </c>
      <c r="CI1" t="s">
        <v>866</v>
      </c>
      <c r="CJ1" t="s">
        <v>577</v>
      </c>
      <c r="CK1" t="s">
        <v>28</v>
      </c>
      <c r="CL1" t="s">
        <v>867</v>
      </c>
      <c r="CM1" t="s">
        <v>578</v>
      </c>
      <c r="CN1" t="s">
        <v>29</v>
      </c>
      <c r="CO1" t="s">
        <v>868</v>
      </c>
      <c r="CP1" t="s">
        <v>579</v>
      </c>
      <c r="CQ1" t="s">
        <v>30</v>
      </c>
      <c r="CR1" t="s">
        <v>869</v>
      </c>
      <c r="CS1" t="s">
        <v>580</v>
      </c>
      <c r="CT1" t="s">
        <v>53</v>
      </c>
      <c r="CU1" t="s">
        <v>891</v>
      </c>
      <c r="CV1" t="s">
        <v>601</v>
      </c>
      <c r="CW1" t="s">
        <v>31</v>
      </c>
      <c r="CX1" t="s">
        <v>870</v>
      </c>
      <c r="CY1" t="s">
        <v>581</v>
      </c>
      <c r="CZ1" t="s">
        <v>33</v>
      </c>
      <c r="DA1" t="s">
        <v>872</v>
      </c>
      <c r="DB1" t="s">
        <v>583</v>
      </c>
      <c r="DC1" t="s">
        <v>1089</v>
      </c>
      <c r="DD1" t="s">
        <v>1090</v>
      </c>
      <c r="DE1" t="s">
        <v>1091</v>
      </c>
      <c r="DF1" t="s">
        <v>34</v>
      </c>
      <c r="DG1" t="s">
        <v>873</v>
      </c>
      <c r="DH1" t="s">
        <v>584</v>
      </c>
      <c r="DI1" t="s">
        <v>35</v>
      </c>
      <c r="DJ1" t="s">
        <v>874</v>
      </c>
      <c r="DK1" t="s">
        <v>585</v>
      </c>
      <c r="DL1" t="s">
        <v>37</v>
      </c>
      <c r="DM1" t="s">
        <v>876</v>
      </c>
      <c r="DN1" t="s">
        <v>587</v>
      </c>
      <c r="DO1" t="s">
        <v>38</v>
      </c>
      <c r="DP1" t="s">
        <v>877</v>
      </c>
      <c r="DQ1" t="s">
        <v>588</v>
      </c>
      <c r="DR1" t="s">
        <v>39</v>
      </c>
      <c r="DS1" t="s">
        <v>878</v>
      </c>
      <c r="DT1" t="s">
        <v>589</v>
      </c>
      <c r="DU1" t="s">
        <v>40</v>
      </c>
      <c r="DV1" t="s">
        <v>879</v>
      </c>
      <c r="DW1" t="s">
        <v>590</v>
      </c>
      <c r="DX1" t="s">
        <v>36</v>
      </c>
      <c r="DY1" t="s">
        <v>875</v>
      </c>
      <c r="DZ1" t="s">
        <v>586</v>
      </c>
      <c r="EA1" t="s">
        <v>43</v>
      </c>
      <c r="EB1" t="s">
        <v>882</v>
      </c>
      <c r="EC1" t="s">
        <v>592</v>
      </c>
      <c r="ED1" t="s">
        <v>44</v>
      </c>
      <c r="EE1" t="s">
        <v>180</v>
      </c>
      <c r="EF1" t="s">
        <v>663</v>
      </c>
      <c r="EG1" t="s">
        <v>45</v>
      </c>
      <c r="EH1" t="s">
        <v>883</v>
      </c>
      <c r="EI1" t="s">
        <v>593</v>
      </c>
      <c r="EJ1" t="s">
        <v>46</v>
      </c>
      <c r="EK1" t="s">
        <v>884</v>
      </c>
      <c r="EL1" t="s">
        <v>594</v>
      </c>
      <c r="EM1" t="s">
        <v>47</v>
      </c>
      <c r="EN1" t="s">
        <v>885</v>
      </c>
      <c r="EO1" t="s">
        <v>595</v>
      </c>
      <c r="EP1" t="s">
        <v>48</v>
      </c>
      <c r="EQ1" t="s">
        <v>886</v>
      </c>
      <c r="ER1" t="s">
        <v>596</v>
      </c>
      <c r="ES1" t="s">
        <v>49</v>
      </c>
      <c r="ET1" t="s">
        <v>887</v>
      </c>
      <c r="EU1" t="s">
        <v>597</v>
      </c>
      <c r="EV1" t="s">
        <v>50</v>
      </c>
      <c r="EW1" t="s">
        <v>888</v>
      </c>
      <c r="EX1" t="s">
        <v>598</v>
      </c>
      <c r="EY1" t="s">
        <v>51</v>
      </c>
      <c r="EZ1" t="s">
        <v>889</v>
      </c>
      <c r="FA1" t="s">
        <v>599</v>
      </c>
      <c r="FB1" t="s">
        <v>52</v>
      </c>
      <c r="FC1" t="s">
        <v>890</v>
      </c>
      <c r="FD1" t="s">
        <v>600</v>
      </c>
      <c r="FE1" s="634" t="s">
        <v>54</v>
      </c>
      <c r="FF1" s="634" t="s">
        <v>892</v>
      </c>
      <c r="FG1" s="634" t="s">
        <v>602</v>
      </c>
      <c r="FH1" s="634" t="s">
        <v>55</v>
      </c>
      <c r="FI1" s="634" t="s">
        <v>893</v>
      </c>
      <c r="FJ1" s="634" t="s">
        <v>603</v>
      </c>
      <c r="FK1" s="634" t="s">
        <v>56</v>
      </c>
      <c r="FL1" s="634" t="s">
        <v>894</v>
      </c>
      <c r="FM1" s="634" t="s">
        <v>604</v>
      </c>
      <c r="FN1" s="634" t="s">
        <v>57</v>
      </c>
      <c r="FO1" s="634" t="s">
        <v>895</v>
      </c>
      <c r="FP1" s="634" t="s">
        <v>605</v>
      </c>
      <c r="FQ1" s="634" t="s">
        <v>58</v>
      </c>
      <c r="FR1" s="634" t="s">
        <v>896</v>
      </c>
      <c r="FS1" s="634" t="s">
        <v>606</v>
      </c>
      <c r="FT1" s="634" t="s">
        <v>41</v>
      </c>
      <c r="FU1" s="634" t="s">
        <v>880</v>
      </c>
      <c r="FV1" s="634" t="s">
        <v>591</v>
      </c>
      <c r="FW1" s="634" t="s">
        <v>60</v>
      </c>
      <c r="FX1" s="634" t="s">
        <v>898</v>
      </c>
      <c r="FY1" s="634" t="s">
        <v>608</v>
      </c>
      <c r="FZ1" s="634" t="s">
        <v>42</v>
      </c>
      <c r="GA1" s="634" t="s">
        <v>881</v>
      </c>
      <c r="GB1" s="634" t="s">
        <v>665</v>
      </c>
      <c r="GC1" s="634" t="s">
        <v>59</v>
      </c>
      <c r="GD1" s="634" t="s">
        <v>897</v>
      </c>
      <c r="GE1" s="634" t="s">
        <v>607</v>
      </c>
      <c r="GF1" s="634" t="s">
        <v>62</v>
      </c>
      <c r="GG1" s="634" t="s">
        <v>900</v>
      </c>
      <c r="GH1" s="634" t="s">
        <v>609</v>
      </c>
      <c r="GI1" s="634" t="s">
        <v>61</v>
      </c>
      <c r="GJ1" s="634" t="s">
        <v>899</v>
      </c>
      <c r="GK1" s="634" t="s">
        <v>664</v>
      </c>
      <c r="GL1" t="s">
        <v>66</v>
      </c>
      <c r="GM1" t="s">
        <v>904</v>
      </c>
      <c r="GN1" t="s">
        <v>613</v>
      </c>
      <c r="GO1" t="s">
        <v>65</v>
      </c>
      <c r="GP1" t="s">
        <v>903</v>
      </c>
      <c r="GQ1" t="s">
        <v>612</v>
      </c>
      <c r="GR1" t="s">
        <v>73</v>
      </c>
      <c r="GS1" t="s">
        <v>911</v>
      </c>
      <c r="GT1" t="s">
        <v>620</v>
      </c>
      <c r="GU1" t="s">
        <v>64</v>
      </c>
      <c r="GV1" t="s">
        <v>902</v>
      </c>
      <c r="GW1" t="s">
        <v>611</v>
      </c>
      <c r="GX1" t="s">
        <v>69</v>
      </c>
      <c r="GY1" t="s">
        <v>907</v>
      </c>
      <c r="GZ1" t="s">
        <v>616</v>
      </c>
      <c r="HA1" t="s">
        <v>67</v>
      </c>
      <c r="HB1" t="s">
        <v>905</v>
      </c>
      <c r="HC1" t="s">
        <v>614</v>
      </c>
      <c r="HD1" t="s">
        <v>63</v>
      </c>
      <c r="HE1" t="s">
        <v>901</v>
      </c>
      <c r="HF1" t="s">
        <v>610</v>
      </c>
      <c r="HG1" t="s">
        <v>68</v>
      </c>
      <c r="HH1" t="s">
        <v>906</v>
      </c>
      <c r="HI1" t="s">
        <v>615</v>
      </c>
      <c r="HJ1" t="s">
        <v>78</v>
      </c>
      <c r="HK1" t="s">
        <v>916</v>
      </c>
      <c r="HL1" t="s">
        <v>625</v>
      </c>
      <c r="HM1" t="s">
        <v>74</v>
      </c>
      <c r="HN1" t="s">
        <v>912</v>
      </c>
      <c r="HO1" t="s">
        <v>621</v>
      </c>
      <c r="HP1" t="s">
        <v>77</v>
      </c>
      <c r="HQ1" t="s">
        <v>915</v>
      </c>
      <c r="HR1" t="s">
        <v>624</v>
      </c>
      <c r="HS1" t="s">
        <v>79</v>
      </c>
      <c r="HT1" t="s">
        <v>918</v>
      </c>
      <c r="HU1" t="s">
        <v>626</v>
      </c>
      <c r="HV1" t="s">
        <v>76</v>
      </c>
      <c r="HW1" t="s">
        <v>914</v>
      </c>
      <c r="HX1" t="s">
        <v>623</v>
      </c>
      <c r="HY1" t="s">
        <v>80</v>
      </c>
      <c r="HZ1" t="s">
        <v>919</v>
      </c>
      <c r="IA1" t="s">
        <v>627</v>
      </c>
      <c r="IB1" t="s">
        <v>70</v>
      </c>
      <c r="IC1" t="s">
        <v>908</v>
      </c>
      <c r="ID1" t="s">
        <v>617</v>
      </c>
      <c r="IE1" t="s">
        <v>81</v>
      </c>
      <c r="IF1" t="s">
        <v>920</v>
      </c>
      <c r="IG1" t="s">
        <v>628</v>
      </c>
      <c r="IH1" t="s">
        <v>87</v>
      </c>
      <c r="II1" t="s">
        <v>926</v>
      </c>
      <c r="IJ1" t="s">
        <v>634</v>
      </c>
      <c r="IK1" t="s">
        <v>82</v>
      </c>
      <c r="IL1" t="s">
        <v>921</v>
      </c>
      <c r="IM1" t="s">
        <v>629</v>
      </c>
      <c r="IN1" t="s">
        <v>83</v>
      </c>
      <c r="IO1" t="s">
        <v>922</v>
      </c>
      <c r="IP1" t="s">
        <v>630</v>
      </c>
      <c r="IQ1" t="s">
        <v>72</v>
      </c>
      <c r="IR1" t="s">
        <v>910</v>
      </c>
      <c r="IS1" t="s">
        <v>619</v>
      </c>
      <c r="IT1" t="s">
        <v>75</v>
      </c>
      <c r="IU1" t="s">
        <v>913</v>
      </c>
      <c r="IV1" t="s">
        <v>622</v>
      </c>
      <c r="IW1" t="s">
        <v>84</v>
      </c>
      <c r="IX1" t="s">
        <v>923</v>
      </c>
      <c r="IY1" t="s">
        <v>631</v>
      </c>
      <c r="IZ1" t="s">
        <v>85</v>
      </c>
      <c r="JA1" t="s">
        <v>924</v>
      </c>
      <c r="JB1" t="s">
        <v>632</v>
      </c>
      <c r="JC1" t="s">
        <v>71</v>
      </c>
      <c r="JD1" t="s">
        <v>909</v>
      </c>
      <c r="JE1" t="s">
        <v>618</v>
      </c>
      <c r="JF1" t="s">
        <v>86</v>
      </c>
      <c r="JG1" t="s">
        <v>925</v>
      </c>
      <c r="JH1" t="s">
        <v>633</v>
      </c>
      <c r="JI1" t="s">
        <v>666</v>
      </c>
      <c r="JJ1" t="s">
        <v>917</v>
      </c>
      <c r="JK1" t="s">
        <v>667</v>
      </c>
      <c r="JL1" t="s">
        <v>88</v>
      </c>
      <c r="JM1" t="s">
        <v>927</v>
      </c>
      <c r="JN1" t="s">
        <v>635</v>
      </c>
      <c r="JO1" t="s">
        <v>89</v>
      </c>
      <c r="JP1" t="s">
        <v>928</v>
      </c>
      <c r="JQ1" t="s">
        <v>636</v>
      </c>
      <c r="JR1" t="s">
        <v>1557</v>
      </c>
      <c r="JS1" t="s">
        <v>1562</v>
      </c>
      <c r="JT1" t="s">
        <v>1561</v>
      </c>
      <c r="JU1" s="88" t="s">
        <v>2572</v>
      </c>
      <c r="JV1" s="88" t="s">
        <v>2574</v>
      </c>
      <c r="JW1" s="88" t="s">
        <v>2573</v>
      </c>
      <c r="JX1" t="s">
        <v>18</v>
      </c>
      <c r="JY1" t="s">
        <v>857</v>
      </c>
      <c r="JZ1" t="s">
        <v>568</v>
      </c>
      <c r="KA1" t="s">
        <v>947</v>
      </c>
      <c r="KB1" t="s">
        <v>948</v>
      </c>
      <c r="KC1" t="s">
        <v>949</v>
      </c>
      <c r="KD1" t="s">
        <v>947</v>
      </c>
      <c r="KE1" t="s">
        <v>948</v>
      </c>
      <c r="KF1" t="s">
        <v>949</v>
      </c>
    </row>
    <row r="2" spans="1:296" s="135" customFormat="1">
      <c r="A2" s="133"/>
      <c r="B2" s="134"/>
      <c r="C2" s="134"/>
      <c r="D2" s="134"/>
      <c r="E2" s="134"/>
      <c r="F2" s="134"/>
      <c r="G2" s="134"/>
      <c r="H2" s="134"/>
      <c r="I2" s="134"/>
      <c r="J2" s="134"/>
      <c r="K2" s="134"/>
      <c r="L2" s="134"/>
      <c r="M2" s="134"/>
      <c r="N2" s="134"/>
      <c r="O2" s="134"/>
      <c r="P2" s="134"/>
      <c r="Q2" s="134"/>
      <c r="R2" s="134"/>
      <c r="S2" s="134"/>
      <c r="T2" s="134"/>
      <c r="U2" s="134"/>
      <c r="V2" s="134"/>
      <c r="W2" s="134"/>
      <c r="X2" s="134"/>
      <c r="Y2" s="134"/>
      <c r="Z2" s="134"/>
      <c r="AA2" s="134"/>
      <c r="AB2" s="134"/>
      <c r="AC2" s="134"/>
      <c r="AD2" s="134"/>
      <c r="AE2" s="134"/>
      <c r="AF2" s="134"/>
      <c r="AG2" s="134"/>
      <c r="AH2" s="134"/>
      <c r="AI2" s="134"/>
      <c r="AJ2" s="134"/>
      <c r="AK2" s="134"/>
      <c r="AL2" s="134"/>
      <c r="AM2" s="134"/>
      <c r="AN2" s="134"/>
      <c r="AO2" s="134"/>
      <c r="AP2" s="134"/>
      <c r="AQ2" s="134"/>
      <c r="AR2" s="134"/>
      <c r="AS2" s="134"/>
      <c r="AT2" s="134"/>
      <c r="AU2" s="134"/>
      <c r="AV2" s="134"/>
      <c r="AW2" s="134"/>
      <c r="AX2" s="134"/>
      <c r="AY2" s="134"/>
      <c r="AZ2" s="134"/>
      <c r="BA2" s="134"/>
      <c r="BB2" s="134"/>
      <c r="BC2" s="134"/>
      <c r="BD2" s="134"/>
      <c r="BE2" s="134"/>
      <c r="BF2" s="134"/>
      <c r="BG2" s="134"/>
      <c r="BH2" s="134"/>
      <c r="BI2" s="134"/>
      <c r="BJ2" s="134"/>
      <c r="BK2" s="134"/>
      <c r="BL2" s="134"/>
      <c r="BM2" s="134"/>
      <c r="BN2" s="134"/>
      <c r="BO2" s="134"/>
      <c r="BP2" s="134"/>
      <c r="BQ2" s="134"/>
      <c r="BR2" s="134"/>
      <c r="BS2" s="134"/>
      <c r="BT2" s="134"/>
      <c r="BU2" s="134"/>
      <c r="BV2" s="134"/>
      <c r="BW2" s="134"/>
      <c r="BX2" s="134"/>
      <c r="BY2" s="134"/>
      <c r="BZ2" s="134"/>
      <c r="CA2" s="134"/>
      <c r="CB2" s="134"/>
      <c r="CC2" s="134"/>
      <c r="CD2" s="134"/>
      <c r="CE2" s="134"/>
      <c r="CF2" s="134"/>
      <c r="CG2" s="134"/>
      <c r="CH2" s="134"/>
      <c r="CI2" s="134"/>
      <c r="CJ2" s="134"/>
      <c r="CK2" s="134"/>
      <c r="CL2" s="134"/>
      <c r="CM2" s="134"/>
      <c r="CN2" s="134"/>
      <c r="CO2" s="134"/>
      <c r="CP2" s="134"/>
      <c r="CQ2" s="134"/>
      <c r="CR2" s="134"/>
      <c r="CS2" s="134"/>
      <c r="CT2" s="134"/>
      <c r="CU2" s="134"/>
      <c r="CV2" s="134"/>
      <c r="CW2" s="134"/>
      <c r="CX2" s="134"/>
      <c r="CY2" s="134"/>
      <c r="CZ2" s="134"/>
      <c r="DA2" s="134"/>
      <c r="DB2" s="134"/>
      <c r="DC2" s="134"/>
      <c r="DD2" s="134"/>
      <c r="DE2" s="134"/>
      <c r="DF2" s="134"/>
      <c r="DG2" s="134"/>
      <c r="DH2" s="134"/>
      <c r="DI2" s="134"/>
      <c r="DJ2" s="134"/>
      <c r="DK2" s="134"/>
      <c r="DL2" s="134"/>
      <c r="DM2" s="134"/>
      <c r="DN2" s="134"/>
      <c r="DO2" s="134"/>
      <c r="DP2" s="134"/>
      <c r="DQ2" s="134"/>
      <c r="DR2" s="134"/>
      <c r="DS2" s="134"/>
      <c r="DT2" s="134"/>
      <c r="DU2" s="134"/>
      <c r="DV2" s="134"/>
      <c r="DW2" s="134"/>
      <c r="DX2" s="134"/>
      <c r="DY2" s="134"/>
      <c r="DZ2" s="134"/>
      <c r="EA2" s="134"/>
      <c r="EB2" s="134"/>
      <c r="EC2" s="134"/>
      <c r="ED2" s="134"/>
      <c r="EE2" s="134"/>
      <c r="EF2" s="134"/>
      <c r="EG2" s="134"/>
      <c r="EH2" s="134"/>
      <c r="EI2" s="134"/>
      <c r="EJ2" s="134"/>
      <c r="EK2" s="134"/>
      <c r="EL2" s="134"/>
      <c r="EM2" s="134"/>
      <c r="EN2" s="134"/>
      <c r="EO2" s="134"/>
      <c r="EP2" s="134"/>
      <c r="EQ2" s="134"/>
      <c r="ER2" s="134"/>
      <c r="ES2" s="134"/>
      <c r="ET2" s="134"/>
      <c r="EU2" s="134"/>
      <c r="EV2" s="134"/>
      <c r="EW2" s="134"/>
      <c r="EX2" s="134"/>
      <c r="EY2" s="134"/>
      <c r="EZ2" s="134"/>
      <c r="FA2" s="134"/>
      <c r="FB2" s="134"/>
      <c r="FC2" s="134"/>
      <c r="FD2" s="134"/>
      <c r="FE2" s="134"/>
      <c r="FF2" s="134"/>
      <c r="FG2" s="134"/>
      <c r="FH2" s="134"/>
      <c r="FI2" s="134"/>
      <c r="FJ2" s="134"/>
      <c r="FK2" s="134"/>
      <c r="FL2" s="134"/>
      <c r="FM2" s="134"/>
      <c r="FN2" s="134"/>
      <c r="FO2" s="134"/>
      <c r="FP2" s="134"/>
      <c r="FQ2" s="134"/>
      <c r="FR2" s="134"/>
      <c r="FS2" s="134"/>
      <c r="FT2" s="134"/>
      <c r="FU2" s="134"/>
      <c r="FV2" s="134"/>
      <c r="FW2" s="134"/>
      <c r="FX2" s="134"/>
      <c r="FY2" s="134"/>
      <c r="FZ2" s="134"/>
      <c r="GA2" s="134"/>
      <c r="GB2" s="134"/>
      <c r="GC2" s="134"/>
      <c r="GD2" s="134"/>
      <c r="GE2" s="134"/>
      <c r="GF2" s="134"/>
      <c r="GG2" s="134"/>
      <c r="GH2" s="134"/>
      <c r="GI2" s="134"/>
      <c r="GJ2" s="134"/>
      <c r="GK2" s="134"/>
      <c r="GL2" s="134"/>
      <c r="GM2" s="134"/>
      <c r="GN2" s="134"/>
      <c r="GO2" s="134"/>
      <c r="GP2" s="134"/>
      <c r="GQ2" s="134"/>
      <c r="GR2" s="134"/>
      <c r="GS2" s="134"/>
      <c r="GT2" s="134"/>
      <c r="GU2" s="134"/>
      <c r="GV2" s="134"/>
      <c r="GW2" s="134"/>
      <c r="GX2" s="134"/>
      <c r="GY2" s="134"/>
      <c r="GZ2" s="134"/>
      <c r="HA2" s="134"/>
      <c r="HB2" s="134"/>
      <c r="HC2" s="134"/>
      <c r="HD2" s="134"/>
      <c r="HE2" s="134"/>
      <c r="HF2" s="134"/>
      <c r="HG2" s="134"/>
      <c r="HH2" s="134"/>
      <c r="HI2" s="134"/>
      <c r="HJ2" s="134"/>
      <c r="HK2" s="134"/>
      <c r="HL2" s="134"/>
      <c r="HM2" s="134"/>
      <c r="HN2" s="134"/>
      <c r="HO2" s="134"/>
      <c r="HP2" s="134"/>
      <c r="HQ2" s="134"/>
      <c r="HR2" s="134"/>
      <c r="HS2" s="134"/>
      <c r="HT2" s="134"/>
      <c r="HU2" s="134"/>
      <c r="HV2" s="134"/>
      <c r="HW2" s="134"/>
      <c r="HX2" s="134"/>
      <c r="HY2" s="134"/>
      <c r="HZ2" s="134"/>
      <c r="IA2" s="134"/>
      <c r="IB2" s="134"/>
      <c r="IC2" s="134"/>
      <c r="ID2" s="134"/>
      <c r="IE2" s="134"/>
      <c r="IF2" s="134"/>
      <c r="IG2" s="134"/>
      <c r="IH2" s="134"/>
      <c r="II2" s="134"/>
      <c r="IJ2" s="134"/>
      <c r="IK2" s="134"/>
      <c r="IL2" s="134"/>
      <c r="IM2" s="134"/>
      <c r="IN2" s="134"/>
      <c r="IO2" s="134"/>
      <c r="IP2" s="134"/>
      <c r="IQ2" s="134"/>
      <c r="IR2" s="134"/>
      <c r="IS2" s="134"/>
      <c r="IT2" s="134"/>
      <c r="IU2" s="134"/>
      <c r="IV2" s="134"/>
      <c r="IW2" s="134"/>
      <c r="IX2" s="134"/>
      <c r="IY2" s="134"/>
      <c r="IZ2" s="134"/>
      <c r="JA2" s="134"/>
      <c r="JB2" s="134"/>
      <c r="JC2" s="134"/>
      <c r="JD2" s="134"/>
      <c r="JE2" s="134"/>
      <c r="JF2" s="134"/>
      <c r="JG2" s="134"/>
      <c r="JH2" s="134"/>
      <c r="JI2" s="134"/>
      <c r="JJ2" s="134"/>
      <c r="JK2" s="134"/>
      <c r="JL2" s="134"/>
      <c r="JM2" s="134"/>
      <c r="JN2" s="134"/>
      <c r="JO2" s="134"/>
      <c r="JP2" s="134"/>
      <c r="JQ2" s="134"/>
      <c r="JR2" s="134"/>
      <c r="JS2" s="134"/>
      <c r="JT2" s="134"/>
      <c r="JU2" s="134"/>
      <c r="JV2" s="134"/>
      <c r="JW2" s="134"/>
      <c r="JX2" s="134"/>
      <c r="JY2" s="134"/>
      <c r="JZ2" s="134"/>
    </row>
    <row r="3" spans="1:296" s="136" customFormat="1">
      <c r="A3" s="158" t="s">
        <v>938</v>
      </c>
      <c r="B3" s="152" t="s">
        <v>0</v>
      </c>
      <c r="C3" s="152" t="s">
        <v>839</v>
      </c>
      <c r="D3" s="152" t="s">
        <v>548</v>
      </c>
      <c r="E3" s="205" t="s">
        <v>1</v>
      </c>
      <c r="F3" s="205" t="s">
        <v>840</v>
      </c>
      <c r="G3" s="205" t="s">
        <v>551</v>
      </c>
      <c r="H3" s="152" t="s">
        <v>2</v>
      </c>
      <c r="I3" s="152" t="s">
        <v>841</v>
      </c>
      <c r="J3" s="152" t="s">
        <v>552</v>
      </c>
      <c r="K3" s="205" t="s">
        <v>3</v>
      </c>
      <c r="L3" s="205" t="s">
        <v>842</v>
      </c>
      <c r="M3" s="205" t="s">
        <v>553</v>
      </c>
      <c r="N3" s="152" t="s">
        <v>4</v>
      </c>
      <c r="O3" s="152" t="s">
        <v>843</v>
      </c>
      <c r="P3" s="152" t="s">
        <v>554</v>
      </c>
      <c r="Q3" s="205" t="s">
        <v>32</v>
      </c>
      <c r="R3" s="205" t="s">
        <v>871</v>
      </c>
      <c r="S3" s="205" t="s">
        <v>582</v>
      </c>
      <c r="T3" s="205" t="s">
        <v>46</v>
      </c>
      <c r="U3" s="205" t="s">
        <v>884</v>
      </c>
      <c r="V3" s="205" t="s">
        <v>594</v>
      </c>
      <c r="W3" s="152" t="s">
        <v>5</v>
      </c>
      <c r="X3" s="152" t="s">
        <v>844</v>
      </c>
      <c r="Y3" s="152" t="s">
        <v>555</v>
      </c>
      <c r="Z3" s="205" t="s">
        <v>6</v>
      </c>
      <c r="AA3" s="205" t="s">
        <v>845</v>
      </c>
      <c r="AB3" s="205" t="s">
        <v>556</v>
      </c>
      <c r="AC3" s="152" t="s">
        <v>7</v>
      </c>
      <c r="AD3" s="152" t="s">
        <v>846</v>
      </c>
      <c r="AE3" s="152" t="s">
        <v>557</v>
      </c>
      <c r="AF3" s="205" t="s">
        <v>8</v>
      </c>
      <c r="AG3" s="205" t="s">
        <v>847</v>
      </c>
      <c r="AH3" s="205" t="s">
        <v>558</v>
      </c>
      <c r="AI3" s="152" t="s">
        <v>9</v>
      </c>
      <c r="AJ3" s="152" t="s">
        <v>848</v>
      </c>
      <c r="AK3" s="152" t="s">
        <v>559</v>
      </c>
      <c r="AL3" s="205" t="s">
        <v>10</v>
      </c>
      <c r="AM3" s="205" t="s">
        <v>849</v>
      </c>
      <c r="AN3" s="205" t="s">
        <v>560</v>
      </c>
      <c r="AO3" s="152" t="s">
        <v>11</v>
      </c>
      <c r="AP3" s="152" t="s">
        <v>850</v>
      </c>
      <c r="AQ3" s="152" t="s">
        <v>561</v>
      </c>
      <c r="AR3" s="205" t="s">
        <v>12</v>
      </c>
      <c r="AS3" s="205" t="s">
        <v>851</v>
      </c>
      <c r="AT3" s="205" t="s">
        <v>562</v>
      </c>
      <c r="AU3" s="152" t="s">
        <v>13</v>
      </c>
      <c r="AV3" s="152" t="s">
        <v>852</v>
      </c>
      <c r="AW3" s="152" t="s">
        <v>563</v>
      </c>
      <c r="AX3" s="205" t="s">
        <v>14</v>
      </c>
      <c r="AY3" s="205" t="s">
        <v>853</v>
      </c>
      <c r="AZ3" s="205" t="s">
        <v>564</v>
      </c>
      <c r="BA3" s="152" t="s">
        <v>15</v>
      </c>
      <c r="BB3" s="152" t="s">
        <v>854</v>
      </c>
      <c r="BC3" s="152" t="s">
        <v>565</v>
      </c>
      <c r="BD3" s="205" t="s">
        <v>16</v>
      </c>
      <c r="BE3" s="205" t="s">
        <v>855</v>
      </c>
      <c r="BF3" s="205" t="s">
        <v>566</v>
      </c>
      <c r="BG3" s="152" t="s">
        <v>17</v>
      </c>
      <c r="BH3" s="152" t="s">
        <v>856</v>
      </c>
      <c r="BI3" s="152" t="s">
        <v>567</v>
      </c>
      <c r="BJ3" s="205" t="s">
        <v>19</v>
      </c>
      <c r="BK3" s="205" t="s">
        <v>858</v>
      </c>
      <c r="BL3" s="205" t="s">
        <v>569</v>
      </c>
      <c r="BM3" s="152" t="s">
        <v>20</v>
      </c>
      <c r="BN3" s="152" t="s">
        <v>859</v>
      </c>
      <c r="BO3" s="152" t="s">
        <v>570</v>
      </c>
      <c r="BP3" s="205" t="s">
        <v>21</v>
      </c>
      <c r="BQ3" s="205" t="s">
        <v>860</v>
      </c>
      <c r="BR3" s="205" t="s">
        <v>571</v>
      </c>
      <c r="BS3" s="152" t="s">
        <v>22</v>
      </c>
      <c r="BT3" s="152" t="s">
        <v>861</v>
      </c>
      <c r="BU3" s="152" t="s">
        <v>572</v>
      </c>
      <c r="BV3" s="205" t="s">
        <v>23</v>
      </c>
      <c r="BW3" s="205" t="s">
        <v>862</v>
      </c>
      <c r="BX3" s="205" t="s">
        <v>573</v>
      </c>
      <c r="BY3" s="152" t="s">
        <v>24</v>
      </c>
      <c r="BZ3" s="152" t="s">
        <v>863</v>
      </c>
      <c r="CA3" s="152" t="s">
        <v>574</v>
      </c>
      <c r="CB3" s="205" t="s">
        <v>25</v>
      </c>
      <c r="CC3" s="205" t="s">
        <v>864</v>
      </c>
      <c r="CD3" s="205" t="s">
        <v>575</v>
      </c>
      <c r="CE3" s="152" t="s">
        <v>26</v>
      </c>
      <c r="CF3" s="152" t="s">
        <v>865</v>
      </c>
      <c r="CG3" s="152" t="s">
        <v>576</v>
      </c>
      <c r="CH3" s="205" t="s">
        <v>27</v>
      </c>
      <c r="CI3" s="205" t="s">
        <v>866</v>
      </c>
      <c r="CJ3" s="205" t="s">
        <v>577</v>
      </c>
      <c r="CK3" s="152" t="s">
        <v>28</v>
      </c>
      <c r="CL3" s="152" t="s">
        <v>867</v>
      </c>
      <c r="CM3" s="152" t="s">
        <v>578</v>
      </c>
      <c r="CN3" s="205" t="s">
        <v>29</v>
      </c>
      <c r="CO3" s="205" t="s">
        <v>868</v>
      </c>
      <c r="CP3" s="205" t="s">
        <v>579</v>
      </c>
      <c r="CQ3" s="152" t="s">
        <v>30</v>
      </c>
      <c r="CR3" s="152" t="s">
        <v>869</v>
      </c>
      <c r="CS3" s="152" t="s">
        <v>580</v>
      </c>
      <c r="CT3" s="205" t="s">
        <v>53</v>
      </c>
      <c r="CU3" s="205" t="s">
        <v>891</v>
      </c>
      <c r="CV3" s="205" t="s">
        <v>601</v>
      </c>
      <c r="CW3" s="152" t="s">
        <v>31</v>
      </c>
      <c r="CX3" s="152" t="s">
        <v>870</v>
      </c>
      <c r="CY3" s="152" t="s">
        <v>581</v>
      </c>
      <c r="CZ3" s="205" t="s">
        <v>33</v>
      </c>
      <c r="DA3" s="205" t="s">
        <v>872</v>
      </c>
      <c r="DB3" s="205" t="s">
        <v>583</v>
      </c>
      <c r="DC3" s="152" t="s">
        <v>1089</v>
      </c>
      <c r="DD3" s="152" t="s">
        <v>1090</v>
      </c>
      <c r="DE3" s="152" t="s">
        <v>1091</v>
      </c>
      <c r="DF3" s="205" t="s">
        <v>34</v>
      </c>
      <c r="DG3" s="205" t="s">
        <v>873</v>
      </c>
      <c r="DH3" s="205" t="s">
        <v>584</v>
      </c>
      <c r="DI3" s="152" t="s">
        <v>35</v>
      </c>
      <c r="DJ3" s="152" t="s">
        <v>874</v>
      </c>
      <c r="DK3" s="152" t="s">
        <v>585</v>
      </c>
      <c r="DL3" s="205" t="s">
        <v>37</v>
      </c>
      <c r="DM3" s="205" t="s">
        <v>876</v>
      </c>
      <c r="DN3" s="205" t="s">
        <v>587</v>
      </c>
      <c r="DO3" s="152" t="s">
        <v>38</v>
      </c>
      <c r="DP3" s="152" t="s">
        <v>877</v>
      </c>
      <c r="DQ3" s="152" t="s">
        <v>588</v>
      </c>
      <c r="DR3" s="205" t="s">
        <v>39</v>
      </c>
      <c r="DS3" s="205" t="s">
        <v>878</v>
      </c>
      <c r="DT3" s="205" t="s">
        <v>589</v>
      </c>
      <c r="DU3" s="152" t="s">
        <v>40</v>
      </c>
      <c r="DV3" s="152" t="s">
        <v>879</v>
      </c>
      <c r="DW3" s="152" t="s">
        <v>590</v>
      </c>
      <c r="DX3" s="205" t="s">
        <v>36</v>
      </c>
      <c r="DY3" s="205" t="s">
        <v>875</v>
      </c>
      <c r="DZ3" s="205" t="s">
        <v>586</v>
      </c>
      <c r="EA3" s="152" t="s">
        <v>43</v>
      </c>
      <c r="EB3" s="152" t="s">
        <v>882</v>
      </c>
      <c r="EC3" s="152" t="s">
        <v>592</v>
      </c>
      <c r="ED3" s="205" t="s">
        <v>44</v>
      </c>
      <c r="EE3" s="205" t="s">
        <v>180</v>
      </c>
      <c r="EF3" s="164" t="s">
        <v>663</v>
      </c>
      <c r="EG3" s="152" t="s">
        <v>45</v>
      </c>
      <c r="EH3" s="152" t="s">
        <v>883</v>
      </c>
      <c r="EI3" s="152" t="s">
        <v>593</v>
      </c>
      <c r="EJ3" s="205" t="s">
        <v>1016</v>
      </c>
      <c r="EK3" s="205" t="s">
        <v>2512</v>
      </c>
      <c r="EL3" s="205" t="s">
        <v>2513</v>
      </c>
      <c r="EM3" s="152" t="s">
        <v>47</v>
      </c>
      <c r="EN3" s="152" t="s">
        <v>885</v>
      </c>
      <c r="EO3" s="152" t="s">
        <v>595</v>
      </c>
      <c r="EP3" s="205" t="s">
        <v>48</v>
      </c>
      <c r="EQ3" s="205" t="s">
        <v>886</v>
      </c>
      <c r="ER3" s="205" t="s">
        <v>596</v>
      </c>
      <c r="ES3" s="152" t="s">
        <v>49</v>
      </c>
      <c r="ET3" s="152" t="s">
        <v>887</v>
      </c>
      <c r="EU3" s="152" t="s">
        <v>597</v>
      </c>
      <c r="EV3" s="205" t="s">
        <v>50</v>
      </c>
      <c r="EW3" s="205" t="s">
        <v>888</v>
      </c>
      <c r="EX3" s="205" t="s">
        <v>598</v>
      </c>
      <c r="EY3" s="152" t="s">
        <v>51</v>
      </c>
      <c r="EZ3" s="152" t="s">
        <v>889</v>
      </c>
      <c r="FA3" s="152" t="s">
        <v>599</v>
      </c>
      <c r="FB3" s="205" t="s">
        <v>52</v>
      </c>
      <c r="FC3" s="205" t="s">
        <v>890</v>
      </c>
      <c r="FD3" s="205" t="s">
        <v>600</v>
      </c>
      <c r="FE3" s="152" t="s">
        <v>54</v>
      </c>
      <c r="FF3" s="152" t="s">
        <v>892</v>
      </c>
      <c r="FG3" s="152" t="s">
        <v>602</v>
      </c>
      <c r="FH3" s="205" t="s">
        <v>55</v>
      </c>
      <c r="FI3" s="205" t="s">
        <v>893</v>
      </c>
      <c r="FJ3" s="205" t="s">
        <v>603</v>
      </c>
      <c r="FK3" s="152" t="s">
        <v>56</v>
      </c>
      <c r="FL3" s="152" t="s">
        <v>894</v>
      </c>
      <c r="FM3" s="152" t="s">
        <v>604</v>
      </c>
      <c r="FN3" s="205" t="s">
        <v>57</v>
      </c>
      <c r="FO3" s="205" t="s">
        <v>895</v>
      </c>
      <c r="FP3" s="205" t="s">
        <v>605</v>
      </c>
      <c r="FQ3" s="152" t="s">
        <v>58</v>
      </c>
      <c r="FR3" s="152" t="s">
        <v>896</v>
      </c>
      <c r="FS3" s="152" t="s">
        <v>606</v>
      </c>
      <c r="FT3" s="205" t="s">
        <v>41</v>
      </c>
      <c r="FU3" s="205" t="s">
        <v>880</v>
      </c>
      <c r="FV3" s="205" t="s">
        <v>591</v>
      </c>
      <c r="FW3" s="152" t="s">
        <v>60</v>
      </c>
      <c r="FX3" s="152" t="s">
        <v>898</v>
      </c>
      <c r="FY3" s="152" t="s">
        <v>608</v>
      </c>
      <c r="FZ3" s="205" t="s">
        <v>42</v>
      </c>
      <c r="GA3" s="205" t="s">
        <v>881</v>
      </c>
      <c r="GB3" s="205" t="s">
        <v>665</v>
      </c>
      <c r="GC3" s="152" t="s">
        <v>59</v>
      </c>
      <c r="GD3" s="152" t="s">
        <v>897</v>
      </c>
      <c r="GE3" s="152" t="s">
        <v>607</v>
      </c>
      <c r="GF3" s="205" t="s">
        <v>62</v>
      </c>
      <c r="GG3" s="205" t="s">
        <v>900</v>
      </c>
      <c r="GH3" s="205" t="s">
        <v>609</v>
      </c>
      <c r="GI3" s="152" t="s">
        <v>61</v>
      </c>
      <c r="GJ3" s="152" t="s">
        <v>899</v>
      </c>
      <c r="GK3" s="152" t="s">
        <v>664</v>
      </c>
      <c r="GL3" s="205" t="s">
        <v>66</v>
      </c>
      <c r="GM3" s="205" t="s">
        <v>904</v>
      </c>
      <c r="GN3" s="205" t="s">
        <v>613</v>
      </c>
      <c r="GO3" s="152" t="s">
        <v>65</v>
      </c>
      <c r="GP3" s="152" t="s">
        <v>903</v>
      </c>
      <c r="GQ3" s="152" t="s">
        <v>612</v>
      </c>
      <c r="GR3" s="205" t="s">
        <v>73</v>
      </c>
      <c r="GS3" s="205" t="s">
        <v>911</v>
      </c>
      <c r="GT3" s="205" t="s">
        <v>620</v>
      </c>
      <c r="GU3" s="152" t="s">
        <v>64</v>
      </c>
      <c r="GV3" s="152" t="s">
        <v>902</v>
      </c>
      <c r="GW3" s="152" t="s">
        <v>611</v>
      </c>
      <c r="GX3" s="205" t="s">
        <v>69</v>
      </c>
      <c r="GY3" s="205" t="s">
        <v>907</v>
      </c>
      <c r="GZ3" s="205" t="s">
        <v>616</v>
      </c>
      <c r="HA3" s="152" t="s">
        <v>67</v>
      </c>
      <c r="HB3" s="152" t="s">
        <v>905</v>
      </c>
      <c r="HC3" s="152" t="s">
        <v>614</v>
      </c>
      <c r="HD3" s="205" t="s">
        <v>63</v>
      </c>
      <c r="HE3" s="205" t="s">
        <v>901</v>
      </c>
      <c r="HF3" s="205" t="s">
        <v>610</v>
      </c>
      <c r="HG3" s="152" t="s">
        <v>68</v>
      </c>
      <c r="HH3" s="152" t="s">
        <v>906</v>
      </c>
      <c r="HI3" s="152" t="s">
        <v>615</v>
      </c>
      <c r="HJ3" s="205" t="s">
        <v>78</v>
      </c>
      <c r="HK3" s="205" t="s">
        <v>916</v>
      </c>
      <c r="HL3" s="205" t="s">
        <v>625</v>
      </c>
      <c r="HM3" s="152" t="s">
        <v>74</v>
      </c>
      <c r="HN3" s="152" t="s">
        <v>912</v>
      </c>
      <c r="HO3" s="152" t="s">
        <v>621</v>
      </c>
      <c r="HP3" s="205" t="s">
        <v>77</v>
      </c>
      <c r="HQ3" s="205" t="s">
        <v>915</v>
      </c>
      <c r="HR3" s="205" t="s">
        <v>624</v>
      </c>
      <c r="HS3" s="152" t="s">
        <v>79</v>
      </c>
      <c r="HT3" s="152" t="s">
        <v>918</v>
      </c>
      <c r="HU3" s="152" t="s">
        <v>626</v>
      </c>
      <c r="HV3" s="205" t="s">
        <v>76</v>
      </c>
      <c r="HW3" s="205" t="s">
        <v>914</v>
      </c>
      <c r="HX3" s="205" t="s">
        <v>623</v>
      </c>
      <c r="HY3" s="152" t="s">
        <v>80</v>
      </c>
      <c r="HZ3" s="152" t="s">
        <v>919</v>
      </c>
      <c r="IA3" s="152" t="s">
        <v>627</v>
      </c>
      <c r="IB3" s="205" t="s">
        <v>70</v>
      </c>
      <c r="IC3" s="205" t="s">
        <v>908</v>
      </c>
      <c r="ID3" s="205" t="s">
        <v>617</v>
      </c>
      <c r="IE3" s="152" t="s">
        <v>81</v>
      </c>
      <c r="IF3" s="152" t="s">
        <v>920</v>
      </c>
      <c r="IG3" s="152" t="s">
        <v>628</v>
      </c>
      <c r="IH3" s="205" t="s">
        <v>87</v>
      </c>
      <c r="II3" s="205" t="s">
        <v>926</v>
      </c>
      <c r="IJ3" s="205" t="s">
        <v>634</v>
      </c>
      <c r="IK3" s="152" t="s">
        <v>82</v>
      </c>
      <c r="IL3" s="152" t="s">
        <v>921</v>
      </c>
      <c r="IM3" s="152" t="s">
        <v>629</v>
      </c>
      <c r="IN3" s="205" t="s">
        <v>83</v>
      </c>
      <c r="IO3" s="205" t="s">
        <v>922</v>
      </c>
      <c r="IP3" s="205" t="s">
        <v>630</v>
      </c>
      <c r="IQ3" s="152" t="s">
        <v>72</v>
      </c>
      <c r="IR3" s="152" t="s">
        <v>910</v>
      </c>
      <c r="IS3" s="152" t="s">
        <v>619</v>
      </c>
      <c r="IT3" s="205" t="s">
        <v>75</v>
      </c>
      <c r="IU3" s="205" t="s">
        <v>913</v>
      </c>
      <c r="IV3" s="205" t="s">
        <v>622</v>
      </c>
      <c r="IW3" s="152" t="s">
        <v>84</v>
      </c>
      <c r="IX3" s="152" t="s">
        <v>923</v>
      </c>
      <c r="IY3" s="152" t="s">
        <v>631</v>
      </c>
      <c r="IZ3" s="205" t="s">
        <v>85</v>
      </c>
      <c r="JA3" s="205" t="s">
        <v>924</v>
      </c>
      <c r="JB3" s="205" t="s">
        <v>632</v>
      </c>
      <c r="JC3" s="152" t="s">
        <v>71</v>
      </c>
      <c r="JD3" s="152" t="s">
        <v>909</v>
      </c>
      <c r="JE3" s="152" t="s">
        <v>618</v>
      </c>
      <c r="JF3" s="205" t="s">
        <v>86</v>
      </c>
      <c r="JG3" s="205" t="s">
        <v>925</v>
      </c>
      <c r="JH3" s="205" t="s">
        <v>633</v>
      </c>
      <c r="JI3" s="152" t="s">
        <v>666</v>
      </c>
      <c r="JJ3" s="152" t="s">
        <v>917</v>
      </c>
      <c r="JK3" s="152" t="s">
        <v>667</v>
      </c>
      <c r="JL3" s="205" t="s">
        <v>88</v>
      </c>
      <c r="JM3" s="205" t="s">
        <v>927</v>
      </c>
      <c r="JN3" s="205" t="s">
        <v>635</v>
      </c>
      <c r="JO3" s="152" t="s">
        <v>89</v>
      </c>
      <c r="JP3" s="152" t="s">
        <v>928</v>
      </c>
      <c r="JQ3" s="152" t="s">
        <v>636</v>
      </c>
      <c r="JR3" s="152" t="s">
        <v>1557</v>
      </c>
      <c r="JS3" s="152" t="s">
        <v>1562</v>
      </c>
      <c r="JT3" s="152" t="s">
        <v>1561</v>
      </c>
      <c r="JU3" s="152" t="s">
        <v>2572</v>
      </c>
      <c r="JV3" s="152" t="s">
        <v>2574</v>
      </c>
      <c r="JW3" s="152" t="s">
        <v>2573</v>
      </c>
      <c r="JX3" s="205" t="s">
        <v>18</v>
      </c>
      <c r="JY3" s="205" t="s">
        <v>857</v>
      </c>
      <c r="JZ3" s="205" t="s">
        <v>568</v>
      </c>
      <c r="KA3" s="152" t="s">
        <v>950</v>
      </c>
      <c r="KB3" s="152" t="s">
        <v>951</v>
      </c>
      <c r="KC3" s="152" t="s">
        <v>952</v>
      </c>
      <c r="KD3" s="205" t="s">
        <v>953</v>
      </c>
      <c r="KE3" s="205" t="s">
        <v>954</v>
      </c>
      <c r="KF3" s="205" t="s">
        <v>955</v>
      </c>
    </row>
    <row r="4" spans="1:296" s="88" customFormat="1">
      <c r="A4" s="165">
        <v>1</v>
      </c>
      <c r="B4" s="138">
        <v>40544</v>
      </c>
      <c r="C4" s="122">
        <v>5000</v>
      </c>
      <c r="D4" s="164">
        <v>-107.46</v>
      </c>
      <c r="E4" s="138">
        <v>40544</v>
      </c>
      <c r="F4" s="122">
        <v>9000</v>
      </c>
      <c r="G4" s="164">
        <v>-9.8365559999999999</v>
      </c>
      <c r="H4" s="138">
        <v>40544</v>
      </c>
      <c r="I4" s="122">
        <v>400000</v>
      </c>
      <c r="J4" s="164">
        <v>-40.441576750000003</v>
      </c>
      <c r="K4" s="138">
        <v>40544</v>
      </c>
      <c r="L4" s="122">
        <v>8000</v>
      </c>
      <c r="M4" s="164">
        <v>-132.55000000000001</v>
      </c>
      <c r="N4" s="138">
        <v>40544</v>
      </c>
      <c r="O4" s="122">
        <v>2448050</v>
      </c>
      <c r="P4" s="164">
        <v>-1.1677472432195899</v>
      </c>
      <c r="Q4" s="138">
        <v>40544</v>
      </c>
      <c r="R4" s="122">
        <v>500</v>
      </c>
      <c r="S4" s="164">
        <v>-896.1</v>
      </c>
      <c r="T4" s="138">
        <v>40544</v>
      </c>
      <c r="U4" s="122">
        <v>190</v>
      </c>
      <c r="V4" s="164">
        <v>-109.65132</v>
      </c>
      <c r="W4" s="138">
        <v>40544</v>
      </c>
      <c r="X4" s="122">
        <v>5000</v>
      </c>
      <c r="Y4" s="164">
        <v>-54.11</v>
      </c>
      <c r="Z4" s="138">
        <v>40544</v>
      </c>
      <c r="AA4" s="122">
        <v>10000</v>
      </c>
      <c r="AB4" s="164">
        <v>-2.69</v>
      </c>
      <c r="AC4" s="138">
        <v>40544</v>
      </c>
      <c r="AD4" s="122">
        <v>12500</v>
      </c>
      <c r="AE4" s="164">
        <v>-12.7196</v>
      </c>
      <c r="AF4" s="138">
        <v>40544</v>
      </c>
      <c r="AG4" s="122">
        <v>100</v>
      </c>
      <c r="AH4" s="164">
        <v>-49.07</v>
      </c>
      <c r="AI4" s="138">
        <v>40544</v>
      </c>
      <c r="AJ4" s="122">
        <v>5000</v>
      </c>
      <c r="AK4" s="164">
        <v>-39.770000000000003</v>
      </c>
      <c r="AL4" s="138">
        <v>40544</v>
      </c>
      <c r="AM4" s="122">
        <v>2000</v>
      </c>
      <c r="AN4" s="164">
        <v>-108.31</v>
      </c>
      <c r="AO4" s="138">
        <v>40544</v>
      </c>
      <c r="AP4" s="122">
        <v>40000</v>
      </c>
      <c r="AQ4" s="164">
        <v>-10.359875000000001</v>
      </c>
      <c r="AR4" s="138">
        <v>40544</v>
      </c>
      <c r="AS4" s="122">
        <v>350</v>
      </c>
      <c r="AT4" s="164">
        <v>-170.71425714285715</v>
      </c>
      <c r="AU4" s="138">
        <v>40544</v>
      </c>
      <c r="AV4" s="122">
        <v>250</v>
      </c>
      <c r="AW4" s="164">
        <v>-1</v>
      </c>
      <c r="AX4" s="138">
        <v>40544</v>
      </c>
      <c r="AY4" s="122">
        <v>1000</v>
      </c>
      <c r="AZ4" s="164">
        <v>-80.2</v>
      </c>
      <c r="BA4" s="138">
        <v>40544</v>
      </c>
      <c r="BB4" s="122">
        <v>1889</v>
      </c>
      <c r="BC4" s="164">
        <v>-46.62</v>
      </c>
      <c r="BD4" s="138">
        <v>40544</v>
      </c>
      <c r="BE4" s="122">
        <v>340000</v>
      </c>
      <c r="BF4" s="164">
        <v>-8.98</v>
      </c>
      <c r="BG4" s="138">
        <v>40544</v>
      </c>
      <c r="BH4" s="122">
        <v>17687</v>
      </c>
      <c r="BI4" s="164">
        <v>-5.5781000000000001</v>
      </c>
      <c r="BJ4" s="138">
        <v>40544</v>
      </c>
      <c r="BK4" s="122">
        <v>1000</v>
      </c>
      <c r="BL4" s="164">
        <v>-37.4</v>
      </c>
      <c r="BM4" s="138">
        <v>40544</v>
      </c>
      <c r="BN4" s="122">
        <v>12000</v>
      </c>
      <c r="BO4" s="164">
        <v>-11.16</v>
      </c>
      <c r="BP4" s="138">
        <v>40544</v>
      </c>
      <c r="BQ4" s="122">
        <v>1000</v>
      </c>
      <c r="BR4" s="164">
        <v>-15.7</v>
      </c>
      <c r="BS4" s="138">
        <v>40544</v>
      </c>
      <c r="BT4" s="122">
        <v>500000</v>
      </c>
      <c r="BU4" s="164">
        <v>-157</v>
      </c>
      <c r="BV4" s="138">
        <v>40544</v>
      </c>
      <c r="BW4" s="122">
        <v>5000</v>
      </c>
      <c r="BX4" s="164">
        <v>-35.54</v>
      </c>
      <c r="BY4" s="138">
        <v>40544</v>
      </c>
      <c r="BZ4" s="122">
        <v>2276</v>
      </c>
      <c r="CA4" s="164">
        <v>-17.760724956063267</v>
      </c>
      <c r="CB4" s="138">
        <v>40544</v>
      </c>
      <c r="CC4" s="122">
        <v>2000</v>
      </c>
      <c r="CD4" s="164">
        <v>-27.376550000000002</v>
      </c>
      <c r="CE4" s="138">
        <v>40544</v>
      </c>
      <c r="CF4" s="122">
        <v>200</v>
      </c>
      <c r="CG4" s="164">
        <v>-125.15535</v>
      </c>
      <c r="CH4" s="138">
        <v>40544</v>
      </c>
      <c r="CI4" s="122">
        <v>10000</v>
      </c>
      <c r="CJ4" s="164">
        <v>-105.48</v>
      </c>
      <c r="CK4" s="138">
        <v>40544</v>
      </c>
      <c r="CL4" s="122">
        <v>4200</v>
      </c>
      <c r="CM4" s="164">
        <v>-72.357823809523808</v>
      </c>
      <c r="CN4" s="138">
        <v>40544</v>
      </c>
      <c r="CO4" s="122">
        <v>15000</v>
      </c>
      <c r="CP4" s="164">
        <v>-19.104759999999999</v>
      </c>
      <c r="CQ4" s="138">
        <v>40544</v>
      </c>
      <c r="CR4" s="122">
        <v>4000</v>
      </c>
      <c r="CS4" s="164">
        <v>-393.15</v>
      </c>
      <c r="CT4" s="138">
        <v>45902</v>
      </c>
      <c r="CU4" s="122">
        <v>24167</v>
      </c>
      <c r="CV4" s="164">
        <v>-9.8524999999999991</v>
      </c>
      <c r="CW4" s="138">
        <v>40544</v>
      </c>
      <c r="CX4" s="122">
        <v>3000</v>
      </c>
      <c r="CY4" s="164">
        <v>-28.96</v>
      </c>
      <c r="CZ4" s="138">
        <v>40544</v>
      </c>
      <c r="DA4" s="122">
        <v>6000</v>
      </c>
      <c r="DB4" s="164">
        <v>-15.19</v>
      </c>
      <c r="DC4" s="138">
        <v>40544</v>
      </c>
      <c r="DD4" s="122">
        <v>45000</v>
      </c>
      <c r="DE4" s="164">
        <v>-6.5707668888888886</v>
      </c>
      <c r="DF4" s="138">
        <v>40544</v>
      </c>
      <c r="DG4" s="122">
        <v>3000</v>
      </c>
      <c r="DH4" s="164">
        <v>-3.1669499999999999</v>
      </c>
      <c r="DI4" s="138">
        <v>40544</v>
      </c>
      <c r="DJ4" s="122">
        <v>2700</v>
      </c>
      <c r="DK4" s="164">
        <v>-36.9220481481481</v>
      </c>
      <c r="DL4" s="138">
        <v>40544</v>
      </c>
      <c r="DM4" s="122">
        <v>30000</v>
      </c>
      <c r="DN4" s="164">
        <v>-33.802067999999998</v>
      </c>
      <c r="DO4" s="1268">
        <v>42853</v>
      </c>
      <c r="DP4" s="122">
        <v>1500</v>
      </c>
      <c r="DQ4" s="164">
        <v>-93.048699999999997</v>
      </c>
      <c r="DR4" s="138">
        <v>40544</v>
      </c>
      <c r="DS4" s="122">
        <v>12500</v>
      </c>
      <c r="DT4" s="164">
        <v>-11.2137168</v>
      </c>
      <c r="DU4" s="138">
        <v>40544</v>
      </c>
      <c r="DV4" s="122">
        <v>16000</v>
      </c>
      <c r="DW4" s="164">
        <v>-54.700470000000003</v>
      </c>
      <c r="DX4" s="138">
        <v>40544</v>
      </c>
      <c r="DY4" s="122">
        <v>500</v>
      </c>
      <c r="DZ4" s="164">
        <v>-172.548</v>
      </c>
      <c r="EA4" s="138">
        <v>40544</v>
      </c>
      <c r="EB4" s="122">
        <v>2000</v>
      </c>
      <c r="EC4" s="164">
        <v>-1E-3</v>
      </c>
      <c r="ED4" s="138">
        <v>40544</v>
      </c>
      <c r="EE4" s="122">
        <v>700</v>
      </c>
      <c r="EF4" s="164">
        <v>-263.42</v>
      </c>
      <c r="EG4" s="138">
        <v>45874</v>
      </c>
      <c r="EH4" s="122">
        <v>7235</v>
      </c>
      <c r="EI4" s="164">
        <v>-9.3000000000000007</v>
      </c>
      <c r="EJ4" s="138">
        <v>40544</v>
      </c>
      <c r="EK4" s="122">
        <v>190</v>
      </c>
      <c r="EL4" s="164">
        <v>-109.65132</v>
      </c>
      <c r="EM4" s="138">
        <v>40544</v>
      </c>
      <c r="EN4" s="122">
        <v>10000</v>
      </c>
      <c r="EO4" s="164">
        <v>-19.13</v>
      </c>
      <c r="EP4" s="138">
        <v>40544</v>
      </c>
      <c r="EQ4" s="122">
        <v>20000</v>
      </c>
      <c r="ER4" s="164">
        <v>-56.301814499999999</v>
      </c>
      <c r="ES4" s="138">
        <v>40544</v>
      </c>
      <c r="ET4" s="122">
        <v>5000</v>
      </c>
      <c r="EU4" s="164">
        <v>-30.288789999999999</v>
      </c>
      <c r="EV4" s="138">
        <v>40544</v>
      </c>
      <c r="EW4" s="122">
        <v>750</v>
      </c>
      <c r="EX4" s="164">
        <v>-49.343906666666669</v>
      </c>
      <c r="EY4" s="138">
        <v>40544</v>
      </c>
      <c r="EZ4" s="122">
        <v>200</v>
      </c>
      <c r="FA4" s="164">
        <v>-99.51</v>
      </c>
      <c r="FB4" s="138">
        <v>40544</v>
      </c>
      <c r="FC4" s="122">
        <v>800</v>
      </c>
      <c r="FD4" s="164">
        <v>-69.207787499999995</v>
      </c>
      <c r="FE4" s="138">
        <v>40544</v>
      </c>
      <c r="FF4" s="122">
        <v>395031</v>
      </c>
      <c r="FG4" s="164">
        <v>-1.17</v>
      </c>
      <c r="FH4" s="138">
        <v>40544</v>
      </c>
      <c r="FI4" s="122">
        <v>10000</v>
      </c>
      <c r="FJ4" s="164">
        <v>-4.33</v>
      </c>
      <c r="FK4" s="138">
        <v>40544</v>
      </c>
      <c r="FL4" s="122">
        <v>2000</v>
      </c>
      <c r="FM4" s="164">
        <v>-44</v>
      </c>
      <c r="FN4" s="138">
        <v>40544</v>
      </c>
      <c r="FO4" s="122">
        <v>20000</v>
      </c>
      <c r="FP4" s="164">
        <v>-11.0603</v>
      </c>
      <c r="FQ4" s="138">
        <v>40544</v>
      </c>
      <c r="FR4" s="122">
        <v>10000</v>
      </c>
      <c r="FS4" s="164">
        <v>-15.592599999999999</v>
      </c>
      <c r="FT4" s="138">
        <v>40544</v>
      </c>
      <c r="FU4" s="122">
        <v>2000</v>
      </c>
      <c r="FV4" s="164">
        <v>-6.93</v>
      </c>
      <c r="FW4" s="138">
        <v>40544</v>
      </c>
      <c r="FX4" s="122">
        <v>10000</v>
      </c>
      <c r="FY4" s="164">
        <v>-24.316700000000001</v>
      </c>
      <c r="FZ4" s="138">
        <v>40544</v>
      </c>
      <c r="GA4" s="122">
        <v>7300</v>
      </c>
      <c r="GB4" s="164">
        <v>-10.784000000000001</v>
      </c>
      <c r="GC4" s="138">
        <v>40544</v>
      </c>
      <c r="GD4" s="122">
        <v>10000</v>
      </c>
      <c r="GE4" s="164">
        <v>-35.880000000000003</v>
      </c>
      <c r="GF4" s="138">
        <v>40544</v>
      </c>
      <c r="GG4" s="122">
        <v>1000</v>
      </c>
      <c r="GH4" s="164">
        <v>-144.56</v>
      </c>
      <c r="GI4" s="138">
        <v>40544</v>
      </c>
      <c r="GJ4" s="122">
        <v>45</v>
      </c>
      <c r="GK4" s="164">
        <v>-78.742699999999999</v>
      </c>
      <c r="GL4" s="645">
        <v>40544</v>
      </c>
      <c r="GM4" s="122">
        <v>500</v>
      </c>
      <c r="GN4" s="164">
        <v>-68.847200000000043</v>
      </c>
      <c r="GO4" s="138">
        <v>40544</v>
      </c>
      <c r="GP4" s="122">
        <v>2000</v>
      </c>
      <c r="GQ4" s="164">
        <v>-157.13999999999999</v>
      </c>
      <c r="GR4" s="138">
        <v>40544</v>
      </c>
      <c r="GS4" s="122">
        <v>160</v>
      </c>
      <c r="GT4" s="164">
        <v>-623.04</v>
      </c>
      <c r="GU4" s="138">
        <v>40544</v>
      </c>
      <c r="GV4" s="122">
        <v>850</v>
      </c>
      <c r="GW4" s="164">
        <v>-49.61</v>
      </c>
      <c r="GX4" s="138">
        <v>40544</v>
      </c>
      <c r="GY4" s="122">
        <v>1790</v>
      </c>
      <c r="GZ4" s="164">
        <v>-104.53</v>
      </c>
      <c r="HA4" s="138">
        <v>40544</v>
      </c>
      <c r="HB4" s="122">
        <v>3900</v>
      </c>
      <c r="HC4" s="164">
        <v>-39.32</v>
      </c>
      <c r="HD4" s="138">
        <v>40544</v>
      </c>
      <c r="HE4" s="122">
        <v>200000</v>
      </c>
      <c r="HF4" s="164">
        <v>-166</v>
      </c>
      <c r="HG4" s="138">
        <v>40544</v>
      </c>
      <c r="HH4" s="122">
        <v>500</v>
      </c>
      <c r="HI4" s="164">
        <v>-126.35</v>
      </c>
      <c r="HJ4" s="138">
        <v>40544</v>
      </c>
      <c r="HK4" s="122">
        <v>30000</v>
      </c>
      <c r="HL4" s="164">
        <v>-7.04</v>
      </c>
      <c r="HM4" s="138">
        <v>40544</v>
      </c>
      <c r="HN4" s="122">
        <v>7300</v>
      </c>
      <c r="HO4" s="164">
        <v>-13.68</v>
      </c>
      <c r="HP4" s="138">
        <v>40544</v>
      </c>
      <c r="HQ4" s="122">
        <v>19440</v>
      </c>
      <c r="HR4" s="164">
        <v>-513</v>
      </c>
      <c r="HS4" s="138">
        <v>40544</v>
      </c>
      <c r="HT4" s="122">
        <v>12000</v>
      </c>
      <c r="HU4" s="164">
        <v>-13.49</v>
      </c>
      <c r="HV4" s="138">
        <v>40544</v>
      </c>
      <c r="HW4" s="122">
        <v>5000</v>
      </c>
      <c r="HX4" s="164">
        <v>-19.63</v>
      </c>
      <c r="HY4" s="138">
        <v>40544</v>
      </c>
      <c r="HZ4" s="122">
        <v>550</v>
      </c>
      <c r="IA4" s="164">
        <v>-189.96</v>
      </c>
      <c r="IB4" s="138">
        <v>40544</v>
      </c>
      <c r="IC4" s="122">
        <v>310</v>
      </c>
      <c r="ID4" s="164">
        <v>-358.7</v>
      </c>
      <c r="IE4" s="138">
        <v>40544</v>
      </c>
      <c r="IF4" s="122">
        <v>5353</v>
      </c>
      <c r="IG4" s="164">
        <v>-47.08</v>
      </c>
      <c r="IH4" s="138">
        <v>40544</v>
      </c>
      <c r="II4" s="122">
        <v>2100</v>
      </c>
      <c r="IJ4" s="164">
        <v>-44.67</v>
      </c>
      <c r="IK4" s="138">
        <v>40544</v>
      </c>
      <c r="IL4" s="122">
        <v>330</v>
      </c>
      <c r="IM4" s="164">
        <v>-353.12</v>
      </c>
      <c r="IN4" s="138">
        <v>40544</v>
      </c>
      <c r="IO4" s="122">
        <v>2700</v>
      </c>
      <c r="IP4" s="164">
        <v>-59.3</v>
      </c>
      <c r="IQ4" s="138">
        <v>40544</v>
      </c>
      <c r="IR4" s="122">
        <v>200</v>
      </c>
      <c r="IS4" s="164">
        <v>-85.85</v>
      </c>
      <c r="IT4" s="138">
        <v>40544</v>
      </c>
      <c r="IU4" s="122">
        <v>7700</v>
      </c>
      <c r="IV4" s="164">
        <v>-12.54</v>
      </c>
      <c r="IW4" s="138">
        <v>40544</v>
      </c>
      <c r="IX4" s="122">
        <v>1100</v>
      </c>
      <c r="IY4" s="164">
        <v>-71.47</v>
      </c>
      <c r="IZ4" s="138">
        <v>40544</v>
      </c>
      <c r="JA4" s="122">
        <v>1300</v>
      </c>
      <c r="JB4" s="164">
        <v>-41.52</v>
      </c>
      <c r="JC4" s="138">
        <v>40544</v>
      </c>
      <c r="JD4" s="122">
        <v>7000</v>
      </c>
      <c r="JE4" s="164">
        <v>-2.87</v>
      </c>
      <c r="JF4" s="138">
        <v>40544</v>
      </c>
      <c r="JG4" s="122">
        <v>2700</v>
      </c>
      <c r="JH4" s="164">
        <v>-30.31</v>
      </c>
      <c r="JI4" s="138">
        <v>40544</v>
      </c>
      <c r="JJ4" s="122">
        <v>450</v>
      </c>
      <c r="JK4" s="164">
        <v>-262.89</v>
      </c>
      <c r="JL4" s="138">
        <v>40544</v>
      </c>
      <c r="JM4" s="122">
        <v>2000</v>
      </c>
      <c r="JN4" s="164">
        <v>-46.07</v>
      </c>
      <c r="JO4" s="138">
        <v>40544</v>
      </c>
      <c r="JP4" s="122">
        <v>3200</v>
      </c>
      <c r="JQ4" s="164">
        <v>-26.21</v>
      </c>
      <c r="JR4" s="138">
        <v>44706</v>
      </c>
      <c r="JS4" s="122">
        <v>77100</v>
      </c>
      <c r="JT4" s="164">
        <v>-5.34</v>
      </c>
      <c r="JU4" s="138">
        <v>45671</v>
      </c>
      <c r="JV4" s="122">
        <v>500</v>
      </c>
      <c r="JW4" s="164">
        <v>-723.74</v>
      </c>
      <c r="JX4" s="138">
        <v>40544</v>
      </c>
      <c r="JY4" s="122">
        <v>50000</v>
      </c>
      <c r="JZ4" s="164">
        <v>-9.02</v>
      </c>
      <c r="KA4" s="138"/>
      <c r="KB4" s="122"/>
      <c r="KC4" s="164"/>
      <c r="KD4" s="138"/>
      <c r="KE4" s="122"/>
      <c r="KF4" s="164"/>
    </row>
    <row r="5" spans="1:296">
      <c r="A5" s="157">
        <v>2</v>
      </c>
      <c r="B5" s="137">
        <v>45357</v>
      </c>
      <c r="C5" s="122">
        <v>1000</v>
      </c>
      <c r="D5" s="164">
        <v>193.66</v>
      </c>
      <c r="E5" s="137">
        <v>45369</v>
      </c>
      <c r="F5" s="122">
        <v>4000</v>
      </c>
      <c r="G5" s="164">
        <v>11.08</v>
      </c>
      <c r="H5" s="137">
        <v>45442</v>
      </c>
      <c r="I5" s="122">
        <v>100000</v>
      </c>
      <c r="J5" s="164">
        <v>58.6</v>
      </c>
      <c r="K5" s="137">
        <v>45392</v>
      </c>
      <c r="L5" s="122">
        <v>2000</v>
      </c>
      <c r="M5" s="164">
        <v>185.035</v>
      </c>
      <c r="N5" s="137">
        <v>45351</v>
      </c>
      <c r="O5" s="122">
        <v>2275</v>
      </c>
      <c r="P5" s="164">
        <v>-3.3727</v>
      </c>
      <c r="Q5" s="137">
        <v>45453</v>
      </c>
      <c r="R5" s="122">
        <v>490</v>
      </c>
      <c r="S5" s="164">
        <v>954.5</v>
      </c>
      <c r="T5" s="137">
        <v>45363</v>
      </c>
      <c r="U5" s="122">
        <v>100</v>
      </c>
      <c r="V5" s="123">
        <v>128.18799999999999</v>
      </c>
      <c r="W5" s="137">
        <v>45369</v>
      </c>
      <c r="X5" s="122">
        <v>1000</v>
      </c>
      <c r="Y5" s="164">
        <v>66.203000000000003</v>
      </c>
      <c r="Z5" s="137">
        <v>45434</v>
      </c>
      <c r="AA5" s="122">
        <v>5000</v>
      </c>
      <c r="AB5" s="164">
        <v>3.17</v>
      </c>
      <c r="AC5" s="124"/>
      <c r="AD5" s="122"/>
      <c r="AE5" s="164"/>
      <c r="AF5" s="137">
        <v>45369</v>
      </c>
      <c r="AG5" s="122">
        <v>1900</v>
      </c>
      <c r="AH5" s="164">
        <v>-58.930399999999999</v>
      </c>
      <c r="AI5" s="137">
        <v>40544</v>
      </c>
      <c r="AJ5" s="122">
        <v>3000</v>
      </c>
      <c r="AK5" s="164">
        <v>-51.56</v>
      </c>
      <c r="AL5" s="137">
        <v>45369</v>
      </c>
      <c r="AM5" s="122">
        <v>2000</v>
      </c>
      <c r="AN5" s="164">
        <v>-77.38</v>
      </c>
      <c r="AO5" s="137">
        <v>45278</v>
      </c>
      <c r="AP5" s="122">
        <v>5000</v>
      </c>
      <c r="AQ5" s="164">
        <v>6.22</v>
      </c>
      <c r="AR5" s="137">
        <v>45369</v>
      </c>
      <c r="AS5" s="122">
        <v>100</v>
      </c>
      <c r="AT5" s="164">
        <v>114.253</v>
      </c>
      <c r="AU5" s="137">
        <v>40544</v>
      </c>
      <c r="AV5" s="122">
        <v>750</v>
      </c>
      <c r="AW5" s="164">
        <v>-46.17</v>
      </c>
      <c r="AX5" s="137">
        <v>40544</v>
      </c>
      <c r="AY5" s="122">
        <v>750</v>
      </c>
      <c r="AZ5" s="164">
        <v>109.58</v>
      </c>
      <c r="BA5" s="137">
        <v>45453</v>
      </c>
      <c r="BB5" s="122">
        <v>8111</v>
      </c>
      <c r="BC5" s="164">
        <v>-17.396999999999998</v>
      </c>
      <c r="BD5" s="137">
        <v>45258</v>
      </c>
      <c r="BE5" s="122">
        <v>260000</v>
      </c>
      <c r="BF5" s="164">
        <v>11.94</v>
      </c>
      <c r="BG5" s="137">
        <v>45280</v>
      </c>
      <c r="BH5" s="122">
        <v>2313</v>
      </c>
      <c r="BI5" s="164">
        <v>-6.3459000000000003</v>
      </c>
      <c r="BJ5" s="137">
        <v>45387</v>
      </c>
      <c r="BK5" s="122">
        <v>4000</v>
      </c>
      <c r="BL5" s="164">
        <v>-43.55</v>
      </c>
      <c r="BM5" s="137">
        <v>40544</v>
      </c>
      <c r="BN5" s="122">
        <v>2000</v>
      </c>
      <c r="BO5" s="164">
        <v>-15.1884</v>
      </c>
      <c r="BP5" s="137">
        <v>45369</v>
      </c>
      <c r="BQ5" s="122">
        <v>900</v>
      </c>
      <c r="BR5" s="164">
        <v>29.98</v>
      </c>
      <c r="BS5" s="137">
        <v>40544</v>
      </c>
      <c r="BT5" s="122">
        <v>20000</v>
      </c>
      <c r="BU5" s="164">
        <v>-142.5</v>
      </c>
      <c r="BV5" s="137">
        <v>45299</v>
      </c>
      <c r="BW5" s="122">
        <v>4000</v>
      </c>
      <c r="BX5" s="164">
        <v>45.85</v>
      </c>
      <c r="BY5" s="137">
        <v>43992</v>
      </c>
      <c r="BZ5" s="122">
        <v>7724</v>
      </c>
      <c r="CA5" s="164">
        <v>-3.8536000000000001</v>
      </c>
      <c r="CB5" s="137">
        <v>44218</v>
      </c>
      <c r="CC5" s="122">
        <v>2700</v>
      </c>
      <c r="CD5" s="164">
        <v>-1.577</v>
      </c>
      <c r="CE5" s="137">
        <v>45258</v>
      </c>
      <c r="CF5" s="122">
        <v>2000</v>
      </c>
      <c r="CG5" s="164">
        <v>-77.319999999999993</v>
      </c>
      <c r="CH5" s="137">
        <v>40544</v>
      </c>
      <c r="CI5" s="122">
        <v>3000</v>
      </c>
      <c r="CJ5" s="164">
        <v>382.84870000000001</v>
      </c>
      <c r="CK5" s="137">
        <v>45442</v>
      </c>
      <c r="CL5" s="122">
        <v>2200</v>
      </c>
      <c r="CM5" s="164">
        <v>76.87</v>
      </c>
      <c r="CN5" s="137">
        <v>45422</v>
      </c>
      <c r="CO5" s="122">
        <v>2000</v>
      </c>
      <c r="CP5" s="164">
        <v>-40.742199999999997</v>
      </c>
      <c r="CQ5" s="137">
        <v>45357</v>
      </c>
      <c r="CR5" s="555">
        <v>300</v>
      </c>
      <c r="CS5" s="164">
        <v>-601.39</v>
      </c>
      <c r="CT5" s="137">
        <v>45903</v>
      </c>
      <c r="CU5" s="122">
        <v>2500</v>
      </c>
      <c r="CV5" s="164">
        <v>-5.4</v>
      </c>
      <c r="CW5" s="137">
        <v>45483</v>
      </c>
      <c r="CX5" s="122">
        <v>3000</v>
      </c>
      <c r="CY5" s="164">
        <v>-22.606200000000001</v>
      </c>
      <c r="CZ5" s="137">
        <v>40544</v>
      </c>
      <c r="DA5" s="122">
        <v>5000</v>
      </c>
      <c r="DB5" s="164">
        <v>-8.3399000000000001</v>
      </c>
      <c r="DC5" s="137">
        <v>45516</v>
      </c>
      <c r="DD5" s="122">
        <v>5000</v>
      </c>
      <c r="DE5" s="164">
        <v>-3.5411999999999999</v>
      </c>
      <c r="DF5" s="137">
        <v>40544</v>
      </c>
      <c r="DG5" s="122">
        <v>3000</v>
      </c>
      <c r="DH5" s="164">
        <v>0.54310000000000003</v>
      </c>
      <c r="DI5" s="137">
        <v>40544</v>
      </c>
      <c r="DJ5" s="122">
        <v>2300</v>
      </c>
      <c r="DK5" s="164">
        <v>-13</v>
      </c>
      <c r="DL5" s="137">
        <v>45335</v>
      </c>
      <c r="DM5" s="122">
        <v>5000</v>
      </c>
      <c r="DN5" s="164">
        <v>-32.796799999999998</v>
      </c>
      <c r="DO5" s="1269">
        <v>43950</v>
      </c>
      <c r="DP5" s="122">
        <v>1300</v>
      </c>
      <c r="DQ5" s="164">
        <v>107.8</v>
      </c>
      <c r="DR5" s="137">
        <v>45377</v>
      </c>
      <c r="DS5" s="122">
        <v>5000</v>
      </c>
      <c r="DT5" s="164">
        <v>22.6</v>
      </c>
      <c r="DU5" s="137">
        <v>45369</v>
      </c>
      <c r="DV5" s="122">
        <v>2000</v>
      </c>
      <c r="DW5" s="164">
        <v>11.5916</v>
      </c>
      <c r="DX5" s="137">
        <v>45439</v>
      </c>
      <c r="DY5" s="122">
        <v>490</v>
      </c>
      <c r="DZ5" s="164">
        <v>176.54</v>
      </c>
      <c r="EA5" s="137">
        <v>45369</v>
      </c>
      <c r="EB5" s="122">
        <v>1000</v>
      </c>
      <c r="EC5" s="164">
        <v>134.16</v>
      </c>
      <c r="ED5" s="137">
        <v>40544</v>
      </c>
      <c r="EE5" s="122">
        <v>1300</v>
      </c>
      <c r="EF5" s="164">
        <v>-57.761699999999998</v>
      </c>
      <c r="EG5" s="137"/>
      <c r="EH5" s="122"/>
      <c r="EI5" s="164"/>
      <c r="EJ5" s="137">
        <v>45363</v>
      </c>
      <c r="EK5" s="122">
        <v>100</v>
      </c>
      <c r="EL5" s="123">
        <v>128.18799999999999</v>
      </c>
      <c r="EM5" s="137">
        <v>40544</v>
      </c>
      <c r="EN5" s="122">
        <v>8000</v>
      </c>
      <c r="EO5" s="164">
        <v>24.09</v>
      </c>
      <c r="EP5" s="137">
        <v>45343</v>
      </c>
      <c r="EQ5" s="122">
        <v>2000</v>
      </c>
      <c r="ER5" s="164">
        <v>53.5</v>
      </c>
      <c r="ES5" s="137">
        <v>45485</v>
      </c>
      <c r="ET5" s="122">
        <v>10000</v>
      </c>
      <c r="EU5" s="164">
        <v>-11.33</v>
      </c>
      <c r="EV5" s="137">
        <v>45376</v>
      </c>
      <c r="EW5" s="122">
        <v>750</v>
      </c>
      <c r="EX5" s="123">
        <v>-20.667000000000002</v>
      </c>
      <c r="EY5" s="137">
        <v>45344</v>
      </c>
      <c r="EZ5" s="122">
        <v>190</v>
      </c>
      <c r="FA5" s="164">
        <v>104.12</v>
      </c>
      <c r="FB5" s="137">
        <v>45376</v>
      </c>
      <c r="FC5" s="122">
        <v>1200</v>
      </c>
      <c r="FD5" s="164">
        <v>-10.897</v>
      </c>
      <c r="FE5" s="303">
        <v>40561</v>
      </c>
      <c r="FF5" s="122">
        <v>14969</v>
      </c>
      <c r="FG5" s="164">
        <v>-4.3852000000000002</v>
      </c>
      <c r="FH5" s="137">
        <v>45296</v>
      </c>
      <c r="FI5" s="122">
        <v>10000</v>
      </c>
      <c r="FJ5" s="164">
        <v>5.81</v>
      </c>
      <c r="FK5" s="137">
        <v>40544</v>
      </c>
      <c r="FL5" s="122">
        <v>2000</v>
      </c>
      <c r="FM5" s="164">
        <v>-43.025399999999998</v>
      </c>
      <c r="FN5" s="137">
        <v>45506</v>
      </c>
      <c r="FO5" s="122">
        <v>20000</v>
      </c>
      <c r="FP5" s="164">
        <v>11.192500000000001</v>
      </c>
      <c r="FQ5" s="137">
        <v>45397</v>
      </c>
      <c r="FR5" s="122">
        <v>6000</v>
      </c>
      <c r="FS5" s="164">
        <v>-15.667999999999999</v>
      </c>
      <c r="FT5" s="137">
        <v>45680</v>
      </c>
      <c r="FU5" s="122">
        <v>10000</v>
      </c>
      <c r="FV5" s="164">
        <v>-1.72</v>
      </c>
      <c r="FW5" s="137">
        <v>45328</v>
      </c>
      <c r="FX5" s="122">
        <v>2000</v>
      </c>
      <c r="FY5" s="164">
        <v>-23.254999999999999</v>
      </c>
      <c r="FZ5" s="137">
        <v>40544</v>
      </c>
      <c r="GA5" s="122">
        <v>5300</v>
      </c>
      <c r="GB5" s="164">
        <v>-10.64</v>
      </c>
      <c r="GC5" s="137">
        <v>45230</v>
      </c>
      <c r="GD5" s="122">
        <v>10000</v>
      </c>
      <c r="GE5" s="164">
        <v>36.92</v>
      </c>
      <c r="GF5" s="137">
        <v>45315</v>
      </c>
      <c r="GG5" s="122">
        <v>500</v>
      </c>
      <c r="GH5" s="164">
        <v>160.04</v>
      </c>
      <c r="GI5" s="137">
        <v>45504</v>
      </c>
      <c r="GJ5" s="122">
        <v>955</v>
      </c>
      <c r="GK5" s="164">
        <v>-43.317</v>
      </c>
      <c r="GL5" s="646">
        <v>45377</v>
      </c>
      <c r="GM5" s="122">
        <v>400</v>
      </c>
      <c r="GN5" s="164">
        <v>170.71</v>
      </c>
      <c r="GO5" s="137">
        <v>45348</v>
      </c>
      <c r="GP5" s="122">
        <v>1000</v>
      </c>
      <c r="GQ5" s="164">
        <v>175.36</v>
      </c>
      <c r="GR5" s="137">
        <v>44852</v>
      </c>
      <c r="GS5" s="122">
        <v>140</v>
      </c>
      <c r="GT5" s="164">
        <v>-407.17</v>
      </c>
      <c r="GU5" s="137">
        <v>45350</v>
      </c>
      <c r="GV5" s="122">
        <v>10000</v>
      </c>
      <c r="GW5" s="164">
        <v>-4.12</v>
      </c>
      <c r="GX5" s="137">
        <v>45350</v>
      </c>
      <c r="GY5" s="122">
        <v>1500</v>
      </c>
      <c r="GZ5" s="164">
        <v>110.83</v>
      </c>
      <c r="HA5" s="137">
        <v>44852</v>
      </c>
      <c r="HB5" s="122">
        <v>2100</v>
      </c>
      <c r="HC5" s="164">
        <v>-34.78</v>
      </c>
      <c r="HD5" s="137">
        <v>45387</v>
      </c>
      <c r="HE5" s="122">
        <v>100000</v>
      </c>
      <c r="HF5" s="164">
        <v>172.5</v>
      </c>
      <c r="HG5" s="137">
        <v>45287</v>
      </c>
      <c r="HH5" s="122">
        <v>1000</v>
      </c>
      <c r="HI5" s="164">
        <v>-100.25</v>
      </c>
      <c r="HJ5" s="137">
        <v>40544</v>
      </c>
      <c r="HK5" s="122">
        <v>30000</v>
      </c>
      <c r="HL5" s="164">
        <v>-3.4309850000000002</v>
      </c>
      <c r="HM5" s="137">
        <v>45328</v>
      </c>
      <c r="HN5" s="122">
        <v>7000</v>
      </c>
      <c r="HO5" s="164">
        <v>14.5001</v>
      </c>
      <c r="HP5" s="137">
        <v>40544</v>
      </c>
      <c r="HQ5" s="122">
        <v>9440</v>
      </c>
      <c r="HR5" s="164">
        <v>569</v>
      </c>
      <c r="HS5" s="137">
        <v>45377</v>
      </c>
      <c r="HT5" s="122">
        <v>6000</v>
      </c>
      <c r="HU5" s="164">
        <v>-12.53</v>
      </c>
      <c r="HV5" s="137">
        <v>44420</v>
      </c>
      <c r="HW5" s="122">
        <v>2500</v>
      </c>
      <c r="HX5" s="164">
        <v>27.234999999999999</v>
      </c>
      <c r="HY5" s="137">
        <v>44815</v>
      </c>
      <c r="HZ5" s="122">
        <v>500</v>
      </c>
      <c r="IA5" s="164">
        <v>-101.51</v>
      </c>
      <c r="IB5" s="137">
        <v>45386</v>
      </c>
      <c r="IC5" s="122">
        <v>300</v>
      </c>
      <c r="ID5" s="164">
        <v>377.07</v>
      </c>
      <c r="IE5" s="137">
        <v>45455</v>
      </c>
      <c r="IF5" s="122">
        <v>518</v>
      </c>
      <c r="IG5" s="164">
        <v>-42.94</v>
      </c>
      <c r="IH5" s="137">
        <v>45315</v>
      </c>
      <c r="II5" s="122">
        <v>2900</v>
      </c>
      <c r="IJ5" s="164">
        <v>-30.94</v>
      </c>
      <c r="IK5" s="137">
        <v>44459</v>
      </c>
      <c r="IL5" s="122">
        <v>150</v>
      </c>
      <c r="IM5" s="164">
        <v>-339.65</v>
      </c>
      <c r="IN5" s="137">
        <v>45362</v>
      </c>
      <c r="IO5" s="122">
        <v>7000</v>
      </c>
      <c r="IP5" s="164">
        <v>-5.3399000000000001</v>
      </c>
      <c r="IQ5" s="137">
        <v>45294</v>
      </c>
      <c r="IR5" s="122">
        <v>190</v>
      </c>
      <c r="IS5" s="164">
        <v>96.18</v>
      </c>
      <c r="IT5" s="137">
        <v>45427</v>
      </c>
      <c r="IU5" s="122">
        <v>4000</v>
      </c>
      <c r="IV5" s="164">
        <v>-10.71</v>
      </c>
      <c r="IW5" s="137">
        <v>36547</v>
      </c>
      <c r="IX5" s="122">
        <v>600</v>
      </c>
      <c r="IY5" s="164">
        <v>60.5</v>
      </c>
      <c r="IZ5" s="137">
        <v>45378</v>
      </c>
      <c r="JA5" s="122">
        <v>800</v>
      </c>
      <c r="JB5" s="164">
        <v>27.78</v>
      </c>
      <c r="JC5" s="137">
        <v>45350</v>
      </c>
      <c r="JD5" s="122">
        <v>6000</v>
      </c>
      <c r="JE5" s="164">
        <v>4.78</v>
      </c>
      <c r="JF5" s="137">
        <v>40544</v>
      </c>
      <c r="JG5" s="122">
        <v>2500</v>
      </c>
      <c r="JH5" s="164">
        <v>30.4</v>
      </c>
      <c r="JI5" s="137">
        <v>44459</v>
      </c>
      <c r="JJ5" s="122">
        <v>200</v>
      </c>
      <c r="JK5" s="164">
        <v>-248.79</v>
      </c>
      <c r="JL5" s="137">
        <v>40544</v>
      </c>
      <c r="JM5" s="122">
        <v>1150</v>
      </c>
      <c r="JN5" s="164">
        <v>80.45</v>
      </c>
      <c r="JO5" s="137">
        <v>40544</v>
      </c>
      <c r="JP5" s="122">
        <v>1200</v>
      </c>
      <c r="JQ5" s="164">
        <v>45.48</v>
      </c>
      <c r="JR5" s="137"/>
      <c r="JS5" s="122"/>
      <c r="JT5" s="164"/>
      <c r="JU5" s="137">
        <v>45929</v>
      </c>
      <c r="JV5" s="122">
        <v>300</v>
      </c>
      <c r="JW5" s="164">
        <v>828.2</v>
      </c>
      <c r="JX5" s="137">
        <v>45436</v>
      </c>
      <c r="JY5" s="122">
        <v>20000</v>
      </c>
      <c r="JZ5" s="164">
        <v>12.320458</v>
      </c>
      <c r="KA5" s="137"/>
      <c r="KB5" s="122"/>
      <c r="KC5" s="164"/>
      <c r="KD5" s="137"/>
      <c r="KE5" s="122"/>
      <c r="KF5" s="164"/>
    </row>
    <row r="6" spans="1:296">
      <c r="A6" s="156">
        <v>3</v>
      </c>
      <c r="B6" s="138">
        <v>45418</v>
      </c>
      <c r="C6" s="122">
        <v>500</v>
      </c>
      <c r="D6" s="164">
        <v>196.13</v>
      </c>
      <c r="E6" s="138">
        <v>45379</v>
      </c>
      <c r="F6" s="122">
        <v>3000</v>
      </c>
      <c r="G6" s="164">
        <v>10.975</v>
      </c>
      <c r="H6" s="138">
        <v>45459</v>
      </c>
      <c r="I6" s="122">
        <v>100000</v>
      </c>
      <c r="J6" s="164">
        <v>-53.54</v>
      </c>
      <c r="K6" s="138">
        <v>45412</v>
      </c>
      <c r="L6" s="122">
        <v>2000</v>
      </c>
      <c r="M6" s="164">
        <v>-179.7175</v>
      </c>
      <c r="N6" s="138">
        <v>45622</v>
      </c>
      <c r="O6" s="122">
        <v>19675</v>
      </c>
      <c r="P6" s="164">
        <v>-1</v>
      </c>
      <c r="Q6" s="138">
        <v>45468</v>
      </c>
      <c r="R6" s="122">
        <v>500</v>
      </c>
      <c r="S6" s="164">
        <v>-945</v>
      </c>
      <c r="T6" s="138">
        <v>45469</v>
      </c>
      <c r="U6" s="122">
        <v>80</v>
      </c>
      <c r="V6" s="125">
        <v>158.75970000000001</v>
      </c>
      <c r="W6" s="138">
        <v>45456</v>
      </c>
      <c r="X6" s="122">
        <v>800</v>
      </c>
      <c r="Y6" s="164">
        <v>79.17</v>
      </c>
      <c r="Z6" s="138">
        <v>45453</v>
      </c>
      <c r="AA6" s="122">
        <v>4990</v>
      </c>
      <c r="AB6" s="164">
        <v>2.7614999999999998</v>
      </c>
      <c r="AC6" s="124"/>
      <c r="AD6" s="122"/>
      <c r="AE6" s="164"/>
      <c r="AF6" s="138">
        <v>45376</v>
      </c>
      <c r="AG6" s="122">
        <v>1000</v>
      </c>
      <c r="AH6" s="164">
        <v>60.83</v>
      </c>
      <c r="AI6" s="138">
        <v>45485</v>
      </c>
      <c r="AJ6" s="122">
        <v>3000</v>
      </c>
      <c r="AK6" s="164">
        <v>-47.542400000000001</v>
      </c>
      <c r="AL6" s="138">
        <v>45390</v>
      </c>
      <c r="AM6" s="122">
        <v>1000</v>
      </c>
      <c r="AN6" s="164">
        <v>74.319999999999993</v>
      </c>
      <c r="AO6" s="138">
        <v>45337</v>
      </c>
      <c r="AP6" s="122">
        <v>5000</v>
      </c>
      <c r="AQ6" s="164">
        <v>-5.5998999999999999</v>
      </c>
      <c r="AR6" s="138">
        <v>45379</v>
      </c>
      <c r="AS6" s="122">
        <v>250</v>
      </c>
      <c r="AT6" s="164">
        <v>122.535</v>
      </c>
      <c r="AU6" s="138">
        <v>40544</v>
      </c>
      <c r="AV6" s="122">
        <v>800</v>
      </c>
      <c r="AW6" s="164">
        <v>42.2</v>
      </c>
      <c r="AX6" s="138">
        <v>45357</v>
      </c>
      <c r="AY6" s="122">
        <v>300</v>
      </c>
      <c r="AZ6" s="164">
        <v>-146.51</v>
      </c>
      <c r="BA6" s="138">
        <v>45456</v>
      </c>
      <c r="BB6" s="122">
        <v>4000</v>
      </c>
      <c r="BC6" s="164">
        <v>18.793299999999999</v>
      </c>
      <c r="BD6" s="138">
        <v>45267</v>
      </c>
      <c r="BE6" s="122">
        <v>10000</v>
      </c>
      <c r="BF6" s="164">
        <v>12.42</v>
      </c>
      <c r="BG6" s="138">
        <v>45292</v>
      </c>
      <c r="BH6" s="122">
        <v>13000</v>
      </c>
      <c r="BI6" s="164">
        <v>8.6133000000000006</v>
      </c>
      <c r="BJ6" s="138">
        <v>45390</v>
      </c>
      <c r="BK6" s="122">
        <v>4000</v>
      </c>
      <c r="BL6" s="164">
        <v>44.47</v>
      </c>
      <c r="BM6" s="138">
        <v>40544</v>
      </c>
      <c r="BN6" s="122">
        <v>4000</v>
      </c>
      <c r="BO6" s="164">
        <v>15.121700000000001</v>
      </c>
      <c r="BP6" s="138">
        <v>45392</v>
      </c>
      <c r="BQ6" s="122">
        <v>900</v>
      </c>
      <c r="BR6" s="164">
        <v>-29.266999999999999</v>
      </c>
      <c r="BS6" s="138">
        <v>45344</v>
      </c>
      <c r="BT6" s="122">
        <v>20000</v>
      </c>
      <c r="BU6" s="164">
        <v>153.9</v>
      </c>
      <c r="BV6" s="138">
        <v>45366</v>
      </c>
      <c r="BW6" s="122">
        <v>1000</v>
      </c>
      <c r="BX6" s="164">
        <v>-56.216999999999999</v>
      </c>
      <c r="BY6" s="138">
        <v>45458</v>
      </c>
      <c r="BZ6" s="122">
        <v>5000</v>
      </c>
      <c r="CA6" s="164">
        <v>4.5212000000000003</v>
      </c>
      <c r="CB6" s="138">
        <v>45329</v>
      </c>
      <c r="CC6" s="122">
        <v>5300</v>
      </c>
      <c r="CD6" s="164">
        <v>-1.08</v>
      </c>
      <c r="CE6" s="138">
        <v>45628</v>
      </c>
      <c r="CF6" s="122">
        <v>1500</v>
      </c>
      <c r="CG6" s="164">
        <v>88.24</v>
      </c>
      <c r="CH6" s="138">
        <v>45357</v>
      </c>
      <c r="CI6" s="122">
        <v>300</v>
      </c>
      <c r="CJ6" s="164">
        <v>-403.05</v>
      </c>
      <c r="CK6" s="138">
        <v>45461</v>
      </c>
      <c r="CL6" s="122">
        <v>1000</v>
      </c>
      <c r="CM6" s="164">
        <v>69.83</v>
      </c>
      <c r="CN6" s="138">
        <v>45442</v>
      </c>
      <c r="CO6" s="122">
        <v>7000</v>
      </c>
      <c r="CP6" s="164">
        <v>41.96</v>
      </c>
      <c r="CQ6" s="138">
        <v>45365</v>
      </c>
      <c r="CR6" s="555">
        <v>300</v>
      </c>
      <c r="CS6" s="164">
        <v>612.22</v>
      </c>
      <c r="CT6" s="138"/>
      <c r="CU6" s="122"/>
      <c r="CV6" s="164"/>
      <c r="CW6" s="138">
        <v>45489</v>
      </c>
      <c r="CX6" s="122">
        <v>3000</v>
      </c>
      <c r="CY6" s="164">
        <v>24.1203</v>
      </c>
      <c r="CZ6" s="138">
        <v>45349</v>
      </c>
      <c r="DA6" s="122">
        <v>5000</v>
      </c>
      <c r="DB6" s="164">
        <v>8.4839000000000002</v>
      </c>
      <c r="DC6" s="138">
        <v>45553</v>
      </c>
      <c r="DD6" s="122">
        <v>5000</v>
      </c>
      <c r="DE6" s="164">
        <v>4.1676000000000002</v>
      </c>
      <c r="DF6" s="138">
        <v>45417</v>
      </c>
      <c r="DG6" s="122">
        <v>10000</v>
      </c>
      <c r="DH6" s="164">
        <v>-0.93940000000000001</v>
      </c>
      <c r="DI6" s="138">
        <v>45349</v>
      </c>
      <c r="DJ6" s="122">
        <v>1300</v>
      </c>
      <c r="DK6" s="164">
        <v>14.5</v>
      </c>
      <c r="DL6" s="138">
        <v>45408</v>
      </c>
      <c r="DM6" s="122">
        <v>15000</v>
      </c>
      <c r="DN6" s="164">
        <v>32.270000000000003</v>
      </c>
      <c r="DO6" s="138">
        <v>43980</v>
      </c>
      <c r="DP6" s="122">
        <v>200</v>
      </c>
      <c r="DQ6" s="164">
        <v>113.02</v>
      </c>
      <c r="DR6" s="138">
        <v>45757</v>
      </c>
      <c r="DS6" s="122">
        <v>1000</v>
      </c>
      <c r="DT6" s="164">
        <v>21.021000000000001</v>
      </c>
      <c r="DU6" s="138">
        <v>45412</v>
      </c>
      <c r="DV6" s="122">
        <v>2000</v>
      </c>
      <c r="DW6" s="164">
        <v>-10.013299999999999</v>
      </c>
      <c r="DX6" s="138">
        <v>45491</v>
      </c>
      <c r="DY6" s="122">
        <v>10</v>
      </c>
      <c r="DZ6" s="164">
        <v>253.83</v>
      </c>
      <c r="EA6" s="138">
        <v>45474</v>
      </c>
      <c r="EB6" s="122">
        <v>1000</v>
      </c>
      <c r="EC6" s="164">
        <v>172.97049999999999</v>
      </c>
      <c r="ED6" s="138">
        <v>45349</v>
      </c>
      <c r="EE6" s="122">
        <v>1300</v>
      </c>
      <c r="EF6" s="164">
        <v>59.706699999999998</v>
      </c>
      <c r="EG6" s="138"/>
      <c r="EH6" s="122"/>
      <c r="EI6" s="164"/>
      <c r="EJ6" s="138">
        <v>45469</v>
      </c>
      <c r="EK6" s="122">
        <v>80</v>
      </c>
      <c r="EL6" s="125">
        <v>158.75970000000001</v>
      </c>
      <c r="EM6" s="138">
        <v>40544</v>
      </c>
      <c r="EN6" s="122">
        <v>8000</v>
      </c>
      <c r="EO6" s="164">
        <v>-23.349799999999998</v>
      </c>
      <c r="EP6" s="138">
        <v>45369</v>
      </c>
      <c r="EQ6" s="122">
        <v>2000</v>
      </c>
      <c r="ER6" s="164">
        <v>-52.9</v>
      </c>
      <c r="ES6" s="138">
        <v>45497</v>
      </c>
      <c r="ET6" s="122">
        <v>10000</v>
      </c>
      <c r="EU6" s="164">
        <v>11.69</v>
      </c>
      <c r="EV6" s="138">
        <v>45379</v>
      </c>
      <c r="EW6" s="122">
        <v>750</v>
      </c>
      <c r="EX6" s="125">
        <v>21.31</v>
      </c>
      <c r="EY6" s="138">
        <v>45392</v>
      </c>
      <c r="EZ6" s="122">
        <v>200</v>
      </c>
      <c r="FA6" s="164">
        <v>-121.512</v>
      </c>
      <c r="FB6" s="138">
        <v>45379</v>
      </c>
      <c r="FC6" s="122">
        <v>1200</v>
      </c>
      <c r="FD6" s="164">
        <v>11.92</v>
      </c>
      <c r="FE6" s="138">
        <v>45355</v>
      </c>
      <c r="FF6" s="122">
        <v>5000</v>
      </c>
      <c r="FG6" s="164">
        <v>-3.41</v>
      </c>
      <c r="FH6" s="138">
        <v>45317</v>
      </c>
      <c r="FI6" s="122">
        <v>5000</v>
      </c>
      <c r="FJ6" s="164">
        <v>-5.1596000000000002</v>
      </c>
      <c r="FK6" s="138">
        <v>45349</v>
      </c>
      <c r="FL6" s="122">
        <v>2000</v>
      </c>
      <c r="FM6" s="164">
        <v>-42.802500000000002</v>
      </c>
      <c r="FN6" s="138">
        <v>45569</v>
      </c>
      <c r="FO6" s="122">
        <v>30000</v>
      </c>
      <c r="FP6" s="164">
        <v>-10.664999999999999</v>
      </c>
      <c r="FQ6" s="138">
        <v>45462</v>
      </c>
      <c r="FR6" s="122">
        <v>4000</v>
      </c>
      <c r="FS6" s="164">
        <v>-13.9285</v>
      </c>
      <c r="FT6" s="138"/>
      <c r="FU6" s="122"/>
      <c r="FV6" s="164"/>
      <c r="FW6" s="138">
        <v>45366</v>
      </c>
      <c r="FX6" s="122">
        <v>2000</v>
      </c>
      <c r="FY6" s="164">
        <v>23.865500000000001</v>
      </c>
      <c r="FZ6" s="138">
        <v>40544</v>
      </c>
      <c r="GA6" s="122">
        <v>7700</v>
      </c>
      <c r="GB6" s="164">
        <v>-10.614699999999999</v>
      </c>
      <c r="GC6" s="138">
        <v>45239</v>
      </c>
      <c r="GD6" s="122">
        <v>10000</v>
      </c>
      <c r="GE6" s="164">
        <v>-35.868200000000002</v>
      </c>
      <c r="GF6" s="138">
        <v>45324</v>
      </c>
      <c r="GG6" s="122">
        <v>400</v>
      </c>
      <c r="GH6" s="164">
        <v>165.18</v>
      </c>
      <c r="GI6" s="138">
        <v>45567</v>
      </c>
      <c r="GJ6" s="122">
        <v>500</v>
      </c>
      <c r="GK6" s="164">
        <v>54.35</v>
      </c>
      <c r="GL6" s="645">
        <v>45427</v>
      </c>
      <c r="GM6" s="122">
        <v>300</v>
      </c>
      <c r="GN6" s="164">
        <v>-189.95</v>
      </c>
      <c r="GO6" s="138">
        <v>45349</v>
      </c>
      <c r="GP6" s="122">
        <v>1000</v>
      </c>
      <c r="GQ6" s="164">
        <v>-174.22</v>
      </c>
      <c r="GR6" s="138">
        <v>45330</v>
      </c>
      <c r="GS6" s="122">
        <v>200</v>
      </c>
      <c r="GT6" s="164">
        <v>846.94</v>
      </c>
      <c r="GU6" s="138">
        <v>45351</v>
      </c>
      <c r="GV6" s="122">
        <v>9150</v>
      </c>
      <c r="GW6" s="164">
        <v>-4.13</v>
      </c>
      <c r="GX6" s="138">
        <v>45372</v>
      </c>
      <c r="GY6" s="122">
        <v>710</v>
      </c>
      <c r="GZ6" s="164">
        <v>-116.3</v>
      </c>
      <c r="HA6" s="138">
        <v>44845</v>
      </c>
      <c r="HB6" s="122">
        <v>3000</v>
      </c>
      <c r="HC6" s="164">
        <v>40.11</v>
      </c>
      <c r="HD6" s="138">
        <v>45471</v>
      </c>
      <c r="HE6" s="122">
        <v>100000</v>
      </c>
      <c r="HF6" s="164">
        <v>-162.6</v>
      </c>
      <c r="HG6" s="138">
        <v>45351</v>
      </c>
      <c r="HH6" s="122">
        <v>1500</v>
      </c>
      <c r="HI6" s="164">
        <v>-93.15</v>
      </c>
      <c r="HJ6" s="138">
        <v>45351</v>
      </c>
      <c r="HK6" s="122">
        <v>40000</v>
      </c>
      <c r="HL6" s="164">
        <v>-3.15</v>
      </c>
      <c r="HM6" s="138">
        <v>45348</v>
      </c>
      <c r="HN6" s="122">
        <v>7000</v>
      </c>
      <c r="HO6" s="164">
        <v>-14.17</v>
      </c>
      <c r="HP6" s="138">
        <v>45345</v>
      </c>
      <c r="HQ6" s="122">
        <v>9000</v>
      </c>
      <c r="HR6" s="164">
        <v>544.9</v>
      </c>
      <c r="HS6" s="138">
        <v>45379</v>
      </c>
      <c r="HT6" s="122">
        <v>6000</v>
      </c>
      <c r="HU6" s="164">
        <v>13.26</v>
      </c>
      <c r="HV6" s="138">
        <v>45302</v>
      </c>
      <c r="HW6" s="122">
        <v>2000</v>
      </c>
      <c r="HX6" s="164">
        <v>24.7</v>
      </c>
      <c r="HY6" s="138">
        <v>44845</v>
      </c>
      <c r="HZ6" s="122">
        <v>500</v>
      </c>
      <c r="IA6" s="164">
        <v>108.67</v>
      </c>
      <c r="IB6" s="138">
        <v>45416</v>
      </c>
      <c r="IC6" s="122">
        <v>290</v>
      </c>
      <c r="ID6" s="164">
        <v>-415.02</v>
      </c>
      <c r="IE6" s="138">
        <v>45679</v>
      </c>
      <c r="IF6" s="122">
        <v>9647</v>
      </c>
      <c r="IG6" s="164">
        <v>-6.44</v>
      </c>
      <c r="IH6" s="138">
        <v>45336</v>
      </c>
      <c r="II6" s="122">
        <v>3000</v>
      </c>
      <c r="IJ6" s="164">
        <v>33.200000000000003</v>
      </c>
      <c r="IK6" s="138">
        <v>45622</v>
      </c>
      <c r="IL6" s="122">
        <v>215</v>
      </c>
      <c r="IM6" s="164">
        <v>-323.02</v>
      </c>
      <c r="IN6" s="138">
        <v>45443</v>
      </c>
      <c r="IO6" s="122">
        <v>2700</v>
      </c>
      <c r="IP6" s="164">
        <v>14.95</v>
      </c>
      <c r="IQ6" s="138">
        <v>45427</v>
      </c>
      <c r="IR6" s="122">
        <v>1000</v>
      </c>
      <c r="IS6" s="164">
        <v>-103.01</v>
      </c>
      <c r="IT6" s="138">
        <v>45464</v>
      </c>
      <c r="IU6" s="122">
        <v>8300</v>
      </c>
      <c r="IV6" s="164">
        <v>-9.5960000000000001</v>
      </c>
      <c r="IW6" s="138">
        <v>45366</v>
      </c>
      <c r="IX6" s="122">
        <v>1000</v>
      </c>
      <c r="IY6" s="164">
        <v>-62.34</v>
      </c>
      <c r="IZ6" s="138">
        <v>45407</v>
      </c>
      <c r="JA6" s="122">
        <v>3500</v>
      </c>
      <c r="JB6" s="164">
        <v>-25.38</v>
      </c>
      <c r="JC6" s="138">
        <v>45379</v>
      </c>
      <c r="JD6" s="122">
        <v>1000</v>
      </c>
      <c r="JE6" s="164">
        <v>-6.31</v>
      </c>
      <c r="JF6" s="138">
        <v>45456</v>
      </c>
      <c r="JG6" s="122">
        <v>190</v>
      </c>
      <c r="JH6" s="164">
        <v>36.28</v>
      </c>
      <c r="JI6" s="138">
        <v>44648</v>
      </c>
      <c r="JJ6" s="122">
        <v>750</v>
      </c>
      <c r="JK6" s="164">
        <v>-133.77000000000001</v>
      </c>
      <c r="JL6" s="138">
        <v>45350</v>
      </c>
      <c r="JM6" s="122">
        <v>500</v>
      </c>
      <c r="JN6" s="164">
        <v>89.44</v>
      </c>
      <c r="JO6" s="138">
        <v>45366</v>
      </c>
      <c r="JP6" s="122">
        <v>1200</v>
      </c>
      <c r="JQ6" s="164">
        <v>-38.520000000000003</v>
      </c>
      <c r="JR6" s="138"/>
      <c r="JS6" s="122"/>
      <c r="JT6" s="164"/>
      <c r="JU6" s="138"/>
      <c r="JV6" s="122"/>
      <c r="JW6" s="164"/>
      <c r="JX6" s="138">
        <v>45504</v>
      </c>
      <c r="JY6" s="122">
        <v>10000</v>
      </c>
      <c r="JZ6" s="164">
        <v>13.01</v>
      </c>
      <c r="KA6" s="138"/>
      <c r="KB6" s="122"/>
      <c r="KC6" s="164"/>
      <c r="KD6" s="138"/>
      <c r="KE6" s="122"/>
      <c r="KF6" s="164"/>
    </row>
    <row r="7" spans="1:296">
      <c r="A7" s="157">
        <v>4</v>
      </c>
      <c r="B7" s="124">
        <v>45463</v>
      </c>
      <c r="C7" s="122">
        <v>1000</v>
      </c>
      <c r="D7" s="164">
        <v>211.99600000000001</v>
      </c>
      <c r="E7" s="124">
        <v>45412</v>
      </c>
      <c r="F7" s="122">
        <v>3000</v>
      </c>
      <c r="G7" s="164">
        <v>-10.103199999999999</v>
      </c>
      <c r="H7" s="124">
        <v>45461</v>
      </c>
      <c r="I7" s="122">
        <v>100000</v>
      </c>
      <c r="J7" s="164">
        <v>54.2</v>
      </c>
      <c r="K7" s="124">
        <v>45418</v>
      </c>
      <c r="L7" s="122">
        <v>1000</v>
      </c>
      <c r="M7" s="164">
        <v>-185.68</v>
      </c>
      <c r="N7" s="289">
        <v>45700</v>
      </c>
      <c r="O7" s="122">
        <v>10000</v>
      </c>
      <c r="P7" s="164">
        <v>-1.1499999999999999</v>
      </c>
      <c r="Q7" s="124">
        <v>45476</v>
      </c>
      <c r="R7" s="122">
        <v>510</v>
      </c>
      <c r="S7" s="164">
        <v>982.8</v>
      </c>
      <c r="T7" s="124">
        <v>45643</v>
      </c>
      <c r="U7" s="122">
        <v>40</v>
      </c>
      <c r="V7" s="123">
        <v>-234.57</v>
      </c>
      <c r="W7" s="124">
        <v>45489</v>
      </c>
      <c r="X7" s="122">
        <v>800</v>
      </c>
      <c r="Y7" s="164">
        <v>-78.287000000000006</v>
      </c>
      <c r="Z7" s="124">
        <v>45461</v>
      </c>
      <c r="AA7" s="122">
        <v>1000</v>
      </c>
      <c r="AB7" s="164">
        <v>-2.7450000000000001</v>
      </c>
      <c r="AC7" s="124"/>
      <c r="AD7" s="122"/>
      <c r="AE7" s="164"/>
      <c r="AF7" s="124">
        <v>45419</v>
      </c>
      <c r="AG7" s="122">
        <v>500</v>
      </c>
      <c r="AH7" s="164">
        <v>64.06</v>
      </c>
      <c r="AI7" s="124">
        <v>45502</v>
      </c>
      <c r="AJ7" s="122">
        <v>3000</v>
      </c>
      <c r="AK7" s="164">
        <v>47.86</v>
      </c>
      <c r="AL7" s="124">
        <v>45433</v>
      </c>
      <c r="AM7" s="122">
        <v>1000</v>
      </c>
      <c r="AN7" s="164">
        <v>57.45</v>
      </c>
      <c r="AO7" s="124">
        <v>45349</v>
      </c>
      <c r="AP7" s="122">
        <v>10000</v>
      </c>
      <c r="AQ7" s="164">
        <v>-3.9268000000000001</v>
      </c>
      <c r="AR7" s="124">
        <v>45408</v>
      </c>
      <c r="AS7" s="122">
        <v>10</v>
      </c>
      <c r="AT7" s="164">
        <v>-112.35</v>
      </c>
      <c r="AU7" s="124">
        <v>45379</v>
      </c>
      <c r="AV7" s="122">
        <v>800</v>
      </c>
      <c r="AW7" s="164">
        <v>-41.1158</v>
      </c>
      <c r="AX7" s="124">
        <v>45485</v>
      </c>
      <c r="AY7" s="122">
        <v>450</v>
      </c>
      <c r="AZ7" s="164">
        <v>-143.98099999999999</v>
      </c>
      <c r="BA7" s="124">
        <v>45463</v>
      </c>
      <c r="BB7" s="122">
        <v>4000</v>
      </c>
      <c r="BC7" s="164">
        <v>-18.567499999999999</v>
      </c>
      <c r="BD7" s="124">
        <v>45307</v>
      </c>
      <c r="BE7" s="122">
        <v>10000</v>
      </c>
      <c r="BF7" s="164">
        <v>12.57</v>
      </c>
      <c r="BG7" s="124">
        <v>45336</v>
      </c>
      <c r="BH7" s="122">
        <v>5000</v>
      </c>
      <c r="BI7" s="164">
        <v>9.7461000000000002</v>
      </c>
      <c r="BJ7" s="124">
        <v>45419</v>
      </c>
      <c r="BK7" s="122">
        <v>990</v>
      </c>
      <c r="BL7" s="164">
        <v>46.95</v>
      </c>
      <c r="BM7" s="124">
        <v>45369</v>
      </c>
      <c r="BN7" s="122">
        <v>2000</v>
      </c>
      <c r="BO7" s="164">
        <v>17.12</v>
      </c>
      <c r="BP7" s="124">
        <v>45441</v>
      </c>
      <c r="BQ7" s="122">
        <v>3000</v>
      </c>
      <c r="BR7" s="164">
        <v>-33.29</v>
      </c>
      <c r="BS7" s="124">
        <v>45355</v>
      </c>
      <c r="BT7" s="122">
        <v>20000</v>
      </c>
      <c r="BU7" s="164">
        <v>-144.94999999999999</v>
      </c>
      <c r="BV7" s="124">
        <v>45379</v>
      </c>
      <c r="BW7" s="122">
        <v>1000</v>
      </c>
      <c r="BX7" s="164">
        <v>57.273000000000003</v>
      </c>
      <c r="BY7" s="124">
        <v>45370</v>
      </c>
      <c r="BZ7" s="122">
        <v>5000</v>
      </c>
      <c r="CA7" s="164">
        <v>-3.92</v>
      </c>
      <c r="CB7" s="124">
        <v>45497</v>
      </c>
      <c r="CC7" s="122">
        <v>5000</v>
      </c>
      <c r="CD7" s="164">
        <v>1.5601</v>
      </c>
      <c r="CE7" s="124">
        <v>45461</v>
      </c>
      <c r="CF7" s="122">
        <v>300</v>
      </c>
      <c r="CG7" s="164">
        <v>-132.76300000000001</v>
      </c>
      <c r="CH7" s="124">
        <v>45363</v>
      </c>
      <c r="CI7" s="122">
        <v>300</v>
      </c>
      <c r="CJ7" s="164">
        <v>413.2</v>
      </c>
      <c r="CK7" s="124">
        <v>45469</v>
      </c>
      <c r="CL7" s="122">
        <v>990</v>
      </c>
      <c r="CM7" s="164">
        <v>-72.826999999999998</v>
      </c>
      <c r="CN7" s="124">
        <v>45448</v>
      </c>
      <c r="CO7" s="122">
        <v>7000</v>
      </c>
      <c r="CP7" s="164">
        <v>-40.7333</v>
      </c>
      <c r="CQ7" s="124">
        <v>45366</v>
      </c>
      <c r="CR7" s="122">
        <v>1000</v>
      </c>
      <c r="CS7" s="164">
        <v>608.69060000000002</v>
      </c>
      <c r="CT7" s="124"/>
      <c r="CU7" s="122"/>
      <c r="CV7" s="164"/>
      <c r="CW7" s="124">
        <v>45490</v>
      </c>
      <c r="CX7" s="122">
        <v>3000</v>
      </c>
      <c r="CY7" s="164">
        <v>-23.81</v>
      </c>
      <c r="CZ7" s="124">
        <v>45369</v>
      </c>
      <c r="DA7" s="122">
        <v>5000</v>
      </c>
      <c r="DB7" s="164">
        <v>-8.1895000000000007</v>
      </c>
      <c r="DC7" s="124">
        <v>45663</v>
      </c>
      <c r="DD7" s="122">
        <v>2500</v>
      </c>
      <c r="DE7" s="164">
        <v>9.06</v>
      </c>
      <c r="DF7" s="124">
        <v>45468</v>
      </c>
      <c r="DG7" s="122">
        <v>3006</v>
      </c>
      <c r="DH7" s="164">
        <v>-0.85</v>
      </c>
      <c r="DI7" s="124">
        <v>45366</v>
      </c>
      <c r="DJ7" s="122">
        <v>1000</v>
      </c>
      <c r="DK7" s="164">
        <v>-14.1</v>
      </c>
      <c r="DL7" s="124">
        <v>45412</v>
      </c>
      <c r="DM7" s="122">
        <v>15000</v>
      </c>
      <c r="DN7" s="164">
        <v>-33.28</v>
      </c>
      <c r="DO7" s="124">
        <v>44026</v>
      </c>
      <c r="DP7" s="122">
        <v>120</v>
      </c>
      <c r="DQ7" s="164">
        <v>-134.02000000000001</v>
      </c>
      <c r="DR7" s="124">
        <v>45448</v>
      </c>
      <c r="DS7" s="122">
        <v>1000</v>
      </c>
      <c r="DT7" s="164">
        <v>-19.776</v>
      </c>
      <c r="DU7" s="124">
        <v>45449</v>
      </c>
      <c r="DV7" s="122">
        <v>4000</v>
      </c>
      <c r="DW7" s="164">
        <v>-9.1165000000000003</v>
      </c>
      <c r="DX7" s="124">
        <v>45502</v>
      </c>
      <c r="DY7" s="122">
        <v>1000</v>
      </c>
      <c r="DZ7" s="164">
        <v>-228.2895</v>
      </c>
      <c r="EA7" s="124">
        <v>45504</v>
      </c>
      <c r="EB7" s="122">
        <v>1000</v>
      </c>
      <c r="EC7" s="164">
        <v>-163.93</v>
      </c>
      <c r="ED7" s="124">
        <v>45350</v>
      </c>
      <c r="EE7" s="122">
        <v>1300</v>
      </c>
      <c r="EF7" s="164">
        <v>-55.298900000000003</v>
      </c>
      <c r="EG7" s="124"/>
      <c r="EH7" s="122"/>
      <c r="EI7" s="164"/>
      <c r="EJ7" s="124">
        <v>45643</v>
      </c>
      <c r="EK7" s="122">
        <v>40</v>
      </c>
      <c r="EL7" s="123">
        <v>-234.57</v>
      </c>
      <c r="EM7" s="124">
        <v>40544</v>
      </c>
      <c r="EN7" s="122">
        <v>9990</v>
      </c>
      <c r="EO7" s="164">
        <v>27.082000000000001</v>
      </c>
      <c r="EP7" s="124">
        <v>45370</v>
      </c>
      <c r="EQ7" s="122">
        <v>2000</v>
      </c>
      <c r="ER7" s="164">
        <v>53.6</v>
      </c>
      <c r="ES7" s="124">
        <v>45800</v>
      </c>
      <c r="ET7" s="122">
        <v>5000</v>
      </c>
      <c r="EU7" s="164">
        <v>-8.23</v>
      </c>
      <c r="EV7" s="124">
        <v>45448</v>
      </c>
      <c r="EW7" s="122">
        <v>750</v>
      </c>
      <c r="EX7" s="123">
        <v>-17.577500000000001</v>
      </c>
      <c r="EY7" s="124">
        <v>45474</v>
      </c>
      <c r="EZ7" s="122">
        <v>1790</v>
      </c>
      <c r="FA7" s="164">
        <v>-115.57</v>
      </c>
      <c r="FB7" s="124">
        <v>45448</v>
      </c>
      <c r="FC7" s="122">
        <v>1200</v>
      </c>
      <c r="FD7" s="164">
        <v>-10.88</v>
      </c>
      <c r="FE7" s="303">
        <v>45678</v>
      </c>
      <c r="FF7" s="122">
        <v>20000</v>
      </c>
      <c r="FG7" s="164">
        <v>-1.07</v>
      </c>
      <c r="FH7" s="124">
        <v>45349</v>
      </c>
      <c r="FI7" s="122">
        <v>5000</v>
      </c>
      <c r="FJ7" s="164">
        <v>-3.9232</v>
      </c>
      <c r="FK7" s="124">
        <v>45349</v>
      </c>
      <c r="FL7" s="122">
        <v>2000</v>
      </c>
      <c r="FM7" s="164">
        <v>43.2425</v>
      </c>
      <c r="FN7" s="124">
        <v>45212</v>
      </c>
      <c r="FO7" s="122">
        <v>15000</v>
      </c>
      <c r="FP7" s="164">
        <v>11.09</v>
      </c>
      <c r="FQ7" s="124">
        <v>45475</v>
      </c>
      <c r="FR7" s="122">
        <v>2000</v>
      </c>
      <c r="FS7" s="164">
        <v>14.646323000000001</v>
      </c>
      <c r="FT7" s="124"/>
      <c r="FU7" s="122"/>
      <c r="FV7" s="164"/>
      <c r="FW7" s="124">
        <v>45369</v>
      </c>
      <c r="FX7" s="122">
        <v>2000</v>
      </c>
      <c r="FY7" s="164">
        <v>-23.67</v>
      </c>
      <c r="FZ7" s="124">
        <v>45349</v>
      </c>
      <c r="GA7" s="122">
        <v>7300</v>
      </c>
      <c r="GB7" s="164">
        <v>10.692</v>
      </c>
      <c r="GC7" s="124">
        <v>45244</v>
      </c>
      <c r="GD7" s="122">
        <v>10000</v>
      </c>
      <c r="GE7" s="164">
        <v>37.65</v>
      </c>
      <c r="GF7" s="124">
        <v>45330</v>
      </c>
      <c r="GG7" s="122">
        <v>500</v>
      </c>
      <c r="GH7" s="164">
        <v>-167.89879999999999</v>
      </c>
      <c r="GI7" s="124">
        <v>45569</v>
      </c>
      <c r="GJ7" s="122">
        <v>490</v>
      </c>
      <c r="GK7" s="164">
        <v>51.5</v>
      </c>
      <c r="GL7" s="647">
        <v>45429</v>
      </c>
      <c r="GM7" s="122">
        <v>1100</v>
      </c>
      <c r="GN7" s="164">
        <v>-190.06</v>
      </c>
      <c r="GO7" s="124">
        <v>45355</v>
      </c>
      <c r="GP7" s="122">
        <v>1000</v>
      </c>
      <c r="GQ7" s="164">
        <v>179.08</v>
      </c>
      <c r="GR7" s="124">
        <v>45343</v>
      </c>
      <c r="GS7" s="122">
        <v>200</v>
      </c>
      <c r="GT7" s="164">
        <v>-835.52</v>
      </c>
      <c r="GU7" s="124">
        <v>45352</v>
      </c>
      <c r="GV7" s="122">
        <v>20000</v>
      </c>
      <c r="GW7" s="164">
        <v>4.3</v>
      </c>
      <c r="GX7" s="124">
        <v>45387</v>
      </c>
      <c r="GY7" s="122">
        <v>800</v>
      </c>
      <c r="GZ7" s="164">
        <v>118.53</v>
      </c>
      <c r="HA7" s="124">
        <v>45372</v>
      </c>
      <c r="HB7" s="122">
        <v>2000</v>
      </c>
      <c r="HC7" s="164">
        <v>-42.598999999999997</v>
      </c>
      <c r="HD7" s="124">
        <v>45476</v>
      </c>
      <c r="HE7" s="122">
        <v>50000</v>
      </c>
      <c r="HF7" s="164">
        <v>171.3</v>
      </c>
      <c r="HG7" s="124">
        <v>45352</v>
      </c>
      <c r="HH7" s="122">
        <v>1500</v>
      </c>
      <c r="HI7" s="164">
        <v>96.67</v>
      </c>
      <c r="HJ7" s="124">
        <v>45365</v>
      </c>
      <c r="HK7" s="122">
        <v>20000</v>
      </c>
      <c r="HL7" s="164">
        <v>3.2706580000000001</v>
      </c>
      <c r="HM7" s="124">
        <v>45349</v>
      </c>
      <c r="HN7" s="122">
        <v>7000</v>
      </c>
      <c r="HO7" s="164">
        <v>14.35</v>
      </c>
      <c r="HP7" s="124">
        <v>45388</v>
      </c>
      <c r="HQ7" s="122">
        <v>9000</v>
      </c>
      <c r="HR7" s="164">
        <v>-482.13010000000003</v>
      </c>
      <c r="HS7" s="124">
        <v>45407</v>
      </c>
      <c r="HT7" s="122">
        <v>6000</v>
      </c>
      <c r="HU7" s="164">
        <v>-12.95</v>
      </c>
      <c r="HV7" s="124">
        <v>45341</v>
      </c>
      <c r="HW7" s="122">
        <v>2000</v>
      </c>
      <c r="HX7" s="164">
        <v>-21.664999999999999</v>
      </c>
      <c r="HY7" s="124">
        <v>45301</v>
      </c>
      <c r="HZ7" s="122">
        <v>250</v>
      </c>
      <c r="IA7" s="164">
        <v>124.14</v>
      </c>
      <c r="IB7" s="124">
        <v>45434</v>
      </c>
      <c r="IC7" s="122">
        <v>290</v>
      </c>
      <c r="ID7" s="164">
        <v>462.67</v>
      </c>
      <c r="IE7" s="124"/>
      <c r="IF7" s="122"/>
      <c r="IG7" s="164"/>
      <c r="IH7" s="124">
        <v>45363</v>
      </c>
      <c r="II7" s="122">
        <v>3000</v>
      </c>
      <c r="IJ7" s="164">
        <v>-28.99</v>
      </c>
      <c r="IK7" s="124">
        <v>44875</v>
      </c>
      <c r="IL7" s="122">
        <v>300</v>
      </c>
      <c r="IM7" s="164">
        <v>331.89</v>
      </c>
      <c r="IN7" s="124">
        <v>45461</v>
      </c>
      <c r="IO7" s="122">
        <v>5000</v>
      </c>
      <c r="IP7" s="164">
        <v>13.356999999999999</v>
      </c>
      <c r="IQ7" s="124">
        <v>45450</v>
      </c>
      <c r="IR7" s="122">
        <v>1000</v>
      </c>
      <c r="IS7" s="164">
        <v>105.3402</v>
      </c>
      <c r="IT7" s="124">
        <v>45490</v>
      </c>
      <c r="IU7" s="122">
        <v>4000</v>
      </c>
      <c r="IV7" s="164">
        <v>10.029999999999999</v>
      </c>
      <c r="IW7" s="124">
        <v>45379</v>
      </c>
      <c r="IX7" s="122">
        <v>1000</v>
      </c>
      <c r="IY7" s="164">
        <v>65.02</v>
      </c>
      <c r="IZ7" s="124">
        <v>45413</v>
      </c>
      <c r="JA7" s="122">
        <v>3500</v>
      </c>
      <c r="JB7" s="164">
        <v>26.81</v>
      </c>
      <c r="JC7" s="124">
        <v>45384</v>
      </c>
      <c r="JD7" s="122">
        <v>8000</v>
      </c>
      <c r="JE7" s="164">
        <v>-6.59</v>
      </c>
      <c r="JF7" s="124">
        <v>45467</v>
      </c>
      <c r="JG7" s="122">
        <v>1200</v>
      </c>
      <c r="JH7" s="164">
        <v>-34.9</v>
      </c>
      <c r="JI7" s="124">
        <v>44845</v>
      </c>
      <c r="JJ7" s="122">
        <v>400</v>
      </c>
      <c r="JK7" s="164">
        <v>67.38</v>
      </c>
      <c r="JL7" s="124">
        <v>45379</v>
      </c>
      <c r="JM7" s="122">
        <v>300</v>
      </c>
      <c r="JN7" s="164">
        <v>-105.09</v>
      </c>
      <c r="JO7" s="124">
        <v>45369</v>
      </c>
      <c r="JP7" s="122">
        <v>3100</v>
      </c>
      <c r="JQ7" s="164">
        <v>39.409999999999997</v>
      </c>
      <c r="JR7" s="124"/>
      <c r="JS7" s="122"/>
      <c r="JT7" s="164"/>
      <c r="JU7" s="124"/>
      <c r="JV7" s="122"/>
      <c r="JW7" s="164"/>
      <c r="JX7" s="124">
        <v>45607</v>
      </c>
      <c r="JY7" s="122">
        <v>10000</v>
      </c>
      <c r="JZ7" s="164">
        <v>-12.095000000000001</v>
      </c>
      <c r="KA7" s="124"/>
      <c r="KB7" s="122"/>
      <c r="KC7" s="164"/>
      <c r="KD7" s="124"/>
      <c r="KE7" s="122"/>
      <c r="KF7" s="164"/>
    </row>
    <row r="8" spans="1:296">
      <c r="A8" s="156">
        <v>5</v>
      </c>
      <c r="B8" s="169">
        <v>45489</v>
      </c>
      <c r="C8" s="122">
        <v>500</v>
      </c>
      <c r="D8" s="164">
        <v>234.1</v>
      </c>
      <c r="E8" s="169">
        <v>45419</v>
      </c>
      <c r="F8" s="122">
        <v>3000</v>
      </c>
      <c r="G8" s="164">
        <v>11.0723</v>
      </c>
      <c r="H8" s="169">
        <v>45462</v>
      </c>
      <c r="I8" s="122">
        <v>100000</v>
      </c>
      <c r="J8" s="164">
        <v>54.14</v>
      </c>
      <c r="K8" s="169">
        <v>45434</v>
      </c>
      <c r="L8" s="122">
        <v>1000</v>
      </c>
      <c r="M8" s="164">
        <v>183.77</v>
      </c>
      <c r="N8" s="289">
        <v>45706</v>
      </c>
      <c r="O8" s="122">
        <v>20000</v>
      </c>
      <c r="P8" s="164">
        <v>-1.1459755</v>
      </c>
      <c r="Q8" s="169">
        <v>45490</v>
      </c>
      <c r="R8" s="122">
        <v>500</v>
      </c>
      <c r="S8" s="164">
        <v>-879.74199999999996</v>
      </c>
      <c r="T8" s="169">
        <v>45644</v>
      </c>
      <c r="U8" s="122">
        <v>360</v>
      </c>
      <c r="V8" s="123">
        <v>-234.18</v>
      </c>
      <c r="W8" s="169">
        <v>45520</v>
      </c>
      <c r="X8" s="122">
        <v>800</v>
      </c>
      <c r="Y8" s="164">
        <v>84.17</v>
      </c>
      <c r="Z8" s="169">
        <v>45483</v>
      </c>
      <c r="AA8" s="122">
        <v>1000</v>
      </c>
      <c r="AB8" s="164">
        <v>-2.3279999999999998</v>
      </c>
      <c r="AC8" s="169"/>
      <c r="AD8" s="122"/>
      <c r="AE8" s="164"/>
      <c r="AF8" s="169">
        <v>45510</v>
      </c>
      <c r="AG8" s="122">
        <v>500</v>
      </c>
      <c r="AH8" s="164">
        <v>64.593000000000004</v>
      </c>
      <c r="AI8" s="169">
        <v>45516</v>
      </c>
      <c r="AJ8" s="122">
        <v>3000</v>
      </c>
      <c r="AK8" s="164">
        <v>45.47</v>
      </c>
      <c r="AL8" s="169">
        <v>45434</v>
      </c>
      <c r="AM8" s="122">
        <v>2000</v>
      </c>
      <c r="AN8" s="164">
        <v>-57.44</v>
      </c>
      <c r="AO8" s="169">
        <v>45379</v>
      </c>
      <c r="AP8" s="122">
        <v>10000</v>
      </c>
      <c r="AQ8" s="164">
        <v>4.49</v>
      </c>
      <c r="AR8" s="169">
        <v>45388</v>
      </c>
      <c r="AS8" s="122">
        <v>990</v>
      </c>
      <c r="AT8" s="164">
        <v>-102.367</v>
      </c>
      <c r="AU8" s="169">
        <v>45379</v>
      </c>
      <c r="AV8" s="122">
        <v>800</v>
      </c>
      <c r="AW8" s="164">
        <v>-41.229300000000002</v>
      </c>
      <c r="AX8" s="169">
        <v>45490</v>
      </c>
      <c r="AY8" s="122">
        <v>500</v>
      </c>
      <c r="AZ8" s="164">
        <v>-138.93</v>
      </c>
      <c r="BA8" s="169">
        <v>45489</v>
      </c>
      <c r="BB8" s="122">
        <v>4000</v>
      </c>
      <c r="BC8" s="164">
        <v>19.331099999999999</v>
      </c>
      <c r="BD8" s="169">
        <v>45337</v>
      </c>
      <c r="BE8" s="122">
        <v>10000</v>
      </c>
      <c r="BF8" s="164">
        <v>-11.8725</v>
      </c>
      <c r="BG8" s="169">
        <v>45350</v>
      </c>
      <c r="BH8" s="122">
        <v>5000</v>
      </c>
      <c r="BI8" s="164">
        <v>-7.8023999999999996</v>
      </c>
      <c r="BJ8" s="169">
        <v>45511</v>
      </c>
      <c r="BK8" s="122">
        <v>990</v>
      </c>
      <c r="BL8" s="164">
        <v>-46.676000000000002</v>
      </c>
      <c r="BM8" s="169">
        <v>45441</v>
      </c>
      <c r="BN8" s="122">
        <v>10000</v>
      </c>
      <c r="BO8" s="164">
        <v>-18.29</v>
      </c>
      <c r="BP8" s="169">
        <v>45446</v>
      </c>
      <c r="BQ8" s="122">
        <v>500</v>
      </c>
      <c r="BR8" s="164">
        <v>-35.116999999999997</v>
      </c>
      <c r="BS8" s="169">
        <v>45359</v>
      </c>
      <c r="BT8" s="122">
        <v>20000</v>
      </c>
      <c r="BU8" s="164">
        <v>152</v>
      </c>
      <c r="BV8" s="169">
        <v>45392</v>
      </c>
      <c r="BW8" s="122">
        <v>900</v>
      </c>
      <c r="BX8" s="164">
        <v>56.152999999999999</v>
      </c>
      <c r="BY8" s="169">
        <v>45453</v>
      </c>
      <c r="BZ8" s="122">
        <v>5000</v>
      </c>
      <c r="CA8" s="164">
        <v>4.6051000000000002</v>
      </c>
      <c r="CB8" s="169">
        <v>45506</v>
      </c>
      <c r="CC8" s="122">
        <v>15000</v>
      </c>
      <c r="CD8" s="164">
        <v>-2.98</v>
      </c>
      <c r="CE8" s="169">
        <v>45468</v>
      </c>
      <c r="CF8" s="122">
        <v>500</v>
      </c>
      <c r="CG8" s="164">
        <v>136.65</v>
      </c>
      <c r="CH8" s="169">
        <v>45412</v>
      </c>
      <c r="CI8" s="122">
        <v>1000</v>
      </c>
      <c r="CJ8" s="164">
        <v>-396.84800000000001</v>
      </c>
      <c r="CK8" s="169">
        <v>45502</v>
      </c>
      <c r="CL8" s="122">
        <v>990</v>
      </c>
      <c r="CM8" s="164">
        <v>74.010000000000005</v>
      </c>
      <c r="CN8" s="169">
        <v>45449</v>
      </c>
      <c r="CO8" s="122">
        <v>5000</v>
      </c>
      <c r="CP8" s="164">
        <v>-42.017000000000003</v>
      </c>
      <c r="CQ8" s="169">
        <v>45386</v>
      </c>
      <c r="CR8" s="122">
        <v>1500</v>
      </c>
      <c r="CS8" s="164">
        <v>618.70000000000005</v>
      </c>
      <c r="CT8" s="169"/>
      <c r="CU8" s="122"/>
      <c r="CV8" s="164"/>
      <c r="CW8" s="169">
        <v>45701</v>
      </c>
      <c r="CX8" s="122">
        <v>3000</v>
      </c>
      <c r="CY8" s="164">
        <v>25.15</v>
      </c>
      <c r="CZ8" s="169">
        <v>45385</v>
      </c>
      <c r="DA8" s="122">
        <v>1800</v>
      </c>
      <c r="DB8" s="164">
        <v>-8.5364000000000004</v>
      </c>
      <c r="DC8" s="169">
        <v>45673</v>
      </c>
      <c r="DD8" s="122">
        <v>500</v>
      </c>
      <c r="DE8" s="164">
        <v>-7.09</v>
      </c>
      <c r="DF8" s="169">
        <v>45497</v>
      </c>
      <c r="DG8" s="122">
        <v>3000</v>
      </c>
      <c r="DH8" s="164">
        <v>1.2277</v>
      </c>
      <c r="DI8" s="169">
        <v>45419</v>
      </c>
      <c r="DJ8" s="122">
        <v>1000</v>
      </c>
      <c r="DK8" s="164">
        <v>-12.1</v>
      </c>
      <c r="DL8" s="169">
        <v>45412</v>
      </c>
      <c r="DM8" s="122">
        <v>5000</v>
      </c>
      <c r="DN8" s="164">
        <v>-32.57</v>
      </c>
      <c r="DO8" s="169">
        <v>45309</v>
      </c>
      <c r="DP8" s="122">
        <v>880</v>
      </c>
      <c r="DQ8" s="164">
        <v>-147.12</v>
      </c>
      <c r="DR8" s="169">
        <v>45474</v>
      </c>
      <c r="DS8" s="122">
        <v>2000</v>
      </c>
      <c r="DT8" s="164">
        <v>-19.260000000000002</v>
      </c>
      <c r="DU8" s="169">
        <v>45642</v>
      </c>
      <c r="DV8" s="122">
        <v>4000</v>
      </c>
      <c r="DW8" s="164">
        <v>10.36</v>
      </c>
      <c r="DX8" s="169">
        <v>45483</v>
      </c>
      <c r="DY8" s="122">
        <v>500</v>
      </c>
      <c r="DZ8" s="164">
        <v>242.06</v>
      </c>
      <c r="EA8" s="169">
        <v>45506</v>
      </c>
      <c r="EB8" s="122">
        <v>300</v>
      </c>
      <c r="EC8" s="164">
        <v>-152.58000000000001</v>
      </c>
      <c r="ED8" s="169">
        <v>45357</v>
      </c>
      <c r="EE8" s="122">
        <v>1300</v>
      </c>
      <c r="EF8" s="164">
        <v>55.9</v>
      </c>
      <c r="EG8" s="169"/>
      <c r="EH8" s="122"/>
      <c r="EI8" s="164"/>
      <c r="EJ8" s="169">
        <v>45644</v>
      </c>
      <c r="EK8" s="122">
        <v>360</v>
      </c>
      <c r="EL8" s="123">
        <v>-234.18</v>
      </c>
      <c r="EM8" s="169">
        <v>45478</v>
      </c>
      <c r="EN8" s="122">
        <v>3000</v>
      </c>
      <c r="EO8" s="164">
        <v>-25.535499999999999</v>
      </c>
      <c r="EP8" s="169">
        <v>45404</v>
      </c>
      <c r="EQ8" s="122">
        <v>2000</v>
      </c>
      <c r="ER8" s="164">
        <v>-50.627299999999998</v>
      </c>
      <c r="ES8" s="169">
        <v>45894</v>
      </c>
      <c r="ET8" s="122">
        <v>5000</v>
      </c>
      <c r="EU8" s="164">
        <v>10.58</v>
      </c>
      <c r="EV8" s="169">
        <v>45485</v>
      </c>
      <c r="EW8" s="122">
        <v>3500</v>
      </c>
      <c r="EX8" s="123">
        <v>-11.448</v>
      </c>
      <c r="EY8" s="169">
        <v>45503</v>
      </c>
      <c r="EZ8" s="122">
        <v>1800</v>
      </c>
      <c r="FA8" s="164">
        <v>117.2</v>
      </c>
      <c r="FB8" s="169">
        <v>45474</v>
      </c>
      <c r="FC8" s="122">
        <v>3000</v>
      </c>
      <c r="FD8" s="164">
        <v>-8</v>
      </c>
      <c r="FE8" s="289">
        <v>45694</v>
      </c>
      <c r="FF8" s="122">
        <v>10000</v>
      </c>
      <c r="FG8" s="164">
        <v>-1.1000000000000001</v>
      </c>
      <c r="FH8" s="169">
        <v>45385</v>
      </c>
      <c r="FI8" s="122">
        <v>5000</v>
      </c>
      <c r="FJ8" s="164">
        <v>4.1538000000000004</v>
      </c>
      <c r="FK8" s="169">
        <v>45352</v>
      </c>
      <c r="FL8" s="122">
        <v>2000</v>
      </c>
      <c r="FM8" s="164">
        <v>-42.43</v>
      </c>
      <c r="FN8" s="169">
        <v>45226</v>
      </c>
      <c r="FO8" s="122">
        <v>15000</v>
      </c>
      <c r="FP8" s="164">
        <v>11.0504</v>
      </c>
      <c r="FQ8" s="169">
        <v>45478</v>
      </c>
      <c r="FR8" s="122">
        <v>2000</v>
      </c>
      <c r="FS8" s="164">
        <v>-14.543699999999999</v>
      </c>
      <c r="FT8" s="169"/>
      <c r="FU8" s="122"/>
      <c r="FV8" s="164"/>
      <c r="FW8" s="169">
        <v>45377</v>
      </c>
      <c r="FX8" s="122">
        <v>2000</v>
      </c>
      <c r="FY8" s="164">
        <v>24.3599</v>
      </c>
      <c r="FZ8" s="169">
        <v>45366</v>
      </c>
      <c r="GA8" s="122">
        <v>5000</v>
      </c>
      <c r="GB8" s="164">
        <v>-10.5336</v>
      </c>
      <c r="GC8" s="169">
        <v>45309</v>
      </c>
      <c r="GD8" s="122">
        <v>10000</v>
      </c>
      <c r="GE8" s="164">
        <v>-36.9176</v>
      </c>
      <c r="GF8" s="169">
        <v>45345</v>
      </c>
      <c r="GG8" s="122">
        <v>500</v>
      </c>
      <c r="GH8" s="164">
        <v>169.89</v>
      </c>
      <c r="GI8" s="169">
        <v>45606</v>
      </c>
      <c r="GJ8" s="122">
        <v>490</v>
      </c>
      <c r="GK8" s="164">
        <v>-48.84</v>
      </c>
      <c r="GL8" s="648">
        <v>45450</v>
      </c>
      <c r="GM8" s="122">
        <v>1000</v>
      </c>
      <c r="GN8" s="164">
        <v>196.815</v>
      </c>
      <c r="GO8" s="169">
        <v>45356</v>
      </c>
      <c r="GP8" s="122">
        <v>1000</v>
      </c>
      <c r="GQ8" s="164">
        <v>-175.36500000000001</v>
      </c>
      <c r="GR8" s="169">
        <v>45344</v>
      </c>
      <c r="GS8" s="122">
        <v>200</v>
      </c>
      <c r="GT8" s="164">
        <v>877.51</v>
      </c>
      <c r="GU8" s="169">
        <v>45407</v>
      </c>
      <c r="GV8" s="122">
        <v>10000</v>
      </c>
      <c r="GW8" s="164">
        <v>-3.43</v>
      </c>
      <c r="GX8" s="169">
        <v>45407</v>
      </c>
      <c r="GY8" s="122">
        <v>800</v>
      </c>
      <c r="GZ8" s="164">
        <v>-112.73</v>
      </c>
      <c r="HA8" s="169">
        <v>45386</v>
      </c>
      <c r="HB8" s="122">
        <v>2000</v>
      </c>
      <c r="HC8" s="164">
        <v>45.12</v>
      </c>
      <c r="HD8" s="169">
        <v>45488</v>
      </c>
      <c r="HE8" s="122">
        <v>50000</v>
      </c>
      <c r="HF8" s="164">
        <v>174.08</v>
      </c>
      <c r="HG8" s="169">
        <v>45356</v>
      </c>
      <c r="HH8" s="122">
        <v>1500</v>
      </c>
      <c r="HI8" s="164">
        <v>-95.035587000000007</v>
      </c>
      <c r="HJ8" s="169">
        <v>45366</v>
      </c>
      <c r="HK8" s="122">
        <v>20000</v>
      </c>
      <c r="HL8" s="164">
        <v>-2.91</v>
      </c>
      <c r="HM8" s="169">
        <v>45351</v>
      </c>
      <c r="HN8" s="122">
        <v>5000</v>
      </c>
      <c r="HO8" s="164">
        <v>-14.23</v>
      </c>
      <c r="HP8" s="169">
        <v>45566</v>
      </c>
      <c r="HQ8" s="122">
        <v>8000</v>
      </c>
      <c r="HR8" s="164">
        <v>523.43740000000003</v>
      </c>
      <c r="HS8" s="169">
        <v>45425</v>
      </c>
      <c r="HT8" s="122">
        <v>6000</v>
      </c>
      <c r="HU8" s="164">
        <v>12.32</v>
      </c>
      <c r="HV8" s="169">
        <v>45348</v>
      </c>
      <c r="HW8" s="122">
        <v>2400</v>
      </c>
      <c r="HX8" s="164">
        <v>-22.6248</v>
      </c>
      <c r="HY8" s="169">
        <v>45332</v>
      </c>
      <c r="HZ8" s="122">
        <v>700</v>
      </c>
      <c r="IA8" s="164">
        <v>-120.03</v>
      </c>
      <c r="IB8" s="169">
        <v>45479</v>
      </c>
      <c r="IC8" s="122">
        <v>300</v>
      </c>
      <c r="ID8" s="164">
        <v>-455.36660000000001</v>
      </c>
      <c r="IE8" s="169"/>
      <c r="IF8" s="122"/>
      <c r="IG8" s="164"/>
      <c r="IH8" s="169">
        <v>45363</v>
      </c>
      <c r="II8" s="122">
        <v>2000</v>
      </c>
      <c r="IJ8" s="164">
        <v>-28.61</v>
      </c>
      <c r="IK8" s="169">
        <v>45371</v>
      </c>
      <c r="IL8" s="122">
        <v>605</v>
      </c>
      <c r="IM8" s="164">
        <v>-487.23</v>
      </c>
      <c r="IN8" s="169">
        <v>45663</v>
      </c>
      <c r="IO8" s="122">
        <v>4500</v>
      </c>
      <c r="IP8" s="164">
        <v>-9.7487999999999992</v>
      </c>
      <c r="IQ8" s="169">
        <v>45454</v>
      </c>
      <c r="IR8" s="122">
        <v>990</v>
      </c>
      <c r="IS8" s="164">
        <v>-104.57899</v>
      </c>
      <c r="IT8" s="169">
        <v>45547</v>
      </c>
      <c r="IU8" s="122">
        <v>4000</v>
      </c>
      <c r="IV8" s="164">
        <v>-9.7799999999999994</v>
      </c>
      <c r="IW8" s="169">
        <v>45426</v>
      </c>
      <c r="IX8" s="122">
        <v>500</v>
      </c>
      <c r="IY8" s="164">
        <v>-62.73</v>
      </c>
      <c r="IZ8" s="169">
        <v>45464</v>
      </c>
      <c r="JA8" s="122">
        <v>1500</v>
      </c>
      <c r="JB8" s="164">
        <v>-27.8155</v>
      </c>
      <c r="JC8" s="169">
        <v>45485</v>
      </c>
      <c r="JD8" s="122">
        <v>8000</v>
      </c>
      <c r="JE8" s="164">
        <v>-5.3150000000000004</v>
      </c>
      <c r="JF8" s="169">
        <v>45495</v>
      </c>
      <c r="JG8" s="122">
        <v>1490</v>
      </c>
      <c r="JH8" s="164">
        <v>-33.590000000000003</v>
      </c>
      <c r="JI8" s="169">
        <v>45337</v>
      </c>
      <c r="JJ8" s="122">
        <v>1000</v>
      </c>
      <c r="JK8" s="164">
        <v>-69.44</v>
      </c>
      <c r="JL8" s="169">
        <v>45413</v>
      </c>
      <c r="JM8" s="122">
        <v>300</v>
      </c>
      <c r="JN8" s="164">
        <v>116.46</v>
      </c>
      <c r="JO8" s="169">
        <v>45384</v>
      </c>
      <c r="JP8" s="122">
        <v>900</v>
      </c>
      <c r="JQ8" s="164">
        <v>-41.04</v>
      </c>
      <c r="JR8" s="169"/>
      <c r="JS8" s="122"/>
      <c r="JT8" s="164"/>
      <c r="JU8" s="169"/>
      <c r="JV8" s="122"/>
      <c r="JW8" s="164"/>
      <c r="JX8" s="169">
        <v>45671</v>
      </c>
      <c r="JY8" s="122">
        <v>5000</v>
      </c>
      <c r="JZ8" s="164">
        <v>-10.56</v>
      </c>
      <c r="KA8" s="169"/>
      <c r="KB8" s="122"/>
      <c r="KC8" s="164"/>
      <c r="KD8" s="169"/>
      <c r="KE8" s="122"/>
      <c r="KF8" s="164"/>
      <c r="KJ8" s="1189"/>
    </row>
    <row r="9" spans="1:296">
      <c r="A9" s="157">
        <v>6</v>
      </c>
      <c r="B9" s="169">
        <v>45496</v>
      </c>
      <c r="C9" s="122">
        <v>3000</v>
      </c>
      <c r="D9" s="164">
        <v>-224.34</v>
      </c>
      <c r="E9" s="169">
        <v>45461</v>
      </c>
      <c r="F9" s="122">
        <v>1990</v>
      </c>
      <c r="G9" s="164">
        <v>10.8331</v>
      </c>
      <c r="H9" s="169">
        <v>45486</v>
      </c>
      <c r="I9" s="122">
        <v>100000</v>
      </c>
      <c r="J9" s="164">
        <v>56</v>
      </c>
      <c r="K9" s="169">
        <v>45388</v>
      </c>
      <c r="L9" s="122">
        <v>1000</v>
      </c>
      <c r="M9" s="164">
        <v>-177.47720000000001</v>
      </c>
      <c r="N9" s="169">
        <v>45716</v>
      </c>
      <c r="O9" s="122">
        <v>15000</v>
      </c>
      <c r="P9" s="164">
        <v>-1.2</v>
      </c>
      <c r="Q9" s="169">
        <v>45491</v>
      </c>
      <c r="R9" s="122">
        <v>500</v>
      </c>
      <c r="S9" s="164">
        <v>-860.48699999999997</v>
      </c>
      <c r="T9" s="169">
        <v>45678</v>
      </c>
      <c r="U9" s="122">
        <v>200</v>
      </c>
      <c r="V9" s="123">
        <v>241.52</v>
      </c>
      <c r="W9" s="169">
        <v>45551</v>
      </c>
      <c r="X9" s="122">
        <v>3000</v>
      </c>
      <c r="Y9" s="164">
        <v>78.97</v>
      </c>
      <c r="Z9" s="169">
        <v>45526</v>
      </c>
      <c r="AA9" s="122">
        <v>17990</v>
      </c>
      <c r="AB9" s="164">
        <v>-1.87</v>
      </c>
      <c r="AC9" s="169"/>
      <c r="AD9" s="122"/>
      <c r="AE9" s="164"/>
      <c r="AF9" s="169">
        <v>45575</v>
      </c>
      <c r="AG9" s="122">
        <v>2000</v>
      </c>
      <c r="AH9" s="164">
        <v>-63.5</v>
      </c>
      <c r="AI9" s="169">
        <v>45519</v>
      </c>
      <c r="AJ9" s="122">
        <v>1000</v>
      </c>
      <c r="AK9" s="164">
        <v>-48.6</v>
      </c>
      <c r="AL9" s="169">
        <v>45571</v>
      </c>
      <c r="AM9" s="122">
        <v>2000</v>
      </c>
      <c r="AN9" s="164">
        <v>-60.51</v>
      </c>
      <c r="AO9" s="169">
        <v>45571</v>
      </c>
      <c r="AP9" s="122">
        <v>10000</v>
      </c>
      <c r="AQ9" s="164">
        <v>-3.9952000000000001</v>
      </c>
      <c r="AR9" s="169">
        <v>45489</v>
      </c>
      <c r="AS9" s="122">
        <v>990</v>
      </c>
      <c r="AT9" s="164">
        <v>-97.93</v>
      </c>
      <c r="AU9" s="169">
        <v>45387</v>
      </c>
      <c r="AV9" s="122">
        <v>1200</v>
      </c>
      <c r="AW9" s="164">
        <v>-39.64</v>
      </c>
      <c r="AX9" s="169">
        <v>45497</v>
      </c>
      <c r="AY9" s="122">
        <v>500</v>
      </c>
      <c r="AZ9" s="164">
        <v>143.24227999999999</v>
      </c>
      <c r="BA9" s="169">
        <v>45539</v>
      </c>
      <c r="BB9" s="122">
        <v>4000</v>
      </c>
      <c r="BC9" s="164">
        <v>20.32</v>
      </c>
      <c r="BD9" s="169">
        <v>45356</v>
      </c>
      <c r="BE9" s="122">
        <v>10000</v>
      </c>
      <c r="BF9" s="164">
        <v>11.975</v>
      </c>
      <c r="BG9" s="169">
        <v>45392</v>
      </c>
      <c r="BH9" s="122">
        <v>2000</v>
      </c>
      <c r="BI9" s="164">
        <v>7.5766</v>
      </c>
      <c r="BJ9" s="169">
        <v>45603</v>
      </c>
      <c r="BK9" s="122">
        <v>990</v>
      </c>
      <c r="BL9" s="164">
        <v>47.633000000000003</v>
      </c>
      <c r="BM9" s="169">
        <v>45447</v>
      </c>
      <c r="BN9" s="122">
        <v>3000</v>
      </c>
      <c r="BO9" s="164">
        <v>17.811499999999999</v>
      </c>
      <c r="BP9" s="169">
        <v>45468</v>
      </c>
      <c r="BQ9" s="122">
        <v>2000</v>
      </c>
      <c r="BR9" s="164">
        <v>36.25</v>
      </c>
      <c r="BS9" s="169">
        <v>45433</v>
      </c>
      <c r="BT9" s="122">
        <v>100000</v>
      </c>
      <c r="BU9" s="164">
        <v>175.51</v>
      </c>
      <c r="BV9" s="169">
        <v>45447</v>
      </c>
      <c r="BW9" s="122">
        <v>900</v>
      </c>
      <c r="BX9" s="164">
        <v>-52.008899999999997</v>
      </c>
      <c r="BY9" s="169">
        <v>45490</v>
      </c>
      <c r="BZ9" s="122">
        <v>2724</v>
      </c>
      <c r="CA9" s="164">
        <v>5.0339</v>
      </c>
      <c r="CB9" s="169">
        <v>45513</v>
      </c>
      <c r="CC9" s="122">
        <v>5000</v>
      </c>
      <c r="CD9" s="164">
        <v>5.32</v>
      </c>
      <c r="CE9" s="169">
        <v>45485</v>
      </c>
      <c r="CF9" s="122">
        <v>2500</v>
      </c>
      <c r="CG9" s="164">
        <v>-124.1352</v>
      </c>
      <c r="CH9" s="169">
        <v>45448</v>
      </c>
      <c r="CI9" s="122">
        <v>1000</v>
      </c>
      <c r="CJ9" s="164">
        <v>408.10719999999998</v>
      </c>
      <c r="CK9" s="169">
        <v>45505</v>
      </c>
      <c r="CL9" s="122">
        <v>990</v>
      </c>
      <c r="CM9" s="164">
        <v>77.272999999999996</v>
      </c>
      <c r="CN9" s="169">
        <v>45463</v>
      </c>
      <c r="CO9" s="122">
        <v>3000</v>
      </c>
      <c r="CP9" s="164">
        <v>-42.56</v>
      </c>
      <c r="CQ9" s="169">
        <v>45419</v>
      </c>
      <c r="CR9" s="555">
        <v>500</v>
      </c>
      <c r="CS9" s="164">
        <v>-601.75</v>
      </c>
      <c r="CT9" s="169"/>
      <c r="CU9" s="122"/>
      <c r="CV9" s="164"/>
      <c r="CW9" s="169">
        <v>45707</v>
      </c>
      <c r="CX9" s="122">
        <v>2500</v>
      </c>
      <c r="CY9" s="164">
        <v>-24.12</v>
      </c>
      <c r="CZ9" s="169">
        <v>45390</v>
      </c>
      <c r="DA9" s="122">
        <v>2200</v>
      </c>
      <c r="DB9" s="164">
        <v>8.0747999999999998</v>
      </c>
      <c r="DC9" s="169">
        <v>45719</v>
      </c>
      <c r="DD9" s="122">
        <v>7000</v>
      </c>
      <c r="DE9" s="164">
        <v>-3.78</v>
      </c>
      <c r="DF9" s="169">
        <v>45517</v>
      </c>
      <c r="DG9" s="122">
        <v>3006</v>
      </c>
      <c r="DH9" s="164">
        <v>1.39</v>
      </c>
      <c r="DI9" s="169">
        <v>45461</v>
      </c>
      <c r="DJ9" s="122">
        <v>1300</v>
      </c>
      <c r="DK9" s="164">
        <v>-9.5690000000000008</v>
      </c>
      <c r="DL9" s="169">
        <v>45427</v>
      </c>
      <c r="DM9" s="122">
        <v>10000</v>
      </c>
      <c r="DN9" s="164">
        <v>36.225999999999999</v>
      </c>
      <c r="DO9" s="169">
        <v>45322</v>
      </c>
      <c r="DP9" s="122">
        <v>800</v>
      </c>
      <c r="DQ9" s="164">
        <v>160.74</v>
      </c>
      <c r="DR9" s="169">
        <v>45492</v>
      </c>
      <c r="DS9" s="122">
        <v>2000</v>
      </c>
      <c r="DT9" s="164">
        <v>21.1</v>
      </c>
      <c r="DU9" s="169">
        <v>45664</v>
      </c>
      <c r="DV9" s="122">
        <v>3000</v>
      </c>
      <c r="DW9" s="164">
        <v>-9.25</v>
      </c>
      <c r="DX9" s="169">
        <v>45664</v>
      </c>
      <c r="DY9" s="122">
        <v>400</v>
      </c>
      <c r="DZ9" s="164">
        <v>397.49</v>
      </c>
      <c r="EA9" s="169">
        <v>45525</v>
      </c>
      <c r="EB9" s="122">
        <v>500</v>
      </c>
      <c r="EC9" s="164">
        <v>170.76</v>
      </c>
      <c r="ED9" s="169">
        <v>45369</v>
      </c>
      <c r="EE9" s="122">
        <v>150</v>
      </c>
      <c r="EF9" s="164">
        <v>54.32</v>
      </c>
      <c r="EG9" s="169"/>
      <c r="EH9" s="122"/>
      <c r="EI9" s="164"/>
      <c r="EJ9" s="169">
        <v>45678</v>
      </c>
      <c r="EK9" s="122">
        <v>200</v>
      </c>
      <c r="EL9" s="123">
        <v>241.52</v>
      </c>
      <c r="EM9" s="169">
        <v>45483</v>
      </c>
      <c r="EN9" s="122">
        <v>1010</v>
      </c>
      <c r="EO9" s="164">
        <v>26.309000000000001</v>
      </c>
      <c r="EP9" s="169">
        <v>45404</v>
      </c>
      <c r="EQ9" s="122">
        <v>2000</v>
      </c>
      <c r="ER9" s="164">
        <v>-49.1</v>
      </c>
      <c r="ES9" s="169">
        <v>45925</v>
      </c>
      <c r="ET9" s="122">
        <v>5000</v>
      </c>
      <c r="EU9" s="164">
        <v>-9.4600000000000009</v>
      </c>
      <c r="EV9" s="169">
        <v>45577</v>
      </c>
      <c r="EW9" s="122">
        <v>1500</v>
      </c>
      <c r="EX9" s="123">
        <v>-10.48</v>
      </c>
      <c r="EY9" s="169">
        <v>45545</v>
      </c>
      <c r="EZ9" s="122">
        <v>1800</v>
      </c>
      <c r="FA9" s="164">
        <v>-111.35</v>
      </c>
      <c r="FB9" s="169">
        <v>45484</v>
      </c>
      <c r="FC9" s="122">
        <v>3000</v>
      </c>
      <c r="FD9" s="164">
        <v>8.2768999999999995</v>
      </c>
      <c r="FE9" s="169">
        <v>45707</v>
      </c>
      <c r="FF9" s="122">
        <v>5000</v>
      </c>
      <c r="FG9" s="164">
        <v>-1.08</v>
      </c>
      <c r="FH9" s="169">
        <v>45468</v>
      </c>
      <c r="FI9" s="122">
        <v>5000</v>
      </c>
      <c r="FJ9" s="164">
        <v>-3.2090169999999998</v>
      </c>
      <c r="FK9" s="169">
        <v>45372</v>
      </c>
      <c r="FL9" s="122">
        <v>780</v>
      </c>
      <c r="FM9" s="164">
        <v>41.293500000000002</v>
      </c>
      <c r="FN9" s="169">
        <v>45356</v>
      </c>
      <c r="FO9" s="122">
        <v>10000</v>
      </c>
      <c r="FP9" s="164">
        <v>-12.595000000000001</v>
      </c>
      <c r="FQ9" s="169">
        <v>45533</v>
      </c>
      <c r="FR9" s="122">
        <v>2000</v>
      </c>
      <c r="FS9" s="164">
        <v>-14.754</v>
      </c>
      <c r="FT9" s="169"/>
      <c r="FU9" s="122"/>
      <c r="FV9" s="164"/>
      <c r="FW9" s="169">
        <v>45379</v>
      </c>
      <c r="FX9" s="122">
        <v>2000</v>
      </c>
      <c r="FY9" s="164">
        <v>24.651700000000002</v>
      </c>
      <c r="FZ9" s="169">
        <v>45404</v>
      </c>
      <c r="GA9" s="122">
        <v>2300</v>
      </c>
      <c r="GB9" s="164">
        <v>-11.06</v>
      </c>
      <c r="GC9" s="169">
        <v>45335</v>
      </c>
      <c r="GD9" s="122">
        <v>5000</v>
      </c>
      <c r="GE9" s="164">
        <v>-32.794899999999998</v>
      </c>
      <c r="GF9" s="169">
        <v>45404</v>
      </c>
      <c r="GG9" s="122">
        <v>90</v>
      </c>
      <c r="GH9" s="164">
        <v>165.48</v>
      </c>
      <c r="GI9" s="169">
        <v>45694</v>
      </c>
      <c r="GJ9" s="122">
        <v>500</v>
      </c>
      <c r="GK9" s="164">
        <v>-42.2</v>
      </c>
      <c r="GL9" s="648">
        <v>45456</v>
      </c>
      <c r="GM9" s="122">
        <v>200</v>
      </c>
      <c r="GN9" s="164">
        <v>212.435</v>
      </c>
      <c r="GO9" s="169">
        <v>45363</v>
      </c>
      <c r="GP9" s="122">
        <v>1000</v>
      </c>
      <c r="GQ9" s="164">
        <v>175.47</v>
      </c>
      <c r="GR9" s="169">
        <v>45348</v>
      </c>
      <c r="GS9" s="122">
        <v>200</v>
      </c>
      <c r="GT9" s="164">
        <v>-867.2</v>
      </c>
      <c r="GU9" s="169">
        <v>45422</v>
      </c>
      <c r="GV9" s="122">
        <v>20000</v>
      </c>
      <c r="GW9" s="164">
        <v>-3.8436710000000001</v>
      </c>
      <c r="GX9" s="169">
        <v>45448</v>
      </c>
      <c r="GY9" s="122">
        <v>500</v>
      </c>
      <c r="GZ9" s="164">
        <v>-116.73</v>
      </c>
      <c r="HA9" s="169">
        <v>45387</v>
      </c>
      <c r="HB9" s="122">
        <v>2000</v>
      </c>
      <c r="HC9" s="164">
        <v>-43.68</v>
      </c>
      <c r="HD9" s="169">
        <v>45496</v>
      </c>
      <c r="HE9" s="122">
        <v>50000</v>
      </c>
      <c r="HF9" s="164">
        <v>-164.36</v>
      </c>
      <c r="HG9" s="169">
        <v>45357</v>
      </c>
      <c r="HH9" s="122">
        <v>1500</v>
      </c>
      <c r="HI9" s="164">
        <v>97.18</v>
      </c>
      <c r="HJ9" s="169">
        <v>45427</v>
      </c>
      <c r="HK9" s="122">
        <v>20000</v>
      </c>
      <c r="HL9" s="164">
        <v>3.32</v>
      </c>
      <c r="HM9" s="169">
        <v>45356</v>
      </c>
      <c r="HN9" s="122">
        <v>5000</v>
      </c>
      <c r="HO9" s="164">
        <v>14.5</v>
      </c>
      <c r="HP9" s="169">
        <v>45573</v>
      </c>
      <c r="HQ9" s="122">
        <v>8000</v>
      </c>
      <c r="HR9" s="164">
        <v>-485.14</v>
      </c>
      <c r="HS9" s="169">
        <v>45429</v>
      </c>
      <c r="HT9" s="122">
        <v>6000</v>
      </c>
      <c r="HU9" s="164">
        <v>-12.26</v>
      </c>
      <c r="HV9" s="169">
        <v>45349</v>
      </c>
      <c r="HW9" s="122">
        <v>2400</v>
      </c>
      <c r="HX9" s="164">
        <v>22.319500000000001</v>
      </c>
      <c r="HY9" s="169">
        <v>45391</v>
      </c>
      <c r="HZ9" s="122">
        <v>700</v>
      </c>
      <c r="IA9" s="164">
        <v>138.71</v>
      </c>
      <c r="IB9" s="169">
        <v>45492</v>
      </c>
      <c r="IC9" s="122">
        <v>310</v>
      </c>
      <c r="ID9" s="164">
        <v>484.20890000000003</v>
      </c>
      <c r="IE9" s="169"/>
      <c r="IF9" s="122"/>
      <c r="IG9" s="164"/>
      <c r="IH9" s="169">
        <v>45379</v>
      </c>
      <c r="II9" s="122">
        <v>5000</v>
      </c>
      <c r="IJ9" s="164">
        <v>29.42</v>
      </c>
      <c r="IK9" s="169">
        <v>45404</v>
      </c>
      <c r="IL9" s="122">
        <v>990</v>
      </c>
      <c r="IM9" s="164">
        <v>455.33</v>
      </c>
      <c r="IN9" s="169"/>
      <c r="IO9" s="122"/>
      <c r="IP9" s="164"/>
      <c r="IQ9" s="169">
        <v>45456</v>
      </c>
      <c r="IR9" s="122">
        <v>990</v>
      </c>
      <c r="IS9" s="164">
        <v>105.47</v>
      </c>
      <c r="IT9" s="169">
        <v>45684</v>
      </c>
      <c r="IU9" s="122">
        <v>6000</v>
      </c>
      <c r="IV9" s="164">
        <v>10.37</v>
      </c>
      <c r="IW9" s="169">
        <v>45427</v>
      </c>
      <c r="IX9" s="122">
        <v>990</v>
      </c>
      <c r="IY9" s="164">
        <v>63.24</v>
      </c>
      <c r="IZ9" s="169">
        <v>45474</v>
      </c>
      <c r="JA9" s="122">
        <v>1990</v>
      </c>
      <c r="JB9" s="164">
        <v>28.225000000000001</v>
      </c>
      <c r="JC9" s="169">
        <v>45503</v>
      </c>
      <c r="JD9" s="122">
        <v>8000</v>
      </c>
      <c r="JE9" s="164">
        <v>5.5843999999999996</v>
      </c>
      <c r="JF9" s="169">
        <v>45504</v>
      </c>
      <c r="JG9" s="122">
        <v>2300</v>
      </c>
      <c r="JH9" s="164">
        <v>-31.62</v>
      </c>
      <c r="JI9" s="169">
        <v>45345</v>
      </c>
      <c r="JJ9" s="122">
        <v>1000</v>
      </c>
      <c r="JK9" s="164">
        <v>81.42</v>
      </c>
      <c r="JL9" s="169">
        <v>45420</v>
      </c>
      <c r="JM9" s="122">
        <v>500</v>
      </c>
      <c r="JN9" s="164">
        <v>-122.5</v>
      </c>
      <c r="JO9" s="169">
        <v>45391</v>
      </c>
      <c r="JP9" s="122">
        <v>990</v>
      </c>
      <c r="JQ9" s="164">
        <v>41.5</v>
      </c>
      <c r="JR9" s="169"/>
      <c r="JS9" s="122"/>
      <c r="JT9" s="164"/>
      <c r="JU9" s="169"/>
      <c r="JV9" s="122"/>
      <c r="JW9" s="164"/>
      <c r="JX9" s="169">
        <v>45684</v>
      </c>
      <c r="JY9" s="122">
        <v>5000</v>
      </c>
      <c r="JZ9" s="164">
        <v>-11.005000000000001</v>
      </c>
      <c r="KA9" s="169"/>
      <c r="KB9" s="122"/>
      <c r="KC9" s="164"/>
      <c r="KD9" s="169"/>
      <c r="KE9" s="122"/>
      <c r="KF9" s="164"/>
      <c r="KJ9" s="1189"/>
    </row>
    <row r="10" spans="1:296">
      <c r="A10" s="156">
        <v>7</v>
      </c>
      <c r="B10" s="169">
        <v>45673</v>
      </c>
      <c r="C10" s="122">
        <v>500</v>
      </c>
      <c r="D10" s="164">
        <v>237.8</v>
      </c>
      <c r="E10" s="169">
        <v>45552</v>
      </c>
      <c r="F10" s="122">
        <v>3990</v>
      </c>
      <c r="G10" s="164">
        <v>-12.37</v>
      </c>
      <c r="H10" s="169">
        <v>45504</v>
      </c>
      <c r="I10" s="122">
        <v>90000</v>
      </c>
      <c r="J10" s="164">
        <v>53.62</v>
      </c>
      <c r="K10" s="169">
        <v>45448</v>
      </c>
      <c r="L10" s="122">
        <v>1000</v>
      </c>
      <c r="M10" s="164">
        <v>180.75</v>
      </c>
      <c r="N10" s="169">
        <v>45734</v>
      </c>
      <c r="O10" s="122">
        <v>15000</v>
      </c>
      <c r="P10" s="164">
        <v>-0.93</v>
      </c>
      <c r="Q10" s="169">
        <v>45495</v>
      </c>
      <c r="R10" s="122">
        <v>500</v>
      </c>
      <c r="S10" s="164">
        <v>-857.1</v>
      </c>
      <c r="T10" s="169">
        <v>45684</v>
      </c>
      <c r="U10" s="122">
        <v>200</v>
      </c>
      <c r="V10" s="123">
        <v>197.35499999999999</v>
      </c>
      <c r="W10" s="169">
        <v>45547</v>
      </c>
      <c r="X10" s="122">
        <v>1300</v>
      </c>
      <c r="Y10" s="164">
        <v>-68.66</v>
      </c>
      <c r="Z10" s="169">
        <v>45527</v>
      </c>
      <c r="AA10" s="122">
        <v>10000</v>
      </c>
      <c r="AB10" s="164">
        <v>1.96</v>
      </c>
      <c r="AC10" s="169"/>
      <c r="AD10" s="122"/>
      <c r="AE10" s="164"/>
      <c r="AF10" s="169">
        <v>45603</v>
      </c>
      <c r="AG10" s="122">
        <v>1500</v>
      </c>
      <c r="AH10" s="164">
        <v>68.25</v>
      </c>
      <c r="AI10" s="169">
        <v>45531</v>
      </c>
      <c r="AJ10" s="122">
        <v>1000</v>
      </c>
      <c r="AK10" s="164">
        <v>50.77</v>
      </c>
      <c r="AL10" s="169">
        <v>45606</v>
      </c>
      <c r="AM10" s="122">
        <v>2000</v>
      </c>
      <c r="AN10" s="164">
        <v>67.010000000000005</v>
      </c>
      <c r="AO10" s="169">
        <v>45633</v>
      </c>
      <c r="AP10" s="122">
        <v>10000</v>
      </c>
      <c r="AQ10" s="164">
        <v>-3.87</v>
      </c>
      <c r="AR10" s="169">
        <v>45611</v>
      </c>
      <c r="AS10" s="122">
        <v>640</v>
      </c>
      <c r="AT10" s="164">
        <v>113.395</v>
      </c>
      <c r="AU10" s="169">
        <v>45405</v>
      </c>
      <c r="AV10" s="122">
        <v>1440</v>
      </c>
      <c r="AW10" s="164">
        <v>-38.319800000000001</v>
      </c>
      <c r="AX10" s="169">
        <v>45539</v>
      </c>
      <c r="AY10" s="122">
        <v>990</v>
      </c>
      <c r="AZ10" s="164">
        <v>150.63999999999999</v>
      </c>
      <c r="BA10" s="169">
        <v>45859</v>
      </c>
      <c r="BB10" s="122">
        <v>4000</v>
      </c>
      <c r="BC10" s="164">
        <v>-14.48</v>
      </c>
      <c r="BD10" s="169">
        <v>45364</v>
      </c>
      <c r="BE10" s="122">
        <v>10000</v>
      </c>
      <c r="BF10" s="164">
        <v>12.52</v>
      </c>
      <c r="BG10" s="169">
        <v>45474</v>
      </c>
      <c r="BH10" s="122">
        <v>3000</v>
      </c>
      <c r="BI10" s="164">
        <v>-5.2035</v>
      </c>
      <c r="BJ10" s="169"/>
      <c r="BK10" s="122"/>
      <c r="BL10" s="164"/>
      <c r="BM10" s="169">
        <v>45474</v>
      </c>
      <c r="BN10" s="122">
        <v>5000</v>
      </c>
      <c r="BO10" s="164">
        <v>20.988040000000002</v>
      </c>
      <c r="BP10" s="169">
        <v>45481</v>
      </c>
      <c r="BQ10" s="122">
        <v>1000</v>
      </c>
      <c r="BR10" s="164">
        <v>-35.158999999999999</v>
      </c>
      <c r="BS10" s="169">
        <v>45442</v>
      </c>
      <c r="BT10" s="122">
        <v>1000</v>
      </c>
      <c r="BU10" s="164">
        <v>-170.5</v>
      </c>
      <c r="BV10" s="169">
        <v>45475</v>
      </c>
      <c r="BW10" s="122">
        <v>1000</v>
      </c>
      <c r="BX10" s="164">
        <v>-51.097999999999999</v>
      </c>
      <c r="BY10" s="169">
        <v>45498</v>
      </c>
      <c r="BZ10" s="122">
        <v>2276</v>
      </c>
      <c r="CA10" s="164">
        <v>4.9630000000000001</v>
      </c>
      <c r="CB10" s="169">
        <v>45518</v>
      </c>
      <c r="CC10" s="122">
        <v>3000</v>
      </c>
      <c r="CD10" s="164">
        <v>5.73</v>
      </c>
      <c r="CE10" s="169">
        <v>45490</v>
      </c>
      <c r="CF10" s="122">
        <v>2500</v>
      </c>
      <c r="CG10" s="164">
        <v>-122.57</v>
      </c>
      <c r="CH10" s="169">
        <v>45474</v>
      </c>
      <c r="CI10" s="122">
        <v>2000</v>
      </c>
      <c r="CJ10" s="164">
        <v>452.38305500000001</v>
      </c>
      <c r="CK10" s="169">
        <v>45523</v>
      </c>
      <c r="CL10" s="122">
        <v>2200</v>
      </c>
      <c r="CM10" s="164">
        <v>-79.180000000000007</v>
      </c>
      <c r="CN10" s="169">
        <v>45481</v>
      </c>
      <c r="CO10" s="122">
        <v>3000</v>
      </c>
      <c r="CP10" s="164">
        <v>46.96</v>
      </c>
      <c r="CQ10" s="169">
        <v>45447</v>
      </c>
      <c r="CR10" s="555">
        <v>500</v>
      </c>
      <c r="CS10" s="164">
        <v>627.82140000000004</v>
      </c>
      <c r="CT10" s="169"/>
      <c r="CU10" s="122"/>
      <c r="CV10" s="164"/>
      <c r="CW10" s="169">
        <v>45744</v>
      </c>
      <c r="CX10" s="122">
        <v>2500</v>
      </c>
      <c r="CY10" s="164">
        <v>26.31</v>
      </c>
      <c r="CZ10" s="169">
        <v>45447</v>
      </c>
      <c r="DA10" s="122">
        <v>2200</v>
      </c>
      <c r="DB10" s="164">
        <v>-7.569</v>
      </c>
      <c r="DC10" s="169">
        <v>45833</v>
      </c>
      <c r="DD10" s="122">
        <v>2500</v>
      </c>
      <c r="DE10" s="164">
        <v>-5.12</v>
      </c>
      <c r="DF10" s="169">
        <v>45523</v>
      </c>
      <c r="DG10" s="122">
        <v>3006</v>
      </c>
      <c r="DH10" s="164">
        <v>1.54</v>
      </c>
      <c r="DI10" s="169">
        <v>45483</v>
      </c>
      <c r="DJ10" s="122">
        <v>3000</v>
      </c>
      <c r="DK10" s="164">
        <v>-8.2022999999999993</v>
      </c>
      <c r="DL10" s="169">
        <v>45435</v>
      </c>
      <c r="DM10" s="122">
        <v>10000</v>
      </c>
      <c r="DN10" s="164">
        <v>34.6</v>
      </c>
      <c r="DO10" s="169">
        <v>45330</v>
      </c>
      <c r="DP10" s="122">
        <v>500</v>
      </c>
      <c r="DQ10" s="164">
        <v>-167.9</v>
      </c>
      <c r="DR10" s="169">
        <v>45496</v>
      </c>
      <c r="DS10" s="122">
        <v>2500</v>
      </c>
      <c r="DT10" s="164">
        <v>21.07</v>
      </c>
      <c r="DU10" s="169">
        <v>45694</v>
      </c>
      <c r="DV10" s="122">
        <v>3000</v>
      </c>
      <c r="DW10" s="164">
        <v>12.7675333</v>
      </c>
      <c r="DX10" s="169">
        <v>45693</v>
      </c>
      <c r="DY10" s="122">
        <v>100</v>
      </c>
      <c r="DZ10" s="164">
        <v>-382.16199999999998</v>
      </c>
      <c r="EA10" s="169">
        <v>45583</v>
      </c>
      <c r="EB10" s="122">
        <v>400</v>
      </c>
      <c r="EC10" s="164">
        <v>-201.44</v>
      </c>
      <c r="ED10" s="169">
        <v>45379</v>
      </c>
      <c r="EE10" s="122">
        <v>100</v>
      </c>
      <c r="EF10" s="164">
        <v>51.775399999999998</v>
      </c>
      <c r="EG10" s="169"/>
      <c r="EH10" s="122"/>
      <c r="EI10" s="164"/>
      <c r="EJ10" s="169">
        <v>45684</v>
      </c>
      <c r="EK10" s="122">
        <v>200</v>
      </c>
      <c r="EL10" s="123">
        <v>197.35499999999999</v>
      </c>
      <c r="EM10" s="169">
        <v>45629</v>
      </c>
      <c r="EN10" s="122">
        <v>3000</v>
      </c>
      <c r="EO10" s="164">
        <v>-24.15</v>
      </c>
      <c r="EP10" s="169">
        <v>45441</v>
      </c>
      <c r="EQ10" s="122">
        <v>2000</v>
      </c>
      <c r="ER10" s="164">
        <v>54</v>
      </c>
      <c r="ES10" s="169">
        <v>45946</v>
      </c>
      <c r="ET10" s="122">
        <v>5000</v>
      </c>
      <c r="EU10" s="164">
        <v>10.07</v>
      </c>
      <c r="EV10" s="169">
        <v>45673</v>
      </c>
      <c r="EW10" s="122">
        <v>1500</v>
      </c>
      <c r="EX10" s="123">
        <v>12.46</v>
      </c>
      <c r="EY10" s="169">
        <v>45552</v>
      </c>
      <c r="EZ10" s="122">
        <v>1800</v>
      </c>
      <c r="FA10" s="164">
        <v>114.13</v>
      </c>
      <c r="FB10" s="169">
        <v>45502</v>
      </c>
      <c r="FC10" s="122">
        <v>3000</v>
      </c>
      <c r="FD10" s="164">
        <v>-8.0469000000000008</v>
      </c>
      <c r="FE10" s="169">
        <v>45708</v>
      </c>
      <c r="FF10" s="122">
        <v>2942</v>
      </c>
      <c r="FG10" s="164">
        <v>-1.0740000000000001</v>
      </c>
      <c r="FH10" s="169">
        <v>45497</v>
      </c>
      <c r="FI10" s="122">
        <v>5000</v>
      </c>
      <c r="FJ10" s="164">
        <v>3.9601000000000002</v>
      </c>
      <c r="FK10" s="169">
        <v>45377</v>
      </c>
      <c r="FL10" s="122">
        <v>2780</v>
      </c>
      <c r="FM10" s="164">
        <v>41.188299999999998</v>
      </c>
      <c r="FN10" s="169">
        <v>45436</v>
      </c>
      <c r="FO10" s="122">
        <v>7000</v>
      </c>
      <c r="FP10" s="164">
        <v>12.312390000000001</v>
      </c>
      <c r="FQ10" s="169">
        <v>45539</v>
      </c>
      <c r="FR10" s="122">
        <v>4000</v>
      </c>
      <c r="FS10" s="164">
        <v>14.263983</v>
      </c>
      <c r="FT10" s="169"/>
      <c r="FU10" s="122"/>
      <c r="FV10" s="164"/>
      <c r="FW10" s="169">
        <v>45404</v>
      </c>
      <c r="FX10" s="122">
        <v>5000</v>
      </c>
      <c r="FY10" s="164">
        <v>25.045000000000002</v>
      </c>
      <c r="FZ10" s="289">
        <v>45408</v>
      </c>
      <c r="GA10" s="122">
        <v>4300</v>
      </c>
      <c r="GB10" s="164">
        <v>-10.41</v>
      </c>
      <c r="GC10" s="169">
        <v>45408</v>
      </c>
      <c r="GD10" s="122">
        <v>5000</v>
      </c>
      <c r="GE10" s="164">
        <v>-32.19</v>
      </c>
      <c r="GF10" s="169">
        <v>45435</v>
      </c>
      <c r="GG10" s="122">
        <v>1500</v>
      </c>
      <c r="GH10" s="164">
        <v>-181.87</v>
      </c>
      <c r="GI10" s="169">
        <v>45702</v>
      </c>
      <c r="GJ10" s="122">
        <v>488</v>
      </c>
      <c r="GK10" s="164">
        <v>45.93</v>
      </c>
      <c r="GL10" s="648">
        <v>45463</v>
      </c>
      <c r="GM10" s="122">
        <v>500</v>
      </c>
      <c r="GN10" s="164">
        <v>-209.15</v>
      </c>
      <c r="GO10" s="169">
        <v>45384</v>
      </c>
      <c r="GP10" s="122">
        <v>500</v>
      </c>
      <c r="GQ10" s="164">
        <v>-180.49</v>
      </c>
      <c r="GR10" s="169">
        <v>45356</v>
      </c>
      <c r="GS10" s="122">
        <v>100</v>
      </c>
      <c r="GT10" s="164">
        <v>911.75</v>
      </c>
      <c r="GU10" s="169">
        <v>45426</v>
      </c>
      <c r="GV10" s="122">
        <v>20000</v>
      </c>
      <c r="GW10" s="164">
        <v>-3.96</v>
      </c>
      <c r="GX10" s="169">
        <v>45464</v>
      </c>
      <c r="GY10" s="122">
        <v>500</v>
      </c>
      <c r="GZ10" s="164">
        <v>-102.12</v>
      </c>
      <c r="HA10" s="169">
        <v>45406</v>
      </c>
      <c r="HB10" s="122">
        <v>3000</v>
      </c>
      <c r="HC10" s="164">
        <v>44.62</v>
      </c>
      <c r="HD10" s="169">
        <v>45566</v>
      </c>
      <c r="HE10" s="122">
        <v>50000</v>
      </c>
      <c r="HF10" s="164">
        <v>207.3</v>
      </c>
      <c r="HG10" s="169">
        <v>45370</v>
      </c>
      <c r="HH10" s="122">
        <v>1200</v>
      </c>
      <c r="HI10" s="164">
        <v>105.07</v>
      </c>
      <c r="HJ10" s="169">
        <v>45429</v>
      </c>
      <c r="HK10" s="122">
        <v>20000</v>
      </c>
      <c r="HL10" s="164">
        <v>-3.25</v>
      </c>
      <c r="HM10" s="169">
        <v>45394</v>
      </c>
      <c r="HN10" s="122">
        <v>5000</v>
      </c>
      <c r="HO10" s="164">
        <v>-15.7</v>
      </c>
      <c r="HP10" s="169">
        <v>45606</v>
      </c>
      <c r="HQ10" s="122">
        <v>5000</v>
      </c>
      <c r="HR10" s="164">
        <v>-495.71</v>
      </c>
      <c r="HS10" s="169">
        <v>45491</v>
      </c>
      <c r="HT10" s="122">
        <v>6000</v>
      </c>
      <c r="HU10" s="164">
        <v>14.5</v>
      </c>
      <c r="HV10" s="169">
        <v>45378</v>
      </c>
      <c r="HW10" s="122">
        <v>2000</v>
      </c>
      <c r="HX10" s="164">
        <v>24.33</v>
      </c>
      <c r="HY10" s="169">
        <v>45394</v>
      </c>
      <c r="HZ10" s="122">
        <v>700</v>
      </c>
      <c r="IA10" s="164">
        <v>-133.54</v>
      </c>
      <c r="IB10" s="169">
        <v>45512</v>
      </c>
      <c r="IC10" s="122">
        <v>200</v>
      </c>
      <c r="ID10" s="164">
        <v>-486.09730000000002</v>
      </c>
      <c r="IE10" s="169"/>
      <c r="IF10" s="122"/>
      <c r="IG10" s="164"/>
      <c r="IH10" s="169">
        <v>45425</v>
      </c>
      <c r="II10" s="122">
        <v>5000</v>
      </c>
      <c r="IJ10" s="164">
        <v>-28.01</v>
      </c>
      <c r="IK10" s="169">
        <v>37423</v>
      </c>
      <c r="IL10" s="122">
        <v>990</v>
      </c>
      <c r="IM10" s="164">
        <v>-442.25</v>
      </c>
      <c r="IN10" s="169"/>
      <c r="IO10" s="122"/>
      <c r="IP10" s="164"/>
      <c r="IQ10" s="169">
        <v>45464</v>
      </c>
      <c r="IR10" s="122">
        <v>1000</v>
      </c>
      <c r="IS10" s="164">
        <v>-105.18</v>
      </c>
      <c r="IT10" s="169">
        <v>45714</v>
      </c>
      <c r="IU10" s="122">
        <v>6000</v>
      </c>
      <c r="IV10" s="164">
        <v>11.305</v>
      </c>
      <c r="IW10" s="169">
        <v>45447</v>
      </c>
      <c r="IX10" s="122">
        <v>1000</v>
      </c>
      <c r="IY10" s="164">
        <v>-62.44</v>
      </c>
      <c r="IZ10" s="169">
        <v>45481</v>
      </c>
      <c r="JA10" s="122">
        <v>2000</v>
      </c>
      <c r="JB10" s="164">
        <v>-27.925000000000001</v>
      </c>
      <c r="JC10" s="169">
        <v>45504</v>
      </c>
      <c r="JD10" s="122">
        <v>3000</v>
      </c>
      <c r="JE10" s="164">
        <v>5.8333000000000004</v>
      </c>
      <c r="JF10" s="169">
        <v>45616</v>
      </c>
      <c r="JG10" s="122">
        <v>1000</v>
      </c>
      <c r="JH10" s="164">
        <v>35.497300000000003</v>
      </c>
      <c r="JI10" s="169">
        <v>45348</v>
      </c>
      <c r="JJ10" s="122">
        <v>1000</v>
      </c>
      <c r="JK10" s="164">
        <v>-75.209999999999994</v>
      </c>
      <c r="JL10" s="169">
        <v>45427</v>
      </c>
      <c r="JM10" s="122">
        <v>350</v>
      </c>
      <c r="JN10" s="164">
        <v>132.18</v>
      </c>
      <c r="JO10" s="169">
        <v>45404</v>
      </c>
      <c r="JP10" s="122">
        <v>990</v>
      </c>
      <c r="JQ10" s="164">
        <v>-39.119999999999997</v>
      </c>
      <c r="JR10" s="169"/>
      <c r="JS10" s="122"/>
      <c r="JT10" s="164"/>
      <c r="JU10" s="169"/>
      <c r="JV10" s="122"/>
      <c r="JW10" s="164"/>
      <c r="JX10" s="169">
        <v>45715</v>
      </c>
      <c r="JY10" s="122">
        <v>5000</v>
      </c>
      <c r="JZ10" s="164">
        <v>12.49</v>
      </c>
      <c r="KA10" s="169"/>
      <c r="KB10" s="122"/>
      <c r="KC10" s="164"/>
      <c r="KD10" s="169"/>
      <c r="KE10" s="122"/>
      <c r="KF10" s="164"/>
      <c r="KJ10" s="1189"/>
    </row>
    <row r="11" spans="1:296">
      <c r="A11" s="157">
        <v>8</v>
      </c>
      <c r="B11" s="169">
        <v>45678</v>
      </c>
      <c r="C11" s="122">
        <v>500</v>
      </c>
      <c r="D11" s="164">
        <v>-220.36</v>
      </c>
      <c r="E11" s="169">
        <v>45608</v>
      </c>
      <c r="F11" s="122">
        <v>3000</v>
      </c>
      <c r="G11" s="164">
        <v>-14.02</v>
      </c>
      <c r="H11" s="169">
        <v>45516</v>
      </c>
      <c r="I11" s="122">
        <v>190000</v>
      </c>
      <c r="J11" s="164">
        <v>-53.110999999999997</v>
      </c>
      <c r="K11" s="169">
        <v>45298</v>
      </c>
      <c r="L11" s="122">
        <v>2000</v>
      </c>
      <c r="M11" s="164">
        <v>196.03550000000001</v>
      </c>
      <c r="N11" s="169"/>
      <c r="O11" s="122"/>
      <c r="P11" s="164"/>
      <c r="Q11" s="169">
        <v>45506</v>
      </c>
      <c r="R11" s="122">
        <v>300</v>
      </c>
      <c r="S11" s="164">
        <v>-763.5</v>
      </c>
      <c r="T11" s="169">
        <v>45707</v>
      </c>
      <c r="U11" s="122">
        <v>250</v>
      </c>
      <c r="V11" s="123">
        <v>-227.5</v>
      </c>
      <c r="W11" s="169">
        <v>45684</v>
      </c>
      <c r="X11" s="122">
        <v>1300</v>
      </c>
      <c r="Y11" s="164">
        <v>70.209999999999994</v>
      </c>
      <c r="Z11" s="169">
        <v>45548</v>
      </c>
      <c r="AA11" s="122">
        <v>10000</v>
      </c>
      <c r="AB11" s="164">
        <v>-1.83</v>
      </c>
      <c r="AC11" s="169"/>
      <c r="AD11" s="122"/>
      <c r="AE11" s="164"/>
      <c r="AF11" s="169">
        <v>45663</v>
      </c>
      <c r="AG11" s="122">
        <v>1000</v>
      </c>
      <c r="AH11" s="164">
        <v>-73.180000000000007</v>
      </c>
      <c r="AI11" s="169">
        <v>45545</v>
      </c>
      <c r="AJ11" s="122">
        <v>2000</v>
      </c>
      <c r="AK11" s="164">
        <v>-48.69</v>
      </c>
      <c r="AL11" s="169">
        <v>45617</v>
      </c>
      <c r="AM11" s="122">
        <v>2000</v>
      </c>
      <c r="AN11" s="164">
        <v>-57.14</v>
      </c>
      <c r="AO11" s="169">
        <v>45548</v>
      </c>
      <c r="AP11" s="122">
        <v>20000</v>
      </c>
      <c r="AQ11" s="164">
        <v>-2.46</v>
      </c>
      <c r="AR11" s="169">
        <v>45632</v>
      </c>
      <c r="AS11" s="122">
        <v>550</v>
      </c>
      <c r="AT11" s="164">
        <v>116.78</v>
      </c>
      <c r="AU11" s="169">
        <v>45453</v>
      </c>
      <c r="AV11" s="122">
        <v>560</v>
      </c>
      <c r="AW11" s="164">
        <v>-36.674999999999997</v>
      </c>
      <c r="AX11" s="169">
        <v>45644</v>
      </c>
      <c r="AY11" s="122">
        <v>400</v>
      </c>
      <c r="AZ11" s="164">
        <v>-148.52000000000001</v>
      </c>
      <c r="BA11" s="169"/>
      <c r="BB11" s="122"/>
      <c r="BC11" s="164"/>
      <c r="BD11" s="169">
        <v>45404</v>
      </c>
      <c r="BE11" s="122">
        <v>20000</v>
      </c>
      <c r="BF11" s="164">
        <v>12.432499999999999</v>
      </c>
      <c r="BG11" s="169">
        <v>45491</v>
      </c>
      <c r="BH11" s="122">
        <v>3000</v>
      </c>
      <c r="BI11" s="164">
        <v>5.55</v>
      </c>
      <c r="BJ11" s="169"/>
      <c r="BK11" s="122"/>
      <c r="BL11" s="164"/>
      <c r="BM11" s="169">
        <v>45504</v>
      </c>
      <c r="BN11" s="122">
        <v>5000</v>
      </c>
      <c r="BO11" s="164">
        <v>-19.8596</v>
      </c>
      <c r="BP11" s="169">
        <v>45492</v>
      </c>
      <c r="BQ11" s="122">
        <v>1000</v>
      </c>
      <c r="BR11" s="164">
        <v>37.14</v>
      </c>
      <c r="BS11" s="169">
        <v>45461</v>
      </c>
      <c r="BT11" s="122">
        <v>99000</v>
      </c>
      <c r="BU11" s="164">
        <v>-167.6</v>
      </c>
      <c r="BV11" s="169">
        <v>45476</v>
      </c>
      <c r="BW11" s="122">
        <v>1000</v>
      </c>
      <c r="BX11" s="164">
        <v>-50.55</v>
      </c>
      <c r="BY11" s="169">
        <v>45643</v>
      </c>
      <c r="BZ11" s="122">
        <v>3000</v>
      </c>
      <c r="CA11" s="164">
        <v>-7.42</v>
      </c>
      <c r="CB11" s="169">
        <v>45520</v>
      </c>
      <c r="CC11" s="122">
        <v>2000</v>
      </c>
      <c r="CD11" s="164">
        <v>5.53</v>
      </c>
      <c r="CE11" s="169">
        <v>45491</v>
      </c>
      <c r="CF11" s="122">
        <v>2800</v>
      </c>
      <c r="CG11" s="164">
        <v>125.31</v>
      </c>
      <c r="CH11" s="169">
        <v>45495</v>
      </c>
      <c r="CI11" s="122">
        <v>2000</v>
      </c>
      <c r="CJ11" s="164">
        <v>-441.04</v>
      </c>
      <c r="CK11" s="169">
        <v>45554</v>
      </c>
      <c r="CL11" s="122">
        <v>2200</v>
      </c>
      <c r="CM11" s="164">
        <v>82.5</v>
      </c>
      <c r="CN11" s="169">
        <v>45483</v>
      </c>
      <c r="CO11" s="122">
        <v>3000</v>
      </c>
      <c r="CP11" s="164">
        <v>-45.627899999999997</v>
      </c>
      <c r="CQ11" s="169">
        <v>45453</v>
      </c>
      <c r="CR11" s="122">
        <v>500</v>
      </c>
      <c r="CS11" s="164">
        <v>636.91930000000002</v>
      </c>
      <c r="CT11" s="169"/>
      <c r="CU11" s="122"/>
      <c r="CV11" s="164"/>
      <c r="CW11" s="169">
        <v>45789</v>
      </c>
      <c r="CX11" s="122">
        <v>3000</v>
      </c>
      <c r="CY11" s="164">
        <v>-22.96</v>
      </c>
      <c r="CZ11" s="169">
        <v>45448</v>
      </c>
      <c r="DA11" s="122">
        <v>7200</v>
      </c>
      <c r="DB11" s="164">
        <v>-7.7812999999999999</v>
      </c>
      <c r="DC11" s="169">
        <v>45855</v>
      </c>
      <c r="DD11" s="122">
        <v>2500</v>
      </c>
      <c r="DE11" s="164">
        <v>6.5</v>
      </c>
      <c r="DF11" s="169">
        <v>45679</v>
      </c>
      <c r="DG11" s="122">
        <v>6006</v>
      </c>
      <c r="DH11" s="164">
        <v>-1.1955</v>
      </c>
      <c r="DI11" s="169">
        <v>45495</v>
      </c>
      <c r="DJ11" s="122">
        <v>3000</v>
      </c>
      <c r="DK11" s="164">
        <v>9.7766999999999999</v>
      </c>
      <c r="DL11" s="169">
        <v>45436</v>
      </c>
      <c r="DM11" s="122">
        <v>10000</v>
      </c>
      <c r="DN11" s="164">
        <v>34.18</v>
      </c>
      <c r="DO11" s="169">
        <v>45348</v>
      </c>
      <c r="DP11" s="122">
        <v>690</v>
      </c>
      <c r="DQ11" s="164">
        <v>173.04</v>
      </c>
      <c r="DR11" s="169">
        <v>45504</v>
      </c>
      <c r="DS11" s="122">
        <v>2000</v>
      </c>
      <c r="DT11" s="164">
        <v>22.140999999999998</v>
      </c>
      <c r="DU11" s="169"/>
      <c r="DV11" s="122"/>
      <c r="DW11" s="164"/>
      <c r="DX11" s="169">
        <v>45700</v>
      </c>
      <c r="DY11" s="122">
        <v>400</v>
      </c>
      <c r="DZ11" s="164">
        <v>-336.51</v>
      </c>
      <c r="EA11" s="169">
        <v>45684</v>
      </c>
      <c r="EB11" s="122">
        <v>800</v>
      </c>
      <c r="EC11" s="164">
        <v>-189.88874999999999</v>
      </c>
      <c r="ED11" s="169">
        <v>45446</v>
      </c>
      <c r="EE11" s="122">
        <v>955</v>
      </c>
      <c r="EF11" s="164">
        <v>-52.742100000000001</v>
      </c>
      <c r="EG11" s="169"/>
      <c r="EH11" s="122"/>
      <c r="EI11" s="164"/>
      <c r="EJ11" s="169">
        <v>45707</v>
      </c>
      <c r="EK11" s="122">
        <v>250</v>
      </c>
      <c r="EL11" s="123">
        <v>-227.5</v>
      </c>
      <c r="EM11" s="169">
        <v>45665</v>
      </c>
      <c r="EN11" s="122">
        <v>3000</v>
      </c>
      <c r="EO11" s="164">
        <v>25.39</v>
      </c>
      <c r="EP11" s="169">
        <v>45460</v>
      </c>
      <c r="EQ11" s="122">
        <v>2000</v>
      </c>
      <c r="ER11" s="164">
        <v>-53.720700000000001</v>
      </c>
      <c r="ES11" s="169"/>
      <c r="ET11" s="122"/>
      <c r="EU11" s="164"/>
      <c r="EV11" s="169">
        <v>45679</v>
      </c>
      <c r="EW11" s="122">
        <v>1500</v>
      </c>
      <c r="EX11" s="123">
        <v>11.53</v>
      </c>
      <c r="EY11" s="169">
        <v>45656</v>
      </c>
      <c r="EZ11" s="122">
        <v>1800</v>
      </c>
      <c r="FA11" s="164">
        <v>-106.09</v>
      </c>
      <c r="FB11" s="169">
        <v>45538</v>
      </c>
      <c r="FC11" s="122">
        <v>3000</v>
      </c>
      <c r="FD11" s="164">
        <v>8.6300000000000008</v>
      </c>
      <c r="FE11" s="169">
        <v>45709</v>
      </c>
      <c r="FF11" s="122">
        <v>12058</v>
      </c>
      <c r="FG11" s="164">
        <v>-1.0964529999999999</v>
      </c>
      <c r="FH11" s="169">
        <v>45548</v>
      </c>
      <c r="FI11" s="122">
        <v>10000</v>
      </c>
      <c r="FJ11" s="164">
        <v>-2.4500000000000002</v>
      </c>
      <c r="FK11" s="169">
        <v>45425</v>
      </c>
      <c r="FL11" s="122">
        <v>400</v>
      </c>
      <c r="FM11" s="164">
        <v>-38.17</v>
      </c>
      <c r="FN11" s="169">
        <v>45441</v>
      </c>
      <c r="FO11" s="122">
        <v>2990</v>
      </c>
      <c r="FP11" s="164">
        <v>12.2575</v>
      </c>
      <c r="FQ11" s="169">
        <v>45547</v>
      </c>
      <c r="FR11" s="122">
        <v>4000</v>
      </c>
      <c r="FS11" s="164">
        <v>-13.53</v>
      </c>
      <c r="FT11" s="169"/>
      <c r="FU11" s="122"/>
      <c r="FV11" s="164"/>
      <c r="FW11" s="169">
        <v>45415</v>
      </c>
      <c r="FX11" s="122">
        <v>1000</v>
      </c>
      <c r="FY11" s="164">
        <v>24.400099999999998</v>
      </c>
      <c r="FZ11" s="289">
        <v>45464</v>
      </c>
      <c r="GA11" s="122">
        <v>5400</v>
      </c>
      <c r="GB11" s="164">
        <v>-9.5829000000000004</v>
      </c>
      <c r="GC11" s="169">
        <v>45427</v>
      </c>
      <c r="GD11" s="122">
        <v>10000</v>
      </c>
      <c r="GE11" s="164">
        <v>36.232599999999998</v>
      </c>
      <c r="GF11" s="169">
        <v>45441</v>
      </c>
      <c r="GG11" s="122">
        <v>490</v>
      </c>
      <c r="GH11" s="164">
        <v>-176.14070000000001</v>
      </c>
      <c r="GI11" s="169">
        <v>45855</v>
      </c>
      <c r="GJ11" s="122">
        <v>9</v>
      </c>
      <c r="GK11" s="164">
        <v>-37.9</v>
      </c>
      <c r="GL11" s="648">
        <v>45464</v>
      </c>
      <c r="GM11" s="122">
        <v>500</v>
      </c>
      <c r="GN11" s="164">
        <v>210.303</v>
      </c>
      <c r="GO11" s="169">
        <v>45387</v>
      </c>
      <c r="GP11" s="122">
        <v>500</v>
      </c>
      <c r="GQ11" s="164">
        <v>184.35</v>
      </c>
      <c r="GR11" s="169">
        <v>45356</v>
      </c>
      <c r="GS11" s="122">
        <v>100</v>
      </c>
      <c r="GT11" s="164">
        <v>-898.89</v>
      </c>
      <c r="GU11" s="169">
        <v>45479</v>
      </c>
      <c r="GV11" s="122">
        <v>10000</v>
      </c>
      <c r="GW11" s="164">
        <v>-4.1349999999999998</v>
      </c>
      <c r="GX11" s="169">
        <v>45489</v>
      </c>
      <c r="GY11" s="122">
        <v>500</v>
      </c>
      <c r="GZ11" s="164">
        <v>-98.22</v>
      </c>
      <c r="HA11" s="169">
        <v>45421</v>
      </c>
      <c r="HB11" s="122">
        <v>1000</v>
      </c>
      <c r="HC11" s="164">
        <v>45.28</v>
      </c>
      <c r="HD11" s="169">
        <v>45576</v>
      </c>
      <c r="HE11" s="122">
        <v>25000</v>
      </c>
      <c r="HF11" s="164">
        <v>-198.16</v>
      </c>
      <c r="HG11" s="169">
        <v>45426</v>
      </c>
      <c r="HH11" s="122">
        <v>299</v>
      </c>
      <c r="HI11" s="164">
        <v>126.78</v>
      </c>
      <c r="HJ11" s="169">
        <v>45483</v>
      </c>
      <c r="HK11" s="122">
        <v>15000</v>
      </c>
      <c r="HL11" s="164">
        <v>-3.0255999999999998</v>
      </c>
      <c r="HM11" s="169">
        <v>45408</v>
      </c>
      <c r="HN11" s="122">
        <v>700</v>
      </c>
      <c r="HO11" s="164">
        <v>-15.21</v>
      </c>
      <c r="HP11" s="169">
        <v>45630</v>
      </c>
      <c r="HQ11" s="122">
        <v>8000</v>
      </c>
      <c r="HR11" s="164">
        <v>565.97</v>
      </c>
      <c r="HS11" s="169">
        <v>45503</v>
      </c>
      <c r="HT11" s="122">
        <v>8000</v>
      </c>
      <c r="HU11" s="164">
        <v>-10.835000000000001</v>
      </c>
      <c r="HV11" s="169">
        <v>45418</v>
      </c>
      <c r="HW11" s="122">
        <v>490</v>
      </c>
      <c r="HX11" s="164">
        <v>24.38</v>
      </c>
      <c r="HY11" s="169">
        <v>45404</v>
      </c>
      <c r="HZ11" s="122">
        <v>500</v>
      </c>
      <c r="IA11" s="164">
        <v>133.1</v>
      </c>
      <c r="IB11" s="169">
        <v>45525</v>
      </c>
      <c r="IC11" s="122">
        <v>100</v>
      </c>
      <c r="ID11" s="164">
        <v>495.03070000000002</v>
      </c>
      <c r="IE11" s="169"/>
      <c r="IF11" s="122"/>
      <c r="IG11" s="164"/>
      <c r="IH11" s="169">
        <v>45455</v>
      </c>
      <c r="II11" s="122">
        <v>5000</v>
      </c>
      <c r="IJ11" s="164">
        <v>28.310199999999998</v>
      </c>
      <c r="IK11" s="169">
        <v>45453</v>
      </c>
      <c r="IL11" s="122">
        <v>990</v>
      </c>
      <c r="IM11" s="164">
        <v>446.29</v>
      </c>
      <c r="IN11" s="169"/>
      <c r="IO11" s="122"/>
      <c r="IP11" s="164"/>
      <c r="IQ11" s="169">
        <v>45469</v>
      </c>
      <c r="IR11" s="122">
        <v>1010</v>
      </c>
      <c r="IS11" s="164">
        <v>107.20189999999999</v>
      </c>
      <c r="IT11" s="169">
        <v>45719</v>
      </c>
      <c r="IU11" s="122">
        <v>4000</v>
      </c>
      <c r="IV11" s="164">
        <v>11.5525</v>
      </c>
      <c r="IW11" s="169">
        <v>45464</v>
      </c>
      <c r="IX11" s="122">
        <v>990</v>
      </c>
      <c r="IY11" s="164">
        <v>-62.047400000000003</v>
      </c>
      <c r="IZ11" s="169">
        <v>45492</v>
      </c>
      <c r="JA11" s="122">
        <v>2010</v>
      </c>
      <c r="JB11" s="164">
        <v>29.902200000000001</v>
      </c>
      <c r="JC11" s="169">
        <v>45656</v>
      </c>
      <c r="JD11" s="122">
        <v>3000</v>
      </c>
      <c r="JE11" s="164">
        <v>-3.7</v>
      </c>
      <c r="JF11" s="169">
        <v>45646</v>
      </c>
      <c r="JG11" s="122">
        <v>1300</v>
      </c>
      <c r="JH11" s="164">
        <v>33.25</v>
      </c>
      <c r="JI11" s="169">
        <v>45349</v>
      </c>
      <c r="JJ11" s="122">
        <v>1000</v>
      </c>
      <c r="JK11" s="164">
        <v>76.62</v>
      </c>
      <c r="JL11" s="169">
        <v>45434</v>
      </c>
      <c r="JM11" s="122">
        <v>510</v>
      </c>
      <c r="JN11" s="164">
        <v>-130.11000000000001</v>
      </c>
      <c r="JO11" s="169">
        <v>45407</v>
      </c>
      <c r="JP11" s="122">
        <v>500</v>
      </c>
      <c r="JQ11" s="164">
        <v>37.21</v>
      </c>
      <c r="JR11" s="169"/>
      <c r="JS11" s="122"/>
      <c r="JT11" s="164"/>
      <c r="JU11" s="169"/>
      <c r="JV11" s="122"/>
      <c r="JW11" s="164"/>
      <c r="JX11" s="169">
        <v>45726</v>
      </c>
      <c r="JY11" s="122">
        <v>5000</v>
      </c>
      <c r="JZ11" s="164">
        <v>12.97</v>
      </c>
      <c r="KA11" s="169"/>
      <c r="KB11" s="122"/>
      <c r="KC11" s="164"/>
      <c r="KD11" s="169"/>
      <c r="KE11" s="122"/>
      <c r="KF11" s="164"/>
      <c r="KJ11" s="1189"/>
    </row>
    <row r="12" spans="1:296">
      <c r="A12" s="156">
        <v>9</v>
      </c>
      <c r="B12" s="169">
        <v>45688</v>
      </c>
      <c r="C12" s="122">
        <v>200</v>
      </c>
      <c r="D12" s="164">
        <v>-233.95</v>
      </c>
      <c r="E12" s="169">
        <v>45643</v>
      </c>
      <c r="F12" s="122">
        <v>6990</v>
      </c>
      <c r="G12" s="164">
        <v>14.52</v>
      </c>
      <c r="H12" s="169">
        <v>45553</v>
      </c>
      <c r="I12" s="122">
        <v>150000</v>
      </c>
      <c r="J12" s="164">
        <v>-48</v>
      </c>
      <c r="K12" s="169">
        <v>45495</v>
      </c>
      <c r="L12" s="122">
        <v>2000</v>
      </c>
      <c r="M12" s="164">
        <v>-183.43340000000001</v>
      </c>
      <c r="N12" s="169"/>
      <c r="O12" s="122"/>
      <c r="P12" s="164"/>
      <c r="Q12" s="169">
        <v>45523</v>
      </c>
      <c r="R12" s="122">
        <v>300</v>
      </c>
      <c r="S12" s="164">
        <v>826.52670000000001</v>
      </c>
      <c r="T12" s="169">
        <v>45712</v>
      </c>
      <c r="U12" s="122">
        <v>500</v>
      </c>
      <c r="V12" s="123">
        <v>-207.77</v>
      </c>
      <c r="W12" s="169">
        <v>45722</v>
      </c>
      <c r="X12" s="122">
        <v>800</v>
      </c>
      <c r="Y12" s="164">
        <v>-77.67</v>
      </c>
      <c r="Z12" s="169">
        <v>45664</v>
      </c>
      <c r="AA12" s="122">
        <v>6000</v>
      </c>
      <c r="AB12" s="164">
        <v>-2.85</v>
      </c>
      <c r="AC12" s="169"/>
      <c r="AD12" s="122"/>
      <c r="AE12" s="164"/>
      <c r="AF12" s="169">
        <v>45673</v>
      </c>
      <c r="AG12" s="122">
        <v>500</v>
      </c>
      <c r="AH12" s="164">
        <v>78.849999999999994</v>
      </c>
      <c r="AI12" s="169">
        <v>45552</v>
      </c>
      <c r="AJ12" s="122">
        <v>1000</v>
      </c>
      <c r="AK12" s="164">
        <v>50.78</v>
      </c>
      <c r="AL12" s="169">
        <v>45621</v>
      </c>
      <c r="AM12" s="122">
        <v>2000</v>
      </c>
      <c r="AN12" s="164">
        <v>60.17</v>
      </c>
      <c r="AO12" s="169">
        <v>45454</v>
      </c>
      <c r="AP12" s="122">
        <v>20000</v>
      </c>
      <c r="AQ12" s="164">
        <v>3.52</v>
      </c>
      <c r="AR12" s="169">
        <v>45673</v>
      </c>
      <c r="AS12" s="122">
        <v>500</v>
      </c>
      <c r="AT12" s="164">
        <v>-108.18</v>
      </c>
      <c r="AU12" s="169">
        <v>45496</v>
      </c>
      <c r="AV12" s="122">
        <v>5250</v>
      </c>
      <c r="AW12" s="164">
        <v>-34.97</v>
      </c>
      <c r="AX12" s="169">
        <v>45664</v>
      </c>
      <c r="AY12" s="122">
        <v>400</v>
      </c>
      <c r="AZ12" s="164">
        <v>151.72</v>
      </c>
      <c r="BA12" s="169"/>
      <c r="BB12" s="122"/>
      <c r="BC12" s="164"/>
      <c r="BD12" s="169">
        <v>45415</v>
      </c>
      <c r="BE12" s="122">
        <v>10000</v>
      </c>
      <c r="BF12" s="164">
        <v>-12.59</v>
      </c>
      <c r="BG12" s="169">
        <v>45504</v>
      </c>
      <c r="BH12" s="122">
        <v>13000</v>
      </c>
      <c r="BI12" s="164">
        <v>-5.65</v>
      </c>
      <c r="BJ12" s="169"/>
      <c r="BK12" s="122"/>
      <c r="BL12" s="164"/>
      <c r="BM12" s="169">
        <v>45545</v>
      </c>
      <c r="BN12" s="122">
        <v>3000</v>
      </c>
      <c r="BO12" s="164">
        <v>20.81</v>
      </c>
      <c r="BP12" s="169">
        <v>45631</v>
      </c>
      <c r="BQ12" s="122">
        <v>1500</v>
      </c>
      <c r="BR12" s="164">
        <v>36.17</v>
      </c>
      <c r="BS12" s="169">
        <v>45464</v>
      </c>
      <c r="BT12" s="122">
        <v>100000</v>
      </c>
      <c r="BU12" s="164">
        <v>-169</v>
      </c>
      <c r="BV12" s="169">
        <v>45489</v>
      </c>
      <c r="BW12" s="122">
        <v>1000</v>
      </c>
      <c r="BX12" s="164">
        <v>52.75</v>
      </c>
      <c r="BY12" s="169">
        <v>45667</v>
      </c>
      <c r="BZ12" s="122">
        <v>3000</v>
      </c>
      <c r="CA12" s="164">
        <v>8.4600000000000009</v>
      </c>
      <c r="CB12" s="169">
        <v>45631</v>
      </c>
      <c r="CC12" s="122">
        <v>5000</v>
      </c>
      <c r="CD12" s="164">
        <v>6.37</v>
      </c>
      <c r="CE12" s="169">
        <v>45496</v>
      </c>
      <c r="CF12" s="122">
        <v>1000</v>
      </c>
      <c r="CG12" s="164">
        <v>-121.971</v>
      </c>
      <c r="CH12" s="169">
        <v>45526</v>
      </c>
      <c r="CI12" s="122">
        <v>300</v>
      </c>
      <c r="CJ12" s="164">
        <v>423.02499999999998</v>
      </c>
      <c r="CK12" s="169">
        <v>45575</v>
      </c>
      <c r="CL12" s="122">
        <v>1000</v>
      </c>
      <c r="CM12" s="164">
        <v>-81.61</v>
      </c>
      <c r="CN12" s="169">
        <v>45492</v>
      </c>
      <c r="CO12" s="122">
        <v>10000</v>
      </c>
      <c r="CP12" s="164">
        <v>47.017462000000002</v>
      </c>
      <c r="CQ12" s="169">
        <v>45474</v>
      </c>
      <c r="CR12" s="555">
        <v>500</v>
      </c>
      <c r="CS12" s="164">
        <v>670.21226000000001</v>
      </c>
      <c r="CT12" s="169"/>
      <c r="CU12" s="122"/>
      <c r="CV12" s="164"/>
      <c r="CW12" s="169">
        <v>45806</v>
      </c>
      <c r="CX12" s="122">
        <v>1000</v>
      </c>
      <c r="CY12" s="164">
        <v>-24.42</v>
      </c>
      <c r="CZ12" s="169">
        <v>45456</v>
      </c>
      <c r="DA12" s="122">
        <v>4000</v>
      </c>
      <c r="DB12" s="164">
        <v>8.8018999999999998</v>
      </c>
      <c r="DC12" s="169">
        <v>45937</v>
      </c>
      <c r="DD12" s="122">
        <v>2500</v>
      </c>
      <c r="DE12" s="164">
        <v>7.4</v>
      </c>
      <c r="DF12" s="169"/>
      <c r="DG12" s="122"/>
      <c r="DH12" s="164"/>
      <c r="DI12" s="169">
        <v>45503</v>
      </c>
      <c r="DJ12" s="122">
        <v>4000</v>
      </c>
      <c r="DK12" s="164">
        <v>10.41</v>
      </c>
      <c r="DL12" s="169">
        <v>45460</v>
      </c>
      <c r="DM12" s="122">
        <v>10000</v>
      </c>
      <c r="DN12" s="164">
        <v>-32.99</v>
      </c>
      <c r="DO12" s="169">
        <v>45497</v>
      </c>
      <c r="DP12" s="122">
        <v>490</v>
      </c>
      <c r="DQ12" s="164">
        <v>-184.04</v>
      </c>
      <c r="DR12" s="169">
        <v>45605</v>
      </c>
      <c r="DS12" s="122">
        <v>4000</v>
      </c>
      <c r="DT12" s="164">
        <v>-19.82</v>
      </c>
      <c r="DU12" s="169"/>
      <c r="DV12" s="122"/>
      <c r="DW12" s="164"/>
      <c r="DX12" s="169">
        <v>45701</v>
      </c>
      <c r="DY12" s="122">
        <v>200</v>
      </c>
      <c r="DZ12" s="164">
        <v>357.3</v>
      </c>
      <c r="EA12" s="169">
        <v>45719</v>
      </c>
      <c r="EB12" s="122">
        <v>200</v>
      </c>
      <c r="EC12" s="164">
        <v>-178.31</v>
      </c>
      <c r="ED12" s="169">
        <v>45446</v>
      </c>
      <c r="EE12" s="122">
        <v>955</v>
      </c>
      <c r="EF12" s="164">
        <v>-51.83</v>
      </c>
      <c r="EG12" s="169"/>
      <c r="EH12" s="122"/>
      <c r="EI12" s="164"/>
      <c r="EJ12" s="169">
        <v>45712</v>
      </c>
      <c r="EK12" s="122">
        <v>500</v>
      </c>
      <c r="EL12" s="123">
        <v>-207.77</v>
      </c>
      <c r="EM12" s="169">
        <v>45701</v>
      </c>
      <c r="EN12" s="122">
        <v>500</v>
      </c>
      <c r="EO12" s="164">
        <v>30.08</v>
      </c>
      <c r="EP12" s="169">
        <v>45478</v>
      </c>
      <c r="EQ12" s="122">
        <v>2000</v>
      </c>
      <c r="ER12" s="164">
        <v>54.44</v>
      </c>
      <c r="ES12" s="169"/>
      <c r="ET12" s="122"/>
      <c r="EU12" s="164"/>
      <c r="EV12" s="169">
        <v>45694</v>
      </c>
      <c r="EW12" s="122">
        <v>6500</v>
      </c>
      <c r="EX12" s="123">
        <v>-10.059900000000001</v>
      </c>
      <c r="EY12" s="169">
        <v>45657</v>
      </c>
      <c r="EZ12" s="122">
        <v>1800</v>
      </c>
      <c r="FA12" s="164">
        <v>107.37</v>
      </c>
      <c r="FB12" s="169">
        <v>45623</v>
      </c>
      <c r="FC12" s="122">
        <v>6000</v>
      </c>
      <c r="FD12" s="164">
        <v>-9.84</v>
      </c>
      <c r="FE12" s="169">
        <v>45716</v>
      </c>
      <c r="FF12" s="122">
        <v>20000</v>
      </c>
      <c r="FG12" s="164">
        <v>-1.01</v>
      </c>
      <c r="FH12" s="169">
        <v>45602</v>
      </c>
      <c r="FI12" s="122">
        <v>5000</v>
      </c>
      <c r="FJ12" s="164">
        <v>3.52</v>
      </c>
      <c r="FK12" s="169">
        <v>45419</v>
      </c>
      <c r="FL12" s="122">
        <v>1160</v>
      </c>
      <c r="FM12" s="164">
        <v>-35.35</v>
      </c>
      <c r="FN12" s="169">
        <v>45495</v>
      </c>
      <c r="FO12" s="122">
        <v>10</v>
      </c>
      <c r="FP12" s="164">
        <v>12.49</v>
      </c>
      <c r="FQ12" s="169">
        <v>45706</v>
      </c>
      <c r="FR12" s="122">
        <v>8000</v>
      </c>
      <c r="FS12" s="164">
        <v>-14.09</v>
      </c>
      <c r="FT12" s="169"/>
      <c r="FU12" s="122"/>
      <c r="FV12" s="164"/>
      <c r="FW12" s="169">
        <v>45443</v>
      </c>
      <c r="FX12" s="122">
        <v>3000</v>
      </c>
      <c r="FY12" s="164">
        <v>-27.4499</v>
      </c>
      <c r="FZ12" s="289">
        <v>45478</v>
      </c>
      <c r="GA12" s="122">
        <v>500</v>
      </c>
      <c r="GB12" s="164">
        <v>9.7119999999999997</v>
      </c>
      <c r="GC12" s="169">
        <v>45435</v>
      </c>
      <c r="GD12" s="122">
        <v>10000</v>
      </c>
      <c r="GE12" s="164">
        <v>34.6</v>
      </c>
      <c r="GF12" s="169">
        <v>45442</v>
      </c>
      <c r="GG12" s="122">
        <v>500</v>
      </c>
      <c r="GH12" s="164">
        <v>-169.08</v>
      </c>
      <c r="GI12" s="169">
        <v>45856</v>
      </c>
      <c r="GJ12" s="122">
        <v>39</v>
      </c>
      <c r="GK12" s="164">
        <v>-37.424999999999997</v>
      </c>
      <c r="GL12" s="648">
        <v>45478</v>
      </c>
      <c r="GM12" s="122">
        <v>300</v>
      </c>
      <c r="GN12" s="164">
        <v>225.255</v>
      </c>
      <c r="GO12" s="169">
        <v>45405</v>
      </c>
      <c r="GP12" s="122">
        <v>990</v>
      </c>
      <c r="GQ12" s="164">
        <v>179.08</v>
      </c>
      <c r="GR12" s="169">
        <v>45357</v>
      </c>
      <c r="GS12" s="122">
        <v>100</v>
      </c>
      <c r="GT12" s="164">
        <v>911.27</v>
      </c>
      <c r="GU12" s="169">
        <v>45489</v>
      </c>
      <c r="GV12" s="122">
        <v>20000</v>
      </c>
      <c r="GW12" s="164">
        <v>-4.0185000000000004</v>
      </c>
      <c r="GX12" s="169">
        <v>45503</v>
      </c>
      <c r="GY12" s="122">
        <v>500</v>
      </c>
      <c r="GZ12" s="164">
        <v>-92.95</v>
      </c>
      <c r="HA12" s="169">
        <v>45426</v>
      </c>
      <c r="HB12" s="122">
        <v>1000</v>
      </c>
      <c r="HC12" s="164">
        <v>-44.95</v>
      </c>
      <c r="HD12" s="169">
        <v>45583</v>
      </c>
      <c r="HE12" s="122">
        <v>25000</v>
      </c>
      <c r="HF12" s="164">
        <v>212.3</v>
      </c>
      <c r="HG12" s="169">
        <v>45476</v>
      </c>
      <c r="HH12" s="122">
        <v>300</v>
      </c>
      <c r="HI12" s="164">
        <v>-118.74</v>
      </c>
      <c r="HJ12" s="169">
        <v>45492</v>
      </c>
      <c r="HK12" s="122">
        <v>15000</v>
      </c>
      <c r="HL12" s="164">
        <v>3.1273</v>
      </c>
      <c r="HM12" s="169">
        <v>45427</v>
      </c>
      <c r="HN12" s="122">
        <v>3000</v>
      </c>
      <c r="HO12" s="164">
        <v>-15.08</v>
      </c>
      <c r="HP12" s="169">
        <v>45637</v>
      </c>
      <c r="HQ12" s="122">
        <v>6000</v>
      </c>
      <c r="HR12" s="164">
        <v>576.69000000000005</v>
      </c>
      <c r="HS12" s="169">
        <v>45505</v>
      </c>
      <c r="HT12" s="122">
        <v>8000</v>
      </c>
      <c r="HU12" s="164">
        <v>-9.61</v>
      </c>
      <c r="HV12" s="169">
        <v>45427</v>
      </c>
      <c r="HW12" s="122">
        <v>2000</v>
      </c>
      <c r="HX12" s="164">
        <v>-27.47</v>
      </c>
      <c r="HY12" s="169">
        <v>45469</v>
      </c>
      <c r="HZ12" s="122">
        <v>500</v>
      </c>
      <c r="IA12" s="164">
        <v>134.26</v>
      </c>
      <c r="IB12" s="169">
        <v>45505</v>
      </c>
      <c r="IC12" s="122">
        <v>100</v>
      </c>
      <c r="ID12" s="164">
        <v>573.66999999999996</v>
      </c>
      <c r="IE12" s="169"/>
      <c r="IF12" s="122"/>
      <c r="IG12" s="164"/>
      <c r="IH12" s="169">
        <v>45469</v>
      </c>
      <c r="II12" s="122">
        <v>2000</v>
      </c>
      <c r="IJ12" s="164">
        <v>28.405000000000001</v>
      </c>
      <c r="IK12" s="169">
        <v>45455</v>
      </c>
      <c r="IL12" s="122">
        <v>390</v>
      </c>
      <c r="IM12" s="164">
        <v>-443.06790000000001</v>
      </c>
      <c r="IN12" s="169"/>
      <c r="IO12" s="122"/>
      <c r="IP12" s="164"/>
      <c r="IQ12" s="169">
        <v>45475</v>
      </c>
      <c r="IR12" s="122">
        <v>1000</v>
      </c>
      <c r="IS12" s="164">
        <v>-105.96362499999999</v>
      </c>
      <c r="IT12" s="169">
        <v>45737</v>
      </c>
      <c r="IU12" s="122">
        <v>2000</v>
      </c>
      <c r="IV12" s="164">
        <v>11.845000000000001</v>
      </c>
      <c r="IW12" s="169">
        <v>45469</v>
      </c>
      <c r="IX12" s="122">
        <v>2000</v>
      </c>
      <c r="IY12" s="164">
        <v>62.900199999999998</v>
      </c>
      <c r="IZ12" s="169">
        <v>45617</v>
      </c>
      <c r="JA12" s="122">
        <v>1600</v>
      </c>
      <c r="JB12" s="164">
        <v>-24.94</v>
      </c>
      <c r="JC12" s="169">
        <v>45866</v>
      </c>
      <c r="JD12" s="122">
        <v>25000</v>
      </c>
      <c r="JE12" s="164">
        <v>-3.04</v>
      </c>
      <c r="JF12" s="169">
        <v>45656</v>
      </c>
      <c r="JG12" s="122">
        <v>2300</v>
      </c>
      <c r="JH12" s="164">
        <v>-36.789099999999998</v>
      </c>
      <c r="JI12" s="169">
        <v>45377</v>
      </c>
      <c r="JJ12" s="122">
        <v>500</v>
      </c>
      <c r="JK12" s="164">
        <v>83.82</v>
      </c>
      <c r="JL12" s="169">
        <v>45453</v>
      </c>
      <c r="JM12" s="122">
        <v>500</v>
      </c>
      <c r="JN12" s="164">
        <v>136.26</v>
      </c>
      <c r="JO12" s="169">
        <v>45425</v>
      </c>
      <c r="JP12" s="122">
        <v>2500</v>
      </c>
      <c r="JQ12" s="164">
        <v>-38</v>
      </c>
      <c r="JR12" s="169"/>
      <c r="JS12" s="122"/>
      <c r="JT12" s="164"/>
      <c r="JU12" s="169"/>
      <c r="JV12" s="122"/>
      <c r="JW12" s="164"/>
      <c r="JX12" s="289">
        <v>45770</v>
      </c>
      <c r="JY12" s="122">
        <v>5000</v>
      </c>
      <c r="JZ12" s="164">
        <v>-14.97</v>
      </c>
      <c r="KA12" s="169"/>
      <c r="KB12" s="122"/>
      <c r="KC12" s="164"/>
      <c r="KD12" s="169"/>
      <c r="KE12" s="122"/>
      <c r="KF12" s="164"/>
      <c r="KJ12" s="1189"/>
    </row>
    <row r="13" spans="1:296" ht="23" thickBot="1">
      <c r="A13" s="157">
        <v>10</v>
      </c>
      <c r="B13" s="169">
        <v>45692</v>
      </c>
      <c r="C13" s="122">
        <v>300</v>
      </c>
      <c r="D13" s="164">
        <v>-230.7</v>
      </c>
      <c r="E13" s="169">
        <v>45656</v>
      </c>
      <c r="F13" s="122">
        <v>2990</v>
      </c>
      <c r="G13" s="164">
        <v>-13.8004582</v>
      </c>
      <c r="H13" s="169">
        <v>45572</v>
      </c>
      <c r="I13" s="122">
        <v>100000</v>
      </c>
      <c r="J13" s="164">
        <v>-52.521900000000002</v>
      </c>
      <c r="K13" s="169">
        <v>45513</v>
      </c>
      <c r="L13" s="122">
        <v>2000</v>
      </c>
      <c r="M13" s="164">
        <v>166.94</v>
      </c>
      <c r="N13" s="169"/>
      <c r="O13" s="122"/>
      <c r="P13" s="164"/>
      <c r="Q13" s="169">
        <v>45531</v>
      </c>
      <c r="R13" s="122">
        <v>300</v>
      </c>
      <c r="S13" s="164">
        <v>-791.4</v>
      </c>
      <c r="T13" s="169">
        <v>45713</v>
      </c>
      <c r="U13" s="122">
        <v>240</v>
      </c>
      <c r="V13" s="123">
        <v>-203.42583329999999</v>
      </c>
      <c r="W13" s="169">
        <v>45828</v>
      </c>
      <c r="X13" s="122">
        <v>4000</v>
      </c>
      <c r="Y13" s="164">
        <v>-69.84</v>
      </c>
      <c r="Z13" s="169">
        <v>45940</v>
      </c>
      <c r="AA13" s="122">
        <v>6000</v>
      </c>
      <c r="AB13" s="164">
        <v>3.3500999999999999</v>
      </c>
      <c r="AC13" s="169"/>
      <c r="AD13" s="122"/>
      <c r="AE13" s="164"/>
      <c r="AF13" s="169">
        <v>45686</v>
      </c>
      <c r="AG13" s="122">
        <v>500</v>
      </c>
      <c r="AH13" s="164">
        <v>80.89</v>
      </c>
      <c r="AI13" s="169">
        <v>45555</v>
      </c>
      <c r="AJ13" s="122">
        <v>1000</v>
      </c>
      <c r="AK13" s="164">
        <v>52.01</v>
      </c>
      <c r="AL13" s="169">
        <v>45622</v>
      </c>
      <c r="AM13" s="122">
        <v>2000</v>
      </c>
      <c r="AN13" s="164">
        <v>-59.17</v>
      </c>
      <c r="AO13" s="169">
        <v>45673</v>
      </c>
      <c r="AP13" s="122">
        <v>5000</v>
      </c>
      <c r="AQ13" s="164">
        <v>-3.12</v>
      </c>
      <c r="AR13" s="169">
        <v>45684</v>
      </c>
      <c r="AS13" s="122">
        <v>900</v>
      </c>
      <c r="AT13" s="164">
        <v>113.21462</v>
      </c>
      <c r="AU13" s="169">
        <v>45558</v>
      </c>
      <c r="AV13" s="122">
        <v>5000</v>
      </c>
      <c r="AW13" s="164">
        <v>36.159999999999997</v>
      </c>
      <c r="AX13" s="169">
        <v>45859</v>
      </c>
      <c r="AY13" s="122">
        <v>990</v>
      </c>
      <c r="AZ13" s="164">
        <v>-140.09</v>
      </c>
      <c r="BA13" s="169"/>
      <c r="BB13" s="122"/>
      <c r="BC13" s="164"/>
      <c r="BD13" s="169">
        <v>45436</v>
      </c>
      <c r="BE13" s="122">
        <v>5000</v>
      </c>
      <c r="BF13" s="164">
        <v>12.315</v>
      </c>
      <c r="BG13" s="169">
        <v>45504</v>
      </c>
      <c r="BH13" s="122">
        <v>3000</v>
      </c>
      <c r="BI13" s="164">
        <v>-5.2888000000000002</v>
      </c>
      <c r="BJ13" s="169"/>
      <c r="BK13" s="122"/>
      <c r="BL13" s="164"/>
      <c r="BM13" s="169">
        <v>45673</v>
      </c>
      <c r="BN13" s="122">
        <v>2000</v>
      </c>
      <c r="BO13" s="164">
        <v>23.25</v>
      </c>
      <c r="BP13" s="169">
        <v>45664</v>
      </c>
      <c r="BQ13" s="122">
        <v>4000</v>
      </c>
      <c r="BR13" s="164">
        <v>-33.85</v>
      </c>
      <c r="BS13" s="169">
        <v>45478</v>
      </c>
      <c r="BT13" s="122">
        <v>100000</v>
      </c>
      <c r="BU13" s="164">
        <v>174.25</v>
      </c>
      <c r="BV13" s="169">
        <v>45495</v>
      </c>
      <c r="BW13" s="122">
        <v>1000</v>
      </c>
      <c r="BX13" s="164">
        <v>54.773000000000003</v>
      </c>
      <c r="BY13" s="169"/>
      <c r="BZ13" s="122"/>
      <c r="CA13" s="164"/>
      <c r="CB13" s="289">
        <v>45646</v>
      </c>
      <c r="CC13" s="122">
        <v>3000</v>
      </c>
      <c r="CD13" s="164">
        <v>5.89</v>
      </c>
      <c r="CE13" s="169">
        <v>45541</v>
      </c>
      <c r="CF13" s="122">
        <v>2000</v>
      </c>
      <c r="CG13" s="164">
        <v>-72.05</v>
      </c>
      <c r="CH13" s="169">
        <v>45575</v>
      </c>
      <c r="CI13" s="122">
        <v>300</v>
      </c>
      <c r="CJ13" s="164">
        <v>-416.55</v>
      </c>
      <c r="CK13" s="169">
        <v>45674</v>
      </c>
      <c r="CL13" s="122">
        <v>1190</v>
      </c>
      <c r="CM13" s="164">
        <v>-70.81</v>
      </c>
      <c r="CN13" s="169">
        <v>45539</v>
      </c>
      <c r="CO13" s="122">
        <v>5000</v>
      </c>
      <c r="CP13" s="164">
        <v>52.06</v>
      </c>
      <c r="CQ13" s="169">
        <v>45496</v>
      </c>
      <c r="CR13" s="555">
        <v>500</v>
      </c>
      <c r="CS13" s="164">
        <v>-642.58018000000004</v>
      </c>
      <c r="CT13" s="169"/>
      <c r="CU13" s="122"/>
      <c r="CV13" s="164"/>
      <c r="CW13" s="169">
        <v>45835</v>
      </c>
      <c r="CX13" s="122">
        <v>1000</v>
      </c>
      <c r="CY13" s="164">
        <v>-27.53</v>
      </c>
      <c r="CZ13" s="169">
        <v>45461</v>
      </c>
      <c r="DA13" s="122">
        <v>4000</v>
      </c>
      <c r="DB13" s="164">
        <v>-8.7272999999999996</v>
      </c>
      <c r="DC13" s="169">
        <v>45938</v>
      </c>
      <c r="DD13" s="122">
        <v>2500</v>
      </c>
      <c r="DE13" s="164">
        <v>9.07</v>
      </c>
      <c r="DF13" s="169"/>
      <c r="DG13" s="122"/>
      <c r="DH13" s="164"/>
      <c r="DI13" s="169">
        <v>45539</v>
      </c>
      <c r="DJ13" s="122">
        <v>2300</v>
      </c>
      <c r="DK13" s="164">
        <v>13.34</v>
      </c>
      <c r="DL13" s="169">
        <v>45461</v>
      </c>
      <c r="DM13" s="122">
        <v>4957</v>
      </c>
      <c r="DN13" s="164">
        <v>33.46</v>
      </c>
      <c r="DO13" s="169">
        <v>45498</v>
      </c>
      <c r="DP13" s="122">
        <v>1490</v>
      </c>
      <c r="DQ13" s="164">
        <v>-196</v>
      </c>
      <c r="DR13" s="169">
        <v>45635</v>
      </c>
      <c r="DS13" s="122">
        <v>6000</v>
      </c>
      <c r="DT13" s="164">
        <v>-20.27</v>
      </c>
      <c r="DU13" s="169"/>
      <c r="DV13" s="122"/>
      <c r="DW13" s="164"/>
      <c r="DX13" s="169">
        <v>45712</v>
      </c>
      <c r="DY13" s="122">
        <v>390</v>
      </c>
      <c r="DZ13" s="164">
        <v>333.93</v>
      </c>
      <c r="EA13" s="169">
        <v>45730</v>
      </c>
      <c r="EB13" s="122">
        <v>450</v>
      </c>
      <c r="EC13" s="164">
        <v>-193.52683999999999</v>
      </c>
      <c r="ED13" s="169">
        <v>45504</v>
      </c>
      <c r="EE13" s="122">
        <v>2640</v>
      </c>
      <c r="EF13" s="164">
        <v>-42.222099999999998</v>
      </c>
      <c r="EG13" s="169"/>
      <c r="EH13" s="122"/>
      <c r="EI13" s="164"/>
      <c r="EJ13" s="169">
        <v>45713</v>
      </c>
      <c r="EK13" s="122">
        <v>240</v>
      </c>
      <c r="EL13" s="123">
        <v>-203.42583329999999</v>
      </c>
      <c r="EM13" s="169"/>
      <c r="EN13" s="122"/>
      <c r="EO13" s="164"/>
      <c r="EP13" s="169">
        <v>45488</v>
      </c>
      <c r="EQ13" s="122">
        <v>2000</v>
      </c>
      <c r="ER13" s="164">
        <v>55.8</v>
      </c>
      <c r="ES13" s="169"/>
      <c r="ET13" s="122"/>
      <c r="EU13" s="164"/>
      <c r="EV13" s="169">
        <v>45706</v>
      </c>
      <c r="EW13" s="122">
        <v>3000</v>
      </c>
      <c r="EX13" s="123">
        <v>10.765000000000001</v>
      </c>
      <c r="EY13" s="169">
        <v>45926</v>
      </c>
      <c r="EZ13" s="122">
        <v>300</v>
      </c>
      <c r="FA13" s="164">
        <v>-117.49</v>
      </c>
      <c r="FB13" s="169">
        <v>45644</v>
      </c>
      <c r="FC13" s="122">
        <v>7200</v>
      </c>
      <c r="FD13" s="164">
        <v>10.55</v>
      </c>
      <c r="FE13" s="169">
        <v>45862</v>
      </c>
      <c r="FF13" s="122">
        <v>20000</v>
      </c>
      <c r="FG13" s="164">
        <v>-0.95828650000000004</v>
      </c>
      <c r="FH13" s="169"/>
      <c r="FI13" s="122"/>
      <c r="FJ13" s="164"/>
      <c r="FK13" s="169">
        <v>45496</v>
      </c>
      <c r="FL13" s="122">
        <v>6000</v>
      </c>
      <c r="FM13" s="164">
        <v>-34.99</v>
      </c>
      <c r="FN13" s="169">
        <v>45678</v>
      </c>
      <c r="FO13" s="122">
        <v>6000</v>
      </c>
      <c r="FP13" s="164">
        <v>-11.06</v>
      </c>
      <c r="FQ13" s="169">
        <v>45771</v>
      </c>
      <c r="FR13" s="122">
        <v>8000</v>
      </c>
      <c r="FS13" s="164">
        <v>-12.6593</v>
      </c>
      <c r="FT13" s="169"/>
      <c r="FU13" s="122"/>
      <c r="FV13" s="164"/>
      <c r="FW13" s="169">
        <v>45446</v>
      </c>
      <c r="FX13" s="122">
        <v>3000</v>
      </c>
      <c r="FY13" s="164">
        <v>-26.995000000000001</v>
      </c>
      <c r="FZ13" s="289">
        <v>45503</v>
      </c>
      <c r="GA13" s="122">
        <v>2500</v>
      </c>
      <c r="GB13" s="164">
        <v>10.24</v>
      </c>
      <c r="GC13" s="169">
        <v>45453</v>
      </c>
      <c r="GD13" s="122">
        <v>5000</v>
      </c>
      <c r="GE13" s="164">
        <v>-33.61</v>
      </c>
      <c r="GF13" s="169">
        <v>45453</v>
      </c>
      <c r="GG13" s="122">
        <v>500</v>
      </c>
      <c r="GH13" s="164">
        <v>176.4614</v>
      </c>
      <c r="GI13" s="169"/>
      <c r="GJ13" s="122"/>
      <c r="GK13" s="164"/>
      <c r="GL13" s="648">
        <v>45503</v>
      </c>
      <c r="GM13" s="122">
        <v>200</v>
      </c>
      <c r="GN13" s="164">
        <v>-217.45</v>
      </c>
      <c r="GO13" s="169">
        <v>45443</v>
      </c>
      <c r="GP13" s="122">
        <v>1000</v>
      </c>
      <c r="GQ13" s="164">
        <v>-174.56</v>
      </c>
      <c r="GR13" s="169">
        <v>45362</v>
      </c>
      <c r="GS13" s="122">
        <v>100</v>
      </c>
      <c r="GT13" s="164">
        <v>-895</v>
      </c>
      <c r="GU13" s="169">
        <v>45681</v>
      </c>
      <c r="GV13" s="122">
        <v>20000</v>
      </c>
      <c r="GW13" s="164">
        <v>-3.81</v>
      </c>
      <c r="GX13" s="169">
        <v>45484</v>
      </c>
      <c r="GY13" s="122">
        <v>500</v>
      </c>
      <c r="GZ13" s="164">
        <v>98.98</v>
      </c>
      <c r="HA13" s="169">
        <v>45427</v>
      </c>
      <c r="HB13" s="122">
        <v>1990</v>
      </c>
      <c r="HC13" s="164">
        <v>45.43</v>
      </c>
      <c r="HD13" s="169">
        <v>45646</v>
      </c>
      <c r="HE13" s="122">
        <v>100000</v>
      </c>
      <c r="HF13" s="164">
        <v>301.92</v>
      </c>
      <c r="HG13" s="169">
        <v>45483</v>
      </c>
      <c r="HH13" s="122">
        <v>399</v>
      </c>
      <c r="HI13" s="164">
        <v>-117.4645</v>
      </c>
      <c r="HJ13" s="169">
        <v>45572</v>
      </c>
      <c r="HK13" s="122">
        <v>20000</v>
      </c>
      <c r="HL13" s="164">
        <v>-1.94</v>
      </c>
      <c r="HM13" s="169">
        <v>45434</v>
      </c>
      <c r="HN13" s="122">
        <v>3000</v>
      </c>
      <c r="HO13" s="164">
        <v>14.47</v>
      </c>
      <c r="HP13" s="169">
        <v>45671</v>
      </c>
      <c r="HQ13" s="122">
        <v>8000</v>
      </c>
      <c r="HR13" s="164">
        <v>-494</v>
      </c>
      <c r="HS13" s="169">
        <v>45674</v>
      </c>
      <c r="HT13" s="122">
        <v>8000</v>
      </c>
      <c r="HU13" s="164">
        <v>10.15</v>
      </c>
      <c r="HV13" s="169">
        <v>45441</v>
      </c>
      <c r="HW13" s="122">
        <v>1000</v>
      </c>
      <c r="HX13" s="164">
        <v>27.252800000000001</v>
      </c>
      <c r="HY13" s="169">
        <v>45546</v>
      </c>
      <c r="HZ13" s="122">
        <v>500</v>
      </c>
      <c r="IA13" s="164">
        <v>-140.42179999999999</v>
      </c>
      <c r="IB13" s="169">
        <v>45566</v>
      </c>
      <c r="IC13" s="122">
        <v>100</v>
      </c>
      <c r="ID13" s="164">
        <v>-561.60149999999999</v>
      </c>
      <c r="IE13" s="169"/>
      <c r="IF13" s="122"/>
      <c r="IG13" s="164"/>
      <c r="IH13" s="169">
        <v>45504</v>
      </c>
      <c r="II13" s="122">
        <v>2000</v>
      </c>
      <c r="IJ13" s="164">
        <v>-27.549700000000001</v>
      </c>
      <c r="IK13" s="169">
        <v>45467</v>
      </c>
      <c r="IL13" s="122">
        <v>100</v>
      </c>
      <c r="IM13" s="164">
        <v>460.42219999999998</v>
      </c>
      <c r="IN13" s="169"/>
      <c r="IO13" s="122"/>
      <c r="IP13" s="164"/>
      <c r="IQ13" s="169">
        <v>45495</v>
      </c>
      <c r="IR13" s="122">
        <v>1000</v>
      </c>
      <c r="IS13" s="164">
        <v>108.6118</v>
      </c>
      <c r="IT13" s="169">
        <v>45748</v>
      </c>
      <c r="IU13" s="122">
        <v>2000</v>
      </c>
      <c r="IV13" s="164">
        <v>12.03</v>
      </c>
      <c r="IW13" s="169">
        <v>45489</v>
      </c>
      <c r="IX13" s="122">
        <v>2000</v>
      </c>
      <c r="IY13" s="164">
        <v>-62.38</v>
      </c>
      <c r="IZ13" s="169"/>
      <c r="JA13" s="122"/>
      <c r="JB13" s="164"/>
      <c r="JC13" s="169">
        <v>45922</v>
      </c>
      <c r="JD13" s="122">
        <v>13000</v>
      </c>
      <c r="JE13" s="164">
        <v>-3.38</v>
      </c>
      <c r="JF13" s="169">
        <v>45660</v>
      </c>
      <c r="JG13" s="122">
        <v>5000</v>
      </c>
      <c r="JH13" s="164">
        <v>35.859000000000002</v>
      </c>
      <c r="JI13" s="169">
        <v>45379</v>
      </c>
      <c r="JJ13" s="122">
        <v>1000</v>
      </c>
      <c r="JK13" s="164">
        <v>-83.02</v>
      </c>
      <c r="JL13" s="169">
        <v>45455</v>
      </c>
      <c r="JM13" s="122">
        <v>490</v>
      </c>
      <c r="JN13" s="164">
        <v>-140.32480000000001</v>
      </c>
      <c r="JO13" s="169">
        <v>45446</v>
      </c>
      <c r="JP13" s="122">
        <v>1500</v>
      </c>
      <c r="JQ13" s="164">
        <v>-38.380000000000003</v>
      </c>
      <c r="JR13" s="169"/>
      <c r="JS13" s="122"/>
      <c r="JT13" s="164"/>
      <c r="JU13" s="169"/>
      <c r="JV13" s="122"/>
      <c r="JW13" s="164"/>
      <c r="JX13" s="289">
        <v>45785</v>
      </c>
      <c r="JY13" s="122">
        <v>2000</v>
      </c>
      <c r="JZ13" s="164">
        <v>15.9</v>
      </c>
      <c r="KA13" s="169"/>
      <c r="KB13" s="122"/>
      <c r="KC13" s="164"/>
      <c r="KD13" s="169"/>
      <c r="KE13" s="122"/>
      <c r="KF13" s="164"/>
      <c r="KJ13" s="1189"/>
    </row>
    <row r="14" spans="1:296">
      <c r="A14" s="156">
        <v>11</v>
      </c>
      <c r="B14" s="169">
        <v>45702</v>
      </c>
      <c r="C14" s="122">
        <v>300</v>
      </c>
      <c r="D14" s="164">
        <v>244.12</v>
      </c>
      <c r="E14" s="169">
        <v>45712</v>
      </c>
      <c r="F14" s="122">
        <v>2990</v>
      </c>
      <c r="G14" s="164">
        <v>16.670000000000002</v>
      </c>
      <c r="H14" s="169">
        <v>45608</v>
      </c>
      <c r="I14" s="122">
        <v>100000</v>
      </c>
      <c r="J14" s="164">
        <v>-47.96</v>
      </c>
      <c r="K14" s="169">
        <v>45532</v>
      </c>
      <c r="L14" s="122">
        <v>1000</v>
      </c>
      <c r="M14" s="164">
        <v>175.73</v>
      </c>
      <c r="N14" s="169"/>
      <c r="O14" s="122"/>
      <c r="P14" s="164"/>
      <c r="Q14" s="169">
        <v>45575</v>
      </c>
      <c r="R14" s="122">
        <v>200</v>
      </c>
      <c r="S14" s="164">
        <v>-761.4</v>
      </c>
      <c r="T14" s="169">
        <v>45800</v>
      </c>
      <c r="U14" s="122">
        <v>200</v>
      </c>
      <c r="V14" s="123">
        <v>229.82</v>
      </c>
      <c r="W14" s="169">
        <v>45863</v>
      </c>
      <c r="X14" s="122">
        <v>2000</v>
      </c>
      <c r="Y14" s="164">
        <v>72.540000000000006</v>
      </c>
      <c r="Z14" s="169"/>
      <c r="AA14" s="122"/>
      <c r="AB14" s="164"/>
      <c r="AC14" s="169"/>
      <c r="AD14" s="122"/>
      <c r="AE14" s="164"/>
      <c r="AF14" s="169">
        <v>45764</v>
      </c>
      <c r="AG14" s="122">
        <v>500</v>
      </c>
      <c r="AH14" s="164">
        <v>-62.75</v>
      </c>
      <c r="AI14" s="169">
        <v>45679</v>
      </c>
      <c r="AJ14" s="122">
        <v>2000</v>
      </c>
      <c r="AK14" s="164">
        <v>61.15</v>
      </c>
      <c r="AL14" s="169">
        <v>45623</v>
      </c>
      <c r="AM14" s="122">
        <v>2000</v>
      </c>
      <c r="AN14" s="164">
        <v>59.19</v>
      </c>
      <c r="AO14" s="169">
        <v>45681</v>
      </c>
      <c r="AP14" s="122">
        <v>15000</v>
      </c>
      <c r="AQ14" s="164">
        <v>-3.82</v>
      </c>
      <c r="AR14" s="169">
        <v>45702</v>
      </c>
      <c r="AS14" s="122">
        <v>600</v>
      </c>
      <c r="AT14" s="164">
        <v>-110.22</v>
      </c>
      <c r="AU14" s="169">
        <v>45606</v>
      </c>
      <c r="AV14" s="122">
        <v>750</v>
      </c>
      <c r="AW14" s="164">
        <v>-33.76</v>
      </c>
      <c r="AX14" s="169">
        <v>45939</v>
      </c>
      <c r="AY14" s="122">
        <v>400</v>
      </c>
      <c r="AZ14" s="164">
        <v>-127.09</v>
      </c>
      <c r="BA14" s="169"/>
      <c r="BB14" s="122"/>
      <c r="BC14" s="164"/>
      <c r="BD14" s="169">
        <v>45441</v>
      </c>
      <c r="BE14" s="122">
        <v>15000</v>
      </c>
      <c r="BF14" s="164">
        <v>12.3</v>
      </c>
      <c r="BG14" s="169">
        <v>45553</v>
      </c>
      <c r="BH14" s="122">
        <v>10000</v>
      </c>
      <c r="BI14" s="164">
        <v>5.77</v>
      </c>
      <c r="BJ14" s="169"/>
      <c r="BK14" s="122"/>
      <c r="BL14" s="164"/>
      <c r="BM14" s="169">
        <v>45679</v>
      </c>
      <c r="BN14" s="122">
        <v>2000</v>
      </c>
      <c r="BO14" s="164">
        <v>24.33</v>
      </c>
      <c r="BP14" s="169">
        <v>45678</v>
      </c>
      <c r="BQ14" s="122">
        <v>1000</v>
      </c>
      <c r="BR14" s="164">
        <v>-32.799999999999997</v>
      </c>
      <c r="BS14" s="169">
        <v>45542</v>
      </c>
      <c r="BT14" s="122">
        <v>100000</v>
      </c>
      <c r="BU14" s="164">
        <v>-173.52</v>
      </c>
      <c r="BV14" s="169">
        <v>45526</v>
      </c>
      <c r="BW14" s="122">
        <v>2000</v>
      </c>
      <c r="BX14" s="164">
        <v>-52.113599999999998</v>
      </c>
      <c r="BY14" s="169"/>
      <c r="BZ14" s="122"/>
      <c r="CA14" s="164"/>
      <c r="CB14" s="289">
        <v>45684</v>
      </c>
      <c r="CC14" s="122">
        <v>2000</v>
      </c>
      <c r="CD14" s="164">
        <v>-5.0682999999999998</v>
      </c>
      <c r="CE14" s="169">
        <v>45656</v>
      </c>
      <c r="CF14" s="122">
        <v>2300</v>
      </c>
      <c r="CG14" s="164">
        <v>-39.67</v>
      </c>
      <c r="CH14" s="169">
        <v>45596</v>
      </c>
      <c r="CI14" s="122">
        <v>1000</v>
      </c>
      <c r="CJ14" s="164">
        <v>-409.15</v>
      </c>
      <c r="CK14" s="169">
        <v>45684</v>
      </c>
      <c r="CL14" s="122">
        <v>1200</v>
      </c>
      <c r="CM14" s="164">
        <v>72.409469999999999</v>
      </c>
      <c r="CN14" s="169">
        <v>45605</v>
      </c>
      <c r="CO14" s="122">
        <v>5000</v>
      </c>
      <c r="CP14" s="164">
        <v>-51.36</v>
      </c>
      <c r="CQ14" s="169">
        <v>45581</v>
      </c>
      <c r="CR14" s="556">
        <v>200</v>
      </c>
      <c r="CS14" s="164">
        <v>-705.46</v>
      </c>
      <c r="CT14" s="169"/>
      <c r="CU14" s="122"/>
      <c r="CV14" s="164"/>
      <c r="CW14" s="169">
        <v>45888</v>
      </c>
      <c r="CX14" s="122">
        <v>3000</v>
      </c>
      <c r="CY14" s="164">
        <v>30.68</v>
      </c>
      <c r="CZ14" s="169">
        <v>45495</v>
      </c>
      <c r="DA14" s="122">
        <v>4000</v>
      </c>
      <c r="DB14" s="164">
        <v>9.8825000000000003</v>
      </c>
      <c r="DC14" s="169"/>
      <c r="DD14" s="122"/>
      <c r="DE14" s="164"/>
      <c r="DF14" s="169"/>
      <c r="DG14" s="122"/>
      <c r="DH14" s="164"/>
      <c r="DI14" s="169">
        <v>45678</v>
      </c>
      <c r="DJ14" s="122">
        <v>3000</v>
      </c>
      <c r="DK14" s="164">
        <v>-18.16</v>
      </c>
      <c r="DL14" s="169">
        <v>45462</v>
      </c>
      <c r="DM14" s="122">
        <v>4957</v>
      </c>
      <c r="DN14" s="164">
        <v>33.14</v>
      </c>
      <c r="DO14" s="169">
        <v>45506</v>
      </c>
      <c r="DP14" s="122">
        <v>1490</v>
      </c>
      <c r="DQ14" s="164">
        <v>188.64</v>
      </c>
      <c r="DR14" s="169">
        <v>45664</v>
      </c>
      <c r="DS14" s="122">
        <v>3000</v>
      </c>
      <c r="DT14" s="164">
        <v>-16.41</v>
      </c>
      <c r="DU14" s="169"/>
      <c r="DV14" s="122"/>
      <c r="DW14" s="164"/>
      <c r="DX14" s="169">
        <v>45944</v>
      </c>
      <c r="DY14" s="122">
        <v>9</v>
      </c>
      <c r="DZ14" s="164">
        <v>427.54</v>
      </c>
      <c r="EA14" s="169">
        <v>45762</v>
      </c>
      <c r="EB14" s="122">
        <v>1350</v>
      </c>
      <c r="EC14" s="164">
        <v>-157.44999999999999</v>
      </c>
      <c r="ED14" s="169">
        <v>45523</v>
      </c>
      <c r="EE14" s="122">
        <v>2500</v>
      </c>
      <c r="EF14" s="164">
        <v>43.37</v>
      </c>
      <c r="EG14" s="169"/>
      <c r="EH14" s="122"/>
      <c r="EI14" s="164"/>
      <c r="EJ14" s="169">
        <v>45800</v>
      </c>
      <c r="EK14" s="122">
        <v>200</v>
      </c>
      <c r="EL14" s="123">
        <v>229.82</v>
      </c>
      <c r="EM14" s="169"/>
      <c r="EN14" s="122"/>
      <c r="EO14" s="164"/>
      <c r="EP14" s="169">
        <v>45490</v>
      </c>
      <c r="EQ14" s="122">
        <v>4000</v>
      </c>
      <c r="ER14" s="164">
        <v>57.188000000000002</v>
      </c>
      <c r="ES14" s="169"/>
      <c r="ET14" s="122"/>
      <c r="EU14" s="164"/>
      <c r="EV14" s="169">
        <v>45796</v>
      </c>
      <c r="EW14" s="122">
        <v>4000</v>
      </c>
      <c r="EX14" s="123">
        <v>11.251099999999999</v>
      </c>
      <c r="EY14" s="169"/>
      <c r="EZ14" s="122"/>
      <c r="FA14" s="164"/>
      <c r="FB14" s="169">
        <v>45666</v>
      </c>
      <c r="FC14" s="122">
        <v>4200</v>
      </c>
      <c r="FD14" s="164">
        <v>-9.8800000000000008</v>
      </c>
      <c r="FE14" s="169"/>
      <c r="FF14" s="122"/>
      <c r="FG14" s="164"/>
      <c r="FH14" s="169"/>
      <c r="FI14" s="122"/>
      <c r="FJ14" s="164"/>
      <c r="FK14" s="289">
        <v>45691</v>
      </c>
      <c r="FL14" s="122">
        <v>1000</v>
      </c>
      <c r="FM14" s="164">
        <v>39.549999999999997</v>
      </c>
      <c r="FN14" s="169">
        <v>45709</v>
      </c>
      <c r="FO14" s="122">
        <v>3000</v>
      </c>
      <c r="FP14" s="164">
        <v>11.65131</v>
      </c>
      <c r="FQ14" s="169">
        <v>45782</v>
      </c>
      <c r="FR14" s="122">
        <v>2000</v>
      </c>
      <c r="FS14" s="164">
        <v>-12.59</v>
      </c>
      <c r="FT14" s="169"/>
      <c r="FU14" s="122"/>
      <c r="FV14" s="164"/>
      <c r="FW14" s="169">
        <v>45454</v>
      </c>
      <c r="FX14" s="122">
        <v>2000</v>
      </c>
      <c r="FY14" s="164">
        <v>-22.9</v>
      </c>
      <c r="FZ14" s="289">
        <v>45631</v>
      </c>
      <c r="GA14" s="122">
        <v>6300</v>
      </c>
      <c r="GB14" s="164">
        <v>-9.65</v>
      </c>
      <c r="GC14" s="169">
        <v>45519</v>
      </c>
      <c r="GD14" s="122">
        <v>4000</v>
      </c>
      <c r="GE14" s="164">
        <v>30.82</v>
      </c>
      <c r="GF14" s="169">
        <v>45475</v>
      </c>
      <c r="GG14" s="122">
        <v>1000</v>
      </c>
      <c r="GH14" s="164">
        <v>184.75214</v>
      </c>
      <c r="GI14" s="169"/>
      <c r="GJ14" s="122"/>
      <c r="GK14" s="164"/>
      <c r="GL14" s="648">
        <v>45679</v>
      </c>
      <c r="GM14" s="122">
        <v>500</v>
      </c>
      <c r="GN14" s="164">
        <v>-222.018</v>
      </c>
      <c r="GO14" s="169">
        <v>45446</v>
      </c>
      <c r="GP14" s="122">
        <v>1000</v>
      </c>
      <c r="GQ14" s="164">
        <v>177.56</v>
      </c>
      <c r="GR14" s="169">
        <v>45384</v>
      </c>
      <c r="GS14" s="122">
        <v>290</v>
      </c>
      <c r="GT14" s="164">
        <v>893.95</v>
      </c>
      <c r="GU14" s="169">
        <v>45693</v>
      </c>
      <c r="GV14" s="122">
        <v>20000</v>
      </c>
      <c r="GW14" s="164">
        <v>4.5999999999999996</v>
      </c>
      <c r="GX14" s="169">
        <v>45646</v>
      </c>
      <c r="GY14" s="122">
        <v>700</v>
      </c>
      <c r="GZ14" s="164">
        <v>111.6849</v>
      </c>
      <c r="HA14" s="169">
        <v>45436</v>
      </c>
      <c r="HB14" s="122">
        <v>2000</v>
      </c>
      <c r="HC14" s="164">
        <v>-44.07</v>
      </c>
      <c r="HD14" s="169"/>
      <c r="HE14" s="122"/>
      <c r="HF14" s="164"/>
      <c r="HG14" s="169">
        <v>45491</v>
      </c>
      <c r="HH14" s="122">
        <v>200</v>
      </c>
      <c r="HI14" s="164">
        <v>124.1</v>
      </c>
      <c r="HJ14" s="169">
        <v>45834</v>
      </c>
      <c r="HK14" s="122">
        <v>40000</v>
      </c>
      <c r="HL14" s="164">
        <v>-1.012</v>
      </c>
      <c r="HM14" s="169">
        <v>45435</v>
      </c>
      <c r="HN14" s="122">
        <v>5000</v>
      </c>
      <c r="HO14" s="164">
        <v>14.48</v>
      </c>
      <c r="HP14" s="169">
        <v>45693</v>
      </c>
      <c r="HQ14" s="122">
        <v>9000</v>
      </c>
      <c r="HR14" s="164">
        <v>529.4</v>
      </c>
      <c r="HS14" s="169">
        <v>45706</v>
      </c>
      <c r="HT14" s="122">
        <v>10000</v>
      </c>
      <c r="HU14" s="164">
        <v>-9.2349999999999994</v>
      </c>
      <c r="HV14" s="169">
        <v>45454</v>
      </c>
      <c r="HW14" s="122">
        <v>1990</v>
      </c>
      <c r="HX14" s="164">
        <v>-23.01</v>
      </c>
      <c r="HY14" s="169">
        <v>45575</v>
      </c>
      <c r="HZ14" s="122">
        <v>500</v>
      </c>
      <c r="IA14" s="164">
        <v>166.37389999999999</v>
      </c>
      <c r="IB14" s="169">
        <v>45679</v>
      </c>
      <c r="IC14" s="122">
        <v>100</v>
      </c>
      <c r="ID14" s="164">
        <v>631.9</v>
      </c>
      <c r="IE14" s="169"/>
      <c r="IF14" s="122"/>
      <c r="IG14" s="164"/>
      <c r="IH14" s="169">
        <v>45605</v>
      </c>
      <c r="II14" s="122">
        <v>2000</v>
      </c>
      <c r="IJ14" s="164">
        <v>28.54</v>
      </c>
      <c r="IK14" s="169">
        <v>45469</v>
      </c>
      <c r="IL14" s="122">
        <v>300</v>
      </c>
      <c r="IM14" s="164">
        <v>453.67020000000002</v>
      </c>
      <c r="IN14" s="169"/>
      <c r="IO14" s="122"/>
      <c r="IP14" s="164"/>
      <c r="IQ14" s="169">
        <v>45656</v>
      </c>
      <c r="IR14" s="122">
        <v>400</v>
      </c>
      <c r="IS14" s="164">
        <v>-97.66</v>
      </c>
      <c r="IT14" s="169">
        <v>45919</v>
      </c>
      <c r="IU14" s="122">
        <v>1200</v>
      </c>
      <c r="IV14" s="164">
        <v>-13.744999999999999</v>
      </c>
      <c r="IW14" s="169">
        <v>45634</v>
      </c>
      <c r="IX14" s="122">
        <v>1100</v>
      </c>
      <c r="IY14" s="164">
        <v>-58.579000000000001</v>
      </c>
      <c r="IZ14" s="169"/>
      <c r="JA14" s="122"/>
      <c r="JB14" s="164"/>
      <c r="JC14" s="169"/>
      <c r="JD14" s="122"/>
      <c r="JE14" s="164"/>
      <c r="JF14" s="169"/>
      <c r="JG14" s="122"/>
      <c r="JH14" s="164"/>
      <c r="JI14" s="169">
        <v>45467</v>
      </c>
      <c r="JJ14" s="122">
        <v>1500</v>
      </c>
      <c r="JK14" s="164">
        <v>-64.210599999999999</v>
      </c>
      <c r="JL14" s="169">
        <v>45456</v>
      </c>
      <c r="JM14" s="122">
        <v>500</v>
      </c>
      <c r="JN14" s="164">
        <v>-141.0702</v>
      </c>
      <c r="JO14" s="169">
        <v>45447</v>
      </c>
      <c r="JP14" s="122">
        <v>1500</v>
      </c>
      <c r="JQ14" s="164">
        <v>-38.153500000000001</v>
      </c>
      <c r="JR14" s="169"/>
      <c r="JS14" s="122"/>
      <c r="JT14" s="164"/>
      <c r="JU14" s="169"/>
      <c r="JV14" s="122"/>
      <c r="JW14" s="164"/>
      <c r="JX14" s="289">
        <v>45790</v>
      </c>
      <c r="JY14" s="122">
        <v>2000</v>
      </c>
      <c r="JZ14" s="164">
        <v>-14.73</v>
      </c>
      <c r="KA14" s="169"/>
      <c r="KB14" s="122"/>
      <c r="KC14" s="164"/>
      <c r="KD14" s="169"/>
      <c r="KE14" s="122"/>
      <c r="KF14" s="164"/>
      <c r="KJ14" s="1189"/>
    </row>
    <row r="15" spans="1:296" ht="23" thickBot="1">
      <c r="A15" s="157">
        <v>12</v>
      </c>
      <c r="B15" s="169">
        <v>45714</v>
      </c>
      <c r="C15" s="122">
        <v>300</v>
      </c>
      <c r="D15" s="164">
        <v>-240.34</v>
      </c>
      <c r="E15" s="169">
        <v>45821</v>
      </c>
      <c r="F15" s="122">
        <v>3000</v>
      </c>
      <c r="G15" s="164">
        <v>-13.04</v>
      </c>
      <c r="H15" s="169">
        <v>45664</v>
      </c>
      <c r="I15" s="122">
        <v>150000</v>
      </c>
      <c r="J15" s="164">
        <v>-48</v>
      </c>
      <c r="K15" s="169">
        <v>45551</v>
      </c>
      <c r="L15" s="122">
        <v>1500</v>
      </c>
      <c r="M15" s="164">
        <v>-185.28</v>
      </c>
      <c r="N15" s="169"/>
      <c r="O15" s="122"/>
      <c r="P15" s="164"/>
      <c r="Q15" s="169">
        <v>45583</v>
      </c>
      <c r="R15" s="122">
        <v>500</v>
      </c>
      <c r="S15" s="164">
        <v>-653.1</v>
      </c>
      <c r="T15" s="169">
        <v>45806</v>
      </c>
      <c r="U15" s="122">
        <v>250</v>
      </c>
      <c r="V15" s="123">
        <v>241.72900000000001</v>
      </c>
      <c r="W15" s="169">
        <v>45888</v>
      </c>
      <c r="X15" s="122">
        <v>2000</v>
      </c>
      <c r="Y15" s="164">
        <v>79.510000000000005</v>
      </c>
      <c r="Z15" s="169"/>
      <c r="AA15" s="122"/>
      <c r="AB15" s="164"/>
      <c r="AC15" s="169"/>
      <c r="AD15" s="122"/>
      <c r="AE15" s="164"/>
      <c r="AF15" s="169">
        <v>45796</v>
      </c>
      <c r="AG15" s="122">
        <v>400</v>
      </c>
      <c r="AH15" s="164">
        <v>76.105000000000004</v>
      </c>
      <c r="AI15" s="169">
        <v>45684</v>
      </c>
      <c r="AJ15" s="122">
        <v>2000</v>
      </c>
      <c r="AK15" s="164">
        <v>-59.125</v>
      </c>
      <c r="AL15" s="169">
        <v>45651</v>
      </c>
      <c r="AM15" s="122">
        <v>700</v>
      </c>
      <c r="AN15" s="164">
        <v>-44.94</v>
      </c>
      <c r="AO15" s="169">
        <v>45694</v>
      </c>
      <c r="AP15" s="122">
        <v>15000</v>
      </c>
      <c r="AQ15" s="164">
        <v>4.6399999999999997</v>
      </c>
      <c r="AR15" s="169">
        <v>45706</v>
      </c>
      <c r="AS15" s="122">
        <v>800</v>
      </c>
      <c r="AT15" s="164">
        <v>-109.28</v>
      </c>
      <c r="AU15" s="169">
        <v>45607</v>
      </c>
      <c r="AV15" s="122">
        <v>4000</v>
      </c>
      <c r="AW15" s="164">
        <v>-32.799999999999997</v>
      </c>
      <c r="AX15" s="169"/>
      <c r="AY15" s="122"/>
      <c r="AZ15" s="164"/>
      <c r="BA15" s="169"/>
      <c r="BB15" s="122"/>
      <c r="BC15" s="164"/>
      <c r="BD15" s="169">
        <v>45495</v>
      </c>
      <c r="BE15" s="122">
        <v>5000</v>
      </c>
      <c r="BF15" s="164">
        <v>12.49</v>
      </c>
      <c r="BG15" s="169">
        <v>45553</v>
      </c>
      <c r="BH15" s="122">
        <v>6000</v>
      </c>
      <c r="BI15" s="164">
        <v>6.11</v>
      </c>
      <c r="BJ15" s="169"/>
      <c r="BK15" s="122"/>
      <c r="BL15" s="164"/>
      <c r="BM15" s="169">
        <v>45684</v>
      </c>
      <c r="BN15" s="122">
        <v>4000</v>
      </c>
      <c r="BO15" s="164">
        <v>-22.580249999999999</v>
      </c>
      <c r="BP15" s="169">
        <v>45684</v>
      </c>
      <c r="BQ15" s="122">
        <v>5000</v>
      </c>
      <c r="BR15" s="164">
        <v>32.770000000000003</v>
      </c>
      <c r="BS15" s="169">
        <v>45539</v>
      </c>
      <c r="BT15" s="122">
        <v>50000</v>
      </c>
      <c r="BU15" s="164">
        <v>185.7</v>
      </c>
      <c r="BV15" s="169">
        <v>45532</v>
      </c>
      <c r="BW15" s="122">
        <v>1000</v>
      </c>
      <c r="BX15" s="164">
        <v>53.28</v>
      </c>
      <c r="BY15" s="169"/>
      <c r="BZ15" s="122"/>
      <c r="CA15" s="164"/>
      <c r="CB15" s="169">
        <v>45730</v>
      </c>
      <c r="CC15" s="122">
        <v>2000</v>
      </c>
      <c r="CD15" s="164">
        <v>4.9000000000000004</v>
      </c>
      <c r="CE15" s="169">
        <v>45664</v>
      </c>
      <c r="CF15" s="122">
        <v>1000</v>
      </c>
      <c r="CG15" s="164">
        <v>-47.13</v>
      </c>
      <c r="CH15" s="169">
        <v>45713</v>
      </c>
      <c r="CI15" s="122">
        <v>2000</v>
      </c>
      <c r="CJ15" s="164">
        <v>-400.18029999999999</v>
      </c>
      <c r="CK15" s="169">
        <v>45685</v>
      </c>
      <c r="CL15" s="122">
        <v>1200</v>
      </c>
      <c r="CM15" s="164">
        <v>-70.59</v>
      </c>
      <c r="CN15" s="169">
        <v>45572</v>
      </c>
      <c r="CO15" s="122">
        <v>3000</v>
      </c>
      <c r="CP15" s="164">
        <v>52.81</v>
      </c>
      <c r="CQ15" s="169">
        <v>45678</v>
      </c>
      <c r="CR15" s="557">
        <v>200</v>
      </c>
      <c r="CS15" s="164">
        <v>968.21</v>
      </c>
      <c r="CT15" s="169"/>
      <c r="CU15" s="122"/>
      <c r="CV15" s="164"/>
      <c r="CW15" s="169">
        <v>45891</v>
      </c>
      <c r="CX15" s="122">
        <v>1000</v>
      </c>
      <c r="CY15" s="164">
        <v>32.03</v>
      </c>
      <c r="CZ15" s="169">
        <v>45503</v>
      </c>
      <c r="DA15" s="122">
        <v>6000</v>
      </c>
      <c r="DB15" s="164">
        <v>10.296900000000001</v>
      </c>
      <c r="DC15" s="169"/>
      <c r="DD15" s="122"/>
      <c r="DE15" s="164"/>
      <c r="DF15" s="169"/>
      <c r="DG15" s="122"/>
      <c r="DH15" s="164"/>
      <c r="DI15" s="169">
        <v>45681</v>
      </c>
      <c r="DJ15" s="122">
        <v>1700</v>
      </c>
      <c r="DK15" s="164">
        <v>21.99</v>
      </c>
      <c r="DL15" s="169">
        <v>45483</v>
      </c>
      <c r="DM15" s="122">
        <v>1914</v>
      </c>
      <c r="DN15" s="164">
        <v>-31.58</v>
      </c>
      <c r="DO15" s="169">
        <v>45583</v>
      </c>
      <c r="DP15" s="122">
        <v>490</v>
      </c>
      <c r="DQ15" s="164">
        <v>211.25</v>
      </c>
      <c r="DR15" s="289">
        <v>45693</v>
      </c>
      <c r="DS15" s="122">
        <v>4000</v>
      </c>
      <c r="DT15" s="164">
        <v>-14.89</v>
      </c>
      <c r="DU15" s="169"/>
      <c r="DV15" s="122"/>
      <c r="DW15" s="164"/>
      <c r="DX15" s="169"/>
      <c r="DY15" s="122"/>
      <c r="DZ15" s="164"/>
      <c r="EA15" s="169">
        <v>45764</v>
      </c>
      <c r="EB15" s="122">
        <v>1000</v>
      </c>
      <c r="EC15" s="164">
        <v>-152.32</v>
      </c>
      <c r="ED15" s="169">
        <v>45631</v>
      </c>
      <c r="EE15" s="122">
        <v>137</v>
      </c>
      <c r="EF15" s="164">
        <v>-41.37</v>
      </c>
      <c r="EG15" s="169"/>
      <c r="EH15" s="122"/>
      <c r="EI15" s="164"/>
      <c r="EJ15" s="169">
        <v>45806</v>
      </c>
      <c r="EK15" s="122">
        <v>250</v>
      </c>
      <c r="EL15" s="123">
        <v>241.72900000000001</v>
      </c>
      <c r="EM15" s="169"/>
      <c r="EN15" s="122"/>
      <c r="EO15" s="164"/>
      <c r="EP15" s="169">
        <v>45491</v>
      </c>
      <c r="EQ15" s="122">
        <v>4000</v>
      </c>
      <c r="ER15" s="164">
        <v>57.9</v>
      </c>
      <c r="ES15" s="169"/>
      <c r="ET15" s="122"/>
      <c r="EU15" s="164"/>
      <c r="EV15" s="169"/>
      <c r="EW15" s="122"/>
      <c r="EX15" s="123"/>
      <c r="EY15" s="169"/>
      <c r="EZ15" s="122"/>
      <c r="FA15" s="164"/>
      <c r="FB15" s="169">
        <v>45939</v>
      </c>
      <c r="FC15" s="122">
        <v>5000</v>
      </c>
      <c r="FD15" s="164">
        <v>-6.66</v>
      </c>
      <c r="FE15" s="169"/>
      <c r="FF15" s="122"/>
      <c r="FG15" s="164"/>
      <c r="FH15" s="169"/>
      <c r="FI15" s="122"/>
      <c r="FJ15" s="164"/>
      <c r="FK15" s="289">
        <v>45692</v>
      </c>
      <c r="FL15" s="122">
        <v>2000</v>
      </c>
      <c r="FM15" s="164">
        <v>40.409999999999997</v>
      </c>
      <c r="FN15" s="169">
        <v>45714</v>
      </c>
      <c r="FO15" s="122">
        <v>2990</v>
      </c>
      <c r="FP15" s="164">
        <v>12.56</v>
      </c>
      <c r="FQ15" s="169">
        <v>45807</v>
      </c>
      <c r="FR15" s="122">
        <v>8000</v>
      </c>
      <c r="FS15" s="164">
        <v>-12.96</v>
      </c>
      <c r="FT15" s="169"/>
      <c r="FU15" s="122"/>
      <c r="FV15" s="164"/>
      <c r="FW15" s="169">
        <v>45478</v>
      </c>
      <c r="FX15" s="122">
        <v>2000</v>
      </c>
      <c r="FY15" s="164">
        <v>23.53471</v>
      </c>
      <c r="FZ15" s="289">
        <v>45686</v>
      </c>
      <c r="GA15" s="122">
        <v>3300</v>
      </c>
      <c r="GB15" s="164">
        <v>10.39</v>
      </c>
      <c r="GC15" s="169">
        <v>45600</v>
      </c>
      <c r="GD15" s="122">
        <v>4000</v>
      </c>
      <c r="GE15" s="164">
        <v>-30.27</v>
      </c>
      <c r="GF15" s="169">
        <v>45477</v>
      </c>
      <c r="GG15" s="122">
        <v>500</v>
      </c>
      <c r="GH15" s="164">
        <v>187.22</v>
      </c>
      <c r="GI15" s="169"/>
      <c r="GJ15" s="122"/>
      <c r="GK15" s="164"/>
      <c r="GL15" s="648">
        <v>45684</v>
      </c>
      <c r="GM15" s="122">
        <v>200</v>
      </c>
      <c r="GN15" s="164">
        <v>231.18</v>
      </c>
      <c r="GO15" s="169">
        <v>45469</v>
      </c>
      <c r="GP15" s="122">
        <v>2990</v>
      </c>
      <c r="GQ15" s="164">
        <v>-193.7441</v>
      </c>
      <c r="GR15" s="169">
        <v>45387</v>
      </c>
      <c r="GS15" s="122">
        <v>300</v>
      </c>
      <c r="GT15" s="164">
        <v>-903.2</v>
      </c>
      <c r="GU15" s="169">
        <v>45706</v>
      </c>
      <c r="GV15" s="122">
        <v>5000</v>
      </c>
      <c r="GW15" s="164">
        <v>4.4809999999999999</v>
      </c>
      <c r="GX15" s="169">
        <v>45667</v>
      </c>
      <c r="GY15" s="122">
        <v>700</v>
      </c>
      <c r="GZ15" s="164">
        <v>-108.61</v>
      </c>
      <c r="HA15" s="169">
        <v>45443</v>
      </c>
      <c r="HB15" s="122">
        <v>2000</v>
      </c>
      <c r="HC15" s="164">
        <v>44.81</v>
      </c>
      <c r="HD15" s="169"/>
      <c r="HE15" s="122"/>
      <c r="HF15" s="164"/>
      <c r="HG15" s="169">
        <v>45502</v>
      </c>
      <c r="HH15" s="122">
        <v>500</v>
      </c>
      <c r="HI15" s="164">
        <v>-121.66</v>
      </c>
      <c r="HJ15" s="169">
        <v>45925</v>
      </c>
      <c r="HK15" s="122">
        <v>28000</v>
      </c>
      <c r="HL15" s="164">
        <v>1.52</v>
      </c>
      <c r="HM15" s="169">
        <v>45456</v>
      </c>
      <c r="HN15" s="122">
        <v>4000</v>
      </c>
      <c r="HO15" s="164">
        <v>-13.711715999999999</v>
      </c>
      <c r="HP15" s="169">
        <v>45702</v>
      </c>
      <c r="HQ15" s="122">
        <v>8000</v>
      </c>
      <c r="HR15" s="164">
        <v>-514.55999999999995</v>
      </c>
      <c r="HS15" s="169">
        <v>45730</v>
      </c>
      <c r="HT15" s="122">
        <v>10000</v>
      </c>
      <c r="HU15" s="164">
        <v>9.6750000000000007</v>
      </c>
      <c r="HV15" s="169">
        <v>45468</v>
      </c>
      <c r="HW15" s="122">
        <v>2000</v>
      </c>
      <c r="HX15" s="164">
        <v>-22.26</v>
      </c>
      <c r="HY15" s="169">
        <v>45656</v>
      </c>
      <c r="HZ15" s="122">
        <v>350</v>
      </c>
      <c r="IA15" s="164">
        <v>-156.5</v>
      </c>
      <c r="IB15" s="169"/>
      <c r="IC15" s="122"/>
      <c r="ID15" s="164"/>
      <c r="IE15" s="169"/>
      <c r="IF15" s="122"/>
      <c r="IG15" s="164"/>
      <c r="IH15" s="169">
        <v>45656</v>
      </c>
      <c r="II15" s="122">
        <v>1200</v>
      </c>
      <c r="IJ15" s="164">
        <v>-33.840000000000003</v>
      </c>
      <c r="IK15" s="169">
        <v>45481</v>
      </c>
      <c r="IL15" s="122">
        <v>300</v>
      </c>
      <c r="IM15" s="164">
        <v>-446.03930000000003</v>
      </c>
      <c r="IN15" s="169"/>
      <c r="IO15" s="122"/>
      <c r="IP15" s="164"/>
      <c r="IQ15" s="169">
        <v>45663</v>
      </c>
      <c r="IR15" s="122">
        <v>1000</v>
      </c>
      <c r="IS15" s="164">
        <v>-98.036000000000001</v>
      </c>
      <c r="IT15" s="169"/>
      <c r="IU15" s="122"/>
      <c r="IV15" s="164"/>
      <c r="IW15" s="169">
        <v>45700</v>
      </c>
      <c r="IX15" s="122">
        <v>900</v>
      </c>
      <c r="IY15" s="164">
        <v>-48.09</v>
      </c>
      <c r="IZ15" s="169"/>
      <c r="JA15" s="122"/>
      <c r="JB15" s="164"/>
      <c r="JC15" s="169"/>
      <c r="JD15" s="122"/>
      <c r="JE15" s="164"/>
      <c r="JF15" s="169"/>
      <c r="JG15" s="122"/>
      <c r="JH15" s="164"/>
      <c r="JI15" s="169">
        <v>45484</v>
      </c>
      <c r="JJ15" s="122">
        <v>1500</v>
      </c>
      <c r="JK15" s="164">
        <v>66.677999999999997</v>
      </c>
      <c r="JL15" s="169">
        <v>45469</v>
      </c>
      <c r="JM15" s="122">
        <v>1500</v>
      </c>
      <c r="JN15" s="164">
        <v>134.50069999999999</v>
      </c>
      <c r="JO15" s="169">
        <v>45455</v>
      </c>
      <c r="JP15" s="122">
        <v>5000</v>
      </c>
      <c r="JQ15" s="164">
        <v>37.240699999999997</v>
      </c>
      <c r="JR15" s="169"/>
      <c r="JS15" s="122"/>
      <c r="JT15" s="164"/>
      <c r="JU15" s="169"/>
      <c r="JV15" s="122"/>
      <c r="JW15" s="164"/>
      <c r="JX15" s="289">
        <v>45800</v>
      </c>
      <c r="JY15" s="122">
        <v>3000</v>
      </c>
      <c r="JZ15" s="164">
        <v>-15.547513</v>
      </c>
      <c r="KA15" s="169"/>
      <c r="KB15" s="122"/>
      <c r="KC15" s="164"/>
      <c r="KD15" s="169"/>
      <c r="KE15" s="122"/>
      <c r="KF15" s="164"/>
      <c r="KJ15" s="1189"/>
    </row>
    <row r="16" spans="1:296">
      <c r="A16" s="156">
        <v>13</v>
      </c>
      <c r="B16" s="169">
        <v>45764</v>
      </c>
      <c r="C16" s="122">
        <v>500</v>
      </c>
      <c r="D16" s="164">
        <v>-197.42</v>
      </c>
      <c r="E16" s="169">
        <v>45826</v>
      </c>
      <c r="F16" s="122">
        <v>2800</v>
      </c>
      <c r="G16" s="164">
        <v>-13.02</v>
      </c>
      <c r="H16" s="169">
        <v>45695</v>
      </c>
      <c r="I16" s="122">
        <v>50000</v>
      </c>
      <c r="J16" s="164">
        <v>-49</v>
      </c>
      <c r="K16" s="169">
        <v>45600</v>
      </c>
      <c r="L16" s="122">
        <v>500</v>
      </c>
      <c r="M16" s="164">
        <v>195.82</v>
      </c>
      <c r="N16" s="169"/>
      <c r="O16" s="122"/>
      <c r="P16" s="164"/>
      <c r="Q16" s="169">
        <v>45593</v>
      </c>
      <c r="R16" s="122">
        <v>1000</v>
      </c>
      <c r="S16" s="164">
        <v>-653.70000000000005</v>
      </c>
      <c r="T16" s="169">
        <v>45811</v>
      </c>
      <c r="U16" s="122">
        <v>200</v>
      </c>
      <c r="V16" s="123">
        <v>256.2</v>
      </c>
      <c r="W16" s="169">
        <v>45939</v>
      </c>
      <c r="X16" s="122">
        <v>500</v>
      </c>
      <c r="Y16" s="164">
        <v>86.22</v>
      </c>
      <c r="Z16" s="169"/>
      <c r="AA16" s="122"/>
      <c r="AB16" s="164"/>
      <c r="AC16" s="169"/>
      <c r="AD16" s="122"/>
      <c r="AE16" s="164"/>
      <c r="AF16" s="169">
        <v>45833</v>
      </c>
      <c r="AG16" s="122">
        <v>500</v>
      </c>
      <c r="AH16" s="164">
        <v>82.67</v>
      </c>
      <c r="AI16" s="169">
        <v>45688</v>
      </c>
      <c r="AJ16" s="122">
        <v>2000</v>
      </c>
      <c r="AK16" s="164">
        <v>60.51</v>
      </c>
      <c r="AL16" s="169">
        <v>45663</v>
      </c>
      <c r="AM16" s="122">
        <v>2300</v>
      </c>
      <c r="AN16" s="164">
        <v>-46.24</v>
      </c>
      <c r="AO16" s="169">
        <v>45714</v>
      </c>
      <c r="AP16" s="122">
        <v>15000</v>
      </c>
      <c r="AQ16" s="164">
        <v>-3.66</v>
      </c>
      <c r="AR16" s="169">
        <v>45707</v>
      </c>
      <c r="AS16" s="122">
        <v>400</v>
      </c>
      <c r="AT16" s="164">
        <v>111.54</v>
      </c>
      <c r="AU16" s="169">
        <v>45608</v>
      </c>
      <c r="AV16" s="122">
        <v>2000</v>
      </c>
      <c r="AW16" s="164">
        <v>34.93</v>
      </c>
      <c r="AX16" s="169"/>
      <c r="AY16" s="122"/>
      <c r="AZ16" s="164"/>
      <c r="BA16" s="169"/>
      <c r="BB16" s="122"/>
      <c r="BC16" s="164"/>
      <c r="BD16" s="169">
        <v>45504</v>
      </c>
      <c r="BE16" s="122">
        <v>5000</v>
      </c>
      <c r="BF16" s="164">
        <v>13.02</v>
      </c>
      <c r="BG16" s="169">
        <v>45483</v>
      </c>
      <c r="BH16" s="122">
        <v>2000</v>
      </c>
      <c r="BI16" s="164">
        <v>5.9909929000000002</v>
      </c>
      <c r="BJ16" s="169"/>
      <c r="BK16" s="122"/>
      <c r="BL16" s="164"/>
      <c r="BM16" s="169">
        <v>45687</v>
      </c>
      <c r="BN16" s="122">
        <v>4000</v>
      </c>
      <c r="BO16" s="164">
        <v>-21.21</v>
      </c>
      <c r="BP16" s="169">
        <v>45764</v>
      </c>
      <c r="BQ16" s="122">
        <v>5000</v>
      </c>
      <c r="BR16" s="164">
        <v>-23.39</v>
      </c>
      <c r="BS16" s="169">
        <v>45608</v>
      </c>
      <c r="BT16" s="122">
        <v>20000</v>
      </c>
      <c r="BU16" s="164">
        <v>287</v>
      </c>
      <c r="BV16" s="169">
        <v>45684</v>
      </c>
      <c r="BW16" s="122">
        <v>2000</v>
      </c>
      <c r="BX16" s="164">
        <v>-60.379750000000001</v>
      </c>
      <c r="BY16" s="169"/>
      <c r="BZ16" s="122"/>
      <c r="CA16" s="164"/>
      <c r="CB16" s="169">
        <v>45916</v>
      </c>
      <c r="CC16" s="122">
        <v>1000</v>
      </c>
      <c r="CD16" s="164">
        <v>5.56</v>
      </c>
      <c r="CE16" s="169">
        <v>45686</v>
      </c>
      <c r="CF16" s="122">
        <v>3000</v>
      </c>
      <c r="CG16" s="164">
        <v>-41.35</v>
      </c>
      <c r="CH16" s="169">
        <v>45719</v>
      </c>
      <c r="CI16" s="122">
        <v>200</v>
      </c>
      <c r="CJ16" s="164">
        <v>-395.34</v>
      </c>
      <c r="CK16" s="169">
        <v>45694</v>
      </c>
      <c r="CL16" s="122">
        <v>1000</v>
      </c>
      <c r="CM16" s="164">
        <v>-68.929749999999999</v>
      </c>
      <c r="CN16" s="169">
        <v>45600</v>
      </c>
      <c r="CO16" s="122">
        <v>2000</v>
      </c>
      <c r="CP16" s="164">
        <v>-45.34</v>
      </c>
      <c r="CQ16" s="169">
        <v>45679</v>
      </c>
      <c r="CR16" s="558">
        <v>200</v>
      </c>
      <c r="CS16" s="164">
        <v>-957.53</v>
      </c>
      <c r="CT16" s="169"/>
      <c r="CU16" s="122"/>
      <c r="CV16" s="164"/>
      <c r="CW16" s="169">
        <v>45916</v>
      </c>
      <c r="CX16" s="122">
        <v>1000</v>
      </c>
      <c r="CY16" s="164">
        <v>36.29</v>
      </c>
      <c r="CZ16" s="169">
        <v>45504</v>
      </c>
      <c r="DA16" s="122">
        <v>10000</v>
      </c>
      <c r="DB16" s="164">
        <v>10.475300000000001</v>
      </c>
      <c r="DC16" s="169"/>
      <c r="DD16" s="122"/>
      <c r="DE16" s="164"/>
      <c r="DF16" s="169"/>
      <c r="DG16" s="122"/>
      <c r="DH16" s="164"/>
      <c r="DI16" s="169">
        <v>45701</v>
      </c>
      <c r="DJ16" s="122">
        <v>2000</v>
      </c>
      <c r="DK16" s="164">
        <v>-20.229375000000001</v>
      </c>
      <c r="DL16" s="169">
        <v>45582</v>
      </c>
      <c r="DM16" s="122">
        <v>10000</v>
      </c>
      <c r="DN16" s="164">
        <v>31.53</v>
      </c>
      <c r="DO16" s="169">
        <v>45670</v>
      </c>
      <c r="DP16" s="122">
        <v>490</v>
      </c>
      <c r="DQ16" s="164">
        <v>-242.8</v>
      </c>
      <c r="DR16" s="289">
        <v>45695</v>
      </c>
      <c r="DS16" s="122">
        <v>4000</v>
      </c>
      <c r="DT16" s="164">
        <v>15.3</v>
      </c>
      <c r="DU16" s="169"/>
      <c r="DV16" s="122"/>
      <c r="DW16" s="164"/>
      <c r="DX16" s="169"/>
      <c r="DY16" s="122"/>
      <c r="DZ16" s="164"/>
      <c r="EA16" s="169">
        <v>45834</v>
      </c>
      <c r="EB16" s="122">
        <v>500</v>
      </c>
      <c r="EC16" s="164">
        <v>224.42</v>
      </c>
      <c r="ED16" s="169">
        <v>45694</v>
      </c>
      <c r="EE16" s="122">
        <v>363</v>
      </c>
      <c r="EF16" s="164">
        <v>-42.2</v>
      </c>
      <c r="EG16" s="169"/>
      <c r="EH16" s="122"/>
      <c r="EI16" s="164"/>
      <c r="EJ16" s="169">
        <v>45811</v>
      </c>
      <c r="EK16" s="122">
        <v>200</v>
      </c>
      <c r="EL16" s="123">
        <v>256.2</v>
      </c>
      <c r="EM16" s="169"/>
      <c r="EN16" s="122"/>
      <c r="EO16" s="164"/>
      <c r="EP16" s="169">
        <v>45495</v>
      </c>
      <c r="EQ16" s="122">
        <v>3000</v>
      </c>
      <c r="ER16" s="164">
        <v>59.104700000000001</v>
      </c>
      <c r="ES16" s="169"/>
      <c r="ET16" s="122"/>
      <c r="EU16" s="164"/>
      <c r="EV16" s="169"/>
      <c r="EW16" s="122"/>
      <c r="EX16" s="123"/>
      <c r="EY16" s="169"/>
      <c r="EZ16" s="122"/>
      <c r="FA16" s="164"/>
      <c r="FB16" s="169"/>
      <c r="FC16" s="122"/>
      <c r="FD16" s="164"/>
      <c r="FE16" s="169"/>
      <c r="FF16" s="122"/>
      <c r="FG16" s="164"/>
      <c r="FH16" s="169"/>
      <c r="FI16" s="122"/>
      <c r="FJ16" s="164"/>
      <c r="FK16" s="289">
        <v>45693</v>
      </c>
      <c r="FL16" s="122">
        <v>1000</v>
      </c>
      <c r="FM16" s="123">
        <v>40.700000000000003</v>
      </c>
      <c r="FN16" s="169"/>
      <c r="FO16" s="122"/>
      <c r="FP16" s="164"/>
      <c r="FQ16" s="169">
        <v>45862</v>
      </c>
      <c r="FR16" s="122">
        <v>8000</v>
      </c>
      <c r="FS16" s="164">
        <v>14.44</v>
      </c>
      <c r="FT16" s="169"/>
      <c r="FU16" s="122"/>
      <c r="FV16" s="164"/>
      <c r="FW16" s="169">
        <v>45482</v>
      </c>
      <c r="FX16" s="122">
        <v>2000</v>
      </c>
      <c r="FY16" s="164">
        <v>-22.778600000000001</v>
      </c>
      <c r="FZ16" s="289">
        <v>45702</v>
      </c>
      <c r="GA16" s="122">
        <v>5000</v>
      </c>
      <c r="GB16" s="164">
        <v>-10.93</v>
      </c>
      <c r="GC16" s="169">
        <v>45623</v>
      </c>
      <c r="GD16" s="122">
        <v>4000</v>
      </c>
      <c r="GE16" s="164">
        <v>30.62</v>
      </c>
      <c r="GF16" s="169">
        <v>45482</v>
      </c>
      <c r="GG16" s="122">
        <v>500</v>
      </c>
      <c r="GH16" s="164">
        <v>-185.5196</v>
      </c>
      <c r="GI16" s="169"/>
      <c r="GJ16" s="122"/>
      <c r="GK16" s="164"/>
      <c r="GL16" s="648">
        <v>45700</v>
      </c>
      <c r="GM16" s="122">
        <v>250</v>
      </c>
      <c r="GN16" s="164">
        <v>235.47</v>
      </c>
      <c r="GO16" s="169">
        <v>45474</v>
      </c>
      <c r="GP16" s="122">
        <v>2500</v>
      </c>
      <c r="GQ16" s="164">
        <v>197.2704</v>
      </c>
      <c r="GR16" s="169">
        <v>45392</v>
      </c>
      <c r="GS16" s="122">
        <v>300</v>
      </c>
      <c r="GT16" s="164">
        <v>914.6</v>
      </c>
      <c r="GU16" s="169">
        <v>45733</v>
      </c>
      <c r="GV16" s="122">
        <v>25000</v>
      </c>
      <c r="GW16" s="164">
        <v>-2.6913</v>
      </c>
      <c r="GX16" s="169">
        <v>45685</v>
      </c>
      <c r="GY16" s="122">
        <v>700</v>
      </c>
      <c r="GZ16" s="164">
        <v>113.19670000000001</v>
      </c>
      <c r="HA16" s="169">
        <v>45446</v>
      </c>
      <c r="HB16" s="122">
        <v>990</v>
      </c>
      <c r="HC16" s="164">
        <v>-45.83</v>
      </c>
      <c r="HD16" s="169"/>
      <c r="HE16" s="122"/>
      <c r="HF16" s="164"/>
      <c r="HG16" s="169">
        <v>45540</v>
      </c>
      <c r="HH16" s="122">
        <v>1000</v>
      </c>
      <c r="HI16" s="164">
        <v>-72.541700000000006</v>
      </c>
      <c r="HJ16" s="169">
        <v>45946</v>
      </c>
      <c r="HK16" s="122">
        <v>12000</v>
      </c>
      <c r="HL16" s="164">
        <v>1.91</v>
      </c>
      <c r="HM16" s="169">
        <v>45471</v>
      </c>
      <c r="HN16" s="122">
        <v>3000</v>
      </c>
      <c r="HO16" s="164">
        <v>14.45</v>
      </c>
      <c r="HP16" s="169">
        <v>45707</v>
      </c>
      <c r="HQ16" s="122">
        <v>10000</v>
      </c>
      <c r="HR16" s="164">
        <v>-495.08780000000002</v>
      </c>
      <c r="HS16" s="169">
        <v>45806</v>
      </c>
      <c r="HT16" s="122">
        <v>10000</v>
      </c>
      <c r="HU16" s="164">
        <v>10.18</v>
      </c>
      <c r="HV16" s="169">
        <v>45476</v>
      </c>
      <c r="HW16" s="122">
        <v>2000</v>
      </c>
      <c r="HX16" s="164">
        <v>23.195</v>
      </c>
      <c r="HY16" s="169">
        <v>45672</v>
      </c>
      <c r="HZ16" s="122">
        <v>250</v>
      </c>
      <c r="IA16" s="164">
        <v>160.88999999999999</v>
      </c>
      <c r="IB16" s="169"/>
      <c r="IC16" s="122"/>
      <c r="ID16" s="164"/>
      <c r="IE16" s="169"/>
      <c r="IF16" s="122"/>
      <c r="IG16" s="164"/>
      <c r="IH16" s="169">
        <v>45688</v>
      </c>
      <c r="II16" s="122">
        <v>1200</v>
      </c>
      <c r="IJ16" s="164">
        <v>-30.697399999999998</v>
      </c>
      <c r="IK16" s="169">
        <v>45481</v>
      </c>
      <c r="IL16" s="122">
        <v>200</v>
      </c>
      <c r="IM16" s="164">
        <v>455.94</v>
      </c>
      <c r="IN16" s="169"/>
      <c r="IO16" s="122"/>
      <c r="IP16" s="164"/>
      <c r="IQ16" s="169">
        <v>45665</v>
      </c>
      <c r="IR16" s="122">
        <v>1000</v>
      </c>
      <c r="IS16" s="164">
        <v>99.4</v>
      </c>
      <c r="IT16" s="169"/>
      <c r="IU16" s="122"/>
      <c r="IV16" s="164"/>
      <c r="IW16" s="169">
        <v>45707</v>
      </c>
      <c r="IX16" s="122">
        <v>1000</v>
      </c>
      <c r="IY16" s="164">
        <v>51.86</v>
      </c>
      <c r="IZ16" s="169"/>
      <c r="JA16" s="122"/>
      <c r="JB16" s="164"/>
      <c r="JC16" s="169"/>
      <c r="JD16" s="122"/>
      <c r="JE16" s="164"/>
      <c r="JF16" s="169"/>
      <c r="JG16" s="122"/>
      <c r="JH16" s="164"/>
      <c r="JI16" s="169">
        <v>45492</v>
      </c>
      <c r="JJ16" s="122">
        <v>1500</v>
      </c>
      <c r="JK16" s="164">
        <v>67.819999999999993</v>
      </c>
      <c r="JL16" s="169">
        <v>45491</v>
      </c>
      <c r="JM16" s="122">
        <v>1500</v>
      </c>
      <c r="JN16" s="164">
        <v>-135.45320000000001</v>
      </c>
      <c r="JO16" s="169">
        <v>45463</v>
      </c>
      <c r="JP16" s="122">
        <v>1200</v>
      </c>
      <c r="JQ16" s="164">
        <v>-37.270000000000003</v>
      </c>
      <c r="JR16" s="169"/>
      <c r="JS16" s="122"/>
      <c r="JT16" s="164"/>
      <c r="JU16" s="169"/>
      <c r="JV16" s="122"/>
      <c r="JW16" s="164"/>
      <c r="JX16" s="289">
        <v>45853</v>
      </c>
      <c r="JY16" s="122">
        <v>5000</v>
      </c>
      <c r="JZ16" s="164">
        <v>16.068280000000001</v>
      </c>
      <c r="KA16" s="169"/>
      <c r="KB16" s="122"/>
      <c r="KC16" s="164"/>
      <c r="KD16" s="169"/>
      <c r="KE16" s="122"/>
      <c r="KF16" s="164"/>
      <c r="KJ16" s="1189"/>
    </row>
    <row r="17" spans="1:296">
      <c r="A17" s="157">
        <v>14</v>
      </c>
      <c r="B17" s="169">
        <v>45797</v>
      </c>
      <c r="C17" s="122">
        <v>1000</v>
      </c>
      <c r="D17" s="164">
        <v>-206.73</v>
      </c>
      <c r="E17" s="169">
        <v>45855</v>
      </c>
      <c r="F17" s="122">
        <v>190</v>
      </c>
      <c r="G17" s="164">
        <v>-14.25</v>
      </c>
      <c r="H17" s="169">
        <v>45706</v>
      </c>
      <c r="I17" s="122">
        <v>7000</v>
      </c>
      <c r="J17" s="164">
        <v>-46.5</v>
      </c>
      <c r="K17" s="169">
        <v>45667</v>
      </c>
      <c r="L17" s="122">
        <v>500</v>
      </c>
      <c r="M17" s="164">
        <v>218.88</v>
      </c>
      <c r="N17" s="169"/>
      <c r="O17" s="122"/>
      <c r="P17" s="164"/>
      <c r="Q17" s="169">
        <v>45663</v>
      </c>
      <c r="R17" s="122">
        <v>200</v>
      </c>
      <c r="S17" s="164">
        <v>729.4</v>
      </c>
      <c r="T17" s="169">
        <v>45939</v>
      </c>
      <c r="U17" s="122">
        <v>160</v>
      </c>
      <c r="V17" s="123">
        <v>346.09</v>
      </c>
      <c r="W17" s="169"/>
      <c r="X17" s="122"/>
      <c r="Y17" s="164"/>
      <c r="Z17" s="169"/>
      <c r="AA17" s="122"/>
      <c r="AB17" s="164"/>
      <c r="AC17" s="169"/>
      <c r="AD17" s="122"/>
      <c r="AE17" s="164"/>
      <c r="AF17" s="169">
        <v>45910</v>
      </c>
      <c r="AG17" s="122">
        <v>95</v>
      </c>
      <c r="AH17" s="164">
        <v>97.375</v>
      </c>
      <c r="AI17" s="169">
        <v>45695</v>
      </c>
      <c r="AJ17" s="122">
        <v>1000</v>
      </c>
      <c r="AK17" s="164">
        <v>62.44</v>
      </c>
      <c r="AL17" s="169">
        <v>45672</v>
      </c>
      <c r="AM17" s="122">
        <v>2000</v>
      </c>
      <c r="AN17" s="164">
        <v>51.23</v>
      </c>
      <c r="AO17" s="169">
        <v>45790</v>
      </c>
      <c r="AP17" s="122">
        <v>20000</v>
      </c>
      <c r="AQ17" s="164">
        <v>-1.91</v>
      </c>
      <c r="AR17" s="169">
        <v>45828</v>
      </c>
      <c r="AS17" s="122">
        <v>400</v>
      </c>
      <c r="AT17" s="164">
        <v>117.4</v>
      </c>
      <c r="AU17" s="289">
        <v>45677</v>
      </c>
      <c r="AV17" s="122">
        <v>2000</v>
      </c>
      <c r="AW17" s="164">
        <v>-34.31</v>
      </c>
      <c r="AX17" s="169"/>
      <c r="AY17" s="122"/>
      <c r="AZ17" s="164"/>
      <c r="BA17" s="169"/>
      <c r="BB17" s="122"/>
      <c r="BC17" s="164"/>
      <c r="BD17" s="169">
        <v>45582</v>
      </c>
      <c r="BE17" s="122">
        <v>4000</v>
      </c>
      <c r="BF17" s="164">
        <v>13.08</v>
      </c>
      <c r="BG17" s="169">
        <v>45623</v>
      </c>
      <c r="BH17" s="122">
        <v>15000</v>
      </c>
      <c r="BI17" s="164">
        <v>-1.82</v>
      </c>
      <c r="BJ17" s="169"/>
      <c r="BK17" s="122"/>
      <c r="BL17" s="164"/>
      <c r="BM17" s="169">
        <v>45693</v>
      </c>
      <c r="BN17" s="122">
        <v>4000</v>
      </c>
      <c r="BO17" s="164">
        <v>21.358283</v>
      </c>
      <c r="BP17" s="169">
        <v>45775</v>
      </c>
      <c r="BQ17" s="122">
        <v>3000</v>
      </c>
      <c r="BR17" s="164">
        <v>25.4</v>
      </c>
      <c r="BS17" s="169">
        <v>45643</v>
      </c>
      <c r="BT17" s="122">
        <v>20000</v>
      </c>
      <c r="BU17" s="164">
        <v>297</v>
      </c>
      <c r="BV17" s="169">
        <v>45692</v>
      </c>
      <c r="BW17" s="122">
        <v>1000</v>
      </c>
      <c r="BX17" s="164">
        <v>63.11</v>
      </c>
      <c r="BY17" s="169"/>
      <c r="BZ17" s="122"/>
      <c r="CA17" s="164"/>
      <c r="CB17" s="169">
        <v>45939</v>
      </c>
      <c r="CC17" s="122">
        <v>990</v>
      </c>
      <c r="CD17" s="164">
        <v>6.8</v>
      </c>
      <c r="CE17" s="169"/>
      <c r="CF17" s="122"/>
      <c r="CG17" s="164"/>
      <c r="CH17" s="169">
        <v>45744</v>
      </c>
      <c r="CI17" s="122">
        <v>150</v>
      </c>
      <c r="CJ17" s="164">
        <v>-378.76</v>
      </c>
      <c r="CK17" s="169">
        <v>45706</v>
      </c>
      <c r="CL17" s="122">
        <v>1000</v>
      </c>
      <c r="CM17" s="164">
        <v>-68.03</v>
      </c>
      <c r="CN17" s="169">
        <v>45632</v>
      </c>
      <c r="CO17" s="122">
        <v>2000</v>
      </c>
      <c r="CP17" s="164">
        <v>-41.24</v>
      </c>
      <c r="CQ17" s="169">
        <v>45719</v>
      </c>
      <c r="CR17" s="555">
        <v>200</v>
      </c>
      <c r="CS17" s="164">
        <v>982.61</v>
      </c>
      <c r="CT17" s="169"/>
      <c r="CU17" s="122"/>
      <c r="CV17" s="164"/>
      <c r="CW17" s="169">
        <v>45929</v>
      </c>
      <c r="CX17" s="122">
        <v>500</v>
      </c>
      <c r="CY17" s="164">
        <v>39.3005</v>
      </c>
      <c r="CZ17" s="169">
        <v>45554</v>
      </c>
      <c r="DA17" s="122">
        <v>2000</v>
      </c>
      <c r="DB17" s="164">
        <v>-8.0299999999999994</v>
      </c>
      <c r="DC17" s="169"/>
      <c r="DD17" s="122"/>
      <c r="DE17" s="164"/>
      <c r="DF17" s="169"/>
      <c r="DG17" s="122"/>
      <c r="DH17" s="164"/>
      <c r="DI17" s="169">
        <v>45702</v>
      </c>
      <c r="DJ17" s="122">
        <v>2000</v>
      </c>
      <c r="DK17" s="164">
        <v>21.43</v>
      </c>
      <c r="DL17" s="169">
        <v>45596</v>
      </c>
      <c r="DM17" s="122">
        <v>3000</v>
      </c>
      <c r="DN17" s="164">
        <v>-30.51</v>
      </c>
      <c r="DO17" s="169">
        <v>45712</v>
      </c>
      <c r="DP17" s="122">
        <v>499</v>
      </c>
      <c r="DQ17" s="164">
        <v>275.52499999999998</v>
      </c>
      <c r="DR17" s="169">
        <v>45748</v>
      </c>
      <c r="DS17" s="122">
        <v>4000</v>
      </c>
      <c r="DT17" s="164">
        <v>-14.1683</v>
      </c>
      <c r="DU17" s="169"/>
      <c r="DV17" s="122"/>
      <c r="DW17" s="164"/>
      <c r="DX17" s="169"/>
      <c r="DY17" s="122"/>
      <c r="DZ17" s="164"/>
      <c r="EA17" s="169">
        <v>45855</v>
      </c>
      <c r="EB17" s="122">
        <v>500</v>
      </c>
      <c r="EC17" s="164">
        <v>247.65</v>
      </c>
      <c r="ED17" s="169">
        <v>45715</v>
      </c>
      <c r="EE17" s="122">
        <v>350</v>
      </c>
      <c r="EF17" s="164">
        <v>44.298769999999998</v>
      </c>
      <c r="EG17" s="169"/>
      <c r="EH17" s="122"/>
      <c r="EI17" s="164"/>
      <c r="EJ17" s="169"/>
      <c r="EK17" s="122"/>
      <c r="EL17" s="123"/>
      <c r="EM17" s="169"/>
      <c r="EN17" s="122"/>
      <c r="EO17" s="164"/>
      <c r="EP17" s="169">
        <v>45517</v>
      </c>
      <c r="EQ17" s="122">
        <v>3000</v>
      </c>
      <c r="ER17" s="164">
        <v>-56.4</v>
      </c>
      <c r="ES17" s="169"/>
      <c r="ET17" s="122"/>
      <c r="EU17" s="164"/>
      <c r="EV17" s="169"/>
      <c r="EW17" s="122"/>
      <c r="EX17" s="123"/>
      <c r="EY17" s="169"/>
      <c r="EZ17" s="122"/>
      <c r="FA17" s="164"/>
      <c r="FB17" s="169"/>
      <c r="FC17" s="122"/>
      <c r="FD17" s="164"/>
      <c r="FE17" s="169"/>
      <c r="FF17" s="122"/>
      <c r="FG17" s="164"/>
      <c r="FH17" s="169"/>
      <c r="FI17" s="122"/>
      <c r="FJ17" s="164"/>
      <c r="FK17" s="289">
        <v>45694</v>
      </c>
      <c r="FL17" s="122">
        <v>1000</v>
      </c>
      <c r="FM17" s="123">
        <v>40.594999999999999</v>
      </c>
      <c r="FN17" s="169"/>
      <c r="FO17" s="122"/>
      <c r="FP17" s="164"/>
      <c r="FQ17" s="169">
        <v>45936</v>
      </c>
      <c r="FR17" s="122">
        <v>4000</v>
      </c>
      <c r="FS17" s="164">
        <v>15.12</v>
      </c>
      <c r="FT17" s="169"/>
      <c r="FU17" s="122"/>
      <c r="FV17" s="164"/>
      <c r="FW17" s="169">
        <v>45484</v>
      </c>
      <c r="FX17" s="122">
        <v>2000</v>
      </c>
      <c r="FY17" s="164">
        <v>23.3553</v>
      </c>
      <c r="FZ17" s="289">
        <v>45707</v>
      </c>
      <c r="GA17" s="122">
        <v>6000</v>
      </c>
      <c r="GB17" s="164">
        <v>-10.87</v>
      </c>
      <c r="GC17" s="169">
        <v>45646</v>
      </c>
      <c r="GD17" s="122">
        <v>4000</v>
      </c>
      <c r="GE17" s="164">
        <v>-28.21</v>
      </c>
      <c r="GF17" s="169">
        <v>45483</v>
      </c>
      <c r="GG17" s="122">
        <v>500</v>
      </c>
      <c r="GH17" s="164">
        <v>185.50069999999999</v>
      </c>
      <c r="GI17" s="169"/>
      <c r="GJ17" s="122"/>
      <c r="GK17" s="164"/>
      <c r="GL17" s="648">
        <v>45707</v>
      </c>
      <c r="GM17" s="122">
        <v>240</v>
      </c>
      <c r="GN17" s="164">
        <v>244.79</v>
      </c>
      <c r="GO17" s="169">
        <v>45483</v>
      </c>
      <c r="GP17" s="122">
        <v>300</v>
      </c>
      <c r="GQ17" s="164">
        <v>199.72499999999999</v>
      </c>
      <c r="GR17" s="169">
        <v>45394</v>
      </c>
      <c r="GS17" s="122">
        <v>300</v>
      </c>
      <c r="GT17" s="164">
        <v>-905.25</v>
      </c>
      <c r="GU17" s="169">
        <v>45790</v>
      </c>
      <c r="GV17" s="122">
        <v>21000</v>
      </c>
      <c r="GW17" s="164">
        <v>-1.929</v>
      </c>
      <c r="GX17" s="169">
        <v>45833</v>
      </c>
      <c r="GY17" s="122">
        <v>800</v>
      </c>
      <c r="GZ17" s="164">
        <v>119.32</v>
      </c>
      <c r="HA17" s="169">
        <v>45447</v>
      </c>
      <c r="HB17" s="122">
        <v>1000</v>
      </c>
      <c r="HC17" s="164">
        <v>-45.338500000000003</v>
      </c>
      <c r="HD17" s="169"/>
      <c r="HE17" s="122"/>
      <c r="HF17" s="164"/>
      <c r="HG17" s="169">
        <v>45679</v>
      </c>
      <c r="HH17" s="122">
        <v>3000</v>
      </c>
      <c r="HI17" s="164">
        <v>-38.812600000000003</v>
      </c>
      <c r="HJ17" s="169"/>
      <c r="HK17" s="122"/>
      <c r="HL17" s="164"/>
      <c r="HM17" s="169">
        <v>45491</v>
      </c>
      <c r="HN17" s="122">
        <v>3000</v>
      </c>
      <c r="HO17" s="164">
        <v>-14.2776</v>
      </c>
      <c r="HP17" s="169">
        <v>45793</v>
      </c>
      <c r="HQ17" s="122">
        <v>18000</v>
      </c>
      <c r="HR17" s="164">
        <v>544.20000000000005</v>
      </c>
      <c r="HS17" s="169">
        <v>45833</v>
      </c>
      <c r="HT17" s="122">
        <v>5000</v>
      </c>
      <c r="HU17" s="164">
        <v>10.5</v>
      </c>
      <c r="HV17" s="169">
        <v>45482</v>
      </c>
      <c r="HW17" s="122">
        <v>2000</v>
      </c>
      <c r="HX17" s="164">
        <v>-22.79</v>
      </c>
      <c r="HY17" s="169">
        <v>45693</v>
      </c>
      <c r="HZ17" s="122">
        <v>450</v>
      </c>
      <c r="IA17" s="164">
        <v>-142.78</v>
      </c>
      <c r="IB17" s="169"/>
      <c r="IC17" s="122"/>
      <c r="ID17" s="164"/>
      <c r="IE17" s="169"/>
      <c r="IF17" s="122"/>
      <c r="IG17" s="164"/>
      <c r="IH17" s="169">
        <v>45744</v>
      </c>
      <c r="II17" s="122">
        <v>1200</v>
      </c>
      <c r="IJ17" s="164">
        <v>33.646524999999997</v>
      </c>
      <c r="IK17" s="169">
        <v>45685</v>
      </c>
      <c r="IL17" s="122">
        <v>100</v>
      </c>
      <c r="IM17" s="164">
        <v>546.66999999999996</v>
      </c>
      <c r="IN17" s="169"/>
      <c r="IO17" s="122"/>
      <c r="IP17" s="164"/>
      <c r="IQ17" s="169">
        <v>45686</v>
      </c>
      <c r="IR17" s="122">
        <v>400</v>
      </c>
      <c r="IS17" s="164">
        <v>103.01049999999999</v>
      </c>
      <c r="IT17" s="169"/>
      <c r="IU17" s="122"/>
      <c r="IV17" s="164"/>
      <c r="IW17" s="169">
        <v>45733</v>
      </c>
      <c r="IX17" s="122">
        <v>1000</v>
      </c>
      <c r="IY17" s="164">
        <v>-47.24</v>
      </c>
      <c r="IZ17" s="169"/>
      <c r="JA17" s="122"/>
      <c r="JB17" s="164"/>
      <c r="JC17" s="169"/>
      <c r="JD17" s="122"/>
      <c r="JE17" s="164"/>
      <c r="JF17" s="169"/>
      <c r="JG17" s="122"/>
      <c r="JH17" s="164"/>
      <c r="JI17" s="169">
        <v>45503</v>
      </c>
      <c r="JJ17" s="122">
        <v>2000</v>
      </c>
      <c r="JK17" s="164">
        <v>-60.14</v>
      </c>
      <c r="JL17" s="169">
        <v>45496</v>
      </c>
      <c r="JM17" s="122">
        <v>500</v>
      </c>
      <c r="JN17" s="164">
        <v>-137.63999999999999</v>
      </c>
      <c r="JO17" s="169">
        <v>45469</v>
      </c>
      <c r="JP17" s="122">
        <v>2200</v>
      </c>
      <c r="JQ17" s="164">
        <v>36.89</v>
      </c>
      <c r="JR17" s="169"/>
      <c r="JS17" s="122"/>
      <c r="JT17" s="164"/>
      <c r="JU17" s="169"/>
      <c r="JV17" s="122"/>
      <c r="JW17" s="164"/>
      <c r="JX17" s="289">
        <v>45902</v>
      </c>
      <c r="JY17" s="122">
        <v>5000</v>
      </c>
      <c r="JZ17" s="164">
        <v>-14.82</v>
      </c>
      <c r="KA17" s="169"/>
      <c r="KB17" s="122"/>
      <c r="KC17" s="164"/>
      <c r="KD17" s="169"/>
      <c r="KE17" s="122"/>
      <c r="KF17" s="164"/>
      <c r="KJ17" s="1189"/>
    </row>
    <row r="18" spans="1:296">
      <c r="A18" s="156">
        <v>15</v>
      </c>
      <c r="B18" s="169">
        <v>45807</v>
      </c>
      <c r="C18" s="122">
        <v>3000</v>
      </c>
      <c r="D18" s="164">
        <v>-201.75086999999999</v>
      </c>
      <c r="E18" s="169">
        <v>45922</v>
      </c>
      <c r="F18" s="122">
        <v>1000</v>
      </c>
      <c r="G18" s="164">
        <v>16.86</v>
      </c>
      <c r="H18" s="169">
        <v>45736</v>
      </c>
      <c r="I18" s="501">
        <v>23590</v>
      </c>
      <c r="J18" s="164">
        <v>-40.4</v>
      </c>
      <c r="K18" s="169">
        <v>45673</v>
      </c>
      <c r="L18" s="122">
        <v>500</v>
      </c>
      <c r="M18" s="164">
        <v>223.01</v>
      </c>
      <c r="N18" s="169"/>
      <c r="O18" s="122"/>
      <c r="P18" s="164"/>
      <c r="Q18" s="169">
        <v>45670</v>
      </c>
      <c r="R18" s="122">
        <v>200</v>
      </c>
      <c r="S18" s="164">
        <v>-706.2</v>
      </c>
      <c r="T18" s="581">
        <v>45940</v>
      </c>
      <c r="U18" s="581">
        <v>210</v>
      </c>
      <c r="V18" s="581">
        <v>-331.63</v>
      </c>
      <c r="W18" s="169"/>
      <c r="X18" s="122"/>
      <c r="Y18" s="164"/>
      <c r="Z18" s="169"/>
      <c r="AA18" s="122"/>
      <c r="AB18" s="164"/>
      <c r="AC18" s="169"/>
      <c r="AD18" s="122"/>
      <c r="AE18" s="164"/>
      <c r="AF18" s="169"/>
      <c r="AG18" s="122"/>
      <c r="AH18" s="164"/>
      <c r="AI18" s="169">
        <v>45707</v>
      </c>
      <c r="AJ18" s="122">
        <v>1000</v>
      </c>
      <c r="AK18" s="164">
        <v>64.849999999999994</v>
      </c>
      <c r="AL18" s="169">
        <v>45684</v>
      </c>
      <c r="AM18" s="122">
        <v>2000</v>
      </c>
      <c r="AN18" s="164">
        <v>-56.056190000000001</v>
      </c>
      <c r="AO18" s="169">
        <v>45936</v>
      </c>
      <c r="AP18" s="122">
        <v>5000</v>
      </c>
      <c r="AQ18" s="164">
        <v>3.08</v>
      </c>
      <c r="AR18" s="169">
        <v>45833</v>
      </c>
      <c r="AS18" s="122">
        <v>800</v>
      </c>
      <c r="AT18" s="164">
        <v>119.38</v>
      </c>
      <c r="AU18" s="289">
        <v>45680</v>
      </c>
      <c r="AV18" s="122">
        <v>2000</v>
      </c>
      <c r="AW18" s="164">
        <v>35.92</v>
      </c>
      <c r="AX18" s="169"/>
      <c r="AY18" s="122"/>
      <c r="AZ18" s="164"/>
      <c r="BA18" s="169"/>
      <c r="BB18" s="122"/>
      <c r="BC18" s="164"/>
      <c r="BD18" s="169">
        <v>45607</v>
      </c>
      <c r="BE18" s="122">
        <v>4000</v>
      </c>
      <c r="BF18" s="164">
        <v>-12.035</v>
      </c>
      <c r="BG18" s="169">
        <v>45686</v>
      </c>
      <c r="BH18" s="122">
        <v>12000</v>
      </c>
      <c r="BI18" s="164">
        <v>-1.72</v>
      </c>
      <c r="BJ18" s="169"/>
      <c r="BK18" s="122"/>
      <c r="BL18" s="164"/>
      <c r="BM18" s="169">
        <v>45714</v>
      </c>
      <c r="BN18" s="122">
        <v>4000</v>
      </c>
      <c r="BO18" s="164">
        <v>-20.287958</v>
      </c>
      <c r="BP18" s="169">
        <v>45792</v>
      </c>
      <c r="BQ18" s="122">
        <v>1000</v>
      </c>
      <c r="BR18" s="164">
        <v>28.83</v>
      </c>
      <c r="BS18" s="169">
        <v>45646</v>
      </c>
      <c r="BT18" s="122">
        <v>10000</v>
      </c>
      <c r="BU18" s="164">
        <v>302.24900000000002</v>
      </c>
      <c r="BV18" s="169">
        <v>45693</v>
      </c>
      <c r="BW18" s="122">
        <v>1000</v>
      </c>
      <c r="BX18" s="164">
        <v>65.63</v>
      </c>
      <c r="BY18" s="169"/>
      <c r="BZ18" s="122"/>
      <c r="CA18" s="164"/>
      <c r="CB18" s="169"/>
      <c r="CC18" s="122"/>
      <c r="CD18" s="164"/>
      <c r="CE18" s="169"/>
      <c r="CF18" s="122"/>
      <c r="CG18" s="164"/>
      <c r="CH18" s="169">
        <v>45764</v>
      </c>
      <c r="CI18" s="122">
        <v>150</v>
      </c>
      <c r="CJ18" s="164">
        <v>-378.43</v>
      </c>
      <c r="CK18" s="169">
        <v>45708</v>
      </c>
      <c r="CL18" s="122">
        <v>1000</v>
      </c>
      <c r="CM18" s="164">
        <v>70.096000000000004</v>
      </c>
      <c r="CN18" s="169">
        <v>45637</v>
      </c>
      <c r="CO18" s="122">
        <v>1000</v>
      </c>
      <c r="CP18" s="164">
        <v>42.06</v>
      </c>
      <c r="CQ18" s="169">
        <v>45771</v>
      </c>
      <c r="CR18" s="122">
        <v>200</v>
      </c>
      <c r="CS18" s="164">
        <v>1096.44</v>
      </c>
      <c r="CT18" s="169"/>
      <c r="CU18" s="122"/>
      <c r="CV18" s="164"/>
      <c r="CW18" s="169">
        <v>45951</v>
      </c>
      <c r="CX18" s="122">
        <v>1500</v>
      </c>
      <c r="CY18" s="164">
        <v>-35.72</v>
      </c>
      <c r="CZ18" s="169">
        <v>45700</v>
      </c>
      <c r="DA18" s="122">
        <v>2000</v>
      </c>
      <c r="DB18" s="164">
        <v>-6.2248999999999999</v>
      </c>
      <c r="DC18" s="169"/>
      <c r="DD18" s="122"/>
      <c r="DE18" s="164"/>
      <c r="DF18" s="169"/>
      <c r="DG18" s="122"/>
      <c r="DH18" s="164"/>
      <c r="DI18" s="169">
        <v>45807</v>
      </c>
      <c r="DJ18" s="122">
        <v>6000</v>
      </c>
      <c r="DK18" s="164">
        <v>-19.385584999999999</v>
      </c>
      <c r="DL18" s="169">
        <v>45607</v>
      </c>
      <c r="DM18" s="122">
        <v>2000</v>
      </c>
      <c r="DN18" s="164">
        <v>-30.67</v>
      </c>
      <c r="DO18" s="169">
        <v>45736</v>
      </c>
      <c r="DP18" s="122">
        <v>1000</v>
      </c>
      <c r="DQ18" s="164">
        <v>-250.8</v>
      </c>
      <c r="DR18" s="169">
        <v>45833</v>
      </c>
      <c r="DS18" s="122">
        <v>3000</v>
      </c>
      <c r="DT18" s="164">
        <v>-15.45</v>
      </c>
      <c r="DU18" s="169"/>
      <c r="DV18" s="122"/>
      <c r="DW18" s="164"/>
      <c r="DX18" s="169"/>
      <c r="DY18" s="122"/>
      <c r="DZ18" s="164"/>
      <c r="EA18" s="169">
        <v>45856</v>
      </c>
      <c r="EB18" s="122">
        <v>500</v>
      </c>
      <c r="EC18" s="164">
        <v>-241.39</v>
      </c>
      <c r="ED18" s="169">
        <v>45856</v>
      </c>
      <c r="EE18" s="122">
        <v>350</v>
      </c>
      <c r="EF18" s="164">
        <v>-37.240699999999997</v>
      </c>
      <c r="EG18" s="169"/>
      <c r="EH18" s="122"/>
      <c r="EI18" s="164"/>
      <c r="EJ18" s="169"/>
      <c r="EK18" s="122"/>
      <c r="EL18" s="123"/>
      <c r="EM18" s="169"/>
      <c r="EN18" s="122"/>
      <c r="EO18" s="164"/>
      <c r="EP18" s="169">
        <v>45541</v>
      </c>
      <c r="EQ18" s="122">
        <v>2000</v>
      </c>
      <c r="ER18" s="164">
        <v>-53.8</v>
      </c>
      <c r="ES18" s="169"/>
      <c r="ET18" s="122"/>
      <c r="EU18" s="164"/>
      <c r="EV18" s="169"/>
      <c r="EW18" s="122"/>
      <c r="EX18" s="123"/>
      <c r="EY18" s="169"/>
      <c r="EZ18" s="122"/>
      <c r="FA18" s="164"/>
      <c r="FB18" s="169"/>
      <c r="FC18" s="122"/>
      <c r="FD18" s="164"/>
      <c r="FE18" s="169"/>
      <c r="FF18" s="122"/>
      <c r="FG18" s="164"/>
      <c r="FH18" s="169"/>
      <c r="FI18" s="122"/>
      <c r="FJ18" s="164"/>
      <c r="FK18" s="289">
        <v>45700</v>
      </c>
      <c r="FL18" s="122">
        <v>1000</v>
      </c>
      <c r="FM18" s="164">
        <v>40.01</v>
      </c>
      <c r="FN18" s="169"/>
      <c r="FO18" s="122"/>
      <c r="FP18" s="164"/>
      <c r="FQ18" s="169"/>
      <c r="FR18" s="122"/>
      <c r="FS18" s="164"/>
      <c r="FT18" s="169"/>
      <c r="FU18" s="122"/>
      <c r="FV18" s="164"/>
      <c r="FW18" s="169">
        <v>45485</v>
      </c>
      <c r="FX18" s="122">
        <v>2000</v>
      </c>
      <c r="FY18" s="164">
        <v>23.055</v>
      </c>
      <c r="FZ18" s="169">
        <v>45715</v>
      </c>
      <c r="GA18" s="122">
        <v>6000</v>
      </c>
      <c r="GB18" s="164">
        <v>11.42</v>
      </c>
      <c r="GC18" s="169">
        <v>45686</v>
      </c>
      <c r="GD18" s="122">
        <v>4000</v>
      </c>
      <c r="GE18" s="164">
        <v>29.29</v>
      </c>
      <c r="GF18" s="169">
        <v>45490</v>
      </c>
      <c r="GG18" s="122">
        <v>490</v>
      </c>
      <c r="GH18" s="164">
        <v>189.44</v>
      </c>
      <c r="GI18" s="169"/>
      <c r="GJ18" s="122"/>
      <c r="GK18" s="164"/>
      <c r="GL18" s="648">
        <v>45779</v>
      </c>
      <c r="GM18" s="122">
        <v>500</v>
      </c>
      <c r="GN18" s="164">
        <v>-204.94932</v>
      </c>
      <c r="GO18" s="169">
        <v>45503</v>
      </c>
      <c r="GP18" s="122">
        <v>300</v>
      </c>
      <c r="GQ18" s="164">
        <v>-180.28</v>
      </c>
      <c r="GR18" s="169">
        <v>45397</v>
      </c>
      <c r="GS18" s="122">
        <v>300</v>
      </c>
      <c r="GT18" s="164">
        <v>920.94</v>
      </c>
      <c r="GU18" s="169">
        <v>45936</v>
      </c>
      <c r="GV18" s="122">
        <v>11000</v>
      </c>
      <c r="GW18" s="164">
        <v>3.16</v>
      </c>
      <c r="GX18" s="169">
        <v>45845</v>
      </c>
      <c r="GY18" s="122">
        <v>330</v>
      </c>
      <c r="GZ18" s="164">
        <v>122.97</v>
      </c>
      <c r="HA18" s="169">
        <v>45449</v>
      </c>
      <c r="HB18" s="122">
        <v>750</v>
      </c>
      <c r="HC18" s="164">
        <v>-45.5486</v>
      </c>
      <c r="HD18" s="169"/>
      <c r="HE18" s="122"/>
      <c r="HF18" s="164"/>
      <c r="HG18" s="169"/>
      <c r="HH18" s="122"/>
      <c r="HI18" s="164"/>
      <c r="HJ18" s="169"/>
      <c r="HK18" s="122"/>
      <c r="HL18" s="164"/>
      <c r="HM18" s="169">
        <v>45496</v>
      </c>
      <c r="HN18" s="122">
        <v>5000</v>
      </c>
      <c r="HO18" s="164">
        <v>-14.166</v>
      </c>
      <c r="HP18" s="570">
        <v>45848</v>
      </c>
      <c r="HQ18" s="122">
        <v>10000</v>
      </c>
      <c r="HR18" s="164">
        <v>-524.20000000000005</v>
      </c>
      <c r="HS18" s="169">
        <v>45910</v>
      </c>
      <c r="HT18" s="122">
        <v>2000</v>
      </c>
      <c r="HU18" s="164">
        <v>11.41</v>
      </c>
      <c r="HV18" s="169">
        <v>45484</v>
      </c>
      <c r="HW18" s="122">
        <v>2000</v>
      </c>
      <c r="HX18" s="164">
        <v>23.324999999999999</v>
      </c>
      <c r="HY18" s="169">
        <v>45700</v>
      </c>
      <c r="HZ18" s="122">
        <v>280</v>
      </c>
      <c r="IA18" s="164">
        <v>154.81</v>
      </c>
      <c r="IB18" s="169"/>
      <c r="IC18" s="122"/>
      <c r="ID18" s="164"/>
      <c r="IE18" s="169"/>
      <c r="IF18" s="122"/>
      <c r="IG18" s="164"/>
      <c r="IH18" s="169"/>
      <c r="II18" s="122"/>
      <c r="IJ18" s="164"/>
      <c r="IK18" s="169">
        <v>45826</v>
      </c>
      <c r="IL18" s="122">
        <v>200</v>
      </c>
      <c r="IM18" s="164">
        <v>-546.80999999999995</v>
      </c>
      <c r="IN18" s="169"/>
      <c r="IO18" s="122"/>
      <c r="IP18" s="164"/>
      <c r="IQ18" s="169"/>
      <c r="IR18" s="122"/>
      <c r="IS18" s="164"/>
      <c r="IT18" s="169"/>
      <c r="IU18" s="122"/>
      <c r="IV18" s="164"/>
      <c r="IW18" s="169"/>
      <c r="IX18" s="122"/>
      <c r="IY18" s="164"/>
      <c r="IZ18" s="169"/>
      <c r="JA18" s="122"/>
      <c r="JB18" s="164"/>
      <c r="JC18" s="169"/>
      <c r="JD18" s="122"/>
      <c r="JE18" s="164"/>
      <c r="JF18" s="169"/>
      <c r="JG18" s="122"/>
      <c r="JH18" s="164"/>
      <c r="JI18" s="169">
        <v>45504</v>
      </c>
      <c r="JJ18" s="122">
        <v>2000</v>
      </c>
      <c r="JK18" s="164">
        <v>61.26</v>
      </c>
      <c r="JL18" s="169">
        <v>45504</v>
      </c>
      <c r="JM18" s="122">
        <v>1000</v>
      </c>
      <c r="JN18" s="164">
        <v>149.97999999999999</v>
      </c>
      <c r="JO18" s="169">
        <v>45544</v>
      </c>
      <c r="JP18" s="122">
        <v>1300</v>
      </c>
      <c r="JQ18" s="164">
        <v>-32.31</v>
      </c>
      <c r="JR18" s="169"/>
      <c r="JS18" s="122"/>
      <c r="JT18" s="164"/>
      <c r="JU18" s="169"/>
      <c r="JV18" s="122"/>
      <c r="JW18" s="164"/>
      <c r="JX18" s="289">
        <v>45915</v>
      </c>
      <c r="JY18" s="122">
        <v>5000</v>
      </c>
      <c r="JZ18" s="164">
        <v>15.63</v>
      </c>
      <c r="KA18" s="169"/>
      <c r="KB18" s="122"/>
      <c r="KC18" s="164"/>
      <c r="KD18" s="169"/>
      <c r="KE18" s="122"/>
      <c r="KF18" s="164"/>
      <c r="KJ18" s="1189"/>
    </row>
    <row r="19" spans="1:296">
      <c r="A19" s="157">
        <v>16</v>
      </c>
      <c r="B19" s="169">
        <v>45821</v>
      </c>
      <c r="C19" s="122">
        <v>500</v>
      </c>
      <c r="D19" s="164">
        <v>-195.75</v>
      </c>
      <c r="E19" s="169"/>
      <c r="F19" s="122"/>
      <c r="G19" s="164"/>
      <c r="H19" s="169">
        <v>45740</v>
      </c>
      <c r="I19" s="122">
        <v>19410</v>
      </c>
      <c r="J19" s="164">
        <v>-41.404269999999997</v>
      </c>
      <c r="K19" s="169">
        <v>45679</v>
      </c>
      <c r="L19" s="122">
        <v>500</v>
      </c>
      <c r="M19" s="164">
        <v>234.24</v>
      </c>
      <c r="N19" s="169"/>
      <c r="O19" s="122"/>
      <c r="P19" s="164"/>
      <c r="Q19" s="169">
        <v>45677</v>
      </c>
      <c r="R19" s="122">
        <v>500</v>
      </c>
      <c r="S19" s="164">
        <v>745.4</v>
      </c>
      <c r="T19" s="581"/>
      <c r="U19" s="581"/>
      <c r="V19" s="581"/>
      <c r="W19" s="169"/>
      <c r="X19" s="122"/>
      <c r="Y19" s="164"/>
      <c r="Z19" s="169"/>
      <c r="AA19" s="122"/>
      <c r="AB19" s="164"/>
      <c r="AC19" s="169"/>
      <c r="AD19" s="122"/>
      <c r="AE19" s="164"/>
      <c r="AF19" s="169"/>
      <c r="AG19" s="122"/>
      <c r="AH19" s="164"/>
      <c r="AI19" s="169">
        <v>45716</v>
      </c>
      <c r="AJ19" s="122">
        <v>990</v>
      </c>
      <c r="AK19" s="164">
        <v>64.33</v>
      </c>
      <c r="AL19" s="169">
        <v>45685</v>
      </c>
      <c r="AM19" s="122">
        <v>2000</v>
      </c>
      <c r="AN19" s="164">
        <v>56.88</v>
      </c>
      <c r="AO19" s="169">
        <v>45937</v>
      </c>
      <c r="AP19" s="122">
        <v>10000</v>
      </c>
      <c r="AQ19" s="164">
        <v>3.15</v>
      </c>
      <c r="AR19" s="169">
        <v>45910</v>
      </c>
      <c r="AS19" s="122">
        <v>800</v>
      </c>
      <c r="AT19" s="164">
        <v>-115.89749999999999</v>
      </c>
      <c r="AU19" s="289">
        <v>45684</v>
      </c>
      <c r="AV19" s="122">
        <v>2000</v>
      </c>
      <c r="AW19" s="164">
        <v>36.674999999999997</v>
      </c>
      <c r="AX19" s="169"/>
      <c r="AY19" s="122"/>
      <c r="AZ19" s="164"/>
      <c r="BA19" s="169"/>
      <c r="BB19" s="122"/>
      <c r="BC19" s="164"/>
      <c r="BD19" s="169">
        <v>45665</v>
      </c>
      <c r="BE19" s="122">
        <v>10000</v>
      </c>
      <c r="BF19" s="164">
        <v>-11.225</v>
      </c>
      <c r="BG19" s="169"/>
      <c r="BH19" s="122"/>
      <c r="BI19" s="164"/>
      <c r="BJ19" s="169"/>
      <c r="BK19" s="122"/>
      <c r="BL19" s="164"/>
      <c r="BM19" s="169">
        <v>45723</v>
      </c>
      <c r="BN19" s="122">
        <v>2000</v>
      </c>
      <c r="BO19" s="164">
        <v>-15.76</v>
      </c>
      <c r="BP19" s="169">
        <v>45796</v>
      </c>
      <c r="BQ19" s="122">
        <v>1000</v>
      </c>
      <c r="BR19" s="164">
        <v>29.094999999999999</v>
      </c>
      <c r="BS19" s="169">
        <v>45678</v>
      </c>
      <c r="BT19" s="122">
        <v>10000</v>
      </c>
      <c r="BU19" s="164">
        <v>328</v>
      </c>
      <c r="BV19" s="169">
        <v>45764</v>
      </c>
      <c r="BW19" s="122">
        <v>1000</v>
      </c>
      <c r="BX19" s="164">
        <v>69.12</v>
      </c>
      <c r="BY19" s="169"/>
      <c r="BZ19" s="122"/>
      <c r="CA19" s="164"/>
      <c r="CB19" s="169"/>
      <c r="CC19" s="122"/>
      <c r="CD19" s="164"/>
      <c r="CE19" s="169"/>
      <c r="CF19" s="122"/>
      <c r="CG19" s="164"/>
      <c r="CH19" s="169">
        <v>45833</v>
      </c>
      <c r="CI19" s="122">
        <v>150</v>
      </c>
      <c r="CJ19" s="164">
        <v>491.47500000000002</v>
      </c>
      <c r="CK19" s="169">
        <v>45709</v>
      </c>
      <c r="CL19" s="122">
        <v>1000</v>
      </c>
      <c r="CM19" s="164">
        <v>71.239999999999995</v>
      </c>
      <c r="CN19" s="169">
        <v>45656</v>
      </c>
      <c r="CO19" s="122">
        <v>3000</v>
      </c>
      <c r="CP19" s="164">
        <v>-37.18</v>
      </c>
      <c r="CQ19" s="169">
        <v>45782</v>
      </c>
      <c r="CR19" s="122">
        <v>200</v>
      </c>
      <c r="CS19" s="164">
        <v>1133.76</v>
      </c>
      <c r="CT19" s="169"/>
      <c r="CU19" s="122"/>
      <c r="CV19" s="164"/>
      <c r="CW19" s="169"/>
      <c r="CX19" s="122"/>
      <c r="CY19" s="164"/>
      <c r="CZ19" s="169">
        <v>45707</v>
      </c>
      <c r="DA19" s="122">
        <v>2000</v>
      </c>
      <c r="DB19" s="164">
        <v>6.93</v>
      </c>
      <c r="DC19" s="169"/>
      <c r="DD19" s="122"/>
      <c r="DE19" s="164"/>
      <c r="DF19" s="169"/>
      <c r="DG19" s="122"/>
      <c r="DH19" s="164"/>
      <c r="DI19" s="169">
        <v>45833</v>
      </c>
      <c r="DJ19" s="122">
        <v>2000</v>
      </c>
      <c r="DK19" s="164">
        <v>-18.649999999999999</v>
      </c>
      <c r="DL19" s="169">
        <v>45663</v>
      </c>
      <c r="DM19" s="122">
        <v>1000</v>
      </c>
      <c r="DN19" s="164">
        <v>30.18</v>
      </c>
      <c r="DO19" s="169">
        <v>45740</v>
      </c>
      <c r="DP19" s="122">
        <v>1000</v>
      </c>
      <c r="DQ19" s="164">
        <v>-255.19</v>
      </c>
      <c r="DR19" s="169">
        <v>45945</v>
      </c>
      <c r="DS19" s="122">
        <v>632</v>
      </c>
      <c r="DT19" s="164">
        <v>16.54</v>
      </c>
      <c r="DU19" s="169"/>
      <c r="DV19" s="122"/>
      <c r="DW19" s="164"/>
      <c r="DX19" s="169"/>
      <c r="DY19" s="122"/>
      <c r="DZ19" s="164"/>
      <c r="EA19" s="169">
        <v>45870</v>
      </c>
      <c r="EB19" s="122">
        <v>1000</v>
      </c>
      <c r="EC19" s="164">
        <v>-235.25</v>
      </c>
      <c r="ED19" s="169"/>
      <c r="EE19" s="122"/>
      <c r="EF19" s="164"/>
      <c r="EG19" s="169"/>
      <c r="EH19" s="122"/>
      <c r="EI19" s="164"/>
      <c r="EJ19" s="169"/>
      <c r="EK19" s="122"/>
      <c r="EL19" s="123"/>
      <c r="EM19" s="169"/>
      <c r="EN19" s="122"/>
      <c r="EO19" s="164"/>
      <c r="EP19" s="169">
        <v>45560</v>
      </c>
      <c r="EQ19" s="122">
        <v>834</v>
      </c>
      <c r="ER19" s="164">
        <v>55.4</v>
      </c>
      <c r="ES19" s="169"/>
      <c r="ET19" s="122"/>
      <c r="EU19" s="164"/>
      <c r="EV19" s="169"/>
      <c r="EW19" s="122"/>
      <c r="EX19" s="123"/>
      <c r="EY19" s="169"/>
      <c r="EZ19" s="122"/>
      <c r="FA19" s="164"/>
      <c r="FB19" s="169"/>
      <c r="FC19" s="122"/>
      <c r="FD19" s="164"/>
      <c r="FE19" s="169"/>
      <c r="FF19" s="122"/>
      <c r="FG19" s="164"/>
      <c r="FH19" s="169"/>
      <c r="FI19" s="122"/>
      <c r="FJ19" s="164"/>
      <c r="FK19" s="169">
        <v>45751</v>
      </c>
      <c r="FL19" s="122">
        <v>2000</v>
      </c>
      <c r="FM19" s="164">
        <v>-35.44</v>
      </c>
      <c r="FN19" s="169"/>
      <c r="FO19" s="122"/>
      <c r="FP19" s="164"/>
      <c r="FQ19" s="169"/>
      <c r="FR19" s="122"/>
      <c r="FS19" s="164"/>
      <c r="FT19" s="169"/>
      <c r="FU19" s="122"/>
      <c r="FV19" s="164"/>
      <c r="FW19" s="289">
        <v>45498</v>
      </c>
      <c r="FX19" s="122">
        <v>2000</v>
      </c>
      <c r="FY19" s="164">
        <v>23.426590000000001</v>
      </c>
      <c r="FZ19" s="169">
        <v>45726</v>
      </c>
      <c r="GA19" s="122">
        <v>5000</v>
      </c>
      <c r="GB19" s="164">
        <v>11.8467</v>
      </c>
      <c r="GC19" s="169">
        <v>45779</v>
      </c>
      <c r="GD19" s="122">
        <v>3000</v>
      </c>
      <c r="GE19" s="164">
        <v>-33.094999999999999</v>
      </c>
      <c r="GF19" s="169">
        <v>45496</v>
      </c>
      <c r="GG19" s="122">
        <v>500</v>
      </c>
      <c r="GH19" s="164">
        <v>-195.97512</v>
      </c>
      <c r="GI19" s="169"/>
      <c r="GJ19" s="122"/>
      <c r="GK19" s="164"/>
      <c r="GL19" s="648">
        <v>45819</v>
      </c>
      <c r="GM19" s="122">
        <v>290</v>
      </c>
      <c r="GN19" s="164">
        <v>-198.8</v>
      </c>
      <c r="GO19" s="169">
        <v>45533</v>
      </c>
      <c r="GP19" s="122">
        <v>1000</v>
      </c>
      <c r="GQ19" s="164">
        <v>-171.92</v>
      </c>
      <c r="GR19" s="169">
        <v>45398</v>
      </c>
      <c r="GS19" s="122">
        <v>240</v>
      </c>
      <c r="GT19" s="164">
        <v>-897.43</v>
      </c>
      <c r="GU19" s="169"/>
      <c r="GV19" s="122"/>
      <c r="GW19" s="164"/>
      <c r="GX19" s="169">
        <v>45936</v>
      </c>
      <c r="GY19" s="122">
        <v>530</v>
      </c>
      <c r="GZ19" s="164">
        <v>-112.98</v>
      </c>
      <c r="HA19" s="169">
        <v>45450</v>
      </c>
      <c r="HB19" s="122">
        <v>1000</v>
      </c>
      <c r="HC19" s="164">
        <v>-45.798499999999997</v>
      </c>
      <c r="HD19" s="169"/>
      <c r="HE19" s="122"/>
      <c r="HF19" s="164"/>
      <c r="HG19" s="169"/>
      <c r="HH19" s="122"/>
      <c r="HI19" s="164"/>
      <c r="HJ19" s="169"/>
      <c r="HK19" s="122"/>
      <c r="HL19" s="164"/>
      <c r="HM19" s="169">
        <v>45498</v>
      </c>
      <c r="HN19" s="122">
        <v>3000</v>
      </c>
      <c r="HO19" s="164">
        <v>13.911</v>
      </c>
      <c r="HP19" s="570">
        <v>45902</v>
      </c>
      <c r="HQ19" s="122">
        <v>10000</v>
      </c>
      <c r="HR19" s="164">
        <v>-480.9</v>
      </c>
      <c r="HS19" s="169">
        <v>45950</v>
      </c>
      <c r="HT19" s="122">
        <v>3000</v>
      </c>
      <c r="HU19" s="164">
        <v>12.02</v>
      </c>
      <c r="HV19" s="169">
        <v>45491</v>
      </c>
      <c r="HW19" s="122">
        <v>2000</v>
      </c>
      <c r="HX19" s="164">
        <v>23.9879</v>
      </c>
      <c r="HY19" s="169">
        <v>45701</v>
      </c>
      <c r="HZ19" s="122">
        <v>330</v>
      </c>
      <c r="IA19" s="164">
        <v>-146.94999999999999</v>
      </c>
      <c r="IB19" s="169"/>
      <c r="IC19" s="122"/>
      <c r="ID19" s="164"/>
      <c r="IE19" s="169"/>
      <c r="IF19" s="122"/>
      <c r="IG19" s="164"/>
      <c r="IH19" s="169"/>
      <c r="II19" s="122"/>
      <c r="IJ19" s="164"/>
      <c r="IK19" s="169">
        <v>45919</v>
      </c>
      <c r="IL19" s="122">
        <v>100</v>
      </c>
      <c r="IM19" s="164">
        <v>592.67999999999995</v>
      </c>
      <c r="IN19" s="169"/>
      <c r="IO19" s="122"/>
      <c r="IP19" s="164"/>
      <c r="IQ19" s="169"/>
      <c r="IR19" s="122"/>
      <c r="IS19" s="164"/>
      <c r="IT19" s="169"/>
      <c r="IU19" s="122"/>
      <c r="IV19" s="164"/>
      <c r="IW19" s="169"/>
      <c r="IX19" s="122"/>
      <c r="IY19" s="164"/>
      <c r="IZ19" s="169"/>
      <c r="JA19" s="122"/>
      <c r="JB19" s="164"/>
      <c r="JC19" s="169"/>
      <c r="JD19" s="122"/>
      <c r="JE19" s="164"/>
      <c r="JF19" s="169"/>
      <c r="JG19" s="122"/>
      <c r="JH19" s="164"/>
      <c r="JI19" s="169">
        <v>45919</v>
      </c>
      <c r="JJ19" s="122">
        <v>600</v>
      </c>
      <c r="JK19" s="164">
        <v>-76.94</v>
      </c>
      <c r="JL19" s="169">
        <v>45539</v>
      </c>
      <c r="JM19" s="122">
        <v>1000</v>
      </c>
      <c r="JN19" s="164">
        <v>161.44220000000001</v>
      </c>
      <c r="JO19" s="169">
        <v>45546</v>
      </c>
      <c r="JP19" s="122">
        <v>1300</v>
      </c>
      <c r="JQ19" s="164">
        <v>33.001100000000001</v>
      </c>
      <c r="JR19" s="169"/>
      <c r="JS19" s="122"/>
      <c r="JT19" s="164"/>
      <c r="JU19" s="169"/>
      <c r="JV19" s="122"/>
      <c r="JW19" s="164"/>
      <c r="JX19" s="289">
        <v>45925</v>
      </c>
      <c r="JY19" s="122">
        <v>12000</v>
      </c>
      <c r="JZ19" s="164">
        <v>15.96</v>
      </c>
      <c r="KA19" s="169"/>
      <c r="KB19" s="122"/>
      <c r="KC19" s="164"/>
      <c r="KD19" s="169"/>
      <c r="KE19" s="122"/>
      <c r="KF19" s="164"/>
      <c r="KJ19" s="1189"/>
    </row>
    <row r="20" spans="1:296">
      <c r="A20" s="156">
        <v>17</v>
      </c>
      <c r="B20" s="169">
        <v>45826</v>
      </c>
      <c r="C20" s="122">
        <v>300</v>
      </c>
      <c r="D20" s="164">
        <v>-196.66</v>
      </c>
      <c r="E20" s="169"/>
      <c r="F20" s="122"/>
      <c r="G20" s="164"/>
      <c r="H20" s="169">
        <v>45828</v>
      </c>
      <c r="I20" s="122">
        <v>20000</v>
      </c>
      <c r="J20" s="164">
        <v>52.01</v>
      </c>
      <c r="K20" s="169">
        <v>45693</v>
      </c>
      <c r="L20" s="122">
        <v>400</v>
      </c>
      <c r="M20" s="164">
        <v>-236.70750000000001</v>
      </c>
      <c r="N20" s="169"/>
      <c r="O20" s="122"/>
      <c r="P20" s="164"/>
      <c r="Q20" s="169">
        <v>45679</v>
      </c>
      <c r="R20" s="122">
        <v>200</v>
      </c>
      <c r="S20" s="164">
        <v>748.4</v>
      </c>
      <c r="T20" s="581"/>
      <c r="U20" s="581"/>
      <c r="V20" s="581"/>
      <c r="W20" s="169"/>
      <c r="X20" s="122"/>
      <c r="Y20" s="164"/>
      <c r="Z20" s="169"/>
      <c r="AA20" s="122"/>
      <c r="AB20" s="164"/>
      <c r="AC20" s="169"/>
      <c r="AD20" s="122"/>
      <c r="AE20" s="164"/>
      <c r="AF20" s="169"/>
      <c r="AG20" s="122"/>
      <c r="AH20" s="164"/>
      <c r="AI20" s="169">
        <v>45779</v>
      </c>
      <c r="AJ20" s="122">
        <v>1990</v>
      </c>
      <c r="AK20" s="164">
        <v>-58.935000000000002</v>
      </c>
      <c r="AL20" s="169">
        <v>45700</v>
      </c>
      <c r="AM20" s="122">
        <v>2000</v>
      </c>
      <c r="AN20" s="164">
        <v>62.39</v>
      </c>
      <c r="AO20" s="169"/>
      <c r="AP20" s="122"/>
      <c r="AQ20" s="164"/>
      <c r="AR20" s="169"/>
      <c r="AS20" s="122"/>
      <c r="AT20" s="164"/>
      <c r="AU20" s="289">
        <v>45692</v>
      </c>
      <c r="AV20" s="122">
        <v>1000</v>
      </c>
      <c r="AW20" s="164">
        <v>39.119999999999997</v>
      </c>
      <c r="AX20" s="169"/>
      <c r="AY20" s="122"/>
      <c r="AZ20" s="164"/>
      <c r="BA20" s="169"/>
      <c r="BB20" s="122"/>
      <c r="BC20" s="164"/>
      <c r="BD20" s="169">
        <v>45677</v>
      </c>
      <c r="BE20" s="122">
        <v>3000</v>
      </c>
      <c r="BF20" s="164">
        <v>-10.9</v>
      </c>
      <c r="BG20" s="169"/>
      <c r="BH20" s="122"/>
      <c r="BI20" s="164"/>
      <c r="BJ20" s="169"/>
      <c r="BK20" s="122"/>
      <c r="BL20" s="164"/>
      <c r="BM20" s="169">
        <v>45741</v>
      </c>
      <c r="BN20" s="122">
        <v>500</v>
      </c>
      <c r="BO20" s="164">
        <v>16.55</v>
      </c>
      <c r="BP20" s="169">
        <v>45807</v>
      </c>
      <c r="BQ20" s="122">
        <v>4000</v>
      </c>
      <c r="BR20" s="164">
        <v>-24.949998000000001</v>
      </c>
      <c r="BS20" s="169">
        <v>45694</v>
      </c>
      <c r="BT20" s="122">
        <v>10000</v>
      </c>
      <c r="BU20" s="164">
        <v>362.61099999999999</v>
      </c>
      <c r="BV20" s="169">
        <v>45807</v>
      </c>
      <c r="BW20" s="122">
        <v>2000</v>
      </c>
      <c r="BX20" s="164">
        <v>-68.399500000000003</v>
      </c>
      <c r="BY20" s="169"/>
      <c r="BZ20" s="122"/>
      <c r="CA20" s="164"/>
      <c r="CB20" s="169"/>
      <c r="CC20" s="122"/>
      <c r="CD20" s="164"/>
      <c r="CE20" s="169"/>
      <c r="CF20" s="122"/>
      <c r="CG20" s="164"/>
      <c r="CH20" s="169">
        <v>45834</v>
      </c>
      <c r="CI20" s="122">
        <v>150</v>
      </c>
      <c r="CJ20" s="164">
        <v>496.3</v>
      </c>
      <c r="CK20" s="169">
        <v>45730</v>
      </c>
      <c r="CL20" s="122">
        <v>1000</v>
      </c>
      <c r="CM20" s="164">
        <v>73.358999999999995</v>
      </c>
      <c r="CN20" s="169">
        <v>45664</v>
      </c>
      <c r="CO20" s="122">
        <v>1500</v>
      </c>
      <c r="CP20" s="164">
        <v>38.51</v>
      </c>
      <c r="CQ20" s="169">
        <v>45811</v>
      </c>
      <c r="CR20" s="122">
        <v>200</v>
      </c>
      <c r="CS20" s="164">
        <v>1222.17</v>
      </c>
      <c r="CT20" s="169"/>
      <c r="CU20" s="122"/>
      <c r="CV20" s="164"/>
      <c r="CW20" s="169"/>
      <c r="CX20" s="122"/>
      <c r="CY20" s="164"/>
      <c r="CZ20" s="169">
        <v>45924</v>
      </c>
      <c r="DA20" s="122">
        <v>4000</v>
      </c>
      <c r="DB20" s="164">
        <v>-5.19</v>
      </c>
      <c r="DC20" s="169"/>
      <c r="DD20" s="122"/>
      <c r="DE20" s="164"/>
      <c r="DF20" s="169"/>
      <c r="DG20" s="122"/>
      <c r="DH20" s="164"/>
      <c r="DI20" s="169">
        <v>45880</v>
      </c>
      <c r="DJ20" s="122">
        <v>2000</v>
      </c>
      <c r="DK20" s="164">
        <v>31.7</v>
      </c>
      <c r="DL20" s="169">
        <v>45665</v>
      </c>
      <c r="DM20" s="122">
        <v>4000</v>
      </c>
      <c r="DN20" s="164">
        <v>-29.31</v>
      </c>
      <c r="DO20" s="169">
        <v>45784</v>
      </c>
      <c r="DP20" s="122">
        <v>500</v>
      </c>
      <c r="DQ20" s="164">
        <v>-262.89999999999998</v>
      </c>
      <c r="DR20" s="169"/>
      <c r="DS20" s="122"/>
      <c r="DT20" s="164"/>
      <c r="DU20" s="169"/>
      <c r="DV20" s="122"/>
      <c r="DW20" s="164"/>
      <c r="DX20" s="169"/>
      <c r="DY20" s="122"/>
      <c r="DZ20" s="164"/>
      <c r="EA20" s="169">
        <v>45918</v>
      </c>
      <c r="EB20" s="122">
        <v>1000</v>
      </c>
      <c r="EC20" s="164">
        <v>268.58999999999997</v>
      </c>
      <c r="ED20" s="169"/>
      <c r="EE20" s="122"/>
      <c r="EF20" s="164"/>
      <c r="EG20" s="169"/>
      <c r="EH20" s="122"/>
      <c r="EI20" s="164"/>
      <c r="EJ20" s="169"/>
      <c r="EK20" s="122"/>
      <c r="EL20" s="123"/>
      <c r="EM20" s="169"/>
      <c r="EN20" s="122"/>
      <c r="EO20" s="164"/>
      <c r="EP20" s="169">
        <v>45583</v>
      </c>
      <c r="EQ20" s="122">
        <v>2000</v>
      </c>
      <c r="ER20" s="164">
        <v>58.54</v>
      </c>
      <c r="ES20" s="169"/>
      <c r="ET20" s="122"/>
      <c r="EU20" s="123"/>
      <c r="EV20" s="169"/>
      <c r="EW20" s="122"/>
      <c r="EX20" s="123"/>
      <c r="EY20" s="169"/>
      <c r="EZ20" s="122"/>
      <c r="FA20" s="164"/>
      <c r="FB20" s="169"/>
      <c r="FC20" s="122"/>
      <c r="FD20" s="164"/>
      <c r="FE20" s="169"/>
      <c r="FF20" s="122"/>
      <c r="FG20" s="164"/>
      <c r="FH20" s="169"/>
      <c r="FI20" s="122"/>
      <c r="FJ20" s="164"/>
      <c r="FK20" s="169">
        <v>45807</v>
      </c>
      <c r="FL20" s="122">
        <v>4000</v>
      </c>
      <c r="FM20" s="164">
        <v>-32.950000000000003</v>
      </c>
      <c r="FN20" s="169"/>
      <c r="FO20" s="122"/>
      <c r="FP20" s="164"/>
      <c r="FQ20" s="169"/>
      <c r="FR20" s="122"/>
      <c r="FS20" s="164"/>
      <c r="FT20" s="169"/>
      <c r="FU20" s="122"/>
      <c r="FV20" s="164"/>
      <c r="FW20" s="289">
        <v>45518</v>
      </c>
      <c r="FX20" s="122">
        <v>4000</v>
      </c>
      <c r="FY20" s="164">
        <v>-20.664300000000001</v>
      </c>
      <c r="FZ20" s="169">
        <v>45749</v>
      </c>
      <c r="GA20" s="122">
        <v>5000</v>
      </c>
      <c r="GB20" s="164">
        <v>12.01</v>
      </c>
      <c r="GC20" s="169">
        <v>45811</v>
      </c>
      <c r="GD20" s="122">
        <v>3999</v>
      </c>
      <c r="GE20" s="164">
        <v>33.36</v>
      </c>
      <c r="GF20" s="169">
        <v>45533</v>
      </c>
      <c r="GG20" s="122">
        <v>500</v>
      </c>
      <c r="GH20" s="164">
        <v>198.1</v>
      </c>
      <c r="GI20" s="169"/>
      <c r="GJ20" s="122"/>
      <c r="GK20" s="164"/>
      <c r="GL20" s="648">
        <v>45911</v>
      </c>
      <c r="GM20" s="122">
        <v>300</v>
      </c>
      <c r="GN20" s="164">
        <v>230.21</v>
      </c>
      <c r="GO20" s="169">
        <v>45547</v>
      </c>
      <c r="GP20" s="122">
        <v>1000</v>
      </c>
      <c r="GQ20" s="164">
        <v>-185.65</v>
      </c>
      <c r="GR20" s="169">
        <v>45453</v>
      </c>
      <c r="GS20" s="122">
        <v>240</v>
      </c>
      <c r="GT20" s="164">
        <v>945.78869999999995</v>
      </c>
      <c r="GU20" s="169"/>
      <c r="GV20" s="122"/>
      <c r="GW20" s="164"/>
      <c r="GX20" s="169"/>
      <c r="GY20" s="122"/>
      <c r="GZ20" s="164"/>
      <c r="HA20" s="169">
        <v>45453</v>
      </c>
      <c r="HB20" s="122">
        <v>1250</v>
      </c>
      <c r="HC20" s="164">
        <v>-47.31</v>
      </c>
      <c r="HD20" s="169"/>
      <c r="HE20" s="122"/>
      <c r="HF20" s="164"/>
      <c r="HG20" s="169"/>
      <c r="HH20" s="122"/>
      <c r="HI20" s="164"/>
      <c r="HJ20" s="169"/>
      <c r="HK20" s="122"/>
      <c r="HL20" s="164"/>
      <c r="HM20" s="169">
        <v>45526</v>
      </c>
      <c r="HN20" s="122">
        <v>3000</v>
      </c>
      <c r="HO20" s="164">
        <v>14.442</v>
      </c>
      <c r="HP20" s="169">
        <v>45919</v>
      </c>
      <c r="HQ20" s="122">
        <v>20000</v>
      </c>
      <c r="HR20" s="164">
        <v>-451.01</v>
      </c>
      <c r="HS20" s="169"/>
      <c r="HT20" s="122"/>
      <c r="HU20" s="164"/>
      <c r="HV20" s="169">
        <v>45498</v>
      </c>
      <c r="HW20" s="122">
        <v>1000</v>
      </c>
      <c r="HX20" s="164">
        <v>23.454999999999998</v>
      </c>
      <c r="HY20" s="169">
        <v>45730</v>
      </c>
      <c r="HZ20" s="122">
        <v>400</v>
      </c>
      <c r="IA20" s="164">
        <v>-130.04</v>
      </c>
      <c r="IB20" s="169"/>
      <c r="IC20" s="122"/>
      <c r="ID20" s="164"/>
      <c r="IE20" s="169"/>
      <c r="IF20" s="122"/>
      <c r="IG20" s="164"/>
      <c r="IH20" s="169"/>
      <c r="II20" s="122"/>
      <c r="IJ20" s="164"/>
      <c r="IK20" s="169">
        <v>45924</v>
      </c>
      <c r="IL20" s="122">
        <v>100</v>
      </c>
      <c r="IM20" s="164">
        <v>-565.89</v>
      </c>
      <c r="IN20" s="169"/>
      <c r="IO20" s="122"/>
      <c r="IP20" s="164"/>
      <c r="IQ20" s="169"/>
      <c r="IR20" s="122"/>
      <c r="IS20" s="164"/>
      <c r="IT20" s="169"/>
      <c r="IU20" s="122"/>
      <c r="IV20" s="164"/>
      <c r="IW20" s="169"/>
      <c r="IX20" s="122"/>
      <c r="IY20" s="164"/>
      <c r="IZ20" s="169"/>
      <c r="JA20" s="122"/>
      <c r="JB20" s="164"/>
      <c r="JC20" s="169"/>
      <c r="JD20" s="122"/>
      <c r="JE20" s="164"/>
      <c r="JF20" s="169"/>
      <c r="JG20" s="122"/>
      <c r="JH20" s="164"/>
      <c r="JI20" s="169"/>
      <c r="JJ20" s="122"/>
      <c r="JK20" s="164"/>
      <c r="JL20" s="169">
        <v>45572</v>
      </c>
      <c r="JM20" s="122">
        <v>1000</v>
      </c>
      <c r="JN20" s="164">
        <v>-154.99639999999999</v>
      </c>
      <c r="JO20" s="169">
        <v>45551</v>
      </c>
      <c r="JP20" s="122">
        <v>1200</v>
      </c>
      <c r="JQ20" s="164">
        <v>-36.387</v>
      </c>
      <c r="JR20" s="169"/>
      <c r="JS20" s="122"/>
      <c r="JT20" s="164"/>
      <c r="JU20" s="169"/>
      <c r="JV20" s="122"/>
      <c r="JW20" s="164"/>
      <c r="JX20" s="169">
        <v>45936</v>
      </c>
      <c r="JY20" s="122">
        <v>3000</v>
      </c>
      <c r="JZ20" s="164">
        <v>16.12</v>
      </c>
      <c r="KA20" s="169"/>
      <c r="KB20" s="122"/>
      <c r="KC20" s="164"/>
      <c r="KD20" s="169"/>
      <c r="KE20" s="122"/>
      <c r="KF20" s="164"/>
      <c r="KJ20" s="1189"/>
    </row>
    <row r="21" spans="1:296">
      <c r="A21" s="157">
        <v>18</v>
      </c>
      <c r="B21" s="169">
        <v>45832</v>
      </c>
      <c r="C21" s="122">
        <v>300</v>
      </c>
      <c r="D21" s="164">
        <v>-200.7</v>
      </c>
      <c r="E21" s="169"/>
      <c r="F21" s="122"/>
      <c r="G21" s="164"/>
      <c r="H21" s="169">
        <v>45939</v>
      </c>
      <c r="I21" s="122">
        <v>20000</v>
      </c>
      <c r="J21" s="164">
        <v>-46</v>
      </c>
      <c r="K21" s="169">
        <v>45695</v>
      </c>
      <c r="L21" s="122">
        <v>450</v>
      </c>
      <c r="M21" s="164">
        <v>-228.95</v>
      </c>
      <c r="N21" s="169"/>
      <c r="O21" s="122"/>
      <c r="P21" s="164"/>
      <c r="Q21" s="169">
        <v>45680</v>
      </c>
      <c r="R21" s="122">
        <v>200</v>
      </c>
      <c r="S21" s="164">
        <v>-715.55</v>
      </c>
      <c r="T21" s="581"/>
      <c r="U21" s="581"/>
      <c r="V21" s="581"/>
      <c r="W21" s="169"/>
      <c r="X21" s="122"/>
      <c r="Y21" s="164"/>
      <c r="Z21" s="169"/>
      <c r="AA21" s="122"/>
      <c r="AB21" s="164"/>
      <c r="AC21" s="169"/>
      <c r="AD21" s="122"/>
      <c r="AE21" s="164"/>
      <c r="AF21" s="169"/>
      <c r="AG21" s="122"/>
      <c r="AH21" s="164"/>
      <c r="AI21" s="169">
        <v>45833</v>
      </c>
      <c r="AJ21" s="122">
        <v>1000</v>
      </c>
      <c r="AK21" s="164">
        <v>68.319999999999993</v>
      </c>
      <c r="AL21" s="169">
        <v>45701</v>
      </c>
      <c r="AM21" s="122">
        <v>2000</v>
      </c>
      <c r="AN21" s="164">
        <v>67.069999999999993</v>
      </c>
      <c r="AO21" s="169"/>
      <c r="AP21" s="122"/>
      <c r="AQ21" s="164"/>
      <c r="AR21" s="169"/>
      <c r="AS21" s="122"/>
      <c r="AT21" s="164"/>
      <c r="AU21" s="289">
        <v>45692</v>
      </c>
      <c r="AV21" s="122">
        <v>2000</v>
      </c>
      <c r="AW21" s="164">
        <v>40.119999999999997</v>
      </c>
      <c r="AX21" s="169"/>
      <c r="AY21" s="122"/>
      <c r="AZ21" s="164"/>
      <c r="BA21" s="169"/>
      <c r="BB21" s="122"/>
      <c r="BC21" s="164"/>
      <c r="BD21" s="169">
        <v>45678</v>
      </c>
      <c r="BE21" s="122">
        <v>8000</v>
      </c>
      <c r="BF21" s="164">
        <v>-10.89</v>
      </c>
      <c r="BG21" s="169"/>
      <c r="BH21" s="122"/>
      <c r="BI21" s="164"/>
      <c r="BJ21" s="169"/>
      <c r="BK21" s="122"/>
      <c r="BL21" s="164"/>
      <c r="BM21" s="169">
        <v>45838</v>
      </c>
      <c r="BN21" s="122">
        <v>2000</v>
      </c>
      <c r="BO21" s="164">
        <v>20.52</v>
      </c>
      <c r="BP21" s="169">
        <v>45888</v>
      </c>
      <c r="BQ21" s="122">
        <v>4000</v>
      </c>
      <c r="BR21" s="164">
        <v>27.08</v>
      </c>
      <c r="BS21" s="169">
        <v>45699</v>
      </c>
      <c r="BT21" s="122">
        <v>10000</v>
      </c>
      <c r="BU21" s="164">
        <v>-347</v>
      </c>
      <c r="BV21" s="169">
        <v>45828</v>
      </c>
      <c r="BW21" s="122">
        <v>1000</v>
      </c>
      <c r="BX21" s="164">
        <v>71.819999999999993</v>
      </c>
      <c r="BY21" s="169"/>
      <c r="BZ21" s="122"/>
      <c r="CA21" s="164"/>
      <c r="CB21" s="169"/>
      <c r="CC21" s="122"/>
      <c r="CD21" s="164"/>
      <c r="CE21" s="169"/>
      <c r="CF21" s="122"/>
      <c r="CG21" s="164"/>
      <c r="CH21" s="169">
        <v>45926</v>
      </c>
      <c r="CI21" s="122">
        <v>200</v>
      </c>
      <c r="CJ21" s="164">
        <v>511.495</v>
      </c>
      <c r="CK21" s="169">
        <v>45796</v>
      </c>
      <c r="CL21" s="122">
        <v>1000</v>
      </c>
      <c r="CM21" s="164">
        <v>73.814999999999998</v>
      </c>
      <c r="CN21" s="169">
        <v>45678</v>
      </c>
      <c r="CO21" s="122">
        <v>1500</v>
      </c>
      <c r="CP21" s="164">
        <v>41.62</v>
      </c>
      <c r="CQ21" s="169">
        <v>45825</v>
      </c>
      <c r="CR21" s="122">
        <v>200</v>
      </c>
      <c r="CS21" s="164">
        <v>1220.52</v>
      </c>
      <c r="CT21" s="169"/>
      <c r="CU21" s="122"/>
      <c r="CV21" s="164"/>
      <c r="CW21" s="169"/>
      <c r="CX21" s="122"/>
      <c r="CY21" s="164"/>
      <c r="CZ21" s="169">
        <v>45945</v>
      </c>
      <c r="DA21" s="122">
        <v>2000</v>
      </c>
      <c r="DB21" s="164">
        <v>5.61</v>
      </c>
      <c r="DC21" s="169"/>
      <c r="DD21" s="122"/>
      <c r="DE21" s="164"/>
      <c r="DF21" s="169"/>
      <c r="DG21" s="122"/>
      <c r="DH21" s="164"/>
      <c r="DI21" s="169">
        <v>45882</v>
      </c>
      <c r="DJ21" s="122">
        <v>2000</v>
      </c>
      <c r="DK21" s="164">
        <v>37.119999999999997</v>
      </c>
      <c r="DL21" s="289">
        <v>45686</v>
      </c>
      <c r="DM21" s="122">
        <v>4000</v>
      </c>
      <c r="DN21" s="164">
        <v>29.33</v>
      </c>
      <c r="DO21" s="169">
        <v>45785</v>
      </c>
      <c r="DP21" s="122">
        <v>500</v>
      </c>
      <c r="DQ21" s="164">
        <v>265.64999999999998</v>
      </c>
      <c r="DR21" s="169"/>
      <c r="DS21" s="122"/>
      <c r="DT21" s="164"/>
      <c r="DU21" s="169"/>
      <c r="DV21" s="122"/>
      <c r="DW21" s="164"/>
      <c r="DX21" s="169"/>
      <c r="DY21" s="122"/>
      <c r="DZ21" s="164"/>
      <c r="EA21" s="169">
        <v>45947</v>
      </c>
      <c r="EB21" s="448">
        <v>500</v>
      </c>
      <c r="EC21" s="448">
        <v>296.39999999999998</v>
      </c>
      <c r="ED21" s="169"/>
      <c r="EE21" s="122"/>
      <c r="EF21" s="164"/>
      <c r="EG21" s="169"/>
      <c r="EH21" s="122"/>
      <c r="EI21" s="164"/>
      <c r="EJ21" s="169"/>
      <c r="EK21" s="122"/>
      <c r="EL21" s="123"/>
      <c r="EM21" s="169"/>
      <c r="EN21" s="122"/>
      <c r="EO21" s="164"/>
      <c r="EP21" s="169">
        <v>45596</v>
      </c>
      <c r="EQ21" s="122">
        <v>1166</v>
      </c>
      <c r="ER21" s="164">
        <v>56.9</v>
      </c>
      <c r="ES21" s="169"/>
      <c r="ET21" s="122"/>
      <c r="EU21" s="123"/>
      <c r="EV21" s="169"/>
      <c r="EW21" s="122"/>
      <c r="EX21" s="123"/>
      <c r="EY21" s="169"/>
      <c r="EZ21" s="122"/>
      <c r="FA21" s="164"/>
      <c r="FB21" s="169"/>
      <c r="FC21" s="122"/>
      <c r="FD21" s="164"/>
      <c r="FE21" s="169"/>
      <c r="FF21" s="122"/>
      <c r="FG21" s="164"/>
      <c r="FH21" s="169"/>
      <c r="FI21" s="122"/>
      <c r="FJ21" s="164"/>
      <c r="FK21" s="169">
        <v>45826</v>
      </c>
      <c r="FL21" s="122">
        <v>500</v>
      </c>
      <c r="FM21" s="164">
        <v>-31.36</v>
      </c>
      <c r="FN21" s="169"/>
      <c r="FO21" s="122"/>
      <c r="FP21" s="164"/>
      <c r="FQ21" s="169"/>
      <c r="FR21" s="122"/>
      <c r="FS21" s="164"/>
      <c r="FT21" s="169"/>
      <c r="FU21" s="122"/>
      <c r="FV21" s="164"/>
      <c r="FW21" s="289">
        <v>45530</v>
      </c>
      <c r="FX21" s="122">
        <v>2000</v>
      </c>
      <c r="FY21" s="164">
        <v>-21.31</v>
      </c>
      <c r="FZ21" s="169">
        <v>45770</v>
      </c>
      <c r="GA21" s="122">
        <v>5000</v>
      </c>
      <c r="GB21" s="164">
        <v>12.62</v>
      </c>
      <c r="GC21" s="169"/>
      <c r="GD21" s="122"/>
      <c r="GE21" s="164"/>
      <c r="GF21" s="169">
        <v>45547</v>
      </c>
      <c r="GG21" s="122">
        <v>490</v>
      </c>
      <c r="GH21" s="164">
        <v>-240.55</v>
      </c>
      <c r="GI21" s="169"/>
      <c r="GJ21" s="122"/>
      <c r="GK21" s="164"/>
      <c r="GL21" s="648">
        <v>45937</v>
      </c>
      <c r="GM21" s="122">
        <v>150</v>
      </c>
      <c r="GN21" s="164">
        <v>260</v>
      </c>
      <c r="GO21" s="169">
        <v>45569</v>
      </c>
      <c r="GP21" s="122">
        <v>500</v>
      </c>
      <c r="GQ21" s="164">
        <v>185.96</v>
      </c>
      <c r="GR21" s="169">
        <v>45474</v>
      </c>
      <c r="GS21" s="122">
        <v>10</v>
      </c>
      <c r="GT21" s="164">
        <v>989.8</v>
      </c>
      <c r="GU21" s="169"/>
      <c r="GV21" s="122"/>
      <c r="GW21" s="164"/>
      <c r="GX21" s="169"/>
      <c r="GY21" s="122"/>
      <c r="GZ21" s="164"/>
      <c r="HA21" s="169">
        <v>45455</v>
      </c>
      <c r="HB21" s="122">
        <v>1250</v>
      </c>
      <c r="HC21" s="164">
        <v>48.79</v>
      </c>
      <c r="HD21" s="169"/>
      <c r="HE21" s="122"/>
      <c r="HF21" s="164"/>
      <c r="HG21" s="169"/>
      <c r="HH21" s="122"/>
      <c r="HI21" s="164"/>
      <c r="HJ21" s="169"/>
      <c r="HK21" s="122"/>
      <c r="HL21" s="164"/>
      <c r="HM21" s="169">
        <v>45527</v>
      </c>
      <c r="HN21" s="122">
        <v>2000</v>
      </c>
      <c r="HO21" s="164">
        <v>14.59</v>
      </c>
      <c r="HP21" s="169">
        <v>45952</v>
      </c>
      <c r="HQ21" s="122">
        <v>10000</v>
      </c>
      <c r="HR21" s="164">
        <v>495.6</v>
      </c>
      <c r="HS21" s="169"/>
      <c r="HT21" s="122"/>
      <c r="HU21" s="164"/>
      <c r="HV21" s="169">
        <v>45541</v>
      </c>
      <c r="HW21" s="122">
        <v>2000</v>
      </c>
      <c r="HX21" s="164">
        <v>-21.87</v>
      </c>
      <c r="HY21" s="169">
        <v>45863</v>
      </c>
      <c r="HZ21" s="122">
        <v>400</v>
      </c>
      <c r="IA21" s="164">
        <v>165.75</v>
      </c>
      <c r="IB21" s="169"/>
      <c r="IC21" s="122"/>
      <c r="ID21" s="164"/>
      <c r="IE21" s="169"/>
      <c r="IF21" s="122"/>
      <c r="IG21" s="164"/>
      <c r="IH21" s="169"/>
      <c r="II21" s="122"/>
      <c r="IJ21" s="164"/>
      <c r="IK21" s="169"/>
      <c r="IL21" s="122"/>
      <c r="IM21" s="164"/>
      <c r="IN21" s="169"/>
      <c r="IO21" s="122"/>
      <c r="IP21" s="164"/>
      <c r="IQ21" s="169"/>
      <c r="IR21" s="122"/>
      <c r="IS21" s="164"/>
      <c r="IT21" s="169"/>
      <c r="IU21" s="122"/>
      <c r="IV21" s="164"/>
      <c r="IW21" s="169"/>
      <c r="IX21" s="122"/>
      <c r="IY21" s="164"/>
      <c r="IZ21" s="169"/>
      <c r="JA21" s="122"/>
      <c r="JB21" s="164"/>
      <c r="JC21" s="169"/>
      <c r="JD21" s="122"/>
      <c r="JE21" s="164"/>
      <c r="JF21" s="169"/>
      <c r="JG21" s="122"/>
      <c r="JH21" s="164"/>
      <c r="JI21" s="169"/>
      <c r="JJ21" s="122"/>
      <c r="JK21" s="164"/>
      <c r="JL21" s="169">
        <v>45679</v>
      </c>
      <c r="JM21" s="122">
        <v>1000</v>
      </c>
      <c r="JN21" s="164">
        <v>-134.99</v>
      </c>
      <c r="JO21" s="169">
        <v>45597</v>
      </c>
      <c r="JP21" s="122">
        <v>1200</v>
      </c>
      <c r="JQ21" s="164">
        <v>38.92</v>
      </c>
      <c r="JR21" s="169"/>
      <c r="JS21" s="122"/>
      <c r="JT21" s="164"/>
      <c r="JU21" s="169"/>
      <c r="JV21" s="122"/>
      <c r="JW21" s="164"/>
      <c r="JX21" s="169"/>
      <c r="JY21" s="122"/>
      <c r="JZ21" s="164"/>
      <c r="KA21" s="169"/>
      <c r="KB21" s="122"/>
      <c r="KC21" s="164"/>
      <c r="KD21" s="169"/>
      <c r="KE21" s="122"/>
      <c r="KF21" s="164"/>
    </row>
    <row r="22" spans="1:296">
      <c r="A22" s="156">
        <v>19</v>
      </c>
      <c r="B22" s="169">
        <v>45911</v>
      </c>
      <c r="C22" s="122">
        <v>300</v>
      </c>
      <c r="D22" s="164">
        <v>230.35</v>
      </c>
      <c r="E22" s="169"/>
      <c r="F22" s="122"/>
      <c r="G22" s="164"/>
      <c r="H22" s="169">
        <v>45940</v>
      </c>
      <c r="I22" s="122">
        <v>10000</v>
      </c>
      <c r="J22" s="164">
        <v>-45.8</v>
      </c>
      <c r="K22" s="169">
        <v>45698</v>
      </c>
      <c r="L22" s="122">
        <v>250</v>
      </c>
      <c r="M22" s="164">
        <v>-232.89</v>
      </c>
      <c r="N22" s="169"/>
      <c r="O22" s="122"/>
      <c r="P22" s="164"/>
      <c r="Q22" s="169">
        <v>45681</v>
      </c>
      <c r="R22" s="122">
        <v>500</v>
      </c>
      <c r="S22" s="164">
        <v>-701.05</v>
      </c>
      <c r="T22" s="581"/>
      <c r="U22" s="581"/>
      <c r="V22" s="581"/>
      <c r="W22" s="169"/>
      <c r="X22" s="122"/>
      <c r="Y22" s="164"/>
      <c r="Z22" s="169"/>
      <c r="AA22" s="122"/>
      <c r="AB22" s="164"/>
      <c r="AC22" s="169"/>
      <c r="AD22" s="122"/>
      <c r="AE22" s="164"/>
      <c r="AF22" s="169"/>
      <c r="AG22" s="122"/>
      <c r="AH22" s="164"/>
      <c r="AI22" s="169">
        <v>45926</v>
      </c>
      <c r="AJ22" s="122">
        <v>1000</v>
      </c>
      <c r="AK22" s="164">
        <v>-67.2</v>
      </c>
      <c r="AL22" s="169">
        <v>45796</v>
      </c>
      <c r="AM22" s="122">
        <v>750</v>
      </c>
      <c r="AN22" s="164">
        <v>62.734999999999999</v>
      </c>
      <c r="AO22" s="169"/>
      <c r="AP22" s="122"/>
      <c r="AQ22" s="164"/>
      <c r="AR22" s="169"/>
      <c r="AS22" s="122"/>
      <c r="AT22" s="164"/>
      <c r="AU22" s="289">
        <v>45700</v>
      </c>
      <c r="AV22" s="122">
        <v>1000</v>
      </c>
      <c r="AW22" s="164">
        <v>40.01</v>
      </c>
      <c r="AX22" s="169"/>
      <c r="AY22" s="122"/>
      <c r="AZ22" s="164"/>
      <c r="BA22" s="169"/>
      <c r="BB22" s="122"/>
      <c r="BC22" s="164"/>
      <c r="BD22" s="169">
        <v>45695</v>
      </c>
      <c r="BE22" s="122">
        <v>4000</v>
      </c>
      <c r="BF22" s="164">
        <v>-11.63</v>
      </c>
      <c r="BG22" s="169"/>
      <c r="BH22" s="122"/>
      <c r="BI22" s="164"/>
      <c r="BJ22" s="169"/>
      <c r="BK22" s="122"/>
      <c r="BL22" s="164"/>
      <c r="BM22" s="124">
        <v>45897</v>
      </c>
      <c r="BN22" s="793">
        <v>2000</v>
      </c>
      <c r="BO22" s="794">
        <v>22.45</v>
      </c>
      <c r="BP22" s="169">
        <v>45940</v>
      </c>
      <c r="BQ22" s="122">
        <v>4000</v>
      </c>
      <c r="BR22" s="164">
        <v>-25.74</v>
      </c>
      <c r="BS22" s="169">
        <v>45705</v>
      </c>
      <c r="BT22" s="122">
        <v>10000</v>
      </c>
      <c r="BU22" s="164">
        <v>-337</v>
      </c>
      <c r="BV22" s="169">
        <v>45898</v>
      </c>
      <c r="BW22" s="122">
        <v>660</v>
      </c>
      <c r="BX22" s="164">
        <v>-67.180000000000007</v>
      </c>
      <c r="BY22" s="169"/>
      <c r="BZ22" s="122"/>
      <c r="CA22" s="164"/>
      <c r="CB22" s="169"/>
      <c r="CC22" s="122"/>
      <c r="CD22" s="164"/>
      <c r="CE22" s="169"/>
      <c r="CF22" s="122"/>
      <c r="CG22" s="164"/>
      <c r="CH22" s="169">
        <v>45929</v>
      </c>
      <c r="CI22" s="122">
        <v>200</v>
      </c>
      <c r="CJ22" s="164">
        <v>515.245</v>
      </c>
      <c r="CK22" s="169">
        <v>45800</v>
      </c>
      <c r="CL22" s="122">
        <v>1000</v>
      </c>
      <c r="CM22" s="164">
        <v>-66.36</v>
      </c>
      <c r="CN22" s="169">
        <v>45701</v>
      </c>
      <c r="CO22" s="122">
        <v>1500</v>
      </c>
      <c r="CP22" s="164">
        <v>47.96</v>
      </c>
      <c r="CQ22" s="169">
        <v>45856</v>
      </c>
      <c r="CR22" s="122">
        <v>400</v>
      </c>
      <c r="CS22" s="164">
        <v>-1208.99</v>
      </c>
      <c r="CT22" s="169"/>
      <c r="CU22" s="122"/>
      <c r="CV22" s="164"/>
      <c r="CW22" s="169"/>
      <c r="CX22" s="122"/>
      <c r="CY22" s="164"/>
      <c r="CZ22" s="169"/>
      <c r="DA22" s="122"/>
      <c r="DB22" s="164"/>
      <c r="DC22" s="169"/>
      <c r="DD22" s="122"/>
      <c r="DE22" s="164"/>
      <c r="DF22" s="169"/>
      <c r="DG22" s="122"/>
      <c r="DH22" s="164"/>
      <c r="DI22" s="169">
        <v>45891</v>
      </c>
      <c r="DJ22" s="122">
        <v>2000</v>
      </c>
      <c r="DK22" s="164">
        <v>42.05</v>
      </c>
      <c r="DL22" s="289">
        <v>45695</v>
      </c>
      <c r="DM22" s="122">
        <v>4000</v>
      </c>
      <c r="DN22" s="164">
        <v>30.01</v>
      </c>
      <c r="DO22" s="169">
        <v>45796</v>
      </c>
      <c r="DP22" s="122">
        <v>500</v>
      </c>
      <c r="DQ22" s="164">
        <v>263.875</v>
      </c>
      <c r="DR22" s="169"/>
      <c r="DS22" s="122"/>
      <c r="DT22" s="164"/>
      <c r="DU22" s="169"/>
      <c r="DV22" s="122"/>
      <c r="DW22" s="164"/>
      <c r="DX22" s="169"/>
      <c r="DY22" s="122"/>
      <c r="DZ22" s="164"/>
      <c r="EA22" s="169">
        <v>45952</v>
      </c>
      <c r="EB22" s="122">
        <v>800</v>
      </c>
      <c r="EC22" s="164">
        <v>-286.40249999999997</v>
      </c>
      <c r="ED22" s="169"/>
      <c r="EE22" s="122"/>
      <c r="EF22" s="164"/>
      <c r="EG22" s="169"/>
      <c r="EH22" s="122"/>
      <c r="EI22" s="164"/>
      <c r="EJ22" s="169"/>
      <c r="EK22" s="122"/>
      <c r="EL22" s="123"/>
      <c r="EM22" s="169"/>
      <c r="EN22" s="122"/>
      <c r="EO22" s="164"/>
      <c r="EP22" s="169">
        <v>45609</v>
      </c>
      <c r="EQ22" s="122">
        <v>2000</v>
      </c>
      <c r="ER22" s="164">
        <v>56.6</v>
      </c>
      <c r="ES22" s="169"/>
      <c r="ET22" s="122"/>
      <c r="EU22" s="123"/>
      <c r="EV22" s="169"/>
      <c r="EW22" s="122"/>
      <c r="EX22" s="123"/>
      <c r="EY22" s="169"/>
      <c r="EZ22" s="122"/>
      <c r="FA22" s="164"/>
      <c r="FB22" s="169"/>
      <c r="FC22" s="122"/>
      <c r="FD22" s="164"/>
      <c r="FE22" s="169"/>
      <c r="FF22" s="122"/>
      <c r="FG22" s="164"/>
      <c r="FH22" s="169"/>
      <c r="FI22" s="122"/>
      <c r="FJ22" s="164"/>
      <c r="FK22" s="169">
        <v>45834</v>
      </c>
      <c r="FL22" s="122">
        <v>1500</v>
      </c>
      <c r="FM22" s="164">
        <v>-30.22</v>
      </c>
      <c r="FN22" s="169"/>
      <c r="FO22" s="122"/>
      <c r="FP22" s="164"/>
      <c r="FQ22" s="169"/>
      <c r="FR22" s="122"/>
      <c r="FS22" s="164"/>
      <c r="FT22" s="169"/>
      <c r="FU22" s="122"/>
      <c r="FV22" s="164"/>
      <c r="FW22" s="289">
        <v>45537</v>
      </c>
      <c r="FX22" s="122">
        <v>3000</v>
      </c>
      <c r="FY22" s="164">
        <v>-21.76</v>
      </c>
      <c r="FZ22" s="169">
        <v>45785</v>
      </c>
      <c r="GA22" s="122">
        <v>3000</v>
      </c>
      <c r="GB22" s="123">
        <v>12.664999999999999</v>
      </c>
      <c r="GC22" s="169"/>
      <c r="GD22" s="122"/>
      <c r="GE22" s="164"/>
      <c r="GF22" s="169">
        <v>45712</v>
      </c>
      <c r="GG22" s="122">
        <v>499</v>
      </c>
      <c r="GH22" s="164">
        <v>275.64999999999998</v>
      </c>
      <c r="GI22" s="169"/>
      <c r="GJ22" s="122"/>
      <c r="GK22" s="164"/>
      <c r="GL22" s="648"/>
      <c r="GM22" s="122"/>
      <c r="GN22" s="164"/>
      <c r="GO22" s="169">
        <v>45674</v>
      </c>
      <c r="GP22" s="122">
        <v>500</v>
      </c>
      <c r="GQ22" s="164">
        <v>224</v>
      </c>
      <c r="GR22" s="169">
        <v>45491</v>
      </c>
      <c r="GS22" s="122">
        <v>100</v>
      </c>
      <c r="GT22" s="164">
        <v>-867.51099999999997</v>
      </c>
      <c r="GU22" s="169"/>
      <c r="GV22" s="122"/>
      <c r="GW22" s="164"/>
      <c r="GX22" s="169"/>
      <c r="GY22" s="122"/>
      <c r="GZ22" s="164"/>
      <c r="HA22" s="169">
        <v>45456</v>
      </c>
      <c r="HB22" s="122">
        <v>1500</v>
      </c>
      <c r="HC22" s="164">
        <v>-47.856999999999999</v>
      </c>
      <c r="HD22" s="169"/>
      <c r="HE22" s="122"/>
      <c r="HF22" s="164"/>
      <c r="HG22" s="169"/>
      <c r="HH22" s="122"/>
      <c r="HI22" s="164"/>
      <c r="HJ22" s="169"/>
      <c r="HK22" s="122"/>
      <c r="HL22" s="164"/>
      <c r="HM22" s="169">
        <v>45639</v>
      </c>
      <c r="HN22" s="122">
        <v>2000</v>
      </c>
      <c r="HO22" s="164">
        <v>-13.37</v>
      </c>
      <c r="HP22" s="169"/>
      <c r="HQ22" s="122"/>
      <c r="HR22" s="164"/>
      <c r="HS22" s="169"/>
      <c r="HT22" s="122"/>
      <c r="HU22" s="164"/>
      <c r="HV22" s="169">
        <v>45606</v>
      </c>
      <c r="HW22" s="122">
        <v>2000</v>
      </c>
      <c r="HX22" s="164">
        <v>23.059200000000001</v>
      </c>
      <c r="HY22" s="169">
        <v>45896</v>
      </c>
      <c r="HZ22" s="122">
        <v>600</v>
      </c>
      <c r="IA22" s="164">
        <v>189.91</v>
      </c>
      <c r="IB22" s="169"/>
      <c r="IC22" s="122"/>
      <c r="ID22" s="164"/>
      <c r="IE22" s="169"/>
      <c r="IF22" s="122"/>
      <c r="IG22" s="164"/>
      <c r="IH22" s="169"/>
      <c r="II22" s="122"/>
      <c r="IJ22" s="164"/>
      <c r="IK22" s="169"/>
      <c r="IL22" s="122"/>
      <c r="IM22" s="164"/>
      <c r="IN22" s="169"/>
      <c r="IO22" s="122"/>
      <c r="IP22" s="164"/>
      <c r="IQ22" s="169"/>
      <c r="IR22" s="122"/>
      <c r="IS22" s="164"/>
      <c r="IT22" s="169"/>
      <c r="IU22" s="122"/>
      <c r="IV22" s="164"/>
      <c r="IW22" s="169"/>
      <c r="IX22" s="122"/>
      <c r="IY22" s="164"/>
      <c r="IZ22" s="169"/>
      <c r="JA22" s="122"/>
      <c r="JB22" s="164"/>
      <c r="JC22" s="169"/>
      <c r="JD22" s="122"/>
      <c r="JE22" s="164"/>
      <c r="JF22" s="169"/>
      <c r="JG22" s="122"/>
      <c r="JH22" s="164"/>
      <c r="JI22" s="169"/>
      <c r="JJ22" s="122"/>
      <c r="JK22" s="164"/>
      <c r="JL22" s="169">
        <v>45685</v>
      </c>
      <c r="JM22" s="122">
        <v>500</v>
      </c>
      <c r="JN22" s="164">
        <v>-142.01769999999999</v>
      </c>
      <c r="JO22" s="169">
        <v>45656</v>
      </c>
      <c r="JP22" s="122">
        <v>1400</v>
      </c>
      <c r="JQ22" s="164">
        <v>-31.38</v>
      </c>
      <c r="JR22" s="169"/>
      <c r="JS22" s="122"/>
      <c r="JT22" s="164"/>
      <c r="JU22" s="169"/>
      <c r="JV22" s="122"/>
      <c r="JW22" s="164"/>
      <c r="JX22" s="169"/>
      <c r="JY22" s="122"/>
      <c r="JZ22" s="164"/>
      <c r="KA22" s="169"/>
      <c r="KB22" s="122"/>
      <c r="KC22" s="164"/>
      <c r="KD22" s="169"/>
      <c r="KE22" s="122"/>
      <c r="KF22" s="164"/>
    </row>
    <row r="23" spans="1:296">
      <c r="A23" s="157">
        <v>20</v>
      </c>
      <c r="B23" s="169">
        <v>45919</v>
      </c>
      <c r="C23" s="122">
        <v>300</v>
      </c>
      <c r="D23" s="164">
        <v>245.49494999999999</v>
      </c>
      <c r="E23" s="169"/>
      <c r="F23" s="122"/>
      <c r="G23" s="164"/>
      <c r="H23" s="169">
        <v>45941</v>
      </c>
      <c r="I23" s="122">
        <v>10000</v>
      </c>
      <c r="J23" s="164">
        <v>-45.6</v>
      </c>
      <c r="K23" s="289">
        <v>45701</v>
      </c>
      <c r="L23" s="122">
        <v>400</v>
      </c>
      <c r="M23" s="164">
        <v>-229.005</v>
      </c>
      <c r="N23" s="169"/>
      <c r="O23" s="122"/>
      <c r="P23" s="164"/>
      <c r="Q23" s="169">
        <v>45684</v>
      </c>
      <c r="R23" s="122">
        <v>200</v>
      </c>
      <c r="S23" s="164">
        <v>-647.1</v>
      </c>
      <c r="T23" s="581"/>
      <c r="U23" s="581"/>
      <c r="V23" s="581"/>
      <c r="W23" s="169"/>
      <c r="X23" s="122"/>
      <c r="Y23" s="164"/>
      <c r="Z23" s="169"/>
      <c r="AA23" s="122"/>
      <c r="AB23" s="164"/>
      <c r="AC23" s="169"/>
      <c r="AD23" s="122"/>
      <c r="AE23" s="164"/>
      <c r="AF23" s="169"/>
      <c r="AG23" s="122"/>
      <c r="AH23" s="164"/>
      <c r="AI23" s="169">
        <v>45945</v>
      </c>
      <c r="AJ23" s="122">
        <v>1000</v>
      </c>
      <c r="AK23" s="164">
        <v>69.34</v>
      </c>
      <c r="AL23" s="169">
        <v>45925</v>
      </c>
      <c r="AM23" s="122">
        <v>249</v>
      </c>
      <c r="AN23" s="164">
        <v>74.685000000000002</v>
      </c>
      <c r="AO23" s="169"/>
      <c r="AP23" s="122"/>
      <c r="AQ23" s="164"/>
      <c r="AR23" s="169"/>
      <c r="AS23" s="122"/>
      <c r="AT23" s="164"/>
      <c r="AU23" s="169">
        <v>45734</v>
      </c>
      <c r="AV23" s="122">
        <v>1000</v>
      </c>
      <c r="AW23" s="164">
        <v>-38.78</v>
      </c>
      <c r="AX23" s="169"/>
      <c r="AY23" s="122"/>
      <c r="AZ23" s="164"/>
      <c r="BA23" s="169"/>
      <c r="BB23" s="122"/>
      <c r="BC23" s="164"/>
      <c r="BD23" s="169">
        <v>45712</v>
      </c>
      <c r="BE23" s="122">
        <v>5000</v>
      </c>
      <c r="BF23" s="164">
        <v>12.09</v>
      </c>
      <c r="BG23" s="169"/>
      <c r="BH23" s="122"/>
      <c r="BI23" s="164"/>
      <c r="BJ23" s="169"/>
      <c r="BK23" s="122"/>
      <c r="BL23" s="164"/>
      <c r="BM23" s="169">
        <v>45898</v>
      </c>
      <c r="BN23" s="122">
        <v>1500</v>
      </c>
      <c r="BO23" s="164">
        <v>23.24</v>
      </c>
      <c r="BP23" s="169">
        <v>45945</v>
      </c>
      <c r="BQ23" s="122">
        <v>1000</v>
      </c>
      <c r="BR23" s="164">
        <v>28.94</v>
      </c>
      <c r="BS23" s="169">
        <v>45713</v>
      </c>
      <c r="BT23" s="122">
        <v>30000</v>
      </c>
      <c r="BU23" s="164">
        <v>302.60000000000002</v>
      </c>
      <c r="BV23" s="169">
        <v>45950</v>
      </c>
      <c r="BW23" s="122">
        <v>1340</v>
      </c>
      <c r="BX23" s="164">
        <v>-68.98</v>
      </c>
      <c r="BY23" s="169"/>
      <c r="BZ23" s="122"/>
      <c r="CA23" s="164"/>
      <c r="CB23" s="169"/>
      <c r="CC23" s="122"/>
      <c r="CD23" s="164"/>
      <c r="CE23" s="169"/>
      <c r="CF23" s="122"/>
      <c r="CG23" s="164"/>
      <c r="CH23" s="169">
        <v>45937</v>
      </c>
      <c r="CI23" s="122">
        <v>150</v>
      </c>
      <c r="CJ23" s="164">
        <v>523.91999999999996</v>
      </c>
      <c r="CK23" s="169">
        <v>45861</v>
      </c>
      <c r="CL23" s="122">
        <v>3000</v>
      </c>
      <c r="CM23" s="164">
        <v>-72.56</v>
      </c>
      <c r="CN23" s="169">
        <v>45712</v>
      </c>
      <c r="CO23" s="122">
        <v>2000</v>
      </c>
      <c r="CP23" s="164">
        <v>-43.7</v>
      </c>
      <c r="CQ23" s="169">
        <v>45936</v>
      </c>
      <c r="CR23" s="122">
        <v>200</v>
      </c>
      <c r="CS23" s="164">
        <v>-1161.69</v>
      </c>
      <c r="CT23" s="169"/>
      <c r="CU23" s="122"/>
      <c r="CV23" s="164"/>
      <c r="CW23" s="169"/>
      <c r="CX23" s="122"/>
      <c r="CY23" s="164"/>
      <c r="CZ23" s="169"/>
      <c r="DA23" s="122"/>
      <c r="DB23" s="164"/>
      <c r="DC23" s="169"/>
      <c r="DD23" s="122"/>
      <c r="DE23" s="164"/>
      <c r="DF23" s="169"/>
      <c r="DG23" s="122"/>
      <c r="DH23" s="164"/>
      <c r="DI23" s="169">
        <v>45894</v>
      </c>
      <c r="DJ23" s="122">
        <v>1000</v>
      </c>
      <c r="DK23" s="164">
        <v>41.42</v>
      </c>
      <c r="DL23" s="289">
        <v>45698</v>
      </c>
      <c r="DM23" s="122">
        <v>4000</v>
      </c>
      <c r="DN23" s="164">
        <v>-29.234999999999999</v>
      </c>
      <c r="DO23" s="169">
        <v>45813</v>
      </c>
      <c r="DP23" s="122">
        <v>500</v>
      </c>
      <c r="DQ23" s="164">
        <v>273.14999999999998</v>
      </c>
      <c r="DR23" s="169"/>
      <c r="DS23" s="122"/>
      <c r="DT23" s="164"/>
      <c r="DU23" s="169"/>
      <c r="DV23" s="122"/>
      <c r="DW23" s="164"/>
      <c r="DX23" s="169"/>
      <c r="DY23" s="122"/>
      <c r="DZ23" s="164"/>
      <c r="EA23" s="169"/>
      <c r="EB23" s="122"/>
      <c r="EC23" s="164"/>
      <c r="ED23" s="169"/>
      <c r="EE23" s="122"/>
      <c r="EF23" s="164"/>
      <c r="EG23" s="169"/>
      <c r="EH23" s="122"/>
      <c r="EI23" s="164"/>
      <c r="EJ23" s="169"/>
      <c r="EK23" s="122"/>
      <c r="EL23" s="123"/>
      <c r="EM23" s="169"/>
      <c r="EN23" s="122"/>
      <c r="EO23" s="164"/>
      <c r="EP23" s="169">
        <v>45625</v>
      </c>
      <c r="EQ23" s="122">
        <v>2000</v>
      </c>
      <c r="ER23" s="164">
        <v>57.57</v>
      </c>
      <c r="ES23" s="169"/>
      <c r="ET23" s="122"/>
      <c r="EU23" s="123"/>
      <c r="EV23" s="169"/>
      <c r="EW23" s="122"/>
      <c r="EX23" s="123"/>
      <c r="EY23" s="169"/>
      <c r="EZ23" s="122"/>
      <c r="FA23" s="164"/>
      <c r="FB23" s="169"/>
      <c r="FC23" s="122"/>
      <c r="FD23" s="164"/>
      <c r="FE23" s="169"/>
      <c r="FF23" s="122"/>
      <c r="FG23" s="164"/>
      <c r="FH23" s="169"/>
      <c r="FI23" s="122"/>
      <c r="FJ23" s="164"/>
      <c r="FK23" s="169"/>
      <c r="FL23" s="122"/>
      <c r="FM23" s="164"/>
      <c r="FN23" s="169"/>
      <c r="FO23" s="122"/>
      <c r="FP23" s="164"/>
      <c r="FQ23" s="169"/>
      <c r="FR23" s="122"/>
      <c r="FS23" s="164"/>
      <c r="FT23" s="169"/>
      <c r="FU23" s="122"/>
      <c r="FV23" s="164"/>
      <c r="FW23" s="289">
        <v>45580</v>
      </c>
      <c r="FX23" s="122">
        <v>3000</v>
      </c>
      <c r="FY23" s="164">
        <v>23.14</v>
      </c>
      <c r="FZ23" s="169">
        <v>45799</v>
      </c>
      <c r="GA23" s="122">
        <v>3000</v>
      </c>
      <c r="GB23" s="164">
        <v>13.3</v>
      </c>
      <c r="GC23" s="169"/>
      <c r="GD23" s="122"/>
      <c r="GE23" s="164"/>
      <c r="GF23" s="169">
        <v>45740</v>
      </c>
      <c r="GG23" s="122">
        <v>1000</v>
      </c>
      <c r="GH23" s="164">
        <v>-255.05</v>
      </c>
      <c r="GI23" s="169"/>
      <c r="GJ23" s="122"/>
      <c r="GK23" s="164"/>
      <c r="GL23" s="648"/>
      <c r="GM23" s="122"/>
      <c r="GN23" s="164"/>
      <c r="GO23" s="169">
        <v>45679</v>
      </c>
      <c r="GP23" s="122">
        <v>500</v>
      </c>
      <c r="GQ23" s="164">
        <v>232.72</v>
      </c>
      <c r="GR23" s="169">
        <v>45684</v>
      </c>
      <c r="GS23" s="122">
        <v>100</v>
      </c>
      <c r="GT23" s="164">
        <v>-642.85</v>
      </c>
      <c r="GU23" s="169"/>
      <c r="GV23" s="122"/>
      <c r="GW23" s="164"/>
      <c r="GX23" s="169"/>
      <c r="GY23" s="122"/>
      <c r="GZ23" s="164"/>
      <c r="HA23" s="169">
        <v>45461</v>
      </c>
      <c r="HB23" s="122">
        <v>1250</v>
      </c>
      <c r="HC23" s="164">
        <v>47.394348000000001</v>
      </c>
      <c r="HD23" s="169"/>
      <c r="HE23" s="122"/>
      <c r="HF23" s="164"/>
      <c r="HG23" s="169"/>
      <c r="HH23" s="122"/>
      <c r="HI23" s="164"/>
      <c r="HJ23" s="169"/>
      <c r="HK23" s="122"/>
      <c r="HL23" s="164"/>
      <c r="HM23" s="169">
        <v>45709</v>
      </c>
      <c r="HN23" s="122">
        <v>4000</v>
      </c>
      <c r="HO23" s="164">
        <v>-13.978</v>
      </c>
      <c r="HP23" s="169"/>
      <c r="HQ23" s="122"/>
      <c r="HR23" s="164"/>
      <c r="HS23" s="169"/>
      <c r="HT23" s="122"/>
      <c r="HU23" s="164"/>
      <c r="HV23" s="169">
        <v>45674</v>
      </c>
      <c r="HW23" s="122">
        <v>2000</v>
      </c>
      <c r="HX23" s="164">
        <v>-28.94</v>
      </c>
      <c r="HY23" s="169">
        <v>45915</v>
      </c>
      <c r="HZ23" s="122">
        <v>600</v>
      </c>
      <c r="IA23" s="164">
        <v>-186.39</v>
      </c>
      <c r="IB23" s="169"/>
      <c r="IC23" s="122"/>
      <c r="ID23" s="164"/>
      <c r="IE23" s="169"/>
      <c r="IF23" s="122"/>
      <c r="IG23" s="164"/>
      <c r="IH23" s="169"/>
      <c r="II23" s="122"/>
      <c r="IJ23" s="164"/>
      <c r="IK23" s="169"/>
      <c r="IL23" s="122"/>
      <c r="IM23" s="164"/>
      <c r="IN23" s="169"/>
      <c r="IO23" s="122"/>
      <c r="IP23" s="164"/>
      <c r="IQ23" s="169"/>
      <c r="IR23" s="122"/>
      <c r="IS23" s="164"/>
      <c r="IT23" s="169"/>
      <c r="IU23" s="122"/>
      <c r="IV23" s="164"/>
      <c r="IW23" s="169"/>
      <c r="IX23" s="122"/>
      <c r="IY23" s="164"/>
      <c r="IZ23" s="169"/>
      <c r="JA23" s="122"/>
      <c r="JB23" s="164"/>
      <c r="JC23" s="169"/>
      <c r="JD23" s="122"/>
      <c r="JE23" s="164"/>
      <c r="JF23" s="169"/>
      <c r="JG23" s="122"/>
      <c r="JH23" s="164"/>
      <c r="JI23" s="169"/>
      <c r="JJ23" s="122"/>
      <c r="JK23" s="164"/>
      <c r="JL23" s="169">
        <v>45688</v>
      </c>
      <c r="JM23" s="122">
        <v>150</v>
      </c>
      <c r="JN23" s="164">
        <v>-140.46</v>
      </c>
      <c r="JO23" s="169">
        <v>45660</v>
      </c>
      <c r="JP23" s="122">
        <v>1800</v>
      </c>
      <c r="JQ23" s="164">
        <v>-30.957205999999999</v>
      </c>
      <c r="JR23" s="169"/>
      <c r="JS23" s="122"/>
      <c r="JT23" s="164"/>
      <c r="JU23" s="169"/>
      <c r="JV23" s="122"/>
      <c r="JW23" s="164"/>
      <c r="JX23" s="169"/>
      <c r="JY23" s="122"/>
      <c r="JZ23" s="164"/>
      <c r="KA23" s="169"/>
      <c r="KB23" s="122"/>
      <c r="KC23" s="164"/>
      <c r="KD23" s="169"/>
      <c r="KE23" s="122"/>
      <c r="KF23" s="164"/>
    </row>
    <row r="24" spans="1:296">
      <c r="A24" s="156">
        <v>21</v>
      </c>
      <c r="B24" s="169">
        <v>45939</v>
      </c>
      <c r="C24" s="122">
        <v>200</v>
      </c>
      <c r="D24" s="164">
        <v>253.62</v>
      </c>
      <c r="E24" s="169"/>
      <c r="F24" s="122"/>
      <c r="G24" s="164"/>
      <c r="H24" s="169"/>
      <c r="I24" s="122"/>
      <c r="J24" s="164"/>
      <c r="K24" s="289">
        <v>45702</v>
      </c>
      <c r="L24" s="122">
        <v>500</v>
      </c>
      <c r="M24" s="164">
        <v>-228.54</v>
      </c>
      <c r="N24" s="169"/>
      <c r="O24" s="122"/>
      <c r="P24" s="164"/>
      <c r="Q24" s="169">
        <v>45701</v>
      </c>
      <c r="R24" s="122">
        <v>100</v>
      </c>
      <c r="S24" s="164">
        <v>737.1</v>
      </c>
      <c r="T24" s="581"/>
      <c r="U24" s="581"/>
      <c r="V24" s="581"/>
      <c r="W24" s="169"/>
      <c r="X24" s="122"/>
      <c r="Y24" s="164"/>
      <c r="Z24" s="169"/>
      <c r="AA24" s="122"/>
      <c r="AB24" s="164"/>
      <c r="AC24" s="169"/>
      <c r="AD24" s="122"/>
      <c r="AE24" s="164"/>
      <c r="AF24" s="169"/>
      <c r="AG24" s="122"/>
      <c r="AH24" s="164"/>
      <c r="AI24" s="169"/>
      <c r="AJ24" s="122"/>
      <c r="AK24" s="164"/>
      <c r="AL24" s="169"/>
      <c r="AM24" s="122"/>
      <c r="AN24" s="164"/>
      <c r="AO24" s="169"/>
      <c r="AP24" s="122"/>
      <c r="AQ24" s="164"/>
      <c r="AR24" s="169"/>
      <c r="AS24" s="122"/>
      <c r="AT24" s="164"/>
      <c r="AU24" s="169">
        <v>45737</v>
      </c>
      <c r="AV24" s="122">
        <v>500</v>
      </c>
      <c r="AW24" s="164">
        <v>38.69</v>
      </c>
      <c r="AX24" s="169"/>
      <c r="AY24" s="122"/>
      <c r="AZ24" s="164"/>
      <c r="BA24" s="169"/>
      <c r="BB24" s="122"/>
      <c r="BC24" s="164"/>
      <c r="BD24" s="169">
        <v>45733</v>
      </c>
      <c r="BE24" s="122">
        <v>3000</v>
      </c>
      <c r="BF24" s="164">
        <v>12.09</v>
      </c>
      <c r="BG24" s="169"/>
      <c r="BH24" s="122"/>
      <c r="BI24" s="164"/>
      <c r="BJ24" s="169"/>
      <c r="BK24" s="122"/>
      <c r="BL24" s="164"/>
      <c r="BM24" s="169">
        <v>45916</v>
      </c>
      <c r="BN24" s="122">
        <v>2000</v>
      </c>
      <c r="BO24" s="164">
        <v>24.46</v>
      </c>
      <c r="BP24" s="169">
        <v>45946</v>
      </c>
      <c r="BQ24" s="122">
        <v>1000</v>
      </c>
      <c r="BR24" s="164">
        <v>-27.53</v>
      </c>
      <c r="BS24" s="169">
        <v>45715</v>
      </c>
      <c r="BT24" s="122">
        <v>30000</v>
      </c>
      <c r="BU24" s="164">
        <v>334.09167000000002</v>
      </c>
      <c r="BV24" s="169">
        <v>45954</v>
      </c>
      <c r="BW24" s="122">
        <v>1000</v>
      </c>
      <c r="BX24" s="164">
        <v>-66.995000000000005</v>
      </c>
      <c r="BY24" s="169"/>
      <c r="BZ24" s="122"/>
      <c r="CA24" s="164"/>
      <c r="CB24" s="169"/>
      <c r="CC24" s="122"/>
      <c r="CD24" s="164"/>
      <c r="CE24" s="169"/>
      <c r="CF24" s="122"/>
      <c r="CG24" s="164"/>
      <c r="CH24" s="169">
        <v>45943</v>
      </c>
      <c r="CI24" s="122">
        <v>150</v>
      </c>
      <c r="CJ24" s="164">
        <v>-513.83000000000004</v>
      </c>
      <c r="CK24" s="124">
        <v>45891</v>
      </c>
      <c r="CL24" s="793">
        <v>3000</v>
      </c>
      <c r="CM24" s="794">
        <v>76.209999999999994</v>
      </c>
      <c r="CN24" s="169">
        <v>45741</v>
      </c>
      <c r="CO24" s="122">
        <v>500</v>
      </c>
      <c r="CP24" s="164">
        <v>47.6</v>
      </c>
      <c r="CQ24" s="169">
        <v>45939</v>
      </c>
      <c r="CR24" s="122">
        <v>100</v>
      </c>
      <c r="CS24" s="164">
        <v>1235.33</v>
      </c>
      <c r="CT24" s="169"/>
      <c r="CU24" s="122"/>
      <c r="CV24" s="164"/>
      <c r="CW24" s="169"/>
      <c r="CX24" s="122"/>
      <c r="CY24" s="164"/>
      <c r="CZ24" s="169"/>
      <c r="DA24" s="122"/>
      <c r="DB24" s="164"/>
      <c r="DC24" s="169"/>
      <c r="DD24" s="122"/>
      <c r="DE24" s="164"/>
      <c r="DF24" s="169"/>
      <c r="DG24" s="122"/>
      <c r="DH24" s="164"/>
      <c r="DI24" s="169">
        <v>45898</v>
      </c>
      <c r="DJ24" s="122">
        <v>1000</v>
      </c>
      <c r="DK24" s="164">
        <v>38.72</v>
      </c>
      <c r="DL24" s="289">
        <v>45705</v>
      </c>
      <c r="DM24" s="122">
        <v>4000</v>
      </c>
      <c r="DN24" s="164">
        <v>-28.37</v>
      </c>
      <c r="DO24" s="169">
        <v>45831</v>
      </c>
      <c r="DP24" s="122">
        <v>1000</v>
      </c>
      <c r="DQ24" s="164">
        <v>-249.75</v>
      </c>
      <c r="DR24" s="169"/>
      <c r="DS24" s="122"/>
      <c r="DT24" s="164"/>
      <c r="DU24" s="169"/>
      <c r="DV24" s="122"/>
      <c r="DW24" s="164"/>
      <c r="DX24" s="169"/>
      <c r="DY24" s="122"/>
      <c r="DZ24" s="164"/>
      <c r="EA24" s="169"/>
      <c r="EB24" s="122"/>
      <c r="EC24" s="164"/>
      <c r="ED24" s="169"/>
      <c r="EE24" s="122"/>
      <c r="EF24" s="164"/>
      <c r="EG24" s="169"/>
      <c r="EH24" s="122"/>
      <c r="EI24" s="164"/>
      <c r="EJ24" s="169"/>
      <c r="EK24" s="122"/>
      <c r="EL24" s="123"/>
      <c r="EM24" s="169"/>
      <c r="EN24" s="122"/>
      <c r="EO24" s="164"/>
      <c r="EP24" s="169">
        <v>45632</v>
      </c>
      <c r="EQ24" s="122">
        <v>3000</v>
      </c>
      <c r="ER24" s="164">
        <v>60.05</v>
      </c>
      <c r="ES24" s="169"/>
      <c r="ET24" s="122"/>
      <c r="EU24" s="123"/>
      <c r="EV24" s="169"/>
      <c r="EW24" s="122"/>
      <c r="EX24" s="123"/>
      <c r="EY24" s="169"/>
      <c r="EZ24" s="122"/>
      <c r="FA24" s="164"/>
      <c r="FB24" s="169"/>
      <c r="FC24" s="122"/>
      <c r="FD24" s="164"/>
      <c r="FE24" s="169"/>
      <c r="FF24" s="122"/>
      <c r="FG24" s="164"/>
      <c r="FH24" s="169"/>
      <c r="FI24" s="122"/>
      <c r="FJ24" s="164"/>
      <c r="FK24" s="169"/>
      <c r="FL24" s="122"/>
      <c r="FM24" s="164"/>
      <c r="FN24" s="169"/>
      <c r="FO24" s="122"/>
      <c r="FP24" s="164"/>
      <c r="FQ24" s="169"/>
      <c r="FR24" s="122"/>
      <c r="FS24" s="164"/>
      <c r="FT24" s="169"/>
      <c r="FU24" s="122"/>
      <c r="FV24" s="164"/>
      <c r="FW24" s="289">
        <v>45650</v>
      </c>
      <c r="FX24" s="122">
        <v>4000</v>
      </c>
      <c r="FY24" s="164">
        <v>26.41</v>
      </c>
      <c r="FZ24" s="169">
        <v>45807</v>
      </c>
      <c r="GA24" s="122">
        <v>6000</v>
      </c>
      <c r="GB24" s="164">
        <v>-13.19</v>
      </c>
      <c r="GC24" s="169"/>
      <c r="GD24" s="122"/>
      <c r="GE24" s="164"/>
      <c r="GF24" s="169">
        <v>45785</v>
      </c>
      <c r="GG24" s="122">
        <v>500</v>
      </c>
      <c r="GH24" s="164">
        <v>265.64999999999998</v>
      </c>
      <c r="GI24" s="169"/>
      <c r="GJ24" s="122"/>
      <c r="GK24" s="164"/>
      <c r="GL24" s="648"/>
      <c r="GM24" s="122"/>
      <c r="GN24" s="164"/>
      <c r="GO24" s="169">
        <v>45693</v>
      </c>
      <c r="GP24" s="122">
        <v>250</v>
      </c>
      <c r="GQ24" s="164">
        <v>-236.91</v>
      </c>
      <c r="GR24" s="169">
        <v>45706</v>
      </c>
      <c r="GS24" s="122">
        <v>100</v>
      </c>
      <c r="GT24" s="164">
        <v>717.2</v>
      </c>
      <c r="GU24" s="169"/>
      <c r="GV24" s="122"/>
      <c r="GW24" s="164"/>
      <c r="GX24" s="169"/>
      <c r="GY24" s="122"/>
      <c r="GZ24" s="164"/>
      <c r="HA24" s="169">
        <v>45467</v>
      </c>
      <c r="HB24" s="122">
        <v>1250</v>
      </c>
      <c r="HC24" s="164">
        <v>48.245199999999997</v>
      </c>
      <c r="HD24" s="169"/>
      <c r="HE24" s="122"/>
      <c r="HF24" s="164"/>
      <c r="HG24" s="169"/>
      <c r="HH24" s="122"/>
      <c r="HI24" s="164"/>
      <c r="HJ24" s="169"/>
      <c r="HK24" s="122"/>
      <c r="HL24" s="164"/>
      <c r="HM24" s="169">
        <v>45868</v>
      </c>
      <c r="HN24" s="122">
        <v>4000</v>
      </c>
      <c r="HO24" s="164">
        <v>14.82</v>
      </c>
      <c r="HP24" s="169"/>
      <c r="HQ24" s="122"/>
      <c r="HR24" s="164"/>
      <c r="HS24" s="169"/>
      <c r="HT24" s="122"/>
      <c r="HU24" s="164"/>
      <c r="HV24" s="169">
        <v>45687</v>
      </c>
      <c r="HW24" s="122">
        <v>2000</v>
      </c>
      <c r="HX24" s="164">
        <v>31.1</v>
      </c>
      <c r="HY24" s="169">
        <v>45923</v>
      </c>
      <c r="HZ24" s="122">
        <v>200</v>
      </c>
      <c r="IA24" s="164">
        <v>-166.7</v>
      </c>
      <c r="IB24" s="169"/>
      <c r="IC24" s="122"/>
      <c r="ID24" s="164"/>
      <c r="IE24" s="169"/>
      <c r="IF24" s="122"/>
      <c r="IG24" s="164"/>
      <c r="IH24" s="169"/>
      <c r="II24" s="122"/>
      <c r="IJ24" s="164"/>
      <c r="IK24" s="169"/>
      <c r="IL24" s="122"/>
      <c r="IM24" s="164"/>
      <c r="IN24" s="169"/>
      <c r="IO24" s="122"/>
      <c r="IP24" s="164"/>
      <c r="IQ24" s="169"/>
      <c r="IR24" s="122"/>
      <c r="IS24" s="164"/>
      <c r="IT24" s="169"/>
      <c r="IU24" s="122"/>
      <c r="IV24" s="164"/>
      <c r="IW24" s="169"/>
      <c r="IX24" s="122"/>
      <c r="IY24" s="164"/>
      <c r="IZ24" s="169"/>
      <c r="JA24" s="122"/>
      <c r="JB24" s="164"/>
      <c r="JC24" s="169"/>
      <c r="JD24" s="122"/>
      <c r="JE24" s="164"/>
      <c r="JF24" s="169"/>
      <c r="JG24" s="122"/>
      <c r="JH24" s="164"/>
      <c r="JI24" s="169"/>
      <c r="JJ24" s="122"/>
      <c r="JK24" s="164"/>
      <c r="JL24" s="169">
        <v>45800</v>
      </c>
      <c r="JM24" s="122">
        <v>650</v>
      </c>
      <c r="JN24" s="164">
        <v>160.91</v>
      </c>
      <c r="JO24" s="169">
        <v>45667</v>
      </c>
      <c r="JP24" s="122">
        <v>1600</v>
      </c>
      <c r="JQ24" s="164">
        <v>34.06</v>
      </c>
      <c r="JR24" s="169"/>
      <c r="JS24" s="122"/>
      <c r="JT24" s="164"/>
      <c r="JU24" s="169"/>
      <c r="JV24" s="122"/>
      <c r="JW24" s="164"/>
      <c r="JX24" s="169"/>
      <c r="JY24" s="122"/>
      <c r="JZ24" s="164"/>
      <c r="KA24" s="169"/>
      <c r="KB24" s="122"/>
      <c r="KC24" s="164"/>
      <c r="KD24" s="169"/>
      <c r="KE24" s="122"/>
      <c r="KF24" s="164"/>
    </row>
    <row r="25" spans="1:296">
      <c r="A25" s="157">
        <v>22</v>
      </c>
      <c r="B25" s="169">
        <v>45943</v>
      </c>
      <c r="C25" s="122">
        <v>200</v>
      </c>
      <c r="D25" s="164">
        <v>-248.52</v>
      </c>
      <c r="E25" s="169"/>
      <c r="F25" s="122"/>
      <c r="G25" s="164"/>
      <c r="H25" s="169"/>
      <c r="I25" s="122"/>
      <c r="J25" s="164"/>
      <c r="K25" s="289">
        <v>45706</v>
      </c>
      <c r="L25" s="122">
        <v>200</v>
      </c>
      <c r="M25" s="164">
        <v>-224.55</v>
      </c>
      <c r="N25" s="169"/>
      <c r="O25" s="122"/>
      <c r="P25" s="164"/>
      <c r="Q25" s="169">
        <v>45706</v>
      </c>
      <c r="R25" s="122">
        <v>100</v>
      </c>
      <c r="S25" s="164">
        <v>-724.24</v>
      </c>
      <c r="T25" s="581"/>
      <c r="U25" s="581"/>
      <c r="V25" s="581"/>
      <c r="W25" s="169"/>
      <c r="X25" s="122"/>
      <c r="Y25" s="164"/>
      <c r="Z25" s="169"/>
      <c r="AA25" s="122"/>
      <c r="AB25" s="164"/>
      <c r="AC25" s="169"/>
      <c r="AD25" s="122"/>
      <c r="AE25" s="164"/>
      <c r="AF25" s="169"/>
      <c r="AG25" s="122"/>
      <c r="AH25" s="164"/>
      <c r="AI25" s="169"/>
      <c r="AJ25" s="122"/>
      <c r="AK25" s="164"/>
      <c r="AL25" s="169"/>
      <c r="AM25" s="122"/>
      <c r="AN25" s="164"/>
      <c r="AO25" s="169"/>
      <c r="AP25" s="122"/>
      <c r="AQ25" s="164"/>
      <c r="AR25" s="169"/>
      <c r="AS25" s="122"/>
      <c r="AT25" s="164"/>
      <c r="AU25" s="169">
        <v>45807</v>
      </c>
      <c r="AV25" s="122">
        <v>500</v>
      </c>
      <c r="AW25" s="164">
        <v>-32.950000000000003</v>
      </c>
      <c r="AX25" s="169"/>
      <c r="AY25" s="122"/>
      <c r="AZ25" s="164"/>
      <c r="BA25" s="169"/>
      <c r="BB25" s="122"/>
      <c r="BC25" s="164"/>
      <c r="BD25" s="169">
        <v>45747</v>
      </c>
      <c r="BE25" s="122">
        <v>7000</v>
      </c>
      <c r="BF25" s="164">
        <v>13.94</v>
      </c>
      <c r="BG25" s="169"/>
      <c r="BH25" s="122"/>
      <c r="BI25" s="164"/>
      <c r="BJ25" s="169"/>
      <c r="BK25" s="122"/>
      <c r="BL25" s="164"/>
      <c r="BM25" s="169">
        <v>45931</v>
      </c>
      <c r="BN25" s="122">
        <v>800</v>
      </c>
      <c r="BO25" s="164">
        <v>24.82</v>
      </c>
      <c r="BP25" s="169"/>
      <c r="BQ25" s="122"/>
      <c r="BR25" s="164"/>
      <c r="BS25" s="169">
        <v>45716</v>
      </c>
      <c r="BT25" s="122">
        <v>20000</v>
      </c>
      <c r="BU25" s="164">
        <v>351.42950000000002</v>
      </c>
      <c r="BV25" s="169"/>
      <c r="BW25" s="122"/>
      <c r="BX25" s="164"/>
      <c r="BY25" s="169"/>
      <c r="BZ25" s="122"/>
      <c r="CA25" s="164"/>
      <c r="CB25" s="169"/>
      <c r="CC25" s="122"/>
      <c r="CD25" s="164"/>
      <c r="CE25" s="169"/>
      <c r="CF25" s="122"/>
      <c r="CG25" s="164"/>
      <c r="CH25" s="169"/>
      <c r="CI25" s="122"/>
      <c r="CJ25" s="164"/>
      <c r="CK25" s="169">
        <v>45894</v>
      </c>
      <c r="CL25" s="122">
        <v>1000</v>
      </c>
      <c r="CM25" s="164">
        <v>75.42</v>
      </c>
      <c r="CN25" s="169">
        <v>45779</v>
      </c>
      <c r="CO25" s="122">
        <v>2000</v>
      </c>
      <c r="CP25" s="164">
        <v>-51.829875000000001</v>
      </c>
      <c r="CQ25" s="169">
        <v>45946</v>
      </c>
      <c r="CR25" s="122">
        <v>100</v>
      </c>
      <c r="CS25" s="164">
        <v>-1179.6600000000001</v>
      </c>
      <c r="CT25" s="169"/>
      <c r="CU25" s="122"/>
      <c r="CV25" s="164"/>
      <c r="CW25" s="169"/>
      <c r="CX25" s="122"/>
      <c r="CY25" s="164"/>
      <c r="CZ25" s="169"/>
      <c r="DA25" s="122"/>
      <c r="DB25" s="164"/>
      <c r="DC25" s="169"/>
      <c r="DD25" s="122"/>
      <c r="DE25" s="164"/>
      <c r="DF25" s="169"/>
      <c r="DG25" s="122"/>
      <c r="DH25" s="164"/>
      <c r="DI25" s="169">
        <v>45926</v>
      </c>
      <c r="DJ25" s="122">
        <v>2000</v>
      </c>
      <c r="DK25" s="164">
        <v>-28.545245000000001</v>
      </c>
      <c r="DL25" s="169">
        <v>45714</v>
      </c>
      <c r="DM25" s="122">
        <v>4000</v>
      </c>
      <c r="DN25" s="164">
        <v>30.52</v>
      </c>
      <c r="DO25" s="169">
        <v>45855</v>
      </c>
      <c r="DP25" s="122">
        <v>500</v>
      </c>
      <c r="DQ25" s="164">
        <v>265.05</v>
      </c>
      <c r="DR25" s="169"/>
      <c r="DS25" s="122"/>
      <c r="DT25" s="164"/>
      <c r="DU25" s="169"/>
      <c r="DV25" s="122"/>
      <c r="DW25" s="164"/>
      <c r="DX25" s="169"/>
      <c r="DY25" s="122"/>
      <c r="DZ25" s="164"/>
      <c r="EA25" s="169"/>
      <c r="EB25" s="122"/>
      <c r="EC25" s="164"/>
      <c r="ED25" s="169"/>
      <c r="EE25" s="122"/>
      <c r="EF25" s="164"/>
      <c r="EG25" s="169"/>
      <c r="EH25" s="122"/>
      <c r="EI25" s="164"/>
      <c r="EJ25" s="169"/>
      <c r="EK25" s="122"/>
      <c r="EL25" s="123"/>
      <c r="EM25" s="169"/>
      <c r="EN25" s="122"/>
      <c r="EO25" s="164"/>
      <c r="EP25" s="169">
        <v>45639</v>
      </c>
      <c r="EQ25" s="122">
        <v>990</v>
      </c>
      <c r="ER25" s="164">
        <v>62</v>
      </c>
      <c r="ES25" s="169"/>
      <c r="ET25" s="122"/>
      <c r="EU25" s="123"/>
      <c r="EV25" s="169"/>
      <c r="EW25" s="122"/>
      <c r="EX25" s="123"/>
      <c r="EY25" s="169"/>
      <c r="EZ25" s="122"/>
      <c r="FA25" s="164"/>
      <c r="FB25" s="169"/>
      <c r="FC25" s="122"/>
      <c r="FD25" s="164"/>
      <c r="FE25" s="169"/>
      <c r="FF25" s="122"/>
      <c r="FG25" s="164"/>
      <c r="FH25" s="169"/>
      <c r="FI25" s="122"/>
      <c r="FJ25" s="164"/>
      <c r="FK25" s="169"/>
      <c r="FL25" s="122"/>
      <c r="FM25" s="164"/>
      <c r="FN25" s="169"/>
      <c r="FO25" s="122"/>
      <c r="FP25" s="164"/>
      <c r="FQ25" s="169"/>
      <c r="FR25" s="122"/>
      <c r="FS25" s="164"/>
      <c r="FT25" s="169"/>
      <c r="FU25" s="122"/>
      <c r="FV25" s="164"/>
      <c r="FW25" s="289">
        <v>45667</v>
      </c>
      <c r="FX25" s="122">
        <v>2000</v>
      </c>
      <c r="FY25" s="164">
        <v>27.44</v>
      </c>
      <c r="FZ25" s="169">
        <v>45877</v>
      </c>
      <c r="GA25" s="122">
        <v>2000</v>
      </c>
      <c r="GB25" s="164">
        <v>13.93</v>
      </c>
      <c r="GC25" s="169"/>
      <c r="GD25" s="122"/>
      <c r="GE25" s="164"/>
      <c r="GF25" s="169">
        <v>500</v>
      </c>
      <c r="GG25" s="122">
        <v>500</v>
      </c>
      <c r="GH25" s="164">
        <v>-262.88</v>
      </c>
      <c r="GI25" s="169"/>
      <c r="GJ25" s="122"/>
      <c r="GK25" s="164"/>
      <c r="GL25" s="648"/>
      <c r="GM25" s="122"/>
      <c r="GN25" s="164"/>
      <c r="GO25" s="169">
        <v>45726</v>
      </c>
      <c r="GP25" s="122">
        <v>250</v>
      </c>
      <c r="GQ25" s="164">
        <v>-193.49</v>
      </c>
      <c r="GR25" s="169">
        <v>45716</v>
      </c>
      <c r="GS25" s="122">
        <v>150</v>
      </c>
      <c r="GT25" s="164">
        <v>-683.54259999999999</v>
      </c>
      <c r="GU25" s="169"/>
      <c r="GV25" s="122"/>
      <c r="GW25" s="164"/>
      <c r="GX25" s="169"/>
      <c r="GY25" s="122"/>
      <c r="GZ25" s="164"/>
      <c r="HA25" s="169">
        <v>45475</v>
      </c>
      <c r="HB25" s="122">
        <v>1250</v>
      </c>
      <c r="HC25" s="164">
        <v>-46.898000000000003</v>
      </c>
      <c r="HD25" s="169"/>
      <c r="HE25" s="122"/>
      <c r="HF25" s="164"/>
      <c r="HG25" s="169"/>
      <c r="HH25" s="122"/>
      <c r="HI25" s="164"/>
      <c r="HJ25" s="169"/>
      <c r="HK25" s="122"/>
      <c r="HL25" s="164"/>
      <c r="HM25" s="169">
        <v>45896</v>
      </c>
      <c r="HN25" s="122">
        <v>2000</v>
      </c>
      <c r="HO25" s="164">
        <v>15.21</v>
      </c>
      <c r="HP25" s="169"/>
      <c r="HQ25" s="122"/>
      <c r="HR25" s="164"/>
      <c r="HS25" s="169"/>
      <c r="HT25" s="122"/>
      <c r="HU25" s="164"/>
      <c r="HV25" s="169"/>
      <c r="HW25" s="122"/>
      <c r="HX25" s="164"/>
      <c r="HY25" s="169">
        <v>45945</v>
      </c>
      <c r="HZ25" s="122">
        <v>200</v>
      </c>
      <c r="IA25" s="164">
        <v>192.01</v>
      </c>
      <c r="IB25" s="169"/>
      <c r="IC25" s="122"/>
      <c r="ID25" s="164"/>
      <c r="IE25" s="169"/>
      <c r="IF25" s="122"/>
      <c r="IG25" s="164"/>
      <c r="IH25" s="169"/>
      <c r="II25" s="122"/>
      <c r="IJ25" s="164"/>
      <c r="IK25" s="169"/>
      <c r="IL25" s="122"/>
      <c r="IM25" s="164"/>
      <c r="IN25" s="169"/>
      <c r="IO25" s="122"/>
      <c r="IP25" s="164"/>
      <c r="IQ25" s="169"/>
      <c r="IR25" s="122"/>
      <c r="IS25" s="164"/>
      <c r="IT25" s="169"/>
      <c r="IU25" s="122"/>
      <c r="IV25" s="164"/>
      <c r="IW25" s="169"/>
      <c r="IX25" s="122"/>
      <c r="IY25" s="164"/>
      <c r="IZ25" s="169"/>
      <c r="JA25" s="122"/>
      <c r="JB25" s="164"/>
      <c r="JC25" s="169"/>
      <c r="JD25" s="122"/>
      <c r="JE25" s="164"/>
      <c r="JF25" s="169"/>
      <c r="JG25" s="122"/>
      <c r="JH25" s="164"/>
      <c r="JI25" s="169"/>
      <c r="JJ25" s="122"/>
      <c r="JK25" s="164"/>
      <c r="JL25" s="169">
        <v>45826</v>
      </c>
      <c r="JM25" s="122">
        <v>200</v>
      </c>
      <c r="JN25" s="164">
        <v>168.57</v>
      </c>
      <c r="JO25" s="169">
        <v>45674</v>
      </c>
      <c r="JP25" s="122">
        <v>1590</v>
      </c>
      <c r="JQ25" s="164">
        <v>36.08</v>
      </c>
      <c r="JR25" s="169"/>
      <c r="JS25" s="122"/>
      <c r="JT25" s="164"/>
      <c r="JU25" s="169"/>
      <c r="JV25" s="122"/>
      <c r="JW25" s="164"/>
      <c r="JX25" s="169"/>
      <c r="JY25" s="122"/>
      <c r="JZ25" s="164"/>
      <c r="KA25" s="169"/>
      <c r="KB25" s="122"/>
      <c r="KC25" s="164"/>
      <c r="KD25" s="169"/>
      <c r="KE25" s="122"/>
      <c r="KF25" s="164"/>
    </row>
    <row r="26" spans="1:296">
      <c r="A26" s="156">
        <v>23</v>
      </c>
      <c r="B26" s="169">
        <v>45951</v>
      </c>
      <c r="C26" s="122">
        <v>500</v>
      </c>
      <c r="D26" s="164">
        <v>263.58</v>
      </c>
      <c r="E26" s="169"/>
      <c r="F26" s="122"/>
      <c r="G26" s="164"/>
      <c r="H26" s="169"/>
      <c r="I26" s="122"/>
      <c r="J26" s="164"/>
      <c r="K26" s="169">
        <v>45709</v>
      </c>
      <c r="L26" s="122">
        <v>500</v>
      </c>
      <c r="M26" s="164">
        <v>-215.45</v>
      </c>
      <c r="N26" s="169"/>
      <c r="O26" s="122"/>
      <c r="P26" s="164"/>
      <c r="Q26" s="169">
        <v>45706</v>
      </c>
      <c r="R26" s="122">
        <v>100</v>
      </c>
      <c r="S26" s="164">
        <v>-717.1</v>
      </c>
      <c r="T26" s="581"/>
      <c r="U26" s="581"/>
      <c r="V26" s="581"/>
      <c r="W26" s="169"/>
      <c r="X26" s="122"/>
      <c r="Y26" s="164"/>
      <c r="Z26" s="169"/>
      <c r="AA26" s="122"/>
      <c r="AB26" s="164"/>
      <c r="AC26" s="169"/>
      <c r="AD26" s="122"/>
      <c r="AE26" s="164"/>
      <c r="AF26" s="169"/>
      <c r="AG26" s="122"/>
      <c r="AH26" s="164"/>
      <c r="AI26" s="169"/>
      <c r="AJ26" s="122"/>
      <c r="AK26" s="164"/>
      <c r="AL26" s="169"/>
      <c r="AM26" s="122"/>
      <c r="AN26" s="164"/>
      <c r="AO26" s="169"/>
      <c r="AP26" s="122"/>
      <c r="AQ26" s="164"/>
      <c r="AR26" s="169"/>
      <c r="AS26" s="122"/>
      <c r="AT26" s="164"/>
      <c r="AU26" s="169">
        <v>45826</v>
      </c>
      <c r="AV26" s="122">
        <v>500</v>
      </c>
      <c r="AW26" s="164">
        <v>-31.34</v>
      </c>
      <c r="AX26" s="169"/>
      <c r="AY26" s="122"/>
      <c r="AZ26" s="164"/>
      <c r="BA26" s="169"/>
      <c r="BB26" s="122"/>
      <c r="BC26" s="164"/>
      <c r="BD26" s="169">
        <v>45748</v>
      </c>
      <c r="BE26" s="122">
        <v>2000</v>
      </c>
      <c r="BF26" s="164">
        <v>14.04</v>
      </c>
      <c r="BG26" s="169"/>
      <c r="BH26" s="122"/>
      <c r="BI26" s="164"/>
      <c r="BJ26" s="169"/>
      <c r="BK26" s="122"/>
      <c r="BL26" s="164"/>
      <c r="BM26" s="169">
        <v>45938</v>
      </c>
      <c r="BN26" s="122">
        <v>1200</v>
      </c>
      <c r="BO26" s="164">
        <v>26.07</v>
      </c>
      <c r="BP26" s="169"/>
      <c r="BQ26" s="122"/>
      <c r="BR26" s="164"/>
      <c r="BS26" s="169">
        <v>45719</v>
      </c>
      <c r="BT26" s="122">
        <v>20000</v>
      </c>
      <c r="BU26" s="164">
        <v>344.03</v>
      </c>
      <c r="BV26" s="169"/>
      <c r="BW26" s="122"/>
      <c r="BX26" s="164"/>
      <c r="BY26" s="169"/>
      <c r="BZ26" s="122"/>
      <c r="CA26" s="164"/>
      <c r="CB26" s="169"/>
      <c r="CC26" s="122"/>
      <c r="CD26" s="164"/>
      <c r="CE26" s="169"/>
      <c r="CF26" s="122"/>
      <c r="CG26" s="164"/>
      <c r="CH26" s="169"/>
      <c r="CI26" s="122"/>
      <c r="CJ26" s="164"/>
      <c r="CK26" s="169">
        <v>45910</v>
      </c>
      <c r="CL26" s="122">
        <v>4000</v>
      </c>
      <c r="CM26" s="164">
        <v>-71.000443000000004</v>
      </c>
      <c r="CN26" s="169">
        <v>45789</v>
      </c>
      <c r="CO26" s="122">
        <v>2000</v>
      </c>
      <c r="CP26" s="164">
        <v>-50.63</v>
      </c>
      <c r="CQ26" s="169">
        <v>45950</v>
      </c>
      <c r="CR26" s="122">
        <v>100</v>
      </c>
      <c r="CS26" s="164">
        <v>1233.56</v>
      </c>
      <c r="CT26" s="169"/>
      <c r="CU26" s="122"/>
      <c r="CV26" s="164"/>
      <c r="CW26" s="169"/>
      <c r="CX26" s="122"/>
      <c r="CY26" s="164"/>
      <c r="CZ26" s="169"/>
      <c r="DA26" s="122"/>
      <c r="DB26" s="164"/>
      <c r="DC26" s="169"/>
      <c r="DD26" s="122"/>
      <c r="DE26" s="164"/>
      <c r="DF26" s="169"/>
      <c r="DG26" s="122"/>
      <c r="DH26" s="164"/>
      <c r="DI26" s="169">
        <v>45951</v>
      </c>
      <c r="DJ26" s="122">
        <v>2000</v>
      </c>
      <c r="DK26" s="164">
        <v>29.92</v>
      </c>
      <c r="DL26" s="169">
        <v>45785</v>
      </c>
      <c r="DM26" s="122">
        <v>1250</v>
      </c>
      <c r="DN26" s="164">
        <v>32.660249999999998</v>
      </c>
      <c r="DO26" s="169">
        <v>45861</v>
      </c>
      <c r="DP26" s="122">
        <v>500</v>
      </c>
      <c r="DQ26" s="164">
        <v>-250.85</v>
      </c>
      <c r="DR26" s="169"/>
      <c r="DS26" s="122"/>
      <c r="DT26" s="164"/>
      <c r="DU26" s="169"/>
      <c r="DV26" s="122"/>
      <c r="DW26" s="164"/>
      <c r="DX26" s="169"/>
      <c r="DY26" s="122"/>
      <c r="DZ26" s="164"/>
      <c r="EA26" s="169"/>
      <c r="EB26" s="122"/>
      <c r="EC26" s="164"/>
      <c r="ED26" s="169"/>
      <c r="EE26" s="122"/>
      <c r="EF26" s="164"/>
      <c r="EG26" s="169"/>
      <c r="EH26" s="122"/>
      <c r="EI26" s="164"/>
      <c r="EJ26" s="169"/>
      <c r="EK26" s="122"/>
      <c r="EL26" s="123"/>
      <c r="EM26" s="169"/>
      <c r="EN26" s="122"/>
      <c r="EO26" s="164"/>
      <c r="EP26" s="169">
        <v>45726</v>
      </c>
      <c r="EQ26" s="122">
        <v>1000</v>
      </c>
      <c r="ER26" s="164">
        <v>-61.496499999999997</v>
      </c>
      <c r="ES26" s="169"/>
      <c r="ET26" s="122"/>
      <c r="EU26" s="123"/>
      <c r="EV26" s="169"/>
      <c r="EW26" s="122"/>
      <c r="EX26" s="123"/>
      <c r="EY26" s="169"/>
      <c r="EZ26" s="122"/>
      <c r="FA26" s="164"/>
      <c r="FB26" s="169"/>
      <c r="FC26" s="122"/>
      <c r="FD26" s="164"/>
      <c r="FE26" s="169"/>
      <c r="FF26" s="122"/>
      <c r="FG26" s="164"/>
      <c r="FH26" s="169"/>
      <c r="FI26" s="122"/>
      <c r="FJ26" s="164"/>
      <c r="FK26" s="169"/>
      <c r="FL26" s="122"/>
      <c r="FM26" s="164"/>
      <c r="FN26" s="169"/>
      <c r="FO26" s="122"/>
      <c r="FP26" s="164"/>
      <c r="FQ26" s="169"/>
      <c r="FR26" s="122"/>
      <c r="FS26" s="164"/>
      <c r="FT26" s="169"/>
      <c r="FU26" s="122"/>
      <c r="FV26" s="164"/>
      <c r="FW26" s="289">
        <v>45688</v>
      </c>
      <c r="FX26" s="122">
        <v>2000</v>
      </c>
      <c r="FY26" s="164">
        <v>31.31</v>
      </c>
      <c r="FZ26" s="169">
        <v>45884</v>
      </c>
      <c r="GA26" s="122">
        <v>3000</v>
      </c>
      <c r="GB26" s="164">
        <v>-14.35</v>
      </c>
      <c r="GC26" s="169"/>
      <c r="GD26" s="122"/>
      <c r="GE26" s="164"/>
      <c r="GF26" s="169">
        <v>45796</v>
      </c>
      <c r="GG26" s="122">
        <v>500</v>
      </c>
      <c r="GH26" s="164">
        <v>263.8</v>
      </c>
      <c r="GI26" s="169"/>
      <c r="GJ26" s="122"/>
      <c r="GK26" s="164"/>
      <c r="GL26" s="648"/>
      <c r="GM26" s="122"/>
      <c r="GN26" s="164"/>
      <c r="GO26" s="169">
        <v>45819</v>
      </c>
      <c r="GP26" s="122">
        <v>500</v>
      </c>
      <c r="GQ26" s="164">
        <v>-213.25</v>
      </c>
      <c r="GR26" s="169">
        <v>45742</v>
      </c>
      <c r="GS26" s="122">
        <v>50</v>
      </c>
      <c r="GT26" s="164">
        <v>-661.5</v>
      </c>
      <c r="GU26" s="169"/>
      <c r="GV26" s="122"/>
      <c r="GW26" s="164"/>
      <c r="GX26" s="169"/>
      <c r="GY26" s="122"/>
      <c r="GZ26" s="164"/>
      <c r="HA26" s="169">
        <v>45481</v>
      </c>
      <c r="HB26" s="122">
        <v>1250</v>
      </c>
      <c r="HC26" s="164">
        <v>-46.318800000000003</v>
      </c>
      <c r="HD26" s="169"/>
      <c r="HE26" s="122"/>
      <c r="HF26" s="164"/>
      <c r="HG26" s="169"/>
      <c r="HH26" s="122"/>
      <c r="HI26" s="164"/>
      <c r="HJ26" s="169"/>
      <c r="HK26" s="122"/>
      <c r="HL26" s="164"/>
      <c r="HM26" s="169">
        <v>45918</v>
      </c>
      <c r="HN26" s="122">
        <v>9990</v>
      </c>
      <c r="HO26" s="164">
        <v>-14.92</v>
      </c>
      <c r="HP26" s="169"/>
      <c r="HQ26" s="122"/>
      <c r="HR26" s="164"/>
      <c r="HS26" s="169"/>
      <c r="HT26" s="122"/>
      <c r="HU26" s="164"/>
      <c r="HV26" s="169"/>
      <c r="HW26" s="122"/>
      <c r="HX26" s="164"/>
      <c r="HY26" s="169">
        <v>45952</v>
      </c>
      <c r="HZ26" s="122">
        <v>300</v>
      </c>
      <c r="IA26" s="164">
        <v>-183.16</v>
      </c>
      <c r="IB26" s="169"/>
      <c r="IC26" s="122"/>
      <c r="ID26" s="164"/>
      <c r="IE26" s="169"/>
      <c r="IF26" s="122"/>
      <c r="IG26" s="164"/>
      <c r="IH26" s="169"/>
      <c r="II26" s="122"/>
      <c r="IJ26" s="164"/>
      <c r="IK26" s="169"/>
      <c r="IL26" s="122"/>
      <c r="IM26" s="164"/>
      <c r="IN26" s="169"/>
      <c r="IO26" s="122"/>
      <c r="IP26" s="164"/>
      <c r="IQ26" s="169"/>
      <c r="IR26" s="122"/>
      <c r="IS26" s="164"/>
      <c r="IT26" s="169"/>
      <c r="IU26" s="122"/>
      <c r="IV26" s="164"/>
      <c r="IW26" s="169"/>
      <c r="IX26" s="122"/>
      <c r="IY26" s="164"/>
      <c r="IZ26" s="169"/>
      <c r="JA26" s="122"/>
      <c r="JB26" s="164"/>
      <c r="JC26" s="169"/>
      <c r="JD26" s="122"/>
      <c r="JE26" s="164"/>
      <c r="JF26" s="169"/>
      <c r="JG26" s="122"/>
      <c r="JH26" s="164"/>
      <c r="JI26" s="169"/>
      <c r="JJ26" s="122"/>
      <c r="JK26" s="164"/>
      <c r="JL26" s="169">
        <v>45833</v>
      </c>
      <c r="JM26" s="122">
        <v>350</v>
      </c>
      <c r="JN26" s="164">
        <v>169.12</v>
      </c>
      <c r="JO26" s="169"/>
      <c r="JP26" s="122"/>
      <c r="JQ26" s="164"/>
      <c r="JR26" s="169"/>
      <c r="JS26" s="122"/>
      <c r="JT26" s="164"/>
      <c r="JU26" s="169"/>
      <c r="JV26" s="122"/>
      <c r="JW26" s="164"/>
      <c r="JX26" s="169"/>
      <c r="JY26" s="122"/>
      <c r="JZ26" s="164"/>
      <c r="KA26" s="169"/>
      <c r="KB26" s="122"/>
      <c r="KC26" s="164"/>
      <c r="KD26" s="169"/>
      <c r="KE26" s="122"/>
      <c r="KF26" s="164"/>
    </row>
    <row r="27" spans="1:296">
      <c r="A27" s="157">
        <v>24</v>
      </c>
      <c r="B27" s="169"/>
      <c r="C27" s="122"/>
      <c r="D27" s="164"/>
      <c r="E27" s="169"/>
      <c r="F27" s="122"/>
      <c r="G27" s="164"/>
      <c r="H27" s="169"/>
      <c r="I27" s="122"/>
      <c r="J27" s="164"/>
      <c r="K27" s="169">
        <v>45713</v>
      </c>
      <c r="L27" s="122">
        <v>800</v>
      </c>
      <c r="M27" s="164">
        <v>-206.18340000000001</v>
      </c>
      <c r="N27" s="169"/>
      <c r="O27" s="122"/>
      <c r="P27" s="164"/>
      <c r="Q27" s="971">
        <v>45713</v>
      </c>
      <c r="R27" s="122">
        <v>100</v>
      </c>
      <c r="S27" s="164">
        <v>-706.6</v>
      </c>
      <c r="T27" s="581"/>
      <c r="U27" s="581"/>
      <c r="V27" s="581"/>
      <c r="W27" s="169"/>
      <c r="X27" s="122"/>
      <c r="Y27" s="164"/>
      <c r="Z27" s="169"/>
      <c r="AA27" s="122"/>
      <c r="AB27" s="164"/>
      <c r="AC27" s="169"/>
      <c r="AD27" s="122"/>
      <c r="AE27" s="164"/>
      <c r="AF27" s="169"/>
      <c r="AG27" s="122"/>
      <c r="AH27" s="164"/>
      <c r="AI27" s="169"/>
      <c r="AJ27" s="122"/>
      <c r="AK27" s="164"/>
      <c r="AL27" s="169"/>
      <c r="AM27" s="122"/>
      <c r="AN27" s="164"/>
      <c r="AO27" s="169"/>
      <c r="AP27" s="122"/>
      <c r="AQ27" s="164"/>
      <c r="AR27" s="169"/>
      <c r="AS27" s="122"/>
      <c r="AT27" s="164"/>
      <c r="AU27" s="169">
        <v>45827</v>
      </c>
      <c r="AV27" s="122">
        <v>500</v>
      </c>
      <c r="AW27" s="164">
        <v>-30.95</v>
      </c>
      <c r="AX27" s="169"/>
      <c r="AY27" s="122"/>
      <c r="AZ27" s="164"/>
      <c r="BA27" s="169"/>
      <c r="BB27" s="122"/>
      <c r="BC27" s="164"/>
      <c r="BD27" s="169">
        <v>45785</v>
      </c>
      <c r="BE27" s="122">
        <v>1250</v>
      </c>
      <c r="BF27" s="164">
        <v>15.64</v>
      </c>
      <c r="BG27" s="169"/>
      <c r="BH27" s="122"/>
      <c r="BI27" s="164"/>
      <c r="BJ27" s="169"/>
      <c r="BK27" s="122"/>
      <c r="BL27" s="164"/>
      <c r="BM27" s="169">
        <v>45943</v>
      </c>
      <c r="BN27" s="122">
        <v>1200</v>
      </c>
      <c r="BO27" s="164">
        <v>-24.92</v>
      </c>
      <c r="BP27" s="169"/>
      <c r="BQ27" s="122"/>
      <c r="BR27" s="164"/>
      <c r="BS27" s="169">
        <v>45726</v>
      </c>
      <c r="BT27" s="122">
        <v>20000</v>
      </c>
      <c r="BU27" s="164">
        <v>-319.60000000000002</v>
      </c>
      <c r="BV27" s="169"/>
      <c r="BW27" s="122"/>
      <c r="BX27" s="164"/>
      <c r="BY27" s="169"/>
      <c r="BZ27" s="122"/>
      <c r="CA27" s="164"/>
      <c r="CB27" s="169"/>
      <c r="CC27" s="122"/>
      <c r="CD27" s="164"/>
      <c r="CE27" s="169"/>
      <c r="CF27" s="122"/>
      <c r="CG27" s="164"/>
      <c r="CH27" s="169"/>
      <c r="CI27" s="122"/>
      <c r="CJ27" s="164"/>
      <c r="CK27" s="169">
        <v>45923</v>
      </c>
      <c r="CL27" s="122">
        <v>1000</v>
      </c>
      <c r="CM27" s="164">
        <v>72.319999999999993</v>
      </c>
      <c r="CN27" s="169">
        <v>45790</v>
      </c>
      <c r="CO27" s="122">
        <v>1000</v>
      </c>
      <c r="CP27" s="164">
        <v>-49.98</v>
      </c>
      <c r="CQ27" s="169">
        <v>45952</v>
      </c>
      <c r="CR27" s="122">
        <v>1300</v>
      </c>
      <c r="CS27" s="164">
        <v>-1117.45</v>
      </c>
      <c r="CT27" s="169"/>
      <c r="CU27" s="122"/>
      <c r="CV27" s="164"/>
      <c r="CW27" s="169"/>
      <c r="CX27" s="122"/>
      <c r="CY27" s="164"/>
      <c r="CZ27" s="169"/>
      <c r="DA27" s="122"/>
      <c r="DB27" s="164"/>
      <c r="DC27" s="169"/>
      <c r="DD27" s="122"/>
      <c r="DE27" s="164"/>
      <c r="DF27" s="169"/>
      <c r="DG27" s="122"/>
      <c r="DH27" s="164"/>
      <c r="DI27" s="169"/>
      <c r="DJ27" s="122"/>
      <c r="DK27" s="164"/>
      <c r="DL27" s="169">
        <v>45796</v>
      </c>
      <c r="DM27" s="122">
        <v>1500</v>
      </c>
      <c r="DN27" s="164">
        <v>32.24</v>
      </c>
      <c r="DO27" s="169">
        <v>45881</v>
      </c>
      <c r="DP27" s="122">
        <v>499</v>
      </c>
      <c r="DQ27" s="164">
        <v>-232.45</v>
      </c>
      <c r="DR27" s="169"/>
      <c r="DS27" s="122"/>
      <c r="DT27" s="164"/>
      <c r="DU27" s="169"/>
      <c r="DV27" s="122"/>
      <c r="DW27" s="164"/>
      <c r="DX27" s="169"/>
      <c r="DY27" s="122"/>
      <c r="DZ27" s="164"/>
      <c r="EA27" s="169"/>
      <c r="EB27" s="122"/>
      <c r="EC27" s="164"/>
      <c r="ED27" s="169"/>
      <c r="EE27" s="122"/>
      <c r="EF27" s="164"/>
      <c r="EG27" s="169"/>
      <c r="EH27" s="122"/>
      <c r="EI27" s="164"/>
      <c r="EJ27" s="169"/>
      <c r="EK27" s="122"/>
      <c r="EL27" s="123"/>
      <c r="EM27" s="169"/>
      <c r="EN27" s="122"/>
      <c r="EO27" s="164"/>
      <c r="EP27" s="169">
        <v>45735</v>
      </c>
      <c r="EQ27" s="122">
        <v>1000</v>
      </c>
      <c r="ER27" s="164">
        <v>63.1</v>
      </c>
      <c r="ES27" s="169"/>
      <c r="ET27" s="122"/>
      <c r="EU27" s="123"/>
      <c r="EV27" s="169"/>
      <c r="EW27" s="122"/>
      <c r="EX27" s="123"/>
      <c r="EY27" s="169"/>
      <c r="EZ27" s="122"/>
      <c r="FA27" s="164"/>
      <c r="FB27" s="169"/>
      <c r="FC27" s="122"/>
      <c r="FD27" s="164"/>
      <c r="FE27" s="169"/>
      <c r="FF27" s="122"/>
      <c r="FG27" s="164"/>
      <c r="FH27" s="169"/>
      <c r="FI27" s="122"/>
      <c r="FJ27" s="164"/>
      <c r="FK27" s="169"/>
      <c r="FL27" s="122"/>
      <c r="FM27" s="164"/>
      <c r="FN27" s="169"/>
      <c r="FO27" s="122"/>
      <c r="FP27" s="164"/>
      <c r="FQ27" s="169"/>
      <c r="FR27" s="122"/>
      <c r="FS27" s="164"/>
      <c r="FT27" s="169"/>
      <c r="FU27" s="122"/>
      <c r="FV27" s="164"/>
      <c r="FW27" s="289">
        <v>45698</v>
      </c>
      <c r="FX27" s="122">
        <v>1000</v>
      </c>
      <c r="FY27" s="164">
        <v>34.53</v>
      </c>
      <c r="FZ27" s="169">
        <v>45919</v>
      </c>
      <c r="GA27" s="122">
        <v>1200</v>
      </c>
      <c r="GB27" s="164">
        <v>13.744999999999999</v>
      </c>
      <c r="GC27" s="169"/>
      <c r="GD27" s="122"/>
      <c r="GE27" s="164"/>
      <c r="GF27" s="169">
        <v>45811</v>
      </c>
      <c r="GG27" s="122">
        <v>500</v>
      </c>
      <c r="GH27" s="164">
        <v>267.48</v>
      </c>
      <c r="GI27" s="169"/>
      <c r="GJ27" s="122"/>
      <c r="GK27" s="164"/>
      <c r="GL27" s="648"/>
      <c r="GM27" s="122"/>
      <c r="GN27" s="164"/>
      <c r="GO27" s="169">
        <v>45951</v>
      </c>
      <c r="GP27" s="122">
        <v>500</v>
      </c>
      <c r="GQ27" s="164">
        <v>221.65</v>
      </c>
      <c r="GR27" s="169">
        <v>45784</v>
      </c>
      <c r="GS27" s="122">
        <v>66</v>
      </c>
      <c r="GT27" s="164">
        <v>606.66</v>
      </c>
      <c r="GU27" s="169"/>
      <c r="GV27" s="122"/>
      <c r="GW27" s="164"/>
      <c r="GX27" s="169"/>
      <c r="GY27" s="122"/>
      <c r="GZ27" s="164"/>
      <c r="HA27" s="169">
        <v>45484</v>
      </c>
      <c r="HB27" s="122">
        <v>1250</v>
      </c>
      <c r="HC27" s="164">
        <v>47.64</v>
      </c>
      <c r="HD27" s="169"/>
      <c r="HE27" s="122"/>
      <c r="HF27" s="164"/>
      <c r="HG27" s="169"/>
      <c r="HH27" s="122"/>
      <c r="HI27" s="164"/>
      <c r="HJ27" s="169"/>
      <c r="HK27" s="122"/>
      <c r="HL27" s="164"/>
      <c r="HM27" s="169">
        <v>45919</v>
      </c>
      <c r="HN27" s="122">
        <v>10010</v>
      </c>
      <c r="HO27" s="164">
        <v>-14.87</v>
      </c>
      <c r="HP27" s="169"/>
      <c r="HQ27" s="122"/>
      <c r="HR27" s="164"/>
      <c r="HS27" s="169"/>
      <c r="HT27" s="122"/>
      <c r="HU27" s="164"/>
      <c r="HV27" s="169"/>
      <c r="HW27" s="122"/>
      <c r="HX27" s="164"/>
      <c r="HY27" s="169"/>
      <c r="HZ27" s="122"/>
      <c r="IA27" s="164"/>
      <c r="IB27" s="169"/>
      <c r="IC27" s="122"/>
      <c r="ID27" s="164"/>
      <c r="IE27" s="169"/>
      <c r="IF27" s="122"/>
      <c r="IG27" s="164"/>
      <c r="IH27" s="169"/>
      <c r="II27" s="122"/>
      <c r="IJ27" s="164"/>
      <c r="IK27" s="169"/>
      <c r="IL27" s="122"/>
      <c r="IM27" s="164"/>
      <c r="IN27" s="169"/>
      <c r="IO27" s="122"/>
      <c r="IP27" s="164"/>
      <c r="IQ27" s="169"/>
      <c r="IR27" s="122"/>
      <c r="IS27" s="164"/>
      <c r="IT27" s="169"/>
      <c r="IU27" s="122"/>
      <c r="IV27" s="164"/>
      <c r="IW27" s="169"/>
      <c r="IX27" s="122"/>
      <c r="IY27" s="164"/>
      <c r="IZ27" s="169"/>
      <c r="JA27" s="122"/>
      <c r="JB27" s="164"/>
      <c r="JC27" s="169"/>
      <c r="JD27" s="122"/>
      <c r="JE27" s="164"/>
      <c r="JF27" s="169"/>
      <c r="JG27" s="122"/>
      <c r="JH27" s="164"/>
      <c r="JI27" s="169"/>
      <c r="JJ27" s="122"/>
      <c r="JK27" s="164"/>
      <c r="JL27" s="169">
        <v>45863</v>
      </c>
      <c r="JM27" s="122">
        <v>1000</v>
      </c>
      <c r="JN27" s="164">
        <v>-152.18</v>
      </c>
      <c r="JO27" s="169"/>
      <c r="JP27" s="122"/>
      <c r="JQ27" s="164"/>
      <c r="JR27" s="169"/>
      <c r="JS27" s="122"/>
      <c r="JT27" s="164"/>
      <c r="JU27" s="169"/>
      <c r="JV27" s="122"/>
      <c r="JW27" s="164"/>
      <c r="JX27" s="169"/>
      <c r="JY27" s="122"/>
      <c r="JZ27" s="164"/>
      <c r="KA27" s="169"/>
      <c r="KB27" s="122"/>
      <c r="KC27" s="164"/>
      <c r="KD27" s="169"/>
      <c r="KE27" s="122"/>
      <c r="KF27" s="164"/>
    </row>
    <row r="28" spans="1:296">
      <c r="A28" s="156">
        <v>25</v>
      </c>
      <c r="B28" s="169"/>
      <c r="C28" s="122"/>
      <c r="D28" s="164"/>
      <c r="E28" s="169"/>
      <c r="F28" s="122"/>
      <c r="G28" s="164"/>
      <c r="H28" s="169"/>
      <c r="I28" s="122"/>
      <c r="J28" s="164"/>
      <c r="K28" s="169">
        <v>45748</v>
      </c>
      <c r="L28" s="122">
        <v>500</v>
      </c>
      <c r="M28" s="164">
        <v>-192.82</v>
      </c>
      <c r="N28" s="169"/>
      <c r="O28" s="122"/>
      <c r="P28" s="164"/>
      <c r="Q28" s="971">
        <v>45713</v>
      </c>
      <c r="R28" s="122">
        <v>300</v>
      </c>
      <c r="S28" s="164">
        <v>-690.9</v>
      </c>
      <c r="T28" s="581"/>
      <c r="U28" s="581"/>
      <c r="V28" s="581"/>
      <c r="W28" s="169"/>
      <c r="X28" s="122"/>
      <c r="Y28" s="164"/>
      <c r="Z28" s="169"/>
      <c r="AA28" s="122"/>
      <c r="AB28" s="164"/>
      <c r="AC28" s="169"/>
      <c r="AD28" s="122"/>
      <c r="AE28" s="164"/>
      <c r="AF28" s="169"/>
      <c r="AG28" s="122"/>
      <c r="AH28" s="164"/>
      <c r="AI28" s="169"/>
      <c r="AJ28" s="122"/>
      <c r="AK28" s="164"/>
      <c r="AL28" s="169"/>
      <c r="AM28" s="122"/>
      <c r="AN28" s="164"/>
      <c r="AO28" s="169"/>
      <c r="AP28" s="122"/>
      <c r="AQ28" s="164"/>
      <c r="AR28" s="169"/>
      <c r="AS28" s="122"/>
      <c r="AT28" s="164"/>
      <c r="AU28" s="169">
        <v>45883</v>
      </c>
      <c r="AV28" s="122">
        <v>2000</v>
      </c>
      <c r="AW28" s="164">
        <v>-26.64</v>
      </c>
      <c r="AX28" s="169"/>
      <c r="AY28" s="122"/>
      <c r="AZ28" s="164"/>
      <c r="BA28" s="169"/>
      <c r="BB28" s="122"/>
      <c r="BC28" s="164"/>
      <c r="BD28" s="169">
        <v>45790</v>
      </c>
      <c r="BE28" s="122">
        <v>1250</v>
      </c>
      <c r="BF28" s="164">
        <v>-14.7</v>
      </c>
      <c r="BG28" s="169"/>
      <c r="BH28" s="122"/>
      <c r="BI28" s="164"/>
      <c r="BJ28" s="169"/>
      <c r="BK28" s="122"/>
      <c r="BL28" s="164"/>
      <c r="BM28" s="169">
        <v>45950</v>
      </c>
      <c r="BN28" s="122">
        <v>1800</v>
      </c>
      <c r="BO28" s="164">
        <v>-22.63</v>
      </c>
      <c r="BP28" s="169"/>
      <c r="BQ28" s="122"/>
      <c r="BR28" s="164"/>
      <c r="BS28" s="169">
        <v>45730</v>
      </c>
      <c r="BT28" s="122">
        <v>20000</v>
      </c>
      <c r="BU28" s="164">
        <v>287.7</v>
      </c>
      <c r="BV28" s="169"/>
      <c r="BW28" s="122"/>
      <c r="BX28" s="164"/>
      <c r="BY28" s="169"/>
      <c r="BZ28" s="122"/>
      <c r="CA28" s="164"/>
      <c r="CB28" s="169"/>
      <c r="CC28" s="122"/>
      <c r="CD28" s="164"/>
      <c r="CE28" s="169"/>
      <c r="CF28" s="122"/>
      <c r="CG28" s="164"/>
      <c r="CH28" s="169"/>
      <c r="CI28" s="122"/>
      <c r="CJ28" s="164"/>
      <c r="CK28" s="169">
        <v>45925</v>
      </c>
      <c r="CL28" s="122">
        <v>1000</v>
      </c>
      <c r="CM28" s="164">
        <v>74.72</v>
      </c>
      <c r="CN28" s="169">
        <v>45833</v>
      </c>
      <c r="CO28" s="122">
        <v>1000</v>
      </c>
      <c r="CP28" s="164">
        <v>58.125</v>
      </c>
      <c r="CQ28" s="169">
        <v>45953</v>
      </c>
      <c r="CR28" s="122">
        <v>500</v>
      </c>
      <c r="CS28" s="164">
        <v>-1103.56</v>
      </c>
      <c r="CT28" s="169"/>
      <c r="CU28" s="122"/>
      <c r="CV28" s="164"/>
      <c r="CW28" s="169"/>
      <c r="CX28" s="122"/>
      <c r="CY28" s="164"/>
      <c r="CZ28" s="169"/>
      <c r="DA28" s="122"/>
      <c r="DB28" s="164"/>
      <c r="DC28" s="169"/>
      <c r="DD28" s="122"/>
      <c r="DE28" s="164"/>
      <c r="DF28" s="169"/>
      <c r="DG28" s="122"/>
      <c r="DH28" s="164"/>
      <c r="DI28" s="169"/>
      <c r="DJ28" s="122"/>
      <c r="DK28" s="164"/>
      <c r="DL28" s="169">
        <v>45811</v>
      </c>
      <c r="DM28" s="122">
        <v>3200</v>
      </c>
      <c r="DN28" s="164">
        <v>33.36</v>
      </c>
      <c r="DO28" s="169">
        <v>45919</v>
      </c>
      <c r="DP28" s="122">
        <v>1000</v>
      </c>
      <c r="DQ28" s="164">
        <v>-227.55</v>
      </c>
      <c r="DR28" s="169"/>
      <c r="DS28" s="122"/>
      <c r="DT28" s="164"/>
      <c r="DU28" s="169"/>
      <c r="DV28" s="122"/>
      <c r="DW28" s="164"/>
      <c r="DX28" s="169"/>
      <c r="DY28" s="122"/>
      <c r="DZ28" s="164"/>
      <c r="EA28" s="169"/>
      <c r="EB28" s="122"/>
      <c r="EC28" s="164"/>
      <c r="ED28" s="169"/>
      <c r="EE28" s="122"/>
      <c r="EF28" s="164"/>
      <c r="EG28" s="169"/>
      <c r="EH28" s="122"/>
      <c r="EI28" s="164"/>
      <c r="EJ28" s="169"/>
      <c r="EK28" s="122"/>
      <c r="EL28" s="123"/>
      <c r="EM28" s="169"/>
      <c r="EN28" s="122"/>
      <c r="EO28" s="164"/>
      <c r="EP28" s="169">
        <v>45737</v>
      </c>
      <c r="EQ28" s="122">
        <v>6000</v>
      </c>
      <c r="ER28" s="164">
        <v>-56.89</v>
      </c>
      <c r="ES28" s="169"/>
      <c r="ET28" s="122"/>
      <c r="EU28" s="123"/>
      <c r="EV28" s="169"/>
      <c r="EW28" s="122"/>
      <c r="EX28" s="123"/>
      <c r="EY28" s="169"/>
      <c r="EZ28" s="122"/>
      <c r="FA28" s="164"/>
      <c r="FB28" s="169"/>
      <c r="FC28" s="122"/>
      <c r="FD28" s="164"/>
      <c r="FE28" s="169"/>
      <c r="FF28" s="122"/>
      <c r="FG28" s="164"/>
      <c r="FH28" s="169"/>
      <c r="FI28" s="122"/>
      <c r="FJ28" s="164"/>
      <c r="FK28" s="169"/>
      <c r="FL28" s="122"/>
      <c r="FM28" s="164"/>
      <c r="FN28" s="169"/>
      <c r="FO28" s="122"/>
      <c r="FP28" s="164"/>
      <c r="FQ28" s="169"/>
      <c r="FR28" s="122"/>
      <c r="FS28" s="164"/>
      <c r="FT28" s="169"/>
      <c r="FU28" s="122"/>
      <c r="FV28" s="164"/>
      <c r="FW28" s="289">
        <v>45707</v>
      </c>
      <c r="FX28" s="122">
        <v>5000</v>
      </c>
      <c r="FY28" s="164">
        <v>-37.799999999999997</v>
      </c>
      <c r="FZ28" s="169"/>
      <c r="GA28" s="122"/>
      <c r="GB28" s="164"/>
      <c r="GC28" s="169"/>
      <c r="GD28" s="122"/>
      <c r="GE28" s="164"/>
      <c r="GF28" s="169">
        <v>45855</v>
      </c>
      <c r="GG28" s="122">
        <v>200</v>
      </c>
      <c r="GH28" s="164">
        <v>-259.60000000000002</v>
      </c>
      <c r="GI28" s="169"/>
      <c r="GJ28" s="122"/>
      <c r="GK28" s="164"/>
      <c r="GL28" s="169"/>
      <c r="GM28" s="122"/>
      <c r="GN28" s="164"/>
      <c r="GO28" s="169"/>
      <c r="GP28" s="122"/>
      <c r="GQ28" s="164"/>
      <c r="GR28" s="169">
        <v>45875</v>
      </c>
      <c r="GS28" s="122">
        <v>70</v>
      </c>
      <c r="GT28" s="164">
        <v>-595.11</v>
      </c>
      <c r="GU28" s="169"/>
      <c r="GV28" s="122"/>
      <c r="GW28" s="164"/>
      <c r="GX28" s="169"/>
      <c r="GY28" s="122"/>
      <c r="GZ28" s="164"/>
      <c r="HA28" s="169">
        <v>45492</v>
      </c>
      <c r="HB28" s="122">
        <v>4000</v>
      </c>
      <c r="HC28" s="164">
        <v>48.660200000000003</v>
      </c>
      <c r="HD28" s="169"/>
      <c r="HE28" s="122"/>
      <c r="HF28" s="164"/>
      <c r="HG28" s="169"/>
      <c r="HH28" s="122"/>
      <c r="HI28" s="164"/>
      <c r="HJ28" s="169"/>
      <c r="HK28" s="122"/>
      <c r="HL28" s="164"/>
      <c r="HM28" s="169"/>
      <c r="HN28" s="122"/>
      <c r="HO28" s="164"/>
      <c r="HP28" s="169"/>
      <c r="HQ28" s="122"/>
      <c r="HR28" s="164"/>
      <c r="HS28" s="169"/>
      <c r="HT28" s="122"/>
      <c r="HU28" s="164"/>
      <c r="HV28" s="169"/>
      <c r="HW28" s="122"/>
      <c r="HX28" s="164"/>
      <c r="HY28" s="169"/>
      <c r="HZ28" s="122"/>
      <c r="IA28" s="164"/>
      <c r="IB28" s="169"/>
      <c r="IC28" s="122"/>
      <c r="ID28" s="164"/>
      <c r="IE28" s="169"/>
      <c r="IF28" s="122"/>
      <c r="IG28" s="164"/>
      <c r="IH28" s="169"/>
      <c r="II28" s="122"/>
      <c r="IJ28" s="164"/>
      <c r="IK28" s="169"/>
      <c r="IL28" s="122"/>
      <c r="IM28" s="164"/>
      <c r="IN28" s="169"/>
      <c r="IO28" s="122"/>
      <c r="IP28" s="164"/>
      <c r="IQ28" s="169"/>
      <c r="IR28" s="122"/>
      <c r="IS28" s="164"/>
      <c r="IT28" s="169"/>
      <c r="IU28" s="122"/>
      <c r="IV28" s="164"/>
      <c r="IW28" s="169"/>
      <c r="IX28" s="122"/>
      <c r="IY28" s="164"/>
      <c r="IZ28" s="169"/>
      <c r="JA28" s="122"/>
      <c r="JB28" s="164"/>
      <c r="JC28" s="169"/>
      <c r="JD28" s="122"/>
      <c r="JE28" s="164"/>
      <c r="JF28" s="169"/>
      <c r="JG28" s="122"/>
      <c r="JH28" s="164"/>
      <c r="JI28" s="169"/>
      <c r="JJ28" s="122"/>
      <c r="JK28" s="164"/>
      <c r="JL28" s="169">
        <v>45909</v>
      </c>
      <c r="JM28" s="122">
        <v>250</v>
      </c>
      <c r="JN28" s="164">
        <v>194.28</v>
      </c>
      <c r="JO28" s="169"/>
      <c r="JP28" s="122"/>
      <c r="JQ28" s="164"/>
      <c r="JR28" s="169"/>
      <c r="JS28" s="122"/>
      <c r="JT28" s="164"/>
      <c r="JU28" s="169"/>
      <c r="JV28" s="122"/>
      <c r="JW28" s="164"/>
      <c r="JX28" s="169"/>
      <c r="JY28" s="122"/>
      <c r="JZ28" s="164"/>
      <c r="KA28" s="169"/>
      <c r="KB28" s="122"/>
      <c r="KC28" s="164"/>
      <c r="KD28" s="169"/>
      <c r="KE28" s="122"/>
      <c r="KF28" s="164"/>
    </row>
    <row r="29" spans="1:296">
      <c r="A29" s="157">
        <v>26</v>
      </c>
      <c r="B29" s="169"/>
      <c r="C29" s="122"/>
      <c r="D29" s="164"/>
      <c r="E29" s="169"/>
      <c r="F29" s="122"/>
      <c r="G29" s="164"/>
      <c r="H29" s="169"/>
      <c r="I29" s="122"/>
      <c r="J29" s="164"/>
      <c r="K29" s="169">
        <v>45768</v>
      </c>
      <c r="L29" s="122">
        <v>200</v>
      </c>
      <c r="M29" s="164">
        <v>-173.55</v>
      </c>
      <c r="N29" s="169"/>
      <c r="O29" s="122"/>
      <c r="P29" s="164"/>
      <c r="Q29" s="971">
        <v>45726</v>
      </c>
      <c r="R29" s="122">
        <v>300</v>
      </c>
      <c r="S29" s="164">
        <v>-632.79999999999995</v>
      </c>
      <c r="T29" s="581"/>
      <c r="U29" s="581"/>
      <c r="V29" s="581"/>
      <c r="W29" s="169"/>
      <c r="X29" s="122"/>
      <c r="Y29" s="164"/>
      <c r="Z29" s="169"/>
      <c r="AA29" s="122"/>
      <c r="AB29" s="164"/>
      <c r="AC29" s="169"/>
      <c r="AD29" s="122"/>
      <c r="AE29" s="164"/>
      <c r="AF29" s="169"/>
      <c r="AG29" s="122"/>
      <c r="AH29" s="164"/>
      <c r="AI29" s="169"/>
      <c r="AJ29" s="122"/>
      <c r="AK29" s="164"/>
      <c r="AL29" s="169"/>
      <c r="AM29" s="122"/>
      <c r="AN29" s="164"/>
      <c r="AO29" s="169"/>
      <c r="AP29" s="122"/>
      <c r="AQ29" s="164"/>
      <c r="AR29" s="169"/>
      <c r="AS29" s="122"/>
      <c r="AT29" s="164"/>
      <c r="AU29" s="169">
        <v>45938</v>
      </c>
      <c r="AV29" s="122">
        <v>2000</v>
      </c>
      <c r="AW29" s="164">
        <v>29.14</v>
      </c>
      <c r="AX29" s="169"/>
      <c r="AY29" s="122"/>
      <c r="AZ29" s="164"/>
      <c r="BA29" s="169"/>
      <c r="BB29" s="122"/>
      <c r="BC29" s="164"/>
      <c r="BD29" s="169">
        <v>45800</v>
      </c>
      <c r="BE29" s="122">
        <v>3000</v>
      </c>
      <c r="BF29" s="164">
        <v>15.74</v>
      </c>
      <c r="BG29" s="169"/>
      <c r="BH29" s="122"/>
      <c r="BI29" s="164"/>
      <c r="BJ29" s="169"/>
      <c r="BK29" s="122"/>
      <c r="BL29" s="164"/>
      <c r="BM29" s="169"/>
      <c r="BN29" s="122"/>
      <c r="BO29" s="164"/>
      <c r="BP29" s="169"/>
      <c r="BQ29" s="122"/>
      <c r="BR29" s="164"/>
      <c r="BS29" s="169">
        <v>45735</v>
      </c>
      <c r="BT29" s="122">
        <v>20000</v>
      </c>
      <c r="BU29" s="164">
        <v>296.01</v>
      </c>
      <c r="BV29" s="169"/>
      <c r="BW29" s="122"/>
      <c r="BX29" s="164"/>
      <c r="BY29" s="169"/>
      <c r="BZ29" s="122"/>
      <c r="CA29" s="164"/>
      <c r="CB29" s="169"/>
      <c r="CC29" s="122"/>
      <c r="CD29" s="164"/>
      <c r="CE29" s="169"/>
      <c r="CF29" s="122"/>
      <c r="CG29" s="164"/>
      <c r="CH29" s="169"/>
      <c r="CI29" s="122"/>
      <c r="CJ29" s="164"/>
      <c r="CK29" s="169">
        <v>45926</v>
      </c>
      <c r="CL29" s="122">
        <v>1000</v>
      </c>
      <c r="CM29" s="164">
        <v>76.712000000000003</v>
      </c>
      <c r="CN29" s="169">
        <v>45834</v>
      </c>
      <c r="CO29" s="122">
        <v>1000</v>
      </c>
      <c r="CP29" s="164">
        <v>59.16</v>
      </c>
      <c r="CQ29" s="169">
        <v>45954</v>
      </c>
      <c r="CR29" s="122">
        <v>500</v>
      </c>
      <c r="CS29" s="164">
        <v>-1096.8800000000001</v>
      </c>
      <c r="CT29" s="169"/>
      <c r="CU29" s="122"/>
      <c r="CV29" s="164"/>
      <c r="CW29" s="169"/>
      <c r="CX29" s="122"/>
      <c r="CY29" s="164"/>
      <c r="CZ29" s="169"/>
      <c r="DA29" s="122"/>
      <c r="DB29" s="164"/>
      <c r="DC29" s="169"/>
      <c r="DD29" s="122"/>
      <c r="DE29" s="164"/>
      <c r="DF29" s="169"/>
      <c r="DG29" s="122"/>
      <c r="DH29" s="164"/>
      <c r="DI29" s="169"/>
      <c r="DJ29" s="122"/>
      <c r="DK29" s="164"/>
      <c r="DL29" s="169"/>
      <c r="DM29" s="122"/>
      <c r="DN29" s="164"/>
      <c r="DO29" s="169">
        <v>45932</v>
      </c>
      <c r="DP29" s="122">
        <v>500</v>
      </c>
      <c r="DQ29" s="164">
        <v>-232.35</v>
      </c>
      <c r="DR29" s="169"/>
      <c r="DS29" s="122"/>
      <c r="DT29" s="164"/>
      <c r="DU29" s="169"/>
      <c r="DV29" s="122"/>
      <c r="DW29" s="164"/>
      <c r="DX29" s="169"/>
      <c r="DY29" s="122"/>
      <c r="DZ29" s="164"/>
      <c r="EA29" s="169"/>
      <c r="EB29" s="122"/>
      <c r="EC29" s="164"/>
      <c r="ED29" s="169"/>
      <c r="EE29" s="122"/>
      <c r="EF29" s="164"/>
      <c r="EG29" s="169"/>
      <c r="EH29" s="122"/>
      <c r="EI29" s="164"/>
      <c r="EJ29" s="169"/>
      <c r="EK29" s="122"/>
      <c r="EL29" s="123"/>
      <c r="EM29" s="169"/>
      <c r="EN29" s="122"/>
      <c r="EO29" s="164"/>
      <c r="EP29" s="169">
        <v>45755</v>
      </c>
      <c r="EQ29" s="122">
        <v>4000</v>
      </c>
      <c r="ER29" s="164">
        <v>-55.7</v>
      </c>
      <c r="ES29" s="169"/>
      <c r="ET29" s="122"/>
      <c r="EU29" s="123"/>
      <c r="EV29" s="169"/>
      <c r="EW29" s="122"/>
      <c r="EX29" s="123"/>
      <c r="EY29" s="169"/>
      <c r="EZ29" s="122"/>
      <c r="FA29" s="164"/>
      <c r="FB29" s="169"/>
      <c r="FC29" s="122"/>
      <c r="FD29" s="164"/>
      <c r="FE29" s="169"/>
      <c r="FF29" s="122"/>
      <c r="FG29" s="164"/>
      <c r="FH29" s="169"/>
      <c r="FI29" s="122"/>
      <c r="FJ29" s="164"/>
      <c r="FK29" s="169"/>
      <c r="FL29" s="122"/>
      <c r="FM29" s="164"/>
      <c r="FN29" s="169"/>
      <c r="FO29" s="122"/>
      <c r="FP29" s="164"/>
      <c r="FQ29" s="169"/>
      <c r="FR29" s="122"/>
      <c r="FS29" s="164"/>
      <c r="FT29" s="169"/>
      <c r="FU29" s="122"/>
      <c r="FV29" s="164"/>
      <c r="FW29" s="570">
        <v>45713</v>
      </c>
      <c r="FX29" s="122">
        <v>5000</v>
      </c>
      <c r="FY29" s="164">
        <v>38.693710000000003</v>
      </c>
      <c r="FZ29" s="169"/>
      <c r="GA29" s="122"/>
      <c r="GB29" s="164"/>
      <c r="GC29" s="169"/>
      <c r="GD29" s="122"/>
      <c r="GE29" s="164"/>
      <c r="GF29" s="169">
        <v>45861</v>
      </c>
      <c r="GG29" s="122">
        <v>200</v>
      </c>
      <c r="GH29" s="164">
        <v>-250.9</v>
      </c>
      <c r="GI29" s="169"/>
      <c r="GJ29" s="122"/>
      <c r="GK29" s="164"/>
      <c r="GL29" s="169"/>
      <c r="GM29" s="122"/>
      <c r="GN29" s="164"/>
      <c r="GO29" s="169"/>
      <c r="GP29" s="122"/>
      <c r="GQ29" s="164"/>
      <c r="GR29" s="169">
        <v>45905</v>
      </c>
      <c r="GS29" s="122">
        <v>54</v>
      </c>
      <c r="GT29" s="164">
        <v>660.2</v>
      </c>
      <c r="GU29" s="169"/>
      <c r="GV29" s="122"/>
      <c r="GW29" s="164"/>
      <c r="GX29" s="169"/>
      <c r="GY29" s="122"/>
      <c r="GZ29" s="164"/>
      <c r="HA29" s="169">
        <v>45503</v>
      </c>
      <c r="HB29" s="122">
        <v>2000</v>
      </c>
      <c r="HC29" s="164">
        <v>-44.62</v>
      </c>
      <c r="HD29" s="169"/>
      <c r="HE29" s="122"/>
      <c r="HF29" s="164"/>
      <c r="HG29" s="169"/>
      <c r="HH29" s="122"/>
      <c r="HI29" s="164"/>
      <c r="HJ29" s="169"/>
      <c r="HK29" s="122"/>
      <c r="HL29" s="164"/>
      <c r="HM29" s="169"/>
      <c r="HN29" s="122"/>
      <c r="HO29" s="164"/>
      <c r="HP29" s="169"/>
      <c r="HQ29" s="122"/>
      <c r="HR29" s="164"/>
      <c r="HS29" s="169"/>
      <c r="HT29" s="122"/>
      <c r="HU29" s="164"/>
      <c r="HV29" s="169"/>
      <c r="HW29" s="122"/>
      <c r="HX29" s="164"/>
      <c r="HY29" s="169"/>
      <c r="HZ29" s="122"/>
      <c r="IA29" s="164"/>
      <c r="IB29" s="169"/>
      <c r="IC29" s="122"/>
      <c r="ID29" s="164"/>
      <c r="IE29" s="169"/>
      <c r="IF29" s="122"/>
      <c r="IG29" s="164"/>
      <c r="IH29" s="169"/>
      <c r="II29" s="122"/>
      <c r="IJ29" s="164"/>
      <c r="IK29" s="169"/>
      <c r="IL29" s="122"/>
      <c r="IM29" s="164"/>
      <c r="IN29" s="169"/>
      <c r="IO29" s="122"/>
      <c r="IP29" s="164"/>
      <c r="IQ29" s="169"/>
      <c r="IR29" s="122"/>
      <c r="IS29" s="164"/>
      <c r="IT29" s="169"/>
      <c r="IU29" s="122"/>
      <c r="IV29" s="164"/>
      <c r="IW29" s="169"/>
      <c r="IX29" s="122"/>
      <c r="IY29" s="164"/>
      <c r="IZ29" s="169"/>
      <c r="JA29" s="122"/>
      <c r="JB29" s="164"/>
      <c r="JC29" s="169"/>
      <c r="JD29" s="122"/>
      <c r="JE29" s="164"/>
      <c r="JF29" s="169"/>
      <c r="JG29" s="122"/>
      <c r="JH29" s="164"/>
      <c r="JI29" s="169"/>
      <c r="JJ29" s="122"/>
      <c r="JK29" s="164"/>
      <c r="JL29" s="169">
        <v>45937</v>
      </c>
      <c r="JM29" s="122">
        <v>1000</v>
      </c>
      <c r="JN29" s="164">
        <v>204.54</v>
      </c>
      <c r="JO29" s="169"/>
      <c r="JP29" s="122"/>
      <c r="JQ29" s="164"/>
      <c r="JR29" s="169"/>
      <c r="JS29" s="122"/>
      <c r="JT29" s="164"/>
      <c r="JU29" s="169"/>
      <c r="JV29" s="122"/>
      <c r="JW29" s="164"/>
      <c r="JX29" s="169"/>
      <c r="JY29" s="122"/>
      <c r="JZ29" s="164"/>
      <c r="KA29" s="169"/>
      <c r="KB29" s="122"/>
      <c r="KC29" s="164"/>
      <c r="KD29" s="169"/>
      <c r="KE29" s="122"/>
      <c r="KF29" s="164"/>
    </row>
    <row r="30" spans="1:296">
      <c r="A30" s="156">
        <v>27</v>
      </c>
      <c r="B30" s="169"/>
      <c r="C30" s="122"/>
      <c r="D30" s="164"/>
      <c r="E30" s="169"/>
      <c r="F30" s="122"/>
      <c r="G30" s="164"/>
      <c r="H30" s="169"/>
      <c r="I30" s="122"/>
      <c r="J30" s="164"/>
      <c r="K30" s="169">
        <v>45797</v>
      </c>
      <c r="L30" s="122">
        <v>1000</v>
      </c>
      <c r="M30" s="164">
        <v>-204.0975</v>
      </c>
      <c r="N30" s="169"/>
      <c r="O30" s="122"/>
      <c r="P30" s="164"/>
      <c r="Q30" s="971">
        <v>45735</v>
      </c>
      <c r="R30" s="122">
        <v>300</v>
      </c>
      <c r="S30" s="164">
        <v>667.6</v>
      </c>
      <c r="T30" s="581"/>
      <c r="U30" s="581"/>
      <c r="V30" s="581"/>
      <c r="W30" s="169"/>
      <c r="X30" s="122"/>
      <c r="Y30" s="164"/>
      <c r="Z30" s="169"/>
      <c r="AA30" s="122"/>
      <c r="AB30" s="164"/>
      <c r="AC30" s="169"/>
      <c r="AD30" s="122"/>
      <c r="AE30" s="164"/>
      <c r="AF30" s="169"/>
      <c r="AG30" s="122"/>
      <c r="AH30" s="164"/>
      <c r="AI30" s="169"/>
      <c r="AJ30" s="122"/>
      <c r="AK30" s="164"/>
      <c r="AL30" s="169"/>
      <c r="AM30" s="122"/>
      <c r="AN30" s="164"/>
      <c r="AO30" s="169"/>
      <c r="AP30" s="122"/>
      <c r="AQ30" s="164"/>
      <c r="AR30" s="169"/>
      <c r="AS30" s="122"/>
      <c r="AT30" s="164"/>
      <c r="AU30" s="169"/>
      <c r="AV30" s="122"/>
      <c r="AW30" s="164"/>
      <c r="AX30" s="169"/>
      <c r="AY30" s="122"/>
      <c r="AZ30" s="164"/>
      <c r="BA30" s="169"/>
      <c r="BB30" s="122"/>
      <c r="BC30" s="164"/>
      <c r="BD30" s="169">
        <v>45855</v>
      </c>
      <c r="BE30" s="122">
        <v>5000</v>
      </c>
      <c r="BF30" s="164">
        <v>15.95</v>
      </c>
      <c r="BG30" s="169"/>
      <c r="BH30" s="122"/>
      <c r="BI30" s="164"/>
      <c r="BJ30" s="169"/>
      <c r="BK30" s="122"/>
      <c r="BL30" s="164"/>
      <c r="BM30" s="169"/>
      <c r="BN30" s="122"/>
      <c r="BO30" s="164"/>
      <c r="BP30" s="169"/>
      <c r="BQ30" s="122"/>
      <c r="BR30" s="164"/>
      <c r="BS30" s="169">
        <v>45744</v>
      </c>
      <c r="BT30" s="122">
        <v>20000</v>
      </c>
      <c r="BU30" s="164">
        <v>-284.47789999999998</v>
      </c>
      <c r="BV30" s="169"/>
      <c r="BW30" s="122"/>
      <c r="BX30" s="164"/>
      <c r="BY30" s="169"/>
      <c r="BZ30" s="122"/>
      <c r="CA30" s="164"/>
      <c r="CB30" s="169"/>
      <c r="CC30" s="122"/>
      <c r="CD30" s="164"/>
      <c r="CE30" s="169"/>
      <c r="CF30" s="122"/>
      <c r="CG30" s="164"/>
      <c r="CH30" s="169"/>
      <c r="CI30" s="122"/>
      <c r="CJ30" s="164"/>
      <c r="CK30" s="169">
        <v>45936</v>
      </c>
      <c r="CL30" s="122">
        <v>500</v>
      </c>
      <c r="CM30" s="164">
        <v>81.84</v>
      </c>
      <c r="CN30" s="169">
        <v>45853</v>
      </c>
      <c r="CO30" s="122">
        <v>1000</v>
      </c>
      <c r="CP30" s="164">
        <v>-55.97</v>
      </c>
      <c r="CQ30" s="169"/>
      <c r="CR30" s="122"/>
      <c r="CS30" s="164"/>
      <c r="CT30" s="169"/>
      <c r="CU30" s="122"/>
      <c r="CV30" s="164"/>
      <c r="CW30" s="169"/>
      <c r="CX30" s="122"/>
      <c r="CY30" s="164"/>
      <c r="CZ30" s="169"/>
      <c r="DA30" s="122"/>
      <c r="DB30" s="164"/>
      <c r="DC30" s="169"/>
      <c r="DD30" s="122"/>
      <c r="DE30" s="164"/>
      <c r="DF30" s="169"/>
      <c r="DG30" s="122"/>
      <c r="DH30" s="164"/>
      <c r="DI30" s="169"/>
      <c r="DJ30" s="122"/>
      <c r="DK30" s="164"/>
      <c r="DL30" s="169"/>
      <c r="DM30" s="122"/>
      <c r="DN30" s="164"/>
      <c r="DO30" s="169">
        <v>45940</v>
      </c>
      <c r="DP30" s="122">
        <v>200</v>
      </c>
      <c r="DQ30" s="164">
        <v>237.8</v>
      </c>
      <c r="DR30" s="169"/>
      <c r="DS30" s="122"/>
      <c r="DT30" s="164"/>
      <c r="DU30" s="169"/>
      <c r="DV30" s="122"/>
      <c r="DW30" s="164"/>
      <c r="DX30" s="169"/>
      <c r="DY30" s="122"/>
      <c r="DZ30" s="164"/>
      <c r="EA30" s="169"/>
      <c r="EB30" s="122"/>
      <c r="EC30" s="164"/>
      <c r="ED30" s="169"/>
      <c r="EE30" s="122"/>
      <c r="EF30" s="164"/>
      <c r="EG30" s="169"/>
      <c r="EH30" s="122"/>
      <c r="EI30" s="164"/>
      <c r="EJ30" s="169"/>
      <c r="EK30" s="122"/>
      <c r="EL30" s="123"/>
      <c r="EM30" s="169"/>
      <c r="EN30" s="122"/>
      <c r="EO30" s="164"/>
      <c r="EP30" s="169">
        <v>45770</v>
      </c>
      <c r="EQ30" s="122">
        <v>4000</v>
      </c>
      <c r="ER30" s="164">
        <v>58.63</v>
      </c>
      <c r="ES30" s="169"/>
      <c r="ET30" s="122"/>
      <c r="EU30" s="123"/>
      <c r="EV30" s="169"/>
      <c r="EW30" s="122"/>
      <c r="EX30" s="123"/>
      <c r="EY30" s="169"/>
      <c r="EZ30" s="122"/>
      <c r="FA30" s="164"/>
      <c r="FB30" s="169"/>
      <c r="FC30" s="122"/>
      <c r="FD30" s="164"/>
      <c r="FE30" s="169"/>
      <c r="FF30" s="122"/>
      <c r="FG30" s="164"/>
      <c r="FH30" s="169"/>
      <c r="FI30" s="122"/>
      <c r="FJ30" s="164"/>
      <c r="FK30" s="169"/>
      <c r="FL30" s="122"/>
      <c r="FM30" s="164"/>
      <c r="FN30" s="169"/>
      <c r="FO30" s="122"/>
      <c r="FP30" s="164"/>
      <c r="FQ30" s="169"/>
      <c r="FR30" s="122"/>
      <c r="FS30" s="164"/>
      <c r="FT30" s="169"/>
      <c r="FU30" s="122"/>
      <c r="FV30" s="164"/>
      <c r="FW30" s="570">
        <v>45719</v>
      </c>
      <c r="FX30" s="122">
        <v>990</v>
      </c>
      <c r="FY30" s="164">
        <v>39.68</v>
      </c>
      <c r="FZ30" s="169"/>
      <c r="GA30" s="122"/>
      <c r="GB30" s="164"/>
      <c r="GC30" s="169"/>
      <c r="GD30" s="122"/>
      <c r="GE30" s="164"/>
      <c r="GF30" s="169"/>
      <c r="GG30" s="122"/>
      <c r="GH30" s="164"/>
      <c r="GI30" s="169"/>
      <c r="GJ30" s="122"/>
      <c r="GK30" s="164"/>
      <c r="GL30" s="169"/>
      <c r="GM30" s="122"/>
      <c r="GN30" s="164"/>
      <c r="GO30" s="169"/>
      <c r="GP30" s="122"/>
      <c r="GQ30" s="164"/>
      <c r="GR30" s="169"/>
      <c r="GS30" s="122"/>
      <c r="GT30" s="164"/>
      <c r="GU30" s="169"/>
      <c r="GV30" s="122"/>
      <c r="GW30" s="164"/>
      <c r="GX30" s="169"/>
      <c r="GY30" s="122"/>
      <c r="GZ30" s="164"/>
      <c r="HA30" s="169">
        <v>45538</v>
      </c>
      <c r="HB30" s="122">
        <v>2000</v>
      </c>
      <c r="HC30" s="164">
        <v>48.633400000000002</v>
      </c>
      <c r="HD30" s="169"/>
      <c r="HE30" s="122"/>
      <c r="HF30" s="164"/>
      <c r="HG30" s="169"/>
      <c r="HH30" s="122"/>
      <c r="HI30" s="164"/>
      <c r="HJ30" s="169"/>
      <c r="HK30" s="122"/>
      <c r="HL30" s="164"/>
      <c r="HM30" s="169"/>
      <c r="HN30" s="122"/>
      <c r="HO30" s="164"/>
      <c r="HP30" s="169"/>
      <c r="HQ30" s="122"/>
      <c r="HR30" s="164"/>
      <c r="HS30" s="169"/>
      <c r="HT30" s="122"/>
      <c r="HU30" s="164"/>
      <c r="HV30" s="169"/>
      <c r="HW30" s="122"/>
      <c r="HX30" s="164"/>
      <c r="HY30" s="169"/>
      <c r="HZ30" s="122"/>
      <c r="IA30" s="164"/>
      <c r="IB30" s="169"/>
      <c r="IC30" s="122"/>
      <c r="ID30" s="164"/>
      <c r="IE30" s="169"/>
      <c r="IF30" s="122"/>
      <c r="IG30" s="164"/>
      <c r="IH30" s="169"/>
      <c r="II30" s="122"/>
      <c r="IJ30" s="164"/>
      <c r="IK30" s="169"/>
      <c r="IL30" s="122"/>
      <c r="IM30" s="164"/>
      <c r="IN30" s="169"/>
      <c r="IO30" s="122"/>
      <c r="IP30" s="164"/>
      <c r="IQ30" s="169"/>
      <c r="IR30" s="122"/>
      <c r="IS30" s="164"/>
      <c r="IT30" s="169"/>
      <c r="IU30" s="122"/>
      <c r="IV30" s="164"/>
      <c r="IW30" s="169"/>
      <c r="IX30" s="122"/>
      <c r="IY30" s="164"/>
      <c r="IZ30" s="169"/>
      <c r="JA30" s="122"/>
      <c r="JB30" s="164"/>
      <c r="JC30" s="169"/>
      <c r="JD30" s="122"/>
      <c r="JE30" s="164"/>
      <c r="JF30" s="169"/>
      <c r="JG30" s="122"/>
      <c r="JH30" s="164"/>
      <c r="JI30" s="169"/>
      <c r="JJ30" s="122"/>
      <c r="JK30" s="164"/>
      <c r="JL30" s="169">
        <v>45938</v>
      </c>
      <c r="JM30" s="122">
        <v>300</v>
      </c>
      <c r="JN30" s="164">
        <v>-201.24</v>
      </c>
      <c r="JO30" s="169"/>
      <c r="JP30" s="122"/>
      <c r="JQ30" s="164"/>
      <c r="JR30" s="169"/>
      <c r="JS30" s="122"/>
      <c r="JT30" s="164"/>
      <c r="JU30" s="169"/>
      <c r="JV30" s="122"/>
      <c r="JW30" s="164"/>
      <c r="JX30" s="169"/>
      <c r="JY30" s="122"/>
      <c r="JZ30" s="164"/>
      <c r="KA30" s="169"/>
      <c r="KB30" s="122"/>
      <c r="KC30" s="164"/>
      <c r="KD30" s="169"/>
      <c r="KE30" s="122"/>
      <c r="KF30" s="164"/>
    </row>
    <row r="31" spans="1:296">
      <c r="A31" s="157">
        <v>28</v>
      </c>
      <c r="B31" s="169"/>
      <c r="C31" s="122"/>
      <c r="D31" s="164"/>
      <c r="E31" s="169"/>
      <c r="F31" s="122"/>
      <c r="G31" s="164"/>
      <c r="H31" s="169"/>
      <c r="I31" s="122"/>
      <c r="J31" s="164"/>
      <c r="K31" s="169">
        <v>45832</v>
      </c>
      <c r="L31" s="122">
        <v>500</v>
      </c>
      <c r="M31" s="164">
        <v>-212.98</v>
      </c>
      <c r="N31" s="169"/>
      <c r="O31" s="122"/>
      <c r="P31" s="164"/>
      <c r="Q31" s="971">
        <v>45743</v>
      </c>
      <c r="R31" s="122">
        <v>300</v>
      </c>
      <c r="S31" s="164">
        <v>-647.29999999999995</v>
      </c>
      <c r="T31" s="581"/>
      <c r="U31" s="581"/>
      <c r="V31" s="581"/>
      <c r="W31" s="169"/>
      <c r="X31" s="122"/>
      <c r="Y31" s="164"/>
      <c r="Z31" s="169"/>
      <c r="AA31" s="122"/>
      <c r="AB31" s="164"/>
      <c r="AC31" s="169"/>
      <c r="AD31" s="122"/>
      <c r="AE31" s="164"/>
      <c r="AF31" s="169"/>
      <c r="AG31" s="122"/>
      <c r="AH31" s="164"/>
      <c r="AI31" s="169"/>
      <c r="AJ31" s="122"/>
      <c r="AK31" s="164"/>
      <c r="AL31" s="169"/>
      <c r="AM31" s="122"/>
      <c r="AN31" s="164"/>
      <c r="AO31" s="169"/>
      <c r="AP31" s="122"/>
      <c r="AQ31" s="164"/>
      <c r="AR31" s="169"/>
      <c r="AS31" s="122"/>
      <c r="AT31" s="164"/>
      <c r="AU31" s="169"/>
      <c r="AV31" s="122"/>
      <c r="AW31" s="164"/>
      <c r="AX31" s="169"/>
      <c r="AY31" s="122"/>
      <c r="AZ31" s="164"/>
      <c r="BA31" s="169"/>
      <c r="BB31" s="122"/>
      <c r="BC31" s="164"/>
      <c r="BD31" s="169">
        <v>45877</v>
      </c>
      <c r="BE31" s="122">
        <v>5000</v>
      </c>
      <c r="BF31" s="164">
        <v>16.510000000000002</v>
      </c>
      <c r="BG31" s="169"/>
      <c r="BH31" s="122"/>
      <c r="BI31" s="164"/>
      <c r="BJ31" s="169"/>
      <c r="BK31" s="122"/>
      <c r="BL31" s="164"/>
      <c r="BM31" s="169"/>
      <c r="BN31" s="122"/>
      <c r="BO31" s="164"/>
      <c r="BP31" s="169"/>
      <c r="BQ31" s="122"/>
      <c r="BR31" s="164"/>
      <c r="BS31" s="169">
        <v>45748</v>
      </c>
      <c r="BT31" s="122">
        <v>20000</v>
      </c>
      <c r="BU31" s="164">
        <v>-249.012</v>
      </c>
      <c r="BV31" s="169"/>
      <c r="BW31" s="122"/>
      <c r="BX31" s="164"/>
      <c r="BY31" s="169"/>
      <c r="BZ31" s="122"/>
      <c r="CA31" s="164"/>
      <c r="CB31" s="169"/>
      <c r="CC31" s="122"/>
      <c r="CD31" s="164"/>
      <c r="CE31" s="169"/>
      <c r="CF31" s="122"/>
      <c r="CG31" s="164"/>
      <c r="CH31" s="169"/>
      <c r="CI31" s="122"/>
      <c r="CJ31" s="164"/>
      <c r="CK31" s="169">
        <v>45944</v>
      </c>
      <c r="CL31" s="122">
        <v>300</v>
      </c>
      <c r="CM31" s="164">
        <v>84.704999999999998</v>
      </c>
      <c r="CN31" s="169">
        <v>45863</v>
      </c>
      <c r="CO31" s="122">
        <v>800</v>
      </c>
      <c r="CP31" s="164">
        <v>65.245000000000005</v>
      </c>
      <c r="CQ31" s="169"/>
      <c r="CR31" s="122"/>
      <c r="CS31" s="164"/>
      <c r="CT31" s="169"/>
      <c r="CU31" s="122"/>
      <c r="CV31" s="164"/>
      <c r="CW31" s="169"/>
      <c r="CX31" s="122"/>
      <c r="CY31" s="164"/>
      <c r="CZ31" s="169"/>
      <c r="DA31" s="122"/>
      <c r="DB31" s="164"/>
      <c r="DC31" s="169"/>
      <c r="DD31" s="122"/>
      <c r="DE31" s="164"/>
      <c r="DF31" s="169"/>
      <c r="DG31" s="122"/>
      <c r="DH31" s="164"/>
      <c r="DI31" s="169"/>
      <c r="DJ31" s="122"/>
      <c r="DK31" s="164"/>
      <c r="DL31" s="169"/>
      <c r="DM31" s="122"/>
      <c r="DN31" s="164"/>
      <c r="DO31" s="169"/>
      <c r="DP31" s="122"/>
      <c r="DQ31" s="164"/>
      <c r="DR31" s="169"/>
      <c r="DS31" s="122"/>
      <c r="DT31" s="164"/>
      <c r="DU31" s="169"/>
      <c r="DV31" s="122"/>
      <c r="DW31" s="164"/>
      <c r="DX31" s="169"/>
      <c r="DY31" s="122"/>
      <c r="DZ31" s="164"/>
      <c r="EA31" s="169"/>
      <c r="EB31" s="122"/>
      <c r="EC31" s="164"/>
      <c r="ED31" s="169"/>
      <c r="EE31" s="122"/>
      <c r="EF31" s="164"/>
      <c r="EG31" s="169"/>
      <c r="EH31" s="122"/>
      <c r="EI31" s="164"/>
      <c r="EJ31" s="169"/>
      <c r="EK31" s="122"/>
      <c r="EL31" s="123"/>
      <c r="EM31" s="169"/>
      <c r="EN31" s="122"/>
      <c r="EO31" s="164"/>
      <c r="EP31" s="169">
        <v>45764</v>
      </c>
      <c r="EQ31" s="122">
        <v>4000</v>
      </c>
      <c r="ER31" s="164">
        <v>-55.8</v>
      </c>
      <c r="ES31" s="169"/>
      <c r="ET31" s="122"/>
      <c r="EU31" s="123"/>
      <c r="EV31" s="169"/>
      <c r="EW31" s="122"/>
      <c r="EX31" s="123"/>
      <c r="EY31" s="169"/>
      <c r="EZ31" s="122"/>
      <c r="FA31" s="164"/>
      <c r="FB31" s="169"/>
      <c r="FC31" s="122"/>
      <c r="FD31" s="164"/>
      <c r="FE31" s="169"/>
      <c r="FF31" s="122"/>
      <c r="FG31" s="164"/>
      <c r="FH31" s="169"/>
      <c r="FI31" s="122"/>
      <c r="FJ31" s="164"/>
      <c r="FK31" s="169"/>
      <c r="FL31" s="122"/>
      <c r="FM31" s="164"/>
      <c r="FN31" s="169"/>
      <c r="FO31" s="122"/>
      <c r="FP31" s="164"/>
      <c r="FQ31" s="169"/>
      <c r="FR31" s="122"/>
      <c r="FS31" s="164"/>
      <c r="FT31" s="169"/>
      <c r="FU31" s="122"/>
      <c r="FV31" s="164"/>
      <c r="FW31" s="169">
        <v>45769</v>
      </c>
      <c r="FX31" s="122">
        <v>5000</v>
      </c>
      <c r="FY31" s="164">
        <v>-39.590000000000003</v>
      </c>
      <c r="FZ31" s="169"/>
      <c r="GA31" s="122"/>
      <c r="GB31" s="164"/>
      <c r="GC31" s="169"/>
      <c r="GD31" s="122"/>
      <c r="GE31" s="164"/>
      <c r="GF31" s="169"/>
      <c r="GG31" s="122"/>
      <c r="GH31" s="164"/>
      <c r="GI31" s="169"/>
      <c r="GJ31" s="122"/>
      <c r="GK31" s="164"/>
      <c r="GL31" s="169"/>
      <c r="GM31" s="122"/>
      <c r="GN31" s="164"/>
      <c r="GO31" s="169"/>
      <c r="GP31" s="122"/>
      <c r="GQ31" s="164"/>
      <c r="GR31" s="169"/>
      <c r="GS31" s="122"/>
      <c r="GT31" s="164"/>
      <c r="GU31" s="169"/>
      <c r="GV31" s="122"/>
      <c r="GW31" s="164"/>
      <c r="GX31" s="169"/>
      <c r="GY31" s="122"/>
      <c r="GZ31" s="164"/>
      <c r="HA31" s="169"/>
      <c r="HB31" s="122"/>
      <c r="HC31" s="164"/>
      <c r="HD31" s="169"/>
      <c r="HE31" s="122"/>
      <c r="HF31" s="164"/>
      <c r="HG31" s="169"/>
      <c r="HH31" s="122"/>
      <c r="HI31" s="164"/>
      <c r="HJ31" s="169"/>
      <c r="HK31" s="122"/>
      <c r="HL31" s="164"/>
      <c r="HM31" s="169"/>
      <c r="HN31" s="122"/>
      <c r="HO31" s="164"/>
      <c r="HP31" s="169"/>
      <c r="HQ31" s="122"/>
      <c r="HR31" s="164"/>
      <c r="HS31" s="169"/>
      <c r="HT31" s="122"/>
      <c r="HU31" s="164"/>
      <c r="HV31" s="169"/>
      <c r="HW31" s="122"/>
      <c r="HX31" s="164"/>
      <c r="HY31" s="169"/>
      <c r="HZ31" s="122"/>
      <c r="IA31" s="164"/>
      <c r="IB31" s="169"/>
      <c r="IC31" s="122"/>
      <c r="ID31" s="164"/>
      <c r="IE31" s="169"/>
      <c r="IF31" s="122"/>
      <c r="IG31" s="164"/>
      <c r="IH31" s="169"/>
      <c r="II31" s="122"/>
      <c r="IJ31" s="164"/>
      <c r="IK31" s="169"/>
      <c r="IL31" s="122"/>
      <c r="IM31" s="164"/>
      <c r="IN31" s="169"/>
      <c r="IO31" s="122"/>
      <c r="IP31" s="164"/>
      <c r="IQ31" s="169"/>
      <c r="IR31" s="122"/>
      <c r="IS31" s="164"/>
      <c r="IT31" s="169"/>
      <c r="IU31" s="122"/>
      <c r="IV31" s="164"/>
      <c r="IW31" s="169"/>
      <c r="IX31" s="122"/>
      <c r="IY31" s="164"/>
      <c r="IZ31" s="169"/>
      <c r="JA31" s="122"/>
      <c r="JB31" s="164"/>
      <c r="JC31" s="169"/>
      <c r="JD31" s="122"/>
      <c r="JE31" s="164"/>
      <c r="JF31" s="169"/>
      <c r="JG31" s="122"/>
      <c r="JH31" s="164"/>
      <c r="JI31" s="169"/>
      <c r="JJ31" s="122"/>
      <c r="JK31" s="164"/>
      <c r="JL31" s="169"/>
      <c r="JM31" s="122"/>
      <c r="JN31" s="164"/>
      <c r="JO31" s="169"/>
      <c r="JP31" s="122"/>
      <c r="JQ31" s="164"/>
      <c r="JR31" s="169"/>
      <c r="JS31" s="122"/>
      <c r="JT31" s="164"/>
      <c r="JU31" s="169"/>
      <c r="JV31" s="122"/>
      <c r="JW31" s="164"/>
      <c r="JX31" s="169"/>
      <c r="JY31" s="122"/>
      <c r="JZ31" s="164"/>
      <c r="KA31" s="169"/>
      <c r="KB31" s="122"/>
      <c r="KC31" s="164"/>
      <c r="KD31" s="169"/>
      <c r="KE31" s="122"/>
      <c r="KF31" s="164"/>
    </row>
    <row r="32" spans="1:296">
      <c r="A32" s="156">
        <v>29</v>
      </c>
      <c r="B32" s="169"/>
      <c r="C32" s="122"/>
      <c r="D32" s="164"/>
      <c r="E32" s="169"/>
      <c r="F32" s="122"/>
      <c r="G32" s="164"/>
      <c r="H32" s="169"/>
      <c r="I32" s="122"/>
      <c r="J32" s="164"/>
      <c r="K32" s="169">
        <v>45870</v>
      </c>
      <c r="L32" s="122">
        <v>2000</v>
      </c>
      <c r="M32" s="164">
        <v>-215.02</v>
      </c>
      <c r="N32" s="169"/>
      <c r="O32" s="122"/>
      <c r="P32" s="164"/>
      <c r="Q32" s="971">
        <v>45749</v>
      </c>
      <c r="R32" s="122">
        <v>200</v>
      </c>
      <c r="S32" s="164">
        <v>-603.79999999999995</v>
      </c>
      <c r="T32" s="581"/>
      <c r="U32" s="581"/>
      <c r="V32" s="581"/>
      <c r="W32" s="169"/>
      <c r="X32" s="122"/>
      <c r="Y32" s="164"/>
      <c r="Z32" s="169"/>
      <c r="AA32" s="122"/>
      <c r="AB32" s="164"/>
      <c r="AC32" s="169"/>
      <c r="AD32" s="122"/>
      <c r="AE32" s="164"/>
      <c r="AF32" s="169"/>
      <c r="AG32" s="122"/>
      <c r="AH32" s="164"/>
      <c r="AI32" s="169"/>
      <c r="AJ32" s="122"/>
      <c r="AK32" s="164"/>
      <c r="AL32" s="169"/>
      <c r="AM32" s="122"/>
      <c r="AN32" s="164"/>
      <c r="AO32" s="169"/>
      <c r="AP32" s="122"/>
      <c r="AQ32" s="164"/>
      <c r="AR32" s="169"/>
      <c r="AS32" s="122"/>
      <c r="AT32" s="164"/>
      <c r="AU32" s="169"/>
      <c r="AV32" s="122"/>
      <c r="AW32" s="164"/>
      <c r="AX32" s="169"/>
      <c r="AY32" s="122"/>
      <c r="AZ32" s="164"/>
      <c r="BA32" s="169"/>
      <c r="BB32" s="122"/>
      <c r="BC32" s="164"/>
      <c r="BD32" s="169">
        <v>45902</v>
      </c>
      <c r="BE32" s="122">
        <v>5000</v>
      </c>
      <c r="BF32" s="164">
        <v>-14.78</v>
      </c>
      <c r="BG32" s="169"/>
      <c r="BH32" s="122"/>
      <c r="BI32" s="164"/>
      <c r="BJ32" s="169"/>
      <c r="BK32" s="122"/>
      <c r="BL32" s="164"/>
      <c r="BM32" s="169"/>
      <c r="BN32" s="122"/>
      <c r="BO32" s="164"/>
      <c r="BP32" s="169"/>
      <c r="BQ32" s="122"/>
      <c r="BR32" s="164"/>
      <c r="BS32" s="169">
        <v>45771</v>
      </c>
      <c r="BT32" s="122">
        <v>20000</v>
      </c>
      <c r="BU32" s="164">
        <v>261.5</v>
      </c>
      <c r="BV32" s="169"/>
      <c r="BW32" s="122"/>
      <c r="BX32" s="164"/>
      <c r="BY32" s="169"/>
      <c r="BZ32" s="122"/>
      <c r="CA32" s="164"/>
      <c r="CB32" s="169"/>
      <c r="CC32" s="122"/>
      <c r="CD32" s="164"/>
      <c r="CE32" s="169"/>
      <c r="CF32" s="122"/>
      <c r="CG32" s="164"/>
      <c r="CH32" s="169"/>
      <c r="CI32" s="122"/>
      <c r="CJ32" s="164"/>
      <c r="CK32" s="169"/>
      <c r="CL32" s="122"/>
      <c r="CM32" s="164"/>
      <c r="CN32" s="169">
        <v>45891</v>
      </c>
      <c r="CO32" s="122">
        <v>2000</v>
      </c>
      <c r="CP32" s="164">
        <v>70.12</v>
      </c>
      <c r="CQ32" s="169"/>
      <c r="CR32" s="122"/>
      <c r="CS32" s="164"/>
      <c r="CT32" s="169"/>
      <c r="CU32" s="122"/>
      <c r="CV32" s="164"/>
      <c r="CW32" s="169"/>
      <c r="CX32" s="122"/>
      <c r="CY32" s="164"/>
      <c r="CZ32" s="169"/>
      <c r="DA32" s="122"/>
      <c r="DB32" s="164"/>
      <c r="DC32" s="169"/>
      <c r="DD32" s="122"/>
      <c r="DE32" s="164"/>
      <c r="DF32" s="169"/>
      <c r="DG32" s="122"/>
      <c r="DH32" s="164"/>
      <c r="DI32" s="169"/>
      <c r="DJ32" s="122"/>
      <c r="DK32" s="164"/>
      <c r="DL32" s="169"/>
      <c r="DM32" s="122"/>
      <c r="DN32" s="164"/>
      <c r="DO32" s="169"/>
      <c r="DP32" s="122"/>
      <c r="DQ32" s="164"/>
      <c r="DR32" s="169"/>
      <c r="DS32" s="122"/>
      <c r="DT32" s="164"/>
      <c r="DU32" s="169"/>
      <c r="DV32" s="122"/>
      <c r="DW32" s="164"/>
      <c r="DX32" s="169"/>
      <c r="DY32" s="122"/>
      <c r="DZ32" s="164"/>
      <c r="EA32" s="169"/>
      <c r="EB32" s="122"/>
      <c r="EC32" s="164"/>
      <c r="ED32" s="169"/>
      <c r="EE32" s="122"/>
      <c r="EF32" s="164"/>
      <c r="EG32" s="169"/>
      <c r="EH32" s="122"/>
      <c r="EI32" s="164"/>
      <c r="EJ32" s="169"/>
      <c r="EK32" s="122"/>
      <c r="EL32" s="123"/>
      <c r="EM32" s="169"/>
      <c r="EN32" s="122"/>
      <c r="EO32" s="164"/>
      <c r="EP32" s="169">
        <v>45785</v>
      </c>
      <c r="EQ32" s="122">
        <v>2000</v>
      </c>
      <c r="ER32" s="164">
        <v>62.09</v>
      </c>
      <c r="ES32" s="169"/>
      <c r="ET32" s="122"/>
      <c r="EU32" s="123"/>
      <c r="EV32" s="169"/>
      <c r="EW32" s="122"/>
      <c r="EX32" s="123"/>
      <c r="EY32" s="169"/>
      <c r="EZ32" s="122"/>
      <c r="FA32" s="164"/>
      <c r="FB32" s="169"/>
      <c r="FC32" s="122"/>
      <c r="FD32" s="164"/>
      <c r="FE32" s="169"/>
      <c r="FF32" s="122"/>
      <c r="FG32" s="164"/>
      <c r="FH32" s="169"/>
      <c r="FI32" s="122"/>
      <c r="FJ32" s="164"/>
      <c r="FK32" s="169"/>
      <c r="FL32" s="122"/>
      <c r="FM32" s="164"/>
      <c r="FN32" s="169"/>
      <c r="FO32" s="122"/>
      <c r="FP32" s="164"/>
      <c r="FQ32" s="169"/>
      <c r="FR32" s="122"/>
      <c r="FS32" s="164"/>
      <c r="FT32" s="169"/>
      <c r="FU32" s="122"/>
      <c r="FV32" s="164"/>
      <c r="FW32" s="169">
        <v>45770</v>
      </c>
      <c r="FX32" s="122">
        <v>3000</v>
      </c>
      <c r="FY32" s="164">
        <v>42.22</v>
      </c>
      <c r="FZ32" s="169"/>
      <c r="GA32" s="122"/>
      <c r="GB32" s="164"/>
      <c r="GC32" s="169"/>
      <c r="GD32" s="122"/>
      <c r="GE32" s="164"/>
      <c r="GF32" s="169"/>
      <c r="GG32" s="122"/>
      <c r="GH32" s="164"/>
      <c r="GI32" s="169"/>
      <c r="GJ32" s="122"/>
      <c r="GK32" s="164"/>
      <c r="GL32" s="169"/>
      <c r="GM32" s="122"/>
      <c r="GN32" s="164"/>
      <c r="GO32" s="169"/>
      <c r="GP32" s="122"/>
      <c r="GQ32" s="164"/>
      <c r="GR32" s="169"/>
      <c r="GS32" s="122"/>
      <c r="GT32" s="164"/>
      <c r="GU32" s="169"/>
      <c r="GV32" s="122"/>
      <c r="GW32" s="164"/>
      <c r="GX32" s="169"/>
      <c r="GY32" s="122"/>
      <c r="GZ32" s="164"/>
      <c r="HA32" s="169"/>
      <c r="HB32" s="122"/>
      <c r="HC32" s="164"/>
      <c r="HD32" s="169"/>
      <c r="HE32" s="122"/>
      <c r="HF32" s="164"/>
      <c r="HG32" s="169"/>
      <c r="HH32" s="122"/>
      <c r="HI32" s="164"/>
      <c r="HJ32" s="169"/>
      <c r="HK32" s="122"/>
      <c r="HL32" s="164"/>
      <c r="HM32" s="169"/>
      <c r="HN32" s="122"/>
      <c r="HO32" s="164"/>
      <c r="HP32" s="169"/>
      <c r="HQ32" s="122"/>
      <c r="HR32" s="164"/>
      <c r="HS32" s="169"/>
      <c r="HT32" s="122"/>
      <c r="HU32" s="164"/>
      <c r="HV32" s="169"/>
      <c r="HW32" s="122"/>
      <c r="HX32" s="164"/>
      <c r="HY32" s="169"/>
      <c r="HZ32" s="122"/>
      <c r="IA32" s="164"/>
      <c r="IB32" s="169"/>
      <c r="IC32" s="122"/>
      <c r="ID32" s="164"/>
      <c r="IE32" s="169"/>
      <c r="IF32" s="122"/>
      <c r="IG32" s="164"/>
      <c r="IH32" s="169"/>
      <c r="II32" s="122"/>
      <c r="IJ32" s="164"/>
      <c r="IK32" s="169"/>
      <c r="IL32" s="122"/>
      <c r="IM32" s="164"/>
      <c r="IN32" s="169"/>
      <c r="IO32" s="122"/>
      <c r="IP32" s="164"/>
      <c r="IQ32" s="169"/>
      <c r="IR32" s="122"/>
      <c r="IS32" s="164"/>
      <c r="IT32" s="169"/>
      <c r="IU32" s="122"/>
      <c r="IV32" s="164"/>
      <c r="IW32" s="169"/>
      <c r="IX32" s="122"/>
      <c r="IY32" s="164"/>
      <c r="IZ32" s="169"/>
      <c r="JA32" s="122"/>
      <c r="JB32" s="164"/>
      <c r="JC32" s="169"/>
      <c r="JD32" s="122"/>
      <c r="JE32" s="164"/>
      <c r="JF32" s="169"/>
      <c r="JG32" s="122"/>
      <c r="JH32" s="164"/>
      <c r="JI32" s="169"/>
      <c r="JJ32" s="122"/>
      <c r="JK32" s="164"/>
      <c r="JL32" s="169"/>
      <c r="JM32" s="122"/>
      <c r="JN32" s="164"/>
      <c r="JO32" s="169"/>
      <c r="JP32" s="122"/>
      <c r="JQ32" s="164"/>
      <c r="JR32" s="169"/>
      <c r="JS32" s="122"/>
      <c r="JT32" s="164"/>
      <c r="JU32" s="169"/>
      <c r="JV32" s="122"/>
      <c r="JW32" s="164"/>
      <c r="JX32" s="169"/>
      <c r="JY32" s="122"/>
      <c r="JZ32" s="164"/>
      <c r="KA32" s="169"/>
      <c r="KB32" s="122"/>
      <c r="KC32" s="164"/>
      <c r="KD32" s="169"/>
      <c r="KE32" s="122"/>
      <c r="KF32" s="164"/>
    </row>
    <row r="33" spans="1:292">
      <c r="A33" s="157">
        <v>30</v>
      </c>
      <c r="B33" s="169"/>
      <c r="C33" s="122"/>
      <c r="D33" s="164"/>
      <c r="E33" s="169"/>
      <c r="F33" s="122"/>
      <c r="G33" s="164"/>
      <c r="H33" s="169"/>
      <c r="I33" s="122"/>
      <c r="J33" s="164"/>
      <c r="K33" s="169">
        <v>45929</v>
      </c>
      <c r="L33" s="122">
        <v>200</v>
      </c>
      <c r="M33" s="164">
        <v>221.51499999999999</v>
      </c>
      <c r="N33" s="169"/>
      <c r="O33" s="122"/>
      <c r="P33" s="164"/>
      <c r="Q33" s="971">
        <v>45833</v>
      </c>
      <c r="R33" s="122">
        <v>200</v>
      </c>
      <c r="S33" s="164">
        <v>-695.5</v>
      </c>
      <c r="T33" s="581"/>
      <c r="U33" s="581"/>
      <c r="V33" s="581"/>
      <c r="W33" s="169"/>
      <c r="X33" s="122"/>
      <c r="Y33" s="164"/>
      <c r="Z33" s="169"/>
      <c r="AA33" s="122"/>
      <c r="AB33" s="164"/>
      <c r="AC33" s="169"/>
      <c r="AD33" s="122"/>
      <c r="AE33" s="164"/>
      <c r="AF33" s="169"/>
      <c r="AG33" s="122"/>
      <c r="AH33" s="164"/>
      <c r="AI33" s="169"/>
      <c r="AJ33" s="122"/>
      <c r="AK33" s="164"/>
      <c r="AL33" s="169"/>
      <c r="AM33" s="122"/>
      <c r="AN33" s="164"/>
      <c r="AO33" s="169"/>
      <c r="AP33" s="122"/>
      <c r="AQ33" s="164"/>
      <c r="AR33" s="169"/>
      <c r="AS33" s="122"/>
      <c r="AT33" s="164"/>
      <c r="AU33" s="169"/>
      <c r="AV33" s="122"/>
      <c r="AW33" s="164"/>
      <c r="AX33" s="169"/>
      <c r="AY33" s="122"/>
      <c r="AZ33" s="164"/>
      <c r="BA33" s="169"/>
      <c r="BB33" s="122"/>
      <c r="BC33" s="164"/>
      <c r="BD33" s="169">
        <v>45912</v>
      </c>
      <c r="BE33" s="122">
        <v>3750</v>
      </c>
      <c r="BF33" s="164">
        <v>15.53</v>
      </c>
      <c r="BG33" s="169"/>
      <c r="BH33" s="122"/>
      <c r="BI33" s="164"/>
      <c r="BJ33" s="169"/>
      <c r="BK33" s="122"/>
      <c r="BL33" s="164"/>
      <c r="BM33" s="169"/>
      <c r="BN33" s="122"/>
      <c r="BO33" s="164"/>
      <c r="BP33" s="169"/>
      <c r="BQ33" s="122"/>
      <c r="BR33" s="164"/>
      <c r="BS33" s="592">
        <v>45797</v>
      </c>
      <c r="BT33" s="122">
        <v>10000</v>
      </c>
      <c r="BU33" s="164">
        <v>335.85</v>
      </c>
      <c r="BV33" s="169"/>
      <c r="BW33" s="122"/>
      <c r="BX33" s="164"/>
      <c r="BY33" s="169"/>
      <c r="BZ33" s="122"/>
      <c r="CA33" s="164"/>
      <c r="CB33" s="169"/>
      <c r="CC33" s="122"/>
      <c r="CD33" s="164"/>
      <c r="CE33" s="169"/>
      <c r="CF33" s="122"/>
      <c r="CG33" s="164"/>
      <c r="CH33" s="169"/>
      <c r="CI33" s="122"/>
      <c r="CJ33" s="164"/>
      <c r="CK33" s="169"/>
      <c r="CL33" s="122"/>
      <c r="CM33" s="164"/>
      <c r="CN33" s="169">
        <v>45912</v>
      </c>
      <c r="CO33" s="122">
        <v>2000</v>
      </c>
      <c r="CP33" s="164">
        <v>79.260000000000005</v>
      </c>
      <c r="CQ33" s="169"/>
      <c r="CR33" s="122"/>
      <c r="CS33" s="164"/>
      <c r="CT33" s="169"/>
      <c r="CU33" s="122"/>
      <c r="CV33" s="164"/>
      <c r="CW33" s="169"/>
      <c r="CX33" s="122"/>
      <c r="CY33" s="164"/>
      <c r="CZ33" s="169"/>
      <c r="DA33" s="122"/>
      <c r="DB33" s="164"/>
      <c r="DC33" s="169"/>
      <c r="DD33" s="122"/>
      <c r="DE33" s="164"/>
      <c r="DF33" s="169"/>
      <c r="DG33" s="122"/>
      <c r="DH33" s="164"/>
      <c r="DI33" s="169"/>
      <c r="DJ33" s="122"/>
      <c r="DK33" s="164"/>
      <c r="DL33" s="169"/>
      <c r="DM33" s="122"/>
      <c r="DN33" s="164"/>
      <c r="DO33" s="169"/>
      <c r="DP33" s="122"/>
      <c r="DQ33" s="164"/>
      <c r="DR33" s="169"/>
      <c r="DS33" s="122"/>
      <c r="DT33" s="164"/>
      <c r="DU33" s="169"/>
      <c r="DV33" s="122"/>
      <c r="DW33" s="164"/>
      <c r="DX33" s="169"/>
      <c r="DY33" s="122"/>
      <c r="DZ33" s="164"/>
      <c r="EA33" s="169"/>
      <c r="EB33" s="122"/>
      <c r="EC33" s="164"/>
      <c r="ED33" s="169"/>
      <c r="EE33" s="122"/>
      <c r="EF33" s="164"/>
      <c r="EG33" s="169"/>
      <c r="EH33" s="122"/>
      <c r="EI33" s="164"/>
      <c r="EJ33" s="169"/>
      <c r="EK33" s="122"/>
      <c r="EL33" s="123"/>
      <c r="EM33" s="169"/>
      <c r="EN33" s="122"/>
      <c r="EO33" s="164"/>
      <c r="EP33" s="169">
        <v>45792</v>
      </c>
      <c r="EQ33" s="122">
        <v>2000</v>
      </c>
      <c r="ER33" s="164">
        <v>63.3</v>
      </c>
      <c r="ES33" s="169"/>
      <c r="ET33" s="122"/>
      <c r="EU33" s="123"/>
      <c r="EV33" s="169"/>
      <c r="EW33" s="122"/>
      <c r="EX33" s="123"/>
      <c r="EY33" s="169"/>
      <c r="EZ33" s="122"/>
      <c r="FA33" s="164"/>
      <c r="FB33" s="169"/>
      <c r="FC33" s="122"/>
      <c r="FD33" s="164"/>
      <c r="FE33" s="169"/>
      <c r="FF33" s="122"/>
      <c r="FG33" s="164"/>
      <c r="FH33" s="169"/>
      <c r="FI33" s="122"/>
      <c r="FJ33" s="164"/>
      <c r="FK33" s="169"/>
      <c r="FL33" s="122"/>
      <c r="FM33" s="164"/>
      <c r="FN33" s="169"/>
      <c r="FO33" s="122"/>
      <c r="FP33" s="164"/>
      <c r="FQ33" s="169"/>
      <c r="FR33" s="122"/>
      <c r="FS33" s="164"/>
      <c r="FT33" s="169"/>
      <c r="FU33" s="122"/>
      <c r="FV33" s="164"/>
      <c r="FW33" s="169">
        <v>45785</v>
      </c>
      <c r="FX33" s="122">
        <v>1000</v>
      </c>
      <c r="FY33" s="164">
        <v>45.76</v>
      </c>
      <c r="FZ33" s="169"/>
      <c r="GA33" s="122"/>
      <c r="GB33" s="164"/>
      <c r="GC33" s="169"/>
      <c r="GD33" s="122"/>
      <c r="GE33" s="164"/>
      <c r="GF33" s="169"/>
      <c r="GG33" s="122"/>
      <c r="GH33" s="164"/>
      <c r="GI33" s="169"/>
      <c r="GJ33" s="122"/>
      <c r="GK33" s="164"/>
      <c r="GL33" s="169"/>
      <c r="GM33" s="122"/>
      <c r="GN33" s="164"/>
      <c r="GO33" s="169"/>
      <c r="GP33" s="122"/>
      <c r="GQ33" s="164"/>
      <c r="GR33" s="169"/>
      <c r="GS33" s="122"/>
      <c r="GT33" s="164"/>
      <c r="GU33" s="169"/>
      <c r="GV33" s="122"/>
      <c r="GW33" s="164"/>
      <c r="GX33" s="169"/>
      <c r="GY33" s="122"/>
      <c r="GZ33" s="164"/>
      <c r="HA33" s="169"/>
      <c r="HB33" s="122"/>
      <c r="HC33" s="164"/>
      <c r="HD33" s="169"/>
      <c r="HE33" s="122"/>
      <c r="HF33" s="164"/>
      <c r="HG33" s="169"/>
      <c r="HH33" s="122"/>
      <c r="HI33" s="164"/>
      <c r="HJ33" s="169"/>
      <c r="HK33" s="122"/>
      <c r="HL33" s="164"/>
      <c r="HM33" s="169"/>
      <c r="HN33" s="122"/>
      <c r="HO33" s="164"/>
      <c r="HP33" s="169"/>
      <c r="HQ33" s="122"/>
      <c r="HR33" s="164"/>
      <c r="HS33" s="169"/>
      <c r="HT33" s="122"/>
      <c r="HU33" s="164"/>
      <c r="HV33" s="169"/>
      <c r="HW33" s="122"/>
      <c r="HX33" s="164"/>
      <c r="HY33" s="169"/>
      <c r="HZ33" s="122"/>
      <c r="IA33" s="164"/>
      <c r="IB33" s="169"/>
      <c r="IC33" s="122"/>
      <c r="ID33" s="164"/>
      <c r="IE33" s="169"/>
      <c r="IF33" s="122"/>
      <c r="IG33" s="164"/>
      <c r="IH33" s="169"/>
      <c r="II33" s="122"/>
      <c r="IJ33" s="164"/>
      <c r="IK33" s="169"/>
      <c r="IL33" s="122"/>
      <c r="IM33" s="164"/>
      <c r="IN33" s="169"/>
      <c r="IO33" s="122"/>
      <c r="IP33" s="164"/>
      <c r="IQ33" s="169"/>
      <c r="IR33" s="122"/>
      <c r="IS33" s="164"/>
      <c r="IT33" s="169"/>
      <c r="IU33" s="122"/>
      <c r="IV33" s="164"/>
      <c r="IW33" s="169"/>
      <c r="IX33" s="122"/>
      <c r="IY33" s="164"/>
      <c r="IZ33" s="169"/>
      <c r="JA33" s="122"/>
      <c r="JB33" s="164"/>
      <c r="JC33" s="169"/>
      <c r="JD33" s="122"/>
      <c r="JE33" s="164"/>
      <c r="JF33" s="169"/>
      <c r="JG33" s="122"/>
      <c r="JH33" s="164"/>
      <c r="JI33" s="169"/>
      <c r="JJ33" s="122"/>
      <c r="JK33" s="164"/>
      <c r="JL33" s="169"/>
      <c r="JM33" s="122"/>
      <c r="JN33" s="164"/>
      <c r="JO33" s="169"/>
      <c r="JP33" s="122"/>
      <c r="JQ33" s="164"/>
      <c r="JR33" s="169"/>
      <c r="JS33" s="122"/>
      <c r="JT33" s="164"/>
      <c r="JU33" s="169"/>
      <c r="JV33" s="122"/>
      <c r="JW33" s="164"/>
      <c r="JX33" s="169"/>
      <c r="JY33" s="122"/>
      <c r="JZ33" s="164"/>
      <c r="KA33" s="169"/>
      <c r="KB33" s="122"/>
      <c r="KC33" s="164"/>
      <c r="KD33" s="169"/>
      <c r="KE33" s="122"/>
      <c r="KF33" s="164"/>
    </row>
    <row r="34" spans="1:292">
      <c r="A34" s="156">
        <v>31</v>
      </c>
      <c r="B34" s="169"/>
      <c r="C34" s="122"/>
      <c r="D34" s="164"/>
      <c r="E34" s="169"/>
      <c r="F34" s="122"/>
      <c r="G34" s="164"/>
      <c r="H34" s="169"/>
      <c r="I34" s="122"/>
      <c r="J34" s="164"/>
      <c r="K34" s="169"/>
      <c r="L34" s="122"/>
      <c r="M34" s="164"/>
      <c r="N34" s="169"/>
      <c r="O34" s="122"/>
      <c r="P34" s="164"/>
      <c r="Q34" s="971">
        <v>45856</v>
      </c>
      <c r="R34" s="122">
        <v>100</v>
      </c>
      <c r="S34" s="164">
        <v>-632.95000000000005</v>
      </c>
      <c r="T34" s="581"/>
      <c r="U34" s="581"/>
      <c r="V34" s="581"/>
      <c r="W34" s="169"/>
      <c r="X34" s="122"/>
      <c r="Y34" s="164"/>
      <c r="Z34" s="169"/>
      <c r="AA34" s="122"/>
      <c r="AB34" s="164"/>
      <c r="AC34" s="169"/>
      <c r="AD34" s="122"/>
      <c r="AE34" s="164"/>
      <c r="AF34" s="169"/>
      <c r="AG34" s="122"/>
      <c r="AH34" s="164"/>
      <c r="AI34" s="169"/>
      <c r="AJ34" s="122"/>
      <c r="AK34" s="164"/>
      <c r="AL34" s="169"/>
      <c r="AM34" s="122"/>
      <c r="AN34" s="164"/>
      <c r="AO34" s="169"/>
      <c r="AP34" s="122"/>
      <c r="AQ34" s="164"/>
      <c r="AR34" s="169"/>
      <c r="AS34" s="122"/>
      <c r="AT34" s="164"/>
      <c r="AU34" s="169"/>
      <c r="AV34" s="122"/>
      <c r="AW34" s="164"/>
      <c r="AX34" s="169"/>
      <c r="AY34" s="122"/>
      <c r="AZ34" s="164"/>
      <c r="BA34" s="169"/>
      <c r="BB34" s="122"/>
      <c r="BC34" s="164"/>
      <c r="BD34" s="169">
        <v>45915</v>
      </c>
      <c r="BE34" s="122">
        <v>2500</v>
      </c>
      <c r="BF34" s="164">
        <v>15.8</v>
      </c>
      <c r="BG34" s="169"/>
      <c r="BH34" s="122"/>
      <c r="BI34" s="164"/>
      <c r="BJ34" s="169"/>
      <c r="BK34" s="122"/>
      <c r="BL34" s="164"/>
      <c r="BM34" s="169"/>
      <c r="BN34" s="122"/>
      <c r="BO34" s="164"/>
      <c r="BP34" s="169"/>
      <c r="BQ34" s="122"/>
      <c r="BR34" s="164"/>
      <c r="BS34" s="592">
        <v>45804</v>
      </c>
      <c r="BT34" s="122">
        <v>40000</v>
      </c>
      <c r="BU34" s="164">
        <v>333.9</v>
      </c>
      <c r="BV34" s="169"/>
      <c r="BW34" s="122"/>
      <c r="BX34" s="164"/>
      <c r="BY34" s="169"/>
      <c r="BZ34" s="122"/>
      <c r="CA34" s="164"/>
      <c r="CB34" s="169"/>
      <c r="CC34" s="122"/>
      <c r="CD34" s="164"/>
      <c r="CE34" s="169"/>
      <c r="CF34" s="122"/>
      <c r="CG34" s="164"/>
      <c r="CH34" s="169"/>
      <c r="CI34" s="122"/>
      <c r="CJ34" s="164"/>
      <c r="CK34" s="169"/>
      <c r="CL34" s="122"/>
      <c r="CM34" s="164"/>
      <c r="CN34" s="169">
        <v>45923</v>
      </c>
      <c r="CO34" s="122">
        <v>200</v>
      </c>
      <c r="CP34" s="164">
        <v>85.32</v>
      </c>
      <c r="CQ34" s="169"/>
      <c r="CR34" s="122"/>
      <c r="CS34" s="164"/>
      <c r="CT34" s="169"/>
      <c r="CU34" s="122"/>
      <c r="CV34" s="164"/>
      <c r="CW34" s="169"/>
      <c r="CX34" s="122"/>
      <c r="CY34" s="164"/>
      <c r="CZ34" s="169"/>
      <c r="DA34" s="122"/>
      <c r="DB34" s="164"/>
      <c r="DC34" s="169"/>
      <c r="DD34" s="122"/>
      <c r="DE34" s="164"/>
      <c r="DF34" s="169"/>
      <c r="DG34" s="122"/>
      <c r="DH34" s="164"/>
      <c r="DI34" s="169"/>
      <c r="DJ34" s="122"/>
      <c r="DK34" s="164"/>
      <c r="DL34" s="169"/>
      <c r="DM34" s="122"/>
      <c r="DN34" s="164"/>
      <c r="DO34" s="169"/>
      <c r="DP34" s="122"/>
      <c r="DQ34" s="164"/>
      <c r="DR34" s="169"/>
      <c r="DS34" s="122"/>
      <c r="DT34" s="164"/>
      <c r="DU34" s="169"/>
      <c r="DV34" s="122"/>
      <c r="DW34" s="164"/>
      <c r="DX34" s="169"/>
      <c r="DY34" s="122"/>
      <c r="DZ34" s="164"/>
      <c r="EA34" s="169"/>
      <c r="EB34" s="122"/>
      <c r="EC34" s="164"/>
      <c r="ED34" s="169"/>
      <c r="EE34" s="122"/>
      <c r="EF34" s="164"/>
      <c r="EG34" s="169"/>
      <c r="EH34" s="122"/>
      <c r="EI34" s="164"/>
      <c r="EJ34" s="169"/>
      <c r="EK34" s="122"/>
      <c r="EL34" s="123"/>
      <c r="EM34" s="169"/>
      <c r="EN34" s="122"/>
      <c r="EO34" s="164"/>
      <c r="EP34" s="169">
        <v>45811</v>
      </c>
      <c r="EQ34" s="122">
        <v>6000</v>
      </c>
      <c r="ER34" s="164">
        <v>62.9</v>
      </c>
      <c r="ES34" s="169"/>
      <c r="ET34" s="122"/>
      <c r="EU34" s="123"/>
      <c r="EV34" s="169"/>
      <c r="EW34" s="122"/>
      <c r="EX34" s="123"/>
      <c r="EY34" s="169"/>
      <c r="EZ34" s="122"/>
      <c r="FA34" s="164"/>
      <c r="FB34" s="169"/>
      <c r="FC34" s="122"/>
      <c r="FD34" s="164"/>
      <c r="FE34" s="169"/>
      <c r="FF34" s="122"/>
      <c r="FG34" s="164"/>
      <c r="FH34" s="169"/>
      <c r="FI34" s="122"/>
      <c r="FJ34" s="164"/>
      <c r="FK34" s="169"/>
      <c r="FL34" s="122"/>
      <c r="FM34" s="164"/>
      <c r="FN34" s="169"/>
      <c r="FO34" s="122"/>
      <c r="FP34" s="164"/>
      <c r="FQ34" s="169"/>
      <c r="FR34" s="122"/>
      <c r="FS34" s="164"/>
      <c r="FT34" s="169"/>
      <c r="FU34" s="122"/>
      <c r="FV34" s="164"/>
      <c r="FW34" s="289">
        <v>45789</v>
      </c>
      <c r="FX34" s="122">
        <v>1000</v>
      </c>
      <c r="FY34" s="164">
        <v>47.47</v>
      </c>
      <c r="FZ34" s="169"/>
      <c r="GA34" s="122"/>
      <c r="GB34" s="164"/>
      <c r="GC34" s="169"/>
      <c r="GD34" s="122"/>
      <c r="GE34" s="164"/>
      <c r="GF34" s="169"/>
      <c r="GG34" s="122"/>
      <c r="GH34" s="164"/>
      <c r="GI34" s="169"/>
      <c r="GJ34" s="122"/>
      <c r="GK34" s="164"/>
      <c r="GL34" s="169"/>
      <c r="GM34" s="122"/>
      <c r="GN34" s="164"/>
      <c r="GO34" s="169"/>
      <c r="GP34" s="122"/>
      <c r="GQ34" s="164"/>
      <c r="GR34" s="169"/>
      <c r="GS34" s="122"/>
      <c r="GT34" s="164"/>
      <c r="GU34" s="169"/>
      <c r="GV34" s="122"/>
      <c r="GW34" s="164"/>
      <c r="GX34" s="169"/>
      <c r="GY34" s="122"/>
      <c r="GZ34" s="164"/>
      <c r="HA34" s="169"/>
      <c r="HB34" s="122"/>
      <c r="HC34" s="164"/>
      <c r="HD34" s="169"/>
      <c r="HE34" s="122"/>
      <c r="HF34" s="164"/>
      <c r="HG34" s="169"/>
      <c r="HH34" s="122"/>
      <c r="HI34" s="164"/>
      <c r="HJ34" s="169"/>
      <c r="HK34" s="122"/>
      <c r="HL34" s="164"/>
      <c r="HM34" s="169"/>
      <c r="HN34" s="122"/>
      <c r="HO34" s="164"/>
      <c r="HP34" s="169"/>
      <c r="HQ34" s="122"/>
      <c r="HR34" s="164"/>
      <c r="HS34" s="169"/>
      <c r="HT34" s="122"/>
      <c r="HU34" s="164"/>
      <c r="HV34" s="169"/>
      <c r="HW34" s="122"/>
      <c r="HX34" s="164"/>
      <c r="HY34" s="169"/>
      <c r="HZ34" s="122"/>
      <c r="IA34" s="164"/>
      <c r="IB34" s="169"/>
      <c r="IC34" s="122"/>
      <c r="ID34" s="164"/>
      <c r="IE34" s="169"/>
      <c r="IF34" s="122"/>
      <c r="IG34" s="164"/>
      <c r="IH34" s="169"/>
      <c r="II34" s="122"/>
      <c r="IJ34" s="164"/>
      <c r="IK34" s="169"/>
      <c r="IL34" s="122"/>
      <c r="IM34" s="164"/>
      <c r="IN34" s="169"/>
      <c r="IO34" s="122"/>
      <c r="IP34" s="164"/>
      <c r="IQ34" s="169"/>
      <c r="IR34" s="122"/>
      <c r="IS34" s="164"/>
      <c r="IT34" s="169"/>
      <c r="IU34" s="122"/>
      <c r="IV34" s="164"/>
      <c r="IW34" s="169"/>
      <c r="IX34" s="122"/>
      <c r="IY34" s="164"/>
      <c r="IZ34" s="169"/>
      <c r="JA34" s="122"/>
      <c r="JB34" s="164"/>
      <c r="JC34" s="169"/>
      <c r="JD34" s="122"/>
      <c r="JE34" s="164"/>
      <c r="JF34" s="169"/>
      <c r="JG34" s="122"/>
      <c r="JH34" s="164"/>
      <c r="JI34" s="169"/>
      <c r="JJ34" s="122"/>
      <c r="JK34" s="164"/>
      <c r="JL34" s="169"/>
      <c r="JM34" s="122"/>
      <c r="JN34" s="164"/>
      <c r="JO34" s="169"/>
      <c r="JP34" s="122"/>
      <c r="JQ34" s="164"/>
      <c r="JR34" s="169"/>
      <c r="JS34" s="122"/>
      <c r="JT34" s="164"/>
      <c r="JU34" s="169"/>
      <c r="JV34" s="122"/>
      <c r="JW34" s="164"/>
      <c r="JX34" s="169" t="str" cm="1">
        <f t="array" ref="JX34">IF( ISNUMBER(MATCH(JX$3,Entries!$B$3:$B$16,0)),           _xlfn.IFS(  JX33="","",      AND(SUMPRODUCT((Entries!$A$3:$A$16=JX33)*(Entries!$C$3:$C$16=JY33)*(Entries!$D$3:$D$16=JZ33)) = 0,        _xlfn.XLOOKUP(JX$3,Entries!$B$3:$B$16,Entries!$E$3:$E$16,"Enter")="Booked"),   INDEX(Entries!$B$3:$E$16,MATCH(JX$3,Entries!$B$3:$B$16,0),2),      JX33 &lt;&gt;0,""                                                ),"")</f>
        <v/>
      </c>
      <c r="JY34" s="122" t="str" cm="1">
        <f t="array" ref="JY34">IF( ISNUMBER(MATCH(JX$3,Entries!$B$3:$B$16,0)),           _xlfn.IFS(  JX34="","",      SUMPRODUCT((Entries!$A$3:$A$16=JX33)*(Entries!$C$3:$C$16=JY33)*(Entries!$D$3:$D$16=JZ33)) &lt;&gt;0,"",         _xlfn.XLOOKUP(JX$3,Entries!$B$3:$B$16,Entries!$E$3:$E$16,"Enter")="Booked",   INDEX(Entries!$B$3:$E$16,MATCH(JX$3,Entries!$B$3:$B$16,0),3),                                                    _xlfn.XLOOKUP(JX$3,Entries!$B$3:$B$16,Entries!$A$3:$A$16,"Error"),""),"")</f>
        <v/>
      </c>
      <c r="JZ34" s="164" t="str" cm="1">
        <f t="array" ref="JZ34">IF( ISNUMBER(MATCH(JX$3,Entries!$B$3:$B$16,0)),           _xlfn.IFS(  JX34="","",      SUMPRODUCT((Entries!$A$3:$A$16=JY33)*(Entries!$C$3:$C$16=JZ33)*(Entries!$D$3:$D$16=KA33)) &lt;&gt;0,"",         _xlfn.XLOOKUP(JX$3,Entries!$B$3:$B$16,Entries!$E$3:$E$16,"Enter")="Booked",   INDEX(Entries!$B$3:$E$16,MATCH(JX$3,Entries!$B$3:$B$16,0),4),                                                    _xlfn.XLOOKUP(JX$3,Entries!$B$3:$B$16,Entries!$A$3:$A$16,"Error"),""),"")</f>
        <v/>
      </c>
      <c r="KA34" s="169" t="str" cm="1">
        <f t="array" ref="KA34">IF( ISNUMBER(MATCH(KA$3,Entries!$B$3:$B$16,0)),           _xlfn.IFS(  KA33="","",      AND(SUMPRODUCT((Entries!$A$3:$A$16=KA33)*(Entries!$C$3:$C$16=KB33)*(Entries!$D$3:$D$16=KC33)) = 0,        _xlfn.XLOOKUP(KA$3,Entries!$B$3:$B$16,Entries!$E$3:$E$16,"Enter")="Booked"),   INDEX(Entries!$B$3:$E$16,MATCH(KA$3,Entries!$B$3:$B$16,0),2),      KA33 &lt;&gt;0,""                                                ),"")</f>
        <v/>
      </c>
      <c r="KB34" s="122" t="str" cm="1">
        <f t="array" ref="KB34">IF( ISNUMBER(MATCH(KA$3,Entries!$B$3:$B$16,0)),           _xlfn.IFS(  KA34="","",      SUMPRODUCT((Entries!$A$3:$A$16=KA33)*(Entries!$C$3:$C$16=KB33)*(Entries!$D$3:$D$16=KC33)) &lt;&gt;0,"",         _xlfn.XLOOKUP(KA$3,Entries!$B$3:$B$16,Entries!$E$3:$E$16,"Enter")="Booked",   INDEX(Entries!$B$3:$E$16,MATCH(KA$3,Entries!$B$3:$B$16,0),3),                                                    _xlfn.XLOOKUP(KA$3,Entries!$B$3:$B$16,Entries!$A$3:$A$16,"Error"),""),"")</f>
        <v/>
      </c>
      <c r="KC34" s="164" t="str" cm="1">
        <f t="array" ref="KC34">IF( ISNUMBER(MATCH(KA$3,Entries!$B$3:$B$16,0)),           _xlfn.IFS(  KA34="","",      SUMPRODUCT((Entries!$A$3:$A$16=KB33)*(Entries!$C$3:$C$16=KC33)*(Entries!$D$3:$D$16=KD33)) &lt;&gt;0,"",         _xlfn.XLOOKUP(KA$3,Entries!$B$3:$B$16,Entries!$E$3:$E$16,"Enter")="Booked",   INDEX(Entries!$B$3:$E$16,MATCH(KA$3,Entries!$B$3:$B$16,0),4),                                                    _xlfn.XLOOKUP(KA$3,Entries!$B$3:$B$16,Entries!$A$3:$A$16,"Error"),""),"")</f>
        <v/>
      </c>
      <c r="KD34" s="169" t="str" cm="1">
        <f t="array" ref="KD34">IF( ISNUMBER(MATCH(KD$3,Entries!$B$3:$B$16,0)),           _xlfn.IFS(  KD33="","",      AND(SUMPRODUCT((Entries!$A$3:$A$16=KD33)*(Entries!$C$3:$C$16=KE33)*(Entries!$D$3:$D$16=KF33)) = 0,        _xlfn.XLOOKUP(KD$3,Entries!$B$3:$B$16,Entries!$E$3:$E$16,"Enter")="Booked"),   INDEX(Entries!$B$3:$E$16,MATCH(KD$3,Entries!$B$3:$B$16,0),2),      KD33 &lt;&gt;0,""                                                ),"")</f>
        <v/>
      </c>
      <c r="KE34" s="122" t="str" cm="1">
        <f t="array" ref="KE34">IF( ISNUMBER(MATCH(KD$3,Entries!$B$3:$B$16,0)),           _xlfn.IFS(  KD34="","",      SUMPRODUCT((Entries!$A$3:$A$16=KD33)*(Entries!$C$3:$C$16=KE33)*(Entries!$D$3:$D$16=KF33)) &lt;&gt;0,"",         _xlfn.XLOOKUP(KD$3,Entries!$B$3:$B$16,Entries!$E$3:$E$16,"Enter")="Booked",   INDEX(Entries!$B$3:$E$16,MATCH(KD$3,Entries!$B$3:$B$16,0),3),                                                    _xlfn.XLOOKUP(KD$3,Entries!$B$3:$B$16,Entries!$A$3:$A$16,"Error"),""),"")</f>
        <v/>
      </c>
      <c r="KF34" s="164" t="str" cm="1">
        <f t="array" ref="KF34">IF( ISNUMBER(MATCH(KD$3,Entries!$B$3:$B$16,0)),           _xlfn.IFS(  KD34="","",      SUMPRODUCT((Entries!$A$3:$A$16=KE33)*(Entries!$C$3:$C$16=KF33)*(Entries!$D$3:$D$16=KG33)) &lt;&gt;0,"",         _xlfn.XLOOKUP(KD$3,Entries!$B$3:$B$16,Entries!$E$3:$E$16,"Enter")="Booked",   INDEX(Entries!$B$3:$E$16,MATCH(KD$3,Entries!$B$3:$B$16,0),4),                                                    _xlfn.XLOOKUP(KD$3,Entries!$B$3:$B$16,Entries!$A$3:$A$16,"Error"),""),"")</f>
        <v/>
      </c>
    </row>
    <row r="35" spans="1:292">
      <c r="A35" s="157">
        <v>32</v>
      </c>
      <c r="B35" s="169"/>
      <c r="C35" s="122"/>
      <c r="D35" s="164"/>
      <c r="E35" s="169"/>
      <c r="F35" s="122"/>
      <c r="G35" s="164"/>
      <c r="H35" s="169"/>
      <c r="I35" s="122"/>
      <c r="J35" s="164"/>
      <c r="K35" s="169"/>
      <c r="L35" s="122"/>
      <c r="M35" s="164"/>
      <c r="N35" s="169"/>
      <c r="O35" s="122"/>
      <c r="P35" s="164"/>
      <c r="Q35" s="971">
        <v>45856</v>
      </c>
      <c r="R35" s="122">
        <v>200</v>
      </c>
      <c r="S35" s="164">
        <v>-645.5</v>
      </c>
      <c r="T35" s="581"/>
      <c r="U35" s="581"/>
      <c r="V35" s="581"/>
      <c r="W35" s="169"/>
      <c r="X35" s="122"/>
      <c r="Y35" s="164"/>
      <c r="Z35" s="169"/>
      <c r="AA35" s="122"/>
      <c r="AB35" s="164"/>
      <c r="AC35" s="169"/>
      <c r="AD35" s="122"/>
      <c r="AE35" s="164"/>
      <c r="AF35" s="169"/>
      <c r="AG35" s="122"/>
      <c r="AH35" s="164"/>
      <c r="AI35" s="169"/>
      <c r="AJ35" s="122"/>
      <c r="AK35" s="164"/>
      <c r="AL35" s="169"/>
      <c r="AM35" s="122"/>
      <c r="AN35" s="164"/>
      <c r="AO35" s="169"/>
      <c r="AP35" s="122"/>
      <c r="AQ35" s="164"/>
      <c r="AR35" s="169"/>
      <c r="AS35" s="122"/>
      <c r="AT35" s="164"/>
      <c r="AU35" s="169"/>
      <c r="AV35" s="122"/>
      <c r="AW35" s="164"/>
      <c r="AX35" s="169"/>
      <c r="AY35" s="122"/>
      <c r="AZ35" s="164"/>
      <c r="BA35" s="169"/>
      <c r="BB35" s="122"/>
      <c r="BC35" s="164"/>
      <c r="BD35" s="169">
        <v>45936</v>
      </c>
      <c r="BE35" s="122">
        <v>3200</v>
      </c>
      <c r="BF35" s="164">
        <v>16.12</v>
      </c>
      <c r="BG35" s="169"/>
      <c r="BH35" s="122"/>
      <c r="BI35" s="164"/>
      <c r="BJ35" s="169"/>
      <c r="BK35" s="122"/>
      <c r="BL35" s="164"/>
      <c r="BM35" s="169"/>
      <c r="BN35" s="122"/>
      <c r="BO35" s="164"/>
      <c r="BP35" s="169"/>
      <c r="BQ35" s="122"/>
      <c r="BR35" s="164"/>
      <c r="BS35" s="169">
        <v>45826</v>
      </c>
      <c r="BT35" s="122">
        <v>1710</v>
      </c>
      <c r="BU35" s="164">
        <v>320.00099999999998</v>
      </c>
      <c r="BV35" s="169"/>
      <c r="BW35" s="122"/>
      <c r="BX35" s="164"/>
      <c r="BY35" s="169"/>
      <c r="BZ35" s="122"/>
      <c r="CA35" s="164"/>
      <c r="CB35" s="169"/>
      <c r="CC35" s="122"/>
      <c r="CD35" s="164"/>
      <c r="CE35" s="169"/>
      <c r="CF35" s="122"/>
      <c r="CG35" s="164"/>
      <c r="CH35" s="169"/>
      <c r="CI35" s="122"/>
      <c r="CJ35" s="164"/>
      <c r="CK35" s="169"/>
      <c r="CL35" s="122"/>
      <c r="CM35" s="164"/>
      <c r="CN35" s="169">
        <v>45950</v>
      </c>
      <c r="CO35" s="122">
        <v>1000</v>
      </c>
      <c r="CP35" s="164">
        <v>94.22</v>
      </c>
      <c r="CQ35" s="169"/>
      <c r="CR35" s="122"/>
      <c r="CS35" s="164"/>
      <c r="CT35" s="169"/>
      <c r="CU35" s="122"/>
      <c r="CV35" s="164"/>
      <c r="CW35" s="169"/>
      <c r="CX35" s="122"/>
      <c r="CY35" s="164"/>
      <c r="CZ35" s="169"/>
      <c r="DA35" s="122"/>
      <c r="DB35" s="164"/>
      <c r="DC35" s="169"/>
      <c r="DD35" s="122"/>
      <c r="DE35" s="164"/>
      <c r="DF35" s="169"/>
      <c r="DG35" s="122"/>
      <c r="DH35" s="164"/>
      <c r="DI35" s="169"/>
      <c r="DJ35" s="122"/>
      <c r="DK35" s="164"/>
      <c r="DL35" s="169"/>
      <c r="DM35" s="122"/>
      <c r="DN35" s="164"/>
      <c r="DO35" s="169"/>
      <c r="DP35" s="122"/>
      <c r="DQ35" s="164"/>
      <c r="DR35" s="169"/>
      <c r="DS35" s="122"/>
      <c r="DT35" s="164"/>
      <c r="DU35" s="169"/>
      <c r="DV35" s="122"/>
      <c r="DW35" s="164"/>
      <c r="DX35" s="169"/>
      <c r="DY35" s="122"/>
      <c r="DZ35" s="164"/>
      <c r="EA35" s="169"/>
      <c r="EB35" s="122"/>
      <c r="EC35" s="164"/>
      <c r="ED35" s="169"/>
      <c r="EE35" s="122"/>
      <c r="EF35" s="164"/>
      <c r="EG35" s="169"/>
      <c r="EH35" s="122"/>
      <c r="EI35" s="164"/>
      <c r="EJ35" s="169"/>
      <c r="EK35" s="122"/>
      <c r="EL35" s="123"/>
      <c r="EM35" s="169"/>
      <c r="EN35" s="122"/>
      <c r="EO35" s="164"/>
      <c r="EP35" s="169">
        <v>45862</v>
      </c>
      <c r="EQ35" s="122">
        <v>6000</v>
      </c>
      <c r="ER35" s="164">
        <v>-61.05</v>
      </c>
      <c r="ES35" s="169"/>
      <c r="ET35" s="122"/>
      <c r="EU35" s="123"/>
      <c r="EV35" s="169"/>
      <c r="EW35" s="122"/>
      <c r="EX35" s="123"/>
      <c r="EY35" s="169"/>
      <c r="EZ35" s="122"/>
      <c r="FA35" s="164"/>
      <c r="FB35" s="169"/>
      <c r="FC35" s="122"/>
      <c r="FD35" s="164"/>
      <c r="FE35" s="169"/>
      <c r="FF35" s="122"/>
      <c r="FG35" s="164"/>
      <c r="FH35" s="169"/>
      <c r="FI35" s="122"/>
      <c r="FJ35" s="164"/>
      <c r="FK35" s="169"/>
      <c r="FL35" s="122"/>
      <c r="FM35" s="164"/>
      <c r="FN35" s="169"/>
      <c r="FO35" s="122"/>
      <c r="FP35" s="164"/>
      <c r="FQ35" s="169"/>
      <c r="FR35" s="122"/>
      <c r="FS35" s="164"/>
      <c r="FT35" s="169"/>
      <c r="FU35" s="122"/>
      <c r="FV35" s="164"/>
      <c r="FW35" s="289">
        <v>45884</v>
      </c>
      <c r="FX35" s="122">
        <v>1990</v>
      </c>
      <c r="FY35" s="164">
        <v>-59.09</v>
      </c>
      <c r="FZ35" s="169"/>
      <c r="GA35" s="122"/>
      <c r="GB35" s="164"/>
      <c r="GC35" s="169"/>
      <c r="GD35" s="122"/>
      <c r="GE35" s="164"/>
      <c r="GF35" s="169"/>
      <c r="GG35" s="122"/>
      <c r="GH35" s="164"/>
      <c r="GI35" s="169"/>
      <c r="GJ35" s="122"/>
      <c r="GK35" s="164"/>
      <c r="GL35" s="169"/>
      <c r="GM35" s="122"/>
      <c r="GN35" s="164"/>
      <c r="GO35" s="169"/>
      <c r="GP35" s="122"/>
      <c r="GQ35" s="164"/>
      <c r="GR35" s="169"/>
      <c r="GS35" s="122"/>
      <c r="GT35" s="164"/>
      <c r="GU35" s="169"/>
      <c r="GV35" s="122"/>
      <c r="GW35" s="164"/>
      <c r="GX35" s="169"/>
      <c r="GY35" s="122"/>
      <c r="GZ35" s="164"/>
      <c r="HA35" s="169"/>
      <c r="HB35" s="122"/>
      <c r="HC35" s="164"/>
      <c r="HD35" s="169"/>
      <c r="HE35" s="122"/>
      <c r="HF35" s="164"/>
      <c r="HG35" s="169"/>
      <c r="HH35" s="122"/>
      <c r="HI35" s="164"/>
      <c r="HJ35" s="169"/>
      <c r="HK35" s="122"/>
      <c r="HL35" s="164"/>
      <c r="HM35" s="169"/>
      <c r="HN35" s="122"/>
      <c r="HO35" s="164"/>
      <c r="HP35" s="169"/>
      <c r="HQ35" s="122"/>
      <c r="HR35" s="164"/>
      <c r="HS35" s="169"/>
      <c r="HT35" s="122"/>
      <c r="HU35" s="164"/>
      <c r="HV35" s="169"/>
      <c r="HW35" s="122"/>
      <c r="HX35" s="164"/>
      <c r="HY35" s="169"/>
      <c r="HZ35" s="122"/>
      <c r="IA35" s="164"/>
      <c r="IB35" s="169"/>
      <c r="IC35" s="122"/>
      <c r="ID35" s="164"/>
      <c r="IE35" s="169"/>
      <c r="IF35" s="122"/>
      <c r="IG35" s="164"/>
      <c r="IH35" s="169"/>
      <c r="II35" s="122"/>
      <c r="IJ35" s="164"/>
      <c r="IK35" s="169"/>
      <c r="IL35" s="122"/>
      <c r="IM35" s="164"/>
      <c r="IN35" s="169"/>
      <c r="IO35" s="122"/>
      <c r="IP35" s="164"/>
      <c r="IQ35" s="169"/>
      <c r="IR35" s="122"/>
      <c r="IS35" s="164"/>
      <c r="IT35" s="169"/>
      <c r="IU35" s="122"/>
      <c r="IV35" s="164"/>
      <c r="IW35" s="169"/>
      <c r="IX35" s="122"/>
      <c r="IY35" s="164"/>
      <c r="IZ35" s="169"/>
      <c r="JA35" s="122"/>
      <c r="JB35" s="164"/>
      <c r="JC35" s="169"/>
      <c r="JD35" s="122"/>
      <c r="JE35" s="164"/>
      <c r="JF35" s="169"/>
      <c r="JG35" s="122"/>
      <c r="JH35" s="164"/>
      <c r="JI35" s="169"/>
      <c r="JJ35" s="122"/>
      <c r="JK35" s="164"/>
      <c r="JL35" s="169"/>
      <c r="JM35" s="122"/>
      <c r="JN35" s="164"/>
      <c r="JO35" s="169"/>
      <c r="JP35" s="122"/>
      <c r="JQ35" s="164"/>
      <c r="JR35" s="169"/>
      <c r="JS35" s="122"/>
      <c r="JT35" s="164"/>
      <c r="JU35" s="169"/>
      <c r="JV35" s="122"/>
      <c r="JW35" s="164"/>
      <c r="JX35" s="169"/>
      <c r="JY35" s="122"/>
      <c r="JZ35" s="164"/>
      <c r="KA35" s="169"/>
      <c r="KB35" s="122"/>
      <c r="KC35" s="164"/>
      <c r="KD35" s="169"/>
      <c r="KE35" s="122"/>
      <c r="KF35" s="164"/>
    </row>
    <row r="36" spans="1:292">
      <c r="A36" s="156">
        <v>33</v>
      </c>
      <c r="B36" s="169"/>
      <c r="C36" s="122"/>
      <c r="D36" s="164"/>
      <c r="E36" s="169"/>
      <c r="F36" s="122"/>
      <c r="G36" s="164"/>
      <c r="H36" s="169"/>
      <c r="I36" s="122"/>
      <c r="J36" s="164"/>
      <c r="K36" s="169"/>
      <c r="L36" s="122"/>
      <c r="M36" s="164"/>
      <c r="N36" s="169"/>
      <c r="O36" s="122"/>
      <c r="P36" s="164"/>
      <c r="Q36" s="971">
        <v>45860</v>
      </c>
      <c r="R36" s="122">
        <v>300</v>
      </c>
      <c r="S36" s="164">
        <v>-602.54999999999995</v>
      </c>
      <c r="T36" s="581"/>
      <c r="U36" s="581"/>
      <c r="V36" s="581"/>
      <c r="W36" s="169"/>
      <c r="X36" s="122"/>
      <c r="Y36" s="164"/>
      <c r="Z36" s="169"/>
      <c r="AA36" s="122"/>
      <c r="AB36" s="164"/>
      <c r="AC36" s="169"/>
      <c r="AD36" s="122"/>
      <c r="AE36" s="164"/>
      <c r="AF36" s="169"/>
      <c r="AG36" s="122"/>
      <c r="AH36" s="164"/>
      <c r="AI36" s="169"/>
      <c r="AJ36" s="122"/>
      <c r="AK36" s="164"/>
      <c r="AL36" s="169"/>
      <c r="AM36" s="122"/>
      <c r="AN36" s="164"/>
      <c r="AO36" s="169"/>
      <c r="AP36" s="122"/>
      <c r="AQ36" s="164"/>
      <c r="AR36" s="169"/>
      <c r="AS36" s="122"/>
      <c r="AT36" s="164"/>
      <c r="AU36" s="169"/>
      <c r="AV36" s="122"/>
      <c r="AW36" s="164"/>
      <c r="AX36" s="169"/>
      <c r="AY36" s="122"/>
      <c r="AZ36" s="164"/>
      <c r="BA36" s="169"/>
      <c r="BB36" s="122"/>
      <c r="BC36" s="164"/>
      <c r="BD36" s="169"/>
      <c r="BE36" s="122"/>
      <c r="BF36" s="164"/>
      <c r="BG36" s="169"/>
      <c r="BH36" s="122"/>
      <c r="BI36" s="164"/>
      <c r="BJ36" s="169"/>
      <c r="BK36" s="122"/>
      <c r="BL36" s="164"/>
      <c r="BM36" s="169"/>
      <c r="BN36" s="122"/>
      <c r="BO36" s="164"/>
      <c r="BP36" s="169"/>
      <c r="BQ36" s="122"/>
      <c r="BR36" s="164"/>
      <c r="BS36" s="169">
        <v>45833</v>
      </c>
      <c r="BT36" s="122">
        <v>20000</v>
      </c>
      <c r="BU36" s="164">
        <v>331.3</v>
      </c>
      <c r="BV36" s="169"/>
      <c r="BW36" s="122"/>
      <c r="BX36" s="164"/>
      <c r="BY36" s="169"/>
      <c r="BZ36" s="122"/>
      <c r="CA36" s="164"/>
      <c r="CB36" s="169"/>
      <c r="CC36" s="122"/>
      <c r="CD36" s="164"/>
      <c r="CE36" s="169"/>
      <c r="CF36" s="122"/>
      <c r="CG36" s="164"/>
      <c r="CH36" s="169"/>
      <c r="CI36" s="122"/>
      <c r="CJ36" s="164"/>
      <c r="CK36" s="169"/>
      <c r="CL36" s="122"/>
      <c r="CM36" s="164"/>
      <c r="CN36" s="169">
        <v>45951</v>
      </c>
      <c r="CO36" s="122">
        <v>2000</v>
      </c>
      <c r="CP36" s="164">
        <v>-86.41</v>
      </c>
      <c r="CQ36" s="169"/>
      <c r="CR36" s="122"/>
      <c r="CS36" s="164"/>
      <c r="CT36" s="169"/>
      <c r="CU36" s="122"/>
      <c r="CV36" s="164"/>
      <c r="CW36" s="169"/>
      <c r="CX36" s="122"/>
      <c r="CY36" s="164"/>
      <c r="CZ36" s="169"/>
      <c r="DA36" s="122"/>
      <c r="DB36" s="164"/>
      <c r="DC36" s="169"/>
      <c r="DD36" s="122"/>
      <c r="DE36" s="164"/>
      <c r="DF36" s="169"/>
      <c r="DG36" s="122"/>
      <c r="DH36" s="164"/>
      <c r="DI36" s="169"/>
      <c r="DJ36" s="122"/>
      <c r="DK36" s="164"/>
      <c r="DL36" s="169"/>
      <c r="DM36" s="122"/>
      <c r="DN36" s="164"/>
      <c r="DO36" s="169"/>
      <c r="DP36" s="122"/>
      <c r="DQ36" s="164"/>
      <c r="DR36" s="169"/>
      <c r="DS36" s="122"/>
      <c r="DT36" s="164"/>
      <c r="DU36" s="169"/>
      <c r="DV36" s="122"/>
      <c r="DW36" s="164"/>
      <c r="DX36" s="169"/>
      <c r="DY36" s="122"/>
      <c r="DZ36" s="164"/>
      <c r="EA36" s="169"/>
      <c r="EB36" s="122"/>
      <c r="EC36" s="164"/>
      <c r="ED36" s="169"/>
      <c r="EE36" s="122"/>
      <c r="EF36" s="164"/>
      <c r="EG36" s="169"/>
      <c r="EH36" s="122"/>
      <c r="EI36" s="164"/>
      <c r="EJ36" s="169"/>
      <c r="EK36" s="122"/>
      <c r="EL36" s="123"/>
      <c r="EM36" s="169"/>
      <c r="EN36" s="122"/>
      <c r="EO36" s="164"/>
      <c r="EP36" s="169">
        <v>45868</v>
      </c>
      <c r="EQ36" s="122">
        <v>6000</v>
      </c>
      <c r="ER36" s="164">
        <v>-59.5</v>
      </c>
      <c r="ES36" s="169"/>
      <c r="ET36" s="122"/>
      <c r="EU36" s="123"/>
      <c r="EV36" s="169"/>
      <c r="EW36" s="122"/>
      <c r="EX36" s="123"/>
      <c r="EY36" s="169"/>
      <c r="EZ36" s="122"/>
      <c r="FA36" s="164"/>
      <c r="FB36" s="169"/>
      <c r="FC36" s="122"/>
      <c r="FD36" s="164"/>
      <c r="FE36" s="169"/>
      <c r="FF36" s="122"/>
      <c r="FG36" s="164"/>
      <c r="FH36" s="169"/>
      <c r="FI36" s="122"/>
      <c r="FJ36" s="164"/>
      <c r="FK36" s="169"/>
      <c r="FL36" s="122"/>
      <c r="FM36" s="164"/>
      <c r="FN36" s="169"/>
      <c r="FO36" s="122"/>
      <c r="FP36" s="164"/>
      <c r="FQ36" s="169"/>
      <c r="FR36" s="122"/>
      <c r="FS36" s="164"/>
      <c r="FT36" s="169"/>
      <c r="FU36" s="122"/>
      <c r="FV36" s="164"/>
      <c r="FW36" s="289">
        <v>42285</v>
      </c>
      <c r="FX36" s="122">
        <v>2000</v>
      </c>
      <c r="FY36" s="164">
        <v>-54.13</v>
      </c>
      <c r="FZ36" s="169"/>
      <c r="GA36" s="122"/>
      <c r="GB36" s="164"/>
      <c r="GC36" s="169"/>
      <c r="GD36" s="122"/>
      <c r="GE36" s="164"/>
      <c r="GF36" s="169"/>
      <c r="GG36" s="122"/>
      <c r="GH36" s="164"/>
      <c r="GI36" s="169"/>
      <c r="GJ36" s="122"/>
      <c r="GK36" s="164"/>
      <c r="GL36" s="169"/>
      <c r="GM36" s="122"/>
      <c r="GN36" s="164"/>
      <c r="GO36" s="169"/>
      <c r="GP36" s="122"/>
      <c r="GQ36" s="164"/>
      <c r="GR36" s="169"/>
      <c r="GS36" s="122"/>
      <c r="GT36" s="164"/>
      <c r="GU36" s="169"/>
      <c r="GV36" s="122"/>
      <c r="GW36" s="164"/>
      <c r="GX36" s="169"/>
      <c r="GY36" s="122"/>
      <c r="GZ36" s="164"/>
      <c r="HA36" s="169"/>
      <c r="HB36" s="122"/>
      <c r="HC36" s="164"/>
      <c r="HD36" s="169"/>
      <c r="HE36" s="122"/>
      <c r="HF36" s="164"/>
      <c r="HG36" s="169"/>
      <c r="HH36" s="122"/>
      <c r="HI36" s="164"/>
      <c r="HJ36" s="169"/>
      <c r="HK36" s="122"/>
      <c r="HL36" s="164"/>
      <c r="HM36" s="169"/>
      <c r="HN36" s="122"/>
      <c r="HO36" s="164"/>
      <c r="HP36" s="169"/>
      <c r="HQ36" s="122"/>
      <c r="HR36" s="164"/>
      <c r="HS36" s="169"/>
      <c r="HT36" s="122"/>
      <c r="HU36" s="164"/>
      <c r="HV36" s="169"/>
      <c r="HW36" s="122"/>
      <c r="HX36" s="164"/>
      <c r="HY36" s="169"/>
      <c r="HZ36" s="122"/>
      <c r="IA36" s="164"/>
      <c r="IB36" s="169"/>
      <c r="IC36" s="122"/>
      <c r="ID36" s="164"/>
      <c r="IE36" s="169"/>
      <c r="IF36" s="122"/>
      <c r="IG36" s="164"/>
      <c r="IH36" s="169"/>
      <c r="II36" s="122"/>
      <c r="IJ36" s="164"/>
      <c r="IK36" s="169"/>
      <c r="IL36" s="122"/>
      <c r="IM36" s="164"/>
      <c r="IN36" s="169"/>
      <c r="IO36" s="122"/>
      <c r="IP36" s="164"/>
      <c r="IQ36" s="169"/>
      <c r="IR36" s="122"/>
      <c r="IS36" s="164"/>
      <c r="IT36" s="169"/>
      <c r="IU36" s="122"/>
      <c r="IV36" s="164"/>
      <c r="IW36" s="169"/>
      <c r="IX36" s="122"/>
      <c r="IY36" s="164"/>
      <c r="IZ36" s="169"/>
      <c r="JA36" s="122"/>
      <c r="JB36" s="164"/>
      <c r="JC36" s="169"/>
      <c r="JD36" s="122"/>
      <c r="JE36" s="164"/>
      <c r="JF36" s="169"/>
      <c r="JG36" s="122"/>
      <c r="JH36" s="164"/>
      <c r="JI36" s="169"/>
      <c r="JJ36" s="122"/>
      <c r="JK36" s="164"/>
      <c r="JL36" s="169"/>
      <c r="JM36" s="122"/>
      <c r="JN36" s="164"/>
      <c r="JO36" s="169"/>
      <c r="JP36" s="122"/>
      <c r="JQ36" s="164"/>
      <c r="JR36" s="169"/>
      <c r="JS36" s="122"/>
      <c r="JT36" s="164"/>
      <c r="JU36" s="169"/>
      <c r="JV36" s="122"/>
      <c r="JW36" s="164"/>
      <c r="JX36" s="169"/>
      <c r="JY36" s="122"/>
      <c r="JZ36" s="164"/>
      <c r="KA36" s="169"/>
      <c r="KB36" s="122"/>
      <c r="KC36" s="164"/>
      <c r="KD36" s="169"/>
      <c r="KE36" s="122"/>
      <c r="KF36" s="164"/>
    </row>
    <row r="37" spans="1:292">
      <c r="A37" s="157">
        <v>34</v>
      </c>
      <c r="B37" s="169"/>
      <c r="C37" s="122"/>
      <c r="D37" s="164"/>
      <c r="E37" s="169"/>
      <c r="F37" s="122"/>
      <c r="G37" s="164"/>
      <c r="H37" s="169"/>
      <c r="I37" s="122"/>
      <c r="J37" s="164"/>
      <c r="K37" s="169"/>
      <c r="L37" s="122"/>
      <c r="M37" s="164"/>
      <c r="N37" s="169"/>
      <c r="O37" s="122"/>
      <c r="P37" s="164"/>
      <c r="Q37" s="971">
        <v>45874</v>
      </c>
      <c r="R37" s="122">
        <v>500</v>
      </c>
      <c r="S37" s="164">
        <v>-599.29999999999995</v>
      </c>
      <c r="T37" s="581"/>
      <c r="U37" s="581"/>
      <c r="V37" s="581"/>
      <c r="W37" s="169"/>
      <c r="X37" s="122"/>
      <c r="Y37" s="164"/>
      <c r="Z37" s="169"/>
      <c r="AA37" s="122"/>
      <c r="AB37" s="164"/>
      <c r="AC37" s="169"/>
      <c r="AD37" s="122"/>
      <c r="AE37" s="164"/>
      <c r="AF37" s="169"/>
      <c r="AG37" s="122"/>
      <c r="AH37" s="164"/>
      <c r="AI37" s="169"/>
      <c r="AJ37" s="122"/>
      <c r="AK37" s="164"/>
      <c r="AL37" s="169"/>
      <c r="AM37" s="122"/>
      <c r="AN37" s="164"/>
      <c r="AO37" s="169"/>
      <c r="AP37" s="122"/>
      <c r="AQ37" s="164"/>
      <c r="AR37" s="169"/>
      <c r="AS37" s="122"/>
      <c r="AT37" s="164"/>
      <c r="AU37" s="169"/>
      <c r="AV37" s="122"/>
      <c r="AW37" s="164"/>
      <c r="AX37" s="169"/>
      <c r="AY37" s="122"/>
      <c r="AZ37" s="164"/>
      <c r="BA37" s="169"/>
      <c r="BB37" s="122"/>
      <c r="BC37" s="164"/>
      <c r="BD37" s="169"/>
      <c r="BE37" s="122"/>
      <c r="BF37" s="164"/>
      <c r="BG37" s="169"/>
      <c r="BH37" s="122"/>
      <c r="BI37" s="164"/>
      <c r="BJ37" s="169"/>
      <c r="BK37" s="122"/>
      <c r="BL37" s="164"/>
      <c r="BM37" s="169"/>
      <c r="BN37" s="122"/>
      <c r="BO37" s="164"/>
      <c r="BP37" s="169"/>
      <c r="BQ37" s="122"/>
      <c r="BR37" s="164"/>
      <c r="BS37" s="169">
        <v>45841</v>
      </c>
      <c r="BT37" s="122">
        <v>8290</v>
      </c>
      <c r="BU37" s="164">
        <v>346.01</v>
      </c>
      <c r="BV37" s="169"/>
      <c r="BW37" s="122"/>
      <c r="BX37" s="164"/>
      <c r="BY37" s="169"/>
      <c r="BZ37" s="122"/>
      <c r="CA37" s="164"/>
      <c r="CB37" s="169"/>
      <c r="CC37" s="122"/>
      <c r="CD37" s="164"/>
      <c r="CE37" s="169"/>
      <c r="CF37" s="122"/>
      <c r="CG37" s="164"/>
      <c r="CH37" s="169"/>
      <c r="CI37" s="122"/>
      <c r="CJ37" s="164"/>
      <c r="CK37" s="169"/>
      <c r="CL37" s="122"/>
      <c r="CM37" s="164"/>
      <c r="CN37" s="169">
        <v>45954</v>
      </c>
      <c r="CO37" s="122">
        <v>2000</v>
      </c>
      <c r="CP37" s="164">
        <v>-83.501670000000004</v>
      </c>
      <c r="CQ37" s="169"/>
      <c r="CR37" s="122"/>
      <c r="CS37" s="164"/>
      <c r="CT37" s="169"/>
      <c r="CU37" s="122"/>
      <c r="CV37" s="164"/>
      <c r="CW37" s="169"/>
      <c r="CX37" s="122"/>
      <c r="CY37" s="164"/>
      <c r="CZ37" s="169"/>
      <c r="DA37" s="122"/>
      <c r="DB37" s="164"/>
      <c r="DC37" s="169"/>
      <c r="DD37" s="122"/>
      <c r="DE37" s="164"/>
      <c r="DF37" s="169"/>
      <c r="DG37" s="122"/>
      <c r="DH37" s="164"/>
      <c r="DI37" s="169"/>
      <c r="DJ37" s="122"/>
      <c r="DK37" s="164"/>
      <c r="DL37" s="169"/>
      <c r="DM37" s="122"/>
      <c r="DN37" s="164"/>
      <c r="DO37" s="169"/>
      <c r="DP37" s="122"/>
      <c r="DQ37" s="164"/>
      <c r="DR37" s="169"/>
      <c r="DS37" s="122"/>
      <c r="DT37" s="164"/>
      <c r="DU37" s="169"/>
      <c r="DV37" s="122"/>
      <c r="DW37" s="164"/>
      <c r="DX37" s="169"/>
      <c r="DY37" s="122"/>
      <c r="DZ37" s="164"/>
      <c r="EA37" s="169"/>
      <c r="EB37" s="122"/>
      <c r="EC37" s="164"/>
      <c r="ED37" s="169"/>
      <c r="EE37" s="122"/>
      <c r="EF37" s="164"/>
      <c r="EG37" s="169"/>
      <c r="EH37" s="122"/>
      <c r="EI37" s="164"/>
      <c r="EJ37" s="169"/>
      <c r="EK37" s="122"/>
      <c r="EL37" s="123"/>
      <c r="EM37" s="169"/>
      <c r="EN37" s="122"/>
      <c r="EO37" s="164"/>
      <c r="EP37" s="169">
        <v>45874</v>
      </c>
      <c r="EQ37" s="122">
        <v>2000</v>
      </c>
      <c r="ER37" s="164">
        <v>-59.1</v>
      </c>
      <c r="ES37" s="169"/>
      <c r="ET37" s="122"/>
      <c r="EU37" s="123"/>
      <c r="EV37" s="169"/>
      <c r="EW37" s="122"/>
      <c r="EX37" s="123"/>
      <c r="EY37" s="169"/>
      <c r="EZ37" s="122"/>
      <c r="FA37" s="164"/>
      <c r="FB37" s="169"/>
      <c r="FC37" s="122"/>
      <c r="FD37" s="164"/>
      <c r="FE37" s="169"/>
      <c r="FF37" s="122"/>
      <c r="FG37" s="164"/>
      <c r="FH37" s="169"/>
      <c r="FI37" s="122"/>
      <c r="FJ37" s="164"/>
      <c r="FK37" s="169"/>
      <c r="FL37" s="122"/>
      <c r="FM37" s="164"/>
      <c r="FN37" s="169"/>
      <c r="FO37" s="122"/>
      <c r="FP37" s="164"/>
      <c r="FQ37" s="169"/>
      <c r="FR37" s="122"/>
      <c r="FS37" s="164"/>
      <c r="FT37" s="169"/>
      <c r="FU37" s="122"/>
      <c r="FV37" s="164"/>
      <c r="FW37" s="570">
        <v>45939</v>
      </c>
      <c r="FX37" s="122">
        <v>2000</v>
      </c>
      <c r="FY37" s="164">
        <v>-54.68</v>
      </c>
      <c r="FZ37" s="169"/>
      <c r="GA37" s="122"/>
      <c r="GB37" s="164"/>
      <c r="GC37" s="169"/>
      <c r="GD37" s="122"/>
      <c r="GE37" s="164"/>
      <c r="GF37" s="169"/>
      <c r="GG37" s="122"/>
      <c r="GH37" s="164"/>
      <c r="GI37" s="169"/>
      <c r="GJ37" s="122"/>
      <c r="GK37" s="164"/>
      <c r="GL37" s="169"/>
      <c r="GM37" s="122"/>
      <c r="GN37" s="164"/>
      <c r="GO37" s="169"/>
      <c r="GP37" s="122"/>
      <c r="GQ37" s="164"/>
      <c r="GR37" s="169"/>
      <c r="GS37" s="122"/>
      <c r="GT37" s="164"/>
      <c r="GU37" s="169"/>
      <c r="GV37" s="122"/>
      <c r="GW37" s="164"/>
      <c r="GX37" s="169"/>
      <c r="GY37" s="122"/>
      <c r="GZ37" s="164"/>
      <c r="HA37" s="169"/>
      <c r="HB37" s="122"/>
      <c r="HC37" s="164"/>
      <c r="HD37" s="169"/>
      <c r="HE37" s="122"/>
      <c r="HF37" s="164"/>
      <c r="HG37" s="169"/>
      <c r="HH37" s="122"/>
      <c r="HI37" s="164"/>
      <c r="HJ37" s="169"/>
      <c r="HK37" s="122"/>
      <c r="HL37" s="164"/>
      <c r="HM37" s="169"/>
      <c r="HN37" s="122"/>
      <c r="HO37" s="164"/>
      <c r="HP37" s="169"/>
      <c r="HQ37" s="122"/>
      <c r="HR37" s="164"/>
      <c r="HS37" s="169"/>
      <c r="HT37" s="122"/>
      <c r="HU37" s="164"/>
      <c r="HV37" s="169"/>
      <c r="HW37" s="122"/>
      <c r="HX37" s="164"/>
      <c r="HY37" s="169"/>
      <c r="HZ37" s="122"/>
      <c r="IA37" s="164"/>
      <c r="IB37" s="169"/>
      <c r="IC37" s="122"/>
      <c r="ID37" s="164"/>
      <c r="IE37" s="169"/>
      <c r="IF37" s="122"/>
      <c r="IG37" s="164"/>
      <c r="IH37" s="169"/>
      <c r="II37" s="122"/>
      <c r="IJ37" s="164"/>
      <c r="IK37" s="169"/>
      <c r="IL37" s="122"/>
      <c r="IM37" s="164"/>
      <c r="IN37" s="169"/>
      <c r="IO37" s="122"/>
      <c r="IP37" s="164"/>
      <c r="IQ37" s="169"/>
      <c r="IR37" s="122"/>
      <c r="IS37" s="164"/>
      <c r="IT37" s="169"/>
      <c r="IU37" s="122"/>
      <c r="IV37" s="164"/>
      <c r="IW37" s="169"/>
      <c r="IX37" s="122"/>
      <c r="IY37" s="164"/>
      <c r="IZ37" s="169"/>
      <c r="JA37" s="122"/>
      <c r="JB37" s="164"/>
      <c r="JC37" s="169"/>
      <c r="JD37" s="122"/>
      <c r="JE37" s="164"/>
      <c r="JF37" s="169"/>
      <c r="JG37" s="122"/>
      <c r="JH37" s="164"/>
      <c r="JI37" s="169"/>
      <c r="JJ37" s="122"/>
      <c r="JK37" s="164"/>
      <c r="JL37" s="169"/>
      <c r="JM37" s="122"/>
      <c r="JN37" s="164"/>
      <c r="JO37" s="169"/>
      <c r="JP37" s="122"/>
      <c r="JQ37" s="164"/>
      <c r="JR37" s="169"/>
      <c r="JS37" s="122"/>
      <c r="JT37" s="164"/>
      <c r="JU37" s="169"/>
      <c r="JV37" s="122"/>
      <c r="JW37" s="164"/>
      <c r="JX37" s="169"/>
      <c r="JY37" s="122"/>
      <c r="JZ37" s="164"/>
      <c r="KA37" s="169"/>
      <c r="KB37" s="122"/>
      <c r="KC37" s="164"/>
      <c r="KD37" s="169"/>
      <c r="KE37" s="122"/>
      <c r="KF37" s="164"/>
    </row>
    <row r="38" spans="1:292">
      <c r="A38" s="156">
        <v>35</v>
      </c>
      <c r="B38" s="169"/>
      <c r="C38" s="122"/>
      <c r="D38" s="164"/>
      <c r="E38" s="169"/>
      <c r="F38" s="122"/>
      <c r="G38" s="164"/>
      <c r="H38" s="169"/>
      <c r="I38" s="122"/>
      <c r="J38" s="164"/>
      <c r="K38" s="169"/>
      <c r="L38" s="122"/>
      <c r="M38" s="164"/>
      <c r="N38" s="169"/>
      <c r="O38" s="122"/>
      <c r="P38" s="164"/>
      <c r="Q38" s="971">
        <v>45888</v>
      </c>
      <c r="R38" s="122">
        <v>500</v>
      </c>
      <c r="S38" s="164">
        <v>636.70000000000005</v>
      </c>
      <c r="T38" s="581"/>
      <c r="U38" s="581"/>
      <c r="V38" s="581"/>
      <c r="W38" s="169"/>
      <c r="X38" s="122"/>
      <c r="Y38" s="164"/>
      <c r="Z38" s="169"/>
      <c r="AA38" s="122"/>
      <c r="AB38" s="164"/>
      <c r="AC38" s="169"/>
      <c r="AD38" s="122"/>
      <c r="AE38" s="164"/>
      <c r="AF38" s="169"/>
      <c r="AG38" s="122"/>
      <c r="AH38" s="164"/>
      <c r="AI38" s="169"/>
      <c r="AJ38" s="122"/>
      <c r="AK38" s="164"/>
      <c r="AL38" s="169"/>
      <c r="AM38" s="122"/>
      <c r="AN38" s="164"/>
      <c r="AO38" s="169"/>
      <c r="AP38" s="122"/>
      <c r="AQ38" s="164"/>
      <c r="AR38" s="169"/>
      <c r="AS38" s="122"/>
      <c r="AT38" s="164"/>
      <c r="AU38" s="169"/>
      <c r="AV38" s="122"/>
      <c r="AW38" s="164"/>
      <c r="AX38" s="169"/>
      <c r="AY38" s="122"/>
      <c r="AZ38" s="164"/>
      <c r="BA38" s="169"/>
      <c r="BB38" s="122"/>
      <c r="BC38" s="164"/>
      <c r="BD38" s="169"/>
      <c r="BE38" s="122"/>
      <c r="BF38" s="164"/>
      <c r="BG38" s="169"/>
      <c r="BH38" s="122"/>
      <c r="BI38" s="164"/>
      <c r="BJ38" s="169"/>
      <c r="BK38" s="122"/>
      <c r="BL38" s="164"/>
      <c r="BM38" s="169"/>
      <c r="BN38" s="122"/>
      <c r="BO38" s="164"/>
      <c r="BP38" s="169"/>
      <c r="BQ38" s="122"/>
      <c r="BR38" s="164"/>
      <c r="BS38" s="169">
        <v>45842</v>
      </c>
      <c r="BT38" s="122">
        <v>20000</v>
      </c>
      <c r="BU38" s="164">
        <v>345.8</v>
      </c>
      <c r="BV38" s="169"/>
      <c r="BW38" s="122"/>
      <c r="BX38" s="164"/>
      <c r="BY38" s="169"/>
      <c r="BZ38" s="122"/>
      <c r="CA38" s="164"/>
      <c r="CB38" s="169"/>
      <c r="CC38" s="122"/>
      <c r="CD38" s="164"/>
      <c r="CE38" s="169"/>
      <c r="CF38" s="122"/>
      <c r="CG38" s="164"/>
      <c r="CH38" s="169"/>
      <c r="CI38" s="122"/>
      <c r="CJ38" s="164"/>
      <c r="CK38" s="169"/>
      <c r="CL38" s="122"/>
      <c r="CM38" s="164"/>
      <c r="CN38" s="169"/>
      <c r="CO38" s="122"/>
      <c r="CP38" s="164"/>
      <c r="CQ38" s="169"/>
      <c r="CR38" s="122"/>
      <c r="CS38" s="164"/>
      <c r="CT38" s="169"/>
      <c r="CU38" s="122"/>
      <c r="CV38" s="164"/>
      <c r="CW38" s="169"/>
      <c r="CX38" s="122"/>
      <c r="CY38" s="164"/>
      <c r="CZ38" s="169"/>
      <c r="DA38" s="122"/>
      <c r="DB38" s="164"/>
      <c r="DC38" s="169"/>
      <c r="DD38" s="122"/>
      <c r="DE38" s="164"/>
      <c r="DF38" s="169"/>
      <c r="DG38" s="122"/>
      <c r="DH38" s="164"/>
      <c r="DI38" s="169"/>
      <c r="DJ38" s="122"/>
      <c r="DK38" s="164"/>
      <c r="DL38" s="169"/>
      <c r="DM38" s="122"/>
      <c r="DN38" s="164"/>
      <c r="DO38" s="169"/>
      <c r="DP38" s="122"/>
      <c r="DQ38" s="164"/>
      <c r="DR38" s="169"/>
      <c r="DS38" s="122"/>
      <c r="DT38" s="164"/>
      <c r="DU38" s="169"/>
      <c r="DV38" s="122"/>
      <c r="DW38" s="164"/>
      <c r="DX38" s="169"/>
      <c r="DY38" s="122"/>
      <c r="DZ38" s="164"/>
      <c r="EA38" s="169"/>
      <c r="EB38" s="122"/>
      <c r="EC38" s="164"/>
      <c r="ED38" s="169"/>
      <c r="EE38" s="122"/>
      <c r="EF38" s="164"/>
      <c r="EG38" s="169"/>
      <c r="EH38" s="122"/>
      <c r="EI38" s="164"/>
      <c r="EJ38" s="169"/>
      <c r="EK38" s="122"/>
      <c r="EL38" s="123"/>
      <c r="EM38" s="169"/>
      <c r="EN38" s="122"/>
      <c r="EO38" s="164"/>
      <c r="EP38" s="169">
        <v>45904</v>
      </c>
      <c r="EQ38" s="122">
        <v>1010</v>
      </c>
      <c r="ER38" s="164">
        <v>61.8</v>
      </c>
      <c r="ES38" s="169"/>
      <c r="ET38" s="122"/>
      <c r="EU38" s="123"/>
      <c r="EV38" s="169"/>
      <c r="EW38" s="122"/>
      <c r="EX38" s="123"/>
      <c r="EY38" s="169"/>
      <c r="EZ38" s="122"/>
      <c r="FA38" s="164"/>
      <c r="FB38" s="169"/>
      <c r="FC38" s="122"/>
      <c r="FD38" s="164"/>
      <c r="FE38" s="169"/>
      <c r="FF38" s="122"/>
      <c r="FG38" s="164"/>
      <c r="FH38" s="169"/>
      <c r="FI38" s="122"/>
      <c r="FJ38" s="164"/>
      <c r="FK38" s="169"/>
      <c r="FL38" s="122"/>
      <c r="FM38" s="164"/>
      <c r="FN38" s="169"/>
      <c r="FO38" s="122"/>
      <c r="FP38" s="164"/>
      <c r="FQ38" s="169"/>
      <c r="FR38" s="122"/>
      <c r="FS38" s="164"/>
      <c r="FT38" s="169"/>
      <c r="FU38" s="122"/>
      <c r="FV38" s="164"/>
      <c r="FW38" s="570">
        <v>45947</v>
      </c>
      <c r="FX38" s="122">
        <v>1000</v>
      </c>
      <c r="FY38" s="164">
        <v>-54.02</v>
      </c>
      <c r="FZ38" s="169"/>
      <c r="GA38" s="122"/>
      <c r="GB38" s="164"/>
      <c r="GC38" s="169"/>
      <c r="GD38" s="122"/>
      <c r="GE38" s="164"/>
      <c r="GF38" s="169"/>
      <c r="GG38" s="122"/>
      <c r="GH38" s="164"/>
      <c r="GI38" s="169"/>
      <c r="GJ38" s="122"/>
      <c r="GK38" s="164"/>
      <c r="GL38" s="169"/>
      <c r="GM38" s="122"/>
      <c r="GN38" s="164"/>
      <c r="GO38" s="169"/>
      <c r="GP38" s="122"/>
      <c r="GQ38" s="164"/>
      <c r="GR38" s="169"/>
      <c r="GS38" s="122"/>
      <c r="GT38" s="164"/>
      <c r="GU38" s="169"/>
      <c r="GV38" s="122"/>
      <c r="GW38" s="164"/>
      <c r="GX38" s="169"/>
      <c r="GY38" s="122"/>
      <c r="GZ38" s="164"/>
      <c r="HA38" s="169"/>
      <c r="HB38" s="122"/>
      <c r="HC38" s="164"/>
      <c r="HD38" s="169"/>
      <c r="HE38" s="122"/>
      <c r="HF38" s="164"/>
      <c r="HG38" s="169"/>
      <c r="HH38" s="122"/>
      <c r="HI38" s="164"/>
      <c r="HJ38" s="169"/>
      <c r="HK38" s="122"/>
      <c r="HL38" s="164"/>
      <c r="HM38" s="169"/>
      <c r="HN38" s="122"/>
      <c r="HO38" s="164"/>
      <c r="HP38" s="169"/>
      <c r="HQ38" s="122"/>
      <c r="HR38" s="164"/>
      <c r="HS38" s="169"/>
      <c r="HT38" s="122"/>
      <c r="HU38" s="164"/>
      <c r="HV38" s="169"/>
      <c r="HW38" s="122"/>
      <c r="HX38" s="164"/>
      <c r="HY38" s="169"/>
      <c r="HZ38" s="122"/>
      <c r="IA38" s="164"/>
      <c r="IB38" s="169"/>
      <c r="IC38" s="122"/>
      <c r="ID38" s="164"/>
      <c r="IE38" s="169"/>
      <c r="IF38" s="122"/>
      <c r="IG38" s="164"/>
      <c r="IH38" s="169"/>
      <c r="II38" s="122"/>
      <c r="IJ38" s="164"/>
      <c r="IK38" s="169"/>
      <c r="IL38" s="122"/>
      <c r="IM38" s="164"/>
      <c r="IN38" s="169"/>
      <c r="IO38" s="122"/>
      <c r="IP38" s="164"/>
      <c r="IQ38" s="169"/>
      <c r="IR38" s="122"/>
      <c r="IS38" s="164"/>
      <c r="IT38" s="169"/>
      <c r="IU38" s="122"/>
      <c r="IV38" s="164"/>
      <c r="IW38" s="169"/>
      <c r="IX38" s="122"/>
      <c r="IY38" s="164"/>
      <c r="IZ38" s="169"/>
      <c r="JA38" s="122"/>
      <c r="JB38" s="164"/>
      <c r="JC38" s="169"/>
      <c r="JD38" s="122"/>
      <c r="JE38" s="164"/>
      <c r="JF38" s="169"/>
      <c r="JG38" s="122"/>
      <c r="JH38" s="164"/>
      <c r="JI38" s="169"/>
      <c r="JJ38" s="122"/>
      <c r="JK38" s="164"/>
      <c r="JL38" s="169"/>
      <c r="JM38" s="122"/>
      <c r="JN38" s="164"/>
      <c r="JO38" s="169"/>
      <c r="JP38" s="122"/>
      <c r="JQ38" s="164"/>
      <c r="JR38" s="169"/>
      <c r="JS38" s="122"/>
      <c r="JT38" s="164"/>
      <c r="JU38" s="169"/>
      <c r="JV38" s="122"/>
      <c r="JW38" s="164"/>
      <c r="JX38" s="169"/>
      <c r="JY38" s="122"/>
      <c r="JZ38" s="164"/>
      <c r="KA38" s="169"/>
      <c r="KB38" s="122"/>
      <c r="KC38" s="164"/>
      <c r="KD38" s="169"/>
      <c r="KE38" s="122"/>
      <c r="KF38" s="164"/>
    </row>
    <row r="39" spans="1:292">
      <c r="A39" s="157">
        <v>36</v>
      </c>
      <c r="B39" s="169"/>
      <c r="C39" s="122"/>
      <c r="D39" s="164"/>
      <c r="E39" s="169"/>
      <c r="F39" s="122"/>
      <c r="G39" s="164"/>
      <c r="H39" s="169"/>
      <c r="I39" s="122"/>
      <c r="J39" s="164"/>
      <c r="K39" s="169"/>
      <c r="L39" s="122"/>
      <c r="M39" s="164"/>
      <c r="N39" s="169"/>
      <c r="O39" s="122"/>
      <c r="P39" s="164"/>
      <c r="Q39" s="971">
        <v>45895</v>
      </c>
      <c r="R39" s="122">
        <v>500</v>
      </c>
      <c r="S39" s="164">
        <v>646.20000000000005</v>
      </c>
      <c r="T39" s="581"/>
      <c r="U39" s="581"/>
      <c r="V39" s="581"/>
      <c r="W39" s="169"/>
      <c r="X39" s="122"/>
      <c r="Y39" s="164"/>
      <c r="Z39" s="169"/>
      <c r="AA39" s="122"/>
      <c r="AB39" s="164"/>
      <c r="AC39" s="169"/>
      <c r="AD39" s="122"/>
      <c r="AE39" s="164"/>
      <c r="AF39" s="169"/>
      <c r="AG39" s="122"/>
      <c r="AH39" s="164"/>
      <c r="AI39" s="169"/>
      <c r="AJ39" s="122"/>
      <c r="AK39" s="164"/>
      <c r="AL39" s="169"/>
      <c r="AM39" s="122"/>
      <c r="AN39" s="164"/>
      <c r="AO39" s="169"/>
      <c r="AP39" s="122"/>
      <c r="AQ39" s="164"/>
      <c r="AR39" s="169"/>
      <c r="AS39" s="122"/>
      <c r="AT39" s="164"/>
      <c r="AU39" s="169"/>
      <c r="AV39" s="122"/>
      <c r="AW39" s="164"/>
      <c r="AX39" s="169"/>
      <c r="AY39" s="122"/>
      <c r="AZ39" s="164"/>
      <c r="BA39" s="169"/>
      <c r="BB39" s="122"/>
      <c r="BC39" s="164"/>
      <c r="BD39" s="169"/>
      <c r="BE39" s="122"/>
      <c r="BF39" s="164"/>
      <c r="BG39" s="169"/>
      <c r="BH39" s="122"/>
      <c r="BI39" s="164"/>
      <c r="BJ39" s="169"/>
      <c r="BK39" s="122"/>
      <c r="BL39" s="164"/>
      <c r="BM39" s="169"/>
      <c r="BN39" s="122"/>
      <c r="BO39" s="164"/>
      <c r="BP39" s="169"/>
      <c r="BQ39" s="122"/>
      <c r="BR39" s="164"/>
      <c r="BS39" s="169">
        <v>45853</v>
      </c>
      <c r="BT39" s="122">
        <v>20000</v>
      </c>
      <c r="BU39" s="164">
        <v>369.2</v>
      </c>
      <c r="BV39" s="169"/>
      <c r="BW39" s="122"/>
      <c r="BX39" s="164"/>
      <c r="BY39" s="169"/>
      <c r="BZ39" s="122"/>
      <c r="CA39" s="164"/>
      <c r="CB39" s="169"/>
      <c r="CC39" s="122"/>
      <c r="CD39" s="164"/>
      <c r="CE39" s="169"/>
      <c r="CF39" s="122"/>
      <c r="CG39" s="164"/>
      <c r="CH39" s="169"/>
      <c r="CI39" s="122"/>
      <c r="CJ39" s="123"/>
      <c r="CK39" s="169"/>
      <c r="CL39" s="122"/>
      <c r="CM39" s="164"/>
      <c r="CN39" s="169"/>
      <c r="CO39" s="122"/>
      <c r="CP39" s="164"/>
      <c r="CQ39" s="169"/>
      <c r="CR39" s="122"/>
      <c r="CS39" s="164"/>
      <c r="CT39" s="169"/>
      <c r="CU39" s="122"/>
      <c r="CV39" s="164"/>
      <c r="CW39" s="169"/>
      <c r="CX39" s="122"/>
      <c r="CY39" s="164"/>
      <c r="CZ39" s="169"/>
      <c r="DA39" s="122"/>
      <c r="DB39" s="164"/>
      <c r="DC39" s="169"/>
      <c r="DD39" s="122"/>
      <c r="DE39" s="123"/>
      <c r="DF39" s="169"/>
      <c r="DG39" s="122"/>
      <c r="DH39" s="123"/>
      <c r="DI39" s="169"/>
      <c r="DJ39" s="122"/>
      <c r="DK39" s="123"/>
      <c r="DL39" s="169"/>
      <c r="DM39" s="122"/>
      <c r="DN39" s="123"/>
      <c r="DO39" s="169"/>
      <c r="DP39" s="122"/>
      <c r="DQ39" s="123"/>
      <c r="DR39" s="169"/>
      <c r="DS39" s="122"/>
      <c r="DT39" s="123"/>
      <c r="DU39" s="169"/>
      <c r="DV39" s="122"/>
      <c r="DW39" s="123"/>
      <c r="DX39" s="169"/>
      <c r="DY39" s="122"/>
      <c r="DZ39" s="123"/>
      <c r="EA39" s="169"/>
      <c r="EB39" s="122"/>
      <c r="EC39" s="123"/>
      <c r="ED39" s="169"/>
      <c r="EE39" s="122"/>
      <c r="EF39" s="123"/>
      <c r="EG39" s="169"/>
      <c r="EH39" s="122"/>
      <c r="EI39" s="123"/>
      <c r="EJ39" s="169"/>
      <c r="EK39" s="122"/>
      <c r="EL39" s="123"/>
      <c r="EM39" s="169"/>
      <c r="EN39" s="122"/>
      <c r="EO39" s="164"/>
      <c r="EP39" s="169">
        <v>45917</v>
      </c>
      <c r="EQ39" s="122">
        <v>1000</v>
      </c>
      <c r="ER39" s="164">
        <v>-60.1</v>
      </c>
      <c r="ES39" s="169"/>
      <c r="ET39" s="122"/>
      <c r="EU39" s="123"/>
      <c r="EV39" s="169"/>
      <c r="EW39" s="122"/>
      <c r="EX39" s="123"/>
      <c r="EY39" s="169"/>
      <c r="EZ39" s="122"/>
      <c r="FA39" s="164"/>
      <c r="FB39" s="169"/>
      <c r="FC39" s="122"/>
      <c r="FD39" s="164"/>
      <c r="FE39" s="169"/>
      <c r="FF39" s="122"/>
      <c r="FG39" s="164"/>
      <c r="FH39" s="169"/>
      <c r="FI39" s="122"/>
      <c r="FJ39" s="164"/>
      <c r="FK39" s="169"/>
      <c r="FL39" s="122"/>
      <c r="FM39" s="164"/>
      <c r="FN39" s="169"/>
      <c r="FO39" s="122"/>
      <c r="FP39" s="123"/>
      <c r="FQ39" s="169"/>
      <c r="FR39" s="122"/>
      <c r="FS39" s="164"/>
      <c r="FT39" s="169"/>
      <c r="FU39" s="122"/>
      <c r="FV39" s="164"/>
      <c r="FW39" s="169"/>
      <c r="FX39" s="122"/>
      <c r="FY39" s="164"/>
      <c r="FZ39" s="169"/>
      <c r="GA39" s="122"/>
      <c r="GB39" s="164"/>
      <c r="GC39" s="169"/>
      <c r="GD39" s="122"/>
      <c r="GE39" s="164"/>
      <c r="GF39" s="169"/>
      <c r="GG39" s="122"/>
      <c r="GH39" s="164"/>
      <c r="GI39" s="169"/>
      <c r="GJ39" s="122"/>
      <c r="GK39" s="164"/>
      <c r="GL39" s="169"/>
      <c r="GM39" s="122"/>
      <c r="GN39" s="123"/>
      <c r="GO39" s="169"/>
      <c r="GP39" s="122"/>
      <c r="GQ39" s="123"/>
      <c r="GR39" s="169"/>
      <c r="GS39" s="122"/>
      <c r="GT39" s="123"/>
      <c r="GU39" s="169"/>
      <c r="GV39" s="122"/>
      <c r="GW39" s="123"/>
      <c r="GX39" s="169"/>
      <c r="GY39" s="122"/>
      <c r="GZ39" s="123"/>
      <c r="HA39" s="169"/>
      <c r="HB39" s="122"/>
      <c r="HC39" s="123"/>
      <c r="HD39" s="169"/>
      <c r="HE39" s="122"/>
      <c r="HF39" s="123"/>
      <c r="HG39" s="169"/>
      <c r="HH39" s="122"/>
      <c r="HI39" s="123"/>
      <c r="HJ39" s="169"/>
      <c r="HK39" s="122"/>
      <c r="HL39" s="123"/>
      <c r="HM39" s="169"/>
      <c r="HN39" s="122"/>
      <c r="HO39" s="123"/>
      <c r="HP39" s="169"/>
      <c r="HQ39" s="122"/>
      <c r="HR39" s="123"/>
      <c r="HS39" s="169"/>
      <c r="HT39" s="122"/>
      <c r="HU39" s="164"/>
      <c r="HV39" s="169"/>
      <c r="HW39" s="122"/>
      <c r="HX39" s="164"/>
      <c r="HY39" s="169"/>
      <c r="HZ39" s="122"/>
      <c r="IA39" s="164"/>
      <c r="IB39" s="169"/>
      <c r="IC39" s="122"/>
      <c r="ID39" s="164"/>
      <c r="IE39" s="169"/>
      <c r="IF39" s="122"/>
      <c r="IG39" s="164"/>
      <c r="IH39" s="169"/>
      <c r="II39" s="122"/>
      <c r="IJ39" s="164"/>
      <c r="IK39" s="169"/>
      <c r="IL39" s="122"/>
      <c r="IM39" s="123"/>
      <c r="IN39" s="169"/>
      <c r="IO39" s="122"/>
      <c r="IP39" s="123"/>
      <c r="IQ39" s="169"/>
      <c r="IR39" s="122"/>
      <c r="IS39" s="123"/>
      <c r="IT39" s="169"/>
      <c r="IU39" s="122"/>
      <c r="IV39" s="123"/>
      <c r="IW39" s="169"/>
      <c r="IX39" s="122"/>
      <c r="IY39" s="123"/>
      <c r="IZ39" s="169"/>
      <c r="JA39" s="122"/>
      <c r="JB39" s="123"/>
      <c r="JC39" s="169"/>
      <c r="JD39" s="122"/>
      <c r="JE39" s="123"/>
      <c r="JF39" s="169"/>
      <c r="JG39" s="122"/>
      <c r="JH39" s="123"/>
      <c r="JI39" s="169"/>
      <c r="JJ39" s="122"/>
      <c r="JK39" s="123"/>
      <c r="JL39" s="169"/>
      <c r="JM39" s="122"/>
      <c r="JN39" s="123"/>
      <c r="JO39" s="169"/>
      <c r="JP39" s="122"/>
      <c r="JQ39" s="123"/>
      <c r="JR39" s="169"/>
      <c r="JS39" s="122"/>
      <c r="JT39" s="123"/>
      <c r="JU39" s="169"/>
      <c r="JV39" s="122"/>
      <c r="JW39" s="123"/>
      <c r="JX39" s="169"/>
      <c r="JY39" s="122"/>
      <c r="JZ39" s="123"/>
      <c r="KA39" s="169"/>
      <c r="KB39" s="122"/>
      <c r="KC39" s="123"/>
      <c r="KD39" s="169"/>
      <c r="KE39" s="122"/>
      <c r="KF39" s="123"/>
    </row>
    <row r="40" spans="1:292">
      <c r="A40" s="792"/>
      <c r="B40" s="124"/>
      <c r="C40" s="122"/>
      <c r="D40" s="164"/>
      <c r="E40" s="124"/>
      <c r="F40" s="793"/>
      <c r="G40" s="794"/>
      <c r="H40" s="124"/>
      <c r="I40" s="122"/>
      <c r="J40" s="164"/>
      <c r="K40" s="124"/>
      <c r="L40" s="793"/>
      <c r="M40" s="794"/>
      <c r="N40" s="138"/>
      <c r="O40" s="122"/>
      <c r="P40" s="794"/>
      <c r="Q40" s="138">
        <v>45902</v>
      </c>
      <c r="R40" s="122">
        <v>500</v>
      </c>
      <c r="S40" s="794">
        <v>-622.20000000000005</v>
      </c>
      <c r="T40" s="794"/>
      <c r="U40" s="794"/>
      <c r="V40" s="794"/>
      <c r="W40" s="138"/>
      <c r="X40" s="793"/>
      <c r="Y40" s="794"/>
      <c r="Z40" s="138"/>
      <c r="AA40" s="122"/>
      <c r="AB40" s="794"/>
      <c r="AC40" s="138"/>
      <c r="AD40" s="793"/>
      <c r="AE40" s="794"/>
      <c r="AF40" s="138"/>
      <c r="AG40" s="793"/>
      <c r="AH40" s="794"/>
      <c r="AI40" s="138"/>
      <c r="AJ40" s="793"/>
      <c r="AK40" s="794"/>
      <c r="AL40" s="138"/>
      <c r="AM40" s="793"/>
      <c r="AN40" s="794"/>
      <c r="AO40" s="124"/>
      <c r="AP40" s="793"/>
      <c r="AQ40" s="794"/>
      <c r="AR40" s="124"/>
      <c r="AS40" s="793"/>
      <c r="AT40" s="794"/>
      <c r="AU40" s="124"/>
      <c r="AV40" s="793"/>
      <c r="AW40" s="794"/>
      <c r="AX40" s="124"/>
      <c r="AY40" s="793"/>
      <c r="AZ40" s="794"/>
      <c r="BA40" s="124"/>
      <c r="BB40" s="793"/>
      <c r="BC40" s="794"/>
      <c r="BD40" s="124"/>
      <c r="BE40" s="793"/>
      <c r="BF40" s="794"/>
      <c r="BG40" s="124"/>
      <c r="BH40" s="793"/>
      <c r="BI40" s="794"/>
      <c r="BJ40" s="124"/>
      <c r="BK40" s="793"/>
      <c r="BL40" s="794"/>
      <c r="BM40" s="124"/>
      <c r="BN40" s="793"/>
      <c r="BO40" s="794"/>
      <c r="BP40" s="124"/>
      <c r="BQ40" s="793"/>
      <c r="BR40" s="794"/>
      <c r="BS40" s="124">
        <v>45854</v>
      </c>
      <c r="BT40" s="793">
        <v>250</v>
      </c>
      <c r="BU40" s="794">
        <v>386.01</v>
      </c>
      <c r="BV40" s="124"/>
      <c r="BW40" s="122"/>
      <c r="BX40" s="164"/>
      <c r="BY40" s="124"/>
      <c r="BZ40" s="793"/>
      <c r="CA40" s="794"/>
      <c r="CB40" s="124"/>
      <c r="CC40" s="122"/>
      <c r="CD40" s="164"/>
      <c r="CE40" s="124"/>
      <c r="CF40" s="793"/>
      <c r="CG40" s="794"/>
      <c r="CH40" s="124"/>
      <c r="CI40" s="122"/>
      <c r="CJ40" s="795"/>
      <c r="CK40" s="124"/>
      <c r="CL40" s="793"/>
      <c r="CM40" s="794"/>
      <c r="CN40" s="124"/>
      <c r="CO40" s="122"/>
      <c r="CP40" s="164"/>
      <c r="CQ40" s="124"/>
      <c r="CR40" s="793"/>
      <c r="CS40" s="794"/>
      <c r="CT40" s="124"/>
      <c r="CU40" s="122"/>
      <c r="CV40" s="164"/>
      <c r="CW40" s="124"/>
      <c r="CX40" s="793"/>
      <c r="CY40" s="794"/>
      <c r="CZ40" s="124"/>
      <c r="DA40" s="122"/>
      <c r="DB40" s="164"/>
      <c r="DC40" s="124"/>
      <c r="DD40" s="793"/>
      <c r="DE40" s="796"/>
      <c r="DF40" s="124"/>
      <c r="DG40" s="122"/>
      <c r="DH40" s="795"/>
      <c r="DI40" s="124"/>
      <c r="DJ40" s="793"/>
      <c r="DK40" s="796"/>
      <c r="DL40" s="124"/>
      <c r="DM40" s="122"/>
      <c r="DN40" s="795"/>
      <c r="DO40" s="124"/>
      <c r="DP40" s="122"/>
      <c r="DQ40" s="123"/>
      <c r="DR40" s="124"/>
      <c r="DS40" s="122"/>
      <c r="DT40" s="123"/>
      <c r="DU40" s="124"/>
      <c r="DV40" s="793"/>
      <c r="DW40" s="796"/>
      <c r="DX40" s="124"/>
      <c r="DY40" s="122"/>
      <c r="DZ40" s="795"/>
      <c r="EA40" s="124"/>
      <c r="EB40" s="793"/>
      <c r="EC40" s="796"/>
      <c r="ED40" s="124"/>
      <c r="EE40" s="122"/>
      <c r="EF40" s="795"/>
      <c r="EG40" s="124"/>
      <c r="EH40" s="793"/>
      <c r="EI40" s="796"/>
      <c r="EJ40" s="124"/>
      <c r="EK40" s="122"/>
      <c r="EL40" s="123"/>
      <c r="EM40" s="124"/>
      <c r="EN40" s="122"/>
      <c r="EO40" s="795"/>
      <c r="EP40" s="124">
        <v>45925</v>
      </c>
      <c r="EQ40" s="122">
        <v>2000</v>
      </c>
      <c r="ER40" s="164">
        <v>-59.2</v>
      </c>
      <c r="ES40" s="124"/>
      <c r="ET40" s="122"/>
      <c r="EU40" s="795"/>
      <c r="EV40" s="124"/>
      <c r="EW40" s="793"/>
      <c r="EX40" s="796"/>
      <c r="EY40" s="124"/>
      <c r="EZ40" s="122"/>
      <c r="FA40" s="164"/>
      <c r="FB40" s="124"/>
      <c r="FC40" s="793"/>
      <c r="FD40" s="794"/>
      <c r="FE40" s="124"/>
      <c r="FF40" s="122"/>
      <c r="FG40" s="164"/>
      <c r="FH40" s="124"/>
      <c r="FI40" s="793"/>
      <c r="FJ40" s="794"/>
      <c r="FK40" s="124"/>
      <c r="FL40" s="122"/>
      <c r="FM40" s="164"/>
      <c r="FN40" s="124"/>
      <c r="FO40" s="793"/>
      <c r="FP40" s="796"/>
      <c r="FQ40" s="124"/>
      <c r="FR40" s="122"/>
      <c r="FS40" s="164"/>
      <c r="FT40" s="124"/>
      <c r="FU40" s="793"/>
      <c r="FV40" s="794"/>
      <c r="FW40" s="124"/>
      <c r="FX40" s="122"/>
      <c r="FY40" s="164"/>
      <c r="FZ40" s="124"/>
      <c r="GA40" s="793"/>
      <c r="GB40" s="794"/>
      <c r="GC40" s="124"/>
      <c r="GD40" s="122"/>
      <c r="GE40" s="164"/>
      <c r="GF40" s="124"/>
      <c r="GG40" s="793"/>
      <c r="GH40" s="794"/>
      <c r="GI40" s="124"/>
      <c r="GJ40" s="122"/>
      <c r="GK40" s="164"/>
      <c r="GL40" s="124"/>
      <c r="GM40" s="122"/>
      <c r="GN40" s="123"/>
      <c r="GO40" s="124"/>
      <c r="GP40" s="122"/>
      <c r="GQ40" s="123"/>
      <c r="GR40" s="124"/>
      <c r="GS40" s="122"/>
      <c r="GT40" s="123"/>
      <c r="GU40" s="124"/>
      <c r="GV40" s="122"/>
      <c r="GW40" s="123"/>
      <c r="GX40" s="124"/>
      <c r="GY40" s="122"/>
      <c r="GZ40" s="795"/>
      <c r="HA40" s="124"/>
      <c r="HB40" s="793"/>
      <c r="HC40" s="796"/>
      <c r="HD40" s="124"/>
      <c r="HE40" s="122"/>
      <c r="HF40" s="796"/>
      <c r="HG40" s="138"/>
      <c r="HH40" s="793"/>
      <c r="HI40" s="796"/>
      <c r="HJ40" s="124"/>
      <c r="HK40" s="122"/>
      <c r="HL40" s="795"/>
      <c r="HM40" s="124"/>
      <c r="HN40" s="793"/>
      <c r="HO40" s="796"/>
      <c r="HP40" s="124"/>
      <c r="HQ40" s="122"/>
      <c r="HR40" s="795"/>
      <c r="HS40" s="124"/>
      <c r="HT40" s="122"/>
      <c r="HU40" s="164"/>
      <c r="HV40" s="124"/>
      <c r="HW40" s="122"/>
      <c r="HX40" s="164"/>
      <c r="HY40" s="124"/>
      <c r="HZ40" s="122"/>
      <c r="IA40" s="164"/>
      <c r="IB40" s="124"/>
      <c r="IC40" s="793"/>
      <c r="ID40" s="794"/>
      <c r="IE40" s="124"/>
      <c r="IF40" s="122"/>
      <c r="IG40" s="796"/>
      <c r="IH40" s="124"/>
      <c r="II40" s="122"/>
      <c r="IJ40" s="164"/>
      <c r="IK40" s="124"/>
      <c r="IL40" s="122"/>
      <c r="IM40" s="123"/>
      <c r="IN40" s="124"/>
      <c r="IO40" s="122"/>
      <c r="IP40" s="123"/>
      <c r="IQ40" s="124"/>
      <c r="IR40" s="122"/>
      <c r="IS40" s="123"/>
      <c r="IT40" s="124"/>
      <c r="IU40" s="122"/>
      <c r="IV40" s="123"/>
      <c r="IW40" s="124"/>
      <c r="IX40" s="122"/>
      <c r="IY40" s="123"/>
      <c r="IZ40" s="124"/>
      <c r="JA40" s="122"/>
      <c r="JB40" s="123"/>
      <c r="JC40" s="124"/>
      <c r="JD40" s="122"/>
      <c r="JE40" s="123"/>
      <c r="JF40" s="124"/>
      <c r="JG40" s="122"/>
      <c r="JH40" s="795"/>
      <c r="JI40" s="124"/>
      <c r="JJ40" s="793"/>
      <c r="JK40" s="796"/>
      <c r="JL40" s="124"/>
      <c r="JM40" s="122"/>
      <c r="JN40" s="795"/>
      <c r="JO40" s="124"/>
      <c r="JP40" s="793"/>
      <c r="JQ40" s="796"/>
      <c r="JR40" s="124"/>
      <c r="JS40" s="122"/>
      <c r="JT40" s="795"/>
      <c r="JU40" s="169" t="str" cm="1">
        <f t="array" ref="JU40">IF( ISNUMBER(MATCH(JU$3,Entries!$B$3:$B$16,0)),           _xlfn.IFS(  JU39="","",      AND(SUMPRODUCT((Entries!$A$3:$A$16=JU39)*(Entries!$C$3:$C$16=JV39)*(Entries!$D$3:$D$16=JW39)) = 0,        _xlfn.XLOOKUP(JU$3,Entries!$B$3:$B$16,Entries!$E$3:$E$16,"Enter")="Booked"),   INDEX(Entries!$B$3:$E$16,MATCH(JU$3,Entries!$B$3:$B$16,0),2),      JU39 &lt;&gt;0,""                                                ),"")</f>
        <v/>
      </c>
      <c r="JV40" s="122" t="str" cm="1">
        <f t="array" ref="JV40">IF( ISNUMBER(MATCH(JU$3,Entries!$B$3:$B$16,0)),           _xlfn.IFS(  JU40="","",      SUMPRODUCT((Entries!$A$3:$A$16=JU39)*(Entries!$C$3:$C$16=JV39)*(Entries!$D$3:$D$16=JW39)) &lt;&gt;0,"",         _xlfn.XLOOKUP(JU$3,Entries!$B$3:$B$16,Entries!$E$3:$E$16,"Enter")="Booked",   INDEX(Entries!$B$3:$E$16,MATCH(JU$3,Entries!$B$3:$B$16,0),3),                                                    _xlfn.XLOOKUP(JU$3,Entries!$B$3:$B$16,Entries!$A$3:$A$16,"Error"),""),"")</f>
        <v/>
      </c>
      <c r="JW40" s="123" t="str" cm="1">
        <f t="array" ref="JW40">IF( ISNUMBER(MATCH(JU$3,Entries!$B$3:$B$16,0)),           _xlfn.IFS(  JU40="","",      SUMPRODUCT((Entries!$A$3:$A$16=JV39)*(Entries!$C$3:$C$16=JW39)*(Entries!$D$3:$D$16=JX39)) &lt;&gt;0,"",         _xlfn.XLOOKUP(JU$3,Entries!$B$3:$B$16,Entries!$E$3:$E$16,"Enter")="Booked",   INDEX(Entries!$B$3:$E$16,MATCH(JU$3,Entries!$B$3:$B$16,0),4),                                                    _xlfn.XLOOKUP(JU$3,Entries!$B$3:$B$16,Entries!$A$3:$A$16,"Error"),""),"")</f>
        <v/>
      </c>
      <c r="JX40" s="169" t="str" cm="1">
        <f t="array" ref="JX40">IF( ISNUMBER(MATCH(JX$3,Entries!$B$3:$B$16,0)),           _xlfn.IFS(  JX39="","",      AND(SUMPRODUCT((Entries!$A$3:$A$16=JX39)*(Entries!$C$3:$C$16=JY39)*(Entries!$D$3:$D$16=JZ39)) = 0,        _xlfn.XLOOKUP(JX$3,Entries!$B$3:$B$16,Entries!$E$3:$E$16,"Enter")="Booked"),   INDEX(Entries!$B$3:$E$16,MATCH(JX$3,Entries!$B$3:$B$16,0),2),      JX39 &lt;&gt;0,""                                                ),"")</f>
        <v/>
      </c>
      <c r="JY40" s="122" t="str" cm="1">
        <f t="array" ref="JY40">IF( ISNUMBER(MATCH(JX$3,Entries!$B$3:$B$16,0)),           _xlfn.IFS(  JX40="","",      SUMPRODUCT((Entries!$A$3:$A$16=JX39)*(Entries!$C$3:$C$16=JY39)*(Entries!$D$3:$D$16=JZ39)) &lt;&gt;0,"",         _xlfn.XLOOKUP(JX$3,Entries!$B$3:$B$16,Entries!$E$3:$E$16,"Enter")="Booked",   INDEX(Entries!$B$3:$E$16,MATCH(JX$3,Entries!$B$3:$B$16,0),3),                                                    _xlfn.XLOOKUP(JX$3,Entries!$B$3:$B$16,Entries!$A$3:$A$16,"Error"),""),"")</f>
        <v/>
      </c>
      <c r="JZ40" s="123" t="str" cm="1">
        <f t="array" ref="JZ40">IF( ISNUMBER(MATCH(JX$3,Entries!$B$3:$B$16,0)),           _xlfn.IFS(  JX40="","",      SUMPRODUCT((Entries!$A$3:$A$16=JY39)*(Entries!$C$3:$C$16=JZ39)*(Entries!$D$3:$D$16=KA39)) &lt;&gt;0,"",         _xlfn.XLOOKUP(JX$3,Entries!$B$3:$B$16,Entries!$E$3:$E$16,"Enter")="Booked",   INDEX(Entries!$B$3:$E$16,MATCH(JX$3,Entries!$B$3:$B$16,0),4),                                                    _xlfn.XLOOKUP(JX$3,Entries!$B$3:$B$16,Entries!$A$3:$A$16,"Error"),""),"")</f>
        <v/>
      </c>
      <c r="KA40" s="169" t="str" cm="1">
        <f t="array" ref="KA40">IF( ISNUMBER(MATCH(KA$3,Entries!$B$3:$B$16,0)),           _xlfn.IFS(  KA39="","",      AND(SUMPRODUCT((Entries!$A$3:$A$16=KA39)*(Entries!$C$3:$C$16=KB39)*(Entries!$D$3:$D$16=KC39)) = 0,        _xlfn.XLOOKUP(KA$3,Entries!$B$3:$B$16,Entries!$E$3:$E$16,"Enter")="Booked"),   INDEX(Entries!$B$3:$E$16,MATCH(KA$3,Entries!$B$3:$B$16,0),2),      KA39 &lt;&gt;0,""                                                ),"")</f>
        <v/>
      </c>
      <c r="KB40" s="122" t="str" cm="1">
        <f t="array" ref="KB40">IF( ISNUMBER(MATCH(KA$3,Entries!$B$3:$B$16,0)),           _xlfn.IFS(  KA40="","",      SUMPRODUCT((Entries!$A$3:$A$16=KA39)*(Entries!$C$3:$C$16=KB39)*(Entries!$D$3:$D$16=KC39)) &lt;&gt;0,"",         _xlfn.XLOOKUP(KA$3,Entries!$B$3:$B$16,Entries!$E$3:$E$16,"Enter")="Booked",   INDEX(Entries!$B$3:$E$16,MATCH(KA$3,Entries!$B$3:$B$16,0),3),                                                    _xlfn.XLOOKUP(KA$3,Entries!$B$3:$B$16,Entries!$A$3:$A$16,"Error"),""),"")</f>
        <v/>
      </c>
      <c r="KC40" s="123" t="str" cm="1">
        <f t="array" ref="KC40">IF( ISNUMBER(MATCH(KA$3,Entries!$B$3:$B$16,0)),           _xlfn.IFS(  KA40="","",      SUMPRODUCT((Entries!$A$3:$A$16=KB39)*(Entries!$C$3:$C$16=KC39)*(Entries!$D$3:$D$16=KD39)) &lt;&gt;0,"",         _xlfn.XLOOKUP(KA$3,Entries!$B$3:$B$16,Entries!$E$3:$E$16,"Enter")="Booked",   INDEX(Entries!$B$3:$E$16,MATCH(KA$3,Entries!$B$3:$B$16,0),4),                                                    _xlfn.XLOOKUP(KA$3,Entries!$B$3:$B$16,Entries!$A$3:$A$16,"Error"),""),"")</f>
        <v/>
      </c>
      <c r="KD40" s="169" t="str" cm="1">
        <f t="array" ref="KD40">IF( ISNUMBER(MATCH(KD$3,Entries!$B$3:$B$16,0)),           _xlfn.IFS(  KD39="","",      AND(SUMPRODUCT((Entries!$A$3:$A$16=KD39)*(Entries!$C$3:$C$16=KE39)*(Entries!$D$3:$D$16=KF39)) = 0,        _xlfn.XLOOKUP(KD$3,Entries!$B$3:$B$16,Entries!$E$3:$E$16,"Enter")="Booked"),   INDEX(Entries!$B$3:$E$16,MATCH(KD$3,Entries!$B$3:$B$16,0),2),      KD39 &lt;&gt;0,""                                                ),"")</f>
        <v/>
      </c>
      <c r="KE40" s="122" t="str" cm="1">
        <f t="array" ref="KE40">IF( ISNUMBER(MATCH(KD$3,Entries!$B$3:$B$16,0)),           _xlfn.IFS(  KD40="","",      SUMPRODUCT((Entries!$A$3:$A$16=KD39)*(Entries!$C$3:$C$16=KE39)*(Entries!$D$3:$D$16=KF39)) &lt;&gt;0,"",         _xlfn.XLOOKUP(KD$3,Entries!$B$3:$B$16,Entries!$E$3:$E$16,"Enter")="Booked",   INDEX(Entries!$B$3:$E$16,MATCH(KD$3,Entries!$B$3:$B$16,0),3),                                                    _xlfn.XLOOKUP(KD$3,Entries!$B$3:$B$16,Entries!$A$3:$A$16,"Error"),""),"")</f>
        <v/>
      </c>
      <c r="KF40" s="123" t="str" cm="1">
        <f t="array" ref="KF40">IF( ISNUMBER(MATCH(KD$3,Entries!$B$3:$B$16,0)),           _xlfn.IFS(  KD40="","",      SUMPRODUCT((Entries!$A$3:$A$16=KE39)*(Entries!$C$3:$C$16=KF39)*(Entries!$D$3:$D$16=KG39)) &lt;&gt;0,"",         _xlfn.XLOOKUP(KD$3,Entries!$B$3:$B$16,Entries!$E$3:$E$16,"Enter")="Booked",   INDEX(Entries!$B$3:$E$16,MATCH(KD$3,Entries!$B$3:$B$16,0),4),                                                    _xlfn.XLOOKUP(KD$3,Entries!$B$3:$B$16,Entries!$A$3:$A$16,"Error"),""),"")</f>
        <v/>
      </c>
    </row>
    <row r="41" spans="1:292">
      <c r="A41" s="792"/>
      <c r="B41" s="124"/>
      <c r="C41" s="122"/>
      <c r="D41" s="164"/>
      <c r="E41" s="124"/>
      <c r="F41" s="793"/>
      <c r="G41" s="794"/>
      <c r="H41" s="124"/>
      <c r="I41" s="122"/>
      <c r="J41" s="164"/>
      <c r="K41" s="124"/>
      <c r="L41" s="793"/>
      <c r="M41" s="794"/>
      <c r="N41" s="138"/>
      <c r="O41" s="122"/>
      <c r="P41" s="794"/>
      <c r="Q41" s="138">
        <v>45908</v>
      </c>
      <c r="R41" s="122">
        <v>200</v>
      </c>
      <c r="S41" s="794">
        <v>667.2</v>
      </c>
      <c r="T41" s="794"/>
      <c r="U41" s="794"/>
      <c r="V41" s="794"/>
      <c r="W41" s="138"/>
      <c r="X41" s="793"/>
      <c r="Y41" s="794"/>
      <c r="Z41" s="138"/>
      <c r="AA41" s="122"/>
      <c r="AB41" s="794"/>
      <c r="AC41" s="138"/>
      <c r="AD41" s="793"/>
      <c r="AE41" s="794"/>
      <c r="AF41" s="138"/>
      <c r="AG41" s="793"/>
      <c r="AH41" s="794"/>
      <c r="AI41" s="138"/>
      <c r="AJ41" s="793"/>
      <c r="AK41" s="794"/>
      <c r="AL41" s="138"/>
      <c r="AM41" s="793"/>
      <c r="AN41" s="794"/>
      <c r="AO41" s="124"/>
      <c r="AP41" s="793"/>
      <c r="AQ41" s="794"/>
      <c r="AR41" s="124"/>
      <c r="AS41" s="793"/>
      <c r="AT41" s="794"/>
      <c r="AU41" s="124"/>
      <c r="AV41" s="793"/>
      <c r="AW41" s="794"/>
      <c r="AX41" s="124"/>
      <c r="AY41" s="793"/>
      <c r="AZ41" s="794"/>
      <c r="BA41" s="124"/>
      <c r="BB41" s="793"/>
      <c r="BC41" s="794"/>
      <c r="BD41" s="124"/>
      <c r="BE41" s="793"/>
      <c r="BF41" s="794"/>
      <c r="BG41" s="124"/>
      <c r="BH41" s="793"/>
      <c r="BI41" s="794"/>
      <c r="BJ41" s="124"/>
      <c r="BK41" s="793"/>
      <c r="BL41" s="794"/>
      <c r="BM41" s="124"/>
      <c r="BN41" s="793"/>
      <c r="BO41" s="794"/>
      <c r="BP41" s="124"/>
      <c r="BQ41" s="793"/>
      <c r="BR41" s="794"/>
      <c r="BS41" s="124">
        <v>45855</v>
      </c>
      <c r="BT41" s="793">
        <v>9750</v>
      </c>
      <c r="BU41" s="794">
        <v>383.01</v>
      </c>
      <c r="BV41" s="124"/>
      <c r="BW41" s="122"/>
      <c r="BX41" s="164"/>
      <c r="BY41" s="124"/>
      <c r="BZ41" s="793"/>
      <c r="CA41" s="794"/>
      <c r="CB41" s="124"/>
      <c r="CC41" s="122"/>
      <c r="CD41" s="164"/>
      <c r="CE41" s="124"/>
      <c r="CF41" s="793"/>
      <c r="CG41" s="794"/>
      <c r="CH41" s="124"/>
      <c r="CI41" s="122"/>
      <c r="CJ41" s="795"/>
      <c r="CK41" s="124"/>
      <c r="CL41" s="793"/>
      <c r="CM41" s="794"/>
      <c r="CN41" s="124"/>
      <c r="CO41" s="122"/>
      <c r="CP41" s="164"/>
      <c r="CQ41" s="124"/>
      <c r="CR41" s="793"/>
      <c r="CS41" s="794"/>
      <c r="CT41" s="124"/>
      <c r="CU41" s="122"/>
      <c r="CV41" s="164"/>
      <c r="CW41" s="124"/>
      <c r="CX41" s="793"/>
      <c r="CY41" s="794"/>
      <c r="CZ41" s="124"/>
      <c r="DA41" s="122"/>
      <c r="DB41" s="164"/>
      <c r="DC41" s="124"/>
      <c r="DD41" s="793"/>
      <c r="DE41" s="796"/>
      <c r="DF41" s="124"/>
      <c r="DG41" s="122"/>
      <c r="DH41" s="795"/>
      <c r="DI41" s="124"/>
      <c r="DJ41" s="793"/>
      <c r="DK41" s="796"/>
      <c r="DL41" s="124"/>
      <c r="DM41" s="122"/>
      <c r="DN41" s="795"/>
      <c r="DO41" s="124"/>
      <c r="DP41" s="122"/>
      <c r="DQ41" s="123"/>
      <c r="DR41" s="124"/>
      <c r="DS41" s="122"/>
      <c r="DT41" s="123"/>
      <c r="DU41" s="124"/>
      <c r="DV41" s="793"/>
      <c r="DW41" s="796"/>
      <c r="DX41" s="124"/>
      <c r="DY41" s="122"/>
      <c r="DZ41" s="795"/>
      <c r="EA41" s="124"/>
      <c r="EB41" s="793"/>
      <c r="EC41" s="796"/>
      <c r="ED41" s="124"/>
      <c r="EE41" s="122"/>
      <c r="EF41" s="795"/>
      <c r="EG41" s="124"/>
      <c r="EH41" s="793"/>
      <c r="EI41" s="796"/>
      <c r="EJ41" s="124"/>
      <c r="EK41" s="122"/>
      <c r="EL41" s="123"/>
      <c r="EM41" s="124"/>
      <c r="EN41" s="122"/>
      <c r="EO41" s="795"/>
      <c r="EP41" s="124">
        <v>45933</v>
      </c>
      <c r="EQ41" s="122">
        <v>1000</v>
      </c>
      <c r="ER41" s="164">
        <v>60.2</v>
      </c>
      <c r="ES41" s="124"/>
      <c r="ET41" s="122"/>
      <c r="EU41" s="795"/>
      <c r="EV41" s="124"/>
      <c r="EW41" s="793"/>
      <c r="EX41" s="796"/>
      <c r="EY41" s="124"/>
      <c r="EZ41" s="122"/>
      <c r="FA41" s="164"/>
      <c r="FB41" s="124"/>
      <c r="FC41" s="793"/>
      <c r="FD41" s="794"/>
      <c r="FE41" s="124"/>
      <c r="FF41" s="122"/>
      <c r="FG41" s="164"/>
      <c r="FH41" s="124"/>
      <c r="FI41" s="793"/>
      <c r="FJ41" s="794"/>
      <c r="FK41" s="124"/>
      <c r="FL41" s="122"/>
      <c r="FM41" s="164"/>
      <c r="FN41" s="124"/>
      <c r="FO41" s="793"/>
      <c r="FP41" s="796"/>
      <c r="FQ41" s="124"/>
      <c r="FR41" s="122"/>
      <c r="FS41" s="164"/>
      <c r="FT41" s="124"/>
      <c r="FU41" s="793"/>
      <c r="FV41" s="794"/>
      <c r="FW41" s="124"/>
      <c r="FX41" s="122"/>
      <c r="FY41" s="164"/>
      <c r="FZ41" s="124"/>
      <c r="GA41" s="793"/>
      <c r="GB41" s="794"/>
      <c r="GC41" s="124"/>
      <c r="GD41" s="122"/>
      <c r="GE41" s="164"/>
      <c r="GF41" s="124"/>
      <c r="GG41" s="793"/>
      <c r="GH41" s="794"/>
      <c r="GI41" s="124"/>
      <c r="GJ41" s="122"/>
      <c r="GK41" s="164"/>
      <c r="GL41" s="124"/>
      <c r="GM41" s="122"/>
      <c r="GN41" s="123"/>
      <c r="GO41" s="124"/>
      <c r="GP41" s="122"/>
      <c r="GQ41" s="123"/>
      <c r="GR41" s="124"/>
      <c r="GS41" s="122"/>
      <c r="GT41" s="123"/>
      <c r="GU41" s="124"/>
      <c r="GV41" s="122"/>
      <c r="GW41" s="123"/>
      <c r="GX41" s="124"/>
      <c r="GY41" s="122"/>
      <c r="GZ41" s="795"/>
      <c r="HA41" s="124"/>
      <c r="HB41" s="793"/>
      <c r="HC41" s="796"/>
      <c r="HD41" s="124"/>
      <c r="HE41" s="122"/>
      <c r="HF41" s="796"/>
      <c r="HG41" s="138"/>
      <c r="HH41" s="793"/>
      <c r="HI41" s="796"/>
      <c r="HJ41" s="124"/>
      <c r="HK41" s="122"/>
      <c r="HL41" s="795"/>
      <c r="HM41" s="124"/>
      <c r="HN41" s="793"/>
      <c r="HO41" s="796"/>
      <c r="HP41" s="124"/>
      <c r="HQ41" s="122"/>
      <c r="HR41" s="795"/>
      <c r="HS41" s="124"/>
      <c r="HT41" s="122"/>
      <c r="HU41" s="164"/>
      <c r="HV41" s="124"/>
      <c r="HW41" s="122"/>
      <c r="HX41" s="164"/>
      <c r="HY41" s="124"/>
      <c r="HZ41" s="122"/>
      <c r="IA41" s="164"/>
      <c r="IB41" s="124"/>
      <c r="IC41" s="793"/>
      <c r="ID41" s="794"/>
      <c r="IE41" s="124"/>
      <c r="IF41" s="122"/>
      <c r="IG41" s="796"/>
      <c r="IH41" s="124"/>
      <c r="II41" s="122"/>
      <c r="IJ41" s="164"/>
      <c r="IK41" s="124"/>
      <c r="IL41" s="122"/>
      <c r="IM41" s="123"/>
      <c r="IN41" s="124"/>
      <c r="IO41" s="122"/>
      <c r="IP41" s="123"/>
      <c r="IQ41" s="124"/>
      <c r="IR41" s="122"/>
      <c r="IS41" s="123"/>
      <c r="IT41" s="124"/>
      <c r="IU41" s="122"/>
      <c r="IV41" s="123"/>
      <c r="IW41" s="124"/>
      <c r="IX41" s="122"/>
      <c r="IY41" s="123"/>
      <c r="IZ41" s="124"/>
      <c r="JA41" s="122"/>
      <c r="JB41" s="123"/>
      <c r="JC41" s="124"/>
      <c r="JD41" s="122"/>
      <c r="JE41" s="123"/>
      <c r="JF41" s="124"/>
      <c r="JG41" s="122"/>
      <c r="JH41" s="795"/>
      <c r="JI41" s="124"/>
      <c r="JJ41" s="793"/>
      <c r="JK41" s="796"/>
      <c r="JL41" s="124"/>
      <c r="JM41" s="122"/>
      <c r="JN41" s="795"/>
      <c r="JO41" s="124"/>
      <c r="JP41" s="793"/>
      <c r="JQ41" s="796"/>
      <c r="JR41" s="124"/>
      <c r="JS41" s="122"/>
      <c r="JT41" s="795"/>
      <c r="JU41" s="169" t="str" cm="1">
        <f t="array" ref="JU41">IF( ISNUMBER(MATCH(JU$3,Entries!$B$3:$B$16,0)),           _xlfn.IFS(  JU40="","",      AND(SUMPRODUCT((Entries!$A$3:$A$16=JU40)*(Entries!$C$3:$C$16=JV40)*(Entries!$D$3:$D$16=JW40)) = 0,        _xlfn.XLOOKUP(JU$3,Entries!$B$3:$B$16,Entries!$E$3:$E$16,"Enter")="Booked"),   INDEX(Entries!$B$3:$E$16,MATCH(JU$3,Entries!$B$3:$B$16,0),2),      JU40 &lt;&gt;0,""                                                ),"")</f>
        <v/>
      </c>
      <c r="JV41" s="122" t="str" cm="1">
        <f t="array" ref="JV41">IF( ISNUMBER(MATCH(JU$3,Entries!$B$3:$B$16,0)),           _xlfn.IFS(  JU41="","",      SUMPRODUCT((Entries!$A$3:$A$16=JU40)*(Entries!$C$3:$C$16=JV40)*(Entries!$D$3:$D$16=JW40)) &lt;&gt;0,"",         _xlfn.XLOOKUP(JU$3,Entries!$B$3:$B$16,Entries!$E$3:$E$16,"Enter")="Booked",   INDEX(Entries!$B$3:$E$16,MATCH(JU$3,Entries!$B$3:$B$16,0),3),                                                    _xlfn.XLOOKUP(JU$3,Entries!$B$3:$B$16,Entries!$A$3:$A$16,"Error"),""),"")</f>
        <v/>
      </c>
      <c r="JW41" s="123" t="str" cm="1">
        <f t="array" ref="JW41">IF( ISNUMBER(MATCH(JU$3,Entries!$B$3:$B$16,0)),           _xlfn.IFS(  JU41="","",      SUMPRODUCT((Entries!$A$3:$A$16=JV40)*(Entries!$C$3:$C$16=JW40)*(Entries!$D$3:$D$16=JX40)) &lt;&gt;0,"",         _xlfn.XLOOKUP(JU$3,Entries!$B$3:$B$16,Entries!$E$3:$E$16,"Enter")="Booked",   INDEX(Entries!$B$3:$E$16,MATCH(JU$3,Entries!$B$3:$B$16,0),4),                                                    _xlfn.XLOOKUP(JU$3,Entries!$B$3:$B$16,Entries!$A$3:$A$16,"Error"),""),"")</f>
        <v/>
      </c>
      <c r="JX41" s="169" t="str" cm="1">
        <f t="array" ref="JX41">IF( ISNUMBER(MATCH(JX$3,Entries!$B$3:$B$16,0)),           _xlfn.IFS(  JX40="","",      AND(SUMPRODUCT((Entries!$A$3:$A$16=JX40)*(Entries!$C$3:$C$16=JY40)*(Entries!$D$3:$D$16=JZ40)) = 0,        _xlfn.XLOOKUP(JX$3,Entries!$B$3:$B$16,Entries!$E$3:$E$16,"Enter")="Booked"),   INDEX(Entries!$B$3:$E$16,MATCH(JX$3,Entries!$B$3:$B$16,0),2),      JX40 &lt;&gt;0,""                                                ),"")</f>
        <v/>
      </c>
      <c r="JY41" s="122" t="str" cm="1">
        <f t="array" ref="JY41">IF( ISNUMBER(MATCH(JX$3,Entries!$B$3:$B$16,0)),           _xlfn.IFS(  JX41="","",      SUMPRODUCT((Entries!$A$3:$A$16=JX40)*(Entries!$C$3:$C$16=JY40)*(Entries!$D$3:$D$16=JZ40)) &lt;&gt;0,"",         _xlfn.XLOOKUP(JX$3,Entries!$B$3:$B$16,Entries!$E$3:$E$16,"Enter")="Booked",   INDEX(Entries!$B$3:$E$16,MATCH(JX$3,Entries!$B$3:$B$16,0),3),                                                    _xlfn.XLOOKUP(JX$3,Entries!$B$3:$B$16,Entries!$A$3:$A$16,"Error"),""),"")</f>
        <v/>
      </c>
      <c r="JZ41" s="123" t="str" cm="1">
        <f t="array" ref="JZ41">IF( ISNUMBER(MATCH(JX$3,Entries!$B$3:$B$16,0)),           _xlfn.IFS(  JX41="","",      SUMPRODUCT((Entries!$A$3:$A$16=JY40)*(Entries!$C$3:$C$16=JZ40)*(Entries!$D$3:$D$16=KA40)) &lt;&gt;0,"",         _xlfn.XLOOKUP(JX$3,Entries!$B$3:$B$16,Entries!$E$3:$E$16,"Enter")="Booked",   INDEX(Entries!$B$3:$E$16,MATCH(JX$3,Entries!$B$3:$B$16,0),4),                                                    _xlfn.XLOOKUP(JX$3,Entries!$B$3:$B$16,Entries!$A$3:$A$16,"Error"),""),"")</f>
        <v/>
      </c>
      <c r="KA41" s="169" t="str" cm="1">
        <f t="array" ref="KA41">IF( ISNUMBER(MATCH(KA$3,Entries!$B$3:$B$16,0)),           _xlfn.IFS(  KA40="","",      AND(SUMPRODUCT((Entries!$A$3:$A$16=KA40)*(Entries!$C$3:$C$16=KB40)*(Entries!$D$3:$D$16=KC40)) = 0,        _xlfn.XLOOKUP(KA$3,Entries!$B$3:$B$16,Entries!$E$3:$E$16,"Enter")="Booked"),   INDEX(Entries!$B$3:$E$16,MATCH(KA$3,Entries!$B$3:$B$16,0),2),      KA40 &lt;&gt;0,""                                                ),"")</f>
        <v/>
      </c>
      <c r="KB41" s="122" t="str" cm="1">
        <f t="array" ref="KB41">IF( ISNUMBER(MATCH(KA$3,Entries!$B$3:$B$16,0)),           _xlfn.IFS(  KA41="","",      SUMPRODUCT((Entries!$A$3:$A$16=KA40)*(Entries!$C$3:$C$16=KB40)*(Entries!$D$3:$D$16=KC40)) &lt;&gt;0,"",         _xlfn.XLOOKUP(KA$3,Entries!$B$3:$B$16,Entries!$E$3:$E$16,"Enter")="Booked",   INDEX(Entries!$B$3:$E$16,MATCH(KA$3,Entries!$B$3:$B$16,0),3),                                                    _xlfn.XLOOKUP(KA$3,Entries!$B$3:$B$16,Entries!$A$3:$A$16,"Error"),""),"")</f>
        <v/>
      </c>
      <c r="KC41" s="123" t="str" cm="1">
        <f t="array" ref="KC41">IF( ISNUMBER(MATCH(KA$3,Entries!$B$3:$B$16,0)),           _xlfn.IFS(  KA41="","",      SUMPRODUCT((Entries!$A$3:$A$16=KB40)*(Entries!$C$3:$C$16=KC40)*(Entries!$D$3:$D$16=KD40)) &lt;&gt;0,"",         _xlfn.XLOOKUP(KA$3,Entries!$B$3:$B$16,Entries!$E$3:$E$16,"Enter")="Booked",   INDEX(Entries!$B$3:$E$16,MATCH(KA$3,Entries!$B$3:$B$16,0),4),                                                    _xlfn.XLOOKUP(KA$3,Entries!$B$3:$B$16,Entries!$A$3:$A$16,"Error"),""),"")</f>
        <v/>
      </c>
      <c r="KD41" s="169" t="str" cm="1">
        <f t="array" ref="KD41">IF( ISNUMBER(MATCH(KD$3,Entries!$B$3:$B$16,0)),           _xlfn.IFS(  KD40="","",      AND(SUMPRODUCT((Entries!$A$3:$A$16=KD40)*(Entries!$C$3:$C$16=KE40)*(Entries!$D$3:$D$16=KF40)) = 0,        _xlfn.XLOOKUP(KD$3,Entries!$B$3:$B$16,Entries!$E$3:$E$16,"Enter")="Booked"),   INDEX(Entries!$B$3:$E$16,MATCH(KD$3,Entries!$B$3:$B$16,0),2),      KD40 &lt;&gt;0,""                                                ),"")</f>
        <v/>
      </c>
      <c r="KE41" s="122" t="str" cm="1">
        <f t="array" ref="KE41">IF( ISNUMBER(MATCH(KD$3,Entries!$B$3:$B$16,0)),           _xlfn.IFS(  KD41="","",      SUMPRODUCT((Entries!$A$3:$A$16=KD40)*(Entries!$C$3:$C$16=KE40)*(Entries!$D$3:$D$16=KF40)) &lt;&gt;0,"",         _xlfn.XLOOKUP(KD$3,Entries!$B$3:$B$16,Entries!$E$3:$E$16,"Enter")="Booked",   INDEX(Entries!$B$3:$E$16,MATCH(KD$3,Entries!$B$3:$B$16,0),3),                                                    _xlfn.XLOOKUP(KD$3,Entries!$B$3:$B$16,Entries!$A$3:$A$16,"Error"),""),"")</f>
        <v/>
      </c>
      <c r="KF41" s="123" t="str" cm="1">
        <f t="array" ref="KF41">IF( ISNUMBER(MATCH(KD$3,Entries!$B$3:$B$16,0)),           _xlfn.IFS(  KD41="","",      SUMPRODUCT((Entries!$A$3:$A$16=KE40)*(Entries!$C$3:$C$16=KF40)*(Entries!$D$3:$D$16=KG40)) &lt;&gt;0,"",         _xlfn.XLOOKUP(KD$3,Entries!$B$3:$B$16,Entries!$E$3:$E$16,"Enter")="Booked",   INDEX(Entries!$B$3:$E$16,MATCH(KD$3,Entries!$B$3:$B$16,0),4),                                                    _xlfn.XLOOKUP(KD$3,Entries!$B$3:$B$16,Entries!$A$3:$A$16,"Error"),""),"")</f>
        <v/>
      </c>
    </row>
    <row r="42" spans="1:292">
      <c r="A42" s="792"/>
      <c r="B42" s="124"/>
      <c r="C42" s="122"/>
      <c r="D42" s="164"/>
      <c r="E42" s="124"/>
      <c r="F42" s="793"/>
      <c r="G42" s="794"/>
      <c r="H42" s="124"/>
      <c r="I42" s="122"/>
      <c r="J42" s="164"/>
      <c r="K42" s="124"/>
      <c r="L42" s="793"/>
      <c r="M42" s="794"/>
      <c r="N42" s="138"/>
      <c r="O42" s="122"/>
      <c r="P42" s="794"/>
      <c r="Q42" s="138">
        <v>45909</v>
      </c>
      <c r="R42" s="122">
        <v>500</v>
      </c>
      <c r="S42" s="794">
        <v>662.4</v>
      </c>
      <c r="T42" s="794"/>
      <c r="U42" s="794"/>
      <c r="V42" s="794"/>
      <c r="W42" s="138"/>
      <c r="X42" s="793"/>
      <c r="Y42" s="794"/>
      <c r="Z42" s="138"/>
      <c r="AA42" s="122"/>
      <c r="AB42" s="794"/>
      <c r="AC42" s="138"/>
      <c r="AD42" s="793"/>
      <c r="AE42" s="794"/>
      <c r="AF42" s="138"/>
      <c r="AG42" s="793"/>
      <c r="AH42" s="794"/>
      <c r="AI42" s="138"/>
      <c r="AJ42" s="793"/>
      <c r="AK42" s="794"/>
      <c r="AL42" s="138"/>
      <c r="AM42" s="793"/>
      <c r="AN42" s="794"/>
      <c r="AO42" s="124"/>
      <c r="AP42" s="793"/>
      <c r="AQ42" s="794"/>
      <c r="AR42" s="124"/>
      <c r="AS42" s="793"/>
      <c r="AT42" s="794"/>
      <c r="AU42" s="124"/>
      <c r="AV42" s="793"/>
      <c r="AW42" s="794"/>
      <c r="AX42" s="124"/>
      <c r="AY42" s="793"/>
      <c r="AZ42" s="794"/>
      <c r="BA42" s="124"/>
      <c r="BB42" s="793"/>
      <c r="BC42" s="794"/>
      <c r="BD42" s="124"/>
      <c r="BE42" s="793"/>
      <c r="BF42" s="794"/>
      <c r="BG42" s="124"/>
      <c r="BH42" s="793"/>
      <c r="BI42" s="794"/>
      <c r="BJ42" s="124"/>
      <c r="BK42" s="793"/>
      <c r="BL42" s="794"/>
      <c r="BM42" s="124"/>
      <c r="BN42" s="793"/>
      <c r="BO42" s="794"/>
      <c r="BP42" s="124"/>
      <c r="BQ42" s="793"/>
      <c r="BR42" s="794"/>
      <c r="BS42" s="124">
        <v>45937</v>
      </c>
      <c r="BT42" s="793">
        <v>10000</v>
      </c>
      <c r="BU42" s="794">
        <v>386.01</v>
      </c>
      <c r="BV42" s="124"/>
      <c r="BW42" s="122"/>
      <c r="BX42" s="164"/>
      <c r="BY42" s="124"/>
      <c r="BZ42" s="793"/>
      <c r="CA42" s="794"/>
      <c r="CB42" s="124"/>
      <c r="CC42" s="122"/>
      <c r="CD42" s="164"/>
      <c r="CE42" s="124"/>
      <c r="CF42" s="793"/>
      <c r="CG42" s="794"/>
      <c r="CH42" s="124"/>
      <c r="CI42" s="122"/>
      <c r="CJ42" s="795"/>
      <c r="CK42" s="124"/>
      <c r="CL42" s="793"/>
      <c r="CM42" s="794"/>
      <c r="CN42" s="124"/>
      <c r="CO42" s="122"/>
      <c r="CP42" s="164"/>
      <c r="CQ42" s="124"/>
      <c r="CR42" s="793"/>
      <c r="CS42" s="794"/>
      <c r="CT42" s="124"/>
      <c r="CU42" s="122"/>
      <c r="CV42" s="164"/>
      <c r="CW42" s="124"/>
      <c r="CX42" s="793"/>
      <c r="CY42" s="794"/>
      <c r="CZ42" s="124"/>
      <c r="DA42" s="122"/>
      <c r="DB42" s="164"/>
      <c r="DC42" s="124"/>
      <c r="DD42" s="793"/>
      <c r="DE42" s="796"/>
      <c r="DF42" s="124"/>
      <c r="DG42" s="122"/>
      <c r="DH42" s="795"/>
      <c r="DI42" s="124"/>
      <c r="DJ42" s="793"/>
      <c r="DK42" s="796"/>
      <c r="DL42" s="124"/>
      <c r="DM42" s="122"/>
      <c r="DN42" s="795"/>
      <c r="DO42" s="124"/>
      <c r="DP42" s="122"/>
      <c r="DQ42" s="123"/>
      <c r="DR42" s="124"/>
      <c r="DS42" s="122"/>
      <c r="DT42" s="123"/>
      <c r="DU42" s="124"/>
      <c r="DV42" s="793"/>
      <c r="DW42" s="796"/>
      <c r="DX42" s="124"/>
      <c r="DY42" s="122"/>
      <c r="DZ42" s="795"/>
      <c r="EA42" s="124"/>
      <c r="EB42" s="793"/>
      <c r="EC42" s="796"/>
      <c r="ED42" s="124"/>
      <c r="EE42" s="122"/>
      <c r="EF42" s="795"/>
      <c r="EG42" s="124"/>
      <c r="EH42" s="793"/>
      <c r="EI42" s="796"/>
      <c r="EJ42" s="124"/>
      <c r="EK42" s="122"/>
      <c r="EL42" s="123"/>
      <c r="EM42" s="124"/>
      <c r="EN42" s="122"/>
      <c r="EO42" s="795"/>
      <c r="EP42" s="124">
        <v>45939</v>
      </c>
      <c r="EQ42" s="122">
        <v>1000</v>
      </c>
      <c r="ER42" s="164">
        <v>61.8</v>
      </c>
      <c r="ES42" s="124"/>
      <c r="ET42" s="122"/>
      <c r="EU42" s="795"/>
      <c r="EV42" s="124"/>
      <c r="EW42" s="793"/>
      <c r="EX42" s="796"/>
      <c r="EY42" s="124"/>
      <c r="EZ42" s="122"/>
      <c r="FA42" s="164"/>
      <c r="FB42" s="124"/>
      <c r="FC42" s="793"/>
      <c r="FD42" s="794"/>
      <c r="FE42" s="124"/>
      <c r="FF42" s="122"/>
      <c r="FG42" s="164"/>
      <c r="FH42" s="124"/>
      <c r="FI42" s="793"/>
      <c r="FJ42" s="794"/>
      <c r="FK42" s="124"/>
      <c r="FL42" s="122"/>
      <c r="FM42" s="164"/>
      <c r="FN42" s="124"/>
      <c r="FO42" s="793"/>
      <c r="FP42" s="796"/>
      <c r="FQ42" s="124"/>
      <c r="FR42" s="122"/>
      <c r="FS42" s="164"/>
      <c r="FT42" s="124"/>
      <c r="FU42" s="793"/>
      <c r="FV42" s="794"/>
      <c r="FW42" s="124"/>
      <c r="FX42" s="122"/>
      <c r="FY42" s="164"/>
      <c r="FZ42" s="124"/>
      <c r="GA42" s="793"/>
      <c r="GB42" s="794"/>
      <c r="GC42" s="124"/>
      <c r="GD42" s="122"/>
      <c r="GE42" s="164"/>
      <c r="GF42" s="124"/>
      <c r="GG42" s="793"/>
      <c r="GH42" s="794"/>
      <c r="GI42" s="124"/>
      <c r="GJ42" s="122"/>
      <c r="GK42" s="164"/>
      <c r="GL42" s="124"/>
      <c r="GM42" s="122"/>
      <c r="GN42" s="123"/>
      <c r="GO42" s="124"/>
      <c r="GP42" s="122"/>
      <c r="GQ42" s="123"/>
      <c r="GR42" s="124"/>
      <c r="GS42" s="122"/>
      <c r="GT42" s="123"/>
      <c r="GU42" s="124"/>
      <c r="GV42" s="122"/>
      <c r="GW42" s="123"/>
      <c r="GX42" s="124"/>
      <c r="GY42" s="122"/>
      <c r="GZ42" s="795"/>
      <c r="HA42" s="124"/>
      <c r="HB42" s="793"/>
      <c r="HC42" s="796"/>
      <c r="HD42" s="124"/>
      <c r="HE42" s="122"/>
      <c r="HF42" s="796"/>
      <c r="HG42" s="138"/>
      <c r="HH42" s="793"/>
      <c r="HI42" s="796"/>
      <c r="HJ42" s="124"/>
      <c r="HK42" s="122"/>
      <c r="HL42" s="795"/>
      <c r="HM42" s="124"/>
      <c r="HN42" s="793"/>
      <c r="HO42" s="796"/>
      <c r="HP42" s="124"/>
      <c r="HQ42" s="122"/>
      <c r="HR42" s="795"/>
      <c r="HS42" s="124"/>
      <c r="HT42" s="122"/>
      <c r="HU42" s="164"/>
      <c r="HV42" s="124"/>
      <c r="HW42" s="122"/>
      <c r="HX42" s="164"/>
      <c r="HY42" s="124"/>
      <c r="HZ42" s="122"/>
      <c r="IA42" s="164"/>
      <c r="IB42" s="124"/>
      <c r="IC42" s="793"/>
      <c r="ID42" s="794"/>
      <c r="IE42" s="124"/>
      <c r="IF42" s="122"/>
      <c r="IG42" s="796"/>
      <c r="IH42" s="124"/>
      <c r="II42" s="122"/>
      <c r="IJ42" s="164"/>
      <c r="IK42" s="124"/>
      <c r="IL42" s="122"/>
      <c r="IM42" s="123"/>
      <c r="IN42" s="124"/>
      <c r="IO42" s="122"/>
      <c r="IP42" s="123"/>
      <c r="IQ42" s="124"/>
      <c r="IR42" s="122"/>
      <c r="IS42" s="123"/>
      <c r="IT42" s="124"/>
      <c r="IU42" s="122"/>
      <c r="IV42" s="123"/>
      <c r="IW42" s="124"/>
      <c r="IX42" s="122"/>
      <c r="IY42" s="123"/>
      <c r="IZ42" s="124"/>
      <c r="JA42" s="122"/>
      <c r="JB42" s="123"/>
      <c r="JC42" s="124"/>
      <c r="JD42" s="122"/>
      <c r="JE42" s="123"/>
      <c r="JF42" s="124"/>
      <c r="JG42" s="122"/>
      <c r="JH42" s="795"/>
      <c r="JI42" s="124"/>
      <c r="JJ42" s="793"/>
      <c r="JK42" s="796"/>
      <c r="JL42" s="124"/>
      <c r="JM42" s="122"/>
      <c r="JN42" s="795"/>
      <c r="JO42" s="124"/>
      <c r="JP42" s="793"/>
      <c r="JQ42" s="796"/>
      <c r="JR42" s="124"/>
      <c r="JS42" s="122"/>
      <c r="JT42" s="795"/>
      <c r="JU42" s="169" t="str" cm="1">
        <f t="array" ref="JU42">IF( ISNUMBER(MATCH(JU$3,Entries!$B$3:$B$16,0)),           _xlfn.IFS(  JU41="","",      AND(SUMPRODUCT((Entries!$A$3:$A$16=JU41)*(Entries!$C$3:$C$16=JV41)*(Entries!$D$3:$D$16=JW41)) = 0,        _xlfn.XLOOKUP(JU$3,Entries!$B$3:$B$16,Entries!$E$3:$E$16,"Enter")="Booked"),   INDEX(Entries!$B$3:$E$16,MATCH(JU$3,Entries!$B$3:$B$16,0),2),      JU41 &lt;&gt;0,""                                                ),"")</f>
        <v/>
      </c>
      <c r="JV42" s="122" t="str" cm="1">
        <f t="array" ref="JV42">IF( ISNUMBER(MATCH(JU$3,Entries!$B$3:$B$16,0)),           _xlfn.IFS(  JU42="","",      SUMPRODUCT((Entries!$A$3:$A$16=JU41)*(Entries!$C$3:$C$16=JV41)*(Entries!$D$3:$D$16=JW41)) &lt;&gt;0,"",         _xlfn.XLOOKUP(JU$3,Entries!$B$3:$B$16,Entries!$E$3:$E$16,"Enter")="Booked",   INDEX(Entries!$B$3:$E$16,MATCH(JU$3,Entries!$B$3:$B$16,0),3),                                                    _xlfn.XLOOKUP(JU$3,Entries!$B$3:$B$16,Entries!$A$3:$A$16,"Error"),""),"")</f>
        <v/>
      </c>
      <c r="JW42" s="123" t="str" cm="1">
        <f t="array" ref="JW42">IF( ISNUMBER(MATCH(JU$3,Entries!$B$3:$B$16,0)),           _xlfn.IFS(  JU42="","",      SUMPRODUCT((Entries!$A$3:$A$16=JV41)*(Entries!$C$3:$C$16=JW41)*(Entries!$D$3:$D$16=JX41)) &lt;&gt;0,"",         _xlfn.XLOOKUP(JU$3,Entries!$B$3:$B$16,Entries!$E$3:$E$16,"Enter")="Booked",   INDEX(Entries!$B$3:$E$16,MATCH(JU$3,Entries!$B$3:$B$16,0),4),                                                    _xlfn.XLOOKUP(JU$3,Entries!$B$3:$B$16,Entries!$A$3:$A$16,"Error"),""),"")</f>
        <v/>
      </c>
      <c r="JX42" s="169" t="str" cm="1">
        <f t="array" ref="JX42">IF( ISNUMBER(MATCH(JX$3,Entries!$B$3:$B$16,0)),           _xlfn.IFS(  JX41="","",      AND(SUMPRODUCT((Entries!$A$3:$A$16=JX41)*(Entries!$C$3:$C$16=JY41)*(Entries!$D$3:$D$16=JZ41)) = 0,        _xlfn.XLOOKUP(JX$3,Entries!$B$3:$B$16,Entries!$E$3:$E$16,"Enter")="Booked"),   INDEX(Entries!$B$3:$E$16,MATCH(JX$3,Entries!$B$3:$B$16,0),2),      JX41 &lt;&gt;0,""                                                ),"")</f>
        <v/>
      </c>
      <c r="JY42" s="122" t="str" cm="1">
        <f t="array" ref="JY42">IF( ISNUMBER(MATCH(JX$3,Entries!$B$3:$B$16,0)),           _xlfn.IFS(  JX42="","",      SUMPRODUCT((Entries!$A$3:$A$16=JX41)*(Entries!$C$3:$C$16=JY41)*(Entries!$D$3:$D$16=JZ41)) &lt;&gt;0,"",         _xlfn.XLOOKUP(JX$3,Entries!$B$3:$B$16,Entries!$E$3:$E$16,"Enter")="Booked",   INDEX(Entries!$B$3:$E$16,MATCH(JX$3,Entries!$B$3:$B$16,0),3),                                                    _xlfn.XLOOKUP(JX$3,Entries!$B$3:$B$16,Entries!$A$3:$A$16,"Error"),""),"")</f>
        <v/>
      </c>
      <c r="JZ42" s="123" t="str" cm="1">
        <f t="array" ref="JZ42">IF( ISNUMBER(MATCH(JX$3,Entries!$B$3:$B$16,0)),           _xlfn.IFS(  JX42="","",      SUMPRODUCT((Entries!$A$3:$A$16=JY41)*(Entries!$C$3:$C$16=JZ41)*(Entries!$D$3:$D$16=KA41)) &lt;&gt;0,"",         _xlfn.XLOOKUP(JX$3,Entries!$B$3:$B$16,Entries!$E$3:$E$16,"Enter")="Booked",   INDEX(Entries!$B$3:$E$16,MATCH(JX$3,Entries!$B$3:$B$16,0),4),                                                    _xlfn.XLOOKUP(JX$3,Entries!$B$3:$B$16,Entries!$A$3:$A$16,"Error"),""),"")</f>
        <v/>
      </c>
      <c r="KA42" s="169" t="str" cm="1">
        <f t="array" ref="KA42">IF( ISNUMBER(MATCH(KA$3,Entries!$B$3:$B$16,0)),           _xlfn.IFS(  KA41="","",      AND(SUMPRODUCT((Entries!$A$3:$A$16=KA41)*(Entries!$C$3:$C$16=KB41)*(Entries!$D$3:$D$16=KC41)) = 0,        _xlfn.XLOOKUP(KA$3,Entries!$B$3:$B$16,Entries!$E$3:$E$16,"Enter")="Booked"),   INDEX(Entries!$B$3:$E$16,MATCH(KA$3,Entries!$B$3:$B$16,0),2),      KA41 &lt;&gt;0,""                                                ),"")</f>
        <v/>
      </c>
      <c r="KB42" s="122" t="str" cm="1">
        <f t="array" ref="KB42">IF( ISNUMBER(MATCH(KA$3,Entries!$B$3:$B$16,0)),           _xlfn.IFS(  KA42="","",      SUMPRODUCT((Entries!$A$3:$A$16=KA41)*(Entries!$C$3:$C$16=KB41)*(Entries!$D$3:$D$16=KC41)) &lt;&gt;0,"",         _xlfn.XLOOKUP(KA$3,Entries!$B$3:$B$16,Entries!$E$3:$E$16,"Enter")="Booked",   INDEX(Entries!$B$3:$E$16,MATCH(KA$3,Entries!$B$3:$B$16,0),3),                                                    _xlfn.XLOOKUP(KA$3,Entries!$B$3:$B$16,Entries!$A$3:$A$16,"Error"),""),"")</f>
        <v/>
      </c>
      <c r="KC42" s="123" t="str" cm="1">
        <f t="array" ref="KC42">IF( ISNUMBER(MATCH(KA$3,Entries!$B$3:$B$16,0)),           _xlfn.IFS(  KA42="","",      SUMPRODUCT((Entries!$A$3:$A$16=KB41)*(Entries!$C$3:$C$16=KC41)*(Entries!$D$3:$D$16=KD41)) &lt;&gt;0,"",         _xlfn.XLOOKUP(KA$3,Entries!$B$3:$B$16,Entries!$E$3:$E$16,"Enter")="Booked",   INDEX(Entries!$B$3:$E$16,MATCH(KA$3,Entries!$B$3:$B$16,0),4),                                                    _xlfn.XLOOKUP(KA$3,Entries!$B$3:$B$16,Entries!$A$3:$A$16,"Error"),""),"")</f>
        <v/>
      </c>
      <c r="KD42" s="169" t="str" cm="1">
        <f t="array" ref="KD42">IF( ISNUMBER(MATCH(KD$3,Entries!$B$3:$B$16,0)),           _xlfn.IFS(  KD41="","",      AND(SUMPRODUCT((Entries!$A$3:$A$16=KD41)*(Entries!$C$3:$C$16=KE41)*(Entries!$D$3:$D$16=KF41)) = 0,        _xlfn.XLOOKUP(KD$3,Entries!$B$3:$B$16,Entries!$E$3:$E$16,"Enter")="Booked"),   INDEX(Entries!$B$3:$E$16,MATCH(KD$3,Entries!$B$3:$B$16,0),2),      KD41 &lt;&gt;0,""                                                ),"")</f>
        <v/>
      </c>
      <c r="KE42" s="122" t="str" cm="1">
        <f t="array" ref="KE42">IF( ISNUMBER(MATCH(KD$3,Entries!$B$3:$B$16,0)),           _xlfn.IFS(  KD42="","",      SUMPRODUCT((Entries!$A$3:$A$16=KD41)*(Entries!$C$3:$C$16=KE41)*(Entries!$D$3:$D$16=KF41)) &lt;&gt;0,"",         _xlfn.XLOOKUP(KD$3,Entries!$B$3:$B$16,Entries!$E$3:$E$16,"Enter")="Booked",   INDEX(Entries!$B$3:$E$16,MATCH(KD$3,Entries!$B$3:$B$16,0),3),                                                    _xlfn.XLOOKUP(KD$3,Entries!$B$3:$B$16,Entries!$A$3:$A$16,"Error"),""),"")</f>
        <v/>
      </c>
      <c r="KF42" s="123" t="str" cm="1">
        <f t="array" ref="KF42">IF( ISNUMBER(MATCH(KD$3,Entries!$B$3:$B$16,0)),           _xlfn.IFS(  KD42="","",      SUMPRODUCT((Entries!$A$3:$A$16=KE41)*(Entries!$C$3:$C$16=KF41)*(Entries!$D$3:$D$16=KG41)) &lt;&gt;0,"",         _xlfn.XLOOKUP(KD$3,Entries!$B$3:$B$16,Entries!$E$3:$E$16,"Enter")="Booked",   INDEX(Entries!$B$3:$E$16,MATCH(KD$3,Entries!$B$3:$B$16,0),4),                                                    _xlfn.XLOOKUP(KD$3,Entries!$B$3:$B$16,Entries!$A$3:$A$16,"Error"),""),"")</f>
        <v/>
      </c>
    </row>
    <row r="43" spans="1:292">
      <c r="A43" s="792"/>
      <c r="B43" s="124"/>
      <c r="C43" s="122"/>
      <c r="D43" s="164"/>
      <c r="E43" s="124"/>
      <c r="F43" s="793"/>
      <c r="G43" s="794"/>
      <c r="H43" s="124"/>
      <c r="I43" s="122"/>
      <c r="J43" s="164"/>
      <c r="K43" s="124"/>
      <c r="L43" s="793"/>
      <c r="M43" s="794"/>
      <c r="N43" s="138"/>
      <c r="O43" s="122"/>
      <c r="P43" s="794"/>
      <c r="Q43" s="138">
        <v>45915</v>
      </c>
      <c r="R43" s="122">
        <v>300</v>
      </c>
      <c r="S43" s="794">
        <v>728.4</v>
      </c>
      <c r="T43" s="794"/>
      <c r="U43" s="794"/>
      <c r="V43" s="794"/>
      <c r="W43" s="138"/>
      <c r="X43" s="793"/>
      <c r="Y43" s="794"/>
      <c r="Z43" s="138"/>
      <c r="AA43" s="122"/>
      <c r="AB43" s="794"/>
      <c r="AC43" s="138"/>
      <c r="AD43" s="793"/>
      <c r="AE43" s="794"/>
      <c r="AF43" s="138"/>
      <c r="AG43" s="793"/>
      <c r="AH43" s="794"/>
      <c r="AI43" s="138"/>
      <c r="AJ43" s="793"/>
      <c r="AK43" s="794"/>
      <c r="AL43" s="138"/>
      <c r="AM43" s="793"/>
      <c r="AN43" s="794"/>
      <c r="AO43" s="124"/>
      <c r="AP43" s="793"/>
      <c r="AQ43" s="794"/>
      <c r="AR43" s="124"/>
      <c r="AS43" s="793"/>
      <c r="AT43" s="794"/>
      <c r="AU43" s="124"/>
      <c r="AV43" s="793"/>
      <c r="AW43" s="794"/>
      <c r="AX43" s="124"/>
      <c r="AY43" s="793"/>
      <c r="AZ43" s="794"/>
      <c r="BA43" s="124"/>
      <c r="BB43" s="793"/>
      <c r="BC43" s="794"/>
      <c r="BD43" s="124"/>
      <c r="BE43" s="793"/>
      <c r="BF43" s="794"/>
      <c r="BG43" s="124"/>
      <c r="BH43" s="793"/>
      <c r="BI43" s="794"/>
      <c r="BJ43" s="124"/>
      <c r="BK43" s="793"/>
      <c r="BL43" s="794"/>
      <c r="BM43" s="124"/>
      <c r="BN43" s="793"/>
      <c r="BO43" s="794"/>
      <c r="BP43" s="124"/>
      <c r="BQ43" s="793"/>
      <c r="BR43" s="794"/>
      <c r="BS43" s="124">
        <v>45938</v>
      </c>
      <c r="BT43" s="793">
        <v>10000</v>
      </c>
      <c r="BU43" s="794">
        <v>397.01</v>
      </c>
      <c r="BV43" s="124"/>
      <c r="BW43" s="122"/>
      <c r="BX43" s="164"/>
      <c r="BY43" s="124"/>
      <c r="BZ43" s="793"/>
      <c r="CA43" s="794"/>
      <c r="CB43" s="124"/>
      <c r="CC43" s="122"/>
      <c r="CD43" s="164"/>
      <c r="CE43" s="124"/>
      <c r="CF43" s="793"/>
      <c r="CG43" s="794"/>
      <c r="CH43" s="124"/>
      <c r="CI43" s="122"/>
      <c r="CJ43" s="795"/>
      <c r="CK43" s="124"/>
      <c r="CL43" s="793"/>
      <c r="CM43" s="794"/>
      <c r="CN43" s="124"/>
      <c r="CO43" s="122"/>
      <c r="CP43" s="164"/>
      <c r="CQ43" s="124"/>
      <c r="CR43" s="793"/>
      <c r="CS43" s="794"/>
      <c r="CT43" s="124"/>
      <c r="CU43" s="122"/>
      <c r="CV43" s="164"/>
      <c r="CW43" s="124"/>
      <c r="CX43" s="793"/>
      <c r="CY43" s="794"/>
      <c r="CZ43" s="124"/>
      <c r="DA43" s="122"/>
      <c r="DB43" s="164"/>
      <c r="DC43" s="124"/>
      <c r="DD43" s="793"/>
      <c r="DE43" s="796"/>
      <c r="DF43" s="124"/>
      <c r="DG43" s="122"/>
      <c r="DH43" s="795"/>
      <c r="DI43" s="124"/>
      <c r="DJ43" s="793"/>
      <c r="DK43" s="796"/>
      <c r="DL43" s="124"/>
      <c r="DM43" s="122"/>
      <c r="DN43" s="795"/>
      <c r="DO43" s="124"/>
      <c r="DP43" s="122"/>
      <c r="DQ43" s="123"/>
      <c r="DR43" s="124"/>
      <c r="DS43" s="122"/>
      <c r="DT43" s="123"/>
      <c r="DU43" s="124"/>
      <c r="DV43" s="793"/>
      <c r="DW43" s="796"/>
      <c r="DX43" s="124"/>
      <c r="DY43" s="122"/>
      <c r="DZ43" s="795"/>
      <c r="EA43" s="124"/>
      <c r="EB43" s="793"/>
      <c r="EC43" s="796"/>
      <c r="ED43" s="124"/>
      <c r="EE43" s="122"/>
      <c r="EF43" s="795"/>
      <c r="EG43" s="124"/>
      <c r="EH43" s="793"/>
      <c r="EI43" s="796"/>
      <c r="EJ43" s="124"/>
      <c r="EK43" s="122"/>
      <c r="EL43" s="123"/>
      <c r="EM43" s="124"/>
      <c r="EN43" s="122"/>
      <c r="EO43" s="795"/>
      <c r="EP43" s="124">
        <v>45946</v>
      </c>
      <c r="EQ43" s="122">
        <v>1000</v>
      </c>
      <c r="ER43" s="164">
        <v>-59.8</v>
      </c>
      <c r="ES43" s="124"/>
      <c r="ET43" s="122"/>
      <c r="EU43" s="795"/>
      <c r="EV43" s="124"/>
      <c r="EW43" s="793"/>
      <c r="EX43" s="796"/>
      <c r="EY43" s="124"/>
      <c r="EZ43" s="122"/>
      <c r="FA43" s="164"/>
      <c r="FB43" s="124"/>
      <c r="FC43" s="793"/>
      <c r="FD43" s="794"/>
      <c r="FE43" s="124"/>
      <c r="FF43" s="122"/>
      <c r="FG43" s="164"/>
      <c r="FH43" s="124"/>
      <c r="FI43" s="793"/>
      <c r="FJ43" s="794"/>
      <c r="FK43" s="124"/>
      <c r="FL43" s="122"/>
      <c r="FM43" s="164"/>
      <c r="FN43" s="124"/>
      <c r="FO43" s="793"/>
      <c r="FP43" s="796"/>
      <c r="FQ43" s="124"/>
      <c r="FR43" s="122"/>
      <c r="FS43" s="164"/>
      <c r="FT43" s="124"/>
      <c r="FU43" s="793"/>
      <c r="FV43" s="794"/>
      <c r="FW43" s="124"/>
      <c r="FX43" s="122"/>
      <c r="FY43" s="164"/>
      <c r="FZ43" s="124"/>
      <c r="GA43" s="793"/>
      <c r="GB43" s="794"/>
      <c r="GC43" s="124"/>
      <c r="GD43" s="122"/>
      <c r="GE43" s="164"/>
      <c r="GF43" s="124"/>
      <c r="GG43" s="793"/>
      <c r="GH43" s="794"/>
      <c r="GI43" s="124"/>
      <c r="GJ43" s="122"/>
      <c r="GK43" s="164"/>
      <c r="GL43" s="124"/>
      <c r="GM43" s="122"/>
      <c r="GN43" s="123"/>
      <c r="GO43" s="124"/>
      <c r="GP43" s="122"/>
      <c r="GQ43" s="123"/>
      <c r="GR43" s="124"/>
      <c r="GS43" s="122"/>
      <c r="GT43" s="123"/>
      <c r="GU43" s="124"/>
      <c r="GV43" s="122"/>
      <c r="GW43" s="123"/>
      <c r="GX43" s="124"/>
      <c r="GY43" s="122"/>
      <c r="GZ43" s="795"/>
      <c r="HA43" s="124"/>
      <c r="HB43" s="793"/>
      <c r="HC43" s="796"/>
      <c r="HD43" s="124"/>
      <c r="HE43" s="122"/>
      <c r="HF43" s="796"/>
      <c r="HG43" s="138"/>
      <c r="HH43" s="793"/>
      <c r="HI43" s="796"/>
      <c r="HJ43" s="124"/>
      <c r="HK43" s="122"/>
      <c r="HL43" s="795"/>
      <c r="HM43" s="124"/>
      <c r="HN43" s="793"/>
      <c r="HO43" s="796"/>
      <c r="HP43" s="124"/>
      <c r="HQ43" s="122"/>
      <c r="HR43" s="795"/>
      <c r="HS43" s="124"/>
      <c r="HT43" s="122"/>
      <c r="HU43" s="164"/>
      <c r="HV43" s="124"/>
      <c r="HW43" s="122"/>
      <c r="HX43" s="164"/>
      <c r="HY43" s="124"/>
      <c r="HZ43" s="122"/>
      <c r="IA43" s="164"/>
      <c r="IB43" s="124"/>
      <c r="IC43" s="793"/>
      <c r="ID43" s="794"/>
      <c r="IE43" s="124"/>
      <c r="IF43" s="122"/>
      <c r="IG43" s="796"/>
      <c r="IH43" s="124"/>
      <c r="II43" s="122"/>
      <c r="IJ43" s="164"/>
      <c r="IK43" s="124"/>
      <c r="IL43" s="122"/>
      <c r="IM43" s="123"/>
      <c r="IN43" s="124"/>
      <c r="IO43" s="122"/>
      <c r="IP43" s="123"/>
      <c r="IQ43" s="124"/>
      <c r="IR43" s="122"/>
      <c r="IS43" s="123"/>
      <c r="IT43" s="124"/>
      <c r="IU43" s="122"/>
      <c r="IV43" s="123"/>
      <c r="IW43" s="124"/>
      <c r="IX43" s="122"/>
      <c r="IY43" s="123"/>
      <c r="IZ43" s="124"/>
      <c r="JA43" s="122"/>
      <c r="JB43" s="123"/>
      <c r="JC43" s="124"/>
      <c r="JD43" s="122"/>
      <c r="JE43" s="123"/>
      <c r="JF43" s="124"/>
      <c r="JG43" s="122"/>
      <c r="JH43" s="795"/>
      <c r="JI43" s="124"/>
      <c r="JJ43" s="793"/>
      <c r="JK43" s="796"/>
      <c r="JL43" s="124"/>
      <c r="JM43" s="122"/>
      <c r="JN43" s="795"/>
      <c r="JO43" s="124"/>
      <c r="JP43" s="793"/>
      <c r="JQ43" s="796"/>
      <c r="JR43" s="124"/>
      <c r="JS43" s="122"/>
      <c r="JT43" s="795"/>
      <c r="JU43" s="169" t="str" cm="1">
        <f t="array" ref="JU43">IF( ISNUMBER(MATCH(JU$3,Entries!$B$3:$B$16,0)),           _xlfn.IFS(  JU42="","",      AND(SUMPRODUCT((Entries!$A$3:$A$16=JU42)*(Entries!$C$3:$C$16=JV42)*(Entries!$D$3:$D$16=JW42)) = 0,        _xlfn.XLOOKUP(JU$3,Entries!$B$3:$B$16,Entries!$E$3:$E$16,"Enter")="Booked"),   INDEX(Entries!$B$3:$E$16,MATCH(JU$3,Entries!$B$3:$B$16,0),2),      JU42 &lt;&gt;0,""                                                ),"")</f>
        <v/>
      </c>
      <c r="JV43" s="122" t="str" cm="1">
        <f t="array" ref="JV43">IF( ISNUMBER(MATCH(JU$3,Entries!$B$3:$B$16,0)),           _xlfn.IFS(  JU43="","",      SUMPRODUCT((Entries!$A$3:$A$16=JU42)*(Entries!$C$3:$C$16=JV42)*(Entries!$D$3:$D$16=JW42)) &lt;&gt;0,"",         _xlfn.XLOOKUP(JU$3,Entries!$B$3:$B$16,Entries!$E$3:$E$16,"Enter")="Booked",   INDEX(Entries!$B$3:$E$16,MATCH(JU$3,Entries!$B$3:$B$16,0),3),                                                    _xlfn.XLOOKUP(JU$3,Entries!$B$3:$B$16,Entries!$A$3:$A$16,"Error"),""),"")</f>
        <v/>
      </c>
      <c r="JW43" s="123" t="str" cm="1">
        <f t="array" ref="JW43">IF( ISNUMBER(MATCH(JU$3,Entries!$B$3:$B$16,0)),           _xlfn.IFS(  JU43="","",      SUMPRODUCT((Entries!$A$3:$A$16=JV42)*(Entries!$C$3:$C$16=JW42)*(Entries!$D$3:$D$16=JX42)) &lt;&gt;0,"",         _xlfn.XLOOKUP(JU$3,Entries!$B$3:$B$16,Entries!$E$3:$E$16,"Enter")="Booked",   INDEX(Entries!$B$3:$E$16,MATCH(JU$3,Entries!$B$3:$B$16,0),4),                                                    _xlfn.XLOOKUP(JU$3,Entries!$B$3:$B$16,Entries!$A$3:$A$16,"Error"),""),"")</f>
        <v/>
      </c>
      <c r="JX43" s="169" t="str" cm="1">
        <f t="array" ref="JX43">IF( ISNUMBER(MATCH(JX$3,Entries!$B$3:$B$16,0)),           _xlfn.IFS(  JX42="","",      AND(SUMPRODUCT((Entries!$A$3:$A$16=JX42)*(Entries!$C$3:$C$16=JY42)*(Entries!$D$3:$D$16=JZ42)) = 0,        _xlfn.XLOOKUP(JX$3,Entries!$B$3:$B$16,Entries!$E$3:$E$16,"Enter")="Booked"),   INDEX(Entries!$B$3:$E$16,MATCH(JX$3,Entries!$B$3:$B$16,0),2),      JX42 &lt;&gt;0,""                                                ),"")</f>
        <v/>
      </c>
      <c r="JY43" s="122" t="str" cm="1">
        <f t="array" ref="JY43">IF( ISNUMBER(MATCH(JX$3,Entries!$B$3:$B$16,0)),           _xlfn.IFS(  JX43="","",      SUMPRODUCT((Entries!$A$3:$A$16=JX42)*(Entries!$C$3:$C$16=JY42)*(Entries!$D$3:$D$16=JZ42)) &lt;&gt;0,"",         _xlfn.XLOOKUP(JX$3,Entries!$B$3:$B$16,Entries!$E$3:$E$16,"Enter")="Booked",   INDEX(Entries!$B$3:$E$16,MATCH(JX$3,Entries!$B$3:$B$16,0),3),                                                    _xlfn.XLOOKUP(JX$3,Entries!$B$3:$B$16,Entries!$A$3:$A$16,"Error"),""),"")</f>
        <v/>
      </c>
      <c r="JZ43" s="123" t="str" cm="1">
        <f t="array" ref="JZ43">IF( ISNUMBER(MATCH(JX$3,Entries!$B$3:$B$16,0)),           _xlfn.IFS(  JX43="","",      SUMPRODUCT((Entries!$A$3:$A$16=JY42)*(Entries!$C$3:$C$16=JZ42)*(Entries!$D$3:$D$16=KA42)) &lt;&gt;0,"",         _xlfn.XLOOKUP(JX$3,Entries!$B$3:$B$16,Entries!$E$3:$E$16,"Enter")="Booked",   INDEX(Entries!$B$3:$E$16,MATCH(JX$3,Entries!$B$3:$B$16,0),4),                                                    _xlfn.XLOOKUP(JX$3,Entries!$B$3:$B$16,Entries!$A$3:$A$16,"Error"),""),"")</f>
        <v/>
      </c>
      <c r="KA43" s="169" t="str" cm="1">
        <f t="array" ref="KA43">IF( ISNUMBER(MATCH(KA$3,Entries!$B$3:$B$16,0)),           _xlfn.IFS(  KA42="","",      AND(SUMPRODUCT((Entries!$A$3:$A$16=KA42)*(Entries!$C$3:$C$16=KB42)*(Entries!$D$3:$D$16=KC42)) = 0,        _xlfn.XLOOKUP(KA$3,Entries!$B$3:$B$16,Entries!$E$3:$E$16,"Enter")="Booked"),   INDEX(Entries!$B$3:$E$16,MATCH(KA$3,Entries!$B$3:$B$16,0),2),      KA42 &lt;&gt;0,""                                                ),"")</f>
        <v/>
      </c>
      <c r="KB43" s="122" t="str" cm="1">
        <f t="array" ref="KB43">IF( ISNUMBER(MATCH(KA$3,Entries!$B$3:$B$16,0)),           _xlfn.IFS(  KA43="","",      SUMPRODUCT((Entries!$A$3:$A$16=KA42)*(Entries!$C$3:$C$16=KB42)*(Entries!$D$3:$D$16=KC42)) &lt;&gt;0,"",         _xlfn.XLOOKUP(KA$3,Entries!$B$3:$B$16,Entries!$E$3:$E$16,"Enter")="Booked",   INDEX(Entries!$B$3:$E$16,MATCH(KA$3,Entries!$B$3:$B$16,0),3),                                                    _xlfn.XLOOKUP(KA$3,Entries!$B$3:$B$16,Entries!$A$3:$A$16,"Error"),""),"")</f>
        <v/>
      </c>
      <c r="KC43" s="123" t="str" cm="1">
        <f t="array" ref="KC43">IF( ISNUMBER(MATCH(KA$3,Entries!$B$3:$B$16,0)),           _xlfn.IFS(  KA43="","",      SUMPRODUCT((Entries!$A$3:$A$16=KB42)*(Entries!$C$3:$C$16=KC42)*(Entries!$D$3:$D$16=KD42)) &lt;&gt;0,"",         _xlfn.XLOOKUP(KA$3,Entries!$B$3:$B$16,Entries!$E$3:$E$16,"Enter")="Booked",   INDEX(Entries!$B$3:$E$16,MATCH(KA$3,Entries!$B$3:$B$16,0),4),                                                    _xlfn.XLOOKUP(KA$3,Entries!$B$3:$B$16,Entries!$A$3:$A$16,"Error"),""),"")</f>
        <v/>
      </c>
      <c r="KD43" s="169" t="str" cm="1">
        <f t="array" ref="KD43">IF( ISNUMBER(MATCH(KD$3,Entries!$B$3:$B$16,0)),           _xlfn.IFS(  KD42="","",      AND(SUMPRODUCT((Entries!$A$3:$A$16=KD42)*(Entries!$C$3:$C$16=KE42)*(Entries!$D$3:$D$16=KF42)) = 0,        _xlfn.XLOOKUP(KD$3,Entries!$B$3:$B$16,Entries!$E$3:$E$16,"Enter")="Booked"),   INDEX(Entries!$B$3:$E$16,MATCH(KD$3,Entries!$B$3:$B$16,0),2),      KD42 &lt;&gt;0,""                                                ),"")</f>
        <v/>
      </c>
      <c r="KE43" s="122" t="str" cm="1">
        <f t="array" ref="KE43">IF( ISNUMBER(MATCH(KD$3,Entries!$B$3:$B$16,0)),           _xlfn.IFS(  KD43="","",      SUMPRODUCT((Entries!$A$3:$A$16=KD42)*(Entries!$C$3:$C$16=KE42)*(Entries!$D$3:$D$16=KF42)) &lt;&gt;0,"",         _xlfn.XLOOKUP(KD$3,Entries!$B$3:$B$16,Entries!$E$3:$E$16,"Enter")="Booked",   INDEX(Entries!$B$3:$E$16,MATCH(KD$3,Entries!$B$3:$B$16,0),3),                                                    _xlfn.XLOOKUP(KD$3,Entries!$B$3:$B$16,Entries!$A$3:$A$16,"Error"),""),"")</f>
        <v/>
      </c>
      <c r="KF43" s="123" t="str" cm="1">
        <f t="array" ref="KF43">IF( ISNUMBER(MATCH(KD$3,Entries!$B$3:$B$16,0)),           _xlfn.IFS(  KD43="","",      SUMPRODUCT((Entries!$A$3:$A$16=KE42)*(Entries!$C$3:$C$16=KF42)*(Entries!$D$3:$D$16=KG42)) &lt;&gt;0,"",         _xlfn.XLOOKUP(KD$3,Entries!$B$3:$B$16,Entries!$E$3:$E$16,"Enter")="Booked",   INDEX(Entries!$B$3:$E$16,MATCH(KD$3,Entries!$B$3:$B$16,0),4),                                                    _xlfn.XLOOKUP(KD$3,Entries!$B$3:$B$16,Entries!$A$3:$A$16,"Error"),""),"")</f>
        <v/>
      </c>
    </row>
    <row r="44" spans="1:292">
      <c r="A44" s="792"/>
      <c r="B44" s="124"/>
      <c r="C44" s="122"/>
      <c r="D44" s="164"/>
      <c r="E44" s="124"/>
      <c r="F44" s="793"/>
      <c r="G44" s="794"/>
      <c r="H44" s="124"/>
      <c r="I44" s="122"/>
      <c r="J44" s="164"/>
      <c r="K44" s="124"/>
      <c r="L44" s="793"/>
      <c r="M44" s="794"/>
      <c r="N44" s="138"/>
      <c r="O44" s="122"/>
      <c r="P44" s="794"/>
      <c r="Q44" s="138">
        <v>45918</v>
      </c>
      <c r="R44" s="122">
        <v>100</v>
      </c>
      <c r="S44" s="794">
        <v>772.4</v>
      </c>
      <c r="T44" s="794"/>
      <c r="U44" s="794"/>
      <c r="V44" s="794"/>
      <c r="W44" s="138"/>
      <c r="X44" s="793"/>
      <c r="Y44" s="794"/>
      <c r="Z44" s="138"/>
      <c r="AA44" s="122"/>
      <c r="AB44" s="794"/>
      <c r="AC44" s="138"/>
      <c r="AD44" s="793"/>
      <c r="AE44" s="794"/>
      <c r="AF44" s="138"/>
      <c r="AG44" s="793"/>
      <c r="AH44" s="794"/>
      <c r="AI44" s="138"/>
      <c r="AJ44" s="793"/>
      <c r="AK44" s="794"/>
      <c r="AL44" s="138"/>
      <c r="AM44" s="793"/>
      <c r="AN44" s="794"/>
      <c r="AO44" s="124"/>
      <c r="AP44" s="793"/>
      <c r="AQ44" s="794"/>
      <c r="AR44" s="124"/>
      <c r="AS44" s="793"/>
      <c r="AT44" s="794"/>
      <c r="AU44" s="124"/>
      <c r="AV44" s="793"/>
      <c r="AW44" s="794"/>
      <c r="AX44" s="124"/>
      <c r="AY44" s="793"/>
      <c r="AZ44" s="794"/>
      <c r="BA44" s="124"/>
      <c r="BB44" s="793"/>
      <c r="BC44" s="794"/>
      <c r="BD44" s="124"/>
      <c r="BE44" s="793"/>
      <c r="BF44" s="794"/>
      <c r="BG44" s="124"/>
      <c r="BH44" s="793"/>
      <c r="BI44" s="794"/>
      <c r="BJ44" s="124"/>
      <c r="BK44" s="793"/>
      <c r="BL44" s="794"/>
      <c r="BM44" s="124"/>
      <c r="BN44" s="793"/>
      <c r="BO44" s="794"/>
      <c r="BP44" s="124"/>
      <c r="BQ44" s="793"/>
      <c r="BR44" s="794"/>
      <c r="BS44" s="124">
        <v>45939</v>
      </c>
      <c r="BT44" s="793">
        <v>10000</v>
      </c>
      <c r="BU44" s="794">
        <v>414.7</v>
      </c>
      <c r="BV44" s="124"/>
      <c r="BW44" s="122"/>
      <c r="BX44" s="164"/>
      <c r="BY44" s="124"/>
      <c r="BZ44" s="793"/>
      <c r="CA44" s="794"/>
      <c r="CB44" s="124"/>
      <c r="CC44" s="122"/>
      <c r="CD44" s="164"/>
      <c r="CE44" s="124"/>
      <c r="CF44" s="793"/>
      <c r="CG44" s="794"/>
      <c r="CH44" s="124"/>
      <c r="CI44" s="122"/>
      <c r="CJ44" s="795"/>
      <c r="CK44" s="124"/>
      <c r="CL44" s="793"/>
      <c r="CM44" s="794"/>
      <c r="CN44" s="124"/>
      <c r="CO44" s="122"/>
      <c r="CP44" s="164"/>
      <c r="CQ44" s="124"/>
      <c r="CR44" s="793"/>
      <c r="CS44" s="794"/>
      <c r="CT44" s="124"/>
      <c r="CU44" s="122"/>
      <c r="CV44" s="164"/>
      <c r="CW44" s="124"/>
      <c r="CX44" s="793"/>
      <c r="CY44" s="794"/>
      <c r="CZ44" s="124"/>
      <c r="DA44" s="122"/>
      <c r="DB44" s="164"/>
      <c r="DC44" s="124"/>
      <c r="DD44" s="793"/>
      <c r="DE44" s="796"/>
      <c r="DF44" s="124"/>
      <c r="DG44" s="122"/>
      <c r="DH44" s="795"/>
      <c r="DI44" s="124"/>
      <c r="DJ44" s="793"/>
      <c r="DK44" s="796"/>
      <c r="DL44" s="124"/>
      <c r="DM44" s="122"/>
      <c r="DN44" s="795"/>
      <c r="DO44" s="124"/>
      <c r="DP44" s="122"/>
      <c r="DQ44" s="123"/>
      <c r="DR44" s="124"/>
      <c r="DS44" s="122"/>
      <c r="DT44" s="123"/>
      <c r="DU44" s="124"/>
      <c r="DV44" s="793"/>
      <c r="DW44" s="796"/>
      <c r="DX44" s="124"/>
      <c r="DY44" s="122"/>
      <c r="DZ44" s="795"/>
      <c r="EA44" s="124"/>
      <c r="EB44" s="793"/>
      <c r="EC44" s="796"/>
      <c r="ED44" s="124"/>
      <c r="EE44" s="122"/>
      <c r="EF44" s="795"/>
      <c r="EG44" s="124"/>
      <c r="EH44" s="793"/>
      <c r="EI44" s="796"/>
      <c r="EJ44" s="124"/>
      <c r="EK44" s="122"/>
      <c r="EL44" s="123"/>
      <c r="EM44" s="124"/>
      <c r="EN44" s="122"/>
      <c r="EO44" s="795"/>
      <c r="EP44" s="124">
        <v>45947</v>
      </c>
      <c r="EQ44" s="122">
        <v>1000</v>
      </c>
      <c r="ER44" s="164">
        <v>-58.89</v>
      </c>
      <c r="ES44" s="124"/>
      <c r="ET44" s="122"/>
      <c r="EU44" s="795"/>
      <c r="EV44" s="124"/>
      <c r="EW44" s="793"/>
      <c r="EX44" s="796"/>
      <c r="EY44" s="124"/>
      <c r="EZ44" s="122"/>
      <c r="FA44" s="164"/>
      <c r="FB44" s="124"/>
      <c r="FC44" s="793"/>
      <c r="FD44" s="794"/>
      <c r="FE44" s="124"/>
      <c r="FF44" s="122"/>
      <c r="FG44" s="164"/>
      <c r="FH44" s="124"/>
      <c r="FI44" s="793"/>
      <c r="FJ44" s="794"/>
      <c r="FK44" s="124"/>
      <c r="FL44" s="122"/>
      <c r="FM44" s="164"/>
      <c r="FN44" s="124"/>
      <c r="FO44" s="793"/>
      <c r="FP44" s="796"/>
      <c r="FQ44" s="124"/>
      <c r="FR44" s="122"/>
      <c r="FS44" s="164"/>
      <c r="FT44" s="124"/>
      <c r="FU44" s="793"/>
      <c r="FV44" s="794"/>
      <c r="FW44" s="124"/>
      <c r="FX44" s="122"/>
      <c r="FY44" s="164"/>
      <c r="FZ44" s="124"/>
      <c r="GA44" s="793"/>
      <c r="GB44" s="794"/>
      <c r="GC44" s="124"/>
      <c r="GD44" s="122"/>
      <c r="GE44" s="164"/>
      <c r="GF44" s="124"/>
      <c r="GG44" s="793"/>
      <c r="GH44" s="794"/>
      <c r="GI44" s="124"/>
      <c r="GJ44" s="122"/>
      <c r="GK44" s="164"/>
      <c r="GL44" s="124"/>
      <c r="GM44" s="122"/>
      <c r="GN44" s="123"/>
      <c r="GO44" s="124"/>
      <c r="GP44" s="122"/>
      <c r="GQ44" s="123"/>
      <c r="GR44" s="124"/>
      <c r="GS44" s="122"/>
      <c r="GT44" s="123"/>
      <c r="GU44" s="124"/>
      <c r="GV44" s="122"/>
      <c r="GW44" s="123"/>
      <c r="GX44" s="124"/>
      <c r="GY44" s="122"/>
      <c r="GZ44" s="795"/>
      <c r="HA44" s="124"/>
      <c r="HB44" s="793"/>
      <c r="HC44" s="796"/>
      <c r="HD44" s="124"/>
      <c r="HE44" s="122"/>
      <c r="HF44" s="796"/>
      <c r="HG44" s="138"/>
      <c r="HH44" s="793"/>
      <c r="HI44" s="796"/>
      <c r="HJ44" s="124"/>
      <c r="HK44" s="122"/>
      <c r="HL44" s="795"/>
      <c r="HM44" s="124"/>
      <c r="HN44" s="793"/>
      <c r="HO44" s="796"/>
      <c r="HP44" s="124"/>
      <c r="HQ44" s="122"/>
      <c r="HR44" s="795"/>
      <c r="HS44" s="124"/>
      <c r="HT44" s="122"/>
      <c r="HU44" s="164"/>
      <c r="HV44" s="124"/>
      <c r="HW44" s="122"/>
      <c r="HX44" s="164"/>
      <c r="HY44" s="124"/>
      <c r="HZ44" s="122"/>
      <c r="IA44" s="164"/>
      <c r="IB44" s="124"/>
      <c r="IC44" s="793"/>
      <c r="ID44" s="794"/>
      <c r="IE44" s="124"/>
      <c r="IF44" s="122"/>
      <c r="IG44" s="796"/>
      <c r="IH44" s="124"/>
      <c r="II44" s="122"/>
      <c r="IJ44" s="164"/>
      <c r="IK44" s="124"/>
      <c r="IL44" s="122"/>
      <c r="IM44" s="123"/>
      <c r="IN44" s="124"/>
      <c r="IO44" s="122"/>
      <c r="IP44" s="123"/>
      <c r="IQ44" s="124"/>
      <c r="IR44" s="122"/>
      <c r="IS44" s="123"/>
      <c r="IT44" s="124"/>
      <c r="IU44" s="122"/>
      <c r="IV44" s="123"/>
      <c r="IW44" s="124"/>
      <c r="IX44" s="122"/>
      <c r="IY44" s="123"/>
      <c r="IZ44" s="124"/>
      <c r="JA44" s="122"/>
      <c r="JB44" s="123"/>
      <c r="JC44" s="124"/>
      <c r="JD44" s="122"/>
      <c r="JE44" s="123"/>
      <c r="JF44" s="124"/>
      <c r="JG44" s="122"/>
      <c r="JH44" s="795"/>
      <c r="JI44" s="124"/>
      <c r="JJ44" s="793"/>
      <c r="JK44" s="796"/>
      <c r="JL44" s="124"/>
      <c r="JM44" s="122"/>
      <c r="JN44" s="795"/>
      <c r="JO44" s="124"/>
      <c r="JP44" s="793"/>
      <c r="JQ44" s="796"/>
      <c r="JR44" s="124"/>
      <c r="JS44" s="122"/>
      <c r="JT44" s="795"/>
      <c r="JU44" s="169" t="str" cm="1">
        <f t="array" ref="JU44">IF( ISNUMBER(MATCH(JU$3,Entries!$B$3:$B$16,0)),           _xlfn.IFS(  JU41="","",      AND(SUMPRODUCT((Entries!$A$3:$A$16=JU41)*(Entries!$C$3:$C$16=JV41)*(Entries!$D$3:$D$16=JW41)) = 0,        _xlfn.XLOOKUP(JU$3,Entries!$B$3:$B$16,Entries!$E$3:$E$16,"Enter")="Booked"),   INDEX(Entries!$B$3:$E$16,MATCH(JU$3,Entries!$B$3:$B$16,0),2),      JU41 &lt;&gt;0,""                                                ),"")</f>
        <v/>
      </c>
      <c r="JV44" s="122" t="str" cm="1">
        <f t="array" ref="JV44">IF( ISNUMBER(MATCH(JU$3,Entries!$B$3:$B$16,0)),           _xlfn.IFS(  JU44="","",      SUMPRODUCT((Entries!$A$3:$A$16=JU41)*(Entries!$C$3:$C$16=JV41)*(Entries!$D$3:$D$16=JW41)) &lt;&gt;0,"",         _xlfn.XLOOKUP(JU$3,Entries!$B$3:$B$16,Entries!$E$3:$E$16,"Enter")="Booked",   INDEX(Entries!$B$3:$E$16,MATCH(JU$3,Entries!$B$3:$B$16,0),3),                                                    _xlfn.XLOOKUP(JU$3,Entries!$B$3:$B$16,Entries!$A$3:$A$16,"Error"),""),"")</f>
        <v/>
      </c>
      <c r="JW44" s="123" t="str" cm="1">
        <f t="array" ref="JW44">IF( ISNUMBER(MATCH(JU$3,Entries!$B$3:$B$16,0)),           _xlfn.IFS(  JU44="","",      SUMPRODUCT((Entries!$A$3:$A$16=JV41)*(Entries!$C$3:$C$16=JW41)*(Entries!$D$3:$D$16=JX41)) &lt;&gt;0,"",         _xlfn.XLOOKUP(JU$3,Entries!$B$3:$B$16,Entries!$E$3:$E$16,"Enter")="Booked",   INDEX(Entries!$B$3:$E$16,MATCH(JU$3,Entries!$B$3:$B$16,0),4),                                                    _xlfn.XLOOKUP(JU$3,Entries!$B$3:$B$16,Entries!$A$3:$A$16,"Error"),""),"")</f>
        <v/>
      </c>
      <c r="JX44" s="169" t="str" cm="1">
        <f t="array" ref="JX44">IF( ISNUMBER(MATCH(JX$3,Entries!$B$3:$B$16,0)),           _xlfn.IFS(  JX41="","",      AND(SUMPRODUCT((Entries!$A$3:$A$16=JX41)*(Entries!$C$3:$C$16=JY41)*(Entries!$D$3:$D$16=JZ41)) = 0,        _xlfn.XLOOKUP(JX$3,Entries!$B$3:$B$16,Entries!$E$3:$E$16,"Enter")="Booked"),   INDEX(Entries!$B$3:$E$16,MATCH(JX$3,Entries!$B$3:$B$16,0),2),      JX41 &lt;&gt;0,""                                                ),"")</f>
        <v/>
      </c>
      <c r="JY44" s="122" t="str" cm="1">
        <f t="array" ref="JY44">IF( ISNUMBER(MATCH(JX$3,Entries!$B$3:$B$16,0)),           _xlfn.IFS(  JX44="","",      SUMPRODUCT((Entries!$A$3:$A$16=JX41)*(Entries!$C$3:$C$16=JY41)*(Entries!$D$3:$D$16=JZ41)) &lt;&gt;0,"",         _xlfn.XLOOKUP(JX$3,Entries!$B$3:$B$16,Entries!$E$3:$E$16,"Enter")="Booked",   INDEX(Entries!$B$3:$E$16,MATCH(JX$3,Entries!$B$3:$B$16,0),3),                                                    _xlfn.XLOOKUP(JX$3,Entries!$B$3:$B$16,Entries!$A$3:$A$16,"Error"),""),"")</f>
        <v/>
      </c>
      <c r="JZ44" s="123" t="str" cm="1">
        <f t="array" ref="JZ44">IF( ISNUMBER(MATCH(JX$3,Entries!$B$3:$B$16,0)),           _xlfn.IFS(  JX44="","",      SUMPRODUCT((Entries!$A$3:$A$16=JY41)*(Entries!$C$3:$C$16=JZ41)*(Entries!$D$3:$D$16=KA41)) &lt;&gt;0,"",         _xlfn.XLOOKUP(JX$3,Entries!$B$3:$B$16,Entries!$E$3:$E$16,"Enter")="Booked",   INDEX(Entries!$B$3:$E$16,MATCH(JX$3,Entries!$B$3:$B$16,0),4),                                                    _xlfn.XLOOKUP(JX$3,Entries!$B$3:$B$16,Entries!$A$3:$A$16,"Error"),""),"")</f>
        <v/>
      </c>
      <c r="KA44" s="169" t="str" cm="1">
        <f t="array" ref="KA44">IF( ISNUMBER(MATCH(KA$3,Entries!$B$3:$B$16,0)),           _xlfn.IFS(  KA41="","",      AND(SUMPRODUCT((Entries!$A$3:$A$16=KA41)*(Entries!$C$3:$C$16=KB41)*(Entries!$D$3:$D$16=KC41)) = 0,        _xlfn.XLOOKUP(KA$3,Entries!$B$3:$B$16,Entries!$E$3:$E$16,"Enter")="Booked"),   INDEX(Entries!$B$3:$E$16,MATCH(KA$3,Entries!$B$3:$B$16,0),2),      KA41 &lt;&gt;0,""                                                ),"")</f>
        <v/>
      </c>
      <c r="KB44" s="122" t="str" cm="1">
        <f t="array" ref="KB44">IF( ISNUMBER(MATCH(KA$3,Entries!$B$3:$B$16,0)),           _xlfn.IFS(  KA44="","",      SUMPRODUCT((Entries!$A$3:$A$16=KA41)*(Entries!$C$3:$C$16=KB41)*(Entries!$D$3:$D$16=KC41)) &lt;&gt;0,"",         _xlfn.XLOOKUP(KA$3,Entries!$B$3:$B$16,Entries!$E$3:$E$16,"Enter")="Booked",   INDEX(Entries!$B$3:$E$16,MATCH(KA$3,Entries!$B$3:$B$16,0),3),                                                    _xlfn.XLOOKUP(KA$3,Entries!$B$3:$B$16,Entries!$A$3:$A$16,"Error"),""),"")</f>
        <v/>
      </c>
      <c r="KC44" s="123" t="str" cm="1">
        <f t="array" ref="KC44">IF( ISNUMBER(MATCH(KA$3,Entries!$B$3:$B$16,0)),           _xlfn.IFS(  KA44="","",      SUMPRODUCT((Entries!$A$3:$A$16=KB41)*(Entries!$C$3:$C$16=KC41)*(Entries!$D$3:$D$16=KD41)) &lt;&gt;0,"",         _xlfn.XLOOKUP(KA$3,Entries!$B$3:$B$16,Entries!$E$3:$E$16,"Enter")="Booked",   INDEX(Entries!$B$3:$E$16,MATCH(KA$3,Entries!$B$3:$B$16,0),4),                                                    _xlfn.XLOOKUP(KA$3,Entries!$B$3:$B$16,Entries!$A$3:$A$16,"Error"),""),"")</f>
        <v/>
      </c>
      <c r="KD44" s="169" t="str" cm="1">
        <f t="array" ref="KD44">IF( ISNUMBER(MATCH(KD$3,Entries!$B$3:$B$16,0)),           _xlfn.IFS(  KD41="","",      AND(SUMPRODUCT((Entries!$A$3:$A$16=KD41)*(Entries!$C$3:$C$16=KE41)*(Entries!$D$3:$D$16=KF41)) = 0,        _xlfn.XLOOKUP(KD$3,Entries!$B$3:$B$16,Entries!$E$3:$E$16,"Enter")="Booked"),   INDEX(Entries!$B$3:$E$16,MATCH(KD$3,Entries!$B$3:$B$16,0),2),      KD41 &lt;&gt;0,""                                                ),"")</f>
        <v/>
      </c>
      <c r="KE44" s="122" t="str" cm="1">
        <f t="array" ref="KE44">IF( ISNUMBER(MATCH(KD$3,Entries!$B$3:$B$16,0)),           _xlfn.IFS(  KD44="","",      SUMPRODUCT((Entries!$A$3:$A$16=KD41)*(Entries!$C$3:$C$16=KE41)*(Entries!$D$3:$D$16=KF41)) &lt;&gt;0,"",         _xlfn.XLOOKUP(KD$3,Entries!$B$3:$B$16,Entries!$E$3:$E$16,"Enter")="Booked",   INDEX(Entries!$B$3:$E$16,MATCH(KD$3,Entries!$B$3:$B$16,0),3),                                                    _xlfn.XLOOKUP(KD$3,Entries!$B$3:$B$16,Entries!$A$3:$A$16,"Error"),""),"")</f>
        <v/>
      </c>
      <c r="KF44" s="123" t="str" cm="1">
        <f t="array" ref="KF44">IF( ISNUMBER(MATCH(KD$3,Entries!$B$3:$B$16,0)),           _xlfn.IFS(  KD44="","",      SUMPRODUCT((Entries!$A$3:$A$16=KE41)*(Entries!$C$3:$C$16=KF41)*(Entries!$D$3:$D$16=KG41)) &lt;&gt;0,"",         _xlfn.XLOOKUP(KD$3,Entries!$B$3:$B$16,Entries!$E$3:$E$16,"Enter")="Booked",   INDEX(Entries!$B$3:$E$16,MATCH(KD$3,Entries!$B$3:$B$16,0),4),                                                    _xlfn.XLOOKUP(KD$3,Entries!$B$3:$B$16,Entries!$A$3:$A$16,"Error"),""),"")</f>
        <v/>
      </c>
    </row>
    <row r="45" spans="1:292">
      <c r="A45" s="792"/>
      <c r="B45" s="124"/>
      <c r="C45" s="122"/>
      <c r="D45" s="164"/>
      <c r="E45" s="124"/>
      <c r="F45" s="793"/>
      <c r="G45" s="794"/>
      <c r="H45" s="124"/>
      <c r="I45" s="122"/>
      <c r="J45" s="164"/>
      <c r="K45" s="124"/>
      <c r="L45" s="793"/>
      <c r="M45" s="794"/>
      <c r="N45" s="138"/>
      <c r="O45" s="122"/>
      <c r="P45" s="794"/>
      <c r="Q45" s="138">
        <v>45919</v>
      </c>
      <c r="R45" s="122">
        <v>100</v>
      </c>
      <c r="S45" s="794">
        <v>290.33199999999999</v>
      </c>
      <c r="T45" s="794"/>
      <c r="U45" s="794"/>
      <c r="V45" s="794"/>
      <c r="W45" s="138"/>
      <c r="X45" s="793"/>
      <c r="Y45" s="794"/>
      <c r="Z45" s="138"/>
      <c r="AA45" s="122"/>
      <c r="AB45" s="794"/>
      <c r="AC45" s="138"/>
      <c r="AD45" s="793"/>
      <c r="AE45" s="794"/>
      <c r="AF45" s="138"/>
      <c r="AG45" s="793"/>
      <c r="AH45" s="794"/>
      <c r="AI45" s="138"/>
      <c r="AJ45" s="793"/>
      <c r="AK45" s="794"/>
      <c r="AL45" s="138"/>
      <c r="AM45" s="793"/>
      <c r="AN45" s="794"/>
      <c r="AO45" s="124"/>
      <c r="AP45" s="793"/>
      <c r="AQ45" s="794"/>
      <c r="AR45" s="124"/>
      <c r="AS45" s="793"/>
      <c r="AT45" s="794"/>
      <c r="AU45" s="124"/>
      <c r="AV45" s="793"/>
      <c r="AW45" s="794"/>
      <c r="AX45" s="124"/>
      <c r="AY45" s="793"/>
      <c r="AZ45" s="794"/>
      <c r="BA45" s="124"/>
      <c r="BB45" s="793"/>
      <c r="BC45" s="794"/>
      <c r="BD45" s="124"/>
      <c r="BE45" s="793"/>
      <c r="BF45" s="794"/>
      <c r="BG45" s="124"/>
      <c r="BH45" s="793"/>
      <c r="BI45" s="794"/>
      <c r="BJ45" s="124"/>
      <c r="BK45" s="793"/>
      <c r="BL45" s="794"/>
      <c r="BM45" s="124"/>
      <c r="BN45" s="793"/>
      <c r="BO45" s="794"/>
      <c r="BP45" s="124"/>
      <c r="BQ45" s="793"/>
      <c r="BR45" s="794"/>
      <c r="BS45" s="124">
        <v>45952</v>
      </c>
      <c r="BT45" s="793">
        <v>10000</v>
      </c>
      <c r="BU45" s="794">
        <v>402.8</v>
      </c>
      <c r="BV45" s="124"/>
      <c r="BW45" s="122"/>
      <c r="BX45" s="164"/>
      <c r="BY45" s="124"/>
      <c r="BZ45" s="793"/>
      <c r="CA45" s="794"/>
      <c r="CB45" s="124"/>
      <c r="CC45" s="122"/>
      <c r="CD45" s="164"/>
      <c r="CE45" s="124"/>
      <c r="CF45" s="793"/>
      <c r="CG45" s="794"/>
      <c r="CH45" s="124"/>
      <c r="CI45" s="122"/>
      <c r="CJ45" s="795"/>
      <c r="CK45" s="124"/>
      <c r="CL45" s="793"/>
      <c r="CM45" s="794"/>
      <c r="CN45" s="124"/>
      <c r="CO45" s="122"/>
      <c r="CP45" s="164"/>
      <c r="CQ45" s="124"/>
      <c r="CR45" s="793"/>
      <c r="CS45" s="794"/>
      <c r="CT45" s="124"/>
      <c r="CU45" s="122"/>
      <c r="CV45" s="164"/>
      <c r="CW45" s="124"/>
      <c r="CX45" s="793"/>
      <c r="CY45" s="794"/>
      <c r="CZ45" s="124"/>
      <c r="DA45" s="122"/>
      <c r="DB45" s="164"/>
      <c r="DC45" s="124"/>
      <c r="DD45" s="793"/>
      <c r="DE45" s="796"/>
      <c r="DF45" s="124"/>
      <c r="DG45" s="122"/>
      <c r="DH45" s="795"/>
      <c r="DI45" s="124"/>
      <c r="DJ45" s="793"/>
      <c r="DK45" s="796"/>
      <c r="DL45" s="124"/>
      <c r="DM45" s="122"/>
      <c r="DN45" s="795"/>
      <c r="DO45" s="124"/>
      <c r="DP45" s="122"/>
      <c r="DQ45" s="123"/>
      <c r="DR45" s="124"/>
      <c r="DS45" s="122"/>
      <c r="DT45" s="123"/>
      <c r="DU45" s="124"/>
      <c r="DV45" s="793"/>
      <c r="DW45" s="796"/>
      <c r="DX45" s="124"/>
      <c r="DY45" s="122"/>
      <c r="DZ45" s="795"/>
      <c r="EA45" s="124"/>
      <c r="EB45" s="793"/>
      <c r="EC45" s="796"/>
      <c r="ED45" s="124"/>
      <c r="EE45" s="122"/>
      <c r="EF45" s="795"/>
      <c r="EG45" s="124"/>
      <c r="EH45" s="793"/>
      <c r="EI45" s="796"/>
      <c r="EJ45" s="124"/>
      <c r="EK45" s="122"/>
      <c r="EL45" s="123"/>
      <c r="EM45" s="124"/>
      <c r="EN45" s="122"/>
      <c r="EO45" s="795"/>
      <c r="EP45" s="124"/>
      <c r="EQ45" s="122"/>
      <c r="ER45" s="164"/>
      <c r="ES45" s="124"/>
      <c r="ET45" s="122"/>
      <c r="EU45" s="795"/>
      <c r="EV45" s="124"/>
      <c r="EW45" s="793"/>
      <c r="EX45" s="796"/>
      <c r="EY45" s="124"/>
      <c r="EZ45" s="122"/>
      <c r="FA45" s="164"/>
      <c r="FB45" s="124"/>
      <c r="FC45" s="793"/>
      <c r="FD45" s="794"/>
      <c r="FE45" s="124"/>
      <c r="FF45" s="122"/>
      <c r="FG45" s="164"/>
      <c r="FH45" s="124"/>
      <c r="FI45" s="793"/>
      <c r="FJ45" s="794"/>
      <c r="FK45" s="124"/>
      <c r="FL45" s="122"/>
      <c r="FM45" s="164"/>
      <c r="FN45" s="124"/>
      <c r="FO45" s="793"/>
      <c r="FP45" s="796"/>
      <c r="FQ45" s="124"/>
      <c r="FR45" s="122"/>
      <c r="FS45" s="164"/>
      <c r="FT45" s="124"/>
      <c r="FU45" s="793"/>
      <c r="FV45" s="794"/>
      <c r="FW45" s="124"/>
      <c r="FX45" s="122"/>
      <c r="FY45" s="164"/>
      <c r="FZ45" s="124"/>
      <c r="GA45" s="793"/>
      <c r="GB45" s="794"/>
      <c r="GC45" s="124"/>
      <c r="GD45" s="122"/>
      <c r="GE45" s="164"/>
      <c r="GF45" s="124"/>
      <c r="GG45" s="793"/>
      <c r="GH45" s="794"/>
      <c r="GI45" s="124"/>
      <c r="GJ45" s="122"/>
      <c r="GK45" s="164"/>
      <c r="GL45" s="124"/>
      <c r="GM45" s="122"/>
      <c r="GN45" s="123"/>
      <c r="GO45" s="124"/>
      <c r="GP45" s="122"/>
      <c r="GQ45" s="123"/>
      <c r="GR45" s="124"/>
      <c r="GS45" s="122"/>
      <c r="GT45" s="123"/>
      <c r="GU45" s="124"/>
      <c r="GV45" s="122"/>
      <c r="GW45" s="123"/>
      <c r="GX45" s="124"/>
      <c r="GY45" s="122"/>
      <c r="GZ45" s="795"/>
      <c r="HA45" s="124"/>
      <c r="HB45" s="793"/>
      <c r="HC45" s="796"/>
      <c r="HD45" s="124"/>
      <c r="HE45" s="122"/>
      <c r="HF45" s="796"/>
      <c r="HG45" s="138"/>
      <c r="HH45" s="793"/>
      <c r="HI45" s="796"/>
      <c r="HJ45" s="124"/>
      <c r="HK45" s="122"/>
      <c r="HL45" s="795"/>
      <c r="HM45" s="124"/>
      <c r="HN45" s="793"/>
      <c r="HO45" s="796"/>
      <c r="HP45" s="124"/>
      <c r="HQ45" s="122"/>
      <c r="HR45" s="795"/>
      <c r="HS45" s="124"/>
      <c r="HT45" s="122"/>
      <c r="HU45" s="164"/>
      <c r="HV45" s="124"/>
      <c r="HW45" s="122"/>
      <c r="HX45" s="164"/>
      <c r="HY45" s="124"/>
      <c r="HZ45" s="122"/>
      <c r="IA45" s="164"/>
      <c r="IB45" s="124"/>
      <c r="IC45" s="793"/>
      <c r="ID45" s="794"/>
      <c r="IE45" s="124"/>
      <c r="IF45" s="122"/>
      <c r="IG45" s="796"/>
      <c r="IH45" s="124"/>
      <c r="II45" s="122"/>
      <c r="IJ45" s="164"/>
      <c r="IK45" s="124"/>
      <c r="IL45" s="122"/>
      <c r="IM45" s="123"/>
      <c r="IN45" s="124"/>
      <c r="IO45" s="122"/>
      <c r="IP45" s="123"/>
      <c r="IQ45" s="124"/>
      <c r="IR45" s="122"/>
      <c r="IS45" s="123"/>
      <c r="IT45" s="124"/>
      <c r="IU45" s="122"/>
      <c r="IV45" s="123"/>
      <c r="IW45" s="124"/>
      <c r="IX45" s="122"/>
      <c r="IY45" s="123"/>
      <c r="IZ45" s="124"/>
      <c r="JA45" s="122"/>
      <c r="JB45" s="123"/>
      <c r="JC45" s="124"/>
      <c r="JD45" s="122"/>
      <c r="JE45" s="123"/>
      <c r="JF45" s="124"/>
      <c r="JG45" s="122"/>
      <c r="JH45" s="795"/>
      <c r="JI45" s="124"/>
      <c r="JJ45" s="793"/>
      <c r="JK45" s="796"/>
      <c r="JL45" s="124"/>
      <c r="JM45" s="122"/>
      <c r="JN45" s="795"/>
      <c r="JO45" s="124"/>
      <c r="JP45" s="793"/>
      <c r="JQ45" s="796"/>
      <c r="JR45" s="124"/>
      <c r="JS45" s="122"/>
      <c r="JT45" s="795"/>
      <c r="JU45" s="169" t="str" cm="1">
        <f t="array" ref="JU45">IF( ISNUMBER(MATCH(JU$3,Entries!$B$3:$B$16,0)),           _xlfn.IFS(  JU44="","",      AND(SUMPRODUCT((Entries!$A$3:$A$16=JU44)*(Entries!$C$3:$C$16=JV44)*(Entries!$D$3:$D$16=JW44)) = 0,        _xlfn.XLOOKUP(JU$3,Entries!$B$3:$B$16,Entries!$E$3:$E$16,"Enter")="Booked"),   INDEX(Entries!$B$3:$E$16,MATCH(JU$3,Entries!$B$3:$B$16,0),2),      JU44 &lt;&gt;0,""                                                ),"")</f>
        <v/>
      </c>
      <c r="JV45" s="122" t="str" cm="1">
        <f t="array" ref="JV45">IF( ISNUMBER(MATCH(JU$3,Entries!$B$3:$B$16,0)),           _xlfn.IFS(  JU45="","",      SUMPRODUCT((Entries!$A$3:$A$16=JU44)*(Entries!$C$3:$C$16=JV44)*(Entries!$D$3:$D$16=JW44)) &lt;&gt;0,"",         _xlfn.XLOOKUP(JU$3,Entries!$B$3:$B$16,Entries!$E$3:$E$16,"Enter")="Booked",   INDEX(Entries!$B$3:$E$16,MATCH(JU$3,Entries!$B$3:$B$16,0),3),                                                    _xlfn.XLOOKUP(JU$3,Entries!$B$3:$B$16,Entries!$A$3:$A$16,"Error"),""),"")</f>
        <v/>
      </c>
      <c r="JW45" s="123" t="str" cm="1">
        <f t="array" ref="JW45">IF( ISNUMBER(MATCH(JU$3,Entries!$B$3:$B$16,0)),           _xlfn.IFS(  JU45="","",      SUMPRODUCT((Entries!$A$3:$A$16=JV44)*(Entries!$C$3:$C$16=JW44)*(Entries!$D$3:$D$16=JX44)) &lt;&gt;0,"",         _xlfn.XLOOKUP(JU$3,Entries!$B$3:$B$16,Entries!$E$3:$E$16,"Enter")="Booked",   INDEX(Entries!$B$3:$E$16,MATCH(JU$3,Entries!$B$3:$B$16,0),4),                                                    _xlfn.XLOOKUP(JU$3,Entries!$B$3:$B$16,Entries!$A$3:$A$16,"Error"),""),"")</f>
        <v/>
      </c>
      <c r="JX45" s="169" t="str" cm="1">
        <f t="array" ref="JX45">IF( ISNUMBER(MATCH(JX$3,Entries!$B$3:$B$16,0)),           _xlfn.IFS(  JX44="","",      AND(SUMPRODUCT((Entries!$A$3:$A$16=JX44)*(Entries!$C$3:$C$16=JY44)*(Entries!$D$3:$D$16=JZ44)) = 0,        _xlfn.XLOOKUP(JX$3,Entries!$B$3:$B$16,Entries!$E$3:$E$16,"Enter")="Booked"),   INDEX(Entries!$B$3:$E$16,MATCH(JX$3,Entries!$B$3:$B$16,0),2),      JX44 &lt;&gt;0,""                                                ),"")</f>
        <v/>
      </c>
      <c r="JY45" s="122" t="str" cm="1">
        <f t="array" ref="JY45">IF( ISNUMBER(MATCH(JX$3,Entries!$B$3:$B$16,0)),           _xlfn.IFS(  JX45="","",      SUMPRODUCT((Entries!$A$3:$A$16=JX44)*(Entries!$C$3:$C$16=JY44)*(Entries!$D$3:$D$16=JZ44)) &lt;&gt;0,"",         _xlfn.XLOOKUP(JX$3,Entries!$B$3:$B$16,Entries!$E$3:$E$16,"Enter")="Booked",   INDEX(Entries!$B$3:$E$16,MATCH(JX$3,Entries!$B$3:$B$16,0),3),                                                    _xlfn.XLOOKUP(JX$3,Entries!$B$3:$B$16,Entries!$A$3:$A$16,"Error"),""),"")</f>
        <v/>
      </c>
      <c r="JZ45" s="123" t="str" cm="1">
        <f t="array" ref="JZ45">IF( ISNUMBER(MATCH(JX$3,Entries!$B$3:$B$16,0)),           _xlfn.IFS(  JX45="","",      SUMPRODUCT((Entries!$A$3:$A$16=JY44)*(Entries!$C$3:$C$16=JZ44)*(Entries!$D$3:$D$16=KA44)) &lt;&gt;0,"",         _xlfn.XLOOKUP(JX$3,Entries!$B$3:$B$16,Entries!$E$3:$E$16,"Enter")="Booked",   INDEX(Entries!$B$3:$E$16,MATCH(JX$3,Entries!$B$3:$B$16,0),4),                                                    _xlfn.XLOOKUP(JX$3,Entries!$B$3:$B$16,Entries!$A$3:$A$16,"Error"),""),"")</f>
        <v/>
      </c>
      <c r="KA45" s="169" t="str" cm="1">
        <f t="array" ref="KA45">IF( ISNUMBER(MATCH(KA$3,Entries!$B$3:$B$16,0)),           _xlfn.IFS(  KA44="","",      AND(SUMPRODUCT((Entries!$A$3:$A$16=KA44)*(Entries!$C$3:$C$16=KB44)*(Entries!$D$3:$D$16=KC44)) = 0,        _xlfn.XLOOKUP(KA$3,Entries!$B$3:$B$16,Entries!$E$3:$E$16,"Enter")="Booked"),   INDEX(Entries!$B$3:$E$16,MATCH(KA$3,Entries!$B$3:$B$16,0),2),      KA44 &lt;&gt;0,""                                                ),"")</f>
        <v/>
      </c>
      <c r="KB45" s="122" t="str" cm="1">
        <f t="array" ref="KB45">IF( ISNUMBER(MATCH(KA$3,Entries!$B$3:$B$16,0)),           _xlfn.IFS(  KA45="","",      SUMPRODUCT((Entries!$A$3:$A$16=KA44)*(Entries!$C$3:$C$16=KB44)*(Entries!$D$3:$D$16=KC44)) &lt;&gt;0,"",         _xlfn.XLOOKUP(KA$3,Entries!$B$3:$B$16,Entries!$E$3:$E$16,"Enter")="Booked",   INDEX(Entries!$B$3:$E$16,MATCH(KA$3,Entries!$B$3:$B$16,0),3),                                                    _xlfn.XLOOKUP(KA$3,Entries!$B$3:$B$16,Entries!$A$3:$A$16,"Error"),""),"")</f>
        <v/>
      </c>
      <c r="KC45" s="123" t="str" cm="1">
        <f t="array" ref="KC45">IF( ISNUMBER(MATCH(KA$3,Entries!$B$3:$B$16,0)),           _xlfn.IFS(  KA45="","",      SUMPRODUCT((Entries!$A$3:$A$16=KB44)*(Entries!$C$3:$C$16=KC44)*(Entries!$D$3:$D$16=KD44)) &lt;&gt;0,"",         _xlfn.XLOOKUP(KA$3,Entries!$B$3:$B$16,Entries!$E$3:$E$16,"Enter")="Booked",   INDEX(Entries!$B$3:$E$16,MATCH(KA$3,Entries!$B$3:$B$16,0),4),                                                    _xlfn.XLOOKUP(KA$3,Entries!$B$3:$B$16,Entries!$A$3:$A$16,"Error"),""),"")</f>
        <v/>
      </c>
      <c r="KD45" s="169" t="str" cm="1">
        <f t="array" ref="KD45">IF( ISNUMBER(MATCH(KD$3,Entries!$B$3:$B$16,0)),           _xlfn.IFS(  KD44="","",      AND(SUMPRODUCT((Entries!$A$3:$A$16=KD44)*(Entries!$C$3:$C$16=KE44)*(Entries!$D$3:$D$16=KF44)) = 0,        _xlfn.XLOOKUP(KD$3,Entries!$B$3:$B$16,Entries!$E$3:$E$16,"Enter")="Booked"),   INDEX(Entries!$B$3:$E$16,MATCH(KD$3,Entries!$B$3:$B$16,0),2),      KD44 &lt;&gt;0,""                                                ),"")</f>
        <v/>
      </c>
      <c r="KE45" s="122" t="str" cm="1">
        <f t="array" ref="KE45">IF( ISNUMBER(MATCH(KD$3,Entries!$B$3:$B$16,0)),           _xlfn.IFS(  KD45="","",      SUMPRODUCT((Entries!$A$3:$A$16=KD44)*(Entries!$C$3:$C$16=KE44)*(Entries!$D$3:$D$16=KF44)) &lt;&gt;0,"",         _xlfn.XLOOKUP(KD$3,Entries!$B$3:$B$16,Entries!$E$3:$E$16,"Enter")="Booked",   INDEX(Entries!$B$3:$E$16,MATCH(KD$3,Entries!$B$3:$B$16,0),3),                                                    _xlfn.XLOOKUP(KD$3,Entries!$B$3:$B$16,Entries!$A$3:$A$16,"Error"),""),"")</f>
        <v/>
      </c>
      <c r="KF45" s="123" t="str" cm="1">
        <f t="array" ref="KF45">IF( ISNUMBER(MATCH(KD$3,Entries!$B$3:$B$16,0)),           _xlfn.IFS(  KD45="","",      SUMPRODUCT((Entries!$A$3:$A$16=KE44)*(Entries!$C$3:$C$16=KF44)*(Entries!$D$3:$D$16=KG44)) &lt;&gt;0,"",         _xlfn.XLOOKUP(KD$3,Entries!$B$3:$B$16,Entries!$E$3:$E$16,"Enter")="Booked",   INDEX(Entries!$B$3:$E$16,MATCH(KD$3,Entries!$B$3:$B$16,0),4),                                                    _xlfn.XLOOKUP(KD$3,Entries!$B$3:$B$16,Entries!$A$3:$A$16,"Error"),""),"")</f>
        <v/>
      </c>
    </row>
    <row r="46" spans="1:292">
      <c r="A46" s="792"/>
      <c r="B46" s="124"/>
      <c r="C46" s="122"/>
      <c r="D46" s="164"/>
      <c r="E46" s="124"/>
      <c r="F46" s="793"/>
      <c r="G46" s="794"/>
      <c r="H46" s="124"/>
      <c r="I46" s="122"/>
      <c r="J46" s="164"/>
      <c r="K46" s="124"/>
      <c r="L46" s="793"/>
      <c r="M46" s="794"/>
      <c r="N46" s="138"/>
      <c r="O46" s="122"/>
      <c r="P46" s="794"/>
      <c r="Q46" s="138">
        <v>45922</v>
      </c>
      <c r="R46" s="122">
        <v>100</v>
      </c>
      <c r="S46" s="794">
        <v>814.2</v>
      </c>
      <c r="T46" s="794"/>
      <c r="U46" s="794"/>
      <c r="V46" s="794"/>
      <c r="W46" s="138"/>
      <c r="X46" s="793"/>
      <c r="Y46" s="794"/>
      <c r="Z46" s="138"/>
      <c r="AA46" s="122"/>
      <c r="AB46" s="794"/>
      <c r="AC46" s="138"/>
      <c r="AD46" s="793"/>
      <c r="AE46" s="794"/>
      <c r="AF46" s="138"/>
      <c r="AG46" s="793"/>
      <c r="AH46" s="794"/>
      <c r="AI46" s="138"/>
      <c r="AJ46" s="793"/>
      <c r="AK46" s="794"/>
      <c r="AL46" s="138"/>
      <c r="AM46" s="793"/>
      <c r="AN46" s="794"/>
      <c r="AO46" s="124"/>
      <c r="AP46" s="793"/>
      <c r="AQ46" s="794"/>
      <c r="AR46" s="124"/>
      <c r="AS46" s="793"/>
      <c r="AT46" s="794"/>
      <c r="AU46" s="124"/>
      <c r="AV46" s="793"/>
      <c r="AW46" s="794"/>
      <c r="AX46" s="124"/>
      <c r="AY46" s="793"/>
      <c r="AZ46" s="794"/>
      <c r="BA46" s="124"/>
      <c r="BB46" s="793"/>
      <c r="BC46" s="794"/>
      <c r="BD46" s="124"/>
      <c r="BE46" s="793"/>
      <c r="BF46" s="794"/>
      <c r="BG46" s="124"/>
      <c r="BH46" s="793"/>
      <c r="BI46" s="794"/>
      <c r="BJ46" s="124"/>
      <c r="BK46" s="793"/>
      <c r="BL46" s="794"/>
      <c r="BM46" s="124"/>
      <c r="BN46" s="793"/>
      <c r="BO46" s="794"/>
      <c r="BP46" s="124"/>
      <c r="BQ46" s="793"/>
      <c r="BR46" s="794"/>
      <c r="BS46" s="124">
        <v>45953</v>
      </c>
      <c r="BT46" s="793">
        <v>10000</v>
      </c>
      <c r="BU46" s="794">
        <v>405.01</v>
      </c>
      <c r="BV46" s="124"/>
      <c r="BW46" s="122"/>
      <c r="BX46" s="164"/>
      <c r="BY46" s="124"/>
      <c r="BZ46" s="793"/>
      <c r="CA46" s="794"/>
      <c r="CB46" s="124"/>
      <c r="CC46" s="122"/>
      <c r="CD46" s="164"/>
      <c r="CE46" s="124"/>
      <c r="CF46" s="793"/>
      <c r="CG46" s="794"/>
      <c r="CH46" s="124"/>
      <c r="CI46" s="122"/>
      <c r="CJ46" s="795"/>
      <c r="CK46" s="124"/>
      <c r="CL46" s="793"/>
      <c r="CM46" s="794"/>
      <c r="CN46" s="124"/>
      <c r="CO46" s="122"/>
      <c r="CP46" s="164"/>
      <c r="CQ46" s="124"/>
      <c r="CR46" s="793"/>
      <c r="CS46" s="794"/>
      <c r="CT46" s="124"/>
      <c r="CU46" s="122"/>
      <c r="CV46" s="164"/>
      <c r="CW46" s="124"/>
      <c r="CX46" s="793"/>
      <c r="CY46" s="794"/>
      <c r="CZ46" s="124"/>
      <c r="DA46" s="122"/>
      <c r="DB46" s="164"/>
      <c r="DC46" s="124"/>
      <c r="DD46" s="793"/>
      <c r="DE46" s="796"/>
      <c r="DF46" s="124"/>
      <c r="DG46" s="122"/>
      <c r="DH46" s="795"/>
      <c r="DI46" s="124"/>
      <c r="DJ46" s="793"/>
      <c r="DK46" s="796"/>
      <c r="DL46" s="124"/>
      <c r="DM46" s="122"/>
      <c r="DN46" s="795"/>
      <c r="DO46" s="124"/>
      <c r="DP46" s="122"/>
      <c r="DQ46" s="123"/>
      <c r="DR46" s="124"/>
      <c r="DS46" s="122"/>
      <c r="DT46" s="123"/>
      <c r="DU46" s="124"/>
      <c r="DV46" s="793"/>
      <c r="DW46" s="796"/>
      <c r="DX46" s="124"/>
      <c r="DY46" s="122"/>
      <c r="DZ46" s="795"/>
      <c r="EA46" s="124"/>
      <c r="EB46" s="793"/>
      <c r="EC46" s="796"/>
      <c r="ED46" s="124"/>
      <c r="EE46" s="122"/>
      <c r="EF46" s="795"/>
      <c r="EG46" s="124"/>
      <c r="EH46" s="793"/>
      <c r="EI46" s="796"/>
      <c r="EJ46" s="124"/>
      <c r="EK46" s="122"/>
      <c r="EL46" s="123"/>
      <c r="EM46" s="124"/>
      <c r="EN46" s="122"/>
      <c r="EO46" s="795"/>
      <c r="EP46" s="124"/>
      <c r="EQ46" s="122"/>
      <c r="ER46" s="164"/>
      <c r="ES46" s="124"/>
      <c r="ET46" s="122"/>
      <c r="EU46" s="795"/>
      <c r="EV46" s="124"/>
      <c r="EW46" s="793"/>
      <c r="EX46" s="796"/>
      <c r="EY46" s="124"/>
      <c r="EZ46" s="122"/>
      <c r="FA46" s="164"/>
      <c r="FB46" s="124"/>
      <c r="FC46" s="793"/>
      <c r="FD46" s="794"/>
      <c r="FE46" s="124"/>
      <c r="FF46" s="122"/>
      <c r="FG46" s="164"/>
      <c r="FH46" s="124"/>
      <c r="FI46" s="793"/>
      <c r="FJ46" s="794"/>
      <c r="FK46" s="124"/>
      <c r="FL46" s="122"/>
      <c r="FM46" s="164"/>
      <c r="FN46" s="124"/>
      <c r="FO46" s="793"/>
      <c r="FP46" s="796"/>
      <c r="FQ46" s="124"/>
      <c r="FR46" s="122"/>
      <c r="FS46" s="164"/>
      <c r="FT46" s="124"/>
      <c r="FU46" s="793"/>
      <c r="FV46" s="794"/>
      <c r="FW46" s="124"/>
      <c r="FX46" s="122"/>
      <c r="FY46" s="164"/>
      <c r="FZ46" s="124"/>
      <c r="GA46" s="793"/>
      <c r="GB46" s="794"/>
      <c r="GC46" s="124"/>
      <c r="GD46" s="122"/>
      <c r="GE46" s="164"/>
      <c r="GF46" s="124"/>
      <c r="GG46" s="793"/>
      <c r="GH46" s="794"/>
      <c r="GI46" s="124"/>
      <c r="GJ46" s="122"/>
      <c r="GK46" s="164"/>
      <c r="GL46" s="124"/>
      <c r="GM46" s="122"/>
      <c r="GN46" s="123"/>
      <c r="GO46" s="124"/>
      <c r="GP46" s="122"/>
      <c r="GQ46" s="123"/>
      <c r="GR46" s="124"/>
      <c r="GS46" s="122"/>
      <c r="GT46" s="123"/>
      <c r="GU46" s="124"/>
      <c r="GV46" s="122"/>
      <c r="GW46" s="123"/>
      <c r="GX46" s="124"/>
      <c r="GY46" s="122"/>
      <c r="GZ46" s="795"/>
      <c r="HA46" s="124"/>
      <c r="HB46" s="793"/>
      <c r="HC46" s="796"/>
      <c r="HD46" s="124"/>
      <c r="HE46" s="122"/>
      <c r="HF46" s="796"/>
      <c r="HG46" s="138"/>
      <c r="HH46" s="793"/>
      <c r="HI46" s="796"/>
      <c r="HJ46" s="124"/>
      <c r="HK46" s="122"/>
      <c r="HL46" s="795"/>
      <c r="HM46" s="124"/>
      <c r="HN46" s="793"/>
      <c r="HO46" s="796"/>
      <c r="HP46" s="124"/>
      <c r="HQ46" s="122"/>
      <c r="HR46" s="795"/>
      <c r="HS46" s="124"/>
      <c r="HT46" s="122"/>
      <c r="HU46" s="164"/>
      <c r="HV46" s="124"/>
      <c r="HW46" s="122"/>
      <c r="HX46" s="164"/>
      <c r="HY46" s="124"/>
      <c r="HZ46" s="122"/>
      <c r="IA46" s="164"/>
      <c r="IB46" s="124"/>
      <c r="IC46" s="793"/>
      <c r="ID46" s="794"/>
      <c r="IE46" s="124"/>
      <c r="IF46" s="122"/>
      <c r="IG46" s="796"/>
      <c r="IH46" s="124"/>
      <c r="II46" s="122"/>
      <c r="IJ46" s="164"/>
      <c r="IK46" s="124"/>
      <c r="IL46" s="122"/>
      <c r="IM46" s="123"/>
      <c r="IN46" s="124"/>
      <c r="IO46" s="122"/>
      <c r="IP46" s="123"/>
      <c r="IQ46" s="124"/>
      <c r="IR46" s="122"/>
      <c r="IS46" s="123"/>
      <c r="IT46" s="124"/>
      <c r="IU46" s="122"/>
      <c r="IV46" s="123"/>
      <c r="IW46" s="124"/>
      <c r="IX46" s="122"/>
      <c r="IY46" s="123"/>
      <c r="IZ46" s="124"/>
      <c r="JA46" s="122"/>
      <c r="JB46" s="123"/>
      <c r="JC46" s="124"/>
      <c r="JD46" s="122"/>
      <c r="JE46" s="123"/>
      <c r="JF46" s="124"/>
      <c r="JG46" s="122"/>
      <c r="JH46" s="795"/>
      <c r="JI46" s="124"/>
      <c r="JJ46" s="793"/>
      <c r="JK46" s="796"/>
      <c r="JL46" s="124"/>
      <c r="JM46" s="122"/>
      <c r="JN46" s="795"/>
      <c r="JO46" s="124"/>
      <c r="JP46" s="793"/>
      <c r="JQ46" s="796"/>
      <c r="JR46" s="124"/>
      <c r="JS46" s="122"/>
      <c r="JT46" s="795"/>
      <c r="JU46" s="169" t="str" cm="1">
        <f t="array" ref="JU46">IF( ISNUMBER(MATCH(JU$3,Entries!$B$3:$B$16,0)),           _xlfn.IFS(  JU45="","",      AND(SUMPRODUCT((Entries!$A$3:$A$16=JU45)*(Entries!$C$3:$C$16=JV45)*(Entries!$D$3:$D$16=JW45)) = 0,        _xlfn.XLOOKUP(JU$3,Entries!$B$3:$B$16,Entries!$E$3:$E$16,"Enter")="Booked"),   INDEX(Entries!$B$3:$E$16,MATCH(JU$3,Entries!$B$3:$B$16,0),2),      JU45 &lt;&gt;0,""                                                ),"")</f>
        <v/>
      </c>
      <c r="JV46" s="122" t="str" cm="1">
        <f t="array" ref="JV46">IF( ISNUMBER(MATCH(JU$3,Entries!$B$3:$B$16,0)),           _xlfn.IFS(  JU46="","",      SUMPRODUCT((Entries!$A$3:$A$16=JU45)*(Entries!$C$3:$C$16=JV45)*(Entries!$D$3:$D$16=JW45)) &lt;&gt;0,"",         _xlfn.XLOOKUP(JU$3,Entries!$B$3:$B$16,Entries!$E$3:$E$16,"Enter")="Booked",   INDEX(Entries!$B$3:$E$16,MATCH(JU$3,Entries!$B$3:$B$16,0),3),                                                    _xlfn.XLOOKUP(JU$3,Entries!$B$3:$B$16,Entries!$A$3:$A$16,"Error"),""),"")</f>
        <v/>
      </c>
      <c r="JW46" s="123" t="str" cm="1">
        <f t="array" ref="JW46">IF( ISNUMBER(MATCH(JU$3,Entries!$B$3:$B$16,0)),           _xlfn.IFS(  JU46="","",      SUMPRODUCT((Entries!$A$3:$A$16=JV45)*(Entries!$C$3:$C$16=JW45)*(Entries!$D$3:$D$16=JX45)) &lt;&gt;0,"",         _xlfn.XLOOKUP(JU$3,Entries!$B$3:$B$16,Entries!$E$3:$E$16,"Enter")="Booked",   INDEX(Entries!$B$3:$E$16,MATCH(JU$3,Entries!$B$3:$B$16,0),4),                                                    _xlfn.XLOOKUP(JU$3,Entries!$B$3:$B$16,Entries!$A$3:$A$16,"Error"),""),"")</f>
        <v/>
      </c>
      <c r="JX46" s="169" t="str" cm="1">
        <f t="array" ref="JX46">IF( ISNUMBER(MATCH(JX$3,Entries!$B$3:$B$16,0)),           _xlfn.IFS(  JX45="","",      AND(SUMPRODUCT((Entries!$A$3:$A$16=JX45)*(Entries!$C$3:$C$16=JY45)*(Entries!$D$3:$D$16=JZ45)) = 0,        _xlfn.XLOOKUP(JX$3,Entries!$B$3:$B$16,Entries!$E$3:$E$16,"Enter")="Booked"),   INDEX(Entries!$B$3:$E$16,MATCH(JX$3,Entries!$B$3:$B$16,0),2),      JX45 &lt;&gt;0,""                                                ),"")</f>
        <v/>
      </c>
      <c r="JY46" s="122" t="str" cm="1">
        <f t="array" ref="JY46">IF( ISNUMBER(MATCH(JX$3,Entries!$B$3:$B$16,0)),           _xlfn.IFS(  JX46="","",      SUMPRODUCT((Entries!$A$3:$A$16=JX45)*(Entries!$C$3:$C$16=JY45)*(Entries!$D$3:$D$16=JZ45)) &lt;&gt;0,"",         _xlfn.XLOOKUP(JX$3,Entries!$B$3:$B$16,Entries!$E$3:$E$16,"Enter")="Booked",   INDEX(Entries!$B$3:$E$16,MATCH(JX$3,Entries!$B$3:$B$16,0),3),                                                    _xlfn.XLOOKUP(JX$3,Entries!$B$3:$B$16,Entries!$A$3:$A$16,"Error"),""),"")</f>
        <v/>
      </c>
      <c r="JZ46" s="123" t="str" cm="1">
        <f t="array" ref="JZ46">IF( ISNUMBER(MATCH(JX$3,Entries!$B$3:$B$16,0)),           _xlfn.IFS(  JX46="","",      SUMPRODUCT((Entries!$A$3:$A$16=JY45)*(Entries!$C$3:$C$16=JZ45)*(Entries!$D$3:$D$16=KA45)) &lt;&gt;0,"",         _xlfn.XLOOKUP(JX$3,Entries!$B$3:$B$16,Entries!$E$3:$E$16,"Enter")="Booked",   INDEX(Entries!$B$3:$E$16,MATCH(JX$3,Entries!$B$3:$B$16,0),4),                                                    _xlfn.XLOOKUP(JX$3,Entries!$B$3:$B$16,Entries!$A$3:$A$16,"Error"),""),"")</f>
        <v/>
      </c>
      <c r="KA46" s="169" t="str" cm="1">
        <f t="array" ref="KA46">IF( ISNUMBER(MATCH(KA$3,Entries!$B$3:$B$16,0)),           _xlfn.IFS(  KA45="","",      AND(SUMPRODUCT((Entries!$A$3:$A$16=KA45)*(Entries!$C$3:$C$16=KB45)*(Entries!$D$3:$D$16=KC45)) = 0,        _xlfn.XLOOKUP(KA$3,Entries!$B$3:$B$16,Entries!$E$3:$E$16,"Enter")="Booked"),   INDEX(Entries!$B$3:$E$16,MATCH(KA$3,Entries!$B$3:$B$16,0),2),      KA45 &lt;&gt;0,""                                                ),"")</f>
        <v/>
      </c>
      <c r="KB46" s="122" t="str" cm="1">
        <f t="array" ref="KB46">IF( ISNUMBER(MATCH(KA$3,Entries!$B$3:$B$16,0)),           _xlfn.IFS(  KA46="","",      SUMPRODUCT((Entries!$A$3:$A$16=KA45)*(Entries!$C$3:$C$16=KB45)*(Entries!$D$3:$D$16=KC45)) &lt;&gt;0,"",         _xlfn.XLOOKUP(KA$3,Entries!$B$3:$B$16,Entries!$E$3:$E$16,"Enter")="Booked",   INDEX(Entries!$B$3:$E$16,MATCH(KA$3,Entries!$B$3:$B$16,0),3),                                                    _xlfn.XLOOKUP(KA$3,Entries!$B$3:$B$16,Entries!$A$3:$A$16,"Error"),""),"")</f>
        <v/>
      </c>
      <c r="KC46" s="123" t="str" cm="1">
        <f t="array" ref="KC46">IF( ISNUMBER(MATCH(KA$3,Entries!$B$3:$B$16,0)),           _xlfn.IFS(  KA46="","",      SUMPRODUCT((Entries!$A$3:$A$16=KB45)*(Entries!$C$3:$C$16=KC45)*(Entries!$D$3:$D$16=KD45)) &lt;&gt;0,"",         _xlfn.XLOOKUP(KA$3,Entries!$B$3:$B$16,Entries!$E$3:$E$16,"Enter")="Booked",   INDEX(Entries!$B$3:$E$16,MATCH(KA$3,Entries!$B$3:$B$16,0),4),                                                    _xlfn.XLOOKUP(KA$3,Entries!$B$3:$B$16,Entries!$A$3:$A$16,"Error"),""),"")</f>
        <v/>
      </c>
      <c r="KD46" s="169" t="str" cm="1">
        <f t="array" ref="KD46">IF( ISNUMBER(MATCH(KD$3,Entries!$B$3:$B$16,0)),           _xlfn.IFS(  KD45="","",      AND(SUMPRODUCT((Entries!$A$3:$A$16=KD45)*(Entries!$C$3:$C$16=KE45)*(Entries!$D$3:$D$16=KF45)) = 0,        _xlfn.XLOOKUP(KD$3,Entries!$B$3:$B$16,Entries!$E$3:$E$16,"Enter")="Booked"),   INDEX(Entries!$B$3:$E$16,MATCH(KD$3,Entries!$B$3:$B$16,0),2),      KD45 &lt;&gt;0,""                                                ),"")</f>
        <v/>
      </c>
      <c r="KE46" s="122" t="str" cm="1">
        <f t="array" ref="KE46">IF( ISNUMBER(MATCH(KD$3,Entries!$B$3:$B$16,0)),           _xlfn.IFS(  KD46="","",      SUMPRODUCT((Entries!$A$3:$A$16=KD45)*(Entries!$C$3:$C$16=KE45)*(Entries!$D$3:$D$16=KF45)) &lt;&gt;0,"",         _xlfn.XLOOKUP(KD$3,Entries!$B$3:$B$16,Entries!$E$3:$E$16,"Enter")="Booked",   INDEX(Entries!$B$3:$E$16,MATCH(KD$3,Entries!$B$3:$B$16,0),3),                                                    _xlfn.XLOOKUP(KD$3,Entries!$B$3:$B$16,Entries!$A$3:$A$16,"Error"),""),"")</f>
        <v/>
      </c>
      <c r="KF46" s="123" t="str" cm="1">
        <f t="array" ref="KF46">IF( ISNUMBER(MATCH(KD$3,Entries!$B$3:$B$16,0)),           _xlfn.IFS(  KD46="","",      SUMPRODUCT((Entries!$A$3:$A$16=KE45)*(Entries!$C$3:$C$16=KF45)*(Entries!$D$3:$D$16=KG45)) &lt;&gt;0,"",         _xlfn.XLOOKUP(KD$3,Entries!$B$3:$B$16,Entries!$E$3:$E$16,"Enter")="Booked",   INDEX(Entries!$B$3:$E$16,MATCH(KD$3,Entries!$B$3:$B$16,0),4),                                                    _xlfn.XLOOKUP(KD$3,Entries!$B$3:$B$16,Entries!$A$3:$A$16,"Error"),""),"")</f>
        <v/>
      </c>
    </row>
    <row r="47" spans="1:292">
      <c r="A47" s="792"/>
      <c r="B47" s="124"/>
      <c r="C47" s="122"/>
      <c r="D47" s="164"/>
      <c r="E47" s="124"/>
      <c r="F47" s="793"/>
      <c r="G47" s="794"/>
      <c r="H47" s="124"/>
      <c r="I47" s="122"/>
      <c r="J47" s="164"/>
      <c r="K47" s="124"/>
      <c r="L47" s="793"/>
      <c r="M47" s="794"/>
      <c r="N47" s="138"/>
      <c r="O47" s="122"/>
      <c r="P47" s="794"/>
      <c r="Q47" s="138">
        <v>45923</v>
      </c>
      <c r="R47" s="122">
        <v>100</v>
      </c>
      <c r="S47" s="794">
        <v>821.4</v>
      </c>
      <c r="T47" s="794"/>
      <c r="U47" s="794"/>
      <c r="V47" s="794"/>
      <c r="W47" s="138"/>
      <c r="X47" s="793"/>
      <c r="Y47" s="794"/>
      <c r="Z47" s="138"/>
      <c r="AA47" s="122"/>
      <c r="AB47" s="794"/>
      <c r="AC47" s="138"/>
      <c r="AD47" s="793"/>
      <c r="AE47" s="794"/>
      <c r="AF47" s="138"/>
      <c r="AG47" s="793"/>
      <c r="AH47" s="794"/>
      <c r="AI47" s="138"/>
      <c r="AJ47" s="793"/>
      <c r="AK47" s="794"/>
      <c r="AL47" s="138"/>
      <c r="AM47" s="793"/>
      <c r="AN47" s="794"/>
      <c r="AO47" s="124"/>
      <c r="AP47" s="793"/>
      <c r="AQ47" s="794"/>
      <c r="AR47" s="124"/>
      <c r="AS47" s="793"/>
      <c r="AT47" s="794"/>
      <c r="AU47" s="124"/>
      <c r="AV47" s="793"/>
      <c r="AW47" s="794"/>
      <c r="AX47" s="124"/>
      <c r="AY47" s="793"/>
      <c r="AZ47" s="794"/>
      <c r="BA47" s="124"/>
      <c r="BB47" s="793"/>
      <c r="BC47" s="794"/>
      <c r="BD47" s="124"/>
      <c r="BE47" s="793"/>
      <c r="BF47" s="794"/>
      <c r="BG47" s="124"/>
      <c r="BH47" s="793"/>
      <c r="BI47" s="794"/>
      <c r="BJ47" s="124"/>
      <c r="BK47" s="793"/>
      <c r="BL47" s="794"/>
      <c r="BM47" s="124"/>
      <c r="BN47" s="793"/>
      <c r="BO47" s="794"/>
      <c r="BP47" s="124"/>
      <c r="BQ47" s="793"/>
      <c r="BR47" s="794"/>
      <c r="BS47" s="124">
        <v>45954</v>
      </c>
      <c r="BT47" s="793">
        <v>20000</v>
      </c>
      <c r="BU47" s="794">
        <v>406.2</v>
      </c>
      <c r="BV47" s="124"/>
      <c r="BW47" s="122"/>
      <c r="BX47" s="164"/>
      <c r="BY47" s="124"/>
      <c r="BZ47" s="793"/>
      <c r="CA47" s="794"/>
      <c r="CB47" s="124"/>
      <c r="CC47" s="122"/>
      <c r="CD47" s="164"/>
      <c r="CE47" s="124"/>
      <c r="CF47" s="793"/>
      <c r="CG47" s="794"/>
      <c r="CH47" s="124"/>
      <c r="CI47" s="122"/>
      <c r="CJ47" s="795"/>
      <c r="CK47" s="124"/>
      <c r="CL47" s="793"/>
      <c r="CM47" s="794"/>
      <c r="CN47" s="124"/>
      <c r="CO47" s="122"/>
      <c r="CP47" s="164"/>
      <c r="CQ47" s="124"/>
      <c r="CR47" s="793"/>
      <c r="CS47" s="794"/>
      <c r="CT47" s="124"/>
      <c r="CU47" s="122"/>
      <c r="CV47" s="164"/>
      <c r="CW47" s="124"/>
      <c r="CX47" s="793"/>
      <c r="CY47" s="794"/>
      <c r="CZ47" s="124"/>
      <c r="DA47" s="122"/>
      <c r="DB47" s="164"/>
      <c r="DC47" s="124"/>
      <c r="DD47" s="793"/>
      <c r="DE47" s="796"/>
      <c r="DF47" s="124"/>
      <c r="DG47" s="122"/>
      <c r="DH47" s="795"/>
      <c r="DI47" s="124"/>
      <c r="DJ47" s="793"/>
      <c r="DK47" s="796"/>
      <c r="DL47" s="124"/>
      <c r="DM47" s="122"/>
      <c r="DN47" s="795"/>
      <c r="DO47" s="124"/>
      <c r="DP47" s="122"/>
      <c r="DQ47" s="123"/>
      <c r="DR47" s="124"/>
      <c r="DS47" s="122"/>
      <c r="DT47" s="123"/>
      <c r="DU47" s="124"/>
      <c r="DV47" s="793"/>
      <c r="DW47" s="796"/>
      <c r="DX47" s="124"/>
      <c r="DY47" s="122"/>
      <c r="DZ47" s="795"/>
      <c r="EA47" s="124"/>
      <c r="EB47" s="793"/>
      <c r="EC47" s="796"/>
      <c r="ED47" s="124"/>
      <c r="EE47" s="122"/>
      <c r="EF47" s="795"/>
      <c r="EG47" s="124"/>
      <c r="EH47" s="793"/>
      <c r="EI47" s="796"/>
      <c r="EJ47" s="124"/>
      <c r="EK47" s="122"/>
      <c r="EL47" s="123"/>
      <c r="EM47" s="124"/>
      <c r="EN47" s="122"/>
      <c r="EO47" s="795"/>
      <c r="EP47" s="124"/>
      <c r="EQ47" s="122"/>
      <c r="ER47" s="164"/>
      <c r="ES47" s="124"/>
      <c r="ET47" s="122"/>
      <c r="EU47" s="795"/>
      <c r="EV47" s="124"/>
      <c r="EW47" s="793"/>
      <c r="EX47" s="796"/>
      <c r="EY47" s="124"/>
      <c r="EZ47" s="122"/>
      <c r="FA47" s="164"/>
      <c r="FB47" s="124"/>
      <c r="FC47" s="793"/>
      <c r="FD47" s="794"/>
      <c r="FE47" s="124"/>
      <c r="FF47" s="122"/>
      <c r="FG47" s="164"/>
      <c r="FH47" s="124"/>
      <c r="FI47" s="793"/>
      <c r="FJ47" s="794"/>
      <c r="FK47" s="124"/>
      <c r="FL47" s="122"/>
      <c r="FM47" s="164"/>
      <c r="FN47" s="124"/>
      <c r="FO47" s="793"/>
      <c r="FP47" s="796"/>
      <c r="FQ47" s="124"/>
      <c r="FR47" s="122"/>
      <c r="FS47" s="164"/>
      <c r="FT47" s="124"/>
      <c r="FU47" s="793"/>
      <c r="FV47" s="794"/>
      <c r="FW47" s="124"/>
      <c r="FX47" s="122"/>
      <c r="FY47" s="164"/>
      <c r="FZ47" s="124"/>
      <c r="GA47" s="793"/>
      <c r="GB47" s="794"/>
      <c r="GC47" s="124"/>
      <c r="GD47" s="122"/>
      <c r="GE47" s="164"/>
      <c r="GF47" s="124"/>
      <c r="GG47" s="793"/>
      <c r="GH47" s="794"/>
      <c r="GI47" s="124"/>
      <c r="GJ47" s="122"/>
      <c r="GK47" s="164"/>
      <c r="GL47" s="124"/>
      <c r="GM47" s="122"/>
      <c r="GN47" s="123"/>
      <c r="GO47" s="124"/>
      <c r="GP47" s="122"/>
      <c r="GQ47" s="123"/>
      <c r="GR47" s="124"/>
      <c r="GS47" s="122"/>
      <c r="GT47" s="123"/>
      <c r="GU47" s="124"/>
      <c r="GV47" s="122"/>
      <c r="GW47" s="123"/>
      <c r="GX47" s="124"/>
      <c r="GY47" s="122"/>
      <c r="GZ47" s="795"/>
      <c r="HA47" s="124"/>
      <c r="HB47" s="793"/>
      <c r="HC47" s="796"/>
      <c r="HD47" s="124"/>
      <c r="HE47" s="122"/>
      <c r="HF47" s="796"/>
      <c r="HG47" s="138"/>
      <c r="HH47" s="793"/>
      <c r="HI47" s="796"/>
      <c r="HJ47" s="124"/>
      <c r="HK47" s="122"/>
      <c r="HL47" s="795"/>
      <c r="HM47" s="124"/>
      <c r="HN47" s="793"/>
      <c r="HO47" s="796"/>
      <c r="HP47" s="124"/>
      <c r="HQ47" s="122"/>
      <c r="HR47" s="795"/>
      <c r="HS47" s="124"/>
      <c r="HT47" s="122"/>
      <c r="HU47" s="164"/>
      <c r="HV47" s="124"/>
      <c r="HW47" s="122"/>
      <c r="HX47" s="164"/>
      <c r="HY47" s="124"/>
      <c r="HZ47" s="122"/>
      <c r="IA47" s="164"/>
      <c r="IB47" s="124"/>
      <c r="IC47" s="793"/>
      <c r="ID47" s="794"/>
      <c r="IE47" s="124"/>
      <c r="IF47" s="122"/>
      <c r="IG47" s="796"/>
      <c r="IH47" s="124"/>
      <c r="II47" s="122"/>
      <c r="IJ47" s="164"/>
      <c r="IK47" s="124"/>
      <c r="IL47" s="122"/>
      <c r="IM47" s="123"/>
      <c r="IN47" s="124"/>
      <c r="IO47" s="122"/>
      <c r="IP47" s="123"/>
      <c r="IQ47" s="124"/>
      <c r="IR47" s="122"/>
      <c r="IS47" s="123"/>
      <c r="IT47" s="124"/>
      <c r="IU47" s="122"/>
      <c r="IV47" s="123"/>
      <c r="IW47" s="124"/>
      <c r="IX47" s="122"/>
      <c r="IY47" s="123"/>
      <c r="IZ47" s="124"/>
      <c r="JA47" s="122"/>
      <c r="JB47" s="123"/>
      <c r="JC47" s="124"/>
      <c r="JD47" s="122"/>
      <c r="JE47" s="123"/>
      <c r="JF47" s="124"/>
      <c r="JG47" s="122"/>
      <c r="JH47" s="795"/>
      <c r="JI47" s="124"/>
      <c r="JJ47" s="793"/>
      <c r="JK47" s="796"/>
      <c r="JL47" s="124"/>
      <c r="JM47" s="122"/>
      <c r="JN47" s="795"/>
      <c r="JO47" s="124"/>
      <c r="JP47" s="793"/>
      <c r="JQ47" s="796"/>
      <c r="JR47" s="124"/>
      <c r="JS47" s="122"/>
      <c r="JT47" s="795"/>
      <c r="JU47" s="169" t="str" cm="1">
        <f t="array" ref="JU47">IF( ISNUMBER(MATCH(JU$3,Entries!$B$3:$B$16,0)),           _xlfn.IFS(  JU46="","",      AND(SUMPRODUCT((Entries!$A$3:$A$16=JU46)*(Entries!$C$3:$C$16=JV46)*(Entries!$D$3:$D$16=JW46)) = 0,        _xlfn.XLOOKUP(JU$3,Entries!$B$3:$B$16,Entries!$E$3:$E$16,"Enter")="Booked"),   INDEX(Entries!$B$3:$E$16,MATCH(JU$3,Entries!$B$3:$B$16,0),2),      JU46 &lt;&gt;0,""                                                ),"")</f>
        <v/>
      </c>
      <c r="JV47" s="122" t="str" cm="1">
        <f t="array" ref="JV47">IF( ISNUMBER(MATCH(JU$3,Entries!$B$3:$B$16,0)),           _xlfn.IFS(  JU47="","",      SUMPRODUCT((Entries!$A$3:$A$16=JU46)*(Entries!$C$3:$C$16=JV46)*(Entries!$D$3:$D$16=JW46)) &lt;&gt;0,"",         _xlfn.XLOOKUP(JU$3,Entries!$B$3:$B$16,Entries!$E$3:$E$16,"Enter")="Booked",   INDEX(Entries!$B$3:$E$16,MATCH(JU$3,Entries!$B$3:$B$16,0),3),                                                    _xlfn.XLOOKUP(JU$3,Entries!$B$3:$B$16,Entries!$A$3:$A$16,"Error"),""),"")</f>
        <v/>
      </c>
      <c r="JW47" s="123" t="str" cm="1">
        <f t="array" ref="JW47">IF( ISNUMBER(MATCH(JU$3,Entries!$B$3:$B$16,0)),           _xlfn.IFS(  JU47="","",      SUMPRODUCT((Entries!$A$3:$A$16=JV46)*(Entries!$C$3:$C$16=JW46)*(Entries!$D$3:$D$16=JX46)) &lt;&gt;0,"",         _xlfn.XLOOKUP(JU$3,Entries!$B$3:$B$16,Entries!$E$3:$E$16,"Enter")="Booked",   INDEX(Entries!$B$3:$E$16,MATCH(JU$3,Entries!$B$3:$B$16,0),4),                                                    _xlfn.XLOOKUP(JU$3,Entries!$B$3:$B$16,Entries!$A$3:$A$16,"Error"),""),"")</f>
        <v/>
      </c>
      <c r="JX47" s="169" t="str" cm="1">
        <f t="array" ref="JX47">IF( ISNUMBER(MATCH(JX$3,Entries!$B$3:$B$16,0)),           _xlfn.IFS(  JX46="","",      AND(SUMPRODUCT((Entries!$A$3:$A$16=JX46)*(Entries!$C$3:$C$16=JY46)*(Entries!$D$3:$D$16=JZ46)) = 0,        _xlfn.XLOOKUP(JX$3,Entries!$B$3:$B$16,Entries!$E$3:$E$16,"Enter")="Booked"),   INDEX(Entries!$B$3:$E$16,MATCH(JX$3,Entries!$B$3:$B$16,0),2),      JX46 &lt;&gt;0,""                                                ),"")</f>
        <v/>
      </c>
      <c r="JY47" s="122" t="str" cm="1">
        <f t="array" ref="JY47">IF( ISNUMBER(MATCH(JX$3,Entries!$B$3:$B$16,0)),           _xlfn.IFS(  JX47="","",      SUMPRODUCT((Entries!$A$3:$A$16=JX46)*(Entries!$C$3:$C$16=JY46)*(Entries!$D$3:$D$16=JZ46)) &lt;&gt;0,"",         _xlfn.XLOOKUP(JX$3,Entries!$B$3:$B$16,Entries!$E$3:$E$16,"Enter")="Booked",   INDEX(Entries!$B$3:$E$16,MATCH(JX$3,Entries!$B$3:$B$16,0),3),                                                    _xlfn.XLOOKUP(JX$3,Entries!$B$3:$B$16,Entries!$A$3:$A$16,"Error"),""),"")</f>
        <v/>
      </c>
      <c r="JZ47" s="123" t="str" cm="1">
        <f t="array" ref="JZ47">IF( ISNUMBER(MATCH(JX$3,Entries!$B$3:$B$16,0)),           _xlfn.IFS(  JX47="","",      SUMPRODUCT((Entries!$A$3:$A$16=JY46)*(Entries!$C$3:$C$16=JZ46)*(Entries!$D$3:$D$16=KA46)) &lt;&gt;0,"",         _xlfn.XLOOKUP(JX$3,Entries!$B$3:$B$16,Entries!$E$3:$E$16,"Enter")="Booked",   INDEX(Entries!$B$3:$E$16,MATCH(JX$3,Entries!$B$3:$B$16,0),4),                                                    _xlfn.XLOOKUP(JX$3,Entries!$B$3:$B$16,Entries!$A$3:$A$16,"Error"),""),"")</f>
        <v/>
      </c>
      <c r="KA47" s="169" t="str" cm="1">
        <f t="array" ref="KA47">IF( ISNUMBER(MATCH(KA$3,Entries!$B$3:$B$16,0)),           _xlfn.IFS(  KA46="","",      AND(SUMPRODUCT((Entries!$A$3:$A$16=KA46)*(Entries!$C$3:$C$16=KB46)*(Entries!$D$3:$D$16=KC46)) = 0,        _xlfn.XLOOKUP(KA$3,Entries!$B$3:$B$16,Entries!$E$3:$E$16,"Enter")="Booked"),   INDEX(Entries!$B$3:$E$16,MATCH(KA$3,Entries!$B$3:$B$16,0),2),      KA46 &lt;&gt;0,""                                                ),"")</f>
        <v/>
      </c>
      <c r="KB47" s="122" t="str" cm="1">
        <f t="array" ref="KB47">IF( ISNUMBER(MATCH(KA$3,Entries!$B$3:$B$16,0)),           _xlfn.IFS(  KA47="","",      SUMPRODUCT((Entries!$A$3:$A$16=KA46)*(Entries!$C$3:$C$16=KB46)*(Entries!$D$3:$D$16=KC46)) &lt;&gt;0,"",         _xlfn.XLOOKUP(KA$3,Entries!$B$3:$B$16,Entries!$E$3:$E$16,"Enter")="Booked",   INDEX(Entries!$B$3:$E$16,MATCH(KA$3,Entries!$B$3:$B$16,0),3),                                                    _xlfn.XLOOKUP(KA$3,Entries!$B$3:$B$16,Entries!$A$3:$A$16,"Error"),""),"")</f>
        <v/>
      </c>
      <c r="KC47" s="123" t="str" cm="1">
        <f t="array" ref="KC47">IF( ISNUMBER(MATCH(KA$3,Entries!$B$3:$B$16,0)),           _xlfn.IFS(  KA47="","",      SUMPRODUCT((Entries!$A$3:$A$16=KB46)*(Entries!$C$3:$C$16=KC46)*(Entries!$D$3:$D$16=KD46)) &lt;&gt;0,"",         _xlfn.XLOOKUP(KA$3,Entries!$B$3:$B$16,Entries!$E$3:$E$16,"Enter")="Booked",   INDEX(Entries!$B$3:$E$16,MATCH(KA$3,Entries!$B$3:$B$16,0),4),                                                    _xlfn.XLOOKUP(KA$3,Entries!$B$3:$B$16,Entries!$A$3:$A$16,"Error"),""),"")</f>
        <v/>
      </c>
      <c r="KD47" s="169" t="str" cm="1">
        <f t="array" ref="KD47">IF( ISNUMBER(MATCH(KD$3,Entries!$B$3:$B$16,0)),           _xlfn.IFS(  KD46="","",      AND(SUMPRODUCT((Entries!$A$3:$A$16=KD46)*(Entries!$C$3:$C$16=KE46)*(Entries!$D$3:$D$16=KF46)) = 0,        _xlfn.XLOOKUP(KD$3,Entries!$B$3:$B$16,Entries!$E$3:$E$16,"Enter")="Booked"),   INDEX(Entries!$B$3:$E$16,MATCH(KD$3,Entries!$B$3:$B$16,0),2),      KD46 &lt;&gt;0,""                                                ),"")</f>
        <v/>
      </c>
      <c r="KE47" s="122" t="str" cm="1">
        <f t="array" ref="KE47">IF( ISNUMBER(MATCH(KD$3,Entries!$B$3:$B$16,0)),           _xlfn.IFS(  KD47="","",      SUMPRODUCT((Entries!$A$3:$A$16=KD46)*(Entries!$C$3:$C$16=KE46)*(Entries!$D$3:$D$16=KF46)) &lt;&gt;0,"",         _xlfn.XLOOKUP(KD$3,Entries!$B$3:$B$16,Entries!$E$3:$E$16,"Enter")="Booked",   INDEX(Entries!$B$3:$E$16,MATCH(KD$3,Entries!$B$3:$B$16,0),3),                                                    _xlfn.XLOOKUP(KD$3,Entries!$B$3:$B$16,Entries!$A$3:$A$16,"Error"),""),"")</f>
        <v/>
      </c>
      <c r="KF47" s="123" t="str" cm="1">
        <f t="array" ref="KF47">IF( ISNUMBER(MATCH(KD$3,Entries!$B$3:$B$16,0)),           _xlfn.IFS(  KD47="","",      SUMPRODUCT((Entries!$A$3:$A$16=KE46)*(Entries!$C$3:$C$16=KF46)*(Entries!$D$3:$D$16=KG46)) &lt;&gt;0,"",         _xlfn.XLOOKUP(KD$3,Entries!$B$3:$B$16,Entries!$E$3:$E$16,"Enter")="Booked",   INDEX(Entries!$B$3:$E$16,MATCH(KD$3,Entries!$B$3:$B$16,0),4),                                                    _xlfn.XLOOKUP(KD$3,Entries!$B$3:$B$16,Entries!$A$3:$A$16,"Error"),""),"")</f>
        <v/>
      </c>
    </row>
    <row r="48" spans="1:292">
      <c r="A48" s="792"/>
      <c r="B48" s="124"/>
      <c r="C48" s="122"/>
      <c r="D48" s="164"/>
      <c r="E48" s="124"/>
      <c r="F48" s="793"/>
      <c r="G48" s="794"/>
      <c r="H48" s="124"/>
      <c r="I48" s="122"/>
      <c r="J48" s="164"/>
      <c r="K48" s="124"/>
      <c r="L48" s="793"/>
      <c r="M48" s="794"/>
      <c r="N48" s="138"/>
      <c r="O48" s="122"/>
      <c r="P48" s="794"/>
      <c r="Q48" s="138">
        <v>45924</v>
      </c>
      <c r="R48" s="122">
        <v>200</v>
      </c>
      <c r="S48" s="794">
        <v>824.25</v>
      </c>
      <c r="T48" s="794"/>
      <c r="U48" s="794"/>
      <c r="V48" s="794"/>
      <c r="W48" s="138"/>
      <c r="X48" s="793"/>
      <c r="Y48" s="794"/>
      <c r="Z48" s="138"/>
      <c r="AA48" s="122"/>
      <c r="AB48" s="794"/>
      <c r="AC48" s="138"/>
      <c r="AD48" s="793"/>
      <c r="AE48" s="794"/>
      <c r="AF48" s="138"/>
      <c r="AG48" s="793"/>
      <c r="AH48" s="794"/>
      <c r="AI48" s="138"/>
      <c r="AJ48" s="793"/>
      <c r="AK48" s="794"/>
      <c r="AL48" s="138"/>
      <c r="AM48" s="793"/>
      <c r="AN48" s="794"/>
      <c r="AO48" s="124"/>
      <c r="AP48" s="793"/>
      <c r="AQ48" s="794"/>
      <c r="AR48" s="124"/>
      <c r="AS48" s="793"/>
      <c r="AT48" s="794"/>
      <c r="AU48" s="124"/>
      <c r="AV48" s="793"/>
      <c r="AW48" s="794"/>
      <c r="AX48" s="124"/>
      <c r="AY48" s="793"/>
      <c r="AZ48" s="794"/>
      <c r="BA48" s="124"/>
      <c r="BB48" s="793"/>
      <c r="BC48" s="794"/>
      <c r="BD48" s="124"/>
      <c r="BE48" s="793"/>
      <c r="BF48" s="794"/>
      <c r="BG48" s="124"/>
      <c r="BH48" s="793"/>
      <c r="BI48" s="794"/>
      <c r="BJ48" s="124"/>
      <c r="BK48" s="793"/>
      <c r="BL48" s="794"/>
      <c r="BM48" s="124"/>
      <c r="BN48" s="793"/>
      <c r="BO48" s="794"/>
      <c r="BP48" s="124"/>
      <c r="BQ48" s="793"/>
      <c r="BR48" s="794"/>
      <c r="BS48" s="124"/>
      <c r="BT48" s="793"/>
      <c r="BU48" s="794"/>
      <c r="BV48" s="124"/>
      <c r="BW48" s="122"/>
      <c r="BX48" s="164"/>
      <c r="BY48" s="124"/>
      <c r="BZ48" s="793"/>
      <c r="CA48" s="794"/>
      <c r="CB48" s="124"/>
      <c r="CC48" s="122"/>
      <c r="CD48" s="164"/>
      <c r="CE48" s="124"/>
      <c r="CF48" s="793"/>
      <c r="CG48" s="794"/>
      <c r="CH48" s="124"/>
      <c r="CI48" s="122"/>
      <c r="CJ48" s="795"/>
      <c r="CK48" s="124"/>
      <c r="CL48" s="793"/>
      <c r="CM48" s="794"/>
      <c r="CN48" s="124"/>
      <c r="CO48" s="122"/>
      <c r="CP48" s="164"/>
      <c r="CQ48" s="124"/>
      <c r="CR48" s="793"/>
      <c r="CS48" s="794"/>
      <c r="CT48" s="124"/>
      <c r="CU48" s="122"/>
      <c r="CV48" s="164"/>
      <c r="CW48" s="124"/>
      <c r="CX48" s="793"/>
      <c r="CY48" s="794"/>
      <c r="CZ48" s="124"/>
      <c r="DA48" s="122"/>
      <c r="DB48" s="164"/>
      <c r="DC48" s="124"/>
      <c r="DD48" s="793"/>
      <c r="DE48" s="796"/>
      <c r="DF48" s="124"/>
      <c r="DG48" s="122"/>
      <c r="DH48" s="795"/>
      <c r="DI48" s="124"/>
      <c r="DJ48" s="793"/>
      <c r="DK48" s="796"/>
      <c r="DL48" s="124"/>
      <c r="DM48" s="122"/>
      <c r="DN48" s="795"/>
      <c r="DO48" s="124"/>
      <c r="DP48" s="122"/>
      <c r="DQ48" s="123"/>
      <c r="DR48" s="124"/>
      <c r="DS48" s="122"/>
      <c r="DT48" s="123"/>
      <c r="DU48" s="124"/>
      <c r="DV48" s="793"/>
      <c r="DW48" s="796"/>
      <c r="DX48" s="124"/>
      <c r="DY48" s="122"/>
      <c r="DZ48" s="795"/>
      <c r="EA48" s="124"/>
      <c r="EB48" s="793"/>
      <c r="EC48" s="796"/>
      <c r="ED48" s="124"/>
      <c r="EE48" s="122"/>
      <c r="EF48" s="795"/>
      <c r="EG48" s="124"/>
      <c r="EH48" s="793"/>
      <c r="EI48" s="796"/>
      <c r="EJ48" s="124"/>
      <c r="EK48" s="122"/>
      <c r="EL48" s="123"/>
      <c r="EM48" s="124"/>
      <c r="EN48" s="122"/>
      <c r="EO48" s="795"/>
      <c r="EP48" s="124"/>
      <c r="EQ48" s="122"/>
      <c r="ER48" s="164"/>
      <c r="ES48" s="124"/>
      <c r="ET48" s="122"/>
      <c r="EU48" s="795"/>
      <c r="EV48" s="124"/>
      <c r="EW48" s="793"/>
      <c r="EX48" s="796"/>
      <c r="EY48" s="124"/>
      <c r="EZ48" s="122"/>
      <c r="FA48" s="164"/>
      <c r="FB48" s="124"/>
      <c r="FC48" s="793"/>
      <c r="FD48" s="794"/>
      <c r="FE48" s="124"/>
      <c r="FF48" s="122"/>
      <c r="FG48" s="164"/>
      <c r="FH48" s="124"/>
      <c r="FI48" s="793"/>
      <c r="FJ48" s="794"/>
      <c r="FK48" s="124"/>
      <c r="FL48" s="122"/>
      <c r="FM48" s="164"/>
      <c r="FN48" s="124"/>
      <c r="FO48" s="793"/>
      <c r="FP48" s="796"/>
      <c r="FQ48" s="124"/>
      <c r="FR48" s="122"/>
      <c r="FS48" s="164"/>
      <c r="FT48" s="124"/>
      <c r="FU48" s="793"/>
      <c r="FV48" s="794"/>
      <c r="FW48" s="124"/>
      <c r="FX48" s="122"/>
      <c r="FY48" s="164"/>
      <c r="FZ48" s="124"/>
      <c r="GA48" s="793"/>
      <c r="GB48" s="794"/>
      <c r="GC48" s="124"/>
      <c r="GD48" s="122"/>
      <c r="GE48" s="164"/>
      <c r="GF48" s="124"/>
      <c r="GG48" s="793"/>
      <c r="GH48" s="794"/>
      <c r="GI48" s="124"/>
      <c r="GJ48" s="122"/>
      <c r="GK48" s="164"/>
      <c r="GL48" s="124"/>
      <c r="GM48" s="122"/>
      <c r="GN48" s="123"/>
      <c r="GO48" s="124"/>
      <c r="GP48" s="122"/>
      <c r="GQ48" s="123"/>
      <c r="GR48" s="124"/>
      <c r="GS48" s="122"/>
      <c r="GT48" s="123"/>
      <c r="GU48" s="124"/>
      <c r="GV48" s="122"/>
      <c r="GW48" s="123"/>
      <c r="GX48" s="124"/>
      <c r="GY48" s="122"/>
      <c r="GZ48" s="795"/>
      <c r="HA48" s="124"/>
      <c r="HB48" s="793"/>
      <c r="HC48" s="796"/>
      <c r="HD48" s="124"/>
      <c r="HE48" s="122"/>
      <c r="HF48" s="796"/>
      <c r="HG48" s="138"/>
      <c r="HH48" s="793"/>
      <c r="HI48" s="796"/>
      <c r="HJ48" s="124"/>
      <c r="HK48" s="122"/>
      <c r="HL48" s="795"/>
      <c r="HM48" s="124"/>
      <c r="HN48" s="793"/>
      <c r="HO48" s="796"/>
      <c r="HP48" s="124"/>
      <c r="HQ48" s="122"/>
      <c r="HR48" s="795"/>
      <c r="HS48" s="124"/>
      <c r="HT48" s="122"/>
      <c r="HU48" s="164"/>
      <c r="HV48" s="124"/>
      <c r="HW48" s="122"/>
      <c r="HX48" s="164"/>
      <c r="HY48" s="124"/>
      <c r="HZ48" s="122"/>
      <c r="IA48" s="164"/>
      <c r="IB48" s="124"/>
      <c r="IC48" s="793"/>
      <c r="ID48" s="794"/>
      <c r="IE48" s="124"/>
      <c r="IF48" s="122"/>
      <c r="IG48" s="796"/>
      <c r="IH48" s="124"/>
      <c r="II48" s="122"/>
      <c r="IJ48" s="164"/>
      <c r="IK48" s="124"/>
      <c r="IL48" s="122"/>
      <c r="IM48" s="123"/>
      <c r="IN48" s="124"/>
      <c r="IO48" s="122"/>
      <c r="IP48" s="123"/>
      <c r="IQ48" s="124"/>
      <c r="IR48" s="122"/>
      <c r="IS48" s="123"/>
      <c r="IT48" s="124"/>
      <c r="IU48" s="122"/>
      <c r="IV48" s="123"/>
      <c r="IW48" s="124"/>
      <c r="IX48" s="122"/>
      <c r="IY48" s="123"/>
      <c r="IZ48" s="124"/>
      <c r="JA48" s="122"/>
      <c r="JB48" s="123"/>
      <c r="JC48" s="124"/>
      <c r="JD48" s="122"/>
      <c r="JE48" s="123"/>
      <c r="JF48" s="124"/>
      <c r="JG48" s="122"/>
      <c r="JH48" s="795"/>
      <c r="JI48" s="124"/>
      <c r="JJ48" s="793"/>
      <c r="JK48" s="796"/>
      <c r="JL48" s="124"/>
      <c r="JM48" s="122"/>
      <c r="JN48" s="795"/>
      <c r="JO48" s="124"/>
      <c r="JP48" s="793"/>
      <c r="JQ48" s="796"/>
      <c r="JR48" s="124"/>
      <c r="JS48" s="122"/>
      <c r="JT48" s="795"/>
      <c r="JU48" s="169" t="str" cm="1">
        <f t="array" ref="JU48">IF( ISNUMBER(MATCH(JU$3,Entries!$B$3:$B$16,0)),           _xlfn.IFS(  JU47="","",      AND(SUMPRODUCT((Entries!$A$3:$A$16=JU47)*(Entries!$C$3:$C$16=JV47)*(Entries!$D$3:$D$16=JW47)) = 0,        _xlfn.XLOOKUP(JU$3,Entries!$B$3:$B$16,Entries!$E$3:$E$16,"Enter")="Booked"),   INDEX(Entries!$B$3:$E$16,MATCH(JU$3,Entries!$B$3:$B$16,0),2),      JU47 &lt;&gt;0,""                                                ),"")</f>
        <v/>
      </c>
      <c r="JV48" s="122" t="str" cm="1">
        <f t="array" ref="JV48">IF( ISNUMBER(MATCH(JU$3,Entries!$B$3:$B$16,0)),           _xlfn.IFS(  JU48="","",      SUMPRODUCT((Entries!$A$3:$A$16=JU47)*(Entries!$C$3:$C$16=JV47)*(Entries!$D$3:$D$16=JW47)) &lt;&gt;0,"",         _xlfn.XLOOKUP(JU$3,Entries!$B$3:$B$16,Entries!$E$3:$E$16,"Enter")="Booked",   INDEX(Entries!$B$3:$E$16,MATCH(JU$3,Entries!$B$3:$B$16,0),3),                                                    _xlfn.XLOOKUP(JU$3,Entries!$B$3:$B$16,Entries!$A$3:$A$16,"Error"),""),"")</f>
        <v/>
      </c>
      <c r="JW48" s="123" t="str" cm="1">
        <f t="array" ref="JW48">IF( ISNUMBER(MATCH(JU$3,Entries!$B$3:$B$16,0)),           _xlfn.IFS(  JU48="","",      SUMPRODUCT((Entries!$A$3:$A$16=JV47)*(Entries!$C$3:$C$16=JW47)*(Entries!$D$3:$D$16=JX47)) &lt;&gt;0,"",         _xlfn.XLOOKUP(JU$3,Entries!$B$3:$B$16,Entries!$E$3:$E$16,"Enter")="Booked",   INDEX(Entries!$B$3:$E$16,MATCH(JU$3,Entries!$B$3:$B$16,0),4),                                                    _xlfn.XLOOKUP(JU$3,Entries!$B$3:$B$16,Entries!$A$3:$A$16,"Error"),""),"")</f>
        <v/>
      </c>
      <c r="JX48" s="169" t="str" cm="1">
        <f t="array" ref="JX48">IF( ISNUMBER(MATCH(JX$3,Entries!$B$3:$B$16,0)),           _xlfn.IFS(  JX47="","",      AND(SUMPRODUCT((Entries!$A$3:$A$16=JX47)*(Entries!$C$3:$C$16=JY47)*(Entries!$D$3:$D$16=JZ47)) = 0,        _xlfn.XLOOKUP(JX$3,Entries!$B$3:$B$16,Entries!$E$3:$E$16,"Enter")="Booked"),   INDEX(Entries!$B$3:$E$16,MATCH(JX$3,Entries!$B$3:$B$16,0),2),      JX47 &lt;&gt;0,""                                                ),"")</f>
        <v/>
      </c>
      <c r="JY48" s="122" t="str" cm="1">
        <f t="array" ref="JY48">IF( ISNUMBER(MATCH(JX$3,Entries!$B$3:$B$16,0)),           _xlfn.IFS(  JX48="","",      SUMPRODUCT((Entries!$A$3:$A$16=JX47)*(Entries!$C$3:$C$16=JY47)*(Entries!$D$3:$D$16=JZ47)) &lt;&gt;0,"",         _xlfn.XLOOKUP(JX$3,Entries!$B$3:$B$16,Entries!$E$3:$E$16,"Enter")="Booked",   INDEX(Entries!$B$3:$E$16,MATCH(JX$3,Entries!$B$3:$B$16,0),3),                                                    _xlfn.XLOOKUP(JX$3,Entries!$B$3:$B$16,Entries!$A$3:$A$16,"Error"),""),"")</f>
        <v/>
      </c>
      <c r="JZ48" s="123" t="str" cm="1">
        <f t="array" ref="JZ48">IF( ISNUMBER(MATCH(JX$3,Entries!$B$3:$B$16,0)),           _xlfn.IFS(  JX48="","",      SUMPRODUCT((Entries!$A$3:$A$16=JY47)*(Entries!$C$3:$C$16=JZ47)*(Entries!$D$3:$D$16=KA47)) &lt;&gt;0,"",         _xlfn.XLOOKUP(JX$3,Entries!$B$3:$B$16,Entries!$E$3:$E$16,"Enter")="Booked",   INDEX(Entries!$B$3:$E$16,MATCH(JX$3,Entries!$B$3:$B$16,0),4),                                                    _xlfn.XLOOKUP(JX$3,Entries!$B$3:$B$16,Entries!$A$3:$A$16,"Error"),""),"")</f>
        <v/>
      </c>
      <c r="KA48" s="169" t="str" cm="1">
        <f t="array" ref="KA48">IF( ISNUMBER(MATCH(KA$3,Entries!$B$3:$B$16,0)),           _xlfn.IFS(  KA47="","",      AND(SUMPRODUCT((Entries!$A$3:$A$16=KA47)*(Entries!$C$3:$C$16=KB47)*(Entries!$D$3:$D$16=KC47)) = 0,        _xlfn.XLOOKUP(KA$3,Entries!$B$3:$B$16,Entries!$E$3:$E$16,"Enter")="Booked"),   INDEX(Entries!$B$3:$E$16,MATCH(KA$3,Entries!$B$3:$B$16,0),2),      KA47 &lt;&gt;0,""                                                ),"")</f>
        <v/>
      </c>
      <c r="KB48" s="122" t="str" cm="1">
        <f t="array" ref="KB48">IF( ISNUMBER(MATCH(KA$3,Entries!$B$3:$B$16,0)),           _xlfn.IFS(  KA48="","",      SUMPRODUCT((Entries!$A$3:$A$16=KA47)*(Entries!$C$3:$C$16=KB47)*(Entries!$D$3:$D$16=KC47)) &lt;&gt;0,"",         _xlfn.XLOOKUP(KA$3,Entries!$B$3:$B$16,Entries!$E$3:$E$16,"Enter")="Booked",   INDEX(Entries!$B$3:$E$16,MATCH(KA$3,Entries!$B$3:$B$16,0),3),                                                    _xlfn.XLOOKUP(KA$3,Entries!$B$3:$B$16,Entries!$A$3:$A$16,"Error"),""),"")</f>
        <v/>
      </c>
      <c r="KC48" s="123" t="str" cm="1">
        <f t="array" ref="KC48">IF( ISNUMBER(MATCH(KA$3,Entries!$B$3:$B$16,0)),           _xlfn.IFS(  KA48="","",      SUMPRODUCT((Entries!$A$3:$A$16=KB47)*(Entries!$C$3:$C$16=KC47)*(Entries!$D$3:$D$16=KD47)) &lt;&gt;0,"",         _xlfn.XLOOKUP(KA$3,Entries!$B$3:$B$16,Entries!$E$3:$E$16,"Enter")="Booked",   INDEX(Entries!$B$3:$E$16,MATCH(KA$3,Entries!$B$3:$B$16,0),4),                                                    _xlfn.XLOOKUP(KA$3,Entries!$B$3:$B$16,Entries!$A$3:$A$16,"Error"),""),"")</f>
        <v/>
      </c>
      <c r="KD48" s="169" t="str" cm="1">
        <f t="array" ref="KD48">IF( ISNUMBER(MATCH(KD$3,Entries!$B$3:$B$16,0)),           _xlfn.IFS(  KD47="","",      AND(SUMPRODUCT((Entries!$A$3:$A$16=KD47)*(Entries!$C$3:$C$16=KE47)*(Entries!$D$3:$D$16=KF47)) = 0,        _xlfn.XLOOKUP(KD$3,Entries!$B$3:$B$16,Entries!$E$3:$E$16,"Enter")="Booked"),   INDEX(Entries!$B$3:$E$16,MATCH(KD$3,Entries!$B$3:$B$16,0),2),      KD47 &lt;&gt;0,""                                                ),"")</f>
        <v/>
      </c>
      <c r="KE48" s="122" t="str" cm="1">
        <f t="array" ref="KE48">IF( ISNUMBER(MATCH(KD$3,Entries!$B$3:$B$16,0)),           _xlfn.IFS(  KD48="","",      SUMPRODUCT((Entries!$A$3:$A$16=KD47)*(Entries!$C$3:$C$16=KE47)*(Entries!$D$3:$D$16=KF47)) &lt;&gt;0,"",         _xlfn.XLOOKUP(KD$3,Entries!$B$3:$B$16,Entries!$E$3:$E$16,"Enter")="Booked",   INDEX(Entries!$B$3:$E$16,MATCH(KD$3,Entries!$B$3:$B$16,0),3),                                                    _xlfn.XLOOKUP(KD$3,Entries!$B$3:$B$16,Entries!$A$3:$A$16,"Error"),""),"")</f>
        <v/>
      </c>
      <c r="KF48" s="123" t="str" cm="1">
        <f t="array" ref="KF48">IF( ISNUMBER(MATCH(KD$3,Entries!$B$3:$B$16,0)),           _xlfn.IFS(  KD48="","",      SUMPRODUCT((Entries!$A$3:$A$16=KE47)*(Entries!$C$3:$C$16=KF47)*(Entries!$D$3:$D$16=KG47)) &lt;&gt;0,"",         _xlfn.XLOOKUP(KD$3,Entries!$B$3:$B$16,Entries!$E$3:$E$16,"Enter")="Booked",   INDEX(Entries!$B$3:$E$16,MATCH(KD$3,Entries!$B$3:$B$16,0),4),                                                    _xlfn.XLOOKUP(KD$3,Entries!$B$3:$B$16,Entries!$A$3:$A$16,"Error"),""),"")</f>
        <v/>
      </c>
    </row>
    <row r="49" spans="1:292">
      <c r="A49" s="792"/>
      <c r="B49" s="124"/>
      <c r="C49" s="122"/>
      <c r="D49" s="164"/>
      <c r="E49" s="124"/>
      <c r="F49" s="793"/>
      <c r="G49" s="794"/>
      <c r="H49" s="124"/>
      <c r="I49" s="122"/>
      <c r="J49" s="164"/>
      <c r="K49" s="124"/>
      <c r="L49" s="793"/>
      <c r="M49" s="794"/>
      <c r="N49" s="138"/>
      <c r="O49" s="122"/>
      <c r="P49" s="794"/>
      <c r="Q49" s="1400">
        <v>45925</v>
      </c>
      <c r="R49" s="122">
        <v>200</v>
      </c>
      <c r="S49" s="794">
        <v>-804.9</v>
      </c>
      <c r="T49" s="794"/>
      <c r="U49" s="794"/>
      <c r="V49" s="794"/>
      <c r="W49" s="138"/>
      <c r="X49" s="793"/>
      <c r="Y49" s="794"/>
      <c r="Z49" s="138"/>
      <c r="AA49" s="122"/>
      <c r="AB49" s="794"/>
      <c r="AC49" s="138"/>
      <c r="AD49" s="793"/>
      <c r="AE49" s="794"/>
      <c r="AF49" s="138"/>
      <c r="AG49" s="793"/>
      <c r="AH49" s="794"/>
      <c r="AI49" s="138"/>
      <c r="AJ49" s="793"/>
      <c r="AK49" s="794"/>
      <c r="AL49" s="138"/>
      <c r="AM49" s="793"/>
      <c r="AN49" s="794"/>
      <c r="AO49" s="124"/>
      <c r="AP49" s="793"/>
      <c r="AQ49" s="794"/>
      <c r="AR49" s="124"/>
      <c r="AS49" s="793"/>
      <c r="AT49" s="794"/>
      <c r="AU49" s="124"/>
      <c r="AV49" s="793"/>
      <c r="AW49" s="794"/>
      <c r="AX49" s="124"/>
      <c r="AY49" s="793"/>
      <c r="AZ49" s="794"/>
      <c r="BA49" s="124"/>
      <c r="BB49" s="793"/>
      <c r="BC49" s="794"/>
      <c r="BD49" s="124"/>
      <c r="BE49" s="793"/>
      <c r="BF49" s="794"/>
      <c r="BG49" s="124"/>
      <c r="BH49" s="793"/>
      <c r="BI49" s="794"/>
      <c r="BJ49" s="124"/>
      <c r="BK49" s="793"/>
      <c r="BL49" s="794"/>
      <c r="BM49" s="124"/>
      <c r="BN49" s="793"/>
      <c r="BO49" s="794"/>
      <c r="BP49" s="124"/>
      <c r="BQ49" s="793"/>
      <c r="BR49" s="794"/>
      <c r="BS49" s="124"/>
      <c r="BT49" s="793"/>
      <c r="BU49" s="794"/>
      <c r="BV49" s="124"/>
      <c r="BW49" s="122"/>
      <c r="BX49" s="164"/>
      <c r="BY49" s="124"/>
      <c r="BZ49" s="793"/>
      <c r="CA49" s="794"/>
      <c r="CB49" s="124"/>
      <c r="CC49" s="122"/>
      <c r="CD49" s="164"/>
      <c r="CE49" s="124"/>
      <c r="CF49" s="793"/>
      <c r="CG49" s="794"/>
      <c r="CH49" s="124"/>
      <c r="CI49" s="122"/>
      <c r="CJ49" s="795"/>
      <c r="CK49" s="124"/>
      <c r="CL49" s="793"/>
      <c r="CM49" s="794"/>
      <c r="CN49" s="124"/>
      <c r="CO49" s="122"/>
      <c r="CP49" s="164"/>
      <c r="CQ49" s="124"/>
      <c r="CR49" s="793"/>
      <c r="CS49" s="794"/>
      <c r="CT49" s="124"/>
      <c r="CU49" s="122"/>
      <c r="CV49" s="164"/>
      <c r="CW49" s="124"/>
      <c r="CX49" s="793"/>
      <c r="CY49" s="794"/>
      <c r="CZ49" s="124"/>
      <c r="DA49" s="122"/>
      <c r="DB49" s="164"/>
      <c r="DC49" s="124"/>
      <c r="DD49" s="793"/>
      <c r="DE49" s="796"/>
      <c r="DF49" s="124"/>
      <c r="DG49" s="122"/>
      <c r="DH49" s="795"/>
      <c r="DI49" s="124"/>
      <c r="DJ49" s="793"/>
      <c r="DK49" s="796"/>
      <c r="DL49" s="124"/>
      <c r="DM49" s="122"/>
      <c r="DN49" s="795"/>
      <c r="DO49" s="124"/>
      <c r="DP49" s="122"/>
      <c r="DQ49" s="123"/>
      <c r="DR49" s="124"/>
      <c r="DS49" s="122"/>
      <c r="DT49" s="123"/>
      <c r="DU49" s="124"/>
      <c r="DV49" s="793"/>
      <c r="DW49" s="796"/>
      <c r="DX49" s="124"/>
      <c r="DY49" s="122"/>
      <c r="DZ49" s="795"/>
      <c r="EA49" s="124"/>
      <c r="EB49" s="793"/>
      <c r="EC49" s="796"/>
      <c r="ED49" s="124"/>
      <c r="EE49" s="122"/>
      <c r="EF49" s="795"/>
      <c r="EG49" s="124"/>
      <c r="EH49" s="793"/>
      <c r="EI49" s="796"/>
      <c r="EJ49" s="124"/>
      <c r="EK49" s="122"/>
      <c r="EL49" s="123"/>
      <c r="EM49" s="124"/>
      <c r="EN49" s="122"/>
      <c r="EO49" s="795"/>
      <c r="EP49" s="124"/>
      <c r="EQ49" s="122"/>
      <c r="ER49" s="164"/>
      <c r="ES49" s="124"/>
      <c r="ET49" s="122"/>
      <c r="EU49" s="795"/>
      <c r="EV49" s="124"/>
      <c r="EW49" s="793"/>
      <c r="EX49" s="796"/>
      <c r="EY49" s="124"/>
      <c r="EZ49" s="122"/>
      <c r="FA49" s="164"/>
      <c r="FB49" s="124"/>
      <c r="FC49" s="793"/>
      <c r="FD49" s="794"/>
      <c r="FE49" s="124"/>
      <c r="FF49" s="122"/>
      <c r="FG49" s="164"/>
      <c r="FH49" s="124"/>
      <c r="FI49" s="793"/>
      <c r="FJ49" s="794"/>
      <c r="FK49" s="124"/>
      <c r="FL49" s="122"/>
      <c r="FM49" s="164"/>
      <c r="FN49" s="124"/>
      <c r="FO49" s="793"/>
      <c r="FP49" s="796"/>
      <c r="FQ49" s="124"/>
      <c r="FR49" s="122"/>
      <c r="FS49" s="164"/>
      <c r="FT49" s="124"/>
      <c r="FU49" s="793"/>
      <c r="FV49" s="794"/>
      <c r="FW49" s="124"/>
      <c r="FX49" s="122"/>
      <c r="FY49" s="164"/>
      <c r="FZ49" s="124"/>
      <c r="GA49" s="793"/>
      <c r="GB49" s="794"/>
      <c r="GC49" s="124"/>
      <c r="GD49" s="122"/>
      <c r="GE49" s="164"/>
      <c r="GF49" s="124"/>
      <c r="GG49" s="793"/>
      <c r="GH49" s="794"/>
      <c r="GI49" s="124"/>
      <c r="GJ49" s="122"/>
      <c r="GK49" s="164"/>
      <c r="GL49" s="124"/>
      <c r="GM49" s="122"/>
      <c r="GN49" s="123"/>
      <c r="GO49" s="124"/>
      <c r="GP49" s="122"/>
      <c r="GQ49" s="123"/>
      <c r="GR49" s="124"/>
      <c r="GS49" s="122"/>
      <c r="GT49" s="123"/>
      <c r="GU49" s="124"/>
      <c r="GV49" s="122"/>
      <c r="GW49" s="123"/>
      <c r="GX49" s="124"/>
      <c r="GY49" s="122"/>
      <c r="GZ49" s="795"/>
      <c r="HA49" s="124"/>
      <c r="HB49" s="793"/>
      <c r="HC49" s="796"/>
      <c r="HD49" s="124"/>
      <c r="HE49" s="122"/>
      <c r="HF49" s="796"/>
      <c r="HG49" s="138"/>
      <c r="HH49" s="793"/>
      <c r="HI49" s="796"/>
      <c r="HJ49" s="124"/>
      <c r="HK49" s="122"/>
      <c r="HL49" s="795"/>
      <c r="HM49" s="124"/>
      <c r="HN49" s="793"/>
      <c r="HO49" s="796"/>
      <c r="HP49" s="124"/>
      <c r="HQ49" s="122"/>
      <c r="HR49" s="795"/>
      <c r="HS49" s="124"/>
      <c r="HT49" s="122"/>
      <c r="HU49" s="164"/>
      <c r="HV49" s="124"/>
      <c r="HW49" s="122"/>
      <c r="HX49" s="164"/>
      <c r="HY49" s="124"/>
      <c r="HZ49" s="122"/>
      <c r="IA49" s="164"/>
      <c r="IB49" s="124"/>
      <c r="IC49" s="793"/>
      <c r="ID49" s="794"/>
      <c r="IE49" s="124"/>
      <c r="IF49" s="122"/>
      <c r="IG49" s="796"/>
      <c r="IH49" s="124"/>
      <c r="II49" s="122"/>
      <c r="IJ49" s="164"/>
      <c r="IK49" s="124"/>
      <c r="IL49" s="122"/>
      <c r="IM49" s="123"/>
      <c r="IN49" s="124"/>
      <c r="IO49" s="122"/>
      <c r="IP49" s="123"/>
      <c r="IQ49" s="124"/>
      <c r="IR49" s="122"/>
      <c r="IS49" s="123"/>
      <c r="IT49" s="124"/>
      <c r="IU49" s="122"/>
      <c r="IV49" s="123"/>
      <c r="IW49" s="124"/>
      <c r="IX49" s="122"/>
      <c r="IY49" s="123"/>
      <c r="IZ49" s="124"/>
      <c r="JA49" s="122"/>
      <c r="JB49" s="123"/>
      <c r="JC49" s="124"/>
      <c r="JD49" s="122"/>
      <c r="JE49" s="123"/>
      <c r="JF49" s="124"/>
      <c r="JG49" s="122"/>
      <c r="JH49" s="795"/>
      <c r="JI49" s="124"/>
      <c r="JJ49" s="793"/>
      <c r="JK49" s="796"/>
      <c r="JL49" s="124"/>
      <c r="JM49" s="122"/>
      <c r="JN49" s="795"/>
      <c r="JO49" s="124"/>
      <c r="JP49" s="793"/>
      <c r="JQ49" s="796"/>
      <c r="JR49" s="124"/>
      <c r="JS49" s="122"/>
      <c r="JT49" s="795"/>
      <c r="JU49" s="169" t="str" cm="1">
        <f t="array" ref="JU49">IF( ISNUMBER(MATCH(JU$3,Entries!$B$3:$B$16,0)),           _xlfn.IFS(  JU48="","",      AND(SUMPRODUCT((Entries!$A$3:$A$16=JU48)*(Entries!$C$3:$C$16=JV48)*(Entries!$D$3:$D$16=JW48)) = 0,        _xlfn.XLOOKUP(JU$3,Entries!$B$3:$B$16,Entries!$E$3:$E$16,"Enter")="Booked"),   INDEX(Entries!$B$3:$E$16,MATCH(JU$3,Entries!$B$3:$B$16,0),2),      JU48 &lt;&gt;0,""                                                ),"")</f>
        <v/>
      </c>
      <c r="JV49" s="122" t="str" cm="1">
        <f t="array" ref="JV49">IF( ISNUMBER(MATCH(JU$3,Entries!$B$3:$B$16,0)),           _xlfn.IFS(  JU49="","",      SUMPRODUCT((Entries!$A$3:$A$16=JU48)*(Entries!$C$3:$C$16=JV48)*(Entries!$D$3:$D$16=JW48)) &lt;&gt;0,"",         _xlfn.XLOOKUP(JU$3,Entries!$B$3:$B$16,Entries!$E$3:$E$16,"Enter")="Booked",   INDEX(Entries!$B$3:$E$16,MATCH(JU$3,Entries!$B$3:$B$16,0),3),                                                    _xlfn.XLOOKUP(JU$3,Entries!$B$3:$B$16,Entries!$A$3:$A$16,"Error"),""),"")</f>
        <v/>
      </c>
      <c r="JW49" s="123" t="str" cm="1">
        <f t="array" ref="JW49">IF( ISNUMBER(MATCH(JU$3,Entries!$B$3:$B$16,0)),           _xlfn.IFS(  JU49="","",      SUMPRODUCT((Entries!$A$3:$A$16=JV48)*(Entries!$C$3:$C$16=JW48)*(Entries!$D$3:$D$16=JX48)) &lt;&gt;0,"",         _xlfn.XLOOKUP(JU$3,Entries!$B$3:$B$16,Entries!$E$3:$E$16,"Enter")="Booked",   INDEX(Entries!$B$3:$E$16,MATCH(JU$3,Entries!$B$3:$B$16,0),4),                                                    _xlfn.XLOOKUP(JU$3,Entries!$B$3:$B$16,Entries!$A$3:$A$16,"Error"),""),"")</f>
        <v/>
      </c>
      <c r="JX49" s="169" t="str" cm="1">
        <f t="array" ref="JX49">IF( ISNUMBER(MATCH(JX$3,Entries!$B$3:$B$16,0)),           _xlfn.IFS(  JX48="","",      AND(SUMPRODUCT((Entries!$A$3:$A$16=JX48)*(Entries!$C$3:$C$16=JY48)*(Entries!$D$3:$D$16=JZ48)) = 0,        _xlfn.XLOOKUP(JX$3,Entries!$B$3:$B$16,Entries!$E$3:$E$16,"Enter")="Booked"),   INDEX(Entries!$B$3:$E$16,MATCH(JX$3,Entries!$B$3:$B$16,0),2),      JX48 &lt;&gt;0,""                                                ),"")</f>
        <v/>
      </c>
      <c r="JY49" s="122" t="str" cm="1">
        <f t="array" ref="JY49">IF( ISNUMBER(MATCH(JX$3,Entries!$B$3:$B$16,0)),           _xlfn.IFS(  JX49="","",      SUMPRODUCT((Entries!$A$3:$A$16=JX48)*(Entries!$C$3:$C$16=JY48)*(Entries!$D$3:$D$16=JZ48)) &lt;&gt;0,"",         _xlfn.XLOOKUP(JX$3,Entries!$B$3:$B$16,Entries!$E$3:$E$16,"Enter")="Booked",   INDEX(Entries!$B$3:$E$16,MATCH(JX$3,Entries!$B$3:$B$16,0),3),                                                    _xlfn.XLOOKUP(JX$3,Entries!$B$3:$B$16,Entries!$A$3:$A$16,"Error"),""),"")</f>
        <v/>
      </c>
      <c r="JZ49" s="123" t="str" cm="1">
        <f t="array" ref="JZ49">IF( ISNUMBER(MATCH(JX$3,Entries!$B$3:$B$16,0)),           _xlfn.IFS(  JX49="","",      SUMPRODUCT((Entries!$A$3:$A$16=JY48)*(Entries!$C$3:$C$16=JZ48)*(Entries!$D$3:$D$16=KA48)) &lt;&gt;0,"",         _xlfn.XLOOKUP(JX$3,Entries!$B$3:$B$16,Entries!$E$3:$E$16,"Enter")="Booked",   INDEX(Entries!$B$3:$E$16,MATCH(JX$3,Entries!$B$3:$B$16,0),4),                                                    _xlfn.XLOOKUP(JX$3,Entries!$B$3:$B$16,Entries!$A$3:$A$16,"Error"),""),"")</f>
        <v/>
      </c>
      <c r="KA49" s="169" t="str" cm="1">
        <f t="array" ref="KA49">IF( ISNUMBER(MATCH(KA$3,Entries!$B$3:$B$16,0)),           _xlfn.IFS(  KA48="","",      AND(SUMPRODUCT((Entries!$A$3:$A$16=KA48)*(Entries!$C$3:$C$16=KB48)*(Entries!$D$3:$D$16=KC48)) = 0,        _xlfn.XLOOKUP(KA$3,Entries!$B$3:$B$16,Entries!$E$3:$E$16,"Enter")="Booked"),   INDEX(Entries!$B$3:$E$16,MATCH(KA$3,Entries!$B$3:$B$16,0),2),      KA48 &lt;&gt;0,""                                                ),"")</f>
        <v/>
      </c>
      <c r="KB49" s="122" t="str" cm="1">
        <f t="array" ref="KB49">IF( ISNUMBER(MATCH(KA$3,Entries!$B$3:$B$16,0)),           _xlfn.IFS(  KA49="","",      SUMPRODUCT((Entries!$A$3:$A$16=KA48)*(Entries!$C$3:$C$16=KB48)*(Entries!$D$3:$D$16=KC48)) &lt;&gt;0,"",         _xlfn.XLOOKUP(KA$3,Entries!$B$3:$B$16,Entries!$E$3:$E$16,"Enter")="Booked",   INDEX(Entries!$B$3:$E$16,MATCH(KA$3,Entries!$B$3:$B$16,0),3),                                                    _xlfn.XLOOKUP(KA$3,Entries!$B$3:$B$16,Entries!$A$3:$A$16,"Error"),""),"")</f>
        <v/>
      </c>
      <c r="KC49" s="123" t="str" cm="1">
        <f t="array" ref="KC49">IF( ISNUMBER(MATCH(KA$3,Entries!$B$3:$B$16,0)),           _xlfn.IFS(  KA49="","",      SUMPRODUCT((Entries!$A$3:$A$16=KB48)*(Entries!$C$3:$C$16=KC48)*(Entries!$D$3:$D$16=KD48)) &lt;&gt;0,"",         _xlfn.XLOOKUP(KA$3,Entries!$B$3:$B$16,Entries!$E$3:$E$16,"Enter")="Booked",   INDEX(Entries!$B$3:$E$16,MATCH(KA$3,Entries!$B$3:$B$16,0),4),                                                    _xlfn.XLOOKUP(KA$3,Entries!$B$3:$B$16,Entries!$A$3:$A$16,"Error"),""),"")</f>
        <v/>
      </c>
      <c r="KD49" s="169" t="str" cm="1">
        <f t="array" ref="KD49">IF( ISNUMBER(MATCH(KD$3,Entries!$B$3:$B$16,0)),           _xlfn.IFS(  KD48="","",      AND(SUMPRODUCT((Entries!$A$3:$A$16=KD48)*(Entries!$C$3:$C$16=KE48)*(Entries!$D$3:$D$16=KF48)) = 0,        _xlfn.XLOOKUP(KD$3,Entries!$B$3:$B$16,Entries!$E$3:$E$16,"Enter")="Booked"),   INDEX(Entries!$B$3:$E$16,MATCH(KD$3,Entries!$B$3:$B$16,0),2),      KD48 &lt;&gt;0,""                                                ),"")</f>
        <v/>
      </c>
      <c r="KE49" s="122" t="str" cm="1">
        <f t="array" ref="KE49">IF( ISNUMBER(MATCH(KD$3,Entries!$B$3:$B$16,0)),           _xlfn.IFS(  KD49="","",      SUMPRODUCT((Entries!$A$3:$A$16=KD48)*(Entries!$C$3:$C$16=KE48)*(Entries!$D$3:$D$16=KF48)) &lt;&gt;0,"",         _xlfn.XLOOKUP(KD$3,Entries!$B$3:$B$16,Entries!$E$3:$E$16,"Enter")="Booked",   INDEX(Entries!$B$3:$E$16,MATCH(KD$3,Entries!$B$3:$B$16,0),3),                                                    _xlfn.XLOOKUP(KD$3,Entries!$B$3:$B$16,Entries!$A$3:$A$16,"Error"),""),"")</f>
        <v/>
      </c>
      <c r="KF49" s="123" t="str" cm="1">
        <f t="array" ref="KF49">IF( ISNUMBER(MATCH(KD$3,Entries!$B$3:$B$16,0)),           _xlfn.IFS(  KD49="","",      SUMPRODUCT((Entries!$A$3:$A$16=KE48)*(Entries!$C$3:$C$16=KF48)*(Entries!$D$3:$D$16=KG48)) &lt;&gt;0,"",         _xlfn.XLOOKUP(KD$3,Entries!$B$3:$B$16,Entries!$E$3:$E$16,"Enter")="Booked",   INDEX(Entries!$B$3:$E$16,MATCH(KD$3,Entries!$B$3:$B$16,0),4),                                                    _xlfn.XLOOKUP(KD$3,Entries!$B$3:$B$16,Entries!$A$3:$A$16,"Error"),""),"")</f>
        <v/>
      </c>
    </row>
    <row r="50" spans="1:292">
      <c r="A50" s="792"/>
      <c r="B50" s="124"/>
      <c r="C50" s="122"/>
      <c r="D50" s="164"/>
      <c r="E50" s="124"/>
      <c r="F50" s="793"/>
      <c r="G50" s="794"/>
      <c r="H50" s="124"/>
      <c r="I50" s="122"/>
      <c r="J50" s="164"/>
      <c r="K50" s="124"/>
      <c r="L50" s="793"/>
      <c r="M50" s="794"/>
      <c r="N50" s="138"/>
      <c r="O50" s="122"/>
      <c r="P50" s="794"/>
      <c r="Q50" s="1400">
        <v>45932</v>
      </c>
      <c r="R50" s="122">
        <v>200</v>
      </c>
      <c r="S50" s="794">
        <v>880.6</v>
      </c>
      <c r="T50" s="794"/>
      <c r="U50" s="794"/>
      <c r="V50" s="794"/>
      <c r="W50" s="138"/>
      <c r="X50" s="793"/>
      <c r="Y50" s="794"/>
      <c r="Z50" s="138"/>
      <c r="AA50" s="122"/>
      <c r="AB50" s="794"/>
      <c r="AC50" s="138"/>
      <c r="AD50" s="793"/>
      <c r="AE50" s="794"/>
      <c r="AF50" s="138"/>
      <c r="AG50" s="793"/>
      <c r="AH50" s="794"/>
      <c r="AI50" s="138"/>
      <c r="AJ50" s="793"/>
      <c r="AK50" s="794"/>
      <c r="AL50" s="138"/>
      <c r="AM50" s="793"/>
      <c r="AN50" s="794"/>
      <c r="AO50" s="124"/>
      <c r="AP50" s="793"/>
      <c r="AQ50" s="794"/>
      <c r="AR50" s="124"/>
      <c r="AS50" s="793"/>
      <c r="AT50" s="794"/>
      <c r="AU50" s="124"/>
      <c r="AV50" s="793"/>
      <c r="AW50" s="794"/>
      <c r="AX50" s="124"/>
      <c r="AY50" s="793"/>
      <c r="AZ50" s="794"/>
      <c r="BA50" s="124"/>
      <c r="BB50" s="793"/>
      <c r="BC50" s="794"/>
      <c r="BD50" s="124"/>
      <c r="BE50" s="793"/>
      <c r="BF50" s="794"/>
      <c r="BG50" s="124"/>
      <c r="BH50" s="793"/>
      <c r="BI50" s="794"/>
      <c r="BJ50" s="124"/>
      <c r="BK50" s="793"/>
      <c r="BL50" s="794"/>
      <c r="BM50" s="124"/>
      <c r="BN50" s="793"/>
      <c r="BO50" s="794"/>
      <c r="BP50" s="124"/>
      <c r="BQ50" s="793"/>
      <c r="BR50" s="794"/>
      <c r="BS50" s="124"/>
      <c r="BT50" s="793"/>
      <c r="BU50" s="794"/>
      <c r="BV50" s="124"/>
      <c r="BW50" s="122"/>
      <c r="BX50" s="164"/>
      <c r="BY50" s="124"/>
      <c r="BZ50" s="793"/>
      <c r="CA50" s="794"/>
      <c r="CB50" s="124"/>
      <c r="CC50" s="122"/>
      <c r="CD50" s="164"/>
      <c r="CE50" s="124"/>
      <c r="CF50" s="793"/>
      <c r="CG50" s="794"/>
      <c r="CH50" s="124"/>
      <c r="CI50" s="122"/>
      <c r="CJ50" s="795"/>
      <c r="CK50" s="124"/>
      <c r="CL50" s="793"/>
      <c r="CM50" s="794"/>
      <c r="CN50" s="124"/>
      <c r="CO50" s="122"/>
      <c r="CP50" s="164"/>
      <c r="CQ50" s="124"/>
      <c r="CR50" s="793"/>
      <c r="CS50" s="794"/>
      <c r="CT50" s="124"/>
      <c r="CU50" s="122"/>
      <c r="CV50" s="164"/>
      <c r="CW50" s="124"/>
      <c r="CX50" s="793"/>
      <c r="CY50" s="794"/>
      <c r="CZ50" s="124"/>
      <c r="DA50" s="122"/>
      <c r="DB50" s="164"/>
      <c r="DC50" s="124"/>
      <c r="DD50" s="793"/>
      <c r="DE50" s="796"/>
      <c r="DF50" s="124"/>
      <c r="DG50" s="122"/>
      <c r="DH50" s="795"/>
      <c r="DI50" s="124"/>
      <c r="DJ50" s="793"/>
      <c r="DK50" s="796"/>
      <c r="DL50" s="124"/>
      <c r="DM50" s="122"/>
      <c r="DN50" s="795"/>
      <c r="DO50" s="124"/>
      <c r="DP50" s="122"/>
      <c r="DQ50" s="123"/>
      <c r="DR50" s="124"/>
      <c r="DS50" s="122"/>
      <c r="DT50" s="123"/>
      <c r="DU50" s="124"/>
      <c r="DV50" s="793"/>
      <c r="DW50" s="796"/>
      <c r="DX50" s="124"/>
      <c r="DY50" s="122"/>
      <c r="DZ50" s="795"/>
      <c r="EA50" s="124"/>
      <c r="EB50" s="793"/>
      <c r="EC50" s="796"/>
      <c r="ED50" s="124"/>
      <c r="EE50" s="122"/>
      <c r="EF50" s="795"/>
      <c r="EG50" s="124"/>
      <c r="EH50" s="793"/>
      <c r="EI50" s="796"/>
      <c r="EJ50" s="124"/>
      <c r="EK50" s="122"/>
      <c r="EL50" s="123"/>
      <c r="EM50" s="124"/>
      <c r="EN50" s="122"/>
      <c r="EO50" s="795"/>
      <c r="EP50" s="124"/>
      <c r="EQ50" s="122"/>
      <c r="ER50" s="164"/>
      <c r="ES50" s="124"/>
      <c r="ET50" s="122"/>
      <c r="EU50" s="795"/>
      <c r="EV50" s="124"/>
      <c r="EW50" s="793"/>
      <c r="EX50" s="796"/>
      <c r="EY50" s="124"/>
      <c r="EZ50" s="122"/>
      <c r="FA50" s="164"/>
      <c r="FB50" s="124"/>
      <c r="FC50" s="793"/>
      <c r="FD50" s="794"/>
      <c r="FE50" s="124"/>
      <c r="FF50" s="122"/>
      <c r="FG50" s="164"/>
      <c r="FH50" s="124"/>
      <c r="FI50" s="793"/>
      <c r="FJ50" s="794"/>
      <c r="FK50" s="124"/>
      <c r="FL50" s="122"/>
      <c r="FM50" s="164"/>
      <c r="FN50" s="124"/>
      <c r="FO50" s="793"/>
      <c r="FP50" s="796"/>
      <c r="FQ50" s="124"/>
      <c r="FR50" s="122"/>
      <c r="FS50" s="164"/>
      <c r="FT50" s="124"/>
      <c r="FU50" s="793"/>
      <c r="FV50" s="794"/>
      <c r="FW50" s="124"/>
      <c r="FX50" s="122"/>
      <c r="FY50" s="164"/>
      <c r="FZ50" s="124"/>
      <c r="GA50" s="793"/>
      <c r="GB50" s="794"/>
      <c r="GC50" s="124"/>
      <c r="GD50" s="122"/>
      <c r="GE50" s="164"/>
      <c r="GF50" s="124"/>
      <c r="GG50" s="793"/>
      <c r="GH50" s="794"/>
      <c r="GI50" s="124"/>
      <c r="GJ50" s="122"/>
      <c r="GK50" s="164"/>
      <c r="GL50" s="124"/>
      <c r="GM50" s="122"/>
      <c r="GN50" s="123"/>
      <c r="GO50" s="124"/>
      <c r="GP50" s="122"/>
      <c r="GQ50" s="123"/>
      <c r="GR50" s="124"/>
      <c r="GS50" s="122"/>
      <c r="GT50" s="123"/>
      <c r="GU50" s="124"/>
      <c r="GV50" s="122"/>
      <c r="GW50" s="123"/>
      <c r="GX50" s="124"/>
      <c r="GY50" s="122"/>
      <c r="GZ50" s="795"/>
      <c r="HA50" s="124"/>
      <c r="HB50" s="793"/>
      <c r="HC50" s="796"/>
      <c r="HD50" s="124"/>
      <c r="HE50" s="122"/>
      <c r="HF50" s="796"/>
      <c r="HG50" s="138"/>
      <c r="HH50" s="793"/>
      <c r="HI50" s="796"/>
      <c r="HJ50" s="124"/>
      <c r="HK50" s="122"/>
      <c r="HL50" s="795"/>
      <c r="HM50" s="124"/>
      <c r="HN50" s="793"/>
      <c r="HO50" s="796"/>
      <c r="HP50" s="124"/>
      <c r="HQ50" s="122"/>
      <c r="HR50" s="795"/>
      <c r="HS50" s="124"/>
      <c r="HT50" s="122"/>
      <c r="HU50" s="164"/>
      <c r="HV50" s="124"/>
      <c r="HW50" s="122"/>
      <c r="HX50" s="164"/>
      <c r="HY50" s="124"/>
      <c r="HZ50" s="122"/>
      <c r="IA50" s="164"/>
      <c r="IB50" s="124"/>
      <c r="IC50" s="793"/>
      <c r="ID50" s="794"/>
      <c r="IE50" s="124"/>
      <c r="IF50" s="122"/>
      <c r="IG50" s="796"/>
      <c r="IH50" s="124"/>
      <c r="II50" s="122"/>
      <c r="IJ50" s="164"/>
      <c r="IK50" s="124"/>
      <c r="IL50" s="122"/>
      <c r="IM50" s="123"/>
      <c r="IN50" s="124"/>
      <c r="IO50" s="122"/>
      <c r="IP50" s="123"/>
      <c r="IQ50" s="124"/>
      <c r="IR50" s="122"/>
      <c r="IS50" s="123"/>
      <c r="IT50" s="124"/>
      <c r="IU50" s="122"/>
      <c r="IV50" s="123"/>
      <c r="IW50" s="124"/>
      <c r="IX50" s="122"/>
      <c r="IY50" s="123"/>
      <c r="IZ50" s="124"/>
      <c r="JA50" s="122"/>
      <c r="JB50" s="123"/>
      <c r="JC50" s="124"/>
      <c r="JD50" s="122"/>
      <c r="JE50" s="123"/>
      <c r="JF50" s="124"/>
      <c r="JG50" s="122"/>
      <c r="JH50" s="795"/>
      <c r="JI50" s="124"/>
      <c r="JJ50" s="793"/>
      <c r="JK50" s="796"/>
      <c r="JL50" s="124"/>
      <c r="JM50" s="122"/>
      <c r="JN50" s="795"/>
      <c r="JO50" s="124"/>
      <c r="JP50" s="793"/>
      <c r="JQ50" s="796"/>
      <c r="JR50" s="124"/>
      <c r="JS50" s="122"/>
      <c r="JT50" s="795"/>
      <c r="JU50" s="169" t="str" cm="1">
        <f t="array" ref="JU50">IF( ISNUMBER(MATCH(JU$3,Entries!$B$3:$B$16,0)),           _xlfn.IFS(  JU49="","",      AND(SUMPRODUCT((Entries!$A$3:$A$16=JU49)*(Entries!$C$3:$C$16=JV49)*(Entries!$D$3:$D$16=JW49)) = 0,        _xlfn.XLOOKUP(JU$3,Entries!$B$3:$B$16,Entries!$E$3:$E$16,"Enter")="Booked"),   INDEX(Entries!$B$3:$E$16,MATCH(JU$3,Entries!$B$3:$B$16,0),2),      JU49 &lt;&gt;0,""                                                ),"")</f>
        <v/>
      </c>
      <c r="JV50" s="122" t="str" cm="1">
        <f t="array" ref="JV50">IF( ISNUMBER(MATCH(JU$3,Entries!$B$3:$B$16,0)),           _xlfn.IFS(  JU50="","",      SUMPRODUCT((Entries!$A$3:$A$16=JU49)*(Entries!$C$3:$C$16=JV49)*(Entries!$D$3:$D$16=JW49)) &lt;&gt;0,"",         _xlfn.XLOOKUP(JU$3,Entries!$B$3:$B$16,Entries!$E$3:$E$16,"Enter")="Booked",   INDEX(Entries!$B$3:$E$16,MATCH(JU$3,Entries!$B$3:$B$16,0),3),                                                    _xlfn.XLOOKUP(JU$3,Entries!$B$3:$B$16,Entries!$A$3:$A$16,"Error"),""),"")</f>
        <v/>
      </c>
      <c r="JW50" s="123" t="str" cm="1">
        <f t="array" ref="JW50">IF( ISNUMBER(MATCH(JU$3,Entries!$B$3:$B$16,0)),           _xlfn.IFS(  JU50="","",      SUMPRODUCT((Entries!$A$3:$A$16=JV49)*(Entries!$C$3:$C$16=JW49)*(Entries!$D$3:$D$16=JX49)) &lt;&gt;0,"",         _xlfn.XLOOKUP(JU$3,Entries!$B$3:$B$16,Entries!$E$3:$E$16,"Enter")="Booked",   INDEX(Entries!$B$3:$E$16,MATCH(JU$3,Entries!$B$3:$B$16,0),4),                                                    _xlfn.XLOOKUP(JU$3,Entries!$B$3:$B$16,Entries!$A$3:$A$16,"Error"),""),"")</f>
        <v/>
      </c>
      <c r="JX50" s="169" t="str" cm="1">
        <f t="array" ref="JX50">IF( ISNUMBER(MATCH(JX$3,Entries!$B$3:$B$16,0)),           _xlfn.IFS(  JX49="","",      AND(SUMPRODUCT((Entries!$A$3:$A$16=JX49)*(Entries!$C$3:$C$16=JY49)*(Entries!$D$3:$D$16=JZ49)) = 0,        _xlfn.XLOOKUP(JX$3,Entries!$B$3:$B$16,Entries!$E$3:$E$16,"Enter")="Booked"),   INDEX(Entries!$B$3:$E$16,MATCH(JX$3,Entries!$B$3:$B$16,0),2),      JX49 &lt;&gt;0,""                                                ),"")</f>
        <v/>
      </c>
      <c r="JY50" s="122" t="str" cm="1">
        <f t="array" ref="JY50">IF( ISNUMBER(MATCH(JX$3,Entries!$B$3:$B$16,0)),           _xlfn.IFS(  JX50="","",      SUMPRODUCT((Entries!$A$3:$A$16=JX49)*(Entries!$C$3:$C$16=JY49)*(Entries!$D$3:$D$16=JZ49)) &lt;&gt;0,"",         _xlfn.XLOOKUP(JX$3,Entries!$B$3:$B$16,Entries!$E$3:$E$16,"Enter")="Booked",   INDEX(Entries!$B$3:$E$16,MATCH(JX$3,Entries!$B$3:$B$16,0),3),                                                    _xlfn.XLOOKUP(JX$3,Entries!$B$3:$B$16,Entries!$A$3:$A$16,"Error"),""),"")</f>
        <v/>
      </c>
      <c r="JZ50" s="123" t="str" cm="1">
        <f t="array" ref="JZ50">IF( ISNUMBER(MATCH(JX$3,Entries!$B$3:$B$16,0)),           _xlfn.IFS(  JX50="","",      SUMPRODUCT((Entries!$A$3:$A$16=JY49)*(Entries!$C$3:$C$16=JZ49)*(Entries!$D$3:$D$16=KA49)) &lt;&gt;0,"",         _xlfn.XLOOKUP(JX$3,Entries!$B$3:$B$16,Entries!$E$3:$E$16,"Enter")="Booked",   INDEX(Entries!$B$3:$E$16,MATCH(JX$3,Entries!$B$3:$B$16,0),4),                                                    _xlfn.XLOOKUP(JX$3,Entries!$B$3:$B$16,Entries!$A$3:$A$16,"Error"),""),"")</f>
        <v/>
      </c>
      <c r="KA50" s="169" t="str" cm="1">
        <f t="array" ref="KA50">IF( ISNUMBER(MATCH(KA$3,Entries!$B$3:$B$16,0)),           _xlfn.IFS(  KA49="","",      AND(SUMPRODUCT((Entries!$A$3:$A$16=KA49)*(Entries!$C$3:$C$16=KB49)*(Entries!$D$3:$D$16=KC49)) = 0,        _xlfn.XLOOKUP(KA$3,Entries!$B$3:$B$16,Entries!$E$3:$E$16,"Enter")="Booked"),   INDEX(Entries!$B$3:$E$16,MATCH(KA$3,Entries!$B$3:$B$16,0),2),      KA49 &lt;&gt;0,""                                                ),"")</f>
        <v/>
      </c>
      <c r="KB50" s="122" t="str" cm="1">
        <f t="array" ref="KB50">IF( ISNUMBER(MATCH(KA$3,Entries!$B$3:$B$16,0)),           _xlfn.IFS(  KA50="","",      SUMPRODUCT((Entries!$A$3:$A$16=KA49)*(Entries!$C$3:$C$16=KB49)*(Entries!$D$3:$D$16=KC49)) &lt;&gt;0,"",         _xlfn.XLOOKUP(KA$3,Entries!$B$3:$B$16,Entries!$E$3:$E$16,"Enter")="Booked",   INDEX(Entries!$B$3:$E$16,MATCH(KA$3,Entries!$B$3:$B$16,0),3),                                                    _xlfn.XLOOKUP(KA$3,Entries!$B$3:$B$16,Entries!$A$3:$A$16,"Error"),""),"")</f>
        <v/>
      </c>
      <c r="KC50" s="123" t="str" cm="1">
        <f t="array" ref="KC50">IF( ISNUMBER(MATCH(KA$3,Entries!$B$3:$B$16,0)),           _xlfn.IFS(  KA50="","",      SUMPRODUCT((Entries!$A$3:$A$16=KB49)*(Entries!$C$3:$C$16=KC49)*(Entries!$D$3:$D$16=KD49)) &lt;&gt;0,"",         _xlfn.XLOOKUP(KA$3,Entries!$B$3:$B$16,Entries!$E$3:$E$16,"Enter")="Booked",   INDEX(Entries!$B$3:$E$16,MATCH(KA$3,Entries!$B$3:$B$16,0),4),                                                    _xlfn.XLOOKUP(KA$3,Entries!$B$3:$B$16,Entries!$A$3:$A$16,"Error"),""),"")</f>
        <v/>
      </c>
      <c r="KD50" s="169" t="str" cm="1">
        <f t="array" ref="KD50">IF( ISNUMBER(MATCH(KD$3,Entries!$B$3:$B$16,0)),           _xlfn.IFS(  KD49="","",      AND(SUMPRODUCT((Entries!$A$3:$A$16=KD49)*(Entries!$C$3:$C$16=KE49)*(Entries!$D$3:$D$16=KF49)) = 0,        _xlfn.XLOOKUP(KD$3,Entries!$B$3:$B$16,Entries!$E$3:$E$16,"Enter")="Booked"),   INDEX(Entries!$B$3:$E$16,MATCH(KD$3,Entries!$B$3:$B$16,0),2),      KD49 &lt;&gt;0,""                                                ),"")</f>
        <v/>
      </c>
      <c r="KE50" s="122" t="str" cm="1">
        <f t="array" ref="KE50">IF( ISNUMBER(MATCH(KD$3,Entries!$B$3:$B$16,0)),           _xlfn.IFS(  KD50="","",      SUMPRODUCT((Entries!$A$3:$A$16=KD49)*(Entries!$C$3:$C$16=KE49)*(Entries!$D$3:$D$16=KF49)) &lt;&gt;0,"",         _xlfn.XLOOKUP(KD$3,Entries!$B$3:$B$16,Entries!$E$3:$E$16,"Enter")="Booked",   INDEX(Entries!$B$3:$E$16,MATCH(KD$3,Entries!$B$3:$B$16,0),3),                                                    _xlfn.XLOOKUP(KD$3,Entries!$B$3:$B$16,Entries!$A$3:$A$16,"Error"),""),"")</f>
        <v/>
      </c>
      <c r="KF50" s="123" t="str" cm="1">
        <f t="array" ref="KF50">IF( ISNUMBER(MATCH(KD$3,Entries!$B$3:$B$16,0)),           _xlfn.IFS(  KD50="","",      SUMPRODUCT((Entries!$A$3:$A$16=KE49)*(Entries!$C$3:$C$16=KF49)*(Entries!$D$3:$D$16=KG49)) &lt;&gt;0,"",         _xlfn.XLOOKUP(KD$3,Entries!$B$3:$B$16,Entries!$E$3:$E$16,"Enter")="Booked",   INDEX(Entries!$B$3:$E$16,MATCH(KD$3,Entries!$B$3:$B$16,0),4),                                                    _xlfn.XLOOKUP(KD$3,Entries!$B$3:$B$16,Entries!$A$3:$A$16,"Error"),""),"")</f>
        <v/>
      </c>
    </row>
    <row r="51" spans="1:292">
      <c r="A51" s="792"/>
      <c r="B51" s="124"/>
      <c r="C51" s="122"/>
      <c r="D51" s="164"/>
      <c r="E51" s="124"/>
      <c r="F51" s="793"/>
      <c r="G51" s="794"/>
      <c r="H51" s="124"/>
      <c r="I51" s="122"/>
      <c r="J51" s="164"/>
      <c r="K51" s="124"/>
      <c r="L51" s="793"/>
      <c r="M51" s="794"/>
      <c r="N51" s="138"/>
      <c r="O51" s="122"/>
      <c r="P51" s="794"/>
      <c r="Q51" s="1400">
        <v>45936</v>
      </c>
      <c r="R51" s="122">
        <v>100</v>
      </c>
      <c r="S51" s="794">
        <v>901.2</v>
      </c>
      <c r="T51" s="794"/>
      <c r="U51" s="794"/>
      <c r="V51" s="794"/>
      <c r="W51" s="138"/>
      <c r="X51" s="793"/>
      <c r="Y51" s="794"/>
      <c r="Z51" s="138"/>
      <c r="AA51" s="122"/>
      <c r="AB51" s="794"/>
      <c r="AC51" s="138"/>
      <c r="AD51" s="793"/>
      <c r="AE51" s="794"/>
      <c r="AF51" s="138"/>
      <c r="AG51" s="793"/>
      <c r="AH51" s="794"/>
      <c r="AI51" s="138"/>
      <c r="AJ51" s="793"/>
      <c r="AK51" s="794"/>
      <c r="AL51" s="138"/>
      <c r="AM51" s="793"/>
      <c r="AN51" s="794"/>
      <c r="AO51" s="124"/>
      <c r="AP51" s="793"/>
      <c r="AQ51" s="794"/>
      <c r="AR51" s="124"/>
      <c r="AS51" s="793"/>
      <c r="AT51" s="794"/>
      <c r="AU51" s="124"/>
      <c r="AV51" s="793"/>
      <c r="AW51" s="794"/>
      <c r="AX51" s="124"/>
      <c r="AY51" s="793"/>
      <c r="AZ51" s="794"/>
      <c r="BA51" s="124"/>
      <c r="BB51" s="793"/>
      <c r="BC51" s="794"/>
      <c r="BD51" s="124"/>
      <c r="BE51" s="793"/>
      <c r="BF51" s="794"/>
      <c r="BG51" s="124"/>
      <c r="BH51" s="793"/>
      <c r="BI51" s="794"/>
      <c r="BJ51" s="124"/>
      <c r="BK51" s="793"/>
      <c r="BL51" s="794"/>
      <c r="BM51" s="124"/>
      <c r="BN51" s="793"/>
      <c r="BO51" s="794"/>
      <c r="BP51" s="124"/>
      <c r="BQ51" s="793"/>
      <c r="BR51" s="794"/>
      <c r="BS51" s="124"/>
      <c r="BT51" s="793"/>
      <c r="BU51" s="794"/>
      <c r="BV51" s="124"/>
      <c r="BW51" s="122"/>
      <c r="BX51" s="164"/>
      <c r="BY51" s="124"/>
      <c r="BZ51" s="793"/>
      <c r="CA51" s="794"/>
      <c r="CB51" s="124"/>
      <c r="CC51" s="122"/>
      <c r="CD51" s="164"/>
      <c r="CE51" s="124"/>
      <c r="CF51" s="793"/>
      <c r="CG51" s="794"/>
      <c r="CH51" s="124"/>
      <c r="CI51" s="122"/>
      <c r="CJ51" s="795"/>
      <c r="CK51" s="124"/>
      <c r="CL51" s="793"/>
      <c r="CM51" s="794"/>
      <c r="CN51" s="124"/>
      <c r="CO51" s="122"/>
      <c r="CP51" s="164"/>
      <c r="CQ51" s="124"/>
      <c r="CR51" s="793"/>
      <c r="CS51" s="794"/>
      <c r="CT51" s="124"/>
      <c r="CU51" s="122"/>
      <c r="CV51" s="164"/>
      <c r="CW51" s="124"/>
      <c r="CX51" s="793"/>
      <c r="CY51" s="794"/>
      <c r="CZ51" s="124"/>
      <c r="DA51" s="122"/>
      <c r="DB51" s="164"/>
      <c r="DC51" s="124"/>
      <c r="DD51" s="793"/>
      <c r="DE51" s="796"/>
      <c r="DF51" s="124"/>
      <c r="DG51" s="122"/>
      <c r="DH51" s="795"/>
      <c r="DI51" s="124"/>
      <c r="DJ51" s="793"/>
      <c r="DK51" s="796"/>
      <c r="DL51" s="124"/>
      <c r="DM51" s="122"/>
      <c r="DN51" s="795"/>
      <c r="DO51" s="124"/>
      <c r="DP51" s="122"/>
      <c r="DQ51" s="123"/>
      <c r="DR51" s="124"/>
      <c r="DS51" s="122"/>
      <c r="DT51" s="123"/>
      <c r="DU51" s="124"/>
      <c r="DV51" s="793"/>
      <c r="DW51" s="796"/>
      <c r="DX51" s="124"/>
      <c r="DY51" s="122"/>
      <c r="DZ51" s="795"/>
      <c r="EA51" s="124"/>
      <c r="EB51" s="793"/>
      <c r="EC51" s="796"/>
      <c r="ED51" s="124"/>
      <c r="EE51" s="122"/>
      <c r="EF51" s="795"/>
      <c r="EG51" s="124"/>
      <c r="EH51" s="793"/>
      <c r="EI51" s="796"/>
      <c r="EJ51" s="124"/>
      <c r="EK51" s="122"/>
      <c r="EL51" s="123"/>
      <c r="EM51" s="124"/>
      <c r="EN51" s="122"/>
      <c r="EO51" s="795"/>
      <c r="EP51" s="124"/>
      <c r="EQ51" s="122"/>
      <c r="ER51" s="164"/>
      <c r="ES51" s="124"/>
      <c r="ET51" s="122"/>
      <c r="EU51" s="795"/>
      <c r="EV51" s="124"/>
      <c r="EW51" s="793"/>
      <c r="EX51" s="796"/>
      <c r="EY51" s="124"/>
      <c r="EZ51" s="122"/>
      <c r="FA51" s="164"/>
      <c r="FB51" s="124"/>
      <c r="FC51" s="793"/>
      <c r="FD51" s="794"/>
      <c r="FE51" s="124"/>
      <c r="FF51" s="122"/>
      <c r="FG51" s="164"/>
      <c r="FH51" s="124"/>
      <c r="FI51" s="793"/>
      <c r="FJ51" s="794"/>
      <c r="FK51" s="124"/>
      <c r="FL51" s="122"/>
      <c r="FM51" s="164"/>
      <c r="FN51" s="124"/>
      <c r="FO51" s="793"/>
      <c r="FP51" s="796"/>
      <c r="FQ51" s="124"/>
      <c r="FR51" s="122"/>
      <c r="FS51" s="164"/>
      <c r="FT51" s="124"/>
      <c r="FU51" s="793"/>
      <c r="FV51" s="794"/>
      <c r="FW51" s="124"/>
      <c r="FX51" s="122"/>
      <c r="FY51" s="164"/>
      <c r="FZ51" s="124"/>
      <c r="GA51" s="793"/>
      <c r="GB51" s="794"/>
      <c r="GC51" s="124"/>
      <c r="GD51" s="122"/>
      <c r="GE51" s="164"/>
      <c r="GF51" s="124"/>
      <c r="GG51" s="793"/>
      <c r="GH51" s="794"/>
      <c r="GI51" s="124"/>
      <c r="GJ51" s="122"/>
      <c r="GK51" s="164"/>
      <c r="GL51" s="124"/>
      <c r="GM51" s="122"/>
      <c r="GN51" s="123"/>
      <c r="GO51" s="124"/>
      <c r="GP51" s="122"/>
      <c r="GQ51" s="123"/>
      <c r="GR51" s="124"/>
      <c r="GS51" s="122"/>
      <c r="GT51" s="123"/>
      <c r="GU51" s="124"/>
      <c r="GV51" s="122"/>
      <c r="GW51" s="123"/>
      <c r="GX51" s="124"/>
      <c r="GY51" s="122"/>
      <c r="GZ51" s="795"/>
      <c r="HA51" s="124"/>
      <c r="HB51" s="793"/>
      <c r="HC51" s="796"/>
      <c r="HD51" s="124"/>
      <c r="HE51" s="122"/>
      <c r="HF51" s="796"/>
      <c r="HG51" s="138"/>
      <c r="HH51" s="793"/>
      <c r="HI51" s="796"/>
      <c r="HJ51" s="124"/>
      <c r="HK51" s="122"/>
      <c r="HL51" s="795"/>
      <c r="HM51" s="124"/>
      <c r="HN51" s="793"/>
      <c r="HO51" s="796"/>
      <c r="HP51" s="124"/>
      <c r="HQ51" s="122"/>
      <c r="HR51" s="795"/>
      <c r="HS51" s="124"/>
      <c r="HT51" s="122"/>
      <c r="HU51" s="164"/>
      <c r="HV51" s="124"/>
      <c r="HW51" s="122"/>
      <c r="HX51" s="164"/>
      <c r="HY51" s="124"/>
      <c r="HZ51" s="122"/>
      <c r="IA51" s="164"/>
      <c r="IB51" s="124"/>
      <c r="IC51" s="793"/>
      <c r="ID51" s="794"/>
      <c r="IE51" s="124"/>
      <c r="IF51" s="122"/>
      <c r="IG51" s="796"/>
      <c r="IH51" s="124"/>
      <c r="II51" s="122"/>
      <c r="IJ51" s="164"/>
      <c r="IK51" s="124"/>
      <c r="IL51" s="122"/>
      <c r="IM51" s="123"/>
      <c r="IN51" s="124"/>
      <c r="IO51" s="122"/>
      <c r="IP51" s="123"/>
      <c r="IQ51" s="124"/>
      <c r="IR51" s="122"/>
      <c r="IS51" s="123"/>
      <c r="IT51" s="124"/>
      <c r="IU51" s="122"/>
      <c r="IV51" s="123"/>
      <c r="IW51" s="124"/>
      <c r="IX51" s="122"/>
      <c r="IY51" s="123"/>
      <c r="IZ51" s="124"/>
      <c r="JA51" s="122"/>
      <c r="JB51" s="123"/>
      <c r="JC51" s="124"/>
      <c r="JD51" s="122"/>
      <c r="JE51" s="123"/>
      <c r="JF51" s="124"/>
      <c r="JG51" s="122"/>
      <c r="JH51" s="795"/>
      <c r="JI51" s="124"/>
      <c r="JJ51" s="793"/>
      <c r="JK51" s="796"/>
      <c r="JL51" s="124"/>
      <c r="JM51" s="122"/>
      <c r="JN51" s="795"/>
      <c r="JO51" s="124"/>
      <c r="JP51" s="793"/>
      <c r="JQ51" s="796"/>
      <c r="JR51" s="124"/>
      <c r="JS51" s="122"/>
      <c r="JT51" s="795"/>
      <c r="JU51" s="169" t="str" cm="1">
        <f t="array" ref="JU51">IF( ISNUMBER(MATCH(JU$3,Entries!$B$3:$B$16,0)),           _xlfn.IFS(  JU44="","",      AND(SUMPRODUCT((Entries!$A$3:$A$16=JU44)*(Entries!$C$3:$C$16=JV44)*(Entries!$D$3:$D$16=JW44)) = 0,        _xlfn.XLOOKUP(JU$3,Entries!$B$3:$B$16,Entries!$E$3:$E$16,"Enter")="Booked"),   INDEX(Entries!$B$3:$E$16,MATCH(JU$3,Entries!$B$3:$B$16,0),2),      JU44 &lt;&gt;0,""                                                ),"")</f>
        <v/>
      </c>
      <c r="JV51" s="122" t="str" cm="1">
        <f t="array" ref="JV51">IF( ISNUMBER(MATCH(JU$3,Entries!$B$3:$B$16,0)),           _xlfn.IFS(  JU51="","",      SUMPRODUCT((Entries!$A$3:$A$16=JU44)*(Entries!$C$3:$C$16=JV44)*(Entries!$D$3:$D$16=JW44)) &lt;&gt;0,"",         _xlfn.XLOOKUP(JU$3,Entries!$B$3:$B$16,Entries!$E$3:$E$16,"Enter")="Booked",   INDEX(Entries!$B$3:$E$16,MATCH(JU$3,Entries!$B$3:$B$16,0),3),                                                    _xlfn.XLOOKUP(JU$3,Entries!$B$3:$B$16,Entries!$A$3:$A$16,"Error"),""),"")</f>
        <v/>
      </c>
      <c r="JW51" s="123" t="str" cm="1">
        <f t="array" ref="JW51">IF( ISNUMBER(MATCH(JU$3,Entries!$B$3:$B$16,0)),           _xlfn.IFS(  JU51="","",      SUMPRODUCT((Entries!$A$3:$A$16=JV44)*(Entries!$C$3:$C$16=JW44)*(Entries!$D$3:$D$16=JX44)) &lt;&gt;0,"",         _xlfn.XLOOKUP(JU$3,Entries!$B$3:$B$16,Entries!$E$3:$E$16,"Enter")="Booked",   INDEX(Entries!$B$3:$E$16,MATCH(JU$3,Entries!$B$3:$B$16,0),4),                                                    _xlfn.XLOOKUP(JU$3,Entries!$B$3:$B$16,Entries!$A$3:$A$16,"Error"),""),"")</f>
        <v/>
      </c>
      <c r="JX51" s="169" t="str" cm="1">
        <f t="array" ref="JX51">IF( ISNUMBER(MATCH(JX$3,Entries!$B$3:$B$16,0)),           _xlfn.IFS(  JX44="","",      AND(SUMPRODUCT((Entries!$A$3:$A$16=JX44)*(Entries!$C$3:$C$16=JY44)*(Entries!$D$3:$D$16=JZ44)) = 0,        _xlfn.XLOOKUP(JX$3,Entries!$B$3:$B$16,Entries!$E$3:$E$16,"Enter")="Booked"),   INDEX(Entries!$B$3:$E$16,MATCH(JX$3,Entries!$B$3:$B$16,0),2),      JX44 &lt;&gt;0,""                                                ),"")</f>
        <v/>
      </c>
      <c r="JY51" s="122" t="str" cm="1">
        <f t="array" ref="JY51">IF( ISNUMBER(MATCH(JX$3,Entries!$B$3:$B$16,0)),           _xlfn.IFS(  JX51="","",      SUMPRODUCT((Entries!$A$3:$A$16=JX44)*(Entries!$C$3:$C$16=JY44)*(Entries!$D$3:$D$16=JZ44)) &lt;&gt;0,"",         _xlfn.XLOOKUP(JX$3,Entries!$B$3:$B$16,Entries!$E$3:$E$16,"Enter")="Booked",   INDEX(Entries!$B$3:$E$16,MATCH(JX$3,Entries!$B$3:$B$16,0),3),                                                    _xlfn.XLOOKUP(JX$3,Entries!$B$3:$B$16,Entries!$A$3:$A$16,"Error"),""),"")</f>
        <v/>
      </c>
      <c r="JZ51" s="123" t="str" cm="1">
        <f t="array" ref="JZ51">IF( ISNUMBER(MATCH(JX$3,Entries!$B$3:$B$16,0)),           _xlfn.IFS(  JX51="","",      SUMPRODUCT((Entries!$A$3:$A$16=JY44)*(Entries!$C$3:$C$16=JZ44)*(Entries!$D$3:$D$16=KA44)) &lt;&gt;0,"",         _xlfn.XLOOKUP(JX$3,Entries!$B$3:$B$16,Entries!$E$3:$E$16,"Enter")="Booked",   INDEX(Entries!$B$3:$E$16,MATCH(JX$3,Entries!$B$3:$B$16,0),4),                                                    _xlfn.XLOOKUP(JX$3,Entries!$B$3:$B$16,Entries!$A$3:$A$16,"Error"),""),"")</f>
        <v/>
      </c>
      <c r="KA51" s="169" t="str" cm="1">
        <f t="array" ref="KA51">IF( ISNUMBER(MATCH(KA$3,Entries!$B$3:$B$16,0)),           _xlfn.IFS(  KA44="","",      AND(SUMPRODUCT((Entries!$A$3:$A$16=KA44)*(Entries!$C$3:$C$16=KB44)*(Entries!$D$3:$D$16=KC44)) = 0,        _xlfn.XLOOKUP(KA$3,Entries!$B$3:$B$16,Entries!$E$3:$E$16,"Enter")="Booked"),   INDEX(Entries!$B$3:$E$16,MATCH(KA$3,Entries!$B$3:$B$16,0),2),      KA44 &lt;&gt;0,""                                                ),"")</f>
        <v/>
      </c>
      <c r="KB51" s="122" t="str" cm="1">
        <f t="array" ref="KB51">IF( ISNUMBER(MATCH(KA$3,Entries!$B$3:$B$16,0)),           _xlfn.IFS(  KA51="","",      SUMPRODUCT((Entries!$A$3:$A$16=KA44)*(Entries!$C$3:$C$16=KB44)*(Entries!$D$3:$D$16=KC44)) &lt;&gt;0,"",         _xlfn.XLOOKUP(KA$3,Entries!$B$3:$B$16,Entries!$E$3:$E$16,"Enter")="Booked",   INDEX(Entries!$B$3:$E$16,MATCH(KA$3,Entries!$B$3:$B$16,0),3),                                                    _xlfn.XLOOKUP(KA$3,Entries!$B$3:$B$16,Entries!$A$3:$A$16,"Error"),""),"")</f>
        <v/>
      </c>
      <c r="KC51" s="123" t="str" cm="1">
        <f t="array" ref="KC51">IF( ISNUMBER(MATCH(KA$3,Entries!$B$3:$B$16,0)),           _xlfn.IFS(  KA51="","",      SUMPRODUCT((Entries!$A$3:$A$16=KB44)*(Entries!$C$3:$C$16=KC44)*(Entries!$D$3:$D$16=KD44)) &lt;&gt;0,"",         _xlfn.XLOOKUP(KA$3,Entries!$B$3:$B$16,Entries!$E$3:$E$16,"Enter")="Booked",   INDEX(Entries!$B$3:$E$16,MATCH(KA$3,Entries!$B$3:$B$16,0),4),                                                    _xlfn.XLOOKUP(KA$3,Entries!$B$3:$B$16,Entries!$A$3:$A$16,"Error"),""),"")</f>
        <v/>
      </c>
      <c r="KD51" s="169" t="str" cm="1">
        <f t="array" ref="KD51">IF( ISNUMBER(MATCH(KD$3,Entries!$B$3:$B$16,0)),           _xlfn.IFS(  KD44="","",      AND(SUMPRODUCT((Entries!$A$3:$A$16=KD44)*(Entries!$C$3:$C$16=KE44)*(Entries!$D$3:$D$16=KF44)) = 0,        _xlfn.XLOOKUP(KD$3,Entries!$B$3:$B$16,Entries!$E$3:$E$16,"Enter")="Booked"),   INDEX(Entries!$B$3:$E$16,MATCH(KD$3,Entries!$B$3:$B$16,0),2),      KD44 &lt;&gt;0,""                                                ),"")</f>
        <v/>
      </c>
      <c r="KE51" s="122" t="str" cm="1">
        <f t="array" ref="KE51">IF( ISNUMBER(MATCH(KD$3,Entries!$B$3:$B$16,0)),           _xlfn.IFS(  KD51="","",      SUMPRODUCT((Entries!$A$3:$A$16=KD44)*(Entries!$C$3:$C$16=KE44)*(Entries!$D$3:$D$16=KF44)) &lt;&gt;0,"",         _xlfn.XLOOKUP(KD$3,Entries!$B$3:$B$16,Entries!$E$3:$E$16,"Enter")="Booked",   INDEX(Entries!$B$3:$E$16,MATCH(KD$3,Entries!$B$3:$B$16,0),3),                                                    _xlfn.XLOOKUP(KD$3,Entries!$B$3:$B$16,Entries!$A$3:$A$16,"Error"),""),"")</f>
        <v/>
      </c>
      <c r="KF51" s="123" t="str" cm="1">
        <f t="array" ref="KF51">IF( ISNUMBER(MATCH(KD$3,Entries!$B$3:$B$16,0)),           _xlfn.IFS(  KD51="","",      SUMPRODUCT((Entries!$A$3:$A$16=KE44)*(Entries!$C$3:$C$16=KF44)*(Entries!$D$3:$D$16=KG44)) &lt;&gt;0,"",         _xlfn.XLOOKUP(KD$3,Entries!$B$3:$B$16,Entries!$E$3:$E$16,"Enter")="Booked",   INDEX(Entries!$B$3:$E$16,MATCH(KD$3,Entries!$B$3:$B$16,0),4),                                                    _xlfn.XLOOKUP(KD$3,Entries!$B$3:$B$16,Entries!$A$3:$A$16,"Error"),""),"")</f>
        <v/>
      </c>
    </row>
    <row r="52" spans="1:292">
      <c r="A52" s="792"/>
      <c r="B52" s="124"/>
      <c r="C52" s="122"/>
      <c r="D52" s="164"/>
      <c r="E52" s="124"/>
      <c r="F52" s="793"/>
      <c r="G52" s="794"/>
      <c r="H52" s="124"/>
      <c r="I52" s="122"/>
      <c r="J52" s="164"/>
      <c r="K52" s="124"/>
      <c r="L52" s="793"/>
      <c r="M52" s="794"/>
      <c r="N52" s="138"/>
      <c r="O52" s="122"/>
      <c r="P52" s="794"/>
      <c r="Q52" s="1400">
        <v>45940</v>
      </c>
      <c r="R52" s="122">
        <v>200</v>
      </c>
      <c r="S52" s="794">
        <v>-813.9</v>
      </c>
      <c r="T52" s="794"/>
      <c r="U52" s="794"/>
      <c r="V52" s="794"/>
      <c r="W52" s="138"/>
      <c r="X52" s="793"/>
      <c r="Y52" s="794"/>
      <c r="Z52" s="138"/>
      <c r="AA52" s="122"/>
      <c r="AB52" s="794"/>
      <c r="AC52" s="138"/>
      <c r="AD52" s="793"/>
      <c r="AE52" s="794"/>
      <c r="AF52" s="138"/>
      <c r="AG52" s="793"/>
      <c r="AH52" s="794"/>
      <c r="AI52" s="138"/>
      <c r="AJ52" s="793"/>
      <c r="AK52" s="794"/>
      <c r="AL52" s="138"/>
      <c r="AM52" s="793"/>
      <c r="AN52" s="794"/>
      <c r="AO52" s="124"/>
      <c r="AP52" s="793"/>
      <c r="AQ52" s="794"/>
      <c r="AR52" s="124"/>
      <c r="AS52" s="793"/>
      <c r="AT52" s="794"/>
      <c r="AU52" s="124"/>
      <c r="AV52" s="793"/>
      <c r="AW52" s="794"/>
      <c r="AX52" s="124"/>
      <c r="AY52" s="793"/>
      <c r="AZ52" s="794"/>
      <c r="BA52" s="124"/>
      <c r="BB52" s="793"/>
      <c r="BC52" s="794"/>
      <c r="BD52" s="124"/>
      <c r="BE52" s="793"/>
      <c r="BF52" s="794"/>
      <c r="BG52" s="124"/>
      <c r="BH52" s="793"/>
      <c r="BI52" s="794"/>
      <c r="BJ52" s="124"/>
      <c r="BK52" s="793"/>
      <c r="BL52" s="794"/>
      <c r="BM52" s="124"/>
      <c r="BN52" s="793"/>
      <c r="BO52" s="794"/>
      <c r="BP52" s="124"/>
      <c r="BQ52" s="793"/>
      <c r="BR52" s="794"/>
      <c r="BS52" s="124"/>
      <c r="BT52" s="793"/>
      <c r="BU52" s="794"/>
      <c r="BV52" s="124"/>
      <c r="BW52" s="122"/>
      <c r="BX52" s="164"/>
      <c r="BY52" s="124"/>
      <c r="BZ52" s="793"/>
      <c r="CA52" s="794"/>
      <c r="CB52" s="124"/>
      <c r="CC52" s="122"/>
      <c r="CD52" s="164"/>
      <c r="CE52" s="124"/>
      <c r="CF52" s="793"/>
      <c r="CG52" s="794"/>
      <c r="CH52" s="124"/>
      <c r="CI52" s="122"/>
      <c r="CJ52" s="795"/>
      <c r="CK52" s="124"/>
      <c r="CL52" s="793"/>
      <c r="CM52" s="794"/>
      <c r="CN52" s="124"/>
      <c r="CO52" s="122"/>
      <c r="CP52" s="164"/>
      <c r="CQ52" s="124"/>
      <c r="CR52" s="793"/>
      <c r="CS52" s="794"/>
      <c r="CT52" s="124"/>
      <c r="CU52" s="122"/>
      <c r="CV52" s="164"/>
      <c r="CW52" s="124"/>
      <c r="CX52" s="793"/>
      <c r="CY52" s="794"/>
      <c r="CZ52" s="124"/>
      <c r="DA52" s="122"/>
      <c r="DB52" s="164"/>
      <c r="DC52" s="124"/>
      <c r="DD52" s="793"/>
      <c r="DE52" s="796"/>
      <c r="DF52" s="124"/>
      <c r="DG52" s="122"/>
      <c r="DH52" s="795"/>
      <c r="DI52" s="124"/>
      <c r="DJ52" s="793"/>
      <c r="DK52" s="796"/>
      <c r="DL52" s="124"/>
      <c r="DM52" s="122"/>
      <c r="DN52" s="795"/>
      <c r="DO52" s="124"/>
      <c r="DP52" s="122"/>
      <c r="DQ52" s="123"/>
      <c r="DR52" s="124"/>
      <c r="DS52" s="122"/>
      <c r="DT52" s="123"/>
      <c r="DU52" s="124"/>
      <c r="DV52" s="793"/>
      <c r="DW52" s="796"/>
      <c r="DX52" s="124"/>
      <c r="DY52" s="122"/>
      <c r="DZ52" s="795"/>
      <c r="EA52" s="124"/>
      <c r="EB52" s="793"/>
      <c r="EC52" s="796"/>
      <c r="ED52" s="124"/>
      <c r="EE52" s="122"/>
      <c r="EF52" s="795"/>
      <c r="EG52" s="124"/>
      <c r="EH52" s="793"/>
      <c r="EI52" s="796"/>
      <c r="EJ52" s="124"/>
      <c r="EK52" s="122"/>
      <c r="EL52" s="123"/>
      <c r="EM52" s="124"/>
      <c r="EN52" s="122"/>
      <c r="EO52" s="795"/>
      <c r="EP52" s="124"/>
      <c r="EQ52" s="122"/>
      <c r="ER52" s="164"/>
      <c r="ES52" s="124"/>
      <c r="ET52" s="122"/>
      <c r="EU52" s="795"/>
      <c r="EV52" s="124"/>
      <c r="EW52" s="793"/>
      <c r="EX52" s="796"/>
      <c r="EY52" s="124"/>
      <c r="EZ52" s="122"/>
      <c r="FA52" s="164"/>
      <c r="FB52" s="124"/>
      <c r="FC52" s="793"/>
      <c r="FD52" s="794"/>
      <c r="FE52" s="124"/>
      <c r="FF52" s="122"/>
      <c r="FG52" s="164"/>
      <c r="FH52" s="124"/>
      <c r="FI52" s="793"/>
      <c r="FJ52" s="794"/>
      <c r="FK52" s="124"/>
      <c r="FL52" s="122"/>
      <c r="FM52" s="164"/>
      <c r="FN52" s="124"/>
      <c r="FO52" s="793"/>
      <c r="FP52" s="796"/>
      <c r="FQ52" s="124"/>
      <c r="FR52" s="122"/>
      <c r="FS52" s="164"/>
      <c r="FT52" s="124"/>
      <c r="FU52" s="793"/>
      <c r="FV52" s="794"/>
      <c r="FW52" s="124"/>
      <c r="FX52" s="122"/>
      <c r="FY52" s="164"/>
      <c r="FZ52" s="124"/>
      <c r="GA52" s="793"/>
      <c r="GB52" s="794"/>
      <c r="GC52" s="124"/>
      <c r="GD52" s="122"/>
      <c r="GE52" s="164"/>
      <c r="GF52" s="124"/>
      <c r="GG52" s="793"/>
      <c r="GH52" s="794"/>
      <c r="GI52" s="124"/>
      <c r="GJ52" s="122"/>
      <c r="GK52" s="164"/>
      <c r="GL52" s="124"/>
      <c r="GM52" s="122"/>
      <c r="GN52" s="123"/>
      <c r="GO52" s="124"/>
      <c r="GP52" s="122"/>
      <c r="GQ52" s="123"/>
      <c r="GR52" s="124"/>
      <c r="GS52" s="122"/>
      <c r="GT52" s="123"/>
      <c r="GU52" s="124"/>
      <c r="GV52" s="122"/>
      <c r="GW52" s="123"/>
      <c r="GX52" s="124"/>
      <c r="GY52" s="122"/>
      <c r="GZ52" s="795"/>
      <c r="HA52" s="124"/>
      <c r="HB52" s="793"/>
      <c r="HC52" s="796"/>
      <c r="HD52" s="124"/>
      <c r="HE52" s="122"/>
      <c r="HF52" s="796"/>
      <c r="HG52" s="138"/>
      <c r="HH52" s="793"/>
      <c r="HI52" s="796"/>
      <c r="HJ52" s="124"/>
      <c r="HK52" s="122"/>
      <c r="HL52" s="795"/>
      <c r="HM52" s="124"/>
      <c r="HN52" s="793"/>
      <c r="HO52" s="796"/>
      <c r="HP52" s="124"/>
      <c r="HQ52" s="122"/>
      <c r="HR52" s="795"/>
      <c r="HS52" s="124"/>
      <c r="HT52" s="122"/>
      <c r="HU52" s="164"/>
      <c r="HV52" s="124"/>
      <c r="HW52" s="122"/>
      <c r="HX52" s="164"/>
      <c r="HY52" s="124"/>
      <c r="HZ52" s="122"/>
      <c r="IA52" s="164"/>
      <c r="IB52" s="124"/>
      <c r="IC52" s="793"/>
      <c r="ID52" s="794"/>
      <c r="IE52" s="124"/>
      <c r="IF52" s="122"/>
      <c r="IG52" s="796"/>
      <c r="IH52" s="124"/>
      <c r="II52" s="122"/>
      <c r="IJ52" s="164"/>
      <c r="IK52" s="124"/>
      <c r="IL52" s="122"/>
      <c r="IM52" s="123"/>
      <c r="IN52" s="124"/>
      <c r="IO52" s="122"/>
      <c r="IP52" s="123"/>
      <c r="IQ52" s="124"/>
      <c r="IR52" s="122"/>
      <c r="IS52" s="123"/>
      <c r="IT52" s="124"/>
      <c r="IU52" s="122"/>
      <c r="IV52" s="123"/>
      <c r="IW52" s="124"/>
      <c r="IX52" s="122"/>
      <c r="IY52" s="123"/>
      <c r="IZ52" s="124"/>
      <c r="JA52" s="122"/>
      <c r="JB52" s="123"/>
      <c r="JC52" s="124"/>
      <c r="JD52" s="122"/>
      <c r="JE52" s="123"/>
      <c r="JF52" s="124"/>
      <c r="JG52" s="122"/>
      <c r="JH52" s="795"/>
      <c r="JI52" s="124"/>
      <c r="JJ52" s="793"/>
      <c r="JK52" s="796"/>
      <c r="JL52" s="124"/>
      <c r="JM52" s="122"/>
      <c r="JN52" s="795"/>
      <c r="JO52" s="124"/>
      <c r="JP52" s="793"/>
      <c r="JQ52" s="796"/>
      <c r="JR52" s="124"/>
      <c r="JS52" s="122"/>
      <c r="JT52" s="795"/>
      <c r="JU52" s="169" t="str" cm="1">
        <f t="array" ref="JU52">IF( ISNUMBER(MATCH(JU$3,Entries!$B$3:$B$16,0)),           _xlfn.IFS(  JU51="","",      AND(SUMPRODUCT((Entries!$A$3:$A$16=JU51)*(Entries!$C$3:$C$16=JV51)*(Entries!$D$3:$D$16=JW51)) = 0,        _xlfn.XLOOKUP(JU$3,Entries!$B$3:$B$16,Entries!$E$3:$E$16,"Enter")="Booked"),   INDEX(Entries!$B$3:$E$16,MATCH(JU$3,Entries!$B$3:$B$16,0),2),      JU51 &lt;&gt;0,""                                                ),"")</f>
        <v/>
      </c>
      <c r="JV52" s="122" t="str" cm="1">
        <f t="array" ref="JV52">IF( ISNUMBER(MATCH(JU$3,Entries!$B$3:$B$16,0)),           _xlfn.IFS(  JU52="","",      SUMPRODUCT((Entries!$A$3:$A$16=JU51)*(Entries!$C$3:$C$16=JV51)*(Entries!$D$3:$D$16=JW51)) &lt;&gt;0,"",         _xlfn.XLOOKUP(JU$3,Entries!$B$3:$B$16,Entries!$E$3:$E$16,"Enter")="Booked",   INDEX(Entries!$B$3:$E$16,MATCH(JU$3,Entries!$B$3:$B$16,0),3),                                                    _xlfn.XLOOKUP(JU$3,Entries!$B$3:$B$16,Entries!$A$3:$A$16,"Error"),""),"")</f>
        <v/>
      </c>
      <c r="JW52" s="123" t="str" cm="1">
        <f t="array" ref="JW52">IF( ISNUMBER(MATCH(JU$3,Entries!$B$3:$B$16,0)),           _xlfn.IFS(  JU52="","",      SUMPRODUCT((Entries!$A$3:$A$16=JV51)*(Entries!$C$3:$C$16=JW51)*(Entries!$D$3:$D$16=JX51)) &lt;&gt;0,"",         _xlfn.XLOOKUP(JU$3,Entries!$B$3:$B$16,Entries!$E$3:$E$16,"Enter")="Booked",   INDEX(Entries!$B$3:$E$16,MATCH(JU$3,Entries!$B$3:$B$16,0),4),                                                    _xlfn.XLOOKUP(JU$3,Entries!$B$3:$B$16,Entries!$A$3:$A$16,"Error"),""),"")</f>
        <v/>
      </c>
      <c r="JX52" s="169" t="str" cm="1">
        <f t="array" ref="JX52">IF( ISNUMBER(MATCH(JX$3,Entries!$B$3:$B$16,0)),           _xlfn.IFS(  JX51="","",      AND(SUMPRODUCT((Entries!$A$3:$A$16=JX51)*(Entries!$C$3:$C$16=JY51)*(Entries!$D$3:$D$16=JZ51)) = 0,        _xlfn.XLOOKUP(JX$3,Entries!$B$3:$B$16,Entries!$E$3:$E$16,"Enter")="Booked"),   INDEX(Entries!$B$3:$E$16,MATCH(JX$3,Entries!$B$3:$B$16,0),2),      JX51 &lt;&gt;0,""                                                ),"")</f>
        <v/>
      </c>
      <c r="JY52" s="122" t="str" cm="1">
        <f t="array" ref="JY52">IF( ISNUMBER(MATCH(JX$3,Entries!$B$3:$B$16,0)),           _xlfn.IFS(  JX52="","",      SUMPRODUCT((Entries!$A$3:$A$16=JX51)*(Entries!$C$3:$C$16=JY51)*(Entries!$D$3:$D$16=JZ51)) &lt;&gt;0,"",         _xlfn.XLOOKUP(JX$3,Entries!$B$3:$B$16,Entries!$E$3:$E$16,"Enter")="Booked",   INDEX(Entries!$B$3:$E$16,MATCH(JX$3,Entries!$B$3:$B$16,0),3),                                                    _xlfn.XLOOKUP(JX$3,Entries!$B$3:$B$16,Entries!$A$3:$A$16,"Error"),""),"")</f>
        <v/>
      </c>
      <c r="JZ52" s="123" t="str" cm="1">
        <f t="array" ref="JZ52">IF( ISNUMBER(MATCH(JX$3,Entries!$B$3:$B$16,0)),           _xlfn.IFS(  JX52="","",      SUMPRODUCT((Entries!$A$3:$A$16=JY51)*(Entries!$C$3:$C$16=JZ51)*(Entries!$D$3:$D$16=KA51)) &lt;&gt;0,"",         _xlfn.XLOOKUP(JX$3,Entries!$B$3:$B$16,Entries!$E$3:$E$16,"Enter")="Booked",   INDEX(Entries!$B$3:$E$16,MATCH(JX$3,Entries!$B$3:$B$16,0),4),                                                    _xlfn.XLOOKUP(JX$3,Entries!$B$3:$B$16,Entries!$A$3:$A$16,"Error"),""),"")</f>
        <v/>
      </c>
      <c r="KA52" s="169" t="str" cm="1">
        <f t="array" ref="KA52">IF( ISNUMBER(MATCH(KA$3,Entries!$B$3:$B$16,0)),           _xlfn.IFS(  KA51="","",      AND(SUMPRODUCT((Entries!$A$3:$A$16=KA51)*(Entries!$C$3:$C$16=KB51)*(Entries!$D$3:$D$16=KC51)) = 0,        _xlfn.XLOOKUP(KA$3,Entries!$B$3:$B$16,Entries!$E$3:$E$16,"Enter")="Booked"),   INDEX(Entries!$B$3:$E$16,MATCH(KA$3,Entries!$B$3:$B$16,0),2),      KA51 &lt;&gt;0,""                                                ),"")</f>
        <v/>
      </c>
      <c r="KB52" s="122" t="str" cm="1">
        <f t="array" ref="KB52">IF( ISNUMBER(MATCH(KA$3,Entries!$B$3:$B$16,0)),           _xlfn.IFS(  KA52="","",      SUMPRODUCT((Entries!$A$3:$A$16=KA51)*(Entries!$C$3:$C$16=KB51)*(Entries!$D$3:$D$16=KC51)) &lt;&gt;0,"",         _xlfn.XLOOKUP(KA$3,Entries!$B$3:$B$16,Entries!$E$3:$E$16,"Enter")="Booked",   INDEX(Entries!$B$3:$E$16,MATCH(KA$3,Entries!$B$3:$B$16,0),3),                                                    _xlfn.XLOOKUP(KA$3,Entries!$B$3:$B$16,Entries!$A$3:$A$16,"Error"),""),"")</f>
        <v/>
      </c>
      <c r="KC52" s="123" t="str" cm="1">
        <f t="array" ref="KC52">IF( ISNUMBER(MATCH(KA$3,Entries!$B$3:$B$16,0)),           _xlfn.IFS(  KA52="","",      SUMPRODUCT((Entries!$A$3:$A$16=KB51)*(Entries!$C$3:$C$16=KC51)*(Entries!$D$3:$D$16=KD51)) &lt;&gt;0,"",         _xlfn.XLOOKUP(KA$3,Entries!$B$3:$B$16,Entries!$E$3:$E$16,"Enter")="Booked",   INDEX(Entries!$B$3:$E$16,MATCH(KA$3,Entries!$B$3:$B$16,0),4),                                                    _xlfn.XLOOKUP(KA$3,Entries!$B$3:$B$16,Entries!$A$3:$A$16,"Error"),""),"")</f>
        <v/>
      </c>
      <c r="KD52" s="169" t="str" cm="1">
        <f t="array" ref="KD52">IF( ISNUMBER(MATCH(KD$3,Entries!$B$3:$B$16,0)),           _xlfn.IFS(  KD51="","",      AND(SUMPRODUCT((Entries!$A$3:$A$16=KD51)*(Entries!$C$3:$C$16=KE51)*(Entries!$D$3:$D$16=KF51)) = 0,        _xlfn.XLOOKUP(KD$3,Entries!$B$3:$B$16,Entries!$E$3:$E$16,"Enter")="Booked"),   INDEX(Entries!$B$3:$E$16,MATCH(KD$3,Entries!$B$3:$B$16,0),2),      KD51 &lt;&gt;0,""                                                ),"")</f>
        <v/>
      </c>
      <c r="KE52" s="122" t="str" cm="1">
        <f t="array" ref="KE52">IF( ISNUMBER(MATCH(KD$3,Entries!$B$3:$B$16,0)),           _xlfn.IFS(  KD52="","",      SUMPRODUCT((Entries!$A$3:$A$16=KD51)*(Entries!$C$3:$C$16=KE51)*(Entries!$D$3:$D$16=KF51)) &lt;&gt;0,"",         _xlfn.XLOOKUP(KD$3,Entries!$B$3:$B$16,Entries!$E$3:$E$16,"Enter")="Booked",   INDEX(Entries!$B$3:$E$16,MATCH(KD$3,Entries!$B$3:$B$16,0),3),                                                    _xlfn.XLOOKUP(KD$3,Entries!$B$3:$B$16,Entries!$A$3:$A$16,"Error"),""),"")</f>
        <v/>
      </c>
      <c r="KF52" s="123" t="str" cm="1">
        <f t="array" ref="KF52">IF( ISNUMBER(MATCH(KD$3,Entries!$B$3:$B$16,0)),           _xlfn.IFS(  KD52="","",      SUMPRODUCT((Entries!$A$3:$A$16=KE51)*(Entries!$C$3:$C$16=KF51)*(Entries!$D$3:$D$16=KG45)) &lt;&gt;0,"",         _xlfn.XLOOKUP(KD$3,Entries!$B$3:$B$16,Entries!$E$3:$E$16,"Enter")="Booked",   INDEX(Entries!$B$3:$E$16,MATCH(KD$3,Entries!$B$3:$B$16,0),4),                                                    _xlfn.XLOOKUP(KD$3,Entries!$B$3:$B$16,Entries!$A$3:$A$16,"Error"),""),"")</f>
        <v/>
      </c>
    </row>
    <row r="53" spans="1:292">
      <c r="A53" s="792"/>
      <c r="B53" s="124"/>
      <c r="C53" s="122"/>
      <c r="D53" s="164"/>
      <c r="E53" s="124"/>
      <c r="F53" s="793"/>
      <c r="G53" s="794"/>
      <c r="H53" s="124"/>
      <c r="I53" s="122"/>
      <c r="J53" s="164"/>
      <c r="K53" s="124"/>
      <c r="L53" s="793"/>
      <c r="M53" s="794"/>
      <c r="N53" s="138"/>
      <c r="O53" s="122"/>
      <c r="P53" s="794"/>
      <c r="Q53" s="1400">
        <v>45946</v>
      </c>
      <c r="R53" s="122">
        <v>100</v>
      </c>
      <c r="S53" s="794">
        <v>893.2</v>
      </c>
      <c r="T53" s="794"/>
      <c r="U53" s="794"/>
      <c r="V53" s="794"/>
      <c r="W53" s="138"/>
      <c r="X53" s="793"/>
      <c r="Y53" s="794"/>
      <c r="Z53" s="138"/>
      <c r="AA53" s="122"/>
      <c r="AB53" s="794"/>
      <c r="AC53" s="138"/>
      <c r="AD53" s="793"/>
      <c r="AE53" s="794"/>
      <c r="AF53" s="138"/>
      <c r="AG53" s="793"/>
      <c r="AH53" s="794"/>
      <c r="AI53" s="138"/>
      <c r="AJ53" s="793"/>
      <c r="AK53" s="794"/>
      <c r="AL53" s="138"/>
      <c r="AM53" s="793"/>
      <c r="AN53" s="794"/>
      <c r="AO53" s="124"/>
      <c r="AP53" s="793"/>
      <c r="AQ53" s="794"/>
      <c r="AR53" s="124"/>
      <c r="AS53" s="793"/>
      <c r="AT53" s="794"/>
      <c r="AU53" s="124"/>
      <c r="AV53" s="793"/>
      <c r="AW53" s="794"/>
      <c r="AX53" s="124"/>
      <c r="AY53" s="793"/>
      <c r="AZ53" s="794"/>
      <c r="BA53" s="124"/>
      <c r="BB53" s="793"/>
      <c r="BC53" s="794"/>
      <c r="BD53" s="124"/>
      <c r="BE53" s="793"/>
      <c r="BF53" s="794"/>
      <c r="BG53" s="124"/>
      <c r="BH53" s="793"/>
      <c r="BI53" s="794"/>
      <c r="BJ53" s="124"/>
      <c r="BK53" s="793"/>
      <c r="BL53" s="794"/>
      <c r="BM53" s="124"/>
      <c r="BN53" s="793"/>
      <c r="BO53" s="794"/>
      <c r="BP53" s="124"/>
      <c r="BQ53" s="793"/>
      <c r="BR53" s="794"/>
      <c r="BS53" s="124"/>
      <c r="BT53" s="793"/>
      <c r="BU53" s="794"/>
      <c r="BV53" s="124"/>
      <c r="BW53" s="122"/>
      <c r="BX53" s="164"/>
      <c r="BY53" s="124"/>
      <c r="BZ53" s="793"/>
      <c r="CA53" s="794"/>
      <c r="CB53" s="124"/>
      <c r="CC53" s="122"/>
      <c r="CD53" s="164"/>
      <c r="CE53" s="124"/>
      <c r="CF53" s="793"/>
      <c r="CG53" s="794"/>
      <c r="CH53" s="124"/>
      <c r="CI53" s="122"/>
      <c r="CJ53" s="795"/>
      <c r="CK53" s="124"/>
      <c r="CL53" s="793"/>
      <c r="CM53" s="794"/>
      <c r="CN53" s="124"/>
      <c r="CO53" s="122"/>
      <c r="CP53" s="164"/>
      <c r="CQ53" s="124"/>
      <c r="CR53" s="793"/>
      <c r="CS53" s="794"/>
      <c r="CT53" s="124"/>
      <c r="CU53" s="122"/>
      <c r="CV53" s="164"/>
      <c r="CW53" s="124"/>
      <c r="CX53" s="793"/>
      <c r="CY53" s="794"/>
      <c r="CZ53" s="124"/>
      <c r="DA53" s="122"/>
      <c r="DB53" s="164"/>
      <c r="DC53" s="124"/>
      <c r="DD53" s="793"/>
      <c r="DE53" s="796"/>
      <c r="DF53" s="124"/>
      <c r="DG53" s="122"/>
      <c r="DH53" s="795"/>
      <c r="DI53" s="124"/>
      <c r="DJ53" s="793"/>
      <c r="DK53" s="796"/>
      <c r="DL53" s="124"/>
      <c r="DM53" s="122"/>
      <c r="DN53" s="795"/>
      <c r="DO53" s="124"/>
      <c r="DP53" s="122"/>
      <c r="DQ53" s="123"/>
      <c r="DR53" s="124"/>
      <c r="DS53" s="122"/>
      <c r="DT53" s="123"/>
      <c r="DU53" s="124"/>
      <c r="DV53" s="793"/>
      <c r="DW53" s="796"/>
      <c r="DX53" s="124"/>
      <c r="DY53" s="122"/>
      <c r="DZ53" s="795"/>
      <c r="EA53" s="124"/>
      <c r="EB53" s="793"/>
      <c r="EC53" s="796"/>
      <c r="ED53" s="124"/>
      <c r="EE53" s="122"/>
      <c r="EF53" s="795"/>
      <c r="EG53" s="124"/>
      <c r="EH53" s="793"/>
      <c r="EI53" s="796"/>
      <c r="EJ53" s="124"/>
      <c r="EK53" s="122"/>
      <c r="EL53" s="123"/>
      <c r="EM53" s="124"/>
      <c r="EN53" s="122"/>
      <c r="EO53" s="795"/>
      <c r="EP53" s="124"/>
      <c r="EQ53" s="122"/>
      <c r="ER53" s="164"/>
      <c r="ES53" s="124"/>
      <c r="ET53" s="122"/>
      <c r="EU53" s="795"/>
      <c r="EV53" s="124"/>
      <c r="EW53" s="793"/>
      <c r="EX53" s="796"/>
      <c r="EY53" s="124"/>
      <c r="EZ53" s="122"/>
      <c r="FA53" s="164"/>
      <c r="FB53" s="124"/>
      <c r="FC53" s="793"/>
      <c r="FD53" s="794"/>
      <c r="FE53" s="124"/>
      <c r="FF53" s="122"/>
      <c r="FG53" s="164"/>
      <c r="FH53" s="124"/>
      <c r="FI53" s="793"/>
      <c r="FJ53" s="794"/>
      <c r="FK53" s="124"/>
      <c r="FL53" s="122"/>
      <c r="FM53" s="164"/>
      <c r="FN53" s="124"/>
      <c r="FO53" s="793"/>
      <c r="FP53" s="796"/>
      <c r="FQ53" s="124"/>
      <c r="FR53" s="122"/>
      <c r="FS53" s="164"/>
      <c r="FT53" s="124"/>
      <c r="FU53" s="793"/>
      <c r="FV53" s="794"/>
      <c r="FW53" s="124"/>
      <c r="FX53" s="122"/>
      <c r="FY53" s="164"/>
      <c r="FZ53" s="124"/>
      <c r="GA53" s="793"/>
      <c r="GB53" s="794"/>
      <c r="GC53" s="124"/>
      <c r="GD53" s="122"/>
      <c r="GE53" s="164"/>
      <c r="GF53" s="124"/>
      <c r="GG53" s="793"/>
      <c r="GH53" s="794"/>
      <c r="GI53" s="124"/>
      <c r="GJ53" s="122"/>
      <c r="GK53" s="164"/>
      <c r="GL53" s="124"/>
      <c r="GM53" s="122"/>
      <c r="GN53" s="123"/>
      <c r="GO53" s="124"/>
      <c r="GP53" s="122"/>
      <c r="GQ53" s="123"/>
      <c r="GR53" s="124"/>
      <c r="GS53" s="122"/>
      <c r="GT53" s="123"/>
      <c r="GU53" s="124"/>
      <c r="GV53" s="122"/>
      <c r="GW53" s="123"/>
      <c r="GX53" s="124"/>
      <c r="GY53" s="122"/>
      <c r="GZ53" s="795"/>
      <c r="HA53" s="124"/>
      <c r="HB53" s="793"/>
      <c r="HC53" s="796"/>
      <c r="HD53" s="124"/>
      <c r="HE53" s="122"/>
      <c r="HF53" s="796"/>
      <c r="HG53" s="138"/>
      <c r="HH53" s="793"/>
      <c r="HI53" s="796"/>
      <c r="HJ53" s="124"/>
      <c r="HK53" s="122"/>
      <c r="HL53" s="795"/>
      <c r="HM53" s="124"/>
      <c r="HN53" s="793"/>
      <c r="HO53" s="796"/>
      <c r="HP53" s="124"/>
      <c r="HQ53" s="122"/>
      <c r="HR53" s="795"/>
      <c r="HS53" s="124"/>
      <c r="HT53" s="122"/>
      <c r="HU53" s="164"/>
      <c r="HV53" s="124"/>
      <c r="HW53" s="122"/>
      <c r="HX53" s="164"/>
      <c r="HY53" s="124"/>
      <c r="HZ53" s="122"/>
      <c r="IA53" s="164"/>
      <c r="IB53" s="124"/>
      <c r="IC53" s="793"/>
      <c r="ID53" s="794"/>
      <c r="IE53" s="124"/>
      <c r="IF53" s="122"/>
      <c r="IG53" s="796"/>
      <c r="IH53" s="124"/>
      <c r="II53" s="122"/>
      <c r="IJ53" s="164"/>
      <c r="IK53" s="124"/>
      <c r="IL53" s="122"/>
      <c r="IM53" s="123"/>
      <c r="IN53" s="124"/>
      <c r="IO53" s="122"/>
      <c r="IP53" s="123"/>
      <c r="IQ53" s="124"/>
      <c r="IR53" s="122"/>
      <c r="IS53" s="123"/>
      <c r="IT53" s="124"/>
      <c r="IU53" s="122"/>
      <c r="IV53" s="123"/>
      <c r="IW53" s="124"/>
      <c r="IX53" s="122"/>
      <c r="IY53" s="123"/>
      <c r="IZ53" s="124"/>
      <c r="JA53" s="122"/>
      <c r="JB53" s="123"/>
      <c r="JC53" s="124"/>
      <c r="JD53" s="122"/>
      <c r="JE53" s="123"/>
      <c r="JF53" s="124"/>
      <c r="JG53" s="122"/>
      <c r="JH53" s="795"/>
      <c r="JI53" s="124"/>
      <c r="JJ53" s="793"/>
      <c r="JK53" s="796"/>
      <c r="JL53" s="124"/>
      <c r="JM53" s="122"/>
      <c r="JN53" s="795"/>
      <c r="JO53" s="124"/>
      <c r="JP53" s="793"/>
      <c r="JQ53" s="796"/>
      <c r="JR53" s="124"/>
      <c r="JS53" s="122"/>
      <c r="JT53" s="795"/>
      <c r="JU53" s="169" t="str" cm="1">
        <f t="array" ref="JU53">IF( ISNUMBER(MATCH(JU$3,Entries!$B$3:$B$16,0)),           _xlfn.IFS(  JU52="","",      AND(SUMPRODUCT((Entries!$A$3:$A$16=JU52)*(Entries!$C$3:$C$16=JV52)*(Entries!$D$3:$D$16=JW52)) = 0,        _xlfn.XLOOKUP(JU$3,Entries!$B$3:$B$16,Entries!$E$3:$E$16,"Enter")="Booked"),   INDEX(Entries!$B$3:$E$16,MATCH(JU$3,Entries!$B$3:$B$16,0),2),      JU52 &lt;&gt;0,""                                                ),"")</f>
        <v/>
      </c>
      <c r="JV53" s="122" t="str" cm="1">
        <f t="array" ref="JV53">IF( ISNUMBER(MATCH(JU$3,Entries!$B$3:$B$16,0)),           _xlfn.IFS(  JU53="","",      SUMPRODUCT((Entries!$A$3:$A$16=JU52)*(Entries!$C$3:$C$16=JV52)*(Entries!$D$3:$D$16=JW52)) &lt;&gt;0,"",         _xlfn.XLOOKUP(JU$3,Entries!$B$3:$B$16,Entries!$E$3:$E$16,"Enter")="Booked",   INDEX(Entries!$B$3:$E$16,MATCH(JU$3,Entries!$B$3:$B$16,0),3),                                                    _xlfn.XLOOKUP(JU$3,Entries!$B$3:$B$16,Entries!$A$3:$A$16,"Error"),""),"")</f>
        <v/>
      </c>
      <c r="JW53" s="123" t="str" cm="1">
        <f t="array" ref="JW53">IF( ISNUMBER(MATCH(JU$3,Entries!$B$3:$B$16,0)),           _xlfn.IFS(  JU53="","",      SUMPRODUCT((Entries!$A$3:$A$16=JV52)*(Entries!$C$3:$C$16=JW52)*(Entries!$D$3:$D$16=JX52)) &lt;&gt;0,"",         _xlfn.XLOOKUP(JU$3,Entries!$B$3:$B$16,Entries!$E$3:$E$16,"Enter")="Booked",   INDEX(Entries!$B$3:$E$16,MATCH(JU$3,Entries!$B$3:$B$16,0),4),                                                    _xlfn.XLOOKUP(JU$3,Entries!$B$3:$B$16,Entries!$A$3:$A$16,"Error"),""),"")</f>
        <v/>
      </c>
      <c r="JX53" s="169" t="str" cm="1">
        <f t="array" ref="JX53">IF( ISNUMBER(MATCH(JX$3,Entries!$B$3:$B$16,0)),           _xlfn.IFS(  JX52="","",      AND(SUMPRODUCT((Entries!$A$3:$A$16=JX52)*(Entries!$C$3:$C$16=JY52)*(Entries!$D$3:$D$16=JZ52)) = 0,        _xlfn.XLOOKUP(JX$3,Entries!$B$3:$B$16,Entries!$E$3:$E$16,"Enter")="Booked"),   INDEX(Entries!$B$3:$E$16,MATCH(JX$3,Entries!$B$3:$B$16,0),2),      JX52 &lt;&gt;0,""                                                ),"")</f>
        <v/>
      </c>
      <c r="JY53" s="122" t="str" cm="1">
        <f t="array" ref="JY53">IF( ISNUMBER(MATCH(JX$3,Entries!$B$3:$B$16,0)),           _xlfn.IFS(  JX53="","",      SUMPRODUCT((Entries!$A$3:$A$16=JX52)*(Entries!$C$3:$C$16=JY52)*(Entries!$D$3:$D$16=JZ52)) &lt;&gt;0,"",         _xlfn.XLOOKUP(JX$3,Entries!$B$3:$B$16,Entries!$E$3:$E$16,"Enter")="Booked",   INDEX(Entries!$B$3:$E$16,MATCH(JX$3,Entries!$B$3:$B$16,0),3),                                                    _xlfn.XLOOKUP(JX$3,Entries!$B$3:$B$16,Entries!$A$3:$A$16,"Error"),""),"")</f>
        <v/>
      </c>
      <c r="JZ53" s="123" t="str" cm="1">
        <f t="array" ref="JZ53">IF( ISNUMBER(MATCH(JX$3,Entries!$B$3:$B$16,0)),           _xlfn.IFS(  JX53="","",      SUMPRODUCT((Entries!$A$3:$A$16=JY52)*(Entries!$C$3:$C$16=JZ52)*(Entries!$D$3:$D$16=KA52)) &lt;&gt;0,"",         _xlfn.XLOOKUP(JX$3,Entries!$B$3:$B$16,Entries!$E$3:$E$16,"Enter")="Booked",   INDEX(Entries!$B$3:$E$16,MATCH(JX$3,Entries!$B$3:$B$16,0),4),                                                    _xlfn.XLOOKUP(JX$3,Entries!$B$3:$B$16,Entries!$A$3:$A$16,"Error"),""),"")</f>
        <v/>
      </c>
      <c r="KA53" s="169" t="str" cm="1">
        <f t="array" ref="KA53">IF( ISNUMBER(MATCH(KA$3,Entries!$B$3:$B$16,0)),           _xlfn.IFS(  KA52="","",      AND(SUMPRODUCT((Entries!$A$3:$A$16=KA52)*(Entries!$C$3:$C$16=KB52)*(Entries!$D$3:$D$16=KC52)) = 0,        _xlfn.XLOOKUP(KA$3,Entries!$B$3:$B$16,Entries!$E$3:$E$16,"Enter")="Booked"),   INDEX(Entries!$B$3:$E$16,MATCH(KA$3,Entries!$B$3:$B$16,0),2),      KA52 &lt;&gt;0,""                                                ),"")</f>
        <v/>
      </c>
      <c r="KB53" s="122" t="str" cm="1">
        <f t="array" ref="KB53">IF( ISNUMBER(MATCH(KA$3,Entries!$B$3:$B$16,0)),           _xlfn.IFS(  KA53="","",      SUMPRODUCT((Entries!$A$3:$A$16=KA52)*(Entries!$C$3:$C$16=KB52)*(Entries!$D$3:$D$16=KC52)) &lt;&gt;0,"",         _xlfn.XLOOKUP(KA$3,Entries!$B$3:$B$16,Entries!$E$3:$E$16,"Enter")="Booked",   INDEX(Entries!$B$3:$E$16,MATCH(KA$3,Entries!$B$3:$B$16,0),3),                                                    _xlfn.XLOOKUP(KA$3,Entries!$B$3:$B$16,Entries!$A$3:$A$16,"Error"),""),"")</f>
        <v/>
      </c>
      <c r="KC53" s="123" t="str" cm="1">
        <f t="array" ref="KC53">IF( ISNUMBER(MATCH(KA$3,Entries!$B$3:$B$16,0)),           _xlfn.IFS(  KA53="","",      SUMPRODUCT((Entries!$A$3:$A$16=KB52)*(Entries!$C$3:$C$16=KC52)*(Entries!$D$3:$D$16=KD52)) &lt;&gt;0,"",         _xlfn.XLOOKUP(KA$3,Entries!$B$3:$B$16,Entries!$E$3:$E$16,"Enter")="Booked",   INDEX(Entries!$B$3:$E$16,MATCH(KA$3,Entries!$B$3:$B$16,0),4),                                                    _xlfn.XLOOKUP(KA$3,Entries!$B$3:$B$16,Entries!$A$3:$A$16,"Error"),""),"")</f>
        <v/>
      </c>
      <c r="KD53" s="169" t="str" cm="1">
        <f t="array" ref="KD53">IF( ISNUMBER(MATCH(KD$3,Entries!$B$3:$B$16,0)),           _xlfn.IFS(  KD52="","",      AND(SUMPRODUCT((Entries!$A$3:$A$16=KD52)*(Entries!$C$3:$C$16=KE52)*(Entries!$D$3:$D$16=KF52)) = 0,        _xlfn.XLOOKUP(KD$3,Entries!$B$3:$B$16,Entries!$E$3:$E$16,"Enter")="Booked"),   INDEX(Entries!$B$3:$E$16,MATCH(KD$3,Entries!$B$3:$B$16,0),2),      KD52 &lt;&gt;0,""                                                ),"")</f>
        <v/>
      </c>
      <c r="KE53" s="122" t="str" cm="1">
        <f t="array" ref="KE53">IF( ISNUMBER(MATCH(KD$3,Entries!$B$3:$B$16,0)),           _xlfn.IFS(  KD53="","",      SUMPRODUCT((Entries!$A$3:$A$16=KD52)*(Entries!$C$3:$C$16=KE52)*(Entries!$D$3:$D$16=KF52)) &lt;&gt;0,"",         _xlfn.XLOOKUP(KD$3,Entries!$B$3:$B$16,Entries!$E$3:$E$16,"Enter")="Booked",   INDEX(Entries!$B$3:$E$16,MATCH(KD$3,Entries!$B$3:$B$16,0),3),                                                    _xlfn.XLOOKUP(KD$3,Entries!$B$3:$B$16,Entries!$A$3:$A$16,"Error"),""),"")</f>
        <v/>
      </c>
      <c r="KF53" s="123" t="str" cm="1">
        <f t="array" ref="KF53">IF( ISNUMBER(MATCH(KD$3,Entries!$B$3:$B$16,0)),           _xlfn.IFS(  KD53="","",      SUMPRODUCT((Entries!$A$3:$A$16=KE52)*(Entries!$C$3:$C$16=KF52)*(Entries!$D$3:$D$16=KG46)) &lt;&gt;0,"",         _xlfn.XLOOKUP(KD$3,Entries!$B$3:$B$16,Entries!$E$3:$E$16,"Enter")="Booked",   INDEX(Entries!$B$3:$E$16,MATCH(KD$3,Entries!$B$3:$B$16,0),4),                                                    _xlfn.XLOOKUP(KD$3,Entries!$B$3:$B$16,Entries!$A$3:$A$16,"Error"),""),"")</f>
        <v/>
      </c>
    </row>
    <row r="54" spans="1:292">
      <c r="A54" s="792"/>
      <c r="B54" s="124"/>
      <c r="C54" s="122"/>
      <c r="D54" s="164"/>
      <c r="E54" s="124"/>
      <c r="F54" s="793"/>
      <c r="G54" s="794"/>
      <c r="H54" s="124"/>
      <c r="I54" s="122"/>
      <c r="J54" s="164"/>
      <c r="K54" s="124"/>
      <c r="L54" s="793"/>
      <c r="M54" s="794"/>
      <c r="N54" s="138"/>
      <c r="O54" s="122"/>
      <c r="P54" s="794"/>
      <c r="Q54" s="1400">
        <v>45947</v>
      </c>
      <c r="R54" s="122">
        <v>100</v>
      </c>
      <c r="S54" s="794">
        <v>862.601</v>
      </c>
      <c r="T54" s="794"/>
      <c r="U54" s="794"/>
      <c r="V54" s="794"/>
      <c r="W54" s="138"/>
      <c r="X54" s="793"/>
      <c r="Y54" s="794"/>
      <c r="Z54" s="138"/>
      <c r="AA54" s="122"/>
      <c r="AB54" s="794"/>
      <c r="AC54" s="138"/>
      <c r="AD54" s="793"/>
      <c r="AE54" s="794"/>
      <c r="AF54" s="138"/>
      <c r="AG54" s="793"/>
      <c r="AH54" s="794"/>
      <c r="AI54" s="138"/>
      <c r="AJ54" s="793"/>
      <c r="AK54" s="794"/>
      <c r="AL54" s="138"/>
      <c r="AM54" s="793"/>
      <c r="AN54" s="794"/>
      <c r="AO54" s="124"/>
      <c r="AP54" s="793"/>
      <c r="AQ54" s="794"/>
      <c r="AR54" s="124"/>
      <c r="AS54" s="793"/>
      <c r="AT54" s="794"/>
      <c r="AU54" s="124"/>
      <c r="AV54" s="793"/>
      <c r="AW54" s="794"/>
      <c r="AX54" s="124"/>
      <c r="AY54" s="793"/>
      <c r="AZ54" s="794"/>
      <c r="BA54" s="124"/>
      <c r="BB54" s="793"/>
      <c r="BC54" s="794"/>
      <c r="BD54" s="124"/>
      <c r="BE54" s="793"/>
      <c r="BF54" s="794"/>
      <c r="BG54" s="124"/>
      <c r="BH54" s="793"/>
      <c r="BI54" s="794"/>
      <c r="BJ54" s="124"/>
      <c r="BK54" s="793"/>
      <c r="BL54" s="794"/>
      <c r="BM54" s="124"/>
      <c r="BN54" s="793"/>
      <c r="BO54" s="794"/>
      <c r="BP54" s="124"/>
      <c r="BQ54" s="793"/>
      <c r="BR54" s="794"/>
      <c r="BS54" s="124"/>
      <c r="BT54" s="793"/>
      <c r="BU54" s="794"/>
      <c r="BV54" s="124"/>
      <c r="BW54" s="122"/>
      <c r="BX54" s="164"/>
      <c r="BY54" s="124"/>
      <c r="BZ54" s="793"/>
      <c r="CA54" s="794"/>
      <c r="CB54" s="124"/>
      <c r="CC54" s="122"/>
      <c r="CD54" s="164"/>
      <c r="CE54" s="124"/>
      <c r="CF54" s="793"/>
      <c r="CG54" s="794"/>
      <c r="CH54" s="124"/>
      <c r="CI54" s="122"/>
      <c r="CJ54" s="795"/>
      <c r="CK54" s="124"/>
      <c r="CL54" s="793"/>
      <c r="CM54" s="794"/>
      <c r="CN54" s="124"/>
      <c r="CO54" s="122"/>
      <c r="CP54" s="164"/>
      <c r="CQ54" s="124"/>
      <c r="CR54" s="793"/>
      <c r="CS54" s="794"/>
      <c r="CT54" s="124"/>
      <c r="CU54" s="122"/>
      <c r="CV54" s="164"/>
      <c r="CW54" s="124"/>
      <c r="CX54" s="793"/>
      <c r="CY54" s="794"/>
      <c r="CZ54" s="124"/>
      <c r="DA54" s="122"/>
      <c r="DB54" s="164"/>
      <c r="DC54" s="124"/>
      <c r="DD54" s="793"/>
      <c r="DE54" s="796"/>
      <c r="DF54" s="124"/>
      <c r="DG54" s="122"/>
      <c r="DH54" s="795"/>
      <c r="DI54" s="124"/>
      <c r="DJ54" s="793"/>
      <c r="DK54" s="796"/>
      <c r="DL54" s="124"/>
      <c r="DM54" s="122"/>
      <c r="DN54" s="795"/>
      <c r="DO54" s="124"/>
      <c r="DP54" s="122"/>
      <c r="DQ54" s="123"/>
      <c r="DR54" s="124"/>
      <c r="DS54" s="122"/>
      <c r="DT54" s="123"/>
      <c r="DU54" s="124"/>
      <c r="DV54" s="793"/>
      <c r="DW54" s="796"/>
      <c r="DX54" s="124"/>
      <c r="DY54" s="122"/>
      <c r="DZ54" s="795"/>
      <c r="EA54" s="124"/>
      <c r="EB54" s="793"/>
      <c r="EC54" s="796"/>
      <c r="ED54" s="124"/>
      <c r="EE54" s="122"/>
      <c r="EF54" s="795"/>
      <c r="EG54" s="124"/>
      <c r="EH54" s="793"/>
      <c r="EI54" s="796"/>
      <c r="EJ54" s="124"/>
      <c r="EK54" s="122"/>
      <c r="EL54" s="123"/>
      <c r="EM54" s="124"/>
      <c r="EN54" s="122"/>
      <c r="EO54" s="795"/>
      <c r="EP54" s="124"/>
      <c r="EQ54" s="122"/>
      <c r="ER54" s="164"/>
      <c r="ES54" s="124"/>
      <c r="ET54" s="122"/>
      <c r="EU54" s="795"/>
      <c r="EV54" s="124"/>
      <c r="EW54" s="793"/>
      <c r="EX54" s="796"/>
      <c r="EY54" s="124"/>
      <c r="EZ54" s="122"/>
      <c r="FA54" s="164"/>
      <c r="FB54" s="124"/>
      <c r="FC54" s="793"/>
      <c r="FD54" s="794"/>
      <c r="FE54" s="124"/>
      <c r="FF54" s="122"/>
      <c r="FG54" s="164"/>
      <c r="FH54" s="124"/>
      <c r="FI54" s="793"/>
      <c r="FJ54" s="794"/>
      <c r="FK54" s="124"/>
      <c r="FL54" s="122"/>
      <c r="FM54" s="164"/>
      <c r="FN54" s="124"/>
      <c r="FO54" s="793"/>
      <c r="FP54" s="796"/>
      <c r="FQ54" s="124"/>
      <c r="FR54" s="122"/>
      <c r="FS54" s="164"/>
      <c r="FT54" s="124"/>
      <c r="FU54" s="793"/>
      <c r="FV54" s="794"/>
      <c r="FW54" s="124"/>
      <c r="FX54" s="122"/>
      <c r="FY54" s="164"/>
      <c r="FZ54" s="124"/>
      <c r="GA54" s="793"/>
      <c r="GB54" s="794"/>
      <c r="GC54" s="124"/>
      <c r="GD54" s="122"/>
      <c r="GE54" s="164"/>
      <c r="GF54" s="124"/>
      <c r="GG54" s="793"/>
      <c r="GH54" s="794"/>
      <c r="GI54" s="124"/>
      <c r="GJ54" s="122"/>
      <c r="GK54" s="164"/>
      <c r="GL54" s="124"/>
      <c r="GM54" s="122"/>
      <c r="GN54" s="123"/>
      <c r="GO54" s="124"/>
      <c r="GP54" s="122"/>
      <c r="GQ54" s="123"/>
      <c r="GR54" s="124"/>
      <c r="GS54" s="122"/>
      <c r="GT54" s="123"/>
      <c r="GU54" s="124"/>
      <c r="GV54" s="122"/>
      <c r="GW54" s="123"/>
      <c r="GX54" s="124"/>
      <c r="GY54" s="122"/>
      <c r="GZ54" s="795"/>
      <c r="HA54" s="124"/>
      <c r="HB54" s="793"/>
      <c r="HC54" s="796"/>
      <c r="HD54" s="124"/>
      <c r="HE54" s="122"/>
      <c r="HF54" s="796"/>
      <c r="HG54" s="138"/>
      <c r="HH54" s="793"/>
      <c r="HI54" s="796"/>
      <c r="HJ54" s="124"/>
      <c r="HK54" s="122"/>
      <c r="HL54" s="795"/>
      <c r="HM54" s="124"/>
      <c r="HN54" s="793"/>
      <c r="HO54" s="796"/>
      <c r="HP54" s="124"/>
      <c r="HQ54" s="122"/>
      <c r="HR54" s="795"/>
      <c r="HS54" s="124"/>
      <c r="HT54" s="122"/>
      <c r="HU54" s="164"/>
      <c r="HV54" s="124"/>
      <c r="HW54" s="122"/>
      <c r="HX54" s="164"/>
      <c r="HY54" s="124"/>
      <c r="HZ54" s="122"/>
      <c r="IA54" s="164"/>
      <c r="IB54" s="124"/>
      <c r="IC54" s="793"/>
      <c r="ID54" s="794"/>
      <c r="IE54" s="124"/>
      <c r="IF54" s="122"/>
      <c r="IG54" s="796"/>
      <c r="IH54" s="124"/>
      <c r="II54" s="122"/>
      <c r="IJ54" s="164"/>
      <c r="IK54" s="124"/>
      <c r="IL54" s="122"/>
      <c r="IM54" s="123"/>
      <c r="IN54" s="124"/>
      <c r="IO54" s="122"/>
      <c r="IP54" s="123"/>
      <c r="IQ54" s="124"/>
      <c r="IR54" s="122"/>
      <c r="IS54" s="123"/>
      <c r="IT54" s="124"/>
      <c r="IU54" s="122"/>
      <c r="IV54" s="123"/>
      <c r="IW54" s="124"/>
      <c r="IX54" s="122"/>
      <c r="IY54" s="123"/>
      <c r="IZ54" s="124"/>
      <c r="JA54" s="122"/>
      <c r="JB54" s="123"/>
      <c r="JC54" s="124"/>
      <c r="JD54" s="122"/>
      <c r="JE54" s="123"/>
      <c r="JF54" s="124"/>
      <c r="JG54" s="122"/>
      <c r="JH54" s="795"/>
      <c r="JI54" s="124"/>
      <c r="JJ54" s="793"/>
      <c r="JK54" s="796"/>
      <c r="JL54" s="124"/>
      <c r="JM54" s="122"/>
      <c r="JN54" s="795"/>
      <c r="JO54" s="124"/>
      <c r="JP54" s="793"/>
      <c r="JQ54" s="796"/>
      <c r="JR54" s="124"/>
      <c r="JS54" s="122"/>
      <c r="JT54" s="795"/>
      <c r="JU54" s="169" t="str" cm="1">
        <f t="array" ref="JU54">IF( ISNUMBER(MATCH(JU$3,Entries!$B$3:$B$16,0)),           _xlfn.IFS(  JU44="","",      AND(SUMPRODUCT((Entries!$A$3:$A$16=JU44)*(Entries!$C$3:$C$16=JV44)*(Entries!$D$3:$D$16=JW44)) = 0,        _xlfn.XLOOKUP(JU$3,Entries!$B$3:$B$16,Entries!$E$3:$E$16,"Enter")="Booked"),   INDEX(Entries!$B$3:$E$16,MATCH(JU$3,Entries!$B$3:$B$16,0),2),      JU44 &lt;&gt;0,""                                                ),"")</f>
        <v/>
      </c>
      <c r="JV54" s="122" t="str" cm="1">
        <f t="array" ref="JV54">IF( ISNUMBER(MATCH(JU$3,Entries!$B$3:$B$16,0)),           _xlfn.IFS(  JU54="","",      SUMPRODUCT((Entries!$A$3:$A$16=JU44)*(Entries!$C$3:$C$16=JV44)*(Entries!$D$3:$D$16=JW44)) &lt;&gt;0,"",         _xlfn.XLOOKUP(JU$3,Entries!$B$3:$B$16,Entries!$E$3:$E$16,"Enter")="Booked",   INDEX(Entries!$B$3:$E$16,MATCH(JU$3,Entries!$B$3:$B$16,0),3),                                                    _xlfn.XLOOKUP(JU$3,Entries!$B$3:$B$16,Entries!$A$3:$A$16,"Error"),""),"")</f>
        <v/>
      </c>
      <c r="JW54" s="123" t="str" cm="1">
        <f t="array" ref="JW54">IF( ISNUMBER(MATCH(JU$3,Entries!$B$3:$B$16,0)),           _xlfn.IFS(  JU54="","",      SUMPRODUCT((Entries!$A$3:$A$16=JV44)*(Entries!$C$3:$C$16=JW44)*(Entries!$D$3:$D$16=JX44)) &lt;&gt;0,"",         _xlfn.XLOOKUP(JU$3,Entries!$B$3:$B$16,Entries!$E$3:$E$16,"Enter")="Booked",   INDEX(Entries!$B$3:$E$16,MATCH(JU$3,Entries!$B$3:$B$16,0),4),                                                    _xlfn.XLOOKUP(JU$3,Entries!$B$3:$B$16,Entries!$A$3:$A$16,"Error"),""),"")</f>
        <v/>
      </c>
      <c r="JX54" s="169" t="str" cm="1">
        <f t="array" ref="JX54">IF( ISNUMBER(MATCH(JX$3,Entries!$B$3:$B$16,0)),           _xlfn.IFS(  JX44="","",      AND(SUMPRODUCT((Entries!$A$3:$A$16=JX44)*(Entries!$C$3:$C$16=JY44)*(Entries!$D$3:$D$16=JZ44)) = 0,        _xlfn.XLOOKUP(JX$3,Entries!$B$3:$B$16,Entries!$E$3:$E$16,"Enter")="Booked"),   INDEX(Entries!$B$3:$E$16,MATCH(JX$3,Entries!$B$3:$B$16,0),2),      JX44 &lt;&gt;0,""                                                ),"")</f>
        <v/>
      </c>
      <c r="JY54" s="122" t="str" cm="1">
        <f t="array" ref="JY54">IF( ISNUMBER(MATCH(JX$3,Entries!$B$3:$B$16,0)),           _xlfn.IFS(  JX54="","",      SUMPRODUCT((Entries!$A$3:$A$16=JX44)*(Entries!$C$3:$C$16=JY44)*(Entries!$D$3:$D$16=JZ44)) &lt;&gt;0,"",         _xlfn.XLOOKUP(JX$3,Entries!$B$3:$B$16,Entries!$E$3:$E$16,"Enter")="Booked",   INDEX(Entries!$B$3:$E$16,MATCH(JX$3,Entries!$B$3:$B$16,0),3),                                                    _xlfn.XLOOKUP(JX$3,Entries!$B$3:$B$16,Entries!$A$3:$A$16,"Error"),""),"")</f>
        <v/>
      </c>
      <c r="JZ54" s="123" t="str" cm="1">
        <f t="array" ref="JZ54">IF( ISNUMBER(MATCH(JX$3,Entries!$B$3:$B$16,0)),           _xlfn.IFS(  JX54="","",      SUMPRODUCT((Entries!$A$3:$A$16=JY44)*(Entries!$C$3:$C$16=JZ44)*(Entries!$D$3:$D$16=KA44)) &lt;&gt;0,"",         _xlfn.XLOOKUP(JX$3,Entries!$B$3:$B$16,Entries!$E$3:$E$16,"Enter")="Booked",   INDEX(Entries!$B$3:$E$16,MATCH(JX$3,Entries!$B$3:$B$16,0),4),                                                    _xlfn.XLOOKUP(JX$3,Entries!$B$3:$B$16,Entries!$A$3:$A$16,"Error"),""),"")</f>
        <v/>
      </c>
      <c r="KA54" s="169" t="str" cm="1">
        <f t="array" ref="KA54">IF( ISNUMBER(MATCH(KA$3,Entries!$B$3:$B$16,0)),           _xlfn.IFS(  KA44="","",      AND(SUMPRODUCT((Entries!$A$3:$A$16=KA44)*(Entries!$C$3:$C$16=KB44)*(Entries!$D$3:$D$16=KC44)) = 0,        _xlfn.XLOOKUP(KA$3,Entries!$B$3:$B$16,Entries!$E$3:$E$16,"Enter")="Booked"),   INDEX(Entries!$B$3:$E$16,MATCH(KA$3,Entries!$B$3:$B$16,0),2),      KA44 &lt;&gt;0,""                                                ),"")</f>
        <v/>
      </c>
      <c r="KB54" s="122" t="str" cm="1">
        <f t="array" ref="KB54">IF( ISNUMBER(MATCH(KA$3,Entries!$B$3:$B$16,0)),           _xlfn.IFS(  KA54="","",      SUMPRODUCT((Entries!$A$3:$A$16=KA44)*(Entries!$C$3:$C$16=KB44)*(Entries!$D$3:$D$16=KC44)) &lt;&gt;0,"",         _xlfn.XLOOKUP(KA$3,Entries!$B$3:$B$16,Entries!$E$3:$E$16,"Enter")="Booked",   INDEX(Entries!$B$3:$E$16,MATCH(KA$3,Entries!$B$3:$B$16,0),3),                                                    _xlfn.XLOOKUP(KA$3,Entries!$B$3:$B$16,Entries!$A$3:$A$16,"Error"),""),"")</f>
        <v/>
      </c>
      <c r="KC54" s="123" t="str" cm="1">
        <f t="array" ref="KC54">IF( ISNUMBER(MATCH(KA$3,Entries!$B$3:$B$16,0)),           _xlfn.IFS(  KA54="","",      SUMPRODUCT((Entries!$A$3:$A$16=KB44)*(Entries!$C$3:$C$16=KC44)*(Entries!$D$3:$D$16=KD44)) &lt;&gt;0,"",         _xlfn.XLOOKUP(KA$3,Entries!$B$3:$B$16,Entries!$E$3:$E$16,"Enter")="Booked",   INDEX(Entries!$B$3:$E$16,MATCH(KA$3,Entries!$B$3:$B$16,0),4),                                                    _xlfn.XLOOKUP(KA$3,Entries!$B$3:$B$16,Entries!$A$3:$A$16,"Error"),""),"")</f>
        <v/>
      </c>
      <c r="KD54" s="169" t="str" cm="1">
        <f t="array" ref="KD54">IF( ISNUMBER(MATCH(KD$3,Entries!$B$3:$B$16,0)),           _xlfn.IFS(  KD44="","",      AND(SUMPRODUCT((Entries!$A$3:$A$16=KD44)*(Entries!$C$3:$C$16=KE44)*(Entries!$D$3:$D$16=KF44)) = 0,        _xlfn.XLOOKUP(KD$3,Entries!$B$3:$B$16,Entries!$E$3:$E$16,"Enter")="Booked"),   INDEX(Entries!$B$3:$E$16,MATCH(KD$3,Entries!$B$3:$B$16,0),2),      KD44 &lt;&gt;0,""                                                ),"")</f>
        <v/>
      </c>
      <c r="KE54" s="122" t="str" cm="1">
        <f t="array" ref="KE54">IF( ISNUMBER(MATCH(KD$3,Entries!$B$3:$B$16,0)),           _xlfn.IFS(  KD54="","",      SUMPRODUCT((Entries!$A$3:$A$16=KD44)*(Entries!$C$3:$C$16=KE44)*(Entries!$D$3:$D$16=KF44)) &lt;&gt;0,"",         _xlfn.XLOOKUP(KD$3,Entries!$B$3:$B$16,Entries!$E$3:$E$16,"Enter")="Booked",   INDEX(Entries!$B$3:$E$16,MATCH(KD$3,Entries!$B$3:$B$16,0),3),                                                    _xlfn.XLOOKUP(KD$3,Entries!$B$3:$B$16,Entries!$A$3:$A$16,"Error"),""),"")</f>
        <v/>
      </c>
      <c r="KF54" s="123" t="str" cm="1">
        <f t="array" ref="KF54">IF( ISNUMBER(MATCH(KD$3,Entries!$B$3:$B$16,0)),           _xlfn.IFS(  KD54="","",      SUMPRODUCT((Entries!$A$3:$A$16=KE44)*(Entries!$C$3:$C$16=KF44)*(Entries!$D$3:$D$16=KG42)) &lt;&gt;0,"",         _xlfn.XLOOKUP(KD$3,Entries!$B$3:$B$16,Entries!$E$3:$E$16,"Enter")="Booked",   INDEX(Entries!$B$3:$E$16,MATCH(KD$3,Entries!$B$3:$B$16,0),4),                                                    _xlfn.XLOOKUP(KD$3,Entries!$B$3:$B$16,Entries!$A$3:$A$16,"Error"),""),"")</f>
        <v/>
      </c>
    </row>
    <row r="55" spans="1:292">
      <c r="A55" s="792"/>
      <c r="B55" s="124"/>
      <c r="C55" s="122"/>
      <c r="D55" s="164"/>
      <c r="E55" s="124"/>
      <c r="F55" s="793"/>
      <c r="G55" s="794"/>
      <c r="H55" s="124"/>
      <c r="I55" s="122"/>
      <c r="J55" s="164"/>
      <c r="K55" s="124"/>
      <c r="L55" s="793"/>
      <c r="M55" s="794"/>
      <c r="N55" s="138"/>
      <c r="O55" s="122"/>
      <c r="P55" s="794"/>
      <c r="Q55" s="1400">
        <v>45954</v>
      </c>
      <c r="R55" s="122">
        <v>100</v>
      </c>
      <c r="S55" s="794">
        <v>894.75</v>
      </c>
      <c r="T55" s="794"/>
      <c r="U55" s="794"/>
      <c r="V55" s="794"/>
      <c r="W55" s="138"/>
      <c r="X55" s="793"/>
      <c r="Y55" s="794"/>
      <c r="Z55" s="138"/>
      <c r="AA55" s="122"/>
      <c r="AB55" s="794"/>
      <c r="AC55" s="138"/>
      <c r="AD55" s="793"/>
      <c r="AE55" s="794"/>
      <c r="AF55" s="138"/>
      <c r="AG55" s="793"/>
      <c r="AH55" s="794"/>
      <c r="AI55" s="138"/>
      <c r="AJ55" s="793"/>
      <c r="AK55" s="794"/>
      <c r="AL55" s="138"/>
      <c r="AM55" s="793"/>
      <c r="AN55" s="794"/>
      <c r="AO55" s="124"/>
      <c r="AP55" s="793"/>
      <c r="AQ55" s="794"/>
      <c r="AR55" s="124"/>
      <c r="AS55" s="793"/>
      <c r="AT55" s="794"/>
      <c r="AU55" s="124"/>
      <c r="AV55" s="793"/>
      <c r="AW55" s="794"/>
      <c r="AX55" s="124"/>
      <c r="AY55" s="793"/>
      <c r="AZ55" s="794"/>
      <c r="BA55" s="124"/>
      <c r="BB55" s="793"/>
      <c r="BC55" s="794"/>
      <c r="BD55" s="124"/>
      <c r="BE55" s="793"/>
      <c r="BF55" s="794"/>
      <c r="BG55" s="124"/>
      <c r="BH55" s="793"/>
      <c r="BI55" s="794"/>
      <c r="BJ55" s="124"/>
      <c r="BK55" s="793"/>
      <c r="BL55" s="794"/>
      <c r="BM55" s="124"/>
      <c r="BN55" s="793"/>
      <c r="BO55" s="794"/>
      <c r="BP55" s="124"/>
      <c r="BQ55" s="793"/>
      <c r="BR55" s="794"/>
      <c r="BS55" s="124"/>
      <c r="BT55" s="793"/>
      <c r="BU55" s="794"/>
      <c r="BV55" s="124"/>
      <c r="BW55" s="122"/>
      <c r="BX55" s="164"/>
      <c r="BY55" s="124"/>
      <c r="BZ55" s="793"/>
      <c r="CA55" s="794"/>
      <c r="CB55" s="124"/>
      <c r="CC55" s="122"/>
      <c r="CD55" s="164"/>
      <c r="CE55" s="124"/>
      <c r="CF55" s="793"/>
      <c r="CG55" s="794"/>
      <c r="CH55" s="124"/>
      <c r="CI55" s="122"/>
      <c r="CJ55" s="795"/>
      <c r="CK55" s="124"/>
      <c r="CL55" s="793"/>
      <c r="CM55" s="794"/>
      <c r="CN55" s="124"/>
      <c r="CO55" s="122"/>
      <c r="CP55" s="164"/>
      <c r="CQ55" s="124"/>
      <c r="CR55" s="793"/>
      <c r="CS55" s="794"/>
      <c r="CT55" s="124"/>
      <c r="CU55" s="122"/>
      <c r="CV55" s="164"/>
      <c r="CW55" s="124"/>
      <c r="CX55" s="793"/>
      <c r="CY55" s="794"/>
      <c r="CZ55" s="124"/>
      <c r="DA55" s="122"/>
      <c r="DB55" s="164"/>
      <c r="DC55" s="124"/>
      <c r="DD55" s="793"/>
      <c r="DE55" s="796"/>
      <c r="DF55" s="124"/>
      <c r="DG55" s="122"/>
      <c r="DH55" s="795"/>
      <c r="DI55" s="124"/>
      <c r="DJ55" s="793"/>
      <c r="DK55" s="796"/>
      <c r="DL55" s="124"/>
      <c r="DM55" s="122"/>
      <c r="DN55" s="795"/>
      <c r="DO55" s="124"/>
      <c r="DP55" s="122"/>
      <c r="DQ55" s="123"/>
      <c r="DR55" s="124"/>
      <c r="DS55" s="122"/>
      <c r="DT55" s="123"/>
      <c r="DU55" s="124"/>
      <c r="DV55" s="793"/>
      <c r="DW55" s="796"/>
      <c r="DX55" s="124"/>
      <c r="DY55" s="122"/>
      <c r="DZ55" s="795"/>
      <c r="EA55" s="124"/>
      <c r="EB55" s="793"/>
      <c r="EC55" s="796"/>
      <c r="ED55" s="124"/>
      <c r="EE55" s="122"/>
      <c r="EF55" s="795"/>
      <c r="EG55" s="124"/>
      <c r="EH55" s="793"/>
      <c r="EI55" s="796"/>
      <c r="EJ55" s="124"/>
      <c r="EK55" s="122"/>
      <c r="EL55" s="123"/>
      <c r="EM55" s="124"/>
      <c r="EN55" s="122"/>
      <c r="EO55" s="795"/>
      <c r="EP55" s="124"/>
      <c r="EQ55" s="122"/>
      <c r="ER55" s="164"/>
      <c r="ES55" s="124"/>
      <c r="ET55" s="122"/>
      <c r="EU55" s="795"/>
      <c r="EV55" s="124"/>
      <c r="EW55" s="793"/>
      <c r="EX55" s="796"/>
      <c r="EY55" s="124"/>
      <c r="EZ55" s="122"/>
      <c r="FA55" s="164"/>
      <c r="FB55" s="124"/>
      <c r="FC55" s="793"/>
      <c r="FD55" s="794"/>
      <c r="FE55" s="124"/>
      <c r="FF55" s="122"/>
      <c r="FG55" s="164"/>
      <c r="FH55" s="124"/>
      <c r="FI55" s="793"/>
      <c r="FJ55" s="794"/>
      <c r="FK55" s="124"/>
      <c r="FL55" s="122"/>
      <c r="FM55" s="164"/>
      <c r="FN55" s="124"/>
      <c r="FO55" s="793"/>
      <c r="FP55" s="796"/>
      <c r="FQ55" s="124"/>
      <c r="FR55" s="122"/>
      <c r="FS55" s="164"/>
      <c r="FT55" s="124"/>
      <c r="FU55" s="793"/>
      <c r="FV55" s="794"/>
      <c r="FW55" s="124"/>
      <c r="FX55" s="122"/>
      <c r="FY55" s="164"/>
      <c r="FZ55" s="124"/>
      <c r="GA55" s="793"/>
      <c r="GB55" s="794"/>
      <c r="GC55" s="124"/>
      <c r="GD55" s="122"/>
      <c r="GE55" s="164"/>
      <c r="GF55" s="124"/>
      <c r="GG55" s="793"/>
      <c r="GH55" s="794"/>
      <c r="GI55" s="124"/>
      <c r="GJ55" s="122"/>
      <c r="GK55" s="164"/>
      <c r="GL55" s="124"/>
      <c r="GM55" s="122"/>
      <c r="GN55" s="123"/>
      <c r="GO55" s="124"/>
      <c r="GP55" s="122"/>
      <c r="GQ55" s="123"/>
      <c r="GR55" s="124"/>
      <c r="GS55" s="122"/>
      <c r="GT55" s="123"/>
      <c r="GU55" s="124"/>
      <c r="GV55" s="122"/>
      <c r="GW55" s="123"/>
      <c r="GX55" s="124"/>
      <c r="GY55" s="122"/>
      <c r="GZ55" s="795"/>
      <c r="HA55" s="124"/>
      <c r="HB55" s="793"/>
      <c r="HC55" s="796"/>
      <c r="HD55" s="124"/>
      <c r="HE55" s="122"/>
      <c r="HF55" s="796"/>
      <c r="HG55" s="138"/>
      <c r="HH55" s="793"/>
      <c r="HI55" s="796"/>
      <c r="HJ55" s="124"/>
      <c r="HK55" s="122"/>
      <c r="HL55" s="795"/>
      <c r="HM55" s="124"/>
      <c r="HN55" s="793"/>
      <c r="HO55" s="796"/>
      <c r="HP55" s="124"/>
      <c r="HQ55" s="122"/>
      <c r="HR55" s="795"/>
      <c r="HS55" s="124"/>
      <c r="HT55" s="122"/>
      <c r="HU55" s="164"/>
      <c r="HV55" s="124"/>
      <c r="HW55" s="122"/>
      <c r="HX55" s="164"/>
      <c r="HY55" s="124"/>
      <c r="HZ55" s="122"/>
      <c r="IA55" s="164"/>
      <c r="IB55" s="124"/>
      <c r="IC55" s="793"/>
      <c r="ID55" s="794"/>
      <c r="IE55" s="124"/>
      <c r="IF55" s="122"/>
      <c r="IG55" s="796"/>
      <c r="IH55" s="124"/>
      <c r="II55" s="122"/>
      <c r="IJ55" s="164"/>
      <c r="IK55" s="124"/>
      <c r="IL55" s="122"/>
      <c r="IM55" s="123"/>
      <c r="IN55" s="124"/>
      <c r="IO55" s="122"/>
      <c r="IP55" s="123"/>
      <c r="IQ55" s="124"/>
      <c r="IR55" s="122"/>
      <c r="IS55" s="123"/>
      <c r="IT55" s="124"/>
      <c r="IU55" s="122"/>
      <c r="IV55" s="123"/>
      <c r="IW55" s="124"/>
      <c r="IX55" s="122"/>
      <c r="IY55" s="123"/>
      <c r="IZ55" s="124"/>
      <c r="JA55" s="122"/>
      <c r="JB55" s="123"/>
      <c r="JC55" s="124"/>
      <c r="JD55" s="122"/>
      <c r="JE55" s="123"/>
      <c r="JF55" s="124"/>
      <c r="JG55" s="122"/>
      <c r="JH55" s="795"/>
      <c r="JI55" s="124"/>
      <c r="JJ55" s="793"/>
      <c r="JK55" s="796"/>
      <c r="JL55" s="124"/>
      <c r="JM55" s="122"/>
      <c r="JN55" s="795"/>
      <c r="JO55" s="124"/>
      <c r="JP55" s="793"/>
      <c r="JQ55" s="796"/>
      <c r="JR55" s="124"/>
      <c r="JS55" s="122"/>
      <c r="JT55" s="795"/>
      <c r="JU55" s="169" t="str" cm="1">
        <f t="array" ref="JU55">IF( ISNUMBER(MATCH(JU$3,Entries!$B$3:$B$16,0)),           _xlfn.IFS(  JU54="","",      AND(SUMPRODUCT((Entries!$A$3:$A$16=JU54)*(Entries!$C$3:$C$16=JV54)*(Entries!$D$3:$D$16=JW54)) = 0,        _xlfn.XLOOKUP(JU$3,Entries!$B$3:$B$16,Entries!$E$3:$E$16,"Enter")="Booked"),   INDEX(Entries!$B$3:$E$16,MATCH(JU$3,Entries!$B$3:$B$16,0),2),      JU54 &lt;&gt;0,""                                                ),"")</f>
        <v/>
      </c>
      <c r="JV55" s="122" t="str" cm="1">
        <f t="array" ref="JV55">IF( ISNUMBER(MATCH(JU$3,Entries!$B$3:$B$16,0)),           _xlfn.IFS(  JU55="","",      SUMPRODUCT((Entries!$A$3:$A$16=JU54)*(Entries!$C$3:$C$16=JV54)*(Entries!$D$3:$D$16=JW54)) &lt;&gt;0,"",         _xlfn.XLOOKUP(JU$3,Entries!$B$3:$B$16,Entries!$E$3:$E$16,"Enter")="Booked",   INDEX(Entries!$B$3:$E$16,MATCH(JU$3,Entries!$B$3:$B$16,0),3),                                                    _xlfn.XLOOKUP(JU$3,Entries!$B$3:$B$16,Entries!$A$3:$A$16,"Error"),""),"")</f>
        <v/>
      </c>
      <c r="JW55" s="123" t="str" cm="1">
        <f t="array" ref="JW55">IF( ISNUMBER(MATCH(JU$3,Entries!$B$3:$B$16,0)),           _xlfn.IFS(  JU55="","",      SUMPRODUCT((Entries!$A$3:$A$16=JV54)*(Entries!$C$3:$C$16=JW54)*(Entries!$D$3:$D$16=JX54)) &lt;&gt;0,"",         _xlfn.XLOOKUP(JU$3,Entries!$B$3:$B$16,Entries!$E$3:$E$16,"Enter")="Booked",   INDEX(Entries!$B$3:$E$16,MATCH(JU$3,Entries!$B$3:$B$16,0),4),                                                    _xlfn.XLOOKUP(JU$3,Entries!$B$3:$B$16,Entries!$A$3:$A$16,"Error"),""),"")</f>
        <v/>
      </c>
      <c r="JX55" s="169" t="str" cm="1">
        <f t="array" ref="JX55">IF( ISNUMBER(MATCH(JX$3,Entries!$B$3:$B$16,0)),           _xlfn.IFS(  JX54="","",      AND(SUMPRODUCT((Entries!$A$3:$A$16=JX54)*(Entries!$C$3:$C$16=JY54)*(Entries!$D$3:$D$16=JZ54)) = 0,        _xlfn.XLOOKUP(JX$3,Entries!$B$3:$B$16,Entries!$E$3:$E$16,"Enter")="Booked"),   INDEX(Entries!$B$3:$E$16,MATCH(JX$3,Entries!$B$3:$B$16,0),2),      JX54 &lt;&gt;0,""                                                ),"")</f>
        <v/>
      </c>
      <c r="JY55" s="122" t="str" cm="1">
        <f t="array" ref="JY55">IF( ISNUMBER(MATCH(JX$3,Entries!$B$3:$B$16,0)),           _xlfn.IFS(  JX55="","",      SUMPRODUCT((Entries!$A$3:$A$16=JX54)*(Entries!$C$3:$C$16=JY54)*(Entries!$D$3:$D$16=JZ54)) &lt;&gt;0,"",         _xlfn.XLOOKUP(JX$3,Entries!$B$3:$B$16,Entries!$E$3:$E$16,"Enter")="Booked",   INDEX(Entries!$B$3:$E$16,MATCH(JX$3,Entries!$B$3:$B$16,0),3),                                                    _xlfn.XLOOKUP(JX$3,Entries!$B$3:$B$16,Entries!$A$3:$A$16,"Error"),""),"")</f>
        <v/>
      </c>
      <c r="JZ55" s="123" t="str" cm="1">
        <f t="array" ref="JZ55">IF( ISNUMBER(MATCH(JX$3,Entries!$B$3:$B$16,0)),           _xlfn.IFS(  JX55="","",      SUMPRODUCT((Entries!$A$3:$A$16=JY54)*(Entries!$C$3:$C$16=JZ54)*(Entries!$D$3:$D$16=KA54)) &lt;&gt;0,"",         _xlfn.XLOOKUP(JX$3,Entries!$B$3:$B$16,Entries!$E$3:$E$16,"Enter")="Booked",   INDEX(Entries!$B$3:$E$16,MATCH(JX$3,Entries!$B$3:$B$16,0),4),                                                    _xlfn.XLOOKUP(JX$3,Entries!$B$3:$B$16,Entries!$A$3:$A$16,"Error"),""),"")</f>
        <v/>
      </c>
      <c r="KA55" s="169" t="str" cm="1">
        <f t="array" ref="KA55">IF( ISNUMBER(MATCH(KA$3,Entries!$B$3:$B$16,0)),           _xlfn.IFS(  KA54="","",      AND(SUMPRODUCT((Entries!$A$3:$A$16=KA54)*(Entries!$C$3:$C$16=KB54)*(Entries!$D$3:$D$16=KC54)) = 0,        _xlfn.XLOOKUP(KA$3,Entries!$B$3:$B$16,Entries!$E$3:$E$16,"Enter")="Booked"),   INDEX(Entries!$B$3:$E$16,MATCH(KA$3,Entries!$B$3:$B$16,0),2),      KA54 &lt;&gt;0,""                                                ),"")</f>
        <v/>
      </c>
      <c r="KB55" s="122" t="str" cm="1">
        <f t="array" ref="KB55">IF( ISNUMBER(MATCH(KA$3,Entries!$B$3:$B$16,0)),           _xlfn.IFS(  KA55="","",      SUMPRODUCT((Entries!$A$3:$A$16=KA54)*(Entries!$C$3:$C$16=KB54)*(Entries!$D$3:$D$16=KC54)) &lt;&gt;0,"",         _xlfn.XLOOKUP(KA$3,Entries!$B$3:$B$16,Entries!$E$3:$E$16,"Enter")="Booked",   INDEX(Entries!$B$3:$E$16,MATCH(KA$3,Entries!$B$3:$B$16,0),3),                                                    _xlfn.XLOOKUP(KA$3,Entries!$B$3:$B$16,Entries!$A$3:$A$16,"Error"),""),"")</f>
        <v/>
      </c>
      <c r="KC55" s="123" t="str" cm="1">
        <f t="array" ref="KC55">IF( ISNUMBER(MATCH(KA$3,Entries!$B$3:$B$16,0)),           _xlfn.IFS(  KA55="","",      SUMPRODUCT((Entries!$A$3:$A$16=KB54)*(Entries!$C$3:$C$16=KC54)*(Entries!$D$3:$D$16=KD54)) &lt;&gt;0,"",         _xlfn.XLOOKUP(KA$3,Entries!$B$3:$B$16,Entries!$E$3:$E$16,"Enter")="Booked",   INDEX(Entries!$B$3:$E$16,MATCH(KA$3,Entries!$B$3:$B$16,0),4),                                                    _xlfn.XLOOKUP(KA$3,Entries!$B$3:$B$16,Entries!$A$3:$A$16,"Error"),""),"")</f>
        <v/>
      </c>
      <c r="KD55" s="169" t="str" cm="1">
        <f t="array" ref="KD55">IF( ISNUMBER(MATCH(KD$3,Entries!$B$3:$B$16,0)),           _xlfn.IFS(  KD54="","",      AND(SUMPRODUCT((Entries!$A$3:$A$16=KD54)*(Entries!$C$3:$C$16=KE54)*(Entries!$D$3:$D$16=KF54)) = 0,        _xlfn.XLOOKUP(KD$3,Entries!$B$3:$B$16,Entries!$E$3:$E$16,"Enter")="Booked"),   INDEX(Entries!$B$3:$E$16,MATCH(KD$3,Entries!$B$3:$B$16,0),2),      KD54 &lt;&gt;0,""                                                ),"")</f>
        <v/>
      </c>
      <c r="KE55" s="122" t="str" cm="1">
        <f t="array" ref="KE55">IF( ISNUMBER(MATCH(KD$3,Entries!$B$3:$B$16,0)),           _xlfn.IFS(  KD55="","",      SUMPRODUCT((Entries!$A$3:$A$16=KD54)*(Entries!$C$3:$C$16=KE54)*(Entries!$D$3:$D$16=KF54)) &lt;&gt;0,"",         _xlfn.XLOOKUP(KD$3,Entries!$B$3:$B$16,Entries!$E$3:$E$16,"Enter")="Booked",   INDEX(Entries!$B$3:$E$16,MATCH(KD$3,Entries!$B$3:$B$16,0),3),                                                    _xlfn.XLOOKUP(KD$3,Entries!$B$3:$B$16,Entries!$A$3:$A$16,"Error"),""),"")</f>
        <v/>
      </c>
      <c r="KF55" s="123" t="str" cm="1">
        <f t="array" ref="KF55">IF( ISNUMBER(MATCH(KD$3,Entries!$B$3:$B$16,0)),           _xlfn.IFS(  KD55="","",      SUMPRODUCT((Entries!$A$3:$A$16=KE54)*(Entries!$C$3:$C$16=KF54)*(Entries!$D$3:$D$16=KG45)) &lt;&gt;0,"",         _xlfn.XLOOKUP(KD$3,Entries!$B$3:$B$16,Entries!$E$3:$E$16,"Enter")="Booked",   INDEX(Entries!$B$3:$E$16,MATCH(KD$3,Entries!$B$3:$B$16,0),4),                                                    _xlfn.XLOOKUP(KD$3,Entries!$B$3:$B$16,Entries!$A$3:$A$16,"Error"),""),"")</f>
        <v/>
      </c>
    </row>
    <row r="56" spans="1:292">
      <c r="A56" s="792"/>
      <c r="B56" s="124"/>
      <c r="C56" s="122"/>
      <c r="D56" s="164"/>
      <c r="E56" s="124"/>
      <c r="F56" s="793"/>
      <c r="G56" s="794"/>
      <c r="H56" s="124"/>
      <c r="I56" s="122"/>
      <c r="J56" s="164"/>
      <c r="K56" s="124"/>
      <c r="L56" s="793"/>
      <c r="M56" s="794"/>
      <c r="N56" s="138"/>
      <c r="O56" s="122"/>
      <c r="P56" s="794"/>
      <c r="Q56" s="138"/>
      <c r="R56" s="122"/>
      <c r="S56" s="794"/>
      <c r="T56" s="794"/>
      <c r="U56" s="794"/>
      <c r="V56" s="794"/>
      <c r="W56" s="138"/>
      <c r="X56" s="793"/>
      <c r="Y56" s="794"/>
      <c r="Z56" s="138"/>
      <c r="AA56" s="122"/>
      <c r="AB56" s="794"/>
      <c r="AC56" s="138"/>
      <c r="AD56" s="793"/>
      <c r="AE56" s="794"/>
      <c r="AF56" s="138"/>
      <c r="AG56" s="793"/>
      <c r="AH56" s="794"/>
      <c r="AI56" s="138"/>
      <c r="AJ56" s="793"/>
      <c r="AK56" s="794"/>
      <c r="AL56" s="138"/>
      <c r="AM56" s="793"/>
      <c r="AN56" s="794"/>
      <c r="AO56" s="124"/>
      <c r="AP56" s="793"/>
      <c r="AQ56" s="794"/>
      <c r="AR56" s="124"/>
      <c r="AS56" s="793"/>
      <c r="AT56" s="794"/>
      <c r="AU56" s="124"/>
      <c r="AV56" s="793"/>
      <c r="AW56" s="794"/>
      <c r="AX56" s="124"/>
      <c r="AY56" s="793"/>
      <c r="AZ56" s="794"/>
      <c r="BA56" s="124"/>
      <c r="BB56" s="793"/>
      <c r="BC56" s="794"/>
      <c r="BD56" s="124"/>
      <c r="BE56" s="793"/>
      <c r="BF56" s="794"/>
      <c r="BG56" s="124"/>
      <c r="BH56" s="793"/>
      <c r="BI56" s="794"/>
      <c r="BJ56" s="124"/>
      <c r="BK56" s="793"/>
      <c r="BL56" s="794"/>
      <c r="BM56" s="124"/>
      <c r="BN56" s="793"/>
      <c r="BO56" s="794"/>
      <c r="BP56" s="124"/>
      <c r="BQ56" s="793"/>
      <c r="BR56" s="794"/>
      <c r="BS56" s="124"/>
      <c r="BT56" s="793"/>
      <c r="BU56" s="794"/>
      <c r="BV56" s="124"/>
      <c r="BW56" s="122"/>
      <c r="BX56" s="164"/>
      <c r="BY56" s="124"/>
      <c r="BZ56" s="793"/>
      <c r="CA56" s="794"/>
      <c r="CB56" s="124"/>
      <c r="CC56" s="122"/>
      <c r="CD56" s="164"/>
      <c r="CE56" s="124"/>
      <c r="CF56" s="793"/>
      <c r="CG56" s="794"/>
      <c r="CH56" s="124"/>
      <c r="CI56" s="122"/>
      <c r="CJ56" s="795"/>
      <c r="CK56" s="124"/>
      <c r="CL56" s="793"/>
      <c r="CM56" s="794"/>
      <c r="CN56" s="124"/>
      <c r="CO56" s="122"/>
      <c r="CP56" s="164"/>
      <c r="CQ56" s="124"/>
      <c r="CR56" s="793"/>
      <c r="CS56" s="794"/>
      <c r="CT56" s="124"/>
      <c r="CU56" s="122"/>
      <c r="CV56" s="164"/>
      <c r="CW56" s="124"/>
      <c r="CX56" s="793"/>
      <c r="CY56" s="794"/>
      <c r="CZ56" s="124"/>
      <c r="DA56" s="122"/>
      <c r="DB56" s="164"/>
      <c r="DC56" s="124"/>
      <c r="DD56" s="793"/>
      <c r="DE56" s="796"/>
      <c r="DF56" s="124"/>
      <c r="DG56" s="122"/>
      <c r="DH56" s="795"/>
      <c r="DI56" s="124"/>
      <c r="DJ56" s="793"/>
      <c r="DK56" s="796"/>
      <c r="DL56" s="124"/>
      <c r="DM56" s="122"/>
      <c r="DN56" s="795"/>
      <c r="DO56" s="124"/>
      <c r="DP56" s="122"/>
      <c r="DQ56" s="123"/>
      <c r="DR56" s="124"/>
      <c r="DS56" s="122"/>
      <c r="DT56" s="123"/>
      <c r="DU56" s="124"/>
      <c r="DV56" s="793"/>
      <c r="DW56" s="796"/>
      <c r="DX56" s="124"/>
      <c r="DY56" s="122"/>
      <c r="DZ56" s="795"/>
      <c r="EA56" s="124"/>
      <c r="EB56" s="793"/>
      <c r="EC56" s="796"/>
      <c r="ED56" s="124"/>
      <c r="EE56" s="122"/>
      <c r="EF56" s="795"/>
      <c r="EG56" s="124"/>
      <c r="EH56" s="793"/>
      <c r="EI56" s="796"/>
      <c r="EJ56" s="124"/>
      <c r="EK56" s="122"/>
      <c r="EL56" s="123"/>
      <c r="EM56" s="124"/>
      <c r="EN56" s="122"/>
      <c r="EO56" s="795"/>
      <c r="EP56" s="124"/>
      <c r="EQ56" s="122"/>
      <c r="ER56" s="164"/>
      <c r="ES56" s="124"/>
      <c r="ET56" s="122"/>
      <c r="EU56" s="795"/>
      <c r="EV56" s="124"/>
      <c r="EW56" s="793"/>
      <c r="EX56" s="796"/>
      <c r="EY56" s="124"/>
      <c r="EZ56" s="122"/>
      <c r="FA56" s="164"/>
      <c r="FB56" s="124"/>
      <c r="FC56" s="793"/>
      <c r="FD56" s="794"/>
      <c r="FE56" s="124"/>
      <c r="FF56" s="122"/>
      <c r="FG56" s="164"/>
      <c r="FH56" s="124"/>
      <c r="FI56" s="793"/>
      <c r="FJ56" s="794"/>
      <c r="FK56" s="124"/>
      <c r="FL56" s="122"/>
      <c r="FM56" s="164"/>
      <c r="FN56" s="124"/>
      <c r="FO56" s="793"/>
      <c r="FP56" s="796"/>
      <c r="FQ56" s="124"/>
      <c r="FR56" s="122"/>
      <c r="FS56" s="164"/>
      <c r="FT56" s="124"/>
      <c r="FU56" s="793"/>
      <c r="FV56" s="794"/>
      <c r="FW56" s="124"/>
      <c r="FX56" s="122"/>
      <c r="FY56" s="164"/>
      <c r="FZ56" s="124"/>
      <c r="GA56" s="793"/>
      <c r="GB56" s="794"/>
      <c r="GC56" s="124"/>
      <c r="GD56" s="122"/>
      <c r="GE56" s="164"/>
      <c r="GF56" s="124"/>
      <c r="GG56" s="793"/>
      <c r="GH56" s="794"/>
      <c r="GI56" s="124"/>
      <c r="GJ56" s="122"/>
      <c r="GK56" s="164"/>
      <c r="GL56" s="124"/>
      <c r="GM56" s="122"/>
      <c r="GN56" s="123"/>
      <c r="GO56" s="124"/>
      <c r="GP56" s="122"/>
      <c r="GQ56" s="123"/>
      <c r="GR56" s="124"/>
      <c r="GS56" s="122"/>
      <c r="GT56" s="123"/>
      <c r="GU56" s="124"/>
      <c r="GV56" s="122"/>
      <c r="GW56" s="123"/>
      <c r="GX56" s="124"/>
      <c r="GY56" s="122"/>
      <c r="GZ56" s="795"/>
      <c r="HA56" s="124"/>
      <c r="HB56" s="793"/>
      <c r="HC56" s="796"/>
      <c r="HD56" s="124"/>
      <c r="HE56" s="122"/>
      <c r="HF56" s="796"/>
      <c r="HG56" s="138"/>
      <c r="HH56" s="793"/>
      <c r="HI56" s="796"/>
      <c r="HJ56" s="124"/>
      <c r="HK56" s="122"/>
      <c r="HL56" s="795"/>
      <c r="HM56" s="124"/>
      <c r="HN56" s="793"/>
      <c r="HO56" s="796"/>
      <c r="HP56" s="124"/>
      <c r="HQ56" s="122"/>
      <c r="HR56" s="795"/>
      <c r="HS56" s="124"/>
      <c r="HT56" s="122"/>
      <c r="HU56" s="164"/>
      <c r="HV56" s="124"/>
      <c r="HW56" s="122"/>
      <c r="HX56" s="164"/>
      <c r="HY56" s="124"/>
      <c r="HZ56" s="122"/>
      <c r="IA56" s="164"/>
      <c r="IB56" s="124"/>
      <c r="IC56" s="793"/>
      <c r="ID56" s="794"/>
      <c r="IE56" s="124"/>
      <c r="IF56" s="122"/>
      <c r="IG56" s="796"/>
      <c r="IH56" s="124"/>
      <c r="II56" s="122"/>
      <c r="IJ56" s="164"/>
      <c r="IK56" s="124"/>
      <c r="IL56" s="122"/>
      <c r="IM56" s="123"/>
      <c r="IN56" s="124"/>
      <c r="IO56" s="122"/>
      <c r="IP56" s="123"/>
      <c r="IQ56" s="124"/>
      <c r="IR56" s="122"/>
      <c r="IS56" s="123"/>
      <c r="IT56" s="124"/>
      <c r="IU56" s="122"/>
      <c r="IV56" s="123"/>
      <c r="IW56" s="124"/>
      <c r="IX56" s="122"/>
      <c r="IY56" s="123"/>
      <c r="IZ56" s="124"/>
      <c r="JA56" s="122"/>
      <c r="JB56" s="123"/>
      <c r="JC56" s="124"/>
      <c r="JD56" s="122"/>
      <c r="JE56" s="123"/>
      <c r="JF56" s="124"/>
      <c r="JG56" s="122"/>
      <c r="JH56" s="795"/>
      <c r="JI56" s="124"/>
      <c r="JJ56" s="793"/>
      <c r="JK56" s="796"/>
      <c r="JL56" s="124"/>
      <c r="JM56" s="122"/>
      <c r="JN56" s="795"/>
      <c r="JO56" s="124"/>
      <c r="JP56" s="793"/>
      <c r="JQ56" s="796"/>
      <c r="JR56" s="124"/>
      <c r="JS56" s="122"/>
      <c r="JT56" s="795"/>
      <c r="JU56" s="169" t="str" cm="1">
        <f t="array" ref="JU56">IF( ISNUMBER(MATCH(JU$3,Entries!$B$3:$B$16,0)),           _xlfn.IFS(  JU55="","",      AND(SUMPRODUCT((Entries!$A$3:$A$16=JU55)*(Entries!$C$3:$C$16=JV55)*(Entries!$D$3:$D$16=JW55)) = 0,        _xlfn.XLOOKUP(JU$3,Entries!$B$3:$B$16,Entries!$E$3:$E$16,"Enter")="Booked"),   INDEX(Entries!$B$3:$E$16,MATCH(JU$3,Entries!$B$3:$B$16,0),2),      JU55 &lt;&gt;0,""                                                ),"")</f>
        <v/>
      </c>
      <c r="JV56" s="122" t="str" cm="1">
        <f t="array" ref="JV56">IF( ISNUMBER(MATCH(JU$3,Entries!$B$3:$B$16,0)),           _xlfn.IFS(  JU56="","",      SUMPRODUCT((Entries!$A$3:$A$16=JU55)*(Entries!$C$3:$C$16=JV55)*(Entries!$D$3:$D$16=JW55)) &lt;&gt;0,"",         _xlfn.XLOOKUP(JU$3,Entries!$B$3:$B$16,Entries!$E$3:$E$16,"Enter")="Booked",   INDEX(Entries!$B$3:$E$16,MATCH(JU$3,Entries!$B$3:$B$16,0),3),                                                    _xlfn.XLOOKUP(JU$3,Entries!$B$3:$B$16,Entries!$A$3:$A$16,"Error"),""),"")</f>
        <v/>
      </c>
      <c r="JW56" s="123" t="str" cm="1">
        <f t="array" ref="JW56">IF( ISNUMBER(MATCH(JU$3,Entries!$B$3:$B$16,0)),           _xlfn.IFS(  JU56="","",      SUMPRODUCT((Entries!$A$3:$A$16=JV55)*(Entries!$C$3:$C$16=JW55)*(Entries!$D$3:$D$16=JX55)) &lt;&gt;0,"",         _xlfn.XLOOKUP(JU$3,Entries!$B$3:$B$16,Entries!$E$3:$E$16,"Enter")="Booked",   INDEX(Entries!$B$3:$E$16,MATCH(JU$3,Entries!$B$3:$B$16,0),4),                                                    _xlfn.XLOOKUP(JU$3,Entries!$B$3:$B$16,Entries!$A$3:$A$16,"Error"),""),"")</f>
        <v/>
      </c>
      <c r="JX56" s="169" t="str" cm="1">
        <f t="array" ref="JX56">IF( ISNUMBER(MATCH(JX$3,Entries!$B$3:$B$16,0)),           _xlfn.IFS(  JX55="","",      AND(SUMPRODUCT((Entries!$A$3:$A$16=JX55)*(Entries!$C$3:$C$16=JY55)*(Entries!$D$3:$D$16=JZ55)) = 0,        _xlfn.XLOOKUP(JX$3,Entries!$B$3:$B$16,Entries!$E$3:$E$16,"Enter")="Booked"),   INDEX(Entries!$B$3:$E$16,MATCH(JX$3,Entries!$B$3:$B$16,0),2),      JX55 &lt;&gt;0,""                                                ),"")</f>
        <v/>
      </c>
      <c r="JY56" s="122" t="str" cm="1">
        <f t="array" ref="JY56">IF( ISNUMBER(MATCH(JX$3,Entries!$B$3:$B$16,0)),           _xlfn.IFS(  JX56="","",      SUMPRODUCT((Entries!$A$3:$A$16=JX55)*(Entries!$C$3:$C$16=JY55)*(Entries!$D$3:$D$16=JZ55)) &lt;&gt;0,"",         _xlfn.XLOOKUP(JX$3,Entries!$B$3:$B$16,Entries!$E$3:$E$16,"Enter")="Booked",   INDEX(Entries!$B$3:$E$16,MATCH(JX$3,Entries!$B$3:$B$16,0),3),                                                    _xlfn.XLOOKUP(JX$3,Entries!$B$3:$B$16,Entries!$A$3:$A$16,"Error"),""),"")</f>
        <v/>
      </c>
      <c r="JZ56" s="123" t="str" cm="1">
        <f t="array" ref="JZ56">IF( ISNUMBER(MATCH(JX$3,Entries!$B$3:$B$16,0)),           _xlfn.IFS(  JX56="","",      SUMPRODUCT((Entries!$A$3:$A$16=JY55)*(Entries!$C$3:$C$16=JZ55)*(Entries!$D$3:$D$16=KA55)) &lt;&gt;0,"",         _xlfn.XLOOKUP(JX$3,Entries!$B$3:$B$16,Entries!$E$3:$E$16,"Enter")="Booked",   INDEX(Entries!$B$3:$E$16,MATCH(JX$3,Entries!$B$3:$B$16,0),4),                                                    _xlfn.XLOOKUP(JX$3,Entries!$B$3:$B$16,Entries!$A$3:$A$16,"Error"),""),"")</f>
        <v/>
      </c>
      <c r="KA56" s="169" t="str" cm="1">
        <f t="array" ref="KA56">IF( ISNUMBER(MATCH(KA$3,Entries!$B$3:$B$16,0)),           _xlfn.IFS(  KA55="","",      AND(SUMPRODUCT((Entries!$A$3:$A$16=KA55)*(Entries!$C$3:$C$16=KB55)*(Entries!$D$3:$D$16=KC55)) = 0,        _xlfn.XLOOKUP(KA$3,Entries!$B$3:$B$16,Entries!$E$3:$E$16,"Enter")="Booked"),   INDEX(Entries!$B$3:$E$16,MATCH(KA$3,Entries!$B$3:$B$16,0),2),      KA55 &lt;&gt;0,""                                                ),"")</f>
        <v/>
      </c>
      <c r="KB56" s="122" t="str" cm="1">
        <f t="array" ref="KB56">IF( ISNUMBER(MATCH(KA$3,Entries!$B$3:$B$16,0)),           _xlfn.IFS(  KA56="","",      SUMPRODUCT((Entries!$A$3:$A$16=KA55)*(Entries!$C$3:$C$16=KB55)*(Entries!$D$3:$D$16=KC55)) &lt;&gt;0,"",         _xlfn.XLOOKUP(KA$3,Entries!$B$3:$B$16,Entries!$E$3:$E$16,"Enter")="Booked",   INDEX(Entries!$B$3:$E$16,MATCH(KA$3,Entries!$B$3:$B$16,0),3),                                                    _xlfn.XLOOKUP(KA$3,Entries!$B$3:$B$16,Entries!$A$3:$A$16,"Error"),""),"")</f>
        <v/>
      </c>
      <c r="KC56" s="123" t="str" cm="1">
        <f t="array" ref="KC56">IF( ISNUMBER(MATCH(KA$3,Entries!$B$3:$B$16,0)),           _xlfn.IFS(  KA56="","",      SUMPRODUCT((Entries!$A$3:$A$16=KB55)*(Entries!$C$3:$C$16=KC55)*(Entries!$D$3:$D$16=KD55)) &lt;&gt;0,"",         _xlfn.XLOOKUP(KA$3,Entries!$B$3:$B$16,Entries!$E$3:$E$16,"Enter")="Booked",   INDEX(Entries!$B$3:$E$16,MATCH(KA$3,Entries!$B$3:$B$16,0),4),                                                    _xlfn.XLOOKUP(KA$3,Entries!$B$3:$B$16,Entries!$A$3:$A$16,"Error"),""),"")</f>
        <v/>
      </c>
      <c r="KD56" s="169" t="str" cm="1">
        <f t="array" ref="KD56">IF( ISNUMBER(MATCH(KD$3,Entries!$B$3:$B$16,0)),           _xlfn.IFS(  KD55="","",      AND(SUMPRODUCT((Entries!$A$3:$A$16=KD55)*(Entries!$C$3:$C$16=KE55)*(Entries!$D$3:$D$16=KF55)) = 0,        _xlfn.XLOOKUP(KD$3,Entries!$B$3:$B$16,Entries!$E$3:$E$16,"Enter")="Booked"),   INDEX(Entries!$B$3:$E$16,MATCH(KD$3,Entries!$B$3:$B$16,0),2),      KD55 &lt;&gt;0,""                                                ),"")</f>
        <v/>
      </c>
      <c r="KE56" s="122" t="str" cm="1">
        <f t="array" ref="KE56">IF( ISNUMBER(MATCH(KD$3,Entries!$B$3:$B$16,0)),           _xlfn.IFS(  KD56="","",      SUMPRODUCT((Entries!$A$3:$A$16=KD55)*(Entries!$C$3:$C$16=KE55)*(Entries!$D$3:$D$16=KF55)) &lt;&gt;0,"",         _xlfn.XLOOKUP(KD$3,Entries!$B$3:$B$16,Entries!$E$3:$E$16,"Enter")="Booked",   INDEX(Entries!$B$3:$E$16,MATCH(KD$3,Entries!$B$3:$B$16,0),3),                                                    _xlfn.XLOOKUP(KD$3,Entries!$B$3:$B$16,Entries!$A$3:$A$16,"Error"),""),"")</f>
        <v/>
      </c>
      <c r="KF56" s="123" t="str" cm="1">
        <f t="array" ref="KF56">IF( ISNUMBER(MATCH(KD$3,Entries!$B$3:$B$16,0)),           _xlfn.IFS(  KD56="","",      SUMPRODUCT((Entries!$A$3:$A$16=KE55)*(Entries!$C$3:$C$16=KF55)*(Entries!$D$3:$D$16=KG55)) &lt;&gt;0,"",         _xlfn.XLOOKUP(KD$3,Entries!$B$3:$B$16,Entries!$E$3:$E$16,"Enter")="Booked",   INDEX(Entries!$B$3:$E$16,MATCH(KD$3,Entries!$B$3:$B$16,0),4),                                                    _xlfn.XLOOKUP(KD$3,Entries!$B$3:$B$16,Entries!$A$3:$A$16,"Error"),""),"")</f>
        <v/>
      </c>
    </row>
    <row r="57" spans="1:292">
      <c r="A57" s="792"/>
      <c r="B57" s="124"/>
      <c r="C57" s="122"/>
      <c r="D57" s="164"/>
      <c r="E57" s="124"/>
      <c r="F57" s="793"/>
      <c r="G57" s="794"/>
      <c r="H57" s="124"/>
      <c r="I57" s="122"/>
      <c r="J57" s="164"/>
      <c r="K57" s="124"/>
      <c r="L57" s="793"/>
      <c r="M57" s="794"/>
      <c r="N57" s="138"/>
      <c r="O57" s="122"/>
      <c r="P57" s="794"/>
      <c r="Q57" s="138"/>
      <c r="R57" s="122"/>
      <c r="S57" s="794"/>
      <c r="T57" s="794"/>
      <c r="U57" s="794"/>
      <c r="V57" s="794"/>
      <c r="W57" s="138"/>
      <c r="X57" s="793"/>
      <c r="Y57" s="794"/>
      <c r="Z57" s="138"/>
      <c r="AA57" s="122"/>
      <c r="AB57" s="794"/>
      <c r="AC57" s="138"/>
      <c r="AD57" s="793"/>
      <c r="AE57" s="794"/>
      <c r="AF57" s="138"/>
      <c r="AG57" s="793"/>
      <c r="AH57" s="794"/>
      <c r="AI57" s="138"/>
      <c r="AJ57" s="793"/>
      <c r="AK57" s="794"/>
      <c r="AL57" s="138"/>
      <c r="AM57" s="793"/>
      <c r="AN57" s="794"/>
      <c r="AO57" s="124"/>
      <c r="AP57" s="793"/>
      <c r="AQ57" s="794"/>
      <c r="AR57" s="124"/>
      <c r="AS57" s="793"/>
      <c r="AT57" s="794"/>
      <c r="AU57" s="124"/>
      <c r="AV57" s="793"/>
      <c r="AW57" s="794"/>
      <c r="AX57" s="124"/>
      <c r="AY57" s="793"/>
      <c r="AZ57" s="794"/>
      <c r="BA57" s="124"/>
      <c r="BB57" s="793"/>
      <c r="BC57" s="794"/>
      <c r="BD57" s="124"/>
      <c r="BE57" s="793"/>
      <c r="BF57" s="794"/>
      <c r="BG57" s="124"/>
      <c r="BH57" s="793"/>
      <c r="BI57" s="794"/>
      <c r="BJ57" s="124"/>
      <c r="BK57" s="793"/>
      <c r="BL57" s="794"/>
      <c r="BM57" s="124"/>
      <c r="BN57" s="793"/>
      <c r="BO57" s="794"/>
      <c r="BP57" s="124"/>
      <c r="BQ57" s="793"/>
      <c r="BR57" s="794"/>
      <c r="BS57" s="124"/>
      <c r="BT57" s="793"/>
      <c r="BU57" s="794"/>
      <c r="BV57" s="124"/>
      <c r="BW57" s="122"/>
      <c r="BX57" s="164"/>
      <c r="BY57" s="124"/>
      <c r="BZ57" s="793"/>
      <c r="CA57" s="794"/>
      <c r="CB57" s="124"/>
      <c r="CC57" s="122"/>
      <c r="CD57" s="164"/>
      <c r="CE57" s="124"/>
      <c r="CF57" s="793"/>
      <c r="CG57" s="794"/>
      <c r="CH57" s="124"/>
      <c r="CI57" s="122"/>
      <c r="CJ57" s="795"/>
      <c r="CK57" s="124"/>
      <c r="CL57" s="793"/>
      <c r="CM57" s="794"/>
      <c r="CN57" s="124"/>
      <c r="CO57" s="122"/>
      <c r="CP57" s="164"/>
      <c r="CQ57" s="124"/>
      <c r="CR57" s="793"/>
      <c r="CS57" s="794"/>
      <c r="CT57" s="124"/>
      <c r="CU57" s="122"/>
      <c r="CV57" s="164"/>
      <c r="CW57" s="124"/>
      <c r="CX57" s="793"/>
      <c r="CY57" s="794"/>
      <c r="CZ57" s="124"/>
      <c r="DA57" s="122"/>
      <c r="DB57" s="164"/>
      <c r="DC57" s="124"/>
      <c r="DD57" s="793"/>
      <c r="DE57" s="796"/>
      <c r="DF57" s="124"/>
      <c r="DG57" s="122"/>
      <c r="DH57" s="795"/>
      <c r="DI57" s="124"/>
      <c r="DJ57" s="793"/>
      <c r="DK57" s="796"/>
      <c r="DL57" s="124"/>
      <c r="DM57" s="122"/>
      <c r="DN57" s="795"/>
      <c r="DO57" s="124"/>
      <c r="DP57" s="122"/>
      <c r="DQ57" s="123"/>
      <c r="DR57" s="124"/>
      <c r="DS57" s="122"/>
      <c r="DT57" s="123"/>
      <c r="DU57" s="124"/>
      <c r="DV57" s="793"/>
      <c r="DW57" s="796"/>
      <c r="DX57" s="124"/>
      <c r="DY57" s="122"/>
      <c r="DZ57" s="795"/>
      <c r="EA57" s="124"/>
      <c r="EB57" s="793"/>
      <c r="EC57" s="796"/>
      <c r="ED57" s="124"/>
      <c r="EE57" s="122"/>
      <c r="EF57" s="795"/>
      <c r="EG57" s="124"/>
      <c r="EH57" s="793"/>
      <c r="EI57" s="796"/>
      <c r="EJ57" s="124"/>
      <c r="EK57" s="122"/>
      <c r="EL57" s="123"/>
      <c r="EM57" s="124"/>
      <c r="EN57" s="122"/>
      <c r="EO57" s="795"/>
      <c r="EP57" s="124"/>
      <c r="EQ57" s="122"/>
      <c r="ER57" s="164"/>
      <c r="ES57" s="124"/>
      <c r="ET57" s="122"/>
      <c r="EU57" s="795"/>
      <c r="EV57" s="124"/>
      <c r="EW57" s="793"/>
      <c r="EX57" s="796"/>
      <c r="EY57" s="124"/>
      <c r="EZ57" s="122"/>
      <c r="FA57" s="164"/>
      <c r="FB57" s="124"/>
      <c r="FC57" s="793"/>
      <c r="FD57" s="794"/>
      <c r="FE57" s="124"/>
      <c r="FF57" s="122"/>
      <c r="FG57" s="164"/>
      <c r="FH57" s="124"/>
      <c r="FI57" s="793"/>
      <c r="FJ57" s="794"/>
      <c r="FK57" s="124"/>
      <c r="FL57" s="122"/>
      <c r="FM57" s="164"/>
      <c r="FN57" s="124"/>
      <c r="FO57" s="793"/>
      <c r="FP57" s="796"/>
      <c r="FQ57" s="124"/>
      <c r="FR57" s="122"/>
      <c r="FS57" s="164"/>
      <c r="FT57" s="124"/>
      <c r="FU57" s="793"/>
      <c r="FV57" s="794"/>
      <c r="FW57" s="124"/>
      <c r="FX57" s="122"/>
      <c r="FY57" s="164"/>
      <c r="FZ57" s="124"/>
      <c r="GA57" s="793"/>
      <c r="GB57" s="794"/>
      <c r="GC57" s="124"/>
      <c r="GD57" s="122"/>
      <c r="GE57" s="164"/>
      <c r="GF57" s="124"/>
      <c r="GG57" s="793"/>
      <c r="GH57" s="794"/>
      <c r="GI57" s="124"/>
      <c r="GJ57" s="122"/>
      <c r="GK57" s="164"/>
      <c r="GL57" s="124"/>
      <c r="GM57" s="122"/>
      <c r="GN57" s="123"/>
      <c r="GO57" s="124"/>
      <c r="GP57" s="122"/>
      <c r="GQ57" s="123"/>
      <c r="GR57" s="124"/>
      <c r="GS57" s="122"/>
      <c r="GT57" s="123"/>
      <c r="GU57" s="124"/>
      <c r="GV57" s="122"/>
      <c r="GW57" s="123"/>
      <c r="GX57" s="124"/>
      <c r="GY57" s="122"/>
      <c r="GZ57" s="795"/>
      <c r="HA57" s="124"/>
      <c r="HB57" s="793"/>
      <c r="HC57" s="796"/>
      <c r="HD57" s="124"/>
      <c r="HE57" s="122"/>
      <c r="HF57" s="796"/>
      <c r="HG57" s="138"/>
      <c r="HH57" s="793"/>
      <c r="HI57" s="796"/>
      <c r="HJ57" s="124"/>
      <c r="HK57" s="122"/>
      <c r="HL57" s="795"/>
      <c r="HM57" s="124"/>
      <c r="HN57" s="793"/>
      <c r="HO57" s="796"/>
      <c r="HP57" s="124"/>
      <c r="HQ57" s="122"/>
      <c r="HR57" s="795"/>
      <c r="HS57" s="124"/>
      <c r="HT57" s="122"/>
      <c r="HU57" s="164"/>
      <c r="HV57" s="124"/>
      <c r="HW57" s="122"/>
      <c r="HX57" s="164"/>
      <c r="HY57" s="124"/>
      <c r="HZ57" s="122"/>
      <c r="IA57" s="164"/>
      <c r="IB57" s="124"/>
      <c r="IC57" s="793"/>
      <c r="ID57" s="794"/>
      <c r="IE57" s="124"/>
      <c r="IF57" s="122"/>
      <c r="IG57" s="796"/>
      <c r="IH57" s="124"/>
      <c r="II57" s="122"/>
      <c r="IJ57" s="164"/>
      <c r="IK57" s="124"/>
      <c r="IL57" s="122"/>
      <c r="IM57" s="123"/>
      <c r="IN57" s="124"/>
      <c r="IO57" s="122"/>
      <c r="IP57" s="123"/>
      <c r="IQ57" s="124"/>
      <c r="IR57" s="122"/>
      <c r="IS57" s="123"/>
      <c r="IT57" s="124"/>
      <c r="IU57" s="122"/>
      <c r="IV57" s="123"/>
      <c r="IW57" s="124"/>
      <c r="IX57" s="122"/>
      <c r="IY57" s="123"/>
      <c r="IZ57" s="124"/>
      <c r="JA57" s="122"/>
      <c r="JB57" s="123"/>
      <c r="JC57" s="124"/>
      <c r="JD57" s="122"/>
      <c r="JE57" s="123"/>
      <c r="JF57" s="124"/>
      <c r="JG57" s="122"/>
      <c r="JH57" s="795"/>
      <c r="JI57" s="124"/>
      <c r="JJ57" s="793"/>
      <c r="JK57" s="796"/>
      <c r="JL57" s="124"/>
      <c r="JM57" s="122"/>
      <c r="JN57" s="795"/>
      <c r="JO57" s="124"/>
      <c r="JP57" s="793"/>
      <c r="JQ57" s="796"/>
      <c r="JR57" s="124"/>
      <c r="JS57" s="122"/>
      <c r="JT57" s="795"/>
      <c r="JU57" s="169" t="str" cm="1">
        <f t="array" ref="JU57">IF( ISNUMBER(MATCH(JU$3,Entries!$B$3:$B$16,0)),           _xlfn.IFS(  JU56="","",      AND(SUMPRODUCT((Entries!$A$3:$A$16=JU56)*(Entries!$C$3:$C$16=JV56)*(Entries!$D$3:$D$16=JW56)) = 0,        _xlfn.XLOOKUP(JU$3,Entries!$B$3:$B$16,Entries!$E$3:$E$16,"Enter")="Booked"),   INDEX(Entries!$B$3:$E$16,MATCH(JU$3,Entries!$B$3:$B$16,0),2),      JU56 &lt;&gt;0,""                                                ),"")</f>
        <v/>
      </c>
      <c r="JV57" s="122" t="str" cm="1">
        <f t="array" ref="JV57">IF( ISNUMBER(MATCH(JU$3,Entries!$B$3:$B$16,0)),           _xlfn.IFS(  JU57="","",      SUMPRODUCT((Entries!$A$3:$A$16=JU56)*(Entries!$C$3:$C$16=JV56)*(Entries!$D$3:$D$16=JW56)) &lt;&gt;0,"",         _xlfn.XLOOKUP(JU$3,Entries!$B$3:$B$16,Entries!$E$3:$E$16,"Enter")="Booked",   INDEX(Entries!$B$3:$E$16,MATCH(JU$3,Entries!$B$3:$B$16,0),3),                                                    _xlfn.XLOOKUP(JU$3,Entries!$B$3:$B$16,Entries!$A$3:$A$16,"Error"),""),"")</f>
        <v/>
      </c>
      <c r="JW57" s="123" t="str" cm="1">
        <f t="array" ref="JW57">IF( ISNUMBER(MATCH(JU$3,Entries!$B$3:$B$16,0)),           _xlfn.IFS(  JU57="","",      SUMPRODUCT((Entries!$A$3:$A$16=JV56)*(Entries!$C$3:$C$16=JW56)*(Entries!$D$3:$D$16=JX56)) &lt;&gt;0,"",         _xlfn.XLOOKUP(JU$3,Entries!$B$3:$B$16,Entries!$E$3:$E$16,"Enter")="Booked",   INDEX(Entries!$B$3:$E$16,MATCH(JU$3,Entries!$B$3:$B$16,0),4),                                                    _xlfn.XLOOKUP(JU$3,Entries!$B$3:$B$16,Entries!$A$3:$A$16,"Error"),""),"")</f>
        <v/>
      </c>
      <c r="JX57" s="169" t="str" cm="1">
        <f t="array" ref="JX57">IF( ISNUMBER(MATCH(JX$3,Entries!$B$3:$B$16,0)),           _xlfn.IFS(  JX56="","",      AND(SUMPRODUCT((Entries!$A$3:$A$16=JX56)*(Entries!$C$3:$C$16=JY56)*(Entries!$D$3:$D$16=JZ56)) = 0,        _xlfn.XLOOKUP(JX$3,Entries!$B$3:$B$16,Entries!$E$3:$E$16,"Enter")="Booked"),   INDEX(Entries!$B$3:$E$16,MATCH(JX$3,Entries!$B$3:$B$16,0),2),      JX56 &lt;&gt;0,""                                                ),"")</f>
        <v/>
      </c>
      <c r="JY57" s="122" t="str" cm="1">
        <f t="array" ref="JY57">IF( ISNUMBER(MATCH(JX$3,Entries!$B$3:$B$16,0)),           _xlfn.IFS(  JX57="","",      SUMPRODUCT((Entries!$A$3:$A$16=JX56)*(Entries!$C$3:$C$16=JY56)*(Entries!$D$3:$D$16=JZ56)) &lt;&gt;0,"",         _xlfn.XLOOKUP(JX$3,Entries!$B$3:$B$16,Entries!$E$3:$E$16,"Enter")="Booked",   INDEX(Entries!$B$3:$E$16,MATCH(JX$3,Entries!$B$3:$B$16,0),3),                                                    _xlfn.XLOOKUP(JX$3,Entries!$B$3:$B$16,Entries!$A$3:$A$16,"Error"),""),"")</f>
        <v/>
      </c>
      <c r="JZ57" s="123" t="str" cm="1">
        <f t="array" ref="JZ57">IF( ISNUMBER(MATCH(JX$3,Entries!$B$3:$B$16,0)),           _xlfn.IFS(  JX57="","",      SUMPRODUCT((Entries!$A$3:$A$16=JY56)*(Entries!$C$3:$C$16=JZ56)*(Entries!$D$3:$D$16=KA56)) &lt;&gt;0,"",         _xlfn.XLOOKUP(JX$3,Entries!$B$3:$B$16,Entries!$E$3:$E$16,"Enter")="Booked",   INDEX(Entries!$B$3:$E$16,MATCH(JX$3,Entries!$B$3:$B$16,0),4),                                                    _xlfn.XLOOKUP(JX$3,Entries!$B$3:$B$16,Entries!$A$3:$A$16,"Error"),""),"")</f>
        <v/>
      </c>
      <c r="KA57" s="169" t="str" cm="1">
        <f t="array" ref="KA57">IF( ISNUMBER(MATCH(KA$3,Entries!$B$3:$B$16,0)),           _xlfn.IFS(  KA56="","",      AND(SUMPRODUCT((Entries!$A$3:$A$16=KA56)*(Entries!$C$3:$C$16=KB56)*(Entries!$D$3:$D$16=KC56)) = 0,        _xlfn.XLOOKUP(KA$3,Entries!$B$3:$B$16,Entries!$E$3:$E$16,"Enter")="Booked"),   INDEX(Entries!$B$3:$E$16,MATCH(KA$3,Entries!$B$3:$B$16,0),2),      KA56 &lt;&gt;0,""                                                ),"")</f>
        <v/>
      </c>
      <c r="KB57" s="122" t="str" cm="1">
        <f t="array" ref="KB57">IF( ISNUMBER(MATCH(KA$3,Entries!$B$3:$B$16,0)),           _xlfn.IFS(  KA57="","",      SUMPRODUCT((Entries!$A$3:$A$16=KA56)*(Entries!$C$3:$C$16=KB56)*(Entries!$D$3:$D$16=KC56)) &lt;&gt;0,"",         _xlfn.XLOOKUP(KA$3,Entries!$B$3:$B$16,Entries!$E$3:$E$16,"Enter")="Booked",   INDEX(Entries!$B$3:$E$16,MATCH(KA$3,Entries!$B$3:$B$16,0),3),                                                    _xlfn.XLOOKUP(KA$3,Entries!$B$3:$B$16,Entries!$A$3:$A$16,"Error"),""),"")</f>
        <v/>
      </c>
      <c r="KC57" s="123" t="str" cm="1">
        <f t="array" ref="KC57">IF( ISNUMBER(MATCH(KA$3,Entries!$B$3:$B$16,0)),           _xlfn.IFS(  KA57="","",      SUMPRODUCT((Entries!$A$3:$A$16=KB56)*(Entries!$C$3:$C$16=KC56)*(Entries!$D$3:$D$16=KD56)) &lt;&gt;0,"",         _xlfn.XLOOKUP(KA$3,Entries!$B$3:$B$16,Entries!$E$3:$E$16,"Enter")="Booked",   INDEX(Entries!$B$3:$E$16,MATCH(KA$3,Entries!$B$3:$B$16,0),4),                                                    _xlfn.XLOOKUP(KA$3,Entries!$B$3:$B$16,Entries!$A$3:$A$16,"Error"),""),"")</f>
        <v/>
      </c>
      <c r="KD57" s="169" t="str" cm="1">
        <f t="array" ref="KD57">IF( ISNUMBER(MATCH(KD$3,Entries!$B$3:$B$16,0)),           _xlfn.IFS(  KD56="","",      AND(SUMPRODUCT((Entries!$A$3:$A$16=KD56)*(Entries!$C$3:$C$16=KE56)*(Entries!$D$3:$D$16=KF56)) = 0,        _xlfn.XLOOKUP(KD$3,Entries!$B$3:$B$16,Entries!$E$3:$E$16,"Enter")="Booked"),   INDEX(Entries!$B$3:$E$16,MATCH(KD$3,Entries!$B$3:$B$16,0),2),      KD56 &lt;&gt;0,""                                                ),"")</f>
        <v/>
      </c>
      <c r="KE57" s="122" t="str" cm="1">
        <f t="array" ref="KE57">IF( ISNUMBER(MATCH(KD$3,Entries!$B$3:$B$16,0)),           _xlfn.IFS(  KD57="","",      SUMPRODUCT((Entries!$A$3:$A$16=KD56)*(Entries!$C$3:$C$16=KE56)*(Entries!$D$3:$D$16=KF56)) &lt;&gt;0,"",         _xlfn.XLOOKUP(KD$3,Entries!$B$3:$B$16,Entries!$E$3:$E$16,"Enter")="Booked",   INDEX(Entries!$B$3:$E$16,MATCH(KD$3,Entries!$B$3:$B$16,0),3),                                                    _xlfn.XLOOKUP(KD$3,Entries!$B$3:$B$16,Entries!$A$3:$A$16,"Error"),""),"")</f>
        <v/>
      </c>
      <c r="KF57" s="123" t="str" cm="1">
        <f t="array" ref="KF57">IF( ISNUMBER(MATCH(KD$3,Entries!$B$3:$B$16,0)),           _xlfn.IFS(  KD57="","",      SUMPRODUCT((Entries!$A$3:$A$16=KE56)*(Entries!$C$3:$C$16=KF56)*(Entries!$D$3:$D$16=KG56)) &lt;&gt;0,"",         _xlfn.XLOOKUP(KD$3,Entries!$B$3:$B$16,Entries!$E$3:$E$16,"Enter")="Booked",   INDEX(Entries!$B$3:$E$16,MATCH(KD$3,Entries!$B$3:$B$16,0),4),                                                    _xlfn.XLOOKUP(KD$3,Entries!$B$3:$B$16,Entries!$A$3:$A$16,"Error"),""),"")</f>
        <v/>
      </c>
    </row>
    <row r="58" spans="1:292">
      <c r="A58" s="792"/>
      <c r="B58" s="124"/>
      <c r="C58" s="122"/>
      <c r="D58" s="164"/>
      <c r="E58" s="124"/>
      <c r="F58" s="793"/>
      <c r="G58" s="794"/>
      <c r="H58" s="124"/>
      <c r="I58" s="122"/>
      <c r="J58" s="164"/>
      <c r="K58" s="124"/>
      <c r="L58" s="793"/>
      <c r="M58" s="794"/>
      <c r="N58" s="138"/>
      <c r="O58" s="122"/>
      <c r="P58" s="794"/>
      <c r="Q58" s="138"/>
      <c r="R58" s="122"/>
      <c r="S58" s="794"/>
      <c r="T58" s="794"/>
      <c r="U58" s="794"/>
      <c r="V58" s="794"/>
      <c r="W58" s="138"/>
      <c r="X58" s="793"/>
      <c r="Y58" s="794"/>
      <c r="Z58" s="138"/>
      <c r="AA58" s="122"/>
      <c r="AB58" s="794"/>
      <c r="AC58" s="138"/>
      <c r="AD58" s="793"/>
      <c r="AE58" s="794"/>
      <c r="AF58" s="138"/>
      <c r="AG58" s="793"/>
      <c r="AH58" s="794"/>
      <c r="AI58" s="138"/>
      <c r="AJ58" s="793"/>
      <c r="AK58" s="794"/>
      <c r="AL58" s="138"/>
      <c r="AM58" s="793"/>
      <c r="AN58" s="794"/>
      <c r="AO58" s="124"/>
      <c r="AP58" s="793"/>
      <c r="AQ58" s="794"/>
      <c r="AR58" s="124"/>
      <c r="AS58" s="793"/>
      <c r="AT58" s="794"/>
      <c r="AU58" s="124"/>
      <c r="AV58" s="793"/>
      <c r="AW58" s="794"/>
      <c r="AX58" s="124"/>
      <c r="AY58" s="793"/>
      <c r="AZ58" s="794"/>
      <c r="BA58" s="124"/>
      <c r="BB58" s="793"/>
      <c r="BC58" s="794"/>
      <c r="BD58" s="124"/>
      <c r="BE58" s="793"/>
      <c r="BF58" s="794"/>
      <c r="BG58" s="124"/>
      <c r="BH58" s="793"/>
      <c r="BI58" s="794"/>
      <c r="BJ58" s="124"/>
      <c r="BK58" s="793"/>
      <c r="BL58" s="794"/>
      <c r="BM58" s="124"/>
      <c r="BN58" s="793"/>
      <c r="BO58" s="794"/>
      <c r="BP58" s="124"/>
      <c r="BQ58" s="793"/>
      <c r="BR58" s="794"/>
      <c r="BS58" s="124"/>
      <c r="BT58" s="793"/>
      <c r="BU58" s="794"/>
      <c r="BV58" s="124"/>
      <c r="BW58" s="122"/>
      <c r="BX58" s="164"/>
      <c r="BY58" s="124"/>
      <c r="BZ58" s="793"/>
      <c r="CA58" s="794"/>
      <c r="CB58" s="124"/>
      <c r="CC58" s="122"/>
      <c r="CD58" s="164"/>
      <c r="CE58" s="124"/>
      <c r="CF58" s="793"/>
      <c r="CG58" s="794"/>
      <c r="CH58" s="124"/>
      <c r="CI58" s="122"/>
      <c r="CJ58" s="795"/>
      <c r="CK58" s="124"/>
      <c r="CL58" s="793"/>
      <c r="CM58" s="794"/>
      <c r="CN58" s="124"/>
      <c r="CO58" s="122"/>
      <c r="CP58" s="164"/>
      <c r="CQ58" s="124"/>
      <c r="CR58" s="793"/>
      <c r="CS58" s="794"/>
      <c r="CT58" s="124"/>
      <c r="CU58" s="122"/>
      <c r="CV58" s="164"/>
      <c r="CW58" s="124"/>
      <c r="CX58" s="793"/>
      <c r="CY58" s="794"/>
      <c r="CZ58" s="124"/>
      <c r="DA58" s="122"/>
      <c r="DB58" s="164"/>
      <c r="DC58" s="124"/>
      <c r="DD58" s="793"/>
      <c r="DE58" s="796"/>
      <c r="DF58" s="124"/>
      <c r="DG58" s="122"/>
      <c r="DH58" s="795"/>
      <c r="DI58" s="124"/>
      <c r="DJ58" s="793"/>
      <c r="DK58" s="796"/>
      <c r="DL58" s="124"/>
      <c r="DM58" s="122"/>
      <c r="DN58" s="795"/>
      <c r="DO58" s="124"/>
      <c r="DP58" s="122"/>
      <c r="DQ58" s="123"/>
      <c r="DR58" s="124"/>
      <c r="DS58" s="122"/>
      <c r="DT58" s="123"/>
      <c r="DU58" s="124"/>
      <c r="DV58" s="793"/>
      <c r="DW58" s="796"/>
      <c r="DX58" s="124"/>
      <c r="DY58" s="122"/>
      <c r="DZ58" s="795"/>
      <c r="EA58" s="124"/>
      <c r="EB58" s="793"/>
      <c r="EC58" s="796"/>
      <c r="ED58" s="124"/>
      <c r="EE58" s="122"/>
      <c r="EF58" s="795"/>
      <c r="EG58" s="124"/>
      <c r="EH58" s="793"/>
      <c r="EI58" s="796"/>
      <c r="EJ58" s="124"/>
      <c r="EK58" s="122"/>
      <c r="EL58" s="123"/>
      <c r="EM58" s="124"/>
      <c r="EN58" s="122"/>
      <c r="EO58" s="795"/>
      <c r="EP58" s="124"/>
      <c r="EQ58" s="122"/>
      <c r="ER58" s="164"/>
      <c r="ES58" s="124"/>
      <c r="ET58" s="122"/>
      <c r="EU58" s="795"/>
      <c r="EV58" s="124"/>
      <c r="EW58" s="793"/>
      <c r="EX58" s="796"/>
      <c r="EY58" s="124"/>
      <c r="EZ58" s="122"/>
      <c r="FA58" s="164"/>
      <c r="FB58" s="124"/>
      <c r="FC58" s="793"/>
      <c r="FD58" s="794"/>
      <c r="FE58" s="124"/>
      <c r="FF58" s="122"/>
      <c r="FG58" s="164"/>
      <c r="FH58" s="124"/>
      <c r="FI58" s="793"/>
      <c r="FJ58" s="794"/>
      <c r="FK58" s="124"/>
      <c r="FL58" s="122"/>
      <c r="FM58" s="164"/>
      <c r="FN58" s="124"/>
      <c r="FO58" s="793"/>
      <c r="FP58" s="796"/>
      <c r="FQ58" s="124"/>
      <c r="FR58" s="122"/>
      <c r="FS58" s="164"/>
      <c r="FT58" s="124"/>
      <c r="FU58" s="793"/>
      <c r="FV58" s="794"/>
      <c r="FW58" s="124"/>
      <c r="FX58" s="122"/>
      <c r="FY58" s="164"/>
      <c r="FZ58" s="124"/>
      <c r="GA58" s="793"/>
      <c r="GB58" s="794"/>
      <c r="GC58" s="124"/>
      <c r="GD58" s="122"/>
      <c r="GE58" s="164"/>
      <c r="GF58" s="124"/>
      <c r="GG58" s="793"/>
      <c r="GH58" s="794"/>
      <c r="GI58" s="124"/>
      <c r="GJ58" s="122"/>
      <c r="GK58" s="164"/>
      <c r="GL58" s="124"/>
      <c r="GM58" s="122"/>
      <c r="GN58" s="123"/>
      <c r="GO58" s="124"/>
      <c r="GP58" s="122"/>
      <c r="GQ58" s="123"/>
      <c r="GR58" s="124"/>
      <c r="GS58" s="122"/>
      <c r="GT58" s="123"/>
      <c r="GU58" s="124"/>
      <c r="GV58" s="122"/>
      <c r="GW58" s="123"/>
      <c r="GX58" s="124"/>
      <c r="GY58" s="122"/>
      <c r="GZ58" s="795"/>
      <c r="HA58" s="124"/>
      <c r="HB58" s="793"/>
      <c r="HC58" s="796"/>
      <c r="HD58" s="124"/>
      <c r="HE58" s="122"/>
      <c r="HF58" s="796"/>
      <c r="HG58" s="138"/>
      <c r="HH58" s="793"/>
      <c r="HI58" s="796"/>
      <c r="HJ58" s="124"/>
      <c r="HK58" s="122"/>
      <c r="HL58" s="795"/>
      <c r="HM58" s="124"/>
      <c r="HN58" s="793"/>
      <c r="HO58" s="796"/>
      <c r="HP58" s="124"/>
      <c r="HQ58" s="122"/>
      <c r="HR58" s="795"/>
      <c r="HS58" s="124"/>
      <c r="HT58" s="122"/>
      <c r="HU58" s="164"/>
      <c r="HV58" s="124"/>
      <c r="HW58" s="122"/>
      <c r="HX58" s="164"/>
      <c r="HY58" s="124"/>
      <c r="HZ58" s="122"/>
      <c r="IA58" s="164"/>
      <c r="IB58" s="124"/>
      <c r="IC58" s="793"/>
      <c r="ID58" s="794"/>
      <c r="IE58" s="124"/>
      <c r="IF58" s="122"/>
      <c r="IG58" s="796"/>
      <c r="IH58" s="124"/>
      <c r="II58" s="122"/>
      <c r="IJ58" s="164"/>
      <c r="IK58" s="124"/>
      <c r="IL58" s="122"/>
      <c r="IM58" s="123"/>
      <c r="IN58" s="124"/>
      <c r="IO58" s="122"/>
      <c r="IP58" s="123"/>
      <c r="IQ58" s="124"/>
      <c r="IR58" s="122"/>
      <c r="IS58" s="123"/>
      <c r="IT58" s="124"/>
      <c r="IU58" s="122"/>
      <c r="IV58" s="123"/>
      <c r="IW58" s="124"/>
      <c r="IX58" s="122"/>
      <c r="IY58" s="123"/>
      <c r="IZ58" s="124"/>
      <c r="JA58" s="122"/>
      <c r="JB58" s="123"/>
      <c r="JC58" s="124"/>
      <c r="JD58" s="122"/>
      <c r="JE58" s="123"/>
      <c r="JF58" s="124"/>
      <c r="JG58" s="122"/>
      <c r="JH58" s="795"/>
      <c r="JI58" s="124"/>
      <c r="JJ58" s="793"/>
      <c r="JK58" s="796"/>
      <c r="JL58" s="124"/>
      <c r="JM58" s="122"/>
      <c r="JN58" s="795"/>
      <c r="JO58" s="124"/>
      <c r="JP58" s="793"/>
      <c r="JQ58" s="796"/>
      <c r="JR58" s="124"/>
      <c r="JS58" s="122"/>
      <c r="JT58" s="795"/>
      <c r="JU58" s="169" t="str" cm="1">
        <f t="array" ref="JU58">IF( ISNUMBER(MATCH(JU$3,Entries!$B$3:$B$16,0)),           _xlfn.IFS(  JU57="","",      AND(SUMPRODUCT((Entries!$A$3:$A$16=JU57)*(Entries!$C$3:$C$16=JV57)*(Entries!$D$3:$D$16=JW57)) = 0,        _xlfn.XLOOKUP(JU$3,Entries!$B$3:$B$16,Entries!$E$3:$E$16,"Enter")="Booked"),   INDEX(Entries!$B$3:$E$16,MATCH(JU$3,Entries!$B$3:$B$16,0),2),      JU57 &lt;&gt;0,""                                                ),"")</f>
        <v/>
      </c>
      <c r="JV58" s="122" t="str" cm="1">
        <f t="array" ref="JV58">IF( ISNUMBER(MATCH(JU$3,Entries!$B$3:$B$16,0)),           _xlfn.IFS(  JU58="","",      SUMPRODUCT((Entries!$A$3:$A$16=JU57)*(Entries!$C$3:$C$16=JV57)*(Entries!$D$3:$D$16=JW57)) &lt;&gt;0,"",         _xlfn.XLOOKUP(JU$3,Entries!$B$3:$B$16,Entries!$E$3:$E$16,"Enter")="Booked",   INDEX(Entries!$B$3:$E$16,MATCH(JU$3,Entries!$B$3:$B$16,0),3),                                                    _xlfn.XLOOKUP(JU$3,Entries!$B$3:$B$16,Entries!$A$3:$A$16,"Error"),""),"")</f>
        <v/>
      </c>
      <c r="JW58" s="123" t="str" cm="1">
        <f t="array" ref="JW58">IF( ISNUMBER(MATCH(JU$3,Entries!$B$3:$B$16,0)),           _xlfn.IFS(  JU58="","",      SUMPRODUCT((Entries!$A$3:$A$16=JV57)*(Entries!$C$3:$C$16=JW57)*(Entries!$D$3:$D$16=JX57)) &lt;&gt;0,"",         _xlfn.XLOOKUP(JU$3,Entries!$B$3:$B$16,Entries!$E$3:$E$16,"Enter")="Booked",   INDEX(Entries!$B$3:$E$16,MATCH(JU$3,Entries!$B$3:$B$16,0),4),                                                    _xlfn.XLOOKUP(JU$3,Entries!$B$3:$B$16,Entries!$A$3:$A$16,"Error"),""),"")</f>
        <v/>
      </c>
      <c r="JX58" s="169" t="str" cm="1">
        <f t="array" ref="JX58">IF( ISNUMBER(MATCH(JX$3,Entries!$B$3:$B$16,0)),           _xlfn.IFS(  JX57="","",      AND(SUMPRODUCT((Entries!$A$3:$A$16=JX57)*(Entries!$C$3:$C$16=JY57)*(Entries!$D$3:$D$16=JZ57)) = 0,        _xlfn.XLOOKUP(JX$3,Entries!$B$3:$B$16,Entries!$E$3:$E$16,"Enter")="Booked"),   INDEX(Entries!$B$3:$E$16,MATCH(JX$3,Entries!$B$3:$B$16,0),2),      JX57 &lt;&gt;0,""                                                ),"")</f>
        <v/>
      </c>
      <c r="JY58" s="122" t="str" cm="1">
        <f t="array" ref="JY58">IF( ISNUMBER(MATCH(JX$3,Entries!$B$3:$B$16,0)),           _xlfn.IFS(  JX58="","",      SUMPRODUCT((Entries!$A$3:$A$16=JX57)*(Entries!$C$3:$C$16=JY57)*(Entries!$D$3:$D$16=JZ57)) &lt;&gt;0,"",         _xlfn.XLOOKUP(JX$3,Entries!$B$3:$B$16,Entries!$E$3:$E$16,"Enter")="Booked",   INDEX(Entries!$B$3:$E$16,MATCH(JX$3,Entries!$B$3:$B$16,0),3),                                                    _xlfn.XLOOKUP(JX$3,Entries!$B$3:$B$16,Entries!$A$3:$A$16,"Error"),""),"")</f>
        <v/>
      </c>
      <c r="JZ58" s="123" t="str" cm="1">
        <f t="array" ref="JZ58">IF( ISNUMBER(MATCH(JX$3,Entries!$B$3:$B$16,0)),           _xlfn.IFS(  JX58="","",      SUMPRODUCT((Entries!$A$3:$A$16=JY57)*(Entries!$C$3:$C$16=JZ57)*(Entries!$D$3:$D$16=KA57)) &lt;&gt;0,"",         _xlfn.XLOOKUP(JX$3,Entries!$B$3:$B$16,Entries!$E$3:$E$16,"Enter")="Booked",   INDEX(Entries!$B$3:$E$16,MATCH(JX$3,Entries!$B$3:$B$16,0),4),                                                    _xlfn.XLOOKUP(JX$3,Entries!$B$3:$B$16,Entries!$A$3:$A$16,"Error"),""),"")</f>
        <v/>
      </c>
      <c r="KA58" s="169" t="str" cm="1">
        <f t="array" ref="KA58">IF( ISNUMBER(MATCH(KA$3,Entries!$B$3:$B$16,0)),           _xlfn.IFS(  KA57="","",      AND(SUMPRODUCT((Entries!$A$3:$A$16=KA57)*(Entries!$C$3:$C$16=KB57)*(Entries!$D$3:$D$16=KC57)) = 0,        _xlfn.XLOOKUP(KA$3,Entries!$B$3:$B$16,Entries!$E$3:$E$16,"Enter")="Booked"),   INDEX(Entries!$B$3:$E$16,MATCH(KA$3,Entries!$B$3:$B$16,0),2),      KA57 &lt;&gt;0,""                                                ),"")</f>
        <v/>
      </c>
      <c r="KB58" s="122" t="str" cm="1">
        <f t="array" ref="KB58">IF( ISNUMBER(MATCH(KA$3,Entries!$B$3:$B$16,0)),           _xlfn.IFS(  KA58="","",      SUMPRODUCT((Entries!$A$3:$A$16=KA57)*(Entries!$C$3:$C$16=KB57)*(Entries!$D$3:$D$16=KC57)) &lt;&gt;0,"",         _xlfn.XLOOKUP(KA$3,Entries!$B$3:$B$16,Entries!$E$3:$E$16,"Enter")="Booked",   INDEX(Entries!$B$3:$E$16,MATCH(KA$3,Entries!$B$3:$B$16,0),3),                                                    _xlfn.XLOOKUP(KA$3,Entries!$B$3:$B$16,Entries!$A$3:$A$16,"Error"),""),"")</f>
        <v/>
      </c>
      <c r="KC58" s="123" t="str" cm="1">
        <f t="array" ref="KC58">IF( ISNUMBER(MATCH(KA$3,Entries!$B$3:$B$16,0)),           _xlfn.IFS(  KA58="","",      SUMPRODUCT((Entries!$A$3:$A$16=KB57)*(Entries!$C$3:$C$16=KC57)*(Entries!$D$3:$D$16=KD57)) &lt;&gt;0,"",         _xlfn.XLOOKUP(KA$3,Entries!$B$3:$B$16,Entries!$E$3:$E$16,"Enter")="Booked",   INDEX(Entries!$B$3:$E$16,MATCH(KA$3,Entries!$B$3:$B$16,0),4),                                                    _xlfn.XLOOKUP(KA$3,Entries!$B$3:$B$16,Entries!$A$3:$A$16,"Error"),""),"")</f>
        <v/>
      </c>
      <c r="KD58" s="169" t="str" cm="1">
        <f t="array" ref="KD58">IF( ISNUMBER(MATCH(KD$3,Entries!$B$3:$B$16,0)),           _xlfn.IFS(  KD57="","",      AND(SUMPRODUCT((Entries!$A$3:$A$16=KD57)*(Entries!$C$3:$C$16=KE57)*(Entries!$D$3:$D$16=KF57)) = 0,        _xlfn.XLOOKUP(KD$3,Entries!$B$3:$B$16,Entries!$E$3:$E$16,"Enter")="Booked"),   INDEX(Entries!$B$3:$E$16,MATCH(KD$3,Entries!$B$3:$B$16,0),2),      KD57 &lt;&gt;0,""                                                ),"")</f>
        <v/>
      </c>
      <c r="KE58" s="122" t="str" cm="1">
        <f t="array" ref="KE58">IF( ISNUMBER(MATCH(KD$3,Entries!$B$3:$B$16,0)),           _xlfn.IFS(  KD58="","",      SUMPRODUCT((Entries!$A$3:$A$16=KD57)*(Entries!$C$3:$C$16=KE57)*(Entries!$D$3:$D$16=KF57)) &lt;&gt;0,"",         _xlfn.XLOOKUP(KD$3,Entries!$B$3:$B$16,Entries!$E$3:$E$16,"Enter")="Booked",   INDEX(Entries!$B$3:$E$16,MATCH(KD$3,Entries!$B$3:$B$16,0),3),                                                    _xlfn.XLOOKUP(KD$3,Entries!$B$3:$B$16,Entries!$A$3:$A$16,"Error"),""),"")</f>
        <v/>
      </c>
      <c r="KF58" s="123" t="str" cm="1">
        <f t="array" ref="KF58">IF( ISNUMBER(MATCH(KD$3,Entries!$B$3:$B$16,0)),           _xlfn.IFS(  KD58="","",      SUMPRODUCT((Entries!$A$3:$A$16=KE57)*(Entries!$C$3:$C$16=KF57)*(Entries!$D$3:$D$16=KG57)) &lt;&gt;0,"",         _xlfn.XLOOKUP(KD$3,Entries!$B$3:$B$16,Entries!$E$3:$E$16,"Enter")="Booked",   INDEX(Entries!$B$3:$E$16,MATCH(KD$3,Entries!$B$3:$B$16,0),4),                                                    _xlfn.XLOOKUP(KD$3,Entries!$B$3:$B$16,Entries!$A$3:$A$16,"Error"),""),"")</f>
        <v/>
      </c>
    </row>
    <row r="59" spans="1:292">
      <c r="A59" s="792"/>
      <c r="B59" s="124"/>
      <c r="C59" s="122"/>
      <c r="D59" s="164"/>
      <c r="E59" s="124"/>
      <c r="F59" s="793"/>
      <c r="G59" s="794"/>
      <c r="H59" s="124"/>
      <c r="I59" s="122"/>
      <c r="J59" s="164"/>
      <c r="K59" s="124"/>
      <c r="L59" s="793"/>
      <c r="M59" s="794"/>
      <c r="N59" s="138"/>
      <c r="O59" s="122"/>
      <c r="P59" s="794"/>
      <c r="Q59" s="138"/>
      <c r="R59" s="122"/>
      <c r="S59" s="794"/>
      <c r="T59" s="794"/>
      <c r="U59" s="794"/>
      <c r="V59" s="794"/>
      <c r="W59" s="138"/>
      <c r="X59" s="793"/>
      <c r="Y59" s="794"/>
      <c r="Z59" s="138"/>
      <c r="AA59" s="122"/>
      <c r="AB59" s="794"/>
      <c r="AC59" s="138"/>
      <c r="AD59" s="793"/>
      <c r="AE59" s="794"/>
      <c r="AF59" s="138"/>
      <c r="AG59" s="793"/>
      <c r="AH59" s="794"/>
      <c r="AI59" s="138"/>
      <c r="AJ59" s="793"/>
      <c r="AK59" s="794"/>
      <c r="AL59" s="138"/>
      <c r="AM59" s="793"/>
      <c r="AN59" s="794"/>
      <c r="AO59" s="124"/>
      <c r="AP59" s="793"/>
      <c r="AQ59" s="794"/>
      <c r="AR59" s="124"/>
      <c r="AS59" s="793"/>
      <c r="AT59" s="794"/>
      <c r="AU59" s="124"/>
      <c r="AV59" s="793"/>
      <c r="AW59" s="794"/>
      <c r="AX59" s="124"/>
      <c r="AY59" s="793"/>
      <c r="AZ59" s="794"/>
      <c r="BA59" s="124"/>
      <c r="BB59" s="793"/>
      <c r="BC59" s="794"/>
      <c r="BD59" s="124"/>
      <c r="BE59" s="793"/>
      <c r="BF59" s="794"/>
      <c r="BG59" s="124"/>
      <c r="BH59" s="793"/>
      <c r="BI59" s="794"/>
      <c r="BJ59" s="124"/>
      <c r="BK59" s="793"/>
      <c r="BL59" s="794"/>
      <c r="BM59" s="124"/>
      <c r="BN59" s="793"/>
      <c r="BO59" s="794"/>
      <c r="BP59" s="124"/>
      <c r="BQ59" s="793"/>
      <c r="BR59" s="794"/>
      <c r="BS59" s="124"/>
      <c r="BT59" s="793"/>
      <c r="BU59" s="794"/>
      <c r="BV59" s="124"/>
      <c r="BW59" s="122"/>
      <c r="BX59" s="164"/>
      <c r="BY59" s="124"/>
      <c r="BZ59" s="793"/>
      <c r="CA59" s="794"/>
      <c r="CB59" s="124"/>
      <c r="CC59" s="122"/>
      <c r="CD59" s="164"/>
      <c r="CE59" s="124"/>
      <c r="CF59" s="793"/>
      <c r="CG59" s="794"/>
      <c r="CH59" s="124"/>
      <c r="CI59" s="122"/>
      <c r="CJ59" s="795"/>
      <c r="CK59" s="124"/>
      <c r="CL59" s="793"/>
      <c r="CM59" s="794"/>
      <c r="CN59" s="124"/>
      <c r="CO59" s="122"/>
      <c r="CP59" s="164"/>
      <c r="CQ59" s="124"/>
      <c r="CR59" s="793"/>
      <c r="CS59" s="794"/>
      <c r="CT59" s="124"/>
      <c r="CU59" s="122"/>
      <c r="CV59" s="164"/>
      <c r="CW59" s="124"/>
      <c r="CX59" s="793"/>
      <c r="CY59" s="794"/>
      <c r="CZ59" s="124"/>
      <c r="DA59" s="122"/>
      <c r="DB59" s="164"/>
      <c r="DC59" s="124"/>
      <c r="DD59" s="793"/>
      <c r="DE59" s="796"/>
      <c r="DF59" s="124"/>
      <c r="DG59" s="122"/>
      <c r="DH59" s="795"/>
      <c r="DI59" s="124"/>
      <c r="DJ59" s="793"/>
      <c r="DK59" s="796"/>
      <c r="DL59" s="124"/>
      <c r="DM59" s="122"/>
      <c r="DN59" s="795"/>
      <c r="DO59" s="124"/>
      <c r="DP59" s="122"/>
      <c r="DQ59" s="123"/>
      <c r="DR59" s="124"/>
      <c r="DS59" s="122"/>
      <c r="DT59" s="123"/>
      <c r="DU59" s="124"/>
      <c r="DV59" s="793"/>
      <c r="DW59" s="796"/>
      <c r="DX59" s="124"/>
      <c r="DY59" s="122"/>
      <c r="DZ59" s="795"/>
      <c r="EA59" s="124"/>
      <c r="EB59" s="793"/>
      <c r="EC59" s="796"/>
      <c r="ED59" s="124"/>
      <c r="EE59" s="122"/>
      <c r="EF59" s="795"/>
      <c r="EG59" s="124"/>
      <c r="EH59" s="793"/>
      <c r="EI59" s="796"/>
      <c r="EJ59" s="124"/>
      <c r="EK59" s="122"/>
      <c r="EL59" s="123"/>
      <c r="EM59" s="124"/>
      <c r="EN59" s="122"/>
      <c r="EO59" s="795"/>
      <c r="EP59" s="124"/>
      <c r="EQ59" s="122"/>
      <c r="ER59" s="164"/>
      <c r="ES59" s="124"/>
      <c r="ET59" s="122"/>
      <c r="EU59" s="795"/>
      <c r="EV59" s="124"/>
      <c r="EW59" s="793"/>
      <c r="EX59" s="796"/>
      <c r="EY59" s="124"/>
      <c r="EZ59" s="122"/>
      <c r="FA59" s="164"/>
      <c r="FB59" s="124"/>
      <c r="FC59" s="793"/>
      <c r="FD59" s="794"/>
      <c r="FE59" s="124"/>
      <c r="FF59" s="122"/>
      <c r="FG59" s="164"/>
      <c r="FH59" s="124"/>
      <c r="FI59" s="793"/>
      <c r="FJ59" s="794"/>
      <c r="FK59" s="124"/>
      <c r="FL59" s="122"/>
      <c r="FM59" s="164"/>
      <c r="FN59" s="124"/>
      <c r="FO59" s="793"/>
      <c r="FP59" s="796"/>
      <c r="FQ59" s="124"/>
      <c r="FR59" s="122"/>
      <c r="FS59" s="164"/>
      <c r="FT59" s="124"/>
      <c r="FU59" s="793"/>
      <c r="FV59" s="794"/>
      <c r="FW59" s="124"/>
      <c r="FX59" s="122"/>
      <c r="FY59" s="164"/>
      <c r="FZ59" s="124"/>
      <c r="GA59" s="793"/>
      <c r="GB59" s="794"/>
      <c r="GC59" s="124"/>
      <c r="GD59" s="122"/>
      <c r="GE59" s="164"/>
      <c r="GF59" s="124"/>
      <c r="GG59" s="793"/>
      <c r="GH59" s="794"/>
      <c r="GI59" s="124"/>
      <c r="GJ59" s="122"/>
      <c r="GK59" s="164"/>
      <c r="GL59" s="124"/>
      <c r="GM59" s="122"/>
      <c r="GN59" s="123"/>
      <c r="GO59" s="124"/>
      <c r="GP59" s="122"/>
      <c r="GQ59" s="123"/>
      <c r="GR59" s="124"/>
      <c r="GS59" s="122"/>
      <c r="GT59" s="123"/>
      <c r="GU59" s="124"/>
      <c r="GV59" s="122"/>
      <c r="GW59" s="123"/>
      <c r="GX59" s="124"/>
      <c r="GY59" s="122"/>
      <c r="GZ59" s="795"/>
      <c r="HA59" s="124"/>
      <c r="HB59" s="793"/>
      <c r="HC59" s="796"/>
      <c r="HD59" s="124"/>
      <c r="HE59" s="122"/>
      <c r="HF59" s="796"/>
      <c r="HG59" s="138"/>
      <c r="HH59" s="793"/>
      <c r="HI59" s="796"/>
      <c r="HJ59" s="124"/>
      <c r="HK59" s="122"/>
      <c r="HL59" s="795"/>
      <c r="HM59" s="124"/>
      <c r="HN59" s="793"/>
      <c r="HO59" s="796"/>
      <c r="HP59" s="124"/>
      <c r="HQ59" s="122"/>
      <c r="HR59" s="795"/>
      <c r="HS59" s="124"/>
      <c r="HT59" s="122"/>
      <c r="HU59" s="164"/>
      <c r="HV59" s="124"/>
      <c r="HW59" s="122"/>
      <c r="HX59" s="164"/>
      <c r="HY59" s="124"/>
      <c r="HZ59" s="122"/>
      <c r="IA59" s="164"/>
      <c r="IB59" s="124"/>
      <c r="IC59" s="793"/>
      <c r="ID59" s="794"/>
      <c r="IE59" s="124"/>
      <c r="IF59" s="122"/>
      <c r="IG59" s="796"/>
      <c r="IH59" s="124"/>
      <c r="II59" s="122"/>
      <c r="IJ59" s="164"/>
      <c r="IK59" s="124"/>
      <c r="IL59" s="122"/>
      <c r="IM59" s="123"/>
      <c r="IN59" s="124"/>
      <c r="IO59" s="122"/>
      <c r="IP59" s="123"/>
      <c r="IQ59" s="124"/>
      <c r="IR59" s="122"/>
      <c r="IS59" s="123"/>
      <c r="IT59" s="124"/>
      <c r="IU59" s="122"/>
      <c r="IV59" s="123"/>
      <c r="IW59" s="124"/>
      <c r="IX59" s="122"/>
      <c r="IY59" s="123"/>
      <c r="IZ59" s="124"/>
      <c r="JA59" s="122"/>
      <c r="JB59" s="123"/>
      <c r="JC59" s="124"/>
      <c r="JD59" s="122"/>
      <c r="JE59" s="123"/>
      <c r="JF59" s="124"/>
      <c r="JG59" s="122"/>
      <c r="JH59" s="795"/>
      <c r="JI59" s="124"/>
      <c r="JJ59" s="793"/>
      <c r="JK59" s="796"/>
      <c r="JL59" s="124"/>
      <c r="JM59" s="122"/>
      <c r="JN59" s="795"/>
      <c r="JO59" s="124"/>
      <c r="JP59" s="793"/>
      <c r="JQ59" s="796"/>
      <c r="JR59" s="124"/>
      <c r="JS59" s="122"/>
      <c r="JT59" s="795"/>
      <c r="JU59" s="169" t="str" cm="1">
        <f t="array" ref="JU59">IF( ISNUMBER(MATCH(JU$3,Entries!$B$3:$B$16,0)),           _xlfn.IFS(  JU58="","",      AND(SUMPRODUCT((Entries!$A$3:$A$16=JU58)*(Entries!$C$3:$C$16=JV58)*(Entries!$D$3:$D$16=JW58)) = 0,        _xlfn.XLOOKUP(JU$3,Entries!$B$3:$B$16,Entries!$E$3:$E$16,"Enter")="Booked"),   INDEX(Entries!$B$3:$E$16,MATCH(JU$3,Entries!$B$3:$B$16,0),2),      JU58 &lt;&gt;0,""                                                ),"")</f>
        <v/>
      </c>
      <c r="JV59" s="122" t="str" cm="1">
        <f t="array" ref="JV59">IF( ISNUMBER(MATCH(JU$3,Entries!$B$3:$B$16,0)),           _xlfn.IFS(  JU59="","",      SUMPRODUCT((Entries!$A$3:$A$16=JU58)*(Entries!$C$3:$C$16=JV58)*(Entries!$D$3:$D$16=JW58)) &lt;&gt;0,"",         _xlfn.XLOOKUP(JU$3,Entries!$B$3:$B$16,Entries!$E$3:$E$16,"Enter")="Booked",   INDEX(Entries!$B$3:$E$16,MATCH(JU$3,Entries!$B$3:$B$16,0),3),                                                    _xlfn.XLOOKUP(JU$3,Entries!$B$3:$B$16,Entries!$A$3:$A$16,"Error"),""),"")</f>
        <v/>
      </c>
      <c r="JW59" s="123" t="str" cm="1">
        <f t="array" ref="JW59">IF( ISNUMBER(MATCH(JU$3,Entries!$B$3:$B$16,0)),           _xlfn.IFS(  JU59="","",      SUMPRODUCT((Entries!$A$3:$A$16=JV58)*(Entries!$C$3:$C$16=JW58)*(Entries!$D$3:$D$16=JX58)) &lt;&gt;0,"",         _xlfn.XLOOKUP(JU$3,Entries!$B$3:$B$16,Entries!$E$3:$E$16,"Enter")="Booked",   INDEX(Entries!$B$3:$E$16,MATCH(JU$3,Entries!$B$3:$B$16,0),4),                                                    _xlfn.XLOOKUP(JU$3,Entries!$B$3:$B$16,Entries!$A$3:$A$16,"Error"),""),"")</f>
        <v/>
      </c>
      <c r="JX59" s="169" t="str" cm="1">
        <f t="array" ref="JX59">IF( ISNUMBER(MATCH(JX$3,Entries!$B$3:$B$16,0)),           _xlfn.IFS(  JX58="","",      AND(SUMPRODUCT((Entries!$A$3:$A$16=JX58)*(Entries!$C$3:$C$16=JY58)*(Entries!$D$3:$D$16=JZ58)) = 0,        _xlfn.XLOOKUP(JX$3,Entries!$B$3:$B$16,Entries!$E$3:$E$16,"Enter")="Booked"),   INDEX(Entries!$B$3:$E$16,MATCH(JX$3,Entries!$B$3:$B$16,0),2),      JX58 &lt;&gt;0,""                                                ),"")</f>
        <v/>
      </c>
      <c r="JY59" s="122" t="str" cm="1">
        <f t="array" ref="JY59">IF( ISNUMBER(MATCH(JX$3,Entries!$B$3:$B$16,0)),           _xlfn.IFS(  JX59="","",      SUMPRODUCT((Entries!$A$3:$A$16=JX58)*(Entries!$C$3:$C$16=JY58)*(Entries!$D$3:$D$16=JZ58)) &lt;&gt;0,"",         _xlfn.XLOOKUP(JX$3,Entries!$B$3:$B$16,Entries!$E$3:$E$16,"Enter")="Booked",   INDEX(Entries!$B$3:$E$16,MATCH(JX$3,Entries!$B$3:$B$16,0),3),                                                    _xlfn.XLOOKUP(JX$3,Entries!$B$3:$B$16,Entries!$A$3:$A$16,"Error"),""),"")</f>
        <v/>
      </c>
      <c r="JZ59" s="123" t="str" cm="1">
        <f t="array" ref="JZ59">IF( ISNUMBER(MATCH(JX$3,Entries!$B$3:$B$16,0)),           _xlfn.IFS(  JX59="","",      SUMPRODUCT((Entries!$A$3:$A$16=JY58)*(Entries!$C$3:$C$16=JZ58)*(Entries!$D$3:$D$16=KA58)) &lt;&gt;0,"",         _xlfn.XLOOKUP(JX$3,Entries!$B$3:$B$16,Entries!$E$3:$E$16,"Enter")="Booked",   INDEX(Entries!$B$3:$E$16,MATCH(JX$3,Entries!$B$3:$B$16,0),4),                                                    _xlfn.XLOOKUP(JX$3,Entries!$B$3:$B$16,Entries!$A$3:$A$16,"Error"),""),"")</f>
        <v/>
      </c>
      <c r="KA59" s="169" t="str" cm="1">
        <f t="array" ref="KA59">IF( ISNUMBER(MATCH(KA$3,Entries!$B$3:$B$16,0)),           _xlfn.IFS(  KA58="","",      AND(SUMPRODUCT((Entries!$A$3:$A$16=KA58)*(Entries!$C$3:$C$16=KB58)*(Entries!$D$3:$D$16=KC58)) = 0,        _xlfn.XLOOKUP(KA$3,Entries!$B$3:$B$16,Entries!$E$3:$E$16,"Enter")="Booked"),   INDEX(Entries!$B$3:$E$16,MATCH(KA$3,Entries!$B$3:$B$16,0),2),      KA58 &lt;&gt;0,""                                                ),"")</f>
        <v/>
      </c>
      <c r="KB59" s="122" t="str" cm="1">
        <f t="array" ref="KB59">IF( ISNUMBER(MATCH(KA$3,Entries!$B$3:$B$16,0)),           _xlfn.IFS(  KA59="","",      SUMPRODUCT((Entries!$A$3:$A$16=KA58)*(Entries!$C$3:$C$16=KB58)*(Entries!$D$3:$D$16=KC58)) &lt;&gt;0,"",         _xlfn.XLOOKUP(KA$3,Entries!$B$3:$B$16,Entries!$E$3:$E$16,"Enter")="Booked",   INDEX(Entries!$B$3:$E$16,MATCH(KA$3,Entries!$B$3:$B$16,0),3),                                                    _xlfn.XLOOKUP(KA$3,Entries!$B$3:$B$16,Entries!$A$3:$A$16,"Error"),""),"")</f>
        <v/>
      </c>
      <c r="KC59" s="123" t="str" cm="1">
        <f t="array" ref="KC59">IF( ISNUMBER(MATCH(KA$3,Entries!$B$3:$B$16,0)),           _xlfn.IFS(  KA59="","",      SUMPRODUCT((Entries!$A$3:$A$16=KB58)*(Entries!$C$3:$C$16=KC58)*(Entries!$D$3:$D$16=KD58)) &lt;&gt;0,"",         _xlfn.XLOOKUP(KA$3,Entries!$B$3:$B$16,Entries!$E$3:$E$16,"Enter")="Booked",   INDEX(Entries!$B$3:$E$16,MATCH(KA$3,Entries!$B$3:$B$16,0),4),                                                    _xlfn.XLOOKUP(KA$3,Entries!$B$3:$B$16,Entries!$A$3:$A$16,"Error"),""),"")</f>
        <v/>
      </c>
      <c r="KD59" s="169" t="str" cm="1">
        <f t="array" ref="KD59">IF( ISNUMBER(MATCH(KD$3,Entries!$B$3:$B$16,0)),           _xlfn.IFS(  KD58="","",      AND(SUMPRODUCT((Entries!$A$3:$A$16=KD58)*(Entries!$C$3:$C$16=KE58)*(Entries!$D$3:$D$16=KF58)) = 0,        _xlfn.XLOOKUP(KD$3,Entries!$B$3:$B$16,Entries!$E$3:$E$16,"Enter")="Booked"),   INDEX(Entries!$B$3:$E$16,MATCH(KD$3,Entries!$B$3:$B$16,0),2),      KD58 &lt;&gt;0,""                                                ),"")</f>
        <v/>
      </c>
      <c r="KE59" s="122" t="str" cm="1">
        <f t="array" ref="KE59">IF( ISNUMBER(MATCH(KD$3,Entries!$B$3:$B$16,0)),           _xlfn.IFS(  KD59="","",      SUMPRODUCT((Entries!$A$3:$A$16=KD58)*(Entries!$C$3:$C$16=KE58)*(Entries!$D$3:$D$16=KF58)) &lt;&gt;0,"",         _xlfn.XLOOKUP(KD$3,Entries!$B$3:$B$16,Entries!$E$3:$E$16,"Enter")="Booked",   INDEX(Entries!$B$3:$E$16,MATCH(KD$3,Entries!$B$3:$B$16,0),3),                                                    _xlfn.XLOOKUP(KD$3,Entries!$B$3:$B$16,Entries!$A$3:$A$16,"Error"),""),"")</f>
        <v/>
      </c>
      <c r="KF59" s="123" t="str" cm="1">
        <f t="array" ref="KF59">IF( ISNUMBER(MATCH(KD$3,Entries!$B$3:$B$16,0)),           _xlfn.IFS(  KD59="","",      SUMPRODUCT((Entries!$A$3:$A$16=KE58)*(Entries!$C$3:$C$16=KF58)*(Entries!$D$3:$D$16=KG58)) &lt;&gt;0,"",         _xlfn.XLOOKUP(KD$3,Entries!$B$3:$B$16,Entries!$E$3:$E$16,"Enter")="Booked",   INDEX(Entries!$B$3:$E$16,MATCH(KD$3,Entries!$B$3:$B$16,0),4),                                                    _xlfn.XLOOKUP(KD$3,Entries!$B$3:$B$16,Entries!$A$3:$A$16,"Error"),""),"")</f>
        <v/>
      </c>
    </row>
    <row r="60" spans="1:292">
      <c r="A60" s="792"/>
      <c r="B60" s="124"/>
      <c r="C60" s="122"/>
      <c r="D60" s="164"/>
      <c r="E60" s="124"/>
      <c r="F60" s="793"/>
      <c r="G60" s="794"/>
      <c r="H60" s="124"/>
      <c r="I60" s="122"/>
      <c r="J60" s="164"/>
      <c r="K60" s="124"/>
      <c r="L60" s="793"/>
      <c r="M60" s="794"/>
      <c r="N60" s="138"/>
      <c r="O60" s="122"/>
      <c r="P60" s="794"/>
      <c r="Q60" s="138"/>
      <c r="R60" s="122"/>
      <c r="S60" s="794"/>
      <c r="T60" s="794"/>
      <c r="U60" s="794"/>
      <c r="V60" s="794"/>
      <c r="W60" s="138"/>
      <c r="X60" s="793"/>
      <c r="Y60" s="794"/>
      <c r="Z60" s="138"/>
      <c r="AA60" s="122"/>
      <c r="AB60" s="794"/>
      <c r="AC60" s="138"/>
      <c r="AD60" s="793"/>
      <c r="AE60" s="794"/>
      <c r="AF60" s="138"/>
      <c r="AG60" s="793"/>
      <c r="AH60" s="794"/>
      <c r="AI60" s="138"/>
      <c r="AJ60" s="793"/>
      <c r="AK60" s="794"/>
      <c r="AL60" s="138"/>
      <c r="AM60" s="793"/>
      <c r="AN60" s="794"/>
      <c r="AO60" s="124"/>
      <c r="AP60" s="793"/>
      <c r="AQ60" s="794"/>
      <c r="AR60" s="124"/>
      <c r="AS60" s="793"/>
      <c r="AT60" s="794"/>
      <c r="AU60" s="124"/>
      <c r="AV60" s="793"/>
      <c r="AW60" s="794"/>
      <c r="AX60" s="124"/>
      <c r="AY60" s="793"/>
      <c r="AZ60" s="794"/>
      <c r="BA60" s="124"/>
      <c r="BB60" s="793"/>
      <c r="BC60" s="794"/>
      <c r="BD60" s="124"/>
      <c r="BE60" s="793"/>
      <c r="BF60" s="794"/>
      <c r="BG60" s="124"/>
      <c r="BH60" s="793"/>
      <c r="BI60" s="794"/>
      <c r="BJ60" s="124"/>
      <c r="BK60" s="793"/>
      <c r="BL60" s="794"/>
      <c r="BM60" s="124"/>
      <c r="BN60" s="793"/>
      <c r="BO60" s="794"/>
      <c r="BP60" s="124"/>
      <c r="BQ60" s="793"/>
      <c r="BR60" s="794"/>
      <c r="BS60" s="124"/>
      <c r="BT60" s="793"/>
      <c r="BU60" s="794"/>
      <c r="BV60" s="124"/>
      <c r="BW60" s="122"/>
      <c r="BX60" s="164"/>
      <c r="BY60" s="124"/>
      <c r="BZ60" s="793"/>
      <c r="CA60" s="794"/>
      <c r="CB60" s="124"/>
      <c r="CC60" s="122"/>
      <c r="CD60" s="164"/>
      <c r="CE60" s="124"/>
      <c r="CF60" s="793"/>
      <c r="CG60" s="794"/>
      <c r="CH60" s="124"/>
      <c r="CI60" s="122"/>
      <c r="CJ60" s="795"/>
      <c r="CK60" s="124"/>
      <c r="CL60" s="793"/>
      <c r="CM60" s="794"/>
      <c r="CN60" s="124"/>
      <c r="CO60" s="122"/>
      <c r="CP60" s="164"/>
      <c r="CQ60" s="124"/>
      <c r="CR60" s="793"/>
      <c r="CS60" s="794"/>
      <c r="CT60" s="124"/>
      <c r="CU60" s="122"/>
      <c r="CV60" s="164"/>
      <c r="CW60" s="124"/>
      <c r="CX60" s="793"/>
      <c r="CY60" s="794"/>
      <c r="CZ60" s="124"/>
      <c r="DA60" s="122"/>
      <c r="DB60" s="164"/>
      <c r="DC60" s="124"/>
      <c r="DD60" s="793"/>
      <c r="DE60" s="796"/>
      <c r="DF60" s="124"/>
      <c r="DG60" s="122"/>
      <c r="DH60" s="795"/>
      <c r="DI60" s="124"/>
      <c r="DJ60" s="793"/>
      <c r="DK60" s="796"/>
      <c r="DL60" s="124"/>
      <c r="DM60" s="122"/>
      <c r="DN60" s="795"/>
      <c r="DO60" s="124"/>
      <c r="DP60" s="122"/>
      <c r="DQ60" s="123"/>
      <c r="DR60" s="124"/>
      <c r="DS60" s="122"/>
      <c r="DT60" s="123"/>
      <c r="DU60" s="124"/>
      <c r="DV60" s="793"/>
      <c r="DW60" s="796"/>
      <c r="DX60" s="124"/>
      <c r="DY60" s="122"/>
      <c r="DZ60" s="795"/>
      <c r="EA60" s="124"/>
      <c r="EB60" s="793"/>
      <c r="EC60" s="796"/>
      <c r="ED60" s="124"/>
      <c r="EE60" s="122"/>
      <c r="EF60" s="795"/>
      <c r="EG60" s="124"/>
      <c r="EH60" s="793"/>
      <c r="EI60" s="796"/>
      <c r="EJ60" s="124"/>
      <c r="EK60" s="122"/>
      <c r="EL60" s="123"/>
      <c r="EM60" s="124"/>
      <c r="EN60" s="122"/>
      <c r="EO60" s="795"/>
      <c r="EP60" s="124"/>
      <c r="EQ60" s="122"/>
      <c r="ER60" s="164"/>
      <c r="ES60" s="124"/>
      <c r="ET60" s="122"/>
      <c r="EU60" s="795"/>
      <c r="EV60" s="124"/>
      <c r="EW60" s="793"/>
      <c r="EX60" s="796"/>
      <c r="EY60" s="124"/>
      <c r="EZ60" s="122"/>
      <c r="FA60" s="164"/>
      <c r="FB60" s="124"/>
      <c r="FC60" s="793"/>
      <c r="FD60" s="794"/>
      <c r="FE60" s="124"/>
      <c r="FF60" s="122"/>
      <c r="FG60" s="164"/>
      <c r="FH60" s="124"/>
      <c r="FI60" s="793"/>
      <c r="FJ60" s="794"/>
      <c r="FK60" s="124"/>
      <c r="FL60" s="122"/>
      <c r="FM60" s="164"/>
      <c r="FN60" s="124"/>
      <c r="FO60" s="793"/>
      <c r="FP60" s="796"/>
      <c r="FQ60" s="124"/>
      <c r="FR60" s="122"/>
      <c r="FS60" s="164"/>
      <c r="FT60" s="124"/>
      <c r="FU60" s="793"/>
      <c r="FV60" s="794"/>
      <c r="FW60" s="124"/>
      <c r="FX60" s="122"/>
      <c r="FY60" s="164"/>
      <c r="FZ60" s="124"/>
      <c r="GA60" s="793"/>
      <c r="GB60" s="794"/>
      <c r="GC60" s="124"/>
      <c r="GD60" s="122"/>
      <c r="GE60" s="164"/>
      <c r="GF60" s="124"/>
      <c r="GG60" s="793"/>
      <c r="GH60" s="794"/>
      <c r="GI60" s="124"/>
      <c r="GJ60" s="122"/>
      <c r="GK60" s="164"/>
      <c r="GL60" s="124"/>
      <c r="GM60" s="122"/>
      <c r="GN60" s="123"/>
      <c r="GO60" s="124"/>
      <c r="GP60" s="122"/>
      <c r="GQ60" s="123"/>
      <c r="GR60" s="124"/>
      <c r="GS60" s="122"/>
      <c r="GT60" s="123"/>
      <c r="GU60" s="124"/>
      <c r="GV60" s="122"/>
      <c r="GW60" s="123"/>
      <c r="GX60" s="124"/>
      <c r="GY60" s="122"/>
      <c r="GZ60" s="795"/>
      <c r="HA60" s="124"/>
      <c r="HB60" s="793"/>
      <c r="HC60" s="796"/>
      <c r="HD60" s="124"/>
      <c r="HE60" s="122"/>
      <c r="HF60" s="796"/>
      <c r="HG60" s="138"/>
      <c r="HH60" s="793"/>
      <c r="HI60" s="796"/>
      <c r="HJ60" s="124"/>
      <c r="HK60" s="122"/>
      <c r="HL60" s="795"/>
      <c r="HM60" s="124"/>
      <c r="HN60" s="793"/>
      <c r="HO60" s="796"/>
      <c r="HP60" s="124"/>
      <c r="HQ60" s="122"/>
      <c r="HR60" s="795"/>
      <c r="HS60" s="124"/>
      <c r="HT60" s="122"/>
      <c r="HU60" s="164"/>
      <c r="HV60" s="124"/>
      <c r="HW60" s="122"/>
      <c r="HX60" s="164"/>
      <c r="HY60" s="124"/>
      <c r="HZ60" s="122"/>
      <c r="IA60" s="164"/>
      <c r="IB60" s="124"/>
      <c r="IC60" s="793"/>
      <c r="ID60" s="794"/>
      <c r="IE60" s="124"/>
      <c r="IF60" s="122"/>
      <c r="IG60" s="796"/>
      <c r="IH60" s="124"/>
      <c r="II60" s="122"/>
      <c r="IJ60" s="164"/>
      <c r="IK60" s="124"/>
      <c r="IL60" s="122"/>
      <c r="IM60" s="123"/>
      <c r="IN60" s="124"/>
      <c r="IO60" s="122"/>
      <c r="IP60" s="123"/>
      <c r="IQ60" s="124"/>
      <c r="IR60" s="122"/>
      <c r="IS60" s="123"/>
      <c r="IT60" s="124"/>
      <c r="IU60" s="122"/>
      <c r="IV60" s="123"/>
      <c r="IW60" s="124"/>
      <c r="IX60" s="122"/>
      <c r="IY60" s="123"/>
      <c r="IZ60" s="124"/>
      <c r="JA60" s="122"/>
      <c r="JB60" s="123"/>
      <c r="JC60" s="124"/>
      <c r="JD60" s="122"/>
      <c r="JE60" s="123"/>
      <c r="JF60" s="124"/>
      <c r="JG60" s="122"/>
      <c r="JH60" s="795"/>
      <c r="JI60" s="124"/>
      <c r="JJ60" s="793"/>
      <c r="JK60" s="796"/>
      <c r="JL60" s="124"/>
      <c r="JM60" s="122"/>
      <c r="JN60" s="795"/>
      <c r="JO60" s="124"/>
      <c r="JP60" s="793"/>
      <c r="JQ60" s="796"/>
      <c r="JR60" s="124"/>
      <c r="JS60" s="122"/>
      <c r="JT60" s="795"/>
      <c r="JU60" s="169" t="str" cm="1">
        <f t="array" ref="JU60">IF( ISNUMBER(MATCH(JU$3,Entries!$B$3:$B$16,0)),           _xlfn.IFS(  JU59="","",      AND(SUMPRODUCT((Entries!$A$3:$A$16=JU59)*(Entries!$C$3:$C$16=JV59)*(Entries!$D$3:$D$16=JW59)) = 0,        _xlfn.XLOOKUP(JU$3,Entries!$B$3:$B$16,Entries!$E$3:$E$16,"Enter")="Booked"),   INDEX(Entries!$B$3:$E$16,MATCH(JU$3,Entries!$B$3:$B$16,0),2),      JU59 &lt;&gt;0,""                                                ),"")</f>
        <v/>
      </c>
      <c r="JV60" s="122" t="str" cm="1">
        <f t="array" ref="JV60">IF( ISNUMBER(MATCH(JU$3,Entries!$B$3:$B$16,0)),           _xlfn.IFS(  JU60="","",      SUMPRODUCT((Entries!$A$3:$A$16=JU59)*(Entries!$C$3:$C$16=JV59)*(Entries!$D$3:$D$16=JW59)) &lt;&gt;0,"",         _xlfn.XLOOKUP(JU$3,Entries!$B$3:$B$16,Entries!$E$3:$E$16,"Enter")="Booked",   INDEX(Entries!$B$3:$E$16,MATCH(JU$3,Entries!$B$3:$B$16,0),3),                                                    _xlfn.XLOOKUP(JU$3,Entries!$B$3:$B$16,Entries!$A$3:$A$16,"Error"),""),"")</f>
        <v/>
      </c>
      <c r="JW60" s="123" t="str" cm="1">
        <f t="array" ref="JW60">IF( ISNUMBER(MATCH(JU$3,Entries!$B$3:$B$16,0)),           _xlfn.IFS(  JU60="","",      SUMPRODUCT((Entries!$A$3:$A$16=JV59)*(Entries!$C$3:$C$16=JW59)*(Entries!$D$3:$D$16=JX59)) &lt;&gt;0,"",         _xlfn.XLOOKUP(JU$3,Entries!$B$3:$B$16,Entries!$E$3:$E$16,"Enter")="Booked",   INDEX(Entries!$B$3:$E$16,MATCH(JU$3,Entries!$B$3:$B$16,0),4),                                                    _xlfn.XLOOKUP(JU$3,Entries!$B$3:$B$16,Entries!$A$3:$A$16,"Error"),""),"")</f>
        <v/>
      </c>
      <c r="JX60" s="169" t="str" cm="1">
        <f t="array" ref="JX60">IF( ISNUMBER(MATCH(JX$3,Entries!$B$3:$B$16,0)),           _xlfn.IFS(  JX59="","",      AND(SUMPRODUCT((Entries!$A$3:$A$16=JX59)*(Entries!$C$3:$C$16=JY59)*(Entries!$D$3:$D$16=JZ59)) = 0,        _xlfn.XLOOKUP(JX$3,Entries!$B$3:$B$16,Entries!$E$3:$E$16,"Enter")="Booked"),   INDEX(Entries!$B$3:$E$16,MATCH(JX$3,Entries!$B$3:$B$16,0),2),      JX59 &lt;&gt;0,""                                                ),"")</f>
        <v/>
      </c>
      <c r="JY60" s="122" t="str" cm="1">
        <f t="array" ref="JY60">IF( ISNUMBER(MATCH(JX$3,Entries!$B$3:$B$16,0)),           _xlfn.IFS(  JX60="","",      SUMPRODUCT((Entries!$A$3:$A$16=JX59)*(Entries!$C$3:$C$16=JY59)*(Entries!$D$3:$D$16=JZ59)) &lt;&gt;0,"",         _xlfn.XLOOKUP(JX$3,Entries!$B$3:$B$16,Entries!$E$3:$E$16,"Enter")="Booked",   INDEX(Entries!$B$3:$E$16,MATCH(JX$3,Entries!$B$3:$B$16,0),3),                                                    _xlfn.XLOOKUP(JX$3,Entries!$B$3:$B$16,Entries!$A$3:$A$16,"Error"),""),"")</f>
        <v/>
      </c>
      <c r="JZ60" s="123" t="str" cm="1">
        <f t="array" ref="JZ60">IF( ISNUMBER(MATCH(JX$3,Entries!$B$3:$B$16,0)),           _xlfn.IFS(  JX60="","",      SUMPRODUCT((Entries!$A$3:$A$16=JY59)*(Entries!$C$3:$C$16=JZ59)*(Entries!$D$3:$D$16=KA59)) &lt;&gt;0,"",         _xlfn.XLOOKUP(JX$3,Entries!$B$3:$B$16,Entries!$E$3:$E$16,"Enter")="Booked",   INDEX(Entries!$B$3:$E$16,MATCH(JX$3,Entries!$B$3:$B$16,0),4),                                                    _xlfn.XLOOKUP(JX$3,Entries!$B$3:$B$16,Entries!$A$3:$A$16,"Error"),""),"")</f>
        <v/>
      </c>
      <c r="KA60" s="169" t="str" cm="1">
        <f t="array" ref="KA60">IF( ISNUMBER(MATCH(KA$3,Entries!$B$3:$B$16,0)),           _xlfn.IFS(  KA59="","",      AND(SUMPRODUCT((Entries!$A$3:$A$16=KA59)*(Entries!$C$3:$C$16=KB59)*(Entries!$D$3:$D$16=KC59)) = 0,        _xlfn.XLOOKUP(KA$3,Entries!$B$3:$B$16,Entries!$E$3:$E$16,"Enter")="Booked"),   INDEX(Entries!$B$3:$E$16,MATCH(KA$3,Entries!$B$3:$B$16,0),2),      KA59 &lt;&gt;0,""                                                ),"")</f>
        <v/>
      </c>
      <c r="KB60" s="122" t="str" cm="1">
        <f t="array" ref="KB60">IF( ISNUMBER(MATCH(KA$3,Entries!$B$3:$B$16,0)),           _xlfn.IFS(  KA60="","",      SUMPRODUCT((Entries!$A$3:$A$16=KA59)*(Entries!$C$3:$C$16=KB59)*(Entries!$D$3:$D$16=KC59)) &lt;&gt;0,"",         _xlfn.XLOOKUP(KA$3,Entries!$B$3:$B$16,Entries!$E$3:$E$16,"Enter")="Booked",   INDEX(Entries!$B$3:$E$16,MATCH(KA$3,Entries!$B$3:$B$16,0),3),                                                    _xlfn.XLOOKUP(KA$3,Entries!$B$3:$B$16,Entries!$A$3:$A$16,"Error"),""),"")</f>
        <v/>
      </c>
      <c r="KC60" s="123" t="str" cm="1">
        <f t="array" ref="KC60">IF( ISNUMBER(MATCH(KA$3,Entries!$B$3:$B$16,0)),           _xlfn.IFS(  KA60="","",      SUMPRODUCT((Entries!$A$3:$A$16=KB59)*(Entries!$C$3:$C$16=KC59)*(Entries!$D$3:$D$16=KD59)) &lt;&gt;0,"",         _xlfn.XLOOKUP(KA$3,Entries!$B$3:$B$16,Entries!$E$3:$E$16,"Enter")="Booked",   INDEX(Entries!$B$3:$E$16,MATCH(KA$3,Entries!$B$3:$B$16,0),4),                                                    _xlfn.XLOOKUP(KA$3,Entries!$B$3:$B$16,Entries!$A$3:$A$16,"Error"),""),"")</f>
        <v/>
      </c>
      <c r="KD60" s="169" t="str" cm="1">
        <f t="array" ref="KD60">IF( ISNUMBER(MATCH(KD$3,Entries!$B$3:$B$16,0)),           _xlfn.IFS(  KD59="","",      AND(SUMPRODUCT((Entries!$A$3:$A$16=KD59)*(Entries!$C$3:$C$16=KE59)*(Entries!$D$3:$D$16=KF59)) = 0,        _xlfn.XLOOKUP(KD$3,Entries!$B$3:$B$16,Entries!$E$3:$E$16,"Enter")="Booked"),   INDEX(Entries!$B$3:$E$16,MATCH(KD$3,Entries!$B$3:$B$16,0),2),      KD59 &lt;&gt;0,""                                                ),"")</f>
        <v/>
      </c>
      <c r="KE60" s="122" t="str" cm="1">
        <f t="array" ref="KE60">IF( ISNUMBER(MATCH(KD$3,Entries!$B$3:$B$16,0)),           _xlfn.IFS(  KD60="","",      SUMPRODUCT((Entries!$A$3:$A$16=KD59)*(Entries!$C$3:$C$16=KE59)*(Entries!$D$3:$D$16=KF59)) &lt;&gt;0,"",         _xlfn.XLOOKUP(KD$3,Entries!$B$3:$B$16,Entries!$E$3:$E$16,"Enter")="Booked",   INDEX(Entries!$B$3:$E$16,MATCH(KD$3,Entries!$B$3:$B$16,0),3),                                                    _xlfn.XLOOKUP(KD$3,Entries!$B$3:$B$16,Entries!$A$3:$A$16,"Error"),""),"")</f>
        <v/>
      </c>
      <c r="KF60" s="123" t="str" cm="1">
        <f t="array" ref="KF60">IF( ISNUMBER(MATCH(KD$3,Entries!$B$3:$B$16,0)),           _xlfn.IFS(  KD60="","",      SUMPRODUCT((Entries!$A$3:$A$16=KE59)*(Entries!$C$3:$C$16=KF59)*(Entries!$D$3:$D$16=KG59)) &lt;&gt;0,"",         _xlfn.XLOOKUP(KD$3,Entries!$B$3:$B$16,Entries!$E$3:$E$16,"Enter")="Booked",   INDEX(Entries!$B$3:$E$16,MATCH(KD$3,Entries!$B$3:$B$16,0),4),                                                    _xlfn.XLOOKUP(KD$3,Entries!$B$3:$B$16,Entries!$A$3:$A$16,"Error"),""),"")</f>
        <v/>
      </c>
    </row>
    <row r="61" spans="1:292">
      <c r="A61" s="792"/>
      <c r="B61" s="124"/>
      <c r="C61" s="122"/>
      <c r="D61" s="164"/>
      <c r="E61" s="124"/>
      <c r="F61" s="793"/>
      <c r="G61" s="794"/>
      <c r="H61" s="124"/>
      <c r="I61" s="122"/>
      <c r="J61" s="164"/>
      <c r="K61" s="124"/>
      <c r="L61" s="793"/>
      <c r="M61" s="794"/>
      <c r="N61" s="138"/>
      <c r="O61" s="122"/>
      <c r="P61" s="794"/>
      <c r="Q61" s="138"/>
      <c r="R61" s="122"/>
      <c r="S61" s="794"/>
      <c r="T61" s="794"/>
      <c r="U61" s="794"/>
      <c r="V61" s="794"/>
      <c r="W61" s="138"/>
      <c r="X61" s="793"/>
      <c r="Y61" s="794"/>
      <c r="Z61" s="138"/>
      <c r="AA61" s="122"/>
      <c r="AB61" s="794"/>
      <c r="AC61" s="138"/>
      <c r="AD61" s="793"/>
      <c r="AE61" s="794"/>
      <c r="AF61" s="138"/>
      <c r="AG61" s="793"/>
      <c r="AH61" s="794"/>
      <c r="AI61" s="138"/>
      <c r="AJ61" s="793"/>
      <c r="AK61" s="794"/>
      <c r="AL61" s="138"/>
      <c r="AM61" s="793"/>
      <c r="AN61" s="794"/>
      <c r="AO61" s="124"/>
      <c r="AP61" s="793"/>
      <c r="AQ61" s="794"/>
      <c r="AR61" s="124"/>
      <c r="AS61" s="793"/>
      <c r="AT61" s="794"/>
      <c r="AU61" s="124"/>
      <c r="AV61" s="793"/>
      <c r="AW61" s="794"/>
      <c r="AX61" s="124"/>
      <c r="AY61" s="793"/>
      <c r="AZ61" s="794"/>
      <c r="BA61" s="124"/>
      <c r="BB61" s="793"/>
      <c r="BC61" s="794"/>
      <c r="BD61" s="124"/>
      <c r="BE61" s="793"/>
      <c r="BF61" s="794"/>
      <c r="BG61" s="124"/>
      <c r="BH61" s="793"/>
      <c r="BI61" s="794"/>
      <c r="BJ61" s="124"/>
      <c r="BK61" s="793"/>
      <c r="BL61" s="794"/>
      <c r="BM61" s="124"/>
      <c r="BN61" s="793"/>
      <c r="BO61" s="794"/>
      <c r="BP61" s="124"/>
      <c r="BQ61" s="793"/>
      <c r="BR61" s="794"/>
      <c r="BS61" s="124"/>
      <c r="BT61" s="793"/>
      <c r="BU61" s="794"/>
      <c r="BV61" s="124"/>
      <c r="BW61" s="122"/>
      <c r="BX61" s="164"/>
      <c r="BY61" s="124"/>
      <c r="BZ61" s="793"/>
      <c r="CA61" s="794"/>
      <c r="CB61" s="124"/>
      <c r="CC61" s="122"/>
      <c r="CD61" s="164"/>
      <c r="CE61" s="124"/>
      <c r="CF61" s="793"/>
      <c r="CG61" s="794"/>
      <c r="CH61" s="124"/>
      <c r="CI61" s="122"/>
      <c r="CJ61" s="795"/>
      <c r="CK61" s="124"/>
      <c r="CL61" s="793"/>
      <c r="CM61" s="794"/>
      <c r="CN61" s="124"/>
      <c r="CO61" s="122"/>
      <c r="CP61" s="164"/>
      <c r="CQ61" s="124"/>
      <c r="CR61" s="793"/>
      <c r="CS61" s="794"/>
      <c r="CT61" s="124"/>
      <c r="CU61" s="122"/>
      <c r="CV61" s="164"/>
      <c r="CW61" s="124"/>
      <c r="CX61" s="793"/>
      <c r="CY61" s="794"/>
      <c r="CZ61" s="124"/>
      <c r="DA61" s="122"/>
      <c r="DB61" s="164"/>
      <c r="DC61" s="124"/>
      <c r="DD61" s="793"/>
      <c r="DE61" s="796"/>
      <c r="DF61" s="124"/>
      <c r="DG61" s="122"/>
      <c r="DH61" s="795"/>
      <c r="DI61" s="124"/>
      <c r="DJ61" s="793"/>
      <c r="DK61" s="796"/>
      <c r="DL61" s="124"/>
      <c r="DM61" s="122"/>
      <c r="DN61" s="795"/>
      <c r="DO61" s="124"/>
      <c r="DP61" s="122"/>
      <c r="DQ61" s="123"/>
      <c r="DR61" s="124"/>
      <c r="DS61" s="122"/>
      <c r="DT61" s="123"/>
      <c r="DU61" s="124"/>
      <c r="DV61" s="793"/>
      <c r="DW61" s="796"/>
      <c r="DX61" s="124"/>
      <c r="DY61" s="122"/>
      <c r="DZ61" s="795"/>
      <c r="EA61" s="124"/>
      <c r="EB61" s="793"/>
      <c r="EC61" s="796"/>
      <c r="ED61" s="124"/>
      <c r="EE61" s="122"/>
      <c r="EF61" s="795"/>
      <c r="EG61" s="124"/>
      <c r="EH61" s="793"/>
      <c r="EI61" s="796"/>
      <c r="EJ61" s="124"/>
      <c r="EK61" s="122"/>
      <c r="EL61" s="123"/>
      <c r="EM61" s="124"/>
      <c r="EN61" s="122"/>
      <c r="EO61" s="795"/>
      <c r="EP61" s="124"/>
      <c r="EQ61" s="122"/>
      <c r="ER61" s="164"/>
      <c r="ES61" s="124"/>
      <c r="ET61" s="122"/>
      <c r="EU61" s="795"/>
      <c r="EV61" s="124"/>
      <c r="EW61" s="793"/>
      <c r="EX61" s="796"/>
      <c r="EY61" s="124"/>
      <c r="EZ61" s="122"/>
      <c r="FA61" s="164"/>
      <c r="FB61" s="124"/>
      <c r="FC61" s="793"/>
      <c r="FD61" s="794"/>
      <c r="FE61" s="124"/>
      <c r="FF61" s="122"/>
      <c r="FG61" s="164"/>
      <c r="FH61" s="124"/>
      <c r="FI61" s="793"/>
      <c r="FJ61" s="794"/>
      <c r="FK61" s="124"/>
      <c r="FL61" s="122"/>
      <c r="FM61" s="164"/>
      <c r="FN61" s="124"/>
      <c r="FO61" s="793"/>
      <c r="FP61" s="796"/>
      <c r="FQ61" s="124"/>
      <c r="FR61" s="122"/>
      <c r="FS61" s="164"/>
      <c r="FT61" s="124"/>
      <c r="FU61" s="793"/>
      <c r="FV61" s="794"/>
      <c r="FW61" s="124"/>
      <c r="FX61" s="122"/>
      <c r="FY61" s="164"/>
      <c r="FZ61" s="124"/>
      <c r="GA61" s="793"/>
      <c r="GB61" s="794"/>
      <c r="GC61" s="124"/>
      <c r="GD61" s="122"/>
      <c r="GE61" s="164"/>
      <c r="GF61" s="124"/>
      <c r="GG61" s="793"/>
      <c r="GH61" s="794"/>
      <c r="GI61" s="124"/>
      <c r="GJ61" s="122"/>
      <c r="GK61" s="164"/>
      <c r="GL61" s="124"/>
      <c r="GM61" s="122"/>
      <c r="GN61" s="123"/>
      <c r="GO61" s="124"/>
      <c r="GP61" s="122"/>
      <c r="GQ61" s="123"/>
      <c r="GR61" s="124"/>
      <c r="GS61" s="122"/>
      <c r="GT61" s="123"/>
      <c r="GU61" s="124"/>
      <c r="GV61" s="122"/>
      <c r="GW61" s="123"/>
      <c r="GX61" s="124"/>
      <c r="GY61" s="122"/>
      <c r="GZ61" s="795"/>
      <c r="HA61" s="124"/>
      <c r="HB61" s="793"/>
      <c r="HC61" s="796"/>
      <c r="HD61" s="124"/>
      <c r="HE61" s="122"/>
      <c r="HF61" s="796"/>
      <c r="HG61" s="138"/>
      <c r="HH61" s="793"/>
      <c r="HI61" s="796"/>
      <c r="HJ61" s="124"/>
      <c r="HK61" s="122"/>
      <c r="HL61" s="795"/>
      <c r="HM61" s="124"/>
      <c r="HN61" s="793"/>
      <c r="HO61" s="796"/>
      <c r="HP61" s="124"/>
      <c r="HQ61" s="122"/>
      <c r="HR61" s="795"/>
      <c r="HS61" s="124"/>
      <c r="HT61" s="122"/>
      <c r="HU61" s="164"/>
      <c r="HV61" s="124"/>
      <c r="HW61" s="122"/>
      <c r="HX61" s="164"/>
      <c r="HY61" s="124"/>
      <c r="HZ61" s="122"/>
      <c r="IA61" s="164"/>
      <c r="IB61" s="124"/>
      <c r="IC61" s="793"/>
      <c r="ID61" s="794"/>
      <c r="IE61" s="124"/>
      <c r="IF61" s="122"/>
      <c r="IG61" s="796"/>
      <c r="IH61" s="124"/>
      <c r="II61" s="122"/>
      <c r="IJ61" s="164"/>
      <c r="IK61" s="124"/>
      <c r="IL61" s="122"/>
      <c r="IM61" s="123"/>
      <c r="IN61" s="124"/>
      <c r="IO61" s="122"/>
      <c r="IP61" s="123"/>
      <c r="IQ61" s="124"/>
      <c r="IR61" s="122"/>
      <c r="IS61" s="123"/>
      <c r="IT61" s="124"/>
      <c r="IU61" s="122"/>
      <c r="IV61" s="123"/>
      <c r="IW61" s="124"/>
      <c r="IX61" s="122"/>
      <c r="IY61" s="123"/>
      <c r="IZ61" s="124"/>
      <c r="JA61" s="122"/>
      <c r="JB61" s="123"/>
      <c r="JC61" s="124"/>
      <c r="JD61" s="122"/>
      <c r="JE61" s="123"/>
      <c r="JF61" s="124"/>
      <c r="JG61" s="122"/>
      <c r="JH61" s="795"/>
      <c r="JI61" s="124"/>
      <c r="JJ61" s="793"/>
      <c r="JK61" s="796"/>
      <c r="JL61" s="124"/>
      <c r="JM61" s="122"/>
      <c r="JN61" s="795"/>
      <c r="JO61" s="124"/>
      <c r="JP61" s="793"/>
      <c r="JQ61" s="796"/>
      <c r="JR61" s="124"/>
      <c r="JS61" s="122"/>
      <c r="JT61" s="795"/>
      <c r="JU61" s="169" t="str" cm="1">
        <f t="array" ref="JU61">IF( ISNUMBER(MATCH(JU$3,Entries!$B$3:$B$16,0)),           _xlfn.IFS(  JU60="","",      AND(SUMPRODUCT((Entries!$A$3:$A$16=JU60)*(Entries!$C$3:$C$16=JV60)*(Entries!$D$3:$D$16=JW60)) = 0,        _xlfn.XLOOKUP(JU$3,Entries!$B$3:$B$16,Entries!$E$3:$E$16,"Enter")="Booked"),   INDEX(Entries!$B$3:$E$16,MATCH(JU$3,Entries!$B$3:$B$16,0),2),      JU60 &lt;&gt;0,""                                                ),"")</f>
        <v/>
      </c>
      <c r="JV61" s="122" t="str" cm="1">
        <f t="array" ref="JV61">IF( ISNUMBER(MATCH(JU$3,Entries!$B$3:$B$16,0)),           _xlfn.IFS(  JU61="","",      SUMPRODUCT((Entries!$A$3:$A$16=JU60)*(Entries!$C$3:$C$16=JV60)*(Entries!$D$3:$D$16=JW60)) &lt;&gt;0,"",         _xlfn.XLOOKUP(JU$3,Entries!$B$3:$B$16,Entries!$E$3:$E$16,"Enter")="Booked",   INDEX(Entries!$B$3:$E$16,MATCH(JU$3,Entries!$B$3:$B$16,0),3),                                                    _xlfn.XLOOKUP(JU$3,Entries!$B$3:$B$16,Entries!$A$3:$A$16,"Error"),""),"")</f>
        <v/>
      </c>
      <c r="JW61" s="123" t="str" cm="1">
        <f t="array" ref="JW61">IF( ISNUMBER(MATCH(JU$3,Entries!$B$3:$B$16,0)),           _xlfn.IFS(  JU61="","",      SUMPRODUCT((Entries!$A$3:$A$16=JV60)*(Entries!$C$3:$C$16=JW60)*(Entries!$D$3:$D$16=JX60)) &lt;&gt;0,"",         _xlfn.XLOOKUP(JU$3,Entries!$B$3:$B$16,Entries!$E$3:$E$16,"Enter")="Booked",   INDEX(Entries!$B$3:$E$16,MATCH(JU$3,Entries!$B$3:$B$16,0),4),                                                    _xlfn.XLOOKUP(JU$3,Entries!$B$3:$B$16,Entries!$A$3:$A$16,"Error"),""),"")</f>
        <v/>
      </c>
      <c r="JX61" s="169" t="str" cm="1">
        <f t="array" ref="JX61">IF( ISNUMBER(MATCH(JX$3,Entries!$B$3:$B$16,0)),           _xlfn.IFS(  JX60="","",      AND(SUMPRODUCT((Entries!$A$3:$A$16=JX60)*(Entries!$C$3:$C$16=JY60)*(Entries!$D$3:$D$16=JZ60)) = 0,        _xlfn.XLOOKUP(JX$3,Entries!$B$3:$B$16,Entries!$E$3:$E$16,"Enter")="Booked"),   INDEX(Entries!$B$3:$E$16,MATCH(JX$3,Entries!$B$3:$B$16,0),2),      JX60 &lt;&gt;0,""                                                ),"")</f>
        <v/>
      </c>
      <c r="JY61" s="122" t="str" cm="1">
        <f t="array" ref="JY61">IF( ISNUMBER(MATCH(JX$3,Entries!$B$3:$B$16,0)),           _xlfn.IFS(  JX61="","",      SUMPRODUCT((Entries!$A$3:$A$16=JX60)*(Entries!$C$3:$C$16=JY60)*(Entries!$D$3:$D$16=JZ60)) &lt;&gt;0,"",         _xlfn.XLOOKUP(JX$3,Entries!$B$3:$B$16,Entries!$E$3:$E$16,"Enter")="Booked",   INDEX(Entries!$B$3:$E$16,MATCH(JX$3,Entries!$B$3:$B$16,0),3),                                                    _xlfn.XLOOKUP(JX$3,Entries!$B$3:$B$16,Entries!$A$3:$A$16,"Error"),""),"")</f>
        <v/>
      </c>
      <c r="JZ61" s="123" t="str" cm="1">
        <f t="array" ref="JZ61">IF( ISNUMBER(MATCH(JX$3,Entries!$B$3:$B$16,0)),           _xlfn.IFS(  JX61="","",      SUMPRODUCT((Entries!$A$3:$A$16=JY60)*(Entries!$C$3:$C$16=JZ60)*(Entries!$D$3:$D$16=KA60)) &lt;&gt;0,"",         _xlfn.XLOOKUP(JX$3,Entries!$B$3:$B$16,Entries!$E$3:$E$16,"Enter")="Booked",   INDEX(Entries!$B$3:$E$16,MATCH(JX$3,Entries!$B$3:$B$16,0),4),                                                    _xlfn.XLOOKUP(JX$3,Entries!$B$3:$B$16,Entries!$A$3:$A$16,"Error"),""),"")</f>
        <v/>
      </c>
      <c r="KA61" s="169" t="str" cm="1">
        <f t="array" ref="KA61">IF( ISNUMBER(MATCH(KA$3,Entries!$B$3:$B$16,0)),           _xlfn.IFS(  KA60="","",      AND(SUMPRODUCT((Entries!$A$3:$A$16=KA60)*(Entries!$C$3:$C$16=KB60)*(Entries!$D$3:$D$16=KC60)) = 0,        _xlfn.XLOOKUP(KA$3,Entries!$B$3:$B$16,Entries!$E$3:$E$16,"Enter")="Booked"),   INDEX(Entries!$B$3:$E$16,MATCH(KA$3,Entries!$B$3:$B$16,0),2),      KA60 &lt;&gt;0,""                                                ),"")</f>
        <v/>
      </c>
      <c r="KB61" s="122" t="str" cm="1">
        <f t="array" ref="KB61">IF( ISNUMBER(MATCH(KA$3,Entries!$B$3:$B$16,0)),           _xlfn.IFS(  KA61="","",      SUMPRODUCT((Entries!$A$3:$A$16=KA60)*(Entries!$C$3:$C$16=KB60)*(Entries!$D$3:$D$16=KC60)) &lt;&gt;0,"",         _xlfn.XLOOKUP(KA$3,Entries!$B$3:$B$16,Entries!$E$3:$E$16,"Enter")="Booked",   INDEX(Entries!$B$3:$E$16,MATCH(KA$3,Entries!$B$3:$B$16,0),3),                                                    _xlfn.XLOOKUP(KA$3,Entries!$B$3:$B$16,Entries!$A$3:$A$16,"Error"),""),"")</f>
        <v/>
      </c>
      <c r="KC61" s="123" t="str" cm="1">
        <f t="array" ref="KC61">IF( ISNUMBER(MATCH(KA$3,Entries!$B$3:$B$16,0)),           _xlfn.IFS(  KA61="","",      SUMPRODUCT((Entries!$A$3:$A$16=KB60)*(Entries!$C$3:$C$16=KC60)*(Entries!$D$3:$D$16=KD60)) &lt;&gt;0,"",         _xlfn.XLOOKUP(KA$3,Entries!$B$3:$B$16,Entries!$E$3:$E$16,"Enter")="Booked",   INDEX(Entries!$B$3:$E$16,MATCH(KA$3,Entries!$B$3:$B$16,0),4),                                                    _xlfn.XLOOKUP(KA$3,Entries!$B$3:$B$16,Entries!$A$3:$A$16,"Error"),""),"")</f>
        <v/>
      </c>
      <c r="KD61" s="169" t="str" cm="1">
        <f t="array" ref="KD61">IF( ISNUMBER(MATCH(KD$3,Entries!$B$3:$B$16,0)),           _xlfn.IFS(  KD60="","",      AND(SUMPRODUCT((Entries!$A$3:$A$16=KD60)*(Entries!$C$3:$C$16=KE60)*(Entries!$D$3:$D$16=KF60)) = 0,        _xlfn.XLOOKUP(KD$3,Entries!$B$3:$B$16,Entries!$E$3:$E$16,"Enter")="Booked"),   INDEX(Entries!$B$3:$E$16,MATCH(KD$3,Entries!$B$3:$B$16,0),2),      KD60 &lt;&gt;0,""                                                ),"")</f>
        <v/>
      </c>
      <c r="KE61" s="122" t="str" cm="1">
        <f t="array" ref="KE61">IF( ISNUMBER(MATCH(KD$3,Entries!$B$3:$B$16,0)),           _xlfn.IFS(  KD61="","",      SUMPRODUCT((Entries!$A$3:$A$16=KD60)*(Entries!$C$3:$C$16=KE60)*(Entries!$D$3:$D$16=KF60)) &lt;&gt;0,"",         _xlfn.XLOOKUP(KD$3,Entries!$B$3:$B$16,Entries!$E$3:$E$16,"Enter")="Booked",   INDEX(Entries!$B$3:$E$16,MATCH(KD$3,Entries!$B$3:$B$16,0),3),                                                    _xlfn.XLOOKUP(KD$3,Entries!$B$3:$B$16,Entries!$A$3:$A$16,"Error"),""),"")</f>
        <v/>
      </c>
      <c r="KF61" s="123" t="str" cm="1">
        <f t="array" ref="KF61">IF( ISNUMBER(MATCH(KD$3,Entries!$B$3:$B$16,0)),           _xlfn.IFS(  KD61="","",      SUMPRODUCT((Entries!$A$3:$A$16=KE60)*(Entries!$C$3:$C$16=KF60)*(Entries!$D$3:$D$16=KG60)) &lt;&gt;0,"",         _xlfn.XLOOKUP(KD$3,Entries!$B$3:$B$16,Entries!$E$3:$E$16,"Enter")="Booked",   INDEX(Entries!$B$3:$E$16,MATCH(KD$3,Entries!$B$3:$B$16,0),4),                                                    _xlfn.XLOOKUP(KD$3,Entries!$B$3:$B$16,Entries!$A$3:$A$16,"Error"),""),"")</f>
        <v/>
      </c>
    </row>
    <row r="62" spans="1:292">
      <c r="A62" s="792"/>
      <c r="B62" s="124"/>
      <c r="C62" s="122"/>
      <c r="D62" s="164"/>
      <c r="E62" s="124"/>
      <c r="F62" s="793"/>
      <c r="G62" s="794"/>
      <c r="H62" s="124"/>
      <c r="I62" s="122"/>
      <c r="J62" s="164"/>
      <c r="K62" s="124"/>
      <c r="L62" s="793"/>
      <c r="M62" s="794"/>
      <c r="N62" s="138"/>
      <c r="O62" s="122"/>
      <c r="P62" s="794"/>
      <c r="Q62" s="138"/>
      <c r="R62" s="122"/>
      <c r="S62" s="794"/>
      <c r="T62" s="794"/>
      <c r="U62" s="794"/>
      <c r="V62" s="794"/>
      <c r="W62" s="138"/>
      <c r="X62" s="793"/>
      <c r="Y62" s="794"/>
      <c r="Z62" s="138"/>
      <c r="AA62" s="122"/>
      <c r="AB62" s="794"/>
      <c r="AC62" s="138"/>
      <c r="AD62" s="793"/>
      <c r="AE62" s="794"/>
      <c r="AF62" s="138"/>
      <c r="AG62" s="793"/>
      <c r="AH62" s="794"/>
      <c r="AI62" s="138"/>
      <c r="AJ62" s="793"/>
      <c r="AK62" s="794"/>
      <c r="AL62" s="138"/>
      <c r="AM62" s="793"/>
      <c r="AN62" s="794"/>
      <c r="AO62" s="124"/>
      <c r="AP62" s="793"/>
      <c r="AQ62" s="794"/>
      <c r="AR62" s="124"/>
      <c r="AS62" s="793"/>
      <c r="AT62" s="794"/>
      <c r="AU62" s="124"/>
      <c r="AV62" s="793"/>
      <c r="AW62" s="794"/>
      <c r="AX62" s="124"/>
      <c r="AY62" s="793"/>
      <c r="AZ62" s="794"/>
      <c r="BA62" s="124"/>
      <c r="BB62" s="793"/>
      <c r="BC62" s="794"/>
      <c r="BD62" s="124"/>
      <c r="BE62" s="793"/>
      <c r="BF62" s="794"/>
      <c r="BG62" s="124"/>
      <c r="BH62" s="793"/>
      <c r="BI62" s="794"/>
      <c r="BJ62" s="124"/>
      <c r="BK62" s="793"/>
      <c r="BL62" s="794"/>
      <c r="BM62" s="124"/>
      <c r="BN62" s="793"/>
      <c r="BO62" s="794"/>
      <c r="BP62" s="124"/>
      <c r="BQ62" s="793"/>
      <c r="BR62" s="794"/>
      <c r="BS62" s="124"/>
      <c r="BT62" s="793"/>
      <c r="BU62" s="794"/>
      <c r="BV62" s="124"/>
      <c r="BW62" s="122"/>
      <c r="BX62" s="164"/>
      <c r="BY62" s="124"/>
      <c r="BZ62" s="793"/>
      <c r="CA62" s="794"/>
      <c r="CB62" s="124"/>
      <c r="CC62" s="122"/>
      <c r="CD62" s="164"/>
      <c r="CE62" s="124"/>
      <c r="CF62" s="793"/>
      <c r="CG62" s="794"/>
      <c r="CH62" s="124"/>
      <c r="CI62" s="122"/>
      <c r="CJ62" s="795"/>
      <c r="CK62" s="124"/>
      <c r="CL62" s="793"/>
      <c r="CM62" s="794"/>
      <c r="CN62" s="124"/>
      <c r="CO62" s="122"/>
      <c r="CP62" s="164"/>
      <c r="CQ62" s="124"/>
      <c r="CR62" s="793"/>
      <c r="CS62" s="794"/>
      <c r="CT62" s="124"/>
      <c r="CU62" s="122"/>
      <c r="CV62" s="164"/>
      <c r="CW62" s="124"/>
      <c r="CX62" s="793"/>
      <c r="CY62" s="794"/>
      <c r="CZ62" s="124"/>
      <c r="DA62" s="122"/>
      <c r="DB62" s="164"/>
      <c r="DC62" s="124"/>
      <c r="DD62" s="793"/>
      <c r="DE62" s="796"/>
      <c r="DF62" s="124"/>
      <c r="DG62" s="122"/>
      <c r="DH62" s="795"/>
      <c r="DI62" s="124"/>
      <c r="DJ62" s="793"/>
      <c r="DK62" s="796"/>
      <c r="DL62" s="124"/>
      <c r="DM62" s="122"/>
      <c r="DN62" s="795"/>
      <c r="DO62" s="124"/>
      <c r="DP62" s="122"/>
      <c r="DQ62" s="123"/>
      <c r="DR62" s="124"/>
      <c r="DS62" s="122"/>
      <c r="DT62" s="123"/>
      <c r="DU62" s="124"/>
      <c r="DV62" s="793"/>
      <c r="DW62" s="796"/>
      <c r="DX62" s="124"/>
      <c r="DY62" s="122"/>
      <c r="DZ62" s="795"/>
      <c r="EA62" s="124"/>
      <c r="EB62" s="793"/>
      <c r="EC62" s="796"/>
      <c r="ED62" s="124"/>
      <c r="EE62" s="122"/>
      <c r="EF62" s="795"/>
      <c r="EG62" s="124"/>
      <c r="EH62" s="793"/>
      <c r="EI62" s="796"/>
      <c r="EJ62" s="124"/>
      <c r="EK62" s="122"/>
      <c r="EL62" s="123"/>
      <c r="EM62" s="124"/>
      <c r="EN62" s="122"/>
      <c r="EO62" s="795"/>
      <c r="EP62" s="124"/>
      <c r="EQ62" s="122"/>
      <c r="ER62" s="164"/>
      <c r="ES62" s="124"/>
      <c r="ET62" s="122"/>
      <c r="EU62" s="795"/>
      <c r="EV62" s="124"/>
      <c r="EW62" s="793"/>
      <c r="EX62" s="796"/>
      <c r="EY62" s="124"/>
      <c r="EZ62" s="122"/>
      <c r="FA62" s="164"/>
      <c r="FB62" s="124"/>
      <c r="FC62" s="793"/>
      <c r="FD62" s="794"/>
      <c r="FE62" s="124"/>
      <c r="FF62" s="122"/>
      <c r="FG62" s="164"/>
      <c r="FH62" s="124"/>
      <c r="FI62" s="793"/>
      <c r="FJ62" s="794"/>
      <c r="FK62" s="124"/>
      <c r="FL62" s="122"/>
      <c r="FM62" s="164"/>
      <c r="FN62" s="124"/>
      <c r="FO62" s="793"/>
      <c r="FP62" s="796"/>
      <c r="FQ62" s="124"/>
      <c r="FR62" s="122"/>
      <c r="FS62" s="164"/>
      <c r="FT62" s="124"/>
      <c r="FU62" s="793"/>
      <c r="FV62" s="794"/>
      <c r="FW62" s="124"/>
      <c r="FX62" s="122"/>
      <c r="FY62" s="164"/>
      <c r="FZ62" s="124"/>
      <c r="GA62" s="793"/>
      <c r="GB62" s="794"/>
      <c r="GC62" s="124"/>
      <c r="GD62" s="122"/>
      <c r="GE62" s="164"/>
      <c r="GF62" s="124"/>
      <c r="GG62" s="793"/>
      <c r="GH62" s="794"/>
      <c r="GI62" s="124"/>
      <c r="GJ62" s="122"/>
      <c r="GK62" s="164"/>
      <c r="GL62" s="124"/>
      <c r="GM62" s="122"/>
      <c r="GN62" s="123"/>
      <c r="GO62" s="124"/>
      <c r="GP62" s="122"/>
      <c r="GQ62" s="123"/>
      <c r="GR62" s="124"/>
      <c r="GS62" s="122"/>
      <c r="GT62" s="123"/>
      <c r="GU62" s="124"/>
      <c r="GV62" s="122"/>
      <c r="GW62" s="123"/>
      <c r="GX62" s="124"/>
      <c r="GY62" s="122"/>
      <c r="GZ62" s="795"/>
      <c r="HA62" s="124"/>
      <c r="HB62" s="793"/>
      <c r="HC62" s="796"/>
      <c r="HD62" s="124"/>
      <c r="HE62" s="122"/>
      <c r="HF62" s="796"/>
      <c r="HG62" s="138"/>
      <c r="HH62" s="793"/>
      <c r="HI62" s="796"/>
      <c r="HJ62" s="124"/>
      <c r="HK62" s="122"/>
      <c r="HL62" s="795"/>
      <c r="HM62" s="124"/>
      <c r="HN62" s="793"/>
      <c r="HO62" s="796"/>
      <c r="HP62" s="124"/>
      <c r="HQ62" s="122"/>
      <c r="HR62" s="795"/>
      <c r="HS62" s="124"/>
      <c r="HT62" s="122"/>
      <c r="HU62" s="164"/>
      <c r="HV62" s="124"/>
      <c r="HW62" s="122"/>
      <c r="HX62" s="164"/>
      <c r="HY62" s="124"/>
      <c r="HZ62" s="122"/>
      <c r="IA62" s="164"/>
      <c r="IB62" s="124"/>
      <c r="IC62" s="793"/>
      <c r="ID62" s="794"/>
      <c r="IE62" s="124"/>
      <c r="IF62" s="122"/>
      <c r="IG62" s="796"/>
      <c r="IH62" s="124"/>
      <c r="II62" s="122"/>
      <c r="IJ62" s="164"/>
      <c r="IK62" s="124"/>
      <c r="IL62" s="122"/>
      <c r="IM62" s="123"/>
      <c r="IN62" s="124"/>
      <c r="IO62" s="122"/>
      <c r="IP62" s="123"/>
      <c r="IQ62" s="124"/>
      <c r="IR62" s="122"/>
      <c r="IS62" s="123"/>
      <c r="IT62" s="124"/>
      <c r="IU62" s="122"/>
      <c r="IV62" s="123"/>
      <c r="IW62" s="124"/>
      <c r="IX62" s="122"/>
      <c r="IY62" s="123"/>
      <c r="IZ62" s="124"/>
      <c r="JA62" s="122"/>
      <c r="JB62" s="123"/>
      <c r="JC62" s="124"/>
      <c r="JD62" s="122"/>
      <c r="JE62" s="123"/>
      <c r="JF62" s="124"/>
      <c r="JG62" s="122"/>
      <c r="JH62" s="795"/>
      <c r="JI62" s="124"/>
      <c r="JJ62" s="793"/>
      <c r="JK62" s="796"/>
      <c r="JL62" s="124"/>
      <c r="JM62" s="122"/>
      <c r="JN62" s="795"/>
      <c r="JO62" s="124"/>
      <c r="JP62" s="793"/>
      <c r="JQ62" s="796"/>
      <c r="JR62" s="124"/>
      <c r="JS62" s="122"/>
      <c r="JT62" s="795"/>
      <c r="JU62" s="169" t="str" cm="1">
        <f t="array" ref="JU62">IF( ISNUMBER(MATCH(JU$3,Entries!$B$3:$B$16,0)),           _xlfn.IFS(  JU61="","",      AND(SUMPRODUCT((Entries!$A$3:$A$16=JU61)*(Entries!$C$3:$C$16=JV61)*(Entries!$D$3:$D$16=JW61)) = 0,        _xlfn.XLOOKUP(JU$3,Entries!$B$3:$B$16,Entries!$E$3:$E$16,"Enter")="Booked"),   INDEX(Entries!$B$3:$E$16,MATCH(JU$3,Entries!$B$3:$B$16,0),2),      JU61 &lt;&gt;0,""                                                ),"")</f>
        <v/>
      </c>
      <c r="JV62" s="122" t="str" cm="1">
        <f t="array" ref="JV62">IF( ISNUMBER(MATCH(JU$3,Entries!$B$3:$B$16,0)),           _xlfn.IFS(  JU62="","",      SUMPRODUCT((Entries!$A$3:$A$16=JU61)*(Entries!$C$3:$C$16=JV61)*(Entries!$D$3:$D$16=JW61)) &lt;&gt;0,"",         _xlfn.XLOOKUP(JU$3,Entries!$B$3:$B$16,Entries!$E$3:$E$16,"Enter")="Booked",   INDEX(Entries!$B$3:$E$16,MATCH(JU$3,Entries!$B$3:$B$16,0),3),                                                    _xlfn.XLOOKUP(JU$3,Entries!$B$3:$B$16,Entries!$A$3:$A$16,"Error"),""),"")</f>
        <v/>
      </c>
      <c r="JW62" s="123" t="str" cm="1">
        <f t="array" ref="JW62">IF( ISNUMBER(MATCH(JU$3,Entries!$B$3:$B$16,0)),           _xlfn.IFS(  JU62="","",      SUMPRODUCT((Entries!$A$3:$A$16=JV61)*(Entries!$C$3:$C$16=JW61)*(Entries!$D$3:$D$16=JX61)) &lt;&gt;0,"",         _xlfn.XLOOKUP(JU$3,Entries!$B$3:$B$16,Entries!$E$3:$E$16,"Enter")="Booked",   INDEX(Entries!$B$3:$E$16,MATCH(JU$3,Entries!$B$3:$B$16,0),4),                                                    _xlfn.XLOOKUP(JU$3,Entries!$B$3:$B$16,Entries!$A$3:$A$16,"Error"),""),"")</f>
        <v/>
      </c>
      <c r="JX62" s="169" t="str" cm="1">
        <f t="array" ref="JX62">IF( ISNUMBER(MATCH(JX$3,Entries!$B$3:$B$16,0)),           _xlfn.IFS(  JX61="","",      AND(SUMPRODUCT((Entries!$A$3:$A$16=JX61)*(Entries!$C$3:$C$16=JY61)*(Entries!$D$3:$D$16=JZ61)) = 0,        _xlfn.XLOOKUP(JX$3,Entries!$B$3:$B$16,Entries!$E$3:$E$16,"Enter")="Booked"),   INDEX(Entries!$B$3:$E$16,MATCH(JX$3,Entries!$B$3:$B$16,0),2),      JX61 &lt;&gt;0,""                                                ),"")</f>
        <v/>
      </c>
      <c r="JY62" s="122" t="str" cm="1">
        <f t="array" ref="JY62">IF( ISNUMBER(MATCH(JX$3,Entries!$B$3:$B$16,0)),           _xlfn.IFS(  JX62="","",      SUMPRODUCT((Entries!$A$3:$A$16=JX61)*(Entries!$C$3:$C$16=JY61)*(Entries!$D$3:$D$16=JZ61)) &lt;&gt;0,"",         _xlfn.XLOOKUP(JX$3,Entries!$B$3:$B$16,Entries!$E$3:$E$16,"Enter")="Booked",   INDEX(Entries!$B$3:$E$16,MATCH(JX$3,Entries!$B$3:$B$16,0),3),                                                    _xlfn.XLOOKUP(JX$3,Entries!$B$3:$B$16,Entries!$A$3:$A$16,"Error"),""),"")</f>
        <v/>
      </c>
      <c r="JZ62" s="123" t="str" cm="1">
        <f t="array" ref="JZ62">IF( ISNUMBER(MATCH(JX$3,Entries!$B$3:$B$16,0)),           _xlfn.IFS(  JX62="","",      SUMPRODUCT((Entries!$A$3:$A$16=JY61)*(Entries!$C$3:$C$16=JZ61)*(Entries!$D$3:$D$16=KA61)) &lt;&gt;0,"",         _xlfn.XLOOKUP(JX$3,Entries!$B$3:$B$16,Entries!$E$3:$E$16,"Enter")="Booked",   INDEX(Entries!$B$3:$E$16,MATCH(JX$3,Entries!$B$3:$B$16,0),4),                                                    _xlfn.XLOOKUP(JX$3,Entries!$B$3:$B$16,Entries!$A$3:$A$16,"Error"),""),"")</f>
        <v/>
      </c>
      <c r="KA62" s="169" t="str" cm="1">
        <f t="array" ref="KA62">IF( ISNUMBER(MATCH(KA$3,Entries!$B$3:$B$16,0)),           _xlfn.IFS(  KA61="","",      AND(SUMPRODUCT((Entries!$A$3:$A$16=KA61)*(Entries!$C$3:$C$16=KB61)*(Entries!$D$3:$D$16=KC61)) = 0,        _xlfn.XLOOKUP(KA$3,Entries!$B$3:$B$16,Entries!$E$3:$E$16,"Enter")="Booked"),   INDEX(Entries!$B$3:$E$16,MATCH(KA$3,Entries!$B$3:$B$16,0),2),      KA61 &lt;&gt;0,""                                                ),"")</f>
        <v/>
      </c>
      <c r="KB62" s="122" t="str" cm="1">
        <f t="array" ref="KB62">IF( ISNUMBER(MATCH(KA$3,Entries!$B$3:$B$16,0)),           _xlfn.IFS(  KA62="","",      SUMPRODUCT((Entries!$A$3:$A$16=KA61)*(Entries!$C$3:$C$16=KB61)*(Entries!$D$3:$D$16=KC61)) &lt;&gt;0,"",         _xlfn.XLOOKUP(KA$3,Entries!$B$3:$B$16,Entries!$E$3:$E$16,"Enter")="Booked",   INDEX(Entries!$B$3:$E$16,MATCH(KA$3,Entries!$B$3:$B$16,0),3),                                                    _xlfn.XLOOKUP(KA$3,Entries!$B$3:$B$16,Entries!$A$3:$A$16,"Error"),""),"")</f>
        <v/>
      </c>
      <c r="KC62" s="123" t="str" cm="1">
        <f t="array" ref="KC62">IF( ISNUMBER(MATCH(KA$3,Entries!$B$3:$B$16,0)),           _xlfn.IFS(  KA62="","",      SUMPRODUCT((Entries!$A$3:$A$16=KB61)*(Entries!$C$3:$C$16=KC61)*(Entries!$D$3:$D$16=KD61)) &lt;&gt;0,"",         _xlfn.XLOOKUP(KA$3,Entries!$B$3:$B$16,Entries!$E$3:$E$16,"Enter")="Booked",   INDEX(Entries!$B$3:$E$16,MATCH(KA$3,Entries!$B$3:$B$16,0),4),                                                    _xlfn.XLOOKUP(KA$3,Entries!$B$3:$B$16,Entries!$A$3:$A$16,"Error"),""),"")</f>
        <v/>
      </c>
      <c r="KD62" s="169" t="str" cm="1">
        <f t="array" ref="KD62">IF( ISNUMBER(MATCH(KD$3,Entries!$B$3:$B$16,0)),           _xlfn.IFS(  KD61="","",      AND(SUMPRODUCT((Entries!$A$3:$A$16=KD61)*(Entries!$C$3:$C$16=KE61)*(Entries!$D$3:$D$16=KF61)) = 0,        _xlfn.XLOOKUP(KD$3,Entries!$B$3:$B$16,Entries!$E$3:$E$16,"Enter")="Booked"),   INDEX(Entries!$B$3:$E$16,MATCH(KD$3,Entries!$B$3:$B$16,0),2),      KD61 &lt;&gt;0,""                                                ),"")</f>
        <v/>
      </c>
      <c r="KE62" s="122" t="str" cm="1">
        <f t="array" ref="KE62">IF( ISNUMBER(MATCH(KD$3,Entries!$B$3:$B$16,0)),           _xlfn.IFS(  KD62="","",      SUMPRODUCT((Entries!$A$3:$A$16=KD61)*(Entries!$C$3:$C$16=KE61)*(Entries!$D$3:$D$16=KF61)) &lt;&gt;0,"",         _xlfn.XLOOKUP(KD$3,Entries!$B$3:$B$16,Entries!$E$3:$E$16,"Enter")="Booked",   INDEX(Entries!$B$3:$E$16,MATCH(KD$3,Entries!$B$3:$B$16,0),3),                                                    _xlfn.XLOOKUP(KD$3,Entries!$B$3:$B$16,Entries!$A$3:$A$16,"Error"),""),"")</f>
        <v/>
      </c>
      <c r="KF62" s="123" t="str" cm="1">
        <f t="array" ref="KF62">IF( ISNUMBER(MATCH(KD$3,Entries!$B$3:$B$16,0)),           _xlfn.IFS(  KD62="","",      SUMPRODUCT((Entries!$A$3:$A$16=KE61)*(Entries!$C$3:$C$16=KF61)*(Entries!$D$3:$D$16=KG61)) &lt;&gt;0,"",         _xlfn.XLOOKUP(KD$3,Entries!$B$3:$B$16,Entries!$E$3:$E$16,"Enter")="Booked",   INDEX(Entries!$B$3:$E$16,MATCH(KD$3,Entries!$B$3:$B$16,0),4),                                                    _xlfn.XLOOKUP(KD$3,Entries!$B$3:$B$16,Entries!$A$3:$A$16,"Error"),""),"")</f>
        <v/>
      </c>
    </row>
    <row r="63" spans="1:292">
      <c r="A63" s="792"/>
      <c r="B63" s="124"/>
      <c r="C63" s="122"/>
      <c r="D63" s="164"/>
      <c r="E63" s="124"/>
      <c r="F63" s="793"/>
      <c r="G63" s="794"/>
      <c r="H63" s="124"/>
      <c r="I63" s="122"/>
      <c r="J63" s="164"/>
      <c r="K63" s="124"/>
      <c r="L63" s="793"/>
      <c r="M63" s="794"/>
      <c r="N63" s="138"/>
      <c r="O63" s="122"/>
      <c r="P63" s="794"/>
      <c r="Q63" s="138"/>
      <c r="R63" s="122"/>
      <c r="S63" s="794"/>
      <c r="T63" s="794"/>
      <c r="U63" s="794"/>
      <c r="V63" s="794"/>
      <c r="W63" s="138"/>
      <c r="X63" s="793"/>
      <c r="Y63" s="794"/>
      <c r="Z63" s="138"/>
      <c r="AA63" s="122"/>
      <c r="AB63" s="794"/>
      <c r="AC63" s="138"/>
      <c r="AD63" s="793"/>
      <c r="AE63" s="794"/>
      <c r="AF63" s="138"/>
      <c r="AG63" s="793"/>
      <c r="AH63" s="794"/>
      <c r="AI63" s="138"/>
      <c r="AJ63" s="793"/>
      <c r="AK63" s="794"/>
      <c r="AL63" s="138"/>
      <c r="AM63" s="793"/>
      <c r="AN63" s="794"/>
      <c r="AO63" s="124"/>
      <c r="AP63" s="793"/>
      <c r="AQ63" s="794"/>
      <c r="AR63" s="124"/>
      <c r="AS63" s="793"/>
      <c r="AT63" s="794"/>
      <c r="AU63" s="124"/>
      <c r="AV63" s="793"/>
      <c r="AW63" s="794"/>
      <c r="AX63" s="124"/>
      <c r="AY63" s="793"/>
      <c r="AZ63" s="794"/>
      <c r="BA63" s="124"/>
      <c r="BB63" s="793"/>
      <c r="BC63" s="794"/>
      <c r="BD63" s="124"/>
      <c r="BE63" s="793"/>
      <c r="BF63" s="794"/>
      <c r="BG63" s="124"/>
      <c r="BH63" s="793"/>
      <c r="BI63" s="794"/>
      <c r="BJ63" s="124"/>
      <c r="BK63" s="793"/>
      <c r="BL63" s="794"/>
      <c r="BM63" s="124"/>
      <c r="BN63" s="793"/>
      <c r="BO63" s="794"/>
      <c r="BP63" s="124"/>
      <c r="BQ63" s="793"/>
      <c r="BR63" s="794"/>
      <c r="BS63" s="124"/>
      <c r="BT63" s="793"/>
      <c r="BU63" s="794"/>
      <c r="BV63" s="124"/>
      <c r="BW63" s="122"/>
      <c r="BX63" s="164"/>
      <c r="BY63" s="124"/>
      <c r="BZ63" s="793"/>
      <c r="CA63" s="794"/>
      <c r="CB63" s="124"/>
      <c r="CC63" s="122"/>
      <c r="CD63" s="164"/>
      <c r="CE63" s="124"/>
      <c r="CF63" s="793"/>
      <c r="CG63" s="794"/>
      <c r="CH63" s="124"/>
      <c r="CI63" s="122"/>
      <c r="CJ63" s="795"/>
      <c r="CK63" s="124"/>
      <c r="CL63" s="793"/>
      <c r="CM63" s="794"/>
      <c r="CN63" s="124"/>
      <c r="CO63" s="122"/>
      <c r="CP63" s="164"/>
      <c r="CQ63" s="124"/>
      <c r="CR63" s="793"/>
      <c r="CS63" s="794"/>
      <c r="CT63" s="124"/>
      <c r="CU63" s="122"/>
      <c r="CV63" s="164"/>
      <c r="CW63" s="124"/>
      <c r="CX63" s="793"/>
      <c r="CY63" s="794"/>
      <c r="CZ63" s="124"/>
      <c r="DA63" s="122"/>
      <c r="DB63" s="164"/>
      <c r="DC63" s="124"/>
      <c r="DD63" s="793"/>
      <c r="DE63" s="796"/>
      <c r="DF63" s="124"/>
      <c r="DG63" s="122"/>
      <c r="DH63" s="795"/>
      <c r="DI63" s="124"/>
      <c r="DJ63" s="793"/>
      <c r="DK63" s="796"/>
      <c r="DL63" s="124"/>
      <c r="DM63" s="122"/>
      <c r="DN63" s="795"/>
      <c r="DO63" s="124"/>
      <c r="DP63" s="122"/>
      <c r="DQ63" s="123"/>
      <c r="DR63" s="124"/>
      <c r="DS63" s="122"/>
      <c r="DT63" s="123"/>
      <c r="DU63" s="124"/>
      <c r="DV63" s="793"/>
      <c r="DW63" s="796"/>
      <c r="DX63" s="124"/>
      <c r="DY63" s="122"/>
      <c r="DZ63" s="795"/>
      <c r="EA63" s="124"/>
      <c r="EB63" s="793"/>
      <c r="EC63" s="796"/>
      <c r="ED63" s="124"/>
      <c r="EE63" s="122"/>
      <c r="EF63" s="795"/>
      <c r="EG63" s="124"/>
      <c r="EH63" s="793"/>
      <c r="EI63" s="796"/>
      <c r="EJ63" s="124"/>
      <c r="EK63" s="122"/>
      <c r="EL63" s="123"/>
      <c r="EM63" s="124"/>
      <c r="EN63" s="122"/>
      <c r="EO63" s="795"/>
      <c r="EP63" s="124"/>
      <c r="EQ63" s="122"/>
      <c r="ER63" s="164"/>
      <c r="ES63" s="124"/>
      <c r="ET63" s="122"/>
      <c r="EU63" s="795"/>
      <c r="EV63" s="124"/>
      <c r="EW63" s="793"/>
      <c r="EX63" s="796"/>
      <c r="EY63" s="124"/>
      <c r="EZ63" s="122"/>
      <c r="FA63" s="164"/>
      <c r="FB63" s="124"/>
      <c r="FC63" s="793"/>
      <c r="FD63" s="794"/>
      <c r="FE63" s="124"/>
      <c r="FF63" s="122"/>
      <c r="FG63" s="164"/>
      <c r="FH63" s="124"/>
      <c r="FI63" s="793"/>
      <c r="FJ63" s="794"/>
      <c r="FK63" s="124"/>
      <c r="FL63" s="122"/>
      <c r="FM63" s="164"/>
      <c r="FN63" s="124"/>
      <c r="FO63" s="793"/>
      <c r="FP63" s="796"/>
      <c r="FQ63" s="124"/>
      <c r="FR63" s="122"/>
      <c r="FS63" s="164"/>
      <c r="FT63" s="124"/>
      <c r="FU63" s="793"/>
      <c r="FV63" s="794"/>
      <c r="FW63" s="124"/>
      <c r="FX63" s="122"/>
      <c r="FY63" s="164"/>
      <c r="FZ63" s="124"/>
      <c r="GA63" s="793"/>
      <c r="GB63" s="794"/>
      <c r="GC63" s="124"/>
      <c r="GD63" s="122"/>
      <c r="GE63" s="164"/>
      <c r="GF63" s="124"/>
      <c r="GG63" s="793"/>
      <c r="GH63" s="794"/>
      <c r="GI63" s="124"/>
      <c r="GJ63" s="122"/>
      <c r="GK63" s="164"/>
      <c r="GL63" s="124"/>
      <c r="GM63" s="122"/>
      <c r="GN63" s="123"/>
      <c r="GO63" s="124"/>
      <c r="GP63" s="122"/>
      <c r="GQ63" s="123"/>
      <c r="GR63" s="124"/>
      <c r="GS63" s="122"/>
      <c r="GT63" s="123"/>
      <c r="GU63" s="124"/>
      <c r="GV63" s="122"/>
      <c r="GW63" s="123"/>
      <c r="GX63" s="124"/>
      <c r="GY63" s="122"/>
      <c r="GZ63" s="795"/>
      <c r="HA63" s="124"/>
      <c r="HB63" s="793"/>
      <c r="HC63" s="796"/>
      <c r="HD63" s="124"/>
      <c r="HE63" s="122"/>
      <c r="HF63" s="796"/>
      <c r="HG63" s="138"/>
      <c r="HH63" s="793"/>
      <c r="HI63" s="796"/>
      <c r="HJ63" s="124"/>
      <c r="HK63" s="122"/>
      <c r="HL63" s="795"/>
      <c r="HM63" s="124"/>
      <c r="HN63" s="793"/>
      <c r="HO63" s="796"/>
      <c r="HP63" s="124"/>
      <c r="HQ63" s="122"/>
      <c r="HR63" s="795"/>
      <c r="HS63" s="124"/>
      <c r="HT63" s="122"/>
      <c r="HU63" s="164"/>
      <c r="HV63" s="124"/>
      <c r="HW63" s="122"/>
      <c r="HX63" s="164"/>
      <c r="HY63" s="124"/>
      <c r="HZ63" s="122"/>
      <c r="IA63" s="164"/>
      <c r="IB63" s="124"/>
      <c r="IC63" s="793"/>
      <c r="ID63" s="794"/>
      <c r="IE63" s="124"/>
      <c r="IF63" s="122"/>
      <c r="IG63" s="796"/>
      <c r="IH63" s="124"/>
      <c r="II63" s="122"/>
      <c r="IJ63" s="164"/>
      <c r="IK63" s="124"/>
      <c r="IL63" s="122"/>
      <c r="IM63" s="123"/>
      <c r="IN63" s="124"/>
      <c r="IO63" s="122"/>
      <c r="IP63" s="123"/>
      <c r="IQ63" s="124"/>
      <c r="IR63" s="122"/>
      <c r="IS63" s="123"/>
      <c r="IT63" s="124"/>
      <c r="IU63" s="122"/>
      <c r="IV63" s="123"/>
      <c r="IW63" s="124"/>
      <c r="IX63" s="122"/>
      <c r="IY63" s="123"/>
      <c r="IZ63" s="124"/>
      <c r="JA63" s="122"/>
      <c r="JB63" s="123"/>
      <c r="JC63" s="124"/>
      <c r="JD63" s="122"/>
      <c r="JE63" s="123"/>
      <c r="JF63" s="124"/>
      <c r="JG63" s="122"/>
      <c r="JH63" s="795"/>
      <c r="JI63" s="124"/>
      <c r="JJ63" s="793"/>
      <c r="JK63" s="796"/>
      <c r="JL63" s="124"/>
      <c r="JM63" s="122"/>
      <c r="JN63" s="795"/>
      <c r="JO63" s="124"/>
      <c r="JP63" s="793"/>
      <c r="JQ63" s="796"/>
      <c r="JR63" s="124"/>
      <c r="JS63" s="122"/>
      <c r="JT63" s="795"/>
      <c r="JU63" s="169" t="str" cm="1">
        <f t="array" ref="JU63">IF( ISNUMBER(MATCH(JU$3,Entries!$B$3:$B$16,0)),           _xlfn.IFS(  JU62="","",      AND(SUMPRODUCT((Entries!$A$3:$A$16=JU62)*(Entries!$C$3:$C$16=JV62)*(Entries!$D$3:$D$16=JW62)) = 0,        _xlfn.XLOOKUP(JU$3,Entries!$B$3:$B$16,Entries!$E$3:$E$16,"Enter")="Booked"),   INDEX(Entries!$B$3:$E$16,MATCH(JU$3,Entries!$B$3:$B$16,0),2),      JU62 &lt;&gt;0,""                                                ),"")</f>
        <v/>
      </c>
      <c r="JV63" s="122" t="str" cm="1">
        <f t="array" ref="JV63">IF( ISNUMBER(MATCH(JU$3,Entries!$B$3:$B$16,0)),           _xlfn.IFS(  JU63="","",      SUMPRODUCT((Entries!$A$3:$A$16=JU62)*(Entries!$C$3:$C$16=JV62)*(Entries!$D$3:$D$16=JW62)) &lt;&gt;0,"",         _xlfn.XLOOKUP(JU$3,Entries!$B$3:$B$16,Entries!$E$3:$E$16,"Enter")="Booked",   INDEX(Entries!$B$3:$E$16,MATCH(JU$3,Entries!$B$3:$B$16,0),3),                                                    _xlfn.XLOOKUP(JU$3,Entries!$B$3:$B$16,Entries!$A$3:$A$16,"Error"),""),"")</f>
        <v/>
      </c>
      <c r="JW63" s="123" t="str" cm="1">
        <f t="array" ref="JW63">IF( ISNUMBER(MATCH(JU$3,Entries!$B$3:$B$16,0)),           _xlfn.IFS(  JU63="","",      SUMPRODUCT((Entries!$A$3:$A$16=JV62)*(Entries!$C$3:$C$16=JW62)*(Entries!$D$3:$D$16=JX62)) &lt;&gt;0,"",         _xlfn.XLOOKUP(JU$3,Entries!$B$3:$B$16,Entries!$E$3:$E$16,"Enter")="Booked",   INDEX(Entries!$B$3:$E$16,MATCH(JU$3,Entries!$B$3:$B$16,0),4),                                                    _xlfn.XLOOKUP(JU$3,Entries!$B$3:$B$16,Entries!$A$3:$A$16,"Error"),""),"")</f>
        <v/>
      </c>
      <c r="JX63" s="169" t="str" cm="1">
        <f t="array" ref="JX63">IF( ISNUMBER(MATCH(JX$3,Entries!$B$3:$B$16,0)),           _xlfn.IFS(  JX62="","",      AND(SUMPRODUCT((Entries!$A$3:$A$16=JX62)*(Entries!$C$3:$C$16=JY62)*(Entries!$D$3:$D$16=JZ62)) = 0,        _xlfn.XLOOKUP(JX$3,Entries!$B$3:$B$16,Entries!$E$3:$E$16,"Enter")="Booked"),   INDEX(Entries!$B$3:$E$16,MATCH(JX$3,Entries!$B$3:$B$16,0),2),      JX62 &lt;&gt;0,""                                                ),"")</f>
        <v/>
      </c>
      <c r="JY63" s="122" t="str" cm="1">
        <f t="array" ref="JY63">IF( ISNUMBER(MATCH(JX$3,Entries!$B$3:$B$16,0)),           _xlfn.IFS(  JX63="","",      SUMPRODUCT((Entries!$A$3:$A$16=JX62)*(Entries!$C$3:$C$16=JY62)*(Entries!$D$3:$D$16=JZ62)) &lt;&gt;0,"",         _xlfn.XLOOKUP(JX$3,Entries!$B$3:$B$16,Entries!$E$3:$E$16,"Enter")="Booked",   INDEX(Entries!$B$3:$E$16,MATCH(JX$3,Entries!$B$3:$B$16,0),3),                                                    _xlfn.XLOOKUP(JX$3,Entries!$B$3:$B$16,Entries!$A$3:$A$16,"Error"),""),"")</f>
        <v/>
      </c>
      <c r="JZ63" s="123" t="str" cm="1">
        <f t="array" ref="JZ63">IF( ISNUMBER(MATCH(JX$3,Entries!$B$3:$B$16,0)),           _xlfn.IFS(  JX63="","",      SUMPRODUCT((Entries!$A$3:$A$16=JY62)*(Entries!$C$3:$C$16=JZ62)*(Entries!$D$3:$D$16=KA62)) &lt;&gt;0,"",         _xlfn.XLOOKUP(JX$3,Entries!$B$3:$B$16,Entries!$E$3:$E$16,"Enter")="Booked",   INDEX(Entries!$B$3:$E$16,MATCH(JX$3,Entries!$B$3:$B$16,0),4),                                                    _xlfn.XLOOKUP(JX$3,Entries!$B$3:$B$16,Entries!$A$3:$A$16,"Error"),""),"")</f>
        <v/>
      </c>
      <c r="KA63" s="169" t="str" cm="1">
        <f t="array" ref="KA63">IF( ISNUMBER(MATCH(KA$3,Entries!$B$3:$B$16,0)),           _xlfn.IFS(  KA62="","",      AND(SUMPRODUCT((Entries!$A$3:$A$16=KA62)*(Entries!$C$3:$C$16=KB62)*(Entries!$D$3:$D$16=KC62)) = 0,        _xlfn.XLOOKUP(KA$3,Entries!$B$3:$B$16,Entries!$E$3:$E$16,"Enter")="Booked"),   INDEX(Entries!$B$3:$E$16,MATCH(KA$3,Entries!$B$3:$B$16,0),2),      KA62 &lt;&gt;0,""                                                ),"")</f>
        <v/>
      </c>
      <c r="KB63" s="122" t="str" cm="1">
        <f t="array" ref="KB63">IF( ISNUMBER(MATCH(KA$3,Entries!$B$3:$B$16,0)),           _xlfn.IFS(  KA63="","",      SUMPRODUCT((Entries!$A$3:$A$16=KA62)*(Entries!$C$3:$C$16=KB62)*(Entries!$D$3:$D$16=KC62)) &lt;&gt;0,"",         _xlfn.XLOOKUP(KA$3,Entries!$B$3:$B$16,Entries!$E$3:$E$16,"Enter")="Booked",   INDEX(Entries!$B$3:$E$16,MATCH(KA$3,Entries!$B$3:$B$16,0),3),                                                    _xlfn.XLOOKUP(KA$3,Entries!$B$3:$B$16,Entries!$A$3:$A$16,"Error"),""),"")</f>
        <v/>
      </c>
      <c r="KC63" s="123" t="str" cm="1">
        <f t="array" ref="KC63">IF( ISNUMBER(MATCH(KA$3,Entries!$B$3:$B$16,0)),           _xlfn.IFS(  KA63="","",      SUMPRODUCT((Entries!$A$3:$A$16=KB62)*(Entries!$C$3:$C$16=KC62)*(Entries!$D$3:$D$16=KD62)) &lt;&gt;0,"",         _xlfn.XLOOKUP(KA$3,Entries!$B$3:$B$16,Entries!$E$3:$E$16,"Enter")="Booked",   INDEX(Entries!$B$3:$E$16,MATCH(KA$3,Entries!$B$3:$B$16,0),4),                                                    _xlfn.XLOOKUP(KA$3,Entries!$B$3:$B$16,Entries!$A$3:$A$16,"Error"),""),"")</f>
        <v/>
      </c>
      <c r="KD63" s="169" t="str" cm="1">
        <f t="array" ref="KD63">IF( ISNUMBER(MATCH(KD$3,Entries!$B$3:$B$16,0)),           _xlfn.IFS(  KD62="","",      AND(SUMPRODUCT((Entries!$A$3:$A$16=KD62)*(Entries!$C$3:$C$16=KE62)*(Entries!$D$3:$D$16=KF62)) = 0,        _xlfn.XLOOKUP(KD$3,Entries!$B$3:$B$16,Entries!$E$3:$E$16,"Enter")="Booked"),   INDEX(Entries!$B$3:$E$16,MATCH(KD$3,Entries!$B$3:$B$16,0),2),      KD62 &lt;&gt;0,""                                                ),"")</f>
        <v/>
      </c>
      <c r="KE63" s="122" t="str" cm="1">
        <f t="array" ref="KE63">IF( ISNUMBER(MATCH(KD$3,Entries!$B$3:$B$16,0)),           _xlfn.IFS(  KD63="","",      SUMPRODUCT((Entries!$A$3:$A$16=KD62)*(Entries!$C$3:$C$16=KE62)*(Entries!$D$3:$D$16=KF62)) &lt;&gt;0,"",         _xlfn.XLOOKUP(KD$3,Entries!$B$3:$B$16,Entries!$E$3:$E$16,"Enter")="Booked",   INDEX(Entries!$B$3:$E$16,MATCH(KD$3,Entries!$B$3:$B$16,0),3),                                                    _xlfn.XLOOKUP(KD$3,Entries!$B$3:$B$16,Entries!$A$3:$A$16,"Error"),""),"")</f>
        <v/>
      </c>
      <c r="KF63" s="123" t="str" cm="1">
        <f t="array" ref="KF63">IF( ISNUMBER(MATCH(KD$3,Entries!$B$3:$B$16,0)),           _xlfn.IFS(  KD63="","",      SUMPRODUCT((Entries!$A$3:$A$16=KE62)*(Entries!$C$3:$C$16=KF62)*(Entries!$D$3:$D$16=KG62)) &lt;&gt;0,"",         _xlfn.XLOOKUP(KD$3,Entries!$B$3:$B$16,Entries!$E$3:$E$16,"Enter")="Booked",   INDEX(Entries!$B$3:$E$16,MATCH(KD$3,Entries!$B$3:$B$16,0),4),                                                    _xlfn.XLOOKUP(KD$3,Entries!$B$3:$B$16,Entries!$A$3:$A$16,"Error"),""),"")</f>
        <v/>
      </c>
    </row>
    <row r="64" spans="1:292">
      <c r="A64" s="792"/>
      <c r="B64" s="124"/>
      <c r="C64" s="122"/>
      <c r="D64" s="164"/>
      <c r="E64" s="124"/>
      <c r="F64" s="793"/>
      <c r="G64" s="794"/>
      <c r="H64" s="124"/>
      <c r="I64" s="122"/>
      <c r="J64" s="164"/>
      <c r="K64" s="124"/>
      <c r="L64" s="793"/>
      <c r="M64" s="794"/>
      <c r="N64" s="138"/>
      <c r="O64" s="122"/>
      <c r="P64" s="794"/>
      <c r="Q64" s="138"/>
      <c r="R64" s="122"/>
      <c r="S64" s="794"/>
      <c r="T64" s="794"/>
      <c r="U64" s="794"/>
      <c r="V64" s="794"/>
      <c r="W64" s="138"/>
      <c r="X64" s="793"/>
      <c r="Y64" s="794"/>
      <c r="Z64" s="138"/>
      <c r="AA64" s="122"/>
      <c r="AB64" s="794"/>
      <c r="AC64" s="138"/>
      <c r="AD64" s="793"/>
      <c r="AE64" s="794"/>
      <c r="AF64" s="138"/>
      <c r="AG64" s="793"/>
      <c r="AH64" s="794"/>
      <c r="AI64" s="138"/>
      <c r="AJ64" s="793"/>
      <c r="AK64" s="794"/>
      <c r="AL64" s="138"/>
      <c r="AM64" s="793"/>
      <c r="AN64" s="794"/>
      <c r="AO64" s="124"/>
      <c r="AP64" s="793"/>
      <c r="AQ64" s="794"/>
      <c r="AR64" s="124"/>
      <c r="AS64" s="793"/>
      <c r="AT64" s="794"/>
      <c r="AU64" s="124"/>
      <c r="AV64" s="793"/>
      <c r="AW64" s="794"/>
      <c r="AX64" s="124"/>
      <c r="AY64" s="793"/>
      <c r="AZ64" s="794"/>
      <c r="BA64" s="124"/>
      <c r="BB64" s="793"/>
      <c r="BC64" s="794"/>
      <c r="BD64" s="124"/>
      <c r="BE64" s="793"/>
      <c r="BF64" s="794"/>
      <c r="BG64" s="124"/>
      <c r="BH64" s="793"/>
      <c r="BI64" s="794"/>
      <c r="BJ64" s="124"/>
      <c r="BK64" s="793"/>
      <c r="BL64" s="794"/>
      <c r="BM64" s="124"/>
      <c r="BN64" s="793"/>
      <c r="BO64" s="794"/>
      <c r="BP64" s="124"/>
      <c r="BQ64" s="793"/>
      <c r="BR64" s="794"/>
      <c r="BS64" s="124"/>
      <c r="BT64" s="793"/>
      <c r="BU64" s="794"/>
      <c r="BV64" s="124"/>
      <c r="BW64" s="122"/>
      <c r="BX64" s="164"/>
      <c r="BY64" s="124"/>
      <c r="BZ64" s="793"/>
      <c r="CA64" s="794"/>
      <c r="CB64" s="124"/>
      <c r="CC64" s="122"/>
      <c r="CD64" s="164"/>
      <c r="CE64" s="124"/>
      <c r="CF64" s="793"/>
      <c r="CG64" s="794"/>
      <c r="CH64" s="124"/>
      <c r="CI64" s="122"/>
      <c r="CJ64" s="795"/>
      <c r="CK64" s="124"/>
      <c r="CL64" s="793"/>
      <c r="CM64" s="794"/>
      <c r="CN64" s="124"/>
      <c r="CO64" s="122"/>
      <c r="CP64" s="164"/>
      <c r="CQ64" s="124"/>
      <c r="CR64" s="793"/>
      <c r="CS64" s="794"/>
      <c r="CT64" s="124"/>
      <c r="CU64" s="122"/>
      <c r="CV64" s="164"/>
      <c r="CW64" s="124"/>
      <c r="CX64" s="793"/>
      <c r="CY64" s="794"/>
      <c r="CZ64" s="124"/>
      <c r="DA64" s="122"/>
      <c r="DB64" s="164"/>
      <c r="DC64" s="124"/>
      <c r="DD64" s="793"/>
      <c r="DE64" s="796"/>
      <c r="DF64" s="124"/>
      <c r="DG64" s="122"/>
      <c r="DH64" s="795"/>
      <c r="DI64" s="124"/>
      <c r="DJ64" s="793"/>
      <c r="DK64" s="796"/>
      <c r="DL64" s="124"/>
      <c r="DM64" s="122"/>
      <c r="DN64" s="795"/>
      <c r="DO64" s="124"/>
      <c r="DP64" s="122"/>
      <c r="DQ64" s="123"/>
      <c r="DR64" s="124"/>
      <c r="DS64" s="122"/>
      <c r="DT64" s="123"/>
      <c r="DU64" s="124"/>
      <c r="DV64" s="793"/>
      <c r="DW64" s="796"/>
      <c r="DX64" s="124"/>
      <c r="DY64" s="122"/>
      <c r="DZ64" s="795"/>
      <c r="EA64" s="124"/>
      <c r="EB64" s="793"/>
      <c r="EC64" s="796"/>
      <c r="ED64" s="124"/>
      <c r="EE64" s="122"/>
      <c r="EF64" s="795"/>
      <c r="EG64" s="124"/>
      <c r="EH64" s="793"/>
      <c r="EI64" s="796"/>
      <c r="EJ64" s="124"/>
      <c r="EK64" s="122"/>
      <c r="EL64" s="123"/>
      <c r="EM64" s="124"/>
      <c r="EN64" s="122"/>
      <c r="EO64" s="795"/>
      <c r="EP64" s="124"/>
      <c r="EQ64" s="122"/>
      <c r="ER64" s="164"/>
      <c r="ES64" s="124"/>
      <c r="ET64" s="122"/>
      <c r="EU64" s="795"/>
      <c r="EV64" s="124"/>
      <c r="EW64" s="793"/>
      <c r="EX64" s="796"/>
      <c r="EY64" s="124"/>
      <c r="EZ64" s="122"/>
      <c r="FA64" s="164"/>
      <c r="FB64" s="124"/>
      <c r="FC64" s="793"/>
      <c r="FD64" s="794"/>
      <c r="FE64" s="124"/>
      <c r="FF64" s="122"/>
      <c r="FG64" s="164"/>
      <c r="FH64" s="124"/>
      <c r="FI64" s="793"/>
      <c r="FJ64" s="794"/>
      <c r="FK64" s="124"/>
      <c r="FL64" s="122"/>
      <c r="FM64" s="164"/>
      <c r="FN64" s="124"/>
      <c r="FO64" s="793"/>
      <c r="FP64" s="796"/>
      <c r="FQ64" s="124"/>
      <c r="FR64" s="122"/>
      <c r="FS64" s="164"/>
      <c r="FT64" s="124"/>
      <c r="FU64" s="793"/>
      <c r="FV64" s="794"/>
      <c r="FW64" s="124"/>
      <c r="FX64" s="122"/>
      <c r="FY64" s="164"/>
      <c r="FZ64" s="124"/>
      <c r="GA64" s="793"/>
      <c r="GB64" s="794"/>
      <c r="GC64" s="124"/>
      <c r="GD64" s="122"/>
      <c r="GE64" s="164"/>
      <c r="GF64" s="124"/>
      <c r="GG64" s="793"/>
      <c r="GH64" s="794"/>
      <c r="GI64" s="124"/>
      <c r="GJ64" s="122"/>
      <c r="GK64" s="164"/>
      <c r="GL64" s="124"/>
      <c r="GM64" s="122"/>
      <c r="GN64" s="123"/>
      <c r="GO64" s="124"/>
      <c r="GP64" s="122"/>
      <c r="GQ64" s="123"/>
      <c r="GR64" s="124"/>
      <c r="GS64" s="122"/>
      <c r="GT64" s="123"/>
      <c r="GU64" s="124"/>
      <c r="GV64" s="122"/>
      <c r="GW64" s="123"/>
      <c r="GX64" s="124"/>
      <c r="GY64" s="122"/>
      <c r="GZ64" s="795"/>
      <c r="HA64" s="124"/>
      <c r="HB64" s="793"/>
      <c r="HC64" s="796"/>
      <c r="HD64" s="124"/>
      <c r="HE64" s="122"/>
      <c r="HF64" s="796"/>
      <c r="HG64" s="138"/>
      <c r="HH64" s="793"/>
      <c r="HI64" s="796"/>
      <c r="HJ64" s="124"/>
      <c r="HK64" s="122"/>
      <c r="HL64" s="795"/>
      <c r="HM64" s="124"/>
      <c r="HN64" s="793"/>
      <c r="HO64" s="796"/>
      <c r="HP64" s="124"/>
      <c r="HQ64" s="122"/>
      <c r="HR64" s="795"/>
      <c r="HS64" s="124"/>
      <c r="HT64" s="122"/>
      <c r="HU64" s="164"/>
      <c r="HV64" s="124"/>
      <c r="HW64" s="122"/>
      <c r="HX64" s="164"/>
      <c r="HY64" s="124"/>
      <c r="HZ64" s="122"/>
      <c r="IA64" s="164"/>
      <c r="IB64" s="124"/>
      <c r="IC64" s="793"/>
      <c r="ID64" s="794"/>
      <c r="IE64" s="124"/>
      <c r="IF64" s="122"/>
      <c r="IG64" s="796"/>
      <c r="IH64" s="124"/>
      <c r="II64" s="122"/>
      <c r="IJ64" s="164"/>
      <c r="IK64" s="124"/>
      <c r="IL64" s="122"/>
      <c r="IM64" s="123"/>
      <c r="IN64" s="124"/>
      <c r="IO64" s="122"/>
      <c r="IP64" s="123"/>
      <c r="IQ64" s="124"/>
      <c r="IR64" s="122"/>
      <c r="IS64" s="123"/>
      <c r="IT64" s="124"/>
      <c r="IU64" s="122"/>
      <c r="IV64" s="123"/>
      <c r="IW64" s="124"/>
      <c r="IX64" s="122"/>
      <c r="IY64" s="123"/>
      <c r="IZ64" s="124"/>
      <c r="JA64" s="122"/>
      <c r="JB64" s="123"/>
      <c r="JC64" s="124"/>
      <c r="JD64" s="122"/>
      <c r="JE64" s="123"/>
      <c r="JF64" s="124"/>
      <c r="JG64" s="122"/>
      <c r="JH64" s="795"/>
      <c r="JI64" s="124"/>
      <c r="JJ64" s="793"/>
      <c r="JK64" s="796"/>
      <c r="JL64" s="124"/>
      <c r="JM64" s="122"/>
      <c r="JN64" s="795"/>
      <c r="JO64" s="124"/>
      <c r="JP64" s="793"/>
      <c r="JQ64" s="796"/>
      <c r="JR64" s="124"/>
      <c r="JS64" s="122"/>
      <c r="JT64" s="795"/>
      <c r="JU64" s="169" t="str" cm="1">
        <f t="array" ref="JU64">IF( ISNUMBER(MATCH(JU$3,Entries!$B$3:$B$16,0)),           _xlfn.IFS(  JU55="","",      AND(SUMPRODUCT((Entries!$A$3:$A$16=JU55)*(Entries!$C$3:$C$16=JV55)*(Entries!$D$3:$D$16=JW55)) = 0,        _xlfn.XLOOKUP(JU$3,Entries!$B$3:$B$16,Entries!$E$3:$E$16,"Enter")="Booked"),   INDEX(Entries!$B$3:$E$16,MATCH(JU$3,Entries!$B$3:$B$16,0),2),      JU55 &lt;&gt;0,""                                                ),"")</f>
        <v/>
      </c>
      <c r="JV64" s="122" t="str" cm="1">
        <f t="array" ref="JV64">IF( ISNUMBER(MATCH(JU$3,Entries!$B$3:$B$16,0)),           _xlfn.IFS(  JU64="","",      SUMPRODUCT((Entries!$A$3:$A$16=JU55)*(Entries!$C$3:$C$16=JV55)*(Entries!$D$3:$D$16=JW55)) &lt;&gt;0,"",         _xlfn.XLOOKUP(JU$3,Entries!$B$3:$B$16,Entries!$E$3:$E$16,"Enter")="Booked",   INDEX(Entries!$B$3:$E$16,MATCH(JU$3,Entries!$B$3:$B$16,0),3),                                                    _xlfn.XLOOKUP(JU$3,Entries!$B$3:$B$16,Entries!$A$3:$A$16,"Error"),""),"")</f>
        <v/>
      </c>
      <c r="JW64" s="123" t="str" cm="1">
        <f t="array" ref="JW64">IF( ISNUMBER(MATCH(JU$3,Entries!$B$3:$B$16,0)),           _xlfn.IFS(  JU64="","",      SUMPRODUCT((Entries!$A$3:$A$16=JV55)*(Entries!$C$3:$C$16=JW55)*(Entries!$D$3:$D$16=JX55)) &lt;&gt;0,"",         _xlfn.XLOOKUP(JU$3,Entries!$B$3:$B$16,Entries!$E$3:$E$16,"Enter")="Booked",   INDEX(Entries!$B$3:$E$16,MATCH(JU$3,Entries!$B$3:$B$16,0),4),                                                    _xlfn.XLOOKUP(JU$3,Entries!$B$3:$B$16,Entries!$A$3:$A$16,"Error"),""),"")</f>
        <v/>
      </c>
      <c r="JX64" s="169" t="str" cm="1">
        <f t="array" ref="JX64">IF( ISNUMBER(MATCH(JX$3,Entries!$B$3:$B$16,0)),           _xlfn.IFS(  JX55="","",      AND(SUMPRODUCT((Entries!$A$3:$A$16=JX55)*(Entries!$C$3:$C$16=JY55)*(Entries!$D$3:$D$16=JZ55)) = 0,        _xlfn.XLOOKUP(JX$3,Entries!$B$3:$B$16,Entries!$E$3:$E$16,"Enter")="Booked"),   INDEX(Entries!$B$3:$E$16,MATCH(JX$3,Entries!$B$3:$B$16,0),2),      JX55 &lt;&gt;0,""                                                ),"")</f>
        <v/>
      </c>
      <c r="JY64" s="122" t="str" cm="1">
        <f t="array" ref="JY64">IF( ISNUMBER(MATCH(JX$3,Entries!$B$3:$B$16,0)),           _xlfn.IFS(  JX64="","",      SUMPRODUCT((Entries!$A$3:$A$16=JX55)*(Entries!$C$3:$C$16=JY55)*(Entries!$D$3:$D$16=JZ55)) &lt;&gt;0,"",         _xlfn.XLOOKUP(JX$3,Entries!$B$3:$B$16,Entries!$E$3:$E$16,"Enter")="Booked",   INDEX(Entries!$B$3:$E$16,MATCH(JX$3,Entries!$B$3:$B$16,0),3),                                                    _xlfn.XLOOKUP(JX$3,Entries!$B$3:$B$16,Entries!$A$3:$A$16,"Error"),""),"")</f>
        <v/>
      </c>
      <c r="JZ64" s="123" t="str" cm="1">
        <f t="array" ref="JZ64">IF( ISNUMBER(MATCH(JX$3,Entries!$B$3:$B$16,0)),           _xlfn.IFS(  JX64="","",      SUMPRODUCT((Entries!$A$3:$A$16=JY55)*(Entries!$C$3:$C$16=JZ55)*(Entries!$D$3:$D$16=KA55)) &lt;&gt;0,"",         _xlfn.XLOOKUP(JX$3,Entries!$B$3:$B$16,Entries!$E$3:$E$16,"Enter")="Booked",   INDEX(Entries!$B$3:$E$16,MATCH(JX$3,Entries!$B$3:$B$16,0),4),                                                    _xlfn.XLOOKUP(JX$3,Entries!$B$3:$B$16,Entries!$A$3:$A$16,"Error"),""),"")</f>
        <v/>
      </c>
      <c r="KA64" s="169" t="str" cm="1">
        <f t="array" ref="KA64">IF( ISNUMBER(MATCH(KA$3,Entries!$B$3:$B$16,0)),           _xlfn.IFS(  KA55="","",      AND(SUMPRODUCT((Entries!$A$3:$A$16=KA55)*(Entries!$C$3:$C$16=KB55)*(Entries!$D$3:$D$16=KC55)) = 0,        _xlfn.XLOOKUP(KA$3,Entries!$B$3:$B$16,Entries!$E$3:$E$16,"Enter")="Booked"),   INDEX(Entries!$B$3:$E$16,MATCH(KA$3,Entries!$B$3:$B$16,0),2),      KA55 &lt;&gt;0,""                                                ),"")</f>
        <v/>
      </c>
      <c r="KB64" s="122" t="str" cm="1">
        <f t="array" ref="KB64">IF( ISNUMBER(MATCH(KA$3,Entries!$B$3:$B$16,0)),           _xlfn.IFS(  KA64="","",      SUMPRODUCT((Entries!$A$3:$A$16=KA55)*(Entries!$C$3:$C$16=KB55)*(Entries!$D$3:$D$16=KC55)) &lt;&gt;0,"",         _xlfn.XLOOKUP(KA$3,Entries!$B$3:$B$16,Entries!$E$3:$E$16,"Enter")="Booked",   INDEX(Entries!$B$3:$E$16,MATCH(KA$3,Entries!$B$3:$B$16,0),3),                                                    _xlfn.XLOOKUP(KA$3,Entries!$B$3:$B$16,Entries!$A$3:$A$16,"Error"),""),"")</f>
        <v/>
      </c>
      <c r="KC64" s="123" t="str" cm="1">
        <f t="array" ref="KC64">IF( ISNUMBER(MATCH(KA$3,Entries!$B$3:$B$16,0)),           _xlfn.IFS(  KA64="","",      SUMPRODUCT((Entries!$A$3:$A$16=KB55)*(Entries!$C$3:$C$16=KC55)*(Entries!$D$3:$D$16=KD55)) &lt;&gt;0,"",         _xlfn.XLOOKUP(KA$3,Entries!$B$3:$B$16,Entries!$E$3:$E$16,"Enter")="Booked",   INDEX(Entries!$B$3:$E$16,MATCH(KA$3,Entries!$B$3:$B$16,0),4),                                                    _xlfn.XLOOKUP(KA$3,Entries!$B$3:$B$16,Entries!$A$3:$A$16,"Error"),""),"")</f>
        <v/>
      </c>
      <c r="KD64" s="169" t="str" cm="1">
        <f t="array" ref="KD64">IF( ISNUMBER(MATCH(KD$3,Entries!$B$3:$B$16,0)),           _xlfn.IFS(  KD55="","",      AND(SUMPRODUCT((Entries!$A$3:$A$16=KD55)*(Entries!$C$3:$C$16=KE55)*(Entries!$D$3:$D$16=KF55)) = 0,        _xlfn.XLOOKUP(KD$3,Entries!$B$3:$B$16,Entries!$E$3:$E$16,"Enter")="Booked"),   INDEX(Entries!$B$3:$E$16,MATCH(KD$3,Entries!$B$3:$B$16,0),2),      KD55 &lt;&gt;0,""                                                ),"")</f>
        <v/>
      </c>
      <c r="KE64" s="122" t="str" cm="1">
        <f t="array" ref="KE64">IF( ISNUMBER(MATCH(KD$3,Entries!$B$3:$B$16,0)),           _xlfn.IFS(  KD64="","",      SUMPRODUCT((Entries!$A$3:$A$16=KD55)*(Entries!$C$3:$C$16=KE55)*(Entries!$D$3:$D$16=KF55)) &lt;&gt;0,"",         _xlfn.XLOOKUP(KD$3,Entries!$B$3:$B$16,Entries!$E$3:$E$16,"Enter")="Booked",   INDEX(Entries!$B$3:$E$16,MATCH(KD$3,Entries!$B$3:$B$16,0),3),                                                    _xlfn.XLOOKUP(KD$3,Entries!$B$3:$B$16,Entries!$A$3:$A$16,"Error"),""),"")</f>
        <v/>
      </c>
      <c r="KF64" s="123" t="str" cm="1">
        <f t="array" ref="KF64">IF( ISNUMBER(MATCH(KD$3,Entries!$B$3:$B$16,0)),           _xlfn.IFS(  KD64="","",      SUMPRODUCT((Entries!$A$3:$A$16=KE55)*(Entries!$C$3:$C$16=KF55)*(Entries!$D$3:$D$16=KG55)) &lt;&gt;0,"",         _xlfn.XLOOKUP(KD$3,Entries!$B$3:$B$16,Entries!$E$3:$E$16,"Enter")="Booked",   INDEX(Entries!$B$3:$E$16,MATCH(KD$3,Entries!$B$3:$B$16,0),4),                                                    _xlfn.XLOOKUP(KD$3,Entries!$B$3:$B$16,Entries!$A$3:$A$16,"Error"),""),"")</f>
        <v/>
      </c>
    </row>
    <row r="65" spans="1:301">
      <c r="A65" s="792"/>
      <c r="B65" s="124"/>
      <c r="C65" s="122"/>
      <c r="D65" s="164"/>
      <c r="E65" s="124"/>
      <c r="F65" s="793"/>
      <c r="G65" s="794"/>
      <c r="H65" s="124"/>
      <c r="I65" s="122"/>
      <c r="J65" s="164"/>
      <c r="K65" s="124"/>
      <c r="L65" s="793"/>
      <c r="M65" s="794"/>
      <c r="N65" s="138"/>
      <c r="O65" s="122"/>
      <c r="P65" s="794"/>
      <c r="Q65" s="138"/>
      <c r="R65" s="122"/>
      <c r="S65" s="794"/>
      <c r="T65" s="794"/>
      <c r="U65" s="794"/>
      <c r="V65" s="794"/>
      <c r="W65" s="138"/>
      <c r="X65" s="793"/>
      <c r="Y65" s="794"/>
      <c r="Z65" s="138"/>
      <c r="AA65" s="122"/>
      <c r="AB65" s="794"/>
      <c r="AC65" s="138"/>
      <c r="AD65" s="793"/>
      <c r="AE65" s="794"/>
      <c r="AF65" s="138"/>
      <c r="AG65" s="793"/>
      <c r="AH65" s="794"/>
      <c r="AI65" s="138"/>
      <c r="AJ65" s="793"/>
      <c r="AK65" s="794"/>
      <c r="AL65" s="138"/>
      <c r="AM65" s="793"/>
      <c r="AN65" s="794"/>
      <c r="AO65" s="124"/>
      <c r="AP65" s="793"/>
      <c r="AQ65" s="794"/>
      <c r="AR65" s="124"/>
      <c r="AS65" s="793"/>
      <c r="AT65" s="794"/>
      <c r="AU65" s="124"/>
      <c r="AV65" s="793"/>
      <c r="AW65" s="794"/>
      <c r="AX65" s="124"/>
      <c r="AY65" s="793"/>
      <c r="AZ65" s="794"/>
      <c r="BA65" s="124"/>
      <c r="BB65" s="793"/>
      <c r="BC65" s="794"/>
      <c r="BD65" s="124"/>
      <c r="BE65" s="793"/>
      <c r="BF65" s="794"/>
      <c r="BG65" s="124"/>
      <c r="BH65" s="793"/>
      <c r="BI65" s="794"/>
      <c r="BJ65" s="124"/>
      <c r="BK65" s="793"/>
      <c r="BL65" s="794"/>
      <c r="BM65" s="124"/>
      <c r="BN65" s="793"/>
      <c r="BO65" s="794"/>
      <c r="BP65" s="124"/>
      <c r="BQ65" s="793"/>
      <c r="BR65" s="794"/>
      <c r="BS65" s="124"/>
      <c r="BT65" s="793"/>
      <c r="BU65" s="794"/>
      <c r="BV65" s="124"/>
      <c r="BW65" s="122"/>
      <c r="BX65" s="164"/>
      <c r="BY65" s="124"/>
      <c r="BZ65" s="793"/>
      <c r="CA65" s="794"/>
      <c r="CB65" s="124"/>
      <c r="CC65" s="122"/>
      <c r="CD65" s="164"/>
      <c r="CE65" s="124"/>
      <c r="CF65" s="793"/>
      <c r="CG65" s="794"/>
      <c r="CH65" s="124"/>
      <c r="CI65" s="122"/>
      <c r="CJ65" s="795"/>
      <c r="CK65" s="124"/>
      <c r="CL65" s="793"/>
      <c r="CM65" s="794"/>
      <c r="CN65" s="124"/>
      <c r="CO65" s="122"/>
      <c r="CP65" s="164"/>
      <c r="CQ65" s="124"/>
      <c r="CR65" s="793"/>
      <c r="CS65" s="794"/>
      <c r="CT65" s="124"/>
      <c r="CU65" s="122"/>
      <c r="CV65" s="164"/>
      <c r="CW65" s="124"/>
      <c r="CX65" s="793"/>
      <c r="CY65" s="794"/>
      <c r="CZ65" s="124"/>
      <c r="DA65" s="122"/>
      <c r="DB65" s="164"/>
      <c r="DC65" s="124"/>
      <c r="DD65" s="793"/>
      <c r="DE65" s="796"/>
      <c r="DF65" s="124"/>
      <c r="DG65" s="122"/>
      <c r="DH65" s="795"/>
      <c r="DI65" s="124"/>
      <c r="DJ65" s="793"/>
      <c r="DK65" s="796"/>
      <c r="DL65" s="124"/>
      <c r="DM65" s="122"/>
      <c r="DN65" s="795"/>
      <c r="DO65" s="124"/>
      <c r="DP65" s="122"/>
      <c r="DQ65" s="123"/>
      <c r="DR65" s="124"/>
      <c r="DS65" s="122"/>
      <c r="DT65" s="123"/>
      <c r="DU65" s="124"/>
      <c r="DV65" s="793"/>
      <c r="DW65" s="796"/>
      <c r="DX65" s="124"/>
      <c r="DY65" s="122"/>
      <c r="DZ65" s="795"/>
      <c r="EA65" s="124"/>
      <c r="EB65" s="793"/>
      <c r="EC65" s="796"/>
      <c r="ED65" s="124"/>
      <c r="EE65" s="122"/>
      <c r="EF65" s="795"/>
      <c r="EG65" s="124"/>
      <c r="EH65" s="793"/>
      <c r="EI65" s="796"/>
      <c r="EJ65" s="124"/>
      <c r="EK65" s="122"/>
      <c r="EL65" s="123"/>
      <c r="EM65" s="124"/>
      <c r="EN65" s="122"/>
      <c r="EO65" s="795"/>
      <c r="EP65" s="124"/>
      <c r="EQ65" s="122"/>
      <c r="ER65" s="164"/>
      <c r="ES65" s="124"/>
      <c r="ET65" s="122"/>
      <c r="EU65" s="795"/>
      <c r="EV65" s="124"/>
      <c r="EW65" s="793"/>
      <c r="EX65" s="796"/>
      <c r="EY65" s="124"/>
      <c r="EZ65" s="122"/>
      <c r="FA65" s="164"/>
      <c r="FB65" s="124"/>
      <c r="FC65" s="793"/>
      <c r="FD65" s="794"/>
      <c r="FE65" s="124"/>
      <c r="FF65" s="122"/>
      <c r="FG65" s="164"/>
      <c r="FH65" s="124"/>
      <c r="FI65" s="793"/>
      <c r="FJ65" s="794"/>
      <c r="FK65" s="124"/>
      <c r="FL65" s="122"/>
      <c r="FM65" s="164"/>
      <c r="FN65" s="124"/>
      <c r="FO65" s="793"/>
      <c r="FP65" s="796"/>
      <c r="FQ65" s="124"/>
      <c r="FR65" s="122"/>
      <c r="FS65" s="164"/>
      <c r="FT65" s="124"/>
      <c r="FU65" s="793"/>
      <c r="FV65" s="794"/>
      <c r="FW65" s="124"/>
      <c r="FX65" s="122"/>
      <c r="FY65" s="164"/>
      <c r="FZ65" s="124"/>
      <c r="GA65" s="793"/>
      <c r="GB65" s="794"/>
      <c r="GC65" s="124"/>
      <c r="GD65" s="122"/>
      <c r="GE65" s="164"/>
      <c r="GF65" s="124"/>
      <c r="GG65" s="793"/>
      <c r="GH65" s="794"/>
      <c r="GI65" s="124"/>
      <c r="GJ65" s="122"/>
      <c r="GK65" s="164"/>
      <c r="GL65" s="124"/>
      <c r="GM65" s="122"/>
      <c r="GN65" s="123"/>
      <c r="GO65" s="124"/>
      <c r="GP65" s="122"/>
      <c r="GQ65" s="123"/>
      <c r="GR65" s="124"/>
      <c r="GS65" s="122"/>
      <c r="GT65" s="123"/>
      <c r="GU65" s="124"/>
      <c r="GV65" s="122"/>
      <c r="GW65" s="123"/>
      <c r="GX65" s="124"/>
      <c r="GY65" s="122"/>
      <c r="GZ65" s="795"/>
      <c r="HA65" s="124"/>
      <c r="HB65" s="793"/>
      <c r="HC65" s="796"/>
      <c r="HD65" s="124"/>
      <c r="HE65" s="122"/>
      <c r="HF65" s="796"/>
      <c r="HG65" s="138"/>
      <c r="HH65" s="793"/>
      <c r="HI65" s="796"/>
      <c r="HJ65" s="124"/>
      <c r="HK65" s="122"/>
      <c r="HL65" s="795"/>
      <c r="HM65" s="124"/>
      <c r="HN65" s="793"/>
      <c r="HO65" s="796"/>
      <c r="HP65" s="124"/>
      <c r="HQ65" s="122"/>
      <c r="HR65" s="795"/>
      <c r="HS65" s="124"/>
      <c r="HT65" s="122"/>
      <c r="HU65" s="164"/>
      <c r="HV65" s="124"/>
      <c r="HW65" s="122"/>
      <c r="HX65" s="164"/>
      <c r="HY65" s="124"/>
      <c r="HZ65" s="122"/>
      <c r="IA65" s="164"/>
      <c r="IB65" s="124"/>
      <c r="IC65" s="793"/>
      <c r="ID65" s="794"/>
      <c r="IE65" s="124"/>
      <c r="IF65" s="122"/>
      <c r="IG65" s="796"/>
      <c r="IH65" s="124"/>
      <c r="II65" s="122"/>
      <c r="IJ65" s="164"/>
      <c r="IK65" s="124"/>
      <c r="IL65" s="122"/>
      <c r="IM65" s="123"/>
      <c r="IN65" s="124"/>
      <c r="IO65" s="122"/>
      <c r="IP65" s="123"/>
      <c r="IQ65" s="124"/>
      <c r="IR65" s="122"/>
      <c r="IS65" s="123"/>
      <c r="IT65" s="124"/>
      <c r="IU65" s="122"/>
      <c r="IV65" s="123"/>
      <c r="IW65" s="124"/>
      <c r="IX65" s="122"/>
      <c r="IY65" s="123"/>
      <c r="IZ65" s="124"/>
      <c r="JA65" s="122"/>
      <c r="JB65" s="123"/>
      <c r="JC65" s="124"/>
      <c r="JD65" s="122"/>
      <c r="JE65" s="123"/>
      <c r="JF65" s="124"/>
      <c r="JG65" s="122"/>
      <c r="JH65" s="795"/>
      <c r="JI65" s="124"/>
      <c r="JJ65" s="793"/>
      <c r="JK65" s="796"/>
      <c r="JL65" s="124"/>
      <c r="JM65" s="122"/>
      <c r="JN65" s="795"/>
      <c r="JO65" s="124"/>
      <c r="JP65" s="793"/>
      <c r="JQ65" s="796"/>
      <c r="JR65" s="124"/>
      <c r="JS65" s="122"/>
      <c r="JT65" s="795"/>
      <c r="JU65" s="169" t="str" cm="1">
        <f t="array" ref="JU65">IF( ISNUMBER(MATCH(JU$3,Entries!$B$3:$B$16,0)),           _xlfn.IFS(  JU64="","",      AND(SUMPRODUCT((Entries!$A$3:$A$16=JU64)*(Entries!$C$3:$C$16=JV64)*(Entries!$D$3:$D$16=JW64)) = 0,        _xlfn.XLOOKUP(JU$3,Entries!$B$3:$B$16,Entries!$E$3:$E$16,"Enter")="Booked"),   INDEX(Entries!$B$3:$E$16,MATCH(JU$3,Entries!$B$3:$B$16,0),2),      JU64 &lt;&gt;0,""                                                ),"")</f>
        <v/>
      </c>
      <c r="JV65" s="122" t="str" cm="1">
        <f t="array" ref="JV65">IF( ISNUMBER(MATCH(JU$3,Entries!$B$3:$B$16,0)),           _xlfn.IFS(  JU65="","",      SUMPRODUCT((Entries!$A$3:$A$16=JU64)*(Entries!$C$3:$C$16=JV64)*(Entries!$D$3:$D$16=JW64)) &lt;&gt;0,"",         _xlfn.XLOOKUP(JU$3,Entries!$B$3:$B$16,Entries!$E$3:$E$16,"Enter")="Booked",   INDEX(Entries!$B$3:$E$16,MATCH(JU$3,Entries!$B$3:$B$16,0),3),                                                    _xlfn.XLOOKUP(JU$3,Entries!$B$3:$B$16,Entries!$A$3:$A$16,"Error"),""),"")</f>
        <v/>
      </c>
      <c r="JW65" s="123" t="str" cm="1">
        <f t="array" ref="JW65">IF( ISNUMBER(MATCH(JU$3,Entries!$B$3:$B$16,0)),           _xlfn.IFS(  JU65="","",      SUMPRODUCT((Entries!$A$3:$A$16=JV64)*(Entries!$C$3:$C$16=JW64)*(Entries!$D$3:$D$16=JX64)) &lt;&gt;0,"",         _xlfn.XLOOKUP(JU$3,Entries!$B$3:$B$16,Entries!$E$3:$E$16,"Enter")="Booked",   INDEX(Entries!$B$3:$E$16,MATCH(JU$3,Entries!$B$3:$B$16,0),4),                                                    _xlfn.XLOOKUP(JU$3,Entries!$B$3:$B$16,Entries!$A$3:$A$16,"Error"),""),"")</f>
        <v/>
      </c>
      <c r="JX65" s="169" t="str" cm="1">
        <f t="array" ref="JX65">IF( ISNUMBER(MATCH(JX$3,Entries!$B$3:$B$16,0)),           _xlfn.IFS(  JX64="","",      AND(SUMPRODUCT((Entries!$A$3:$A$16=JX64)*(Entries!$C$3:$C$16=JY64)*(Entries!$D$3:$D$16=JZ64)) = 0,        _xlfn.XLOOKUP(JX$3,Entries!$B$3:$B$16,Entries!$E$3:$E$16,"Enter")="Booked"),   INDEX(Entries!$B$3:$E$16,MATCH(JX$3,Entries!$B$3:$B$16,0),2),      JX64 &lt;&gt;0,""                                                ),"")</f>
        <v/>
      </c>
      <c r="JY65" s="122" t="str" cm="1">
        <f t="array" ref="JY65">IF( ISNUMBER(MATCH(JX$3,Entries!$B$3:$B$16,0)),           _xlfn.IFS(  JX65="","",      SUMPRODUCT((Entries!$A$3:$A$16=JX64)*(Entries!$C$3:$C$16=JY64)*(Entries!$D$3:$D$16=JZ64)) &lt;&gt;0,"",         _xlfn.XLOOKUP(JX$3,Entries!$B$3:$B$16,Entries!$E$3:$E$16,"Enter")="Booked",   INDEX(Entries!$B$3:$E$16,MATCH(JX$3,Entries!$B$3:$B$16,0),3),                                                    _xlfn.XLOOKUP(JX$3,Entries!$B$3:$B$16,Entries!$A$3:$A$16,"Error"),""),"")</f>
        <v/>
      </c>
      <c r="JZ65" s="123" t="str" cm="1">
        <f t="array" ref="JZ65">IF( ISNUMBER(MATCH(JX$3,Entries!$B$3:$B$16,0)),           _xlfn.IFS(  JX65="","",      SUMPRODUCT((Entries!$A$3:$A$16=JY64)*(Entries!$C$3:$C$16=JZ64)*(Entries!$D$3:$D$16=KA64)) &lt;&gt;0,"",         _xlfn.XLOOKUP(JX$3,Entries!$B$3:$B$16,Entries!$E$3:$E$16,"Enter")="Booked",   INDEX(Entries!$B$3:$E$16,MATCH(JX$3,Entries!$B$3:$B$16,0),4),                                                    _xlfn.XLOOKUP(JX$3,Entries!$B$3:$B$16,Entries!$A$3:$A$16,"Error"),""),"")</f>
        <v/>
      </c>
      <c r="KA65" s="169" t="str" cm="1">
        <f t="array" ref="KA65">IF( ISNUMBER(MATCH(KA$3,Entries!$B$3:$B$16,0)),           _xlfn.IFS(  KA64="","",      AND(SUMPRODUCT((Entries!$A$3:$A$16=KA64)*(Entries!$C$3:$C$16=KB64)*(Entries!$D$3:$D$16=KC64)) = 0,        _xlfn.XLOOKUP(KA$3,Entries!$B$3:$B$16,Entries!$E$3:$E$16,"Enter")="Booked"),   INDEX(Entries!$B$3:$E$16,MATCH(KA$3,Entries!$B$3:$B$16,0),2),      KA64 &lt;&gt;0,""                                                ),"")</f>
        <v/>
      </c>
      <c r="KB65" s="122" t="str" cm="1">
        <f t="array" ref="KB65">IF( ISNUMBER(MATCH(KA$3,Entries!$B$3:$B$16,0)),           _xlfn.IFS(  KA65="","",      SUMPRODUCT((Entries!$A$3:$A$16=KA64)*(Entries!$C$3:$C$16=KB64)*(Entries!$D$3:$D$16=KC64)) &lt;&gt;0,"",         _xlfn.XLOOKUP(KA$3,Entries!$B$3:$B$16,Entries!$E$3:$E$16,"Enter")="Booked",   INDEX(Entries!$B$3:$E$16,MATCH(KA$3,Entries!$B$3:$B$16,0),3),                                                    _xlfn.XLOOKUP(KA$3,Entries!$B$3:$B$16,Entries!$A$3:$A$16,"Error"),""),"")</f>
        <v/>
      </c>
      <c r="KC65" s="123" t="str" cm="1">
        <f t="array" ref="KC65">IF( ISNUMBER(MATCH(KA$3,Entries!$B$3:$B$16,0)),           _xlfn.IFS(  KA65="","",      SUMPRODUCT((Entries!$A$3:$A$16=KB64)*(Entries!$C$3:$C$16=KC64)*(Entries!$D$3:$D$16=KD64)) &lt;&gt;0,"",         _xlfn.XLOOKUP(KA$3,Entries!$B$3:$B$16,Entries!$E$3:$E$16,"Enter")="Booked",   INDEX(Entries!$B$3:$E$16,MATCH(KA$3,Entries!$B$3:$B$16,0),4),                                                    _xlfn.XLOOKUP(KA$3,Entries!$B$3:$B$16,Entries!$A$3:$A$16,"Error"),""),"")</f>
        <v/>
      </c>
      <c r="KD65" s="169" t="str" cm="1">
        <f t="array" ref="KD65">IF( ISNUMBER(MATCH(KD$3,Entries!$B$3:$B$16,0)),           _xlfn.IFS(  KD64="","",      AND(SUMPRODUCT((Entries!$A$3:$A$16=KD64)*(Entries!$C$3:$C$16=KE64)*(Entries!$D$3:$D$16=KF64)) = 0,        _xlfn.XLOOKUP(KD$3,Entries!$B$3:$B$16,Entries!$E$3:$E$16,"Enter")="Booked"),   INDEX(Entries!$B$3:$E$16,MATCH(KD$3,Entries!$B$3:$B$16,0),2),      KD64 &lt;&gt;0,""                                                ),"")</f>
        <v/>
      </c>
      <c r="KE65" s="122" t="str" cm="1">
        <f t="array" ref="KE65">IF( ISNUMBER(MATCH(KD$3,Entries!$B$3:$B$16,0)),           _xlfn.IFS(  KD65="","",      SUMPRODUCT((Entries!$A$3:$A$16=KD64)*(Entries!$C$3:$C$16=KE64)*(Entries!$D$3:$D$16=KF64)) &lt;&gt;0,"",         _xlfn.XLOOKUP(KD$3,Entries!$B$3:$B$16,Entries!$E$3:$E$16,"Enter")="Booked",   INDEX(Entries!$B$3:$E$16,MATCH(KD$3,Entries!$B$3:$B$16,0),3),                                                    _xlfn.XLOOKUP(KD$3,Entries!$B$3:$B$16,Entries!$A$3:$A$16,"Error"),""),"")</f>
        <v/>
      </c>
      <c r="KF65" s="123" t="str" cm="1">
        <f t="array" ref="KF65">IF( ISNUMBER(MATCH(KD$3,Entries!$B$3:$B$16,0)),           _xlfn.IFS(  KD65="","",      SUMPRODUCT((Entries!$A$3:$A$16=KE64)*(Entries!$C$3:$C$16=KF64)*(Entries!$D$3:$D$16=KG56)) &lt;&gt;0,"",         _xlfn.XLOOKUP(KD$3,Entries!$B$3:$B$16,Entries!$E$3:$E$16,"Enter")="Booked",   INDEX(Entries!$B$3:$E$16,MATCH(KD$3,Entries!$B$3:$B$16,0),4),                                                    _xlfn.XLOOKUP(KD$3,Entries!$B$3:$B$16,Entries!$A$3:$A$16,"Error"),""),"")</f>
        <v/>
      </c>
    </row>
    <row r="66" spans="1:301">
      <c r="A66" s="792"/>
      <c r="B66" s="124"/>
      <c r="C66" s="122"/>
      <c r="D66" s="164"/>
      <c r="E66" s="124"/>
      <c r="F66" s="793"/>
      <c r="G66" s="794"/>
      <c r="H66" s="124"/>
      <c r="I66" s="122"/>
      <c r="J66" s="164"/>
      <c r="K66" s="124"/>
      <c r="L66" s="793"/>
      <c r="M66" s="794"/>
      <c r="N66" s="138"/>
      <c r="O66" s="122"/>
      <c r="P66" s="794"/>
      <c r="Q66" s="138"/>
      <c r="R66" s="122"/>
      <c r="S66" s="794"/>
      <c r="T66" s="794"/>
      <c r="U66" s="794"/>
      <c r="V66" s="794"/>
      <c r="W66" s="138"/>
      <c r="X66" s="793"/>
      <c r="Y66" s="794"/>
      <c r="Z66" s="138"/>
      <c r="AA66" s="122"/>
      <c r="AB66" s="794"/>
      <c r="AC66" s="138"/>
      <c r="AD66" s="793"/>
      <c r="AE66" s="794"/>
      <c r="AF66" s="138"/>
      <c r="AG66" s="793"/>
      <c r="AH66" s="794"/>
      <c r="AI66" s="138"/>
      <c r="AJ66" s="793"/>
      <c r="AK66" s="794"/>
      <c r="AL66" s="138"/>
      <c r="AM66" s="793"/>
      <c r="AN66" s="794"/>
      <c r="AO66" s="124"/>
      <c r="AP66" s="793"/>
      <c r="AQ66" s="794"/>
      <c r="AR66" s="124"/>
      <c r="AS66" s="793"/>
      <c r="AT66" s="794"/>
      <c r="AU66" s="124"/>
      <c r="AV66" s="793"/>
      <c r="AW66" s="794"/>
      <c r="AX66" s="124"/>
      <c r="AY66" s="793"/>
      <c r="AZ66" s="794"/>
      <c r="BA66" s="124"/>
      <c r="BB66" s="793"/>
      <c r="BC66" s="794"/>
      <c r="BD66" s="124"/>
      <c r="BE66" s="793"/>
      <c r="BF66" s="794"/>
      <c r="BG66" s="124"/>
      <c r="BH66" s="793"/>
      <c r="BI66" s="794"/>
      <c r="BJ66" s="124"/>
      <c r="BK66" s="793"/>
      <c r="BL66" s="794"/>
      <c r="BM66" s="124"/>
      <c r="BN66" s="793"/>
      <c r="BO66" s="794"/>
      <c r="BP66" s="124"/>
      <c r="BQ66" s="793"/>
      <c r="BR66" s="794"/>
      <c r="BS66" s="124"/>
      <c r="BT66" s="793"/>
      <c r="BU66" s="794"/>
      <c r="BV66" s="124"/>
      <c r="BW66" s="122"/>
      <c r="BX66" s="164"/>
      <c r="BY66" s="124"/>
      <c r="BZ66" s="793"/>
      <c r="CA66" s="794"/>
      <c r="CB66" s="124"/>
      <c r="CC66" s="122"/>
      <c r="CD66" s="164"/>
      <c r="CE66" s="124"/>
      <c r="CF66" s="793"/>
      <c r="CG66" s="794"/>
      <c r="CH66" s="124"/>
      <c r="CI66" s="122"/>
      <c r="CJ66" s="795"/>
      <c r="CK66" s="124"/>
      <c r="CL66" s="793"/>
      <c r="CM66" s="794"/>
      <c r="CN66" s="124"/>
      <c r="CO66" s="122"/>
      <c r="CP66" s="164"/>
      <c r="CQ66" s="124"/>
      <c r="CR66" s="793"/>
      <c r="CS66" s="794"/>
      <c r="CT66" s="124"/>
      <c r="CU66" s="122"/>
      <c r="CV66" s="164"/>
      <c r="CW66" s="124"/>
      <c r="CX66" s="793"/>
      <c r="CY66" s="794"/>
      <c r="CZ66" s="124"/>
      <c r="DA66" s="122"/>
      <c r="DB66" s="164"/>
      <c r="DC66" s="124"/>
      <c r="DD66" s="793"/>
      <c r="DE66" s="796"/>
      <c r="DF66" s="124"/>
      <c r="DG66" s="122"/>
      <c r="DH66" s="795"/>
      <c r="DI66" s="124"/>
      <c r="DJ66" s="793"/>
      <c r="DK66" s="796"/>
      <c r="DL66" s="124"/>
      <c r="DM66" s="122"/>
      <c r="DN66" s="795"/>
      <c r="DO66" s="124"/>
      <c r="DP66" s="122"/>
      <c r="DQ66" s="123"/>
      <c r="DR66" s="124"/>
      <c r="DS66" s="122"/>
      <c r="DT66" s="123"/>
      <c r="DU66" s="124"/>
      <c r="DV66" s="793"/>
      <c r="DW66" s="796"/>
      <c r="DX66" s="124"/>
      <c r="DY66" s="122"/>
      <c r="DZ66" s="795"/>
      <c r="EA66" s="124"/>
      <c r="EB66" s="793"/>
      <c r="EC66" s="796"/>
      <c r="ED66" s="124"/>
      <c r="EE66" s="122"/>
      <c r="EF66" s="795"/>
      <c r="EG66" s="124"/>
      <c r="EH66" s="793"/>
      <c r="EI66" s="796"/>
      <c r="EJ66" s="124"/>
      <c r="EK66" s="122"/>
      <c r="EL66" s="123"/>
      <c r="EM66" s="124"/>
      <c r="EN66" s="122"/>
      <c r="EO66" s="795"/>
      <c r="EP66" s="124"/>
      <c r="EQ66" s="122"/>
      <c r="ER66" s="164"/>
      <c r="ES66" s="124"/>
      <c r="ET66" s="122"/>
      <c r="EU66" s="795"/>
      <c r="EV66" s="124"/>
      <c r="EW66" s="793"/>
      <c r="EX66" s="796"/>
      <c r="EY66" s="124"/>
      <c r="EZ66" s="122"/>
      <c r="FA66" s="164"/>
      <c r="FB66" s="124"/>
      <c r="FC66" s="793"/>
      <c r="FD66" s="794"/>
      <c r="FE66" s="124"/>
      <c r="FF66" s="122"/>
      <c r="FG66" s="164"/>
      <c r="FH66" s="124"/>
      <c r="FI66" s="793"/>
      <c r="FJ66" s="794"/>
      <c r="FK66" s="124"/>
      <c r="FL66" s="122"/>
      <c r="FM66" s="164"/>
      <c r="FN66" s="124"/>
      <c r="FO66" s="793"/>
      <c r="FP66" s="796"/>
      <c r="FQ66" s="124"/>
      <c r="FR66" s="122"/>
      <c r="FS66" s="164"/>
      <c r="FT66" s="124"/>
      <c r="FU66" s="793"/>
      <c r="FV66" s="794"/>
      <c r="FW66" s="124"/>
      <c r="FX66" s="122"/>
      <c r="FY66" s="164"/>
      <c r="FZ66" s="124"/>
      <c r="GA66" s="793"/>
      <c r="GB66" s="794"/>
      <c r="GC66" s="124"/>
      <c r="GD66" s="122"/>
      <c r="GE66" s="164"/>
      <c r="GF66" s="124"/>
      <c r="GG66" s="793"/>
      <c r="GH66" s="794"/>
      <c r="GI66" s="124"/>
      <c r="GJ66" s="122"/>
      <c r="GK66" s="164"/>
      <c r="GL66" s="124"/>
      <c r="GM66" s="122"/>
      <c r="GN66" s="123"/>
      <c r="GO66" s="124"/>
      <c r="GP66" s="122"/>
      <c r="GQ66" s="123"/>
      <c r="GR66" s="124"/>
      <c r="GS66" s="122"/>
      <c r="GT66" s="123"/>
      <c r="GU66" s="124"/>
      <c r="GV66" s="122"/>
      <c r="GW66" s="123"/>
      <c r="GX66" s="124"/>
      <c r="GY66" s="122"/>
      <c r="GZ66" s="795"/>
      <c r="HA66" s="124"/>
      <c r="HB66" s="793"/>
      <c r="HC66" s="796"/>
      <c r="HD66" s="124"/>
      <c r="HE66" s="122"/>
      <c r="HF66" s="796"/>
      <c r="HG66" s="138"/>
      <c r="HH66" s="793"/>
      <c r="HI66" s="796"/>
      <c r="HJ66" s="124"/>
      <c r="HK66" s="122"/>
      <c r="HL66" s="795"/>
      <c r="HM66" s="124"/>
      <c r="HN66" s="793"/>
      <c r="HO66" s="796"/>
      <c r="HP66" s="124"/>
      <c r="HQ66" s="122"/>
      <c r="HR66" s="795"/>
      <c r="HS66" s="124"/>
      <c r="HT66" s="122"/>
      <c r="HU66" s="164"/>
      <c r="HV66" s="124"/>
      <c r="HW66" s="122"/>
      <c r="HX66" s="164"/>
      <c r="HY66" s="124"/>
      <c r="HZ66" s="122"/>
      <c r="IA66" s="164"/>
      <c r="IB66" s="124"/>
      <c r="IC66" s="793"/>
      <c r="ID66" s="794"/>
      <c r="IE66" s="124"/>
      <c r="IF66" s="122"/>
      <c r="IG66" s="796"/>
      <c r="IH66" s="124"/>
      <c r="II66" s="122"/>
      <c r="IJ66" s="164"/>
      <c r="IK66" s="124"/>
      <c r="IL66" s="122"/>
      <c r="IM66" s="123"/>
      <c r="IN66" s="124"/>
      <c r="IO66" s="122"/>
      <c r="IP66" s="123"/>
      <c r="IQ66" s="124"/>
      <c r="IR66" s="122"/>
      <c r="IS66" s="123"/>
      <c r="IT66" s="124"/>
      <c r="IU66" s="122"/>
      <c r="IV66" s="123"/>
      <c r="IW66" s="124"/>
      <c r="IX66" s="122"/>
      <c r="IY66" s="123"/>
      <c r="IZ66" s="124"/>
      <c r="JA66" s="122"/>
      <c r="JB66" s="123"/>
      <c r="JC66" s="124"/>
      <c r="JD66" s="122"/>
      <c r="JE66" s="123"/>
      <c r="JF66" s="124"/>
      <c r="JG66" s="122"/>
      <c r="JH66" s="795"/>
      <c r="JI66" s="124"/>
      <c r="JJ66" s="793"/>
      <c r="JK66" s="796"/>
      <c r="JL66" s="124"/>
      <c r="JM66" s="122"/>
      <c r="JN66" s="795"/>
      <c r="JO66" s="124"/>
      <c r="JP66" s="793"/>
      <c r="JQ66" s="796"/>
      <c r="JR66" s="124"/>
      <c r="JS66" s="122"/>
      <c r="JT66" s="795"/>
      <c r="JU66" s="169" t="str" cm="1">
        <f t="array" ref="JU66">IF( ISNUMBER(MATCH(JU$3,Entries!$B$3:$B$16,0)),           _xlfn.IFS(  JU65="","",      AND(SUMPRODUCT((Entries!$A$3:$A$16=JU65)*(Entries!$C$3:$C$16=JV65)*(Entries!$D$3:$D$16=JW65)) = 0,        _xlfn.XLOOKUP(JU$3,Entries!$B$3:$B$16,Entries!$E$3:$E$16,"Enter")="Booked"),   INDEX(Entries!$B$3:$E$16,MATCH(JU$3,Entries!$B$3:$B$16,0),2),      JU65 &lt;&gt;0,""                                                ),"")</f>
        <v/>
      </c>
      <c r="JV66" s="122" t="str" cm="1">
        <f t="array" ref="JV66">IF( ISNUMBER(MATCH(JU$3,Entries!$B$3:$B$16,0)),           _xlfn.IFS(  JU66="","",      SUMPRODUCT((Entries!$A$3:$A$16=JU65)*(Entries!$C$3:$C$16=JV65)*(Entries!$D$3:$D$16=JW65)) &lt;&gt;0,"",         _xlfn.XLOOKUP(JU$3,Entries!$B$3:$B$16,Entries!$E$3:$E$16,"Enter")="Booked",   INDEX(Entries!$B$3:$E$16,MATCH(JU$3,Entries!$B$3:$B$16,0),3),                                                    _xlfn.XLOOKUP(JU$3,Entries!$B$3:$B$16,Entries!$A$3:$A$16,"Error"),""),"")</f>
        <v/>
      </c>
      <c r="JW66" s="123" t="str" cm="1">
        <f t="array" ref="JW66">IF( ISNUMBER(MATCH(JU$3,Entries!$B$3:$B$16,0)),           _xlfn.IFS(  JU66="","",      SUMPRODUCT((Entries!$A$3:$A$16=JV65)*(Entries!$C$3:$C$16=JW65)*(Entries!$D$3:$D$16=JX65)) &lt;&gt;0,"",         _xlfn.XLOOKUP(JU$3,Entries!$B$3:$B$16,Entries!$E$3:$E$16,"Enter")="Booked",   INDEX(Entries!$B$3:$E$16,MATCH(JU$3,Entries!$B$3:$B$16,0),4),                                                    _xlfn.XLOOKUP(JU$3,Entries!$B$3:$B$16,Entries!$A$3:$A$16,"Error"),""),"")</f>
        <v/>
      </c>
      <c r="JX66" s="169" t="str" cm="1">
        <f t="array" ref="JX66">IF( ISNUMBER(MATCH(JX$3,Entries!$B$3:$B$16,0)),           _xlfn.IFS(  JX65="","",      AND(SUMPRODUCT((Entries!$A$3:$A$16=JX65)*(Entries!$C$3:$C$16=JY65)*(Entries!$D$3:$D$16=JZ65)) = 0,        _xlfn.XLOOKUP(JX$3,Entries!$B$3:$B$16,Entries!$E$3:$E$16,"Enter")="Booked"),   INDEX(Entries!$B$3:$E$16,MATCH(JX$3,Entries!$B$3:$B$16,0),2),      JX65 &lt;&gt;0,""                                                ),"")</f>
        <v/>
      </c>
      <c r="JY66" s="122" t="str" cm="1">
        <f t="array" ref="JY66">IF( ISNUMBER(MATCH(JX$3,Entries!$B$3:$B$16,0)),           _xlfn.IFS(  JX66="","",      SUMPRODUCT((Entries!$A$3:$A$16=JX65)*(Entries!$C$3:$C$16=JY65)*(Entries!$D$3:$D$16=JZ65)) &lt;&gt;0,"",         _xlfn.XLOOKUP(JX$3,Entries!$B$3:$B$16,Entries!$E$3:$E$16,"Enter")="Booked",   INDEX(Entries!$B$3:$E$16,MATCH(JX$3,Entries!$B$3:$B$16,0),3),                                                    _xlfn.XLOOKUP(JX$3,Entries!$B$3:$B$16,Entries!$A$3:$A$16,"Error"),""),"")</f>
        <v/>
      </c>
      <c r="JZ66" s="123" t="str" cm="1">
        <f t="array" ref="JZ66">IF( ISNUMBER(MATCH(JX$3,Entries!$B$3:$B$16,0)),           _xlfn.IFS(  JX66="","",      SUMPRODUCT((Entries!$A$3:$A$16=JY65)*(Entries!$C$3:$C$16=JZ65)*(Entries!$D$3:$D$16=KA65)) &lt;&gt;0,"",         _xlfn.XLOOKUP(JX$3,Entries!$B$3:$B$16,Entries!$E$3:$E$16,"Enter")="Booked",   INDEX(Entries!$B$3:$E$16,MATCH(JX$3,Entries!$B$3:$B$16,0),4),                                                    _xlfn.XLOOKUP(JX$3,Entries!$B$3:$B$16,Entries!$A$3:$A$16,"Error"),""),"")</f>
        <v/>
      </c>
      <c r="KA66" s="169" t="str" cm="1">
        <f t="array" ref="KA66">IF( ISNUMBER(MATCH(KA$3,Entries!$B$3:$B$16,0)),           _xlfn.IFS(  KA65="","",      AND(SUMPRODUCT((Entries!$A$3:$A$16=KA65)*(Entries!$C$3:$C$16=KB65)*(Entries!$D$3:$D$16=KC65)) = 0,        _xlfn.XLOOKUP(KA$3,Entries!$B$3:$B$16,Entries!$E$3:$E$16,"Enter")="Booked"),   INDEX(Entries!$B$3:$E$16,MATCH(KA$3,Entries!$B$3:$B$16,0),2),      KA65 &lt;&gt;0,""                                                ),"")</f>
        <v/>
      </c>
      <c r="KB66" s="122" t="str" cm="1">
        <f t="array" ref="KB66">IF( ISNUMBER(MATCH(KA$3,Entries!$B$3:$B$16,0)),           _xlfn.IFS(  KA66="","",      SUMPRODUCT((Entries!$A$3:$A$16=KA65)*(Entries!$C$3:$C$16=KB65)*(Entries!$D$3:$D$16=KC65)) &lt;&gt;0,"",         _xlfn.XLOOKUP(KA$3,Entries!$B$3:$B$16,Entries!$E$3:$E$16,"Enter")="Booked",   INDEX(Entries!$B$3:$E$16,MATCH(KA$3,Entries!$B$3:$B$16,0),3),                                                    _xlfn.XLOOKUP(KA$3,Entries!$B$3:$B$16,Entries!$A$3:$A$16,"Error"),""),"")</f>
        <v/>
      </c>
      <c r="KC66" s="123" t="str" cm="1">
        <f t="array" ref="KC66">IF( ISNUMBER(MATCH(KA$3,Entries!$B$3:$B$16,0)),           _xlfn.IFS(  KA66="","",      SUMPRODUCT((Entries!$A$3:$A$16=KB65)*(Entries!$C$3:$C$16=KC65)*(Entries!$D$3:$D$16=KD65)) &lt;&gt;0,"",         _xlfn.XLOOKUP(KA$3,Entries!$B$3:$B$16,Entries!$E$3:$E$16,"Enter")="Booked",   INDEX(Entries!$B$3:$E$16,MATCH(KA$3,Entries!$B$3:$B$16,0),4),                                                    _xlfn.XLOOKUP(KA$3,Entries!$B$3:$B$16,Entries!$A$3:$A$16,"Error"),""),"")</f>
        <v/>
      </c>
      <c r="KD66" s="169" t="str" cm="1">
        <f t="array" ref="KD66">IF( ISNUMBER(MATCH(KD$3,Entries!$B$3:$B$16,0)),           _xlfn.IFS(  KD65="","",      AND(SUMPRODUCT((Entries!$A$3:$A$16=KD65)*(Entries!$C$3:$C$16=KE65)*(Entries!$D$3:$D$16=KF65)) = 0,        _xlfn.XLOOKUP(KD$3,Entries!$B$3:$B$16,Entries!$E$3:$E$16,"Enter")="Booked"),   INDEX(Entries!$B$3:$E$16,MATCH(KD$3,Entries!$B$3:$B$16,0),2),      KD65 &lt;&gt;0,""                                                ),"")</f>
        <v/>
      </c>
      <c r="KE66" s="122" t="str" cm="1">
        <f t="array" ref="KE66">IF( ISNUMBER(MATCH(KD$3,Entries!$B$3:$B$16,0)),           _xlfn.IFS(  KD66="","",      SUMPRODUCT((Entries!$A$3:$A$16=KD65)*(Entries!$C$3:$C$16=KE65)*(Entries!$D$3:$D$16=KF65)) &lt;&gt;0,"",         _xlfn.XLOOKUP(KD$3,Entries!$B$3:$B$16,Entries!$E$3:$E$16,"Enter")="Booked",   INDEX(Entries!$B$3:$E$16,MATCH(KD$3,Entries!$B$3:$B$16,0),3),                                                    _xlfn.XLOOKUP(KD$3,Entries!$B$3:$B$16,Entries!$A$3:$A$16,"Error"),""),"")</f>
        <v/>
      </c>
      <c r="KF66" s="123" t="str" cm="1">
        <f t="array" ref="KF66">IF( ISNUMBER(MATCH(KD$3,Entries!$B$3:$B$16,0)),           _xlfn.IFS(  KD66="","",      SUMPRODUCT((Entries!$A$3:$A$16=KE65)*(Entries!$C$3:$C$16=KF65)*(Entries!$D$3:$D$16=KG57)) &lt;&gt;0,"",         _xlfn.XLOOKUP(KD$3,Entries!$B$3:$B$16,Entries!$E$3:$E$16,"Enter")="Booked",   INDEX(Entries!$B$3:$E$16,MATCH(KD$3,Entries!$B$3:$B$16,0),4),                                                    _xlfn.XLOOKUP(KD$3,Entries!$B$3:$B$16,Entries!$A$3:$A$16,"Error"),""),"")</f>
        <v/>
      </c>
    </row>
    <row r="67" spans="1:301">
      <c r="A67" s="792"/>
      <c r="B67" s="124"/>
      <c r="C67" s="122"/>
      <c r="D67" s="164"/>
      <c r="E67" s="124"/>
      <c r="F67" s="793"/>
      <c r="G67" s="794"/>
      <c r="H67" s="124"/>
      <c r="I67" s="122"/>
      <c r="J67" s="164"/>
      <c r="K67" s="124"/>
      <c r="L67" s="793"/>
      <c r="M67" s="794"/>
      <c r="N67" s="138"/>
      <c r="O67" s="122"/>
      <c r="P67" s="794"/>
      <c r="Q67" s="138"/>
      <c r="R67" s="122"/>
      <c r="S67" s="794"/>
      <c r="T67" s="794"/>
      <c r="U67" s="794"/>
      <c r="V67" s="794"/>
      <c r="W67" s="138"/>
      <c r="X67" s="793"/>
      <c r="Y67" s="794"/>
      <c r="Z67" s="138"/>
      <c r="AA67" s="122"/>
      <c r="AB67" s="794"/>
      <c r="AC67" s="138"/>
      <c r="AD67" s="793"/>
      <c r="AE67" s="794"/>
      <c r="AF67" s="138"/>
      <c r="AG67" s="793"/>
      <c r="AH67" s="794"/>
      <c r="AI67" s="138"/>
      <c r="AJ67" s="793"/>
      <c r="AK67" s="794"/>
      <c r="AL67" s="138"/>
      <c r="AM67" s="793"/>
      <c r="AN67" s="794"/>
      <c r="AO67" s="124"/>
      <c r="AP67" s="793"/>
      <c r="AQ67" s="794"/>
      <c r="AR67" s="124"/>
      <c r="AS67" s="793"/>
      <c r="AT67" s="794"/>
      <c r="AU67" s="124"/>
      <c r="AV67" s="793"/>
      <c r="AW67" s="794"/>
      <c r="AX67" s="124"/>
      <c r="AY67" s="793"/>
      <c r="AZ67" s="794"/>
      <c r="BA67" s="124"/>
      <c r="BB67" s="793"/>
      <c r="BC67" s="794"/>
      <c r="BD67" s="124"/>
      <c r="BE67" s="793"/>
      <c r="BF67" s="794"/>
      <c r="BG67" s="124"/>
      <c r="BH67" s="793"/>
      <c r="BI67" s="794"/>
      <c r="BJ67" s="124"/>
      <c r="BK67" s="793"/>
      <c r="BL67" s="794"/>
      <c r="BM67" s="124"/>
      <c r="BN67" s="793"/>
      <c r="BO67" s="794"/>
      <c r="BP67" s="124"/>
      <c r="BQ67" s="793"/>
      <c r="BR67" s="794"/>
      <c r="BS67" s="124"/>
      <c r="BT67" s="793"/>
      <c r="BU67" s="794"/>
      <c r="BV67" s="124"/>
      <c r="BW67" s="122"/>
      <c r="BX67" s="164"/>
      <c r="BY67" s="124"/>
      <c r="BZ67" s="793"/>
      <c r="CA67" s="794"/>
      <c r="CB67" s="124"/>
      <c r="CC67" s="122"/>
      <c r="CD67" s="164"/>
      <c r="CE67" s="124"/>
      <c r="CF67" s="793"/>
      <c r="CG67" s="794"/>
      <c r="CH67" s="124"/>
      <c r="CI67" s="122"/>
      <c r="CJ67" s="795"/>
      <c r="CK67" s="124"/>
      <c r="CL67" s="793"/>
      <c r="CM67" s="794"/>
      <c r="CN67" s="124"/>
      <c r="CO67" s="122"/>
      <c r="CP67" s="164"/>
      <c r="CQ67" s="124"/>
      <c r="CR67" s="793"/>
      <c r="CS67" s="794"/>
      <c r="CT67" s="124"/>
      <c r="CU67" s="122"/>
      <c r="CV67" s="164"/>
      <c r="CW67" s="124"/>
      <c r="CX67" s="793"/>
      <c r="CY67" s="794"/>
      <c r="CZ67" s="124"/>
      <c r="DA67" s="122"/>
      <c r="DB67" s="164"/>
      <c r="DC67" s="124"/>
      <c r="DD67" s="793"/>
      <c r="DE67" s="796"/>
      <c r="DF67" s="124"/>
      <c r="DG67" s="122"/>
      <c r="DH67" s="795"/>
      <c r="DI67" s="124"/>
      <c r="DJ67" s="793"/>
      <c r="DK67" s="796"/>
      <c r="DL67" s="124"/>
      <c r="DM67" s="122"/>
      <c r="DN67" s="795"/>
      <c r="DO67" s="124"/>
      <c r="DP67" s="122"/>
      <c r="DQ67" s="123"/>
      <c r="DR67" s="124"/>
      <c r="DS67" s="122"/>
      <c r="DT67" s="123"/>
      <c r="DU67" s="124"/>
      <c r="DV67" s="793"/>
      <c r="DW67" s="796"/>
      <c r="DX67" s="124"/>
      <c r="DY67" s="122"/>
      <c r="DZ67" s="795"/>
      <c r="EA67" s="124"/>
      <c r="EB67" s="793"/>
      <c r="EC67" s="796"/>
      <c r="ED67" s="124"/>
      <c r="EE67" s="122"/>
      <c r="EF67" s="795"/>
      <c r="EG67" s="124"/>
      <c r="EH67" s="793"/>
      <c r="EI67" s="796"/>
      <c r="EJ67" s="124"/>
      <c r="EK67" s="122"/>
      <c r="EL67" s="123"/>
      <c r="EM67" s="124"/>
      <c r="EN67" s="122"/>
      <c r="EO67" s="795"/>
      <c r="EP67" s="124"/>
      <c r="EQ67" s="122"/>
      <c r="ER67" s="164"/>
      <c r="ES67" s="124"/>
      <c r="ET67" s="122"/>
      <c r="EU67" s="795"/>
      <c r="EV67" s="124"/>
      <c r="EW67" s="793"/>
      <c r="EX67" s="796"/>
      <c r="EY67" s="124"/>
      <c r="EZ67" s="122"/>
      <c r="FA67" s="164"/>
      <c r="FB67" s="124"/>
      <c r="FC67" s="793"/>
      <c r="FD67" s="794"/>
      <c r="FE67" s="124"/>
      <c r="FF67" s="122"/>
      <c r="FG67" s="164"/>
      <c r="FH67" s="124"/>
      <c r="FI67" s="793"/>
      <c r="FJ67" s="794"/>
      <c r="FK67" s="124"/>
      <c r="FL67" s="122"/>
      <c r="FM67" s="164"/>
      <c r="FN67" s="124"/>
      <c r="FO67" s="793"/>
      <c r="FP67" s="796"/>
      <c r="FQ67" s="124"/>
      <c r="FR67" s="122"/>
      <c r="FS67" s="164"/>
      <c r="FT67" s="124"/>
      <c r="FU67" s="793"/>
      <c r="FV67" s="794"/>
      <c r="FW67" s="124"/>
      <c r="FX67" s="122"/>
      <c r="FY67" s="164"/>
      <c r="FZ67" s="124"/>
      <c r="GA67" s="793"/>
      <c r="GB67" s="794"/>
      <c r="GC67" s="124"/>
      <c r="GD67" s="122"/>
      <c r="GE67" s="164"/>
      <c r="GF67" s="124"/>
      <c r="GG67" s="793"/>
      <c r="GH67" s="794"/>
      <c r="GI67" s="124"/>
      <c r="GJ67" s="122"/>
      <c r="GK67" s="164"/>
      <c r="GL67" s="124"/>
      <c r="GM67" s="122"/>
      <c r="GN67" s="123"/>
      <c r="GO67" s="124"/>
      <c r="GP67" s="122"/>
      <c r="GQ67" s="123"/>
      <c r="GR67" s="124"/>
      <c r="GS67" s="122"/>
      <c r="GT67" s="123"/>
      <c r="GU67" s="124"/>
      <c r="GV67" s="122"/>
      <c r="GW67" s="123"/>
      <c r="GX67" s="124"/>
      <c r="GY67" s="122"/>
      <c r="GZ67" s="795"/>
      <c r="HA67" s="124"/>
      <c r="HB67" s="793"/>
      <c r="HC67" s="796"/>
      <c r="HD67" s="124"/>
      <c r="HE67" s="122"/>
      <c r="HF67" s="796"/>
      <c r="HG67" s="138"/>
      <c r="HH67" s="793"/>
      <c r="HI67" s="796"/>
      <c r="HJ67" s="124"/>
      <c r="HK67" s="122"/>
      <c r="HL67" s="795"/>
      <c r="HM67" s="124"/>
      <c r="HN67" s="793"/>
      <c r="HO67" s="796"/>
      <c r="HP67" s="124"/>
      <c r="HQ67" s="122"/>
      <c r="HR67" s="795"/>
      <c r="HS67" s="124"/>
      <c r="HT67" s="122"/>
      <c r="HU67" s="164"/>
      <c r="HV67" s="124"/>
      <c r="HW67" s="122"/>
      <c r="HX67" s="164"/>
      <c r="HY67" s="124"/>
      <c r="HZ67" s="122"/>
      <c r="IA67" s="164"/>
      <c r="IB67" s="124"/>
      <c r="IC67" s="793"/>
      <c r="ID67" s="794"/>
      <c r="IE67" s="124"/>
      <c r="IF67" s="122"/>
      <c r="IG67" s="796"/>
      <c r="IH67" s="124"/>
      <c r="II67" s="122"/>
      <c r="IJ67" s="164"/>
      <c r="IK67" s="124"/>
      <c r="IL67" s="122"/>
      <c r="IM67" s="123"/>
      <c r="IN67" s="124"/>
      <c r="IO67" s="122"/>
      <c r="IP67" s="123"/>
      <c r="IQ67" s="124"/>
      <c r="IR67" s="122"/>
      <c r="IS67" s="123"/>
      <c r="IT67" s="124"/>
      <c r="IU67" s="122"/>
      <c r="IV67" s="123"/>
      <c r="IW67" s="124"/>
      <c r="IX67" s="122"/>
      <c r="IY67" s="123"/>
      <c r="IZ67" s="124"/>
      <c r="JA67" s="122"/>
      <c r="JB67" s="123"/>
      <c r="JC67" s="124"/>
      <c r="JD67" s="122"/>
      <c r="JE67" s="123"/>
      <c r="JF67" s="124"/>
      <c r="JG67" s="122"/>
      <c r="JH67" s="795"/>
      <c r="JI67" s="124"/>
      <c r="JJ67" s="793"/>
      <c r="JK67" s="796"/>
      <c r="JL67" s="124"/>
      <c r="JM67" s="122"/>
      <c r="JN67" s="795"/>
      <c r="JO67" s="124"/>
      <c r="JP67" s="793"/>
      <c r="JQ67" s="796"/>
      <c r="JR67" s="124"/>
      <c r="JS67" s="122"/>
      <c r="JT67" s="795"/>
      <c r="JU67" s="169" t="str" cm="1">
        <f t="array" ref="JU67">IF( ISNUMBER(MATCH(JU$3,Entries!$B$3:$B$16,0)),           _xlfn.IFS(  JU66="","",      AND(SUMPRODUCT((Entries!$A$3:$A$16=JU66)*(Entries!$C$3:$C$16=JV66)*(Entries!$D$3:$D$16=JW66)) = 0,        _xlfn.XLOOKUP(JU$3,Entries!$B$3:$B$16,Entries!$E$3:$E$16,"Enter")="Booked"),   INDEX(Entries!$B$3:$E$16,MATCH(JU$3,Entries!$B$3:$B$16,0),2),      JU66 &lt;&gt;0,""                                                ),"")</f>
        <v/>
      </c>
      <c r="JV67" s="122" t="str" cm="1">
        <f t="array" ref="JV67">IF( ISNUMBER(MATCH(JU$3,Entries!$B$3:$B$16,0)),           _xlfn.IFS(  JU67="","",      SUMPRODUCT((Entries!$A$3:$A$16=JU66)*(Entries!$C$3:$C$16=JV66)*(Entries!$D$3:$D$16=JW66)) &lt;&gt;0,"",         _xlfn.XLOOKUP(JU$3,Entries!$B$3:$B$16,Entries!$E$3:$E$16,"Enter")="Booked",   INDEX(Entries!$B$3:$E$16,MATCH(JU$3,Entries!$B$3:$B$16,0),3),                                                    _xlfn.XLOOKUP(JU$3,Entries!$B$3:$B$16,Entries!$A$3:$A$16,"Error"),""),"")</f>
        <v/>
      </c>
      <c r="JW67" s="123" t="str" cm="1">
        <f t="array" ref="JW67">IF( ISNUMBER(MATCH(JU$3,Entries!$B$3:$B$16,0)),           _xlfn.IFS(  JU67="","",      SUMPRODUCT((Entries!$A$3:$A$16=JV66)*(Entries!$C$3:$C$16=JW66)*(Entries!$D$3:$D$16=JX66)) &lt;&gt;0,"",         _xlfn.XLOOKUP(JU$3,Entries!$B$3:$B$16,Entries!$E$3:$E$16,"Enter")="Booked",   INDEX(Entries!$B$3:$E$16,MATCH(JU$3,Entries!$B$3:$B$16,0),4),                                                    _xlfn.XLOOKUP(JU$3,Entries!$B$3:$B$16,Entries!$A$3:$A$16,"Error"),""),"")</f>
        <v/>
      </c>
      <c r="JX67" s="169" t="str" cm="1">
        <f t="array" ref="JX67">IF( ISNUMBER(MATCH(JX$3,Entries!$B$3:$B$16,0)),           _xlfn.IFS(  JX66="","",      AND(SUMPRODUCT((Entries!$A$3:$A$16=JX66)*(Entries!$C$3:$C$16=JY66)*(Entries!$D$3:$D$16=JZ66)) = 0,        _xlfn.XLOOKUP(JX$3,Entries!$B$3:$B$16,Entries!$E$3:$E$16,"Enter")="Booked"),   INDEX(Entries!$B$3:$E$16,MATCH(JX$3,Entries!$B$3:$B$16,0),2),      JX66 &lt;&gt;0,""                                                ),"")</f>
        <v/>
      </c>
      <c r="JY67" s="122" t="str" cm="1">
        <f t="array" ref="JY67">IF( ISNUMBER(MATCH(JX$3,Entries!$B$3:$B$16,0)),           _xlfn.IFS(  JX67="","",      SUMPRODUCT((Entries!$A$3:$A$16=JX66)*(Entries!$C$3:$C$16=JY66)*(Entries!$D$3:$D$16=JZ66)) &lt;&gt;0,"",         _xlfn.XLOOKUP(JX$3,Entries!$B$3:$B$16,Entries!$E$3:$E$16,"Enter")="Booked",   INDEX(Entries!$B$3:$E$16,MATCH(JX$3,Entries!$B$3:$B$16,0),3),                                                    _xlfn.XLOOKUP(JX$3,Entries!$B$3:$B$16,Entries!$A$3:$A$16,"Error"),""),"")</f>
        <v/>
      </c>
      <c r="JZ67" s="123" t="str" cm="1">
        <f t="array" ref="JZ67">IF( ISNUMBER(MATCH(JX$3,Entries!$B$3:$B$16,0)),           _xlfn.IFS(  JX67="","",      SUMPRODUCT((Entries!$A$3:$A$16=JY66)*(Entries!$C$3:$C$16=JZ66)*(Entries!$D$3:$D$16=KA66)) &lt;&gt;0,"",         _xlfn.XLOOKUP(JX$3,Entries!$B$3:$B$16,Entries!$E$3:$E$16,"Enter")="Booked",   INDEX(Entries!$B$3:$E$16,MATCH(JX$3,Entries!$B$3:$B$16,0),4),                                                    _xlfn.XLOOKUP(JX$3,Entries!$B$3:$B$16,Entries!$A$3:$A$16,"Error"),""),"")</f>
        <v/>
      </c>
      <c r="KA67" s="169" t="str" cm="1">
        <f t="array" ref="KA67">IF( ISNUMBER(MATCH(KA$3,Entries!$B$3:$B$16,0)),           _xlfn.IFS(  KA66="","",      AND(SUMPRODUCT((Entries!$A$3:$A$16=KA66)*(Entries!$C$3:$C$16=KB66)*(Entries!$D$3:$D$16=KC66)) = 0,        _xlfn.XLOOKUP(KA$3,Entries!$B$3:$B$16,Entries!$E$3:$E$16,"Enter")="Booked"),   INDEX(Entries!$B$3:$E$16,MATCH(KA$3,Entries!$B$3:$B$16,0),2),      KA66 &lt;&gt;0,""                                                ),"")</f>
        <v/>
      </c>
      <c r="KB67" s="122" t="str" cm="1">
        <f t="array" ref="KB67">IF( ISNUMBER(MATCH(KA$3,Entries!$B$3:$B$16,0)),           _xlfn.IFS(  KA67="","",      SUMPRODUCT((Entries!$A$3:$A$16=KA66)*(Entries!$C$3:$C$16=KB66)*(Entries!$D$3:$D$16=KC66)) &lt;&gt;0,"",         _xlfn.XLOOKUP(KA$3,Entries!$B$3:$B$16,Entries!$E$3:$E$16,"Enter")="Booked",   INDEX(Entries!$B$3:$E$16,MATCH(KA$3,Entries!$B$3:$B$16,0),3),                                                    _xlfn.XLOOKUP(KA$3,Entries!$B$3:$B$16,Entries!$A$3:$A$16,"Error"),""),"")</f>
        <v/>
      </c>
      <c r="KC67" s="123" t="str" cm="1">
        <f t="array" ref="KC67">IF( ISNUMBER(MATCH(KA$3,Entries!$B$3:$B$16,0)),           _xlfn.IFS(  KA67="","",      SUMPRODUCT((Entries!$A$3:$A$16=KB66)*(Entries!$C$3:$C$16=KC66)*(Entries!$D$3:$D$16=KD66)) &lt;&gt;0,"",         _xlfn.XLOOKUP(KA$3,Entries!$B$3:$B$16,Entries!$E$3:$E$16,"Enter")="Booked",   INDEX(Entries!$B$3:$E$16,MATCH(KA$3,Entries!$B$3:$B$16,0),4),                                                    _xlfn.XLOOKUP(KA$3,Entries!$B$3:$B$16,Entries!$A$3:$A$16,"Error"),""),"")</f>
        <v/>
      </c>
      <c r="KD67" s="169" t="str" cm="1">
        <f t="array" ref="KD67">IF( ISNUMBER(MATCH(KD$3,Entries!$B$3:$B$16,0)),           _xlfn.IFS(  KD66="","",      AND(SUMPRODUCT((Entries!$A$3:$A$16=KD66)*(Entries!$C$3:$C$16=KE66)*(Entries!$D$3:$D$16=KF66)) = 0,        _xlfn.XLOOKUP(KD$3,Entries!$B$3:$B$16,Entries!$E$3:$E$16,"Enter")="Booked"),   INDEX(Entries!$B$3:$E$16,MATCH(KD$3,Entries!$B$3:$B$16,0),2),      KD66 &lt;&gt;0,""                                                ),"")</f>
        <v/>
      </c>
      <c r="KE67" s="122" t="str" cm="1">
        <f t="array" ref="KE67">IF( ISNUMBER(MATCH(KD$3,Entries!$B$3:$B$16,0)),           _xlfn.IFS(  KD67="","",      SUMPRODUCT((Entries!$A$3:$A$16=KD66)*(Entries!$C$3:$C$16=KE66)*(Entries!$D$3:$D$16=KF66)) &lt;&gt;0,"",         _xlfn.XLOOKUP(KD$3,Entries!$B$3:$B$16,Entries!$E$3:$E$16,"Enter")="Booked",   INDEX(Entries!$B$3:$E$16,MATCH(KD$3,Entries!$B$3:$B$16,0),3),                                                    _xlfn.XLOOKUP(KD$3,Entries!$B$3:$B$16,Entries!$A$3:$A$16,"Error"),""),"")</f>
        <v/>
      </c>
      <c r="KF67" s="123" t="str" cm="1">
        <f t="array" ref="KF67">IF( ISNUMBER(MATCH(KD$3,Entries!$B$3:$B$16,0)),           _xlfn.IFS(  KD67="","",      SUMPRODUCT((Entries!$A$3:$A$16=KE66)*(Entries!$C$3:$C$16=KF66)*(Entries!$D$3:$D$16=KG58)) &lt;&gt;0,"",         _xlfn.XLOOKUP(KD$3,Entries!$B$3:$B$16,Entries!$E$3:$E$16,"Enter")="Booked",   INDEX(Entries!$B$3:$E$16,MATCH(KD$3,Entries!$B$3:$B$16,0),4),                                                    _xlfn.XLOOKUP(KD$3,Entries!$B$3:$B$16,Entries!$A$3:$A$16,"Error"),""),"")</f>
        <v/>
      </c>
    </row>
    <row r="68" spans="1:301">
      <c r="A68" s="792"/>
      <c r="B68" s="124"/>
      <c r="C68" s="122"/>
      <c r="D68" s="164"/>
      <c r="E68" s="124"/>
      <c r="F68" s="793"/>
      <c r="G68" s="794"/>
      <c r="H68" s="124"/>
      <c r="I68" s="122"/>
      <c r="J68" s="164"/>
      <c r="K68" s="124"/>
      <c r="L68" s="793"/>
      <c r="M68" s="794"/>
      <c r="N68" s="138"/>
      <c r="O68" s="122"/>
      <c r="P68" s="794"/>
      <c r="Q68" s="138"/>
      <c r="R68" s="122"/>
      <c r="S68" s="794"/>
      <c r="T68" s="794"/>
      <c r="U68" s="794"/>
      <c r="V68" s="794"/>
      <c r="W68" s="138"/>
      <c r="X68" s="793"/>
      <c r="Y68" s="794"/>
      <c r="Z68" s="138"/>
      <c r="AA68" s="122"/>
      <c r="AB68" s="794"/>
      <c r="AC68" s="138"/>
      <c r="AD68" s="793"/>
      <c r="AE68" s="794"/>
      <c r="AF68" s="138"/>
      <c r="AG68" s="793"/>
      <c r="AH68" s="794"/>
      <c r="AI68" s="138"/>
      <c r="AJ68" s="793"/>
      <c r="AK68" s="794"/>
      <c r="AL68" s="138"/>
      <c r="AM68" s="793"/>
      <c r="AN68" s="794"/>
      <c r="AO68" s="124"/>
      <c r="AP68" s="793"/>
      <c r="AQ68" s="794"/>
      <c r="AR68" s="124"/>
      <c r="AS68" s="793"/>
      <c r="AT68" s="794"/>
      <c r="AU68" s="124"/>
      <c r="AV68" s="793"/>
      <c r="AW68" s="794"/>
      <c r="AX68" s="124"/>
      <c r="AY68" s="793"/>
      <c r="AZ68" s="794"/>
      <c r="BA68" s="124"/>
      <c r="BB68" s="793"/>
      <c r="BC68" s="794"/>
      <c r="BD68" s="124"/>
      <c r="BE68" s="793"/>
      <c r="BF68" s="794"/>
      <c r="BG68" s="124"/>
      <c r="BH68" s="793"/>
      <c r="BI68" s="794"/>
      <c r="BJ68" s="124"/>
      <c r="BK68" s="793"/>
      <c r="BL68" s="794"/>
      <c r="BM68" s="124"/>
      <c r="BN68" s="793"/>
      <c r="BO68" s="794"/>
      <c r="BP68" s="124"/>
      <c r="BQ68" s="793"/>
      <c r="BR68" s="794"/>
      <c r="BS68" s="124"/>
      <c r="BT68" s="793"/>
      <c r="BU68" s="794"/>
      <c r="BV68" s="124"/>
      <c r="BW68" s="122"/>
      <c r="BX68" s="164"/>
      <c r="BY68" s="124"/>
      <c r="BZ68" s="793"/>
      <c r="CA68" s="794"/>
      <c r="CB68" s="124"/>
      <c r="CC68" s="122"/>
      <c r="CD68" s="164"/>
      <c r="CE68" s="124"/>
      <c r="CF68" s="793"/>
      <c r="CG68" s="794"/>
      <c r="CH68" s="124"/>
      <c r="CI68" s="122"/>
      <c r="CJ68" s="795"/>
      <c r="CK68" s="124"/>
      <c r="CL68" s="793"/>
      <c r="CM68" s="794"/>
      <c r="CN68" s="124"/>
      <c r="CO68" s="122"/>
      <c r="CP68" s="164"/>
      <c r="CQ68" s="124"/>
      <c r="CR68" s="793"/>
      <c r="CS68" s="794"/>
      <c r="CT68" s="124"/>
      <c r="CU68" s="122"/>
      <c r="CV68" s="164"/>
      <c r="CW68" s="124"/>
      <c r="CX68" s="793"/>
      <c r="CY68" s="794"/>
      <c r="CZ68" s="124"/>
      <c r="DA68" s="122"/>
      <c r="DB68" s="164"/>
      <c r="DC68" s="124"/>
      <c r="DD68" s="793"/>
      <c r="DE68" s="796"/>
      <c r="DF68" s="124"/>
      <c r="DG68" s="122"/>
      <c r="DH68" s="795"/>
      <c r="DI68" s="124"/>
      <c r="DJ68" s="793"/>
      <c r="DK68" s="796"/>
      <c r="DL68" s="124"/>
      <c r="DM68" s="122"/>
      <c r="DN68" s="795"/>
      <c r="DO68" s="124"/>
      <c r="DP68" s="122"/>
      <c r="DQ68" s="123"/>
      <c r="DR68" s="124"/>
      <c r="DS68" s="122"/>
      <c r="DT68" s="123"/>
      <c r="DU68" s="124"/>
      <c r="DV68" s="793"/>
      <c r="DW68" s="796"/>
      <c r="DX68" s="124"/>
      <c r="DY68" s="122"/>
      <c r="DZ68" s="795"/>
      <c r="EA68" s="124"/>
      <c r="EB68" s="793"/>
      <c r="EC68" s="796"/>
      <c r="ED68" s="124"/>
      <c r="EE68" s="122"/>
      <c r="EF68" s="795"/>
      <c r="EG68" s="124"/>
      <c r="EH68" s="793"/>
      <c r="EI68" s="796"/>
      <c r="EJ68" s="124"/>
      <c r="EK68" s="122"/>
      <c r="EL68" s="123"/>
      <c r="EM68" s="124"/>
      <c r="EN68" s="122"/>
      <c r="EO68" s="795"/>
      <c r="EP68" s="124"/>
      <c r="EQ68" s="122"/>
      <c r="ER68" s="164"/>
      <c r="ES68" s="124"/>
      <c r="ET68" s="122"/>
      <c r="EU68" s="795"/>
      <c r="EV68" s="124"/>
      <c r="EW68" s="793"/>
      <c r="EX68" s="796"/>
      <c r="EY68" s="124"/>
      <c r="EZ68" s="122"/>
      <c r="FA68" s="164"/>
      <c r="FB68" s="124"/>
      <c r="FC68" s="793"/>
      <c r="FD68" s="794"/>
      <c r="FE68" s="124"/>
      <c r="FF68" s="122"/>
      <c r="FG68" s="164"/>
      <c r="FH68" s="124"/>
      <c r="FI68" s="793"/>
      <c r="FJ68" s="794"/>
      <c r="FK68" s="124"/>
      <c r="FL68" s="122"/>
      <c r="FM68" s="164"/>
      <c r="FN68" s="124"/>
      <c r="FO68" s="793"/>
      <c r="FP68" s="796"/>
      <c r="FQ68" s="124"/>
      <c r="FR68" s="122"/>
      <c r="FS68" s="164"/>
      <c r="FT68" s="124"/>
      <c r="FU68" s="793"/>
      <c r="FV68" s="794"/>
      <c r="FW68" s="124"/>
      <c r="FX68" s="122"/>
      <c r="FY68" s="164"/>
      <c r="FZ68" s="124"/>
      <c r="GA68" s="793"/>
      <c r="GB68" s="794"/>
      <c r="GC68" s="124"/>
      <c r="GD68" s="122"/>
      <c r="GE68" s="164"/>
      <c r="GF68" s="124"/>
      <c r="GG68" s="793"/>
      <c r="GH68" s="794"/>
      <c r="GI68" s="124"/>
      <c r="GJ68" s="122"/>
      <c r="GK68" s="164"/>
      <c r="GL68" s="124"/>
      <c r="GM68" s="122"/>
      <c r="GN68" s="123"/>
      <c r="GO68" s="124"/>
      <c r="GP68" s="122"/>
      <c r="GQ68" s="123"/>
      <c r="GR68" s="124"/>
      <c r="GS68" s="122"/>
      <c r="GT68" s="123"/>
      <c r="GU68" s="124"/>
      <c r="GV68" s="122"/>
      <c r="GW68" s="123"/>
      <c r="GX68" s="124"/>
      <c r="GY68" s="122"/>
      <c r="GZ68" s="795"/>
      <c r="HA68" s="124"/>
      <c r="HB68" s="793"/>
      <c r="HC68" s="796"/>
      <c r="HD68" s="124"/>
      <c r="HE68" s="122"/>
      <c r="HF68" s="796"/>
      <c r="HG68" s="138"/>
      <c r="HH68" s="793"/>
      <c r="HI68" s="796"/>
      <c r="HJ68" s="124"/>
      <c r="HK68" s="122"/>
      <c r="HL68" s="795"/>
      <c r="HM68" s="124"/>
      <c r="HN68" s="793"/>
      <c r="HO68" s="796"/>
      <c r="HP68" s="124"/>
      <c r="HQ68" s="122"/>
      <c r="HR68" s="795"/>
      <c r="HS68" s="124"/>
      <c r="HT68" s="122"/>
      <c r="HU68" s="164"/>
      <c r="HV68" s="124"/>
      <c r="HW68" s="122"/>
      <c r="HX68" s="164"/>
      <c r="HY68" s="124"/>
      <c r="HZ68" s="122"/>
      <c r="IA68" s="164"/>
      <c r="IB68" s="124"/>
      <c r="IC68" s="793"/>
      <c r="ID68" s="794"/>
      <c r="IE68" s="124"/>
      <c r="IF68" s="122"/>
      <c r="IG68" s="796"/>
      <c r="IH68" s="124"/>
      <c r="II68" s="122"/>
      <c r="IJ68" s="164"/>
      <c r="IK68" s="124"/>
      <c r="IL68" s="122"/>
      <c r="IM68" s="123"/>
      <c r="IN68" s="124"/>
      <c r="IO68" s="122"/>
      <c r="IP68" s="123"/>
      <c r="IQ68" s="124"/>
      <c r="IR68" s="122"/>
      <c r="IS68" s="123"/>
      <c r="IT68" s="124"/>
      <c r="IU68" s="122"/>
      <c r="IV68" s="123"/>
      <c r="IW68" s="124"/>
      <c r="IX68" s="122"/>
      <c r="IY68" s="123"/>
      <c r="IZ68" s="124"/>
      <c r="JA68" s="122"/>
      <c r="JB68" s="123"/>
      <c r="JC68" s="124"/>
      <c r="JD68" s="122"/>
      <c r="JE68" s="123"/>
      <c r="JF68" s="124"/>
      <c r="JG68" s="122"/>
      <c r="JH68" s="795"/>
      <c r="JI68" s="124"/>
      <c r="JJ68" s="793"/>
      <c r="JK68" s="796"/>
      <c r="JL68" s="124"/>
      <c r="JM68" s="122"/>
      <c r="JN68" s="795"/>
      <c r="JO68" s="124"/>
      <c r="JP68" s="793"/>
      <c r="JQ68" s="796"/>
      <c r="JR68" s="124"/>
      <c r="JS68" s="122"/>
      <c r="JT68" s="795"/>
      <c r="JU68" s="169" t="str" cm="1">
        <f t="array" ref="JU68">IF( ISNUMBER(MATCH(JU$3,Entries!$B$3:$B$16,0)),           _xlfn.IFS(  JU55="","",      AND(SUMPRODUCT((Entries!$A$3:$A$16=JU55)*(Entries!$C$3:$C$16=JV55)*(Entries!$D$3:$D$16=JW55)) = 0,        _xlfn.XLOOKUP(JU$3,Entries!$B$3:$B$16,Entries!$E$3:$E$16,"Enter")="Booked"),   INDEX(Entries!$B$3:$E$16,MATCH(JU$3,Entries!$B$3:$B$16,0),2),      JU55 &lt;&gt;0,""                                                ),"")</f>
        <v/>
      </c>
      <c r="JV68" s="122" t="str" cm="1">
        <f t="array" ref="JV68">IF( ISNUMBER(MATCH(JU$3,Entries!$B$3:$B$16,0)),           _xlfn.IFS(  JU68="","",      SUMPRODUCT((Entries!$A$3:$A$16=JU55)*(Entries!$C$3:$C$16=JV55)*(Entries!$D$3:$D$16=JW55)) &lt;&gt;0,"",         _xlfn.XLOOKUP(JU$3,Entries!$B$3:$B$16,Entries!$E$3:$E$16,"Enter")="Booked",   INDEX(Entries!$B$3:$E$16,MATCH(JU$3,Entries!$B$3:$B$16,0),3),                                                    _xlfn.XLOOKUP(JU$3,Entries!$B$3:$B$16,Entries!$A$3:$A$16,"Error"),""),"")</f>
        <v/>
      </c>
      <c r="JW68" s="123" t="str" cm="1">
        <f t="array" ref="JW68">IF( ISNUMBER(MATCH(JU$3,Entries!$B$3:$B$16,0)),           _xlfn.IFS(  JU68="","",      SUMPRODUCT((Entries!$A$3:$A$16=JV55)*(Entries!$C$3:$C$16=JW55)*(Entries!$D$3:$D$16=JX55)) &lt;&gt;0,"",         _xlfn.XLOOKUP(JU$3,Entries!$B$3:$B$16,Entries!$E$3:$E$16,"Enter")="Booked",   INDEX(Entries!$B$3:$E$16,MATCH(JU$3,Entries!$B$3:$B$16,0),4),                                                    _xlfn.XLOOKUP(JU$3,Entries!$B$3:$B$16,Entries!$A$3:$A$16,"Error"),""),"")</f>
        <v/>
      </c>
      <c r="JX68" s="169" t="str" cm="1">
        <f t="array" ref="JX68">IF( ISNUMBER(MATCH(JX$3,Entries!$B$3:$B$16,0)),           _xlfn.IFS(  JX55="","",      AND(SUMPRODUCT((Entries!$A$3:$A$16=JX55)*(Entries!$C$3:$C$16=JY55)*(Entries!$D$3:$D$16=JZ55)) = 0,        _xlfn.XLOOKUP(JX$3,Entries!$B$3:$B$16,Entries!$E$3:$E$16,"Enter")="Booked"),   INDEX(Entries!$B$3:$E$16,MATCH(JX$3,Entries!$B$3:$B$16,0),2),      JX55 &lt;&gt;0,""                                                ),"")</f>
        <v/>
      </c>
      <c r="JY68" s="122" t="str" cm="1">
        <f t="array" ref="JY68">IF( ISNUMBER(MATCH(JX$3,Entries!$B$3:$B$16,0)),           _xlfn.IFS(  JX68="","",      SUMPRODUCT((Entries!$A$3:$A$16=JX55)*(Entries!$C$3:$C$16=JY55)*(Entries!$D$3:$D$16=JZ55)) &lt;&gt;0,"",         _xlfn.XLOOKUP(JX$3,Entries!$B$3:$B$16,Entries!$E$3:$E$16,"Enter")="Booked",   INDEX(Entries!$B$3:$E$16,MATCH(JX$3,Entries!$B$3:$B$16,0),3),                                                    _xlfn.XLOOKUP(JX$3,Entries!$B$3:$B$16,Entries!$A$3:$A$16,"Error"),""),"")</f>
        <v/>
      </c>
      <c r="JZ68" s="123" t="str" cm="1">
        <f t="array" ref="JZ68">IF( ISNUMBER(MATCH(JX$3,Entries!$B$3:$B$16,0)),           _xlfn.IFS(  JX68="","",      SUMPRODUCT((Entries!$A$3:$A$16=JY55)*(Entries!$C$3:$C$16=JZ55)*(Entries!$D$3:$D$16=KA55)) &lt;&gt;0,"",         _xlfn.XLOOKUP(JX$3,Entries!$B$3:$B$16,Entries!$E$3:$E$16,"Enter")="Booked",   INDEX(Entries!$B$3:$E$16,MATCH(JX$3,Entries!$B$3:$B$16,0),4),                                                    _xlfn.XLOOKUP(JX$3,Entries!$B$3:$B$16,Entries!$A$3:$A$16,"Error"),""),"")</f>
        <v/>
      </c>
      <c r="KA68" s="169" t="str" cm="1">
        <f t="array" ref="KA68">IF( ISNUMBER(MATCH(KA$3,Entries!$B$3:$B$16,0)),           _xlfn.IFS(  KA55="","",      AND(SUMPRODUCT((Entries!$A$3:$A$16=KA55)*(Entries!$C$3:$C$16=KB55)*(Entries!$D$3:$D$16=KC55)) = 0,        _xlfn.XLOOKUP(KA$3,Entries!$B$3:$B$16,Entries!$E$3:$E$16,"Enter")="Booked"),   INDEX(Entries!$B$3:$E$16,MATCH(KA$3,Entries!$B$3:$B$16,0),2),      KA55 &lt;&gt;0,""                                                ),"")</f>
        <v/>
      </c>
      <c r="KB68" s="122" t="str" cm="1">
        <f t="array" ref="KB68">IF( ISNUMBER(MATCH(KA$3,Entries!$B$3:$B$16,0)),           _xlfn.IFS(  KA68="","",      SUMPRODUCT((Entries!$A$3:$A$16=KA55)*(Entries!$C$3:$C$16=KB55)*(Entries!$D$3:$D$16=KC55)) &lt;&gt;0,"",         _xlfn.XLOOKUP(KA$3,Entries!$B$3:$B$16,Entries!$E$3:$E$16,"Enter")="Booked",   INDEX(Entries!$B$3:$E$16,MATCH(KA$3,Entries!$B$3:$B$16,0),3),                                                    _xlfn.XLOOKUP(KA$3,Entries!$B$3:$B$16,Entries!$A$3:$A$16,"Error"),""),"")</f>
        <v/>
      </c>
      <c r="KC68" s="123" t="str" cm="1">
        <f t="array" ref="KC68">IF( ISNUMBER(MATCH(KA$3,Entries!$B$3:$B$16,0)),           _xlfn.IFS(  KA68="","",      SUMPRODUCT((Entries!$A$3:$A$16=KB55)*(Entries!$C$3:$C$16=KC55)*(Entries!$D$3:$D$16=KD55)) &lt;&gt;0,"",         _xlfn.XLOOKUP(KA$3,Entries!$B$3:$B$16,Entries!$E$3:$E$16,"Enter")="Booked",   INDEX(Entries!$B$3:$E$16,MATCH(KA$3,Entries!$B$3:$B$16,0),4),                                                    _xlfn.XLOOKUP(KA$3,Entries!$B$3:$B$16,Entries!$A$3:$A$16,"Error"),""),"")</f>
        <v/>
      </c>
      <c r="KD68" s="169" t="str" cm="1">
        <f t="array" ref="KD68">IF( ISNUMBER(MATCH(KD$3,Entries!$B$3:$B$16,0)),           _xlfn.IFS(  KD55="","",      AND(SUMPRODUCT((Entries!$A$3:$A$16=KD55)*(Entries!$C$3:$C$16=KE55)*(Entries!$D$3:$D$16=KF55)) = 0,        _xlfn.XLOOKUP(KD$3,Entries!$B$3:$B$16,Entries!$E$3:$E$16,"Enter")="Booked"),   INDEX(Entries!$B$3:$E$16,MATCH(KD$3,Entries!$B$3:$B$16,0),2),      KD55 &lt;&gt;0,""                                                ),"")</f>
        <v/>
      </c>
      <c r="KE68" s="122" t="str" cm="1">
        <f t="array" ref="KE68">IF( ISNUMBER(MATCH(KD$3,Entries!$B$3:$B$16,0)),           _xlfn.IFS(  KD68="","",      SUMPRODUCT((Entries!$A$3:$A$16=KD55)*(Entries!$C$3:$C$16=KE55)*(Entries!$D$3:$D$16=KF55)) &lt;&gt;0,"",         _xlfn.XLOOKUP(KD$3,Entries!$B$3:$B$16,Entries!$E$3:$E$16,"Enter")="Booked",   INDEX(Entries!$B$3:$E$16,MATCH(KD$3,Entries!$B$3:$B$16,0),3),                                                    _xlfn.XLOOKUP(KD$3,Entries!$B$3:$B$16,Entries!$A$3:$A$16,"Error"),""),"")</f>
        <v/>
      </c>
      <c r="KF68" s="123" t="str" cm="1">
        <f t="array" ref="KF68">IF( ISNUMBER(MATCH(KD$3,Entries!$B$3:$B$16,0)),           _xlfn.IFS(  KD68="","",      SUMPRODUCT((Entries!$A$3:$A$16=KE55)*(Entries!$C$3:$C$16=KF55)*(Entries!$D$3:$D$16=KG55)) &lt;&gt;0,"",         _xlfn.XLOOKUP(KD$3,Entries!$B$3:$B$16,Entries!$E$3:$E$16,"Enter")="Booked",   INDEX(Entries!$B$3:$E$16,MATCH(KD$3,Entries!$B$3:$B$16,0),4),                                                    _xlfn.XLOOKUP(KD$3,Entries!$B$3:$B$16,Entries!$A$3:$A$16,"Error"),""),"")</f>
        <v/>
      </c>
    </row>
    <row r="69" spans="1:301">
      <c r="A69" s="792"/>
      <c r="B69" s="124"/>
      <c r="C69" s="122"/>
      <c r="D69" s="164"/>
      <c r="E69" s="124"/>
      <c r="F69" s="793"/>
      <c r="G69" s="794"/>
      <c r="H69" s="124"/>
      <c r="I69" s="122"/>
      <c r="J69" s="164"/>
      <c r="K69" s="124"/>
      <c r="L69" s="793"/>
      <c r="M69" s="794"/>
      <c r="N69" s="138"/>
      <c r="O69" s="122"/>
      <c r="P69" s="794"/>
      <c r="Q69" s="138"/>
      <c r="R69" s="122"/>
      <c r="S69" s="794"/>
      <c r="T69" s="794"/>
      <c r="U69" s="794"/>
      <c r="V69" s="794"/>
      <c r="W69" s="138"/>
      <c r="X69" s="793"/>
      <c r="Y69" s="794"/>
      <c r="Z69" s="138"/>
      <c r="AA69" s="122"/>
      <c r="AB69" s="794"/>
      <c r="AC69" s="138"/>
      <c r="AD69" s="793"/>
      <c r="AE69" s="794"/>
      <c r="AF69" s="138"/>
      <c r="AG69" s="793"/>
      <c r="AH69" s="794"/>
      <c r="AI69" s="138"/>
      <c r="AJ69" s="793"/>
      <c r="AK69" s="794"/>
      <c r="AL69" s="138"/>
      <c r="AM69" s="793"/>
      <c r="AN69" s="794"/>
      <c r="AO69" s="124"/>
      <c r="AP69" s="793"/>
      <c r="AQ69" s="794"/>
      <c r="AR69" s="124"/>
      <c r="AS69" s="793"/>
      <c r="AT69" s="794"/>
      <c r="AU69" s="124"/>
      <c r="AV69" s="793"/>
      <c r="AW69" s="794"/>
      <c r="AX69" s="124"/>
      <c r="AY69" s="793"/>
      <c r="AZ69" s="794"/>
      <c r="BA69" s="124"/>
      <c r="BB69" s="793"/>
      <c r="BC69" s="794"/>
      <c r="BD69" s="124"/>
      <c r="BE69" s="793"/>
      <c r="BF69" s="794"/>
      <c r="BG69" s="124"/>
      <c r="BH69" s="793"/>
      <c r="BI69" s="794"/>
      <c r="BJ69" s="124"/>
      <c r="BK69" s="793"/>
      <c r="BL69" s="794"/>
      <c r="BM69" s="124"/>
      <c r="BN69" s="793"/>
      <c r="BO69" s="794"/>
      <c r="BP69" s="124"/>
      <c r="BQ69" s="793"/>
      <c r="BR69" s="794"/>
      <c r="BS69" s="124"/>
      <c r="BT69" s="793"/>
      <c r="BU69" s="794"/>
      <c r="BV69" s="124"/>
      <c r="BW69" s="122"/>
      <c r="BX69" s="164"/>
      <c r="BY69" s="124"/>
      <c r="BZ69" s="793"/>
      <c r="CA69" s="794"/>
      <c r="CB69" s="124"/>
      <c r="CC69" s="122"/>
      <c r="CD69" s="164"/>
      <c r="CE69" s="124"/>
      <c r="CF69" s="793"/>
      <c r="CG69" s="794"/>
      <c r="CH69" s="124"/>
      <c r="CI69" s="122"/>
      <c r="CJ69" s="795"/>
      <c r="CK69" s="124"/>
      <c r="CL69" s="793"/>
      <c r="CM69" s="794"/>
      <c r="CN69" s="124"/>
      <c r="CO69" s="122"/>
      <c r="CP69" s="164"/>
      <c r="CQ69" s="124"/>
      <c r="CR69" s="793"/>
      <c r="CS69" s="794"/>
      <c r="CT69" s="124"/>
      <c r="CU69" s="122"/>
      <c r="CV69" s="164"/>
      <c r="CW69" s="124"/>
      <c r="CX69" s="793"/>
      <c r="CY69" s="794"/>
      <c r="CZ69" s="124"/>
      <c r="DA69" s="122"/>
      <c r="DB69" s="164"/>
      <c r="DC69" s="124"/>
      <c r="DD69" s="793"/>
      <c r="DE69" s="796"/>
      <c r="DF69" s="124"/>
      <c r="DG69" s="122"/>
      <c r="DH69" s="795"/>
      <c r="DI69" s="124"/>
      <c r="DJ69" s="793"/>
      <c r="DK69" s="796"/>
      <c r="DL69" s="124"/>
      <c r="DM69" s="122"/>
      <c r="DN69" s="795"/>
      <c r="DO69" s="124"/>
      <c r="DP69" s="122"/>
      <c r="DQ69" s="123"/>
      <c r="DR69" s="124"/>
      <c r="DS69" s="122"/>
      <c r="DT69" s="123"/>
      <c r="DU69" s="124"/>
      <c r="DV69" s="793"/>
      <c r="DW69" s="796"/>
      <c r="DX69" s="124"/>
      <c r="DY69" s="122"/>
      <c r="DZ69" s="795"/>
      <c r="EA69" s="124"/>
      <c r="EB69" s="793"/>
      <c r="EC69" s="796"/>
      <c r="ED69" s="124"/>
      <c r="EE69" s="122"/>
      <c r="EF69" s="795"/>
      <c r="EG69" s="124"/>
      <c r="EH69" s="793"/>
      <c r="EI69" s="796"/>
      <c r="EJ69" s="124"/>
      <c r="EK69" s="122"/>
      <c r="EL69" s="123"/>
      <c r="EM69" s="124"/>
      <c r="EN69" s="122"/>
      <c r="EO69" s="795"/>
      <c r="EP69" s="124"/>
      <c r="EQ69" s="122"/>
      <c r="ER69" s="164"/>
      <c r="ES69" s="124"/>
      <c r="ET69" s="122"/>
      <c r="EU69" s="795"/>
      <c r="EV69" s="124"/>
      <c r="EW69" s="793"/>
      <c r="EX69" s="796"/>
      <c r="EY69" s="124"/>
      <c r="EZ69" s="122"/>
      <c r="FA69" s="164"/>
      <c r="FB69" s="124"/>
      <c r="FC69" s="793"/>
      <c r="FD69" s="794"/>
      <c r="FE69" s="124"/>
      <c r="FF69" s="122"/>
      <c r="FG69" s="164"/>
      <c r="FH69" s="124"/>
      <c r="FI69" s="793"/>
      <c r="FJ69" s="794"/>
      <c r="FK69" s="124"/>
      <c r="FL69" s="122"/>
      <c r="FM69" s="164"/>
      <c r="FN69" s="124"/>
      <c r="FO69" s="793"/>
      <c r="FP69" s="796"/>
      <c r="FQ69" s="124"/>
      <c r="FR69" s="122"/>
      <c r="FS69" s="164"/>
      <c r="FT69" s="124"/>
      <c r="FU69" s="793"/>
      <c r="FV69" s="794"/>
      <c r="FW69" s="124"/>
      <c r="FX69" s="122"/>
      <c r="FY69" s="164"/>
      <c r="FZ69" s="124"/>
      <c r="GA69" s="793"/>
      <c r="GB69" s="794"/>
      <c r="GC69" s="124"/>
      <c r="GD69" s="122"/>
      <c r="GE69" s="164"/>
      <c r="GF69" s="124"/>
      <c r="GG69" s="793"/>
      <c r="GH69" s="794"/>
      <c r="GI69" s="124"/>
      <c r="GJ69" s="122"/>
      <c r="GK69" s="164"/>
      <c r="GL69" s="124"/>
      <c r="GM69" s="122"/>
      <c r="GN69" s="123"/>
      <c r="GO69" s="124"/>
      <c r="GP69" s="122"/>
      <c r="GQ69" s="123"/>
      <c r="GR69" s="124"/>
      <c r="GS69" s="122"/>
      <c r="GT69" s="123"/>
      <c r="GU69" s="124"/>
      <c r="GV69" s="122"/>
      <c r="GW69" s="123"/>
      <c r="GX69" s="124"/>
      <c r="GY69" s="122"/>
      <c r="GZ69" s="795"/>
      <c r="HA69" s="124"/>
      <c r="HB69" s="793"/>
      <c r="HC69" s="796"/>
      <c r="HD69" s="124"/>
      <c r="HE69" s="122"/>
      <c r="HF69" s="796"/>
      <c r="HG69" s="138"/>
      <c r="HH69" s="793"/>
      <c r="HI69" s="796"/>
      <c r="HJ69" s="124"/>
      <c r="HK69" s="122"/>
      <c r="HL69" s="795"/>
      <c r="HM69" s="124"/>
      <c r="HN69" s="793"/>
      <c r="HO69" s="796"/>
      <c r="HP69" s="124"/>
      <c r="HQ69" s="122"/>
      <c r="HR69" s="795"/>
      <c r="HS69" s="124"/>
      <c r="HT69" s="122"/>
      <c r="HU69" s="164"/>
      <c r="HV69" s="124"/>
      <c r="HW69" s="122"/>
      <c r="HX69" s="164"/>
      <c r="HY69" s="124"/>
      <c r="HZ69" s="122"/>
      <c r="IA69" s="164"/>
      <c r="IB69" s="124"/>
      <c r="IC69" s="793"/>
      <c r="ID69" s="794"/>
      <c r="IE69" s="124"/>
      <c r="IF69" s="122"/>
      <c r="IG69" s="796"/>
      <c r="IH69" s="124"/>
      <c r="II69" s="122"/>
      <c r="IJ69" s="164"/>
      <c r="IK69" s="124"/>
      <c r="IL69" s="122"/>
      <c r="IM69" s="123"/>
      <c r="IN69" s="124"/>
      <c r="IO69" s="122"/>
      <c r="IP69" s="123"/>
      <c r="IQ69" s="124"/>
      <c r="IR69" s="122"/>
      <c r="IS69" s="123"/>
      <c r="IT69" s="124"/>
      <c r="IU69" s="122"/>
      <c r="IV69" s="123"/>
      <c r="IW69" s="124"/>
      <c r="IX69" s="122"/>
      <c r="IY69" s="123"/>
      <c r="IZ69" s="124"/>
      <c r="JA69" s="122"/>
      <c r="JB69" s="123"/>
      <c r="JC69" s="124"/>
      <c r="JD69" s="122"/>
      <c r="JE69" s="123"/>
      <c r="JF69" s="124"/>
      <c r="JG69" s="122"/>
      <c r="JH69" s="795"/>
      <c r="JI69" s="124"/>
      <c r="JJ69" s="793"/>
      <c r="JK69" s="796"/>
      <c r="JL69" s="124"/>
      <c r="JM69" s="122"/>
      <c r="JN69" s="795"/>
      <c r="JO69" s="124"/>
      <c r="JP69" s="793"/>
      <c r="JQ69" s="796"/>
      <c r="JR69" s="124"/>
      <c r="JS69" s="122"/>
      <c r="JT69" s="795"/>
      <c r="JU69" s="169" t="str" cm="1">
        <f t="array" ref="JU69">IF( ISNUMBER(MATCH(JU$3,Entries!$B$3:$B$16,0)),           _xlfn.IFS(  JU68="","",      AND(SUMPRODUCT((Entries!$A$3:$A$16=JU68)*(Entries!$C$3:$C$16=JV68)*(Entries!$D$3:$D$16=JW68)) = 0,        _xlfn.XLOOKUP(JU$3,Entries!$B$3:$B$16,Entries!$E$3:$E$16,"Enter")="Booked"),   INDEX(Entries!$B$3:$E$16,MATCH(JU$3,Entries!$B$3:$B$16,0),2),      JU68 &lt;&gt;0,""                                                ),"")</f>
        <v/>
      </c>
      <c r="JV69" s="122" t="str" cm="1">
        <f t="array" ref="JV69">IF( ISNUMBER(MATCH(JU$3,Entries!$B$3:$B$16,0)),           _xlfn.IFS(  JU69="","",      SUMPRODUCT((Entries!$A$3:$A$16=JU68)*(Entries!$C$3:$C$16=JV68)*(Entries!$D$3:$D$16=JW68)) &lt;&gt;0,"",         _xlfn.XLOOKUP(JU$3,Entries!$B$3:$B$16,Entries!$E$3:$E$16,"Enter")="Booked",   INDEX(Entries!$B$3:$E$16,MATCH(JU$3,Entries!$B$3:$B$16,0),3),                                                    _xlfn.XLOOKUP(JU$3,Entries!$B$3:$B$16,Entries!$A$3:$A$16,"Error"),""),"")</f>
        <v/>
      </c>
      <c r="JW69" s="123" t="str" cm="1">
        <f t="array" ref="JW69">IF( ISNUMBER(MATCH(JU$3,Entries!$B$3:$B$16,0)),           _xlfn.IFS(  JU69="","",      SUMPRODUCT((Entries!$A$3:$A$16=JV68)*(Entries!$C$3:$C$16=JW68)*(Entries!$D$3:$D$16=JX68)) &lt;&gt;0,"",         _xlfn.XLOOKUP(JU$3,Entries!$B$3:$B$16,Entries!$E$3:$E$16,"Enter")="Booked",   INDEX(Entries!$B$3:$E$16,MATCH(JU$3,Entries!$B$3:$B$16,0),4),                                                    _xlfn.XLOOKUP(JU$3,Entries!$B$3:$B$16,Entries!$A$3:$A$16,"Error"),""),"")</f>
        <v/>
      </c>
      <c r="JX69" s="169" t="str" cm="1">
        <f t="array" ref="JX69">IF( ISNUMBER(MATCH(JX$3,Entries!$B$3:$B$16,0)),           _xlfn.IFS(  JX68="","",      AND(SUMPRODUCT((Entries!$A$3:$A$16=JX68)*(Entries!$C$3:$C$16=JY68)*(Entries!$D$3:$D$16=JZ68)) = 0,        _xlfn.XLOOKUP(JX$3,Entries!$B$3:$B$16,Entries!$E$3:$E$16,"Enter")="Booked"),   INDEX(Entries!$B$3:$E$16,MATCH(JX$3,Entries!$B$3:$B$16,0),2),      JX68 &lt;&gt;0,""                                                ),"")</f>
        <v/>
      </c>
      <c r="JY69" s="122" t="str" cm="1">
        <f t="array" ref="JY69">IF( ISNUMBER(MATCH(JX$3,Entries!$B$3:$B$16,0)),           _xlfn.IFS(  JX69="","",      SUMPRODUCT((Entries!$A$3:$A$16=JX68)*(Entries!$C$3:$C$16=JY68)*(Entries!$D$3:$D$16=JZ68)) &lt;&gt;0,"",         _xlfn.XLOOKUP(JX$3,Entries!$B$3:$B$16,Entries!$E$3:$E$16,"Enter")="Booked",   INDEX(Entries!$B$3:$E$16,MATCH(JX$3,Entries!$B$3:$B$16,0),3),                                                    _xlfn.XLOOKUP(JX$3,Entries!$B$3:$B$16,Entries!$A$3:$A$16,"Error"),""),"")</f>
        <v/>
      </c>
      <c r="JZ69" s="123" t="str" cm="1">
        <f t="array" ref="JZ69">IF( ISNUMBER(MATCH(JX$3,Entries!$B$3:$B$16,0)),           _xlfn.IFS(  JX69="","",      SUMPRODUCT((Entries!$A$3:$A$16=JY68)*(Entries!$C$3:$C$16=JZ68)*(Entries!$D$3:$D$16=KA68)) &lt;&gt;0,"",         _xlfn.XLOOKUP(JX$3,Entries!$B$3:$B$16,Entries!$E$3:$E$16,"Enter")="Booked",   INDEX(Entries!$B$3:$E$16,MATCH(JX$3,Entries!$B$3:$B$16,0),4),                                                    _xlfn.XLOOKUP(JX$3,Entries!$B$3:$B$16,Entries!$A$3:$A$16,"Error"),""),"")</f>
        <v/>
      </c>
      <c r="KA69" s="169" t="str" cm="1">
        <f t="array" ref="KA69">IF( ISNUMBER(MATCH(KA$3,Entries!$B$3:$B$16,0)),           _xlfn.IFS(  KA68="","",      AND(SUMPRODUCT((Entries!$A$3:$A$16=KA68)*(Entries!$C$3:$C$16=KB68)*(Entries!$D$3:$D$16=KC68)) = 0,        _xlfn.XLOOKUP(KA$3,Entries!$B$3:$B$16,Entries!$E$3:$E$16,"Enter")="Booked"),   INDEX(Entries!$B$3:$E$16,MATCH(KA$3,Entries!$B$3:$B$16,0),2),      KA68 &lt;&gt;0,""                                                ),"")</f>
        <v/>
      </c>
      <c r="KB69" s="122" t="str" cm="1">
        <f t="array" ref="KB69">IF( ISNUMBER(MATCH(KA$3,Entries!$B$3:$B$16,0)),           _xlfn.IFS(  KA69="","",      SUMPRODUCT((Entries!$A$3:$A$16=KA68)*(Entries!$C$3:$C$16=KB68)*(Entries!$D$3:$D$16=KC68)) &lt;&gt;0,"",         _xlfn.XLOOKUP(KA$3,Entries!$B$3:$B$16,Entries!$E$3:$E$16,"Enter")="Booked",   INDEX(Entries!$B$3:$E$16,MATCH(KA$3,Entries!$B$3:$B$16,0),3),                                                    _xlfn.XLOOKUP(KA$3,Entries!$B$3:$B$16,Entries!$A$3:$A$16,"Error"),""),"")</f>
        <v/>
      </c>
      <c r="KC69" s="123" t="str" cm="1">
        <f t="array" ref="KC69">IF( ISNUMBER(MATCH(KA$3,Entries!$B$3:$B$16,0)),           _xlfn.IFS(  KA69="","",      SUMPRODUCT((Entries!$A$3:$A$16=KB68)*(Entries!$C$3:$C$16=KC68)*(Entries!$D$3:$D$16=KD68)) &lt;&gt;0,"",         _xlfn.XLOOKUP(KA$3,Entries!$B$3:$B$16,Entries!$E$3:$E$16,"Enter")="Booked",   INDEX(Entries!$B$3:$E$16,MATCH(KA$3,Entries!$B$3:$B$16,0),4),                                                    _xlfn.XLOOKUP(KA$3,Entries!$B$3:$B$16,Entries!$A$3:$A$16,"Error"),""),"")</f>
        <v/>
      </c>
      <c r="KD69" s="169" t="str" cm="1">
        <f t="array" ref="KD69">IF( ISNUMBER(MATCH(KD$3,Entries!$B$3:$B$16,0)),           _xlfn.IFS(  KD68="","",      AND(SUMPRODUCT((Entries!$A$3:$A$16=KD68)*(Entries!$C$3:$C$16=KE68)*(Entries!$D$3:$D$16=KF68)) = 0,        _xlfn.XLOOKUP(KD$3,Entries!$B$3:$B$16,Entries!$E$3:$E$16,"Enter")="Booked"),   INDEX(Entries!$B$3:$E$16,MATCH(KD$3,Entries!$B$3:$B$16,0),2),      KD68 &lt;&gt;0,""                                                ),"")</f>
        <v/>
      </c>
      <c r="KE69" s="122" t="str" cm="1">
        <f t="array" ref="KE69">IF( ISNUMBER(MATCH(KD$3,Entries!$B$3:$B$16,0)),           _xlfn.IFS(  KD69="","",      SUMPRODUCT((Entries!$A$3:$A$16=KD68)*(Entries!$C$3:$C$16=KE68)*(Entries!$D$3:$D$16=KF68)) &lt;&gt;0,"",         _xlfn.XLOOKUP(KD$3,Entries!$B$3:$B$16,Entries!$E$3:$E$16,"Enter")="Booked",   INDEX(Entries!$B$3:$E$16,MATCH(KD$3,Entries!$B$3:$B$16,0),3),                                                    _xlfn.XLOOKUP(KD$3,Entries!$B$3:$B$16,Entries!$A$3:$A$16,"Error"),""),"")</f>
        <v/>
      </c>
      <c r="KF69" s="123" t="str" cm="1">
        <f t="array" ref="KF69">IF( ISNUMBER(MATCH(KD$3,Entries!$B$3:$B$16,0)),           _xlfn.IFS(  KD69="","",      SUMPRODUCT((Entries!$A$3:$A$16=KE68)*(Entries!$C$3:$C$16=KF68)*(Entries!$D$3:$D$16=KG56)) &lt;&gt;0,"",         _xlfn.XLOOKUP(KD$3,Entries!$B$3:$B$16,Entries!$E$3:$E$16,"Enter")="Booked",   INDEX(Entries!$B$3:$E$16,MATCH(KD$3,Entries!$B$3:$B$16,0),4),                                                    _xlfn.XLOOKUP(KD$3,Entries!$B$3:$B$16,Entries!$A$3:$A$16,"Error"),""),"")</f>
        <v/>
      </c>
    </row>
    <row r="70" spans="1:301">
      <c r="A70" s="792"/>
      <c r="B70" s="124"/>
      <c r="C70" s="122"/>
      <c r="D70" s="164"/>
      <c r="E70" s="124"/>
      <c r="F70" s="793"/>
      <c r="G70" s="794"/>
      <c r="H70" s="124"/>
      <c r="I70" s="122"/>
      <c r="J70" s="164"/>
      <c r="K70" s="124"/>
      <c r="L70" s="793"/>
      <c r="M70" s="794"/>
      <c r="N70" s="138"/>
      <c r="O70" s="122"/>
      <c r="P70" s="794"/>
      <c r="Q70" s="138"/>
      <c r="R70" s="122"/>
      <c r="S70" s="794"/>
      <c r="T70" s="794"/>
      <c r="U70" s="794"/>
      <c r="V70" s="794"/>
      <c r="W70" s="138"/>
      <c r="X70" s="793"/>
      <c r="Y70" s="794"/>
      <c r="Z70" s="138"/>
      <c r="AA70" s="122"/>
      <c r="AB70" s="794"/>
      <c r="AC70" s="138"/>
      <c r="AD70" s="793"/>
      <c r="AE70" s="794"/>
      <c r="AF70" s="138"/>
      <c r="AG70" s="793"/>
      <c r="AH70" s="794"/>
      <c r="AI70" s="138"/>
      <c r="AJ70" s="793"/>
      <c r="AK70" s="794"/>
      <c r="AL70" s="138"/>
      <c r="AM70" s="793"/>
      <c r="AN70" s="794"/>
      <c r="AO70" s="124"/>
      <c r="AP70" s="793"/>
      <c r="AQ70" s="794"/>
      <c r="AR70" s="124"/>
      <c r="AS70" s="793"/>
      <c r="AT70" s="794"/>
      <c r="AU70" s="124"/>
      <c r="AV70" s="793"/>
      <c r="AW70" s="794"/>
      <c r="AX70" s="124"/>
      <c r="AY70" s="793"/>
      <c r="AZ70" s="794"/>
      <c r="BA70" s="124"/>
      <c r="BB70" s="793"/>
      <c r="BC70" s="794"/>
      <c r="BD70" s="124"/>
      <c r="BE70" s="793"/>
      <c r="BF70" s="794"/>
      <c r="BG70" s="124"/>
      <c r="BH70" s="793"/>
      <c r="BI70" s="794"/>
      <c r="BJ70" s="124"/>
      <c r="BK70" s="793"/>
      <c r="BL70" s="794"/>
      <c r="BM70" s="124"/>
      <c r="BN70" s="793"/>
      <c r="BO70" s="794"/>
      <c r="BP70" s="124"/>
      <c r="BQ70" s="793"/>
      <c r="BR70" s="794"/>
      <c r="BS70" s="124"/>
      <c r="BT70" s="793"/>
      <c r="BU70" s="794"/>
      <c r="BV70" s="124"/>
      <c r="BW70" s="122"/>
      <c r="BX70" s="164"/>
      <c r="BY70" s="124"/>
      <c r="BZ70" s="793"/>
      <c r="CA70" s="794"/>
      <c r="CB70" s="124"/>
      <c r="CC70" s="122"/>
      <c r="CD70" s="164"/>
      <c r="CE70" s="124"/>
      <c r="CF70" s="793"/>
      <c r="CG70" s="794"/>
      <c r="CH70" s="124"/>
      <c r="CI70" s="122"/>
      <c r="CJ70" s="795"/>
      <c r="CK70" s="124"/>
      <c r="CL70" s="793"/>
      <c r="CM70" s="794"/>
      <c r="CN70" s="124"/>
      <c r="CO70" s="122"/>
      <c r="CP70" s="164"/>
      <c r="CQ70" s="124"/>
      <c r="CR70" s="793"/>
      <c r="CS70" s="794"/>
      <c r="CT70" s="124"/>
      <c r="CU70" s="122"/>
      <c r="CV70" s="164"/>
      <c r="CW70" s="124"/>
      <c r="CX70" s="793"/>
      <c r="CY70" s="794"/>
      <c r="CZ70" s="124"/>
      <c r="DA70" s="122"/>
      <c r="DB70" s="164"/>
      <c r="DC70" s="124"/>
      <c r="DD70" s="793"/>
      <c r="DE70" s="796"/>
      <c r="DF70" s="124"/>
      <c r="DG70" s="122"/>
      <c r="DH70" s="795"/>
      <c r="DI70" s="124"/>
      <c r="DJ70" s="793"/>
      <c r="DK70" s="796"/>
      <c r="DL70" s="124"/>
      <c r="DM70" s="122"/>
      <c r="DN70" s="795"/>
      <c r="DO70" s="124"/>
      <c r="DP70" s="122"/>
      <c r="DQ70" s="123"/>
      <c r="DR70" s="124"/>
      <c r="DS70" s="122"/>
      <c r="DT70" s="123"/>
      <c r="DU70" s="124"/>
      <c r="DV70" s="793"/>
      <c r="DW70" s="796"/>
      <c r="DX70" s="124"/>
      <c r="DY70" s="122"/>
      <c r="DZ70" s="795"/>
      <c r="EA70" s="124"/>
      <c r="EB70" s="793"/>
      <c r="EC70" s="796"/>
      <c r="ED70" s="124"/>
      <c r="EE70" s="122"/>
      <c r="EF70" s="795"/>
      <c r="EG70" s="124"/>
      <c r="EH70" s="793"/>
      <c r="EI70" s="796"/>
      <c r="EJ70" s="124"/>
      <c r="EK70" s="122"/>
      <c r="EL70" s="123"/>
      <c r="EM70" s="124"/>
      <c r="EN70" s="122"/>
      <c r="EO70" s="795"/>
      <c r="EP70" s="124"/>
      <c r="EQ70" s="122"/>
      <c r="ER70" s="164"/>
      <c r="ES70" s="124"/>
      <c r="ET70" s="122"/>
      <c r="EU70" s="795"/>
      <c r="EV70" s="124"/>
      <c r="EW70" s="793"/>
      <c r="EX70" s="796"/>
      <c r="EY70" s="124"/>
      <c r="EZ70" s="122"/>
      <c r="FA70" s="164"/>
      <c r="FB70" s="124"/>
      <c r="FC70" s="793"/>
      <c r="FD70" s="794"/>
      <c r="FE70" s="124"/>
      <c r="FF70" s="122"/>
      <c r="FG70" s="164"/>
      <c r="FH70" s="124"/>
      <c r="FI70" s="793"/>
      <c r="FJ70" s="794"/>
      <c r="FK70" s="124"/>
      <c r="FL70" s="122"/>
      <c r="FM70" s="164"/>
      <c r="FN70" s="124"/>
      <c r="FO70" s="793"/>
      <c r="FP70" s="796"/>
      <c r="FQ70" s="124"/>
      <c r="FR70" s="122"/>
      <c r="FS70" s="164"/>
      <c r="FT70" s="124"/>
      <c r="FU70" s="793"/>
      <c r="FV70" s="794"/>
      <c r="FW70" s="124"/>
      <c r="FX70" s="122"/>
      <c r="FY70" s="164"/>
      <c r="FZ70" s="124"/>
      <c r="GA70" s="793"/>
      <c r="GB70" s="794"/>
      <c r="GC70" s="124"/>
      <c r="GD70" s="122"/>
      <c r="GE70" s="164"/>
      <c r="GF70" s="124"/>
      <c r="GG70" s="793"/>
      <c r="GH70" s="794"/>
      <c r="GI70" s="124"/>
      <c r="GJ70" s="122"/>
      <c r="GK70" s="164"/>
      <c r="GL70" s="124"/>
      <c r="GM70" s="122"/>
      <c r="GN70" s="123"/>
      <c r="GO70" s="124"/>
      <c r="GP70" s="122"/>
      <c r="GQ70" s="123"/>
      <c r="GR70" s="124"/>
      <c r="GS70" s="122"/>
      <c r="GT70" s="123"/>
      <c r="GU70" s="124"/>
      <c r="GV70" s="122"/>
      <c r="GW70" s="123"/>
      <c r="GX70" s="124"/>
      <c r="GY70" s="122"/>
      <c r="GZ70" s="795"/>
      <c r="HA70" s="124"/>
      <c r="HB70" s="793"/>
      <c r="HC70" s="796"/>
      <c r="HD70" s="124"/>
      <c r="HE70" s="122"/>
      <c r="HF70" s="796"/>
      <c r="HG70" s="138"/>
      <c r="HH70" s="793"/>
      <c r="HI70" s="796"/>
      <c r="HJ70" s="124"/>
      <c r="HK70" s="122"/>
      <c r="HL70" s="795"/>
      <c r="HM70" s="124"/>
      <c r="HN70" s="793"/>
      <c r="HO70" s="796"/>
      <c r="HP70" s="124"/>
      <c r="HQ70" s="122"/>
      <c r="HR70" s="795"/>
      <c r="HS70" s="124"/>
      <c r="HT70" s="122"/>
      <c r="HU70" s="164"/>
      <c r="HV70" s="124"/>
      <c r="HW70" s="122"/>
      <c r="HX70" s="164"/>
      <c r="HY70" s="124"/>
      <c r="HZ70" s="122"/>
      <c r="IA70" s="164"/>
      <c r="IB70" s="124"/>
      <c r="IC70" s="793"/>
      <c r="ID70" s="794"/>
      <c r="IE70" s="124"/>
      <c r="IF70" s="122"/>
      <c r="IG70" s="796"/>
      <c r="IH70" s="124"/>
      <c r="II70" s="122"/>
      <c r="IJ70" s="164"/>
      <c r="IK70" s="124"/>
      <c r="IL70" s="122"/>
      <c r="IM70" s="123"/>
      <c r="IN70" s="124"/>
      <c r="IO70" s="122"/>
      <c r="IP70" s="123"/>
      <c r="IQ70" s="124"/>
      <c r="IR70" s="122"/>
      <c r="IS70" s="123"/>
      <c r="IT70" s="124"/>
      <c r="IU70" s="122"/>
      <c r="IV70" s="123"/>
      <c r="IW70" s="124"/>
      <c r="IX70" s="122"/>
      <c r="IY70" s="123"/>
      <c r="IZ70" s="124"/>
      <c r="JA70" s="122"/>
      <c r="JB70" s="123"/>
      <c r="JC70" s="124"/>
      <c r="JD70" s="122"/>
      <c r="JE70" s="123"/>
      <c r="JF70" s="124"/>
      <c r="JG70" s="122"/>
      <c r="JH70" s="795"/>
      <c r="JI70" s="124"/>
      <c r="JJ70" s="793"/>
      <c r="JK70" s="796"/>
      <c r="JL70" s="124"/>
      <c r="JM70" s="122"/>
      <c r="JN70" s="795"/>
      <c r="JO70" s="124"/>
      <c r="JP70" s="793"/>
      <c r="JQ70" s="796"/>
      <c r="JR70" s="124"/>
      <c r="JS70" s="122"/>
      <c r="JT70" s="795"/>
      <c r="JU70" s="169" t="str" cm="1">
        <f t="array" ref="JU70">IF( ISNUMBER(MATCH(JU$3,Entries!$B$3:$B$16,0)),           _xlfn.IFS(  JU55="","",      AND(SUMPRODUCT((Entries!$A$3:$A$16=JU55)*(Entries!$C$3:$C$16=JV55)*(Entries!$D$3:$D$16=JW55)) = 0,        _xlfn.XLOOKUP(JU$3,Entries!$B$3:$B$16,Entries!$E$3:$E$16,"Enter")="Booked"),   INDEX(Entries!$B$3:$E$16,MATCH(JU$3,Entries!$B$3:$B$16,0),2),      JU55 &lt;&gt;0,""                                                ),"")</f>
        <v/>
      </c>
      <c r="JV70" s="122" t="str" cm="1">
        <f t="array" ref="JV70">IF( ISNUMBER(MATCH(JU$3,Entries!$B$3:$B$16,0)),           _xlfn.IFS(  JU70="","",      SUMPRODUCT((Entries!$A$3:$A$16=JU55)*(Entries!$C$3:$C$16=JV55)*(Entries!$D$3:$D$16=JW55)) &lt;&gt;0,"",         _xlfn.XLOOKUP(JU$3,Entries!$B$3:$B$16,Entries!$E$3:$E$16,"Enter")="Booked",   INDEX(Entries!$B$3:$E$16,MATCH(JU$3,Entries!$B$3:$B$16,0),3),                                                    _xlfn.XLOOKUP(JU$3,Entries!$B$3:$B$16,Entries!$A$3:$A$16,"Error"),""),"")</f>
        <v/>
      </c>
      <c r="JW70" s="123" t="str" cm="1">
        <f t="array" ref="JW70">IF( ISNUMBER(MATCH(JU$3,Entries!$B$3:$B$16,0)),           _xlfn.IFS(  JU70="","",      SUMPRODUCT((Entries!$A$3:$A$16=JV55)*(Entries!$C$3:$C$16=JW55)*(Entries!$D$3:$D$16=JX55)) &lt;&gt;0,"",         _xlfn.XLOOKUP(JU$3,Entries!$B$3:$B$16,Entries!$E$3:$E$16,"Enter")="Booked",   INDEX(Entries!$B$3:$E$16,MATCH(JU$3,Entries!$B$3:$B$16,0),4),                                                    _xlfn.XLOOKUP(JU$3,Entries!$B$3:$B$16,Entries!$A$3:$A$16,"Error"),""),"")</f>
        <v/>
      </c>
      <c r="JX70" s="169" t="str" cm="1">
        <f t="array" ref="JX70">IF( ISNUMBER(MATCH(JX$3,Entries!$B$3:$B$16,0)),           _xlfn.IFS(  JX55="","",      AND(SUMPRODUCT((Entries!$A$3:$A$16=JX55)*(Entries!$C$3:$C$16=JY55)*(Entries!$D$3:$D$16=JZ55)) = 0,        _xlfn.XLOOKUP(JX$3,Entries!$B$3:$B$16,Entries!$E$3:$E$16,"Enter")="Booked"),   INDEX(Entries!$B$3:$E$16,MATCH(JX$3,Entries!$B$3:$B$16,0),2),      JX55 &lt;&gt;0,""                                                ),"")</f>
        <v/>
      </c>
      <c r="JY70" s="122" t="str" cm="1">
        <f t="array" ref="JY70">IF( ISNUMBER(MATCH(JX$3,Entries!$B$3:$B$16,0)),           _xlfn.IFS(  JX70="","",      SUMPRODUCT((Entries!$A$3:$A$16=JX55)*(Entries!$C$3:$C$16=JY55)*(Entries!$D$3:$D$16=JZ55)) &lt;&gt;0,"",         _xlfn.XLOOKUP(JX$3,Entries!$B$3:$B$16,Entries!$E$3:$E$16,"Enter")="Booked",   INDEX(Entries!$B$3:$E$16,MATCH(JX$3,Entries!$B$3:$B$16,0),3),                                                    _xlfn.XLOOKUP(JX$3,Entries!$B$3:$B$16,Entries!$A$3:$A$16,"Error"),""),"")</f>
        <v/>
      </c>
      <c r="JZ70" s="123" t="str" cm="1">
        <f t="array" ref="JZ70">IF( ISNUMBER(MATCH(JX$3,Entries!$B$3:$B$16,0)),           _xlfn.IFS(  JX70="","",      SUMPRODUCT((Entries!$A$3:$A$16=JY55)*(Entries!$C$3:$C$16=JZ55)*(Entries!$D$3:$D$16=KA55)) &lt;&gt;0,"",         _xlfn.XLOOKUP(JX$3,Entries!$B$3:$B$16,Entries!$E$3:$E$16,"Enter")="Booked",   INDEX(Entries!$B$3:$E$16,MATCH(JX$3,Entries!$B$3:$B$16,0),4),                                                    _xlfn.XLOOKUP(JX$3,Entries!$B$3:$B$16,Entries!$A$3:$A$16,"Error"),""),"")</f>
        <v/>
      </c>
      <c r="KA70" s="169" t="str" cm="1">
        <f t="array" ref="KA70">IF( ISNUMBER(MATCH(KA$3,Entries!$B$3:$B$16,0)),           _xlfn.IFS(  KA55="","",      AND(SUMPRODUCT((Entries!$A$3:$A$16=KA55)*(Entries!$C$3:$C$16=KB55)*(Entries!$D$3:$D$16=KC55)) = 0,        _xlfn.XLOOKUP(KA$3,Entries!$B$3:$B$16,Entries!$E$3:$E$16,"Enter")="Booked"),   INDEX(Entries!$B$3:$E$16,MATCH(KA$3,Entries!$B$3:$B$16,0),2),      KA55 &lt;&gt;0,""                                                ),"")</f>
        <v/>
      </c>
      <c r="KB70" s="122" t="str" cm="1">
        <f t="array" ref="KB70">IF( ISNUMBER(MATCH(KA$3,Entries!$B$3:$B$16,0)),           _xlfn.IFS(  KA70="","",      SUMPRODUCT((Entries!$A$3:$A$16=KA55)*(Entries!$C$3:$C$16=KB55)*(Entries!$D$3:$D$16=KC55)) &lt;&gt;0,"",         _xlfn.XLOOKUP(KA$3,Entries!$B$3:$B$16,Entries!$E$3:$E$16,"Enter")="Booked",   INDEX(Entries!$B$3:$E$16,MATCH(KA$3,Entries!$B$3:$B$16,0),3),                                                    _xlfn.XLOOKUP(KA$3,Entries!$B$3:$B$16,Entries!$A$3:$A$16,"Error"),""),"")</f>
        <v/>
      </c>
      <c r="KC70" s="123" t="str" cm="1">
        <f t="array" ref="KC70">IF( ISNUMBER(MATCH(KA$3,Entries!$B$3:$B$16,0)),           _xlfn.IFS(  KA70="","",      SUMPRODUCT((Entries!$A$3:$A$16=KB55)*(Entries!$C$3:$C$16=KC55)*(Entries!$D$3:$D$16=KD55)) &lt;&gt;0,"",         _xlfn.XLOOKUP(KA$3,Entries!$B$3:$B$16,Entries!$E$3:$E$16,"Enter")="Booked",   INDEX(Entries!$B$3:$E$16,MATCH(KA$3,Entries!$B$3:$B$16,0),4),                                                    _xlfn.XLOOKUP(KA$3,Entries!$B$3:$B$16,Entries!$A$3:$A$16,"Error"),""),"")</f>
        <v/>
      </c>
      <c r="KD70" s="169" t="str" cm="1">
        <f t="array" ref="KD70">IF( ISNUMBER(MATCH(KD$3,Entries!$B$3:$B$16,0)),           _xlfn.IFS(  KD55="","",      AND(SUMPRODUCT((Entries!$A$3:$A$16=KD55)*(Entries!$C$3:$C$16=KE55)*(Entries!$D$3:$D$16=KF55)) = 0,        _xlfn.XLOOKUP(KD$3,Entries!$B$3:$B$16,Entries!$E$3:$E$16,"Enter")="Booked"),   INDEX(Entries!$B$3:$E$16,MATCH(KD$3,Entries!$B$3:$B$16,0),2),      KD55 &lt;&gt;0,""                                                ),"")</f>
        <v/>
      </c>
      <c r="KE70" s="122" t="str" cm="1">
        <f t="array" ref="KE70">IF( ISNUMBER(MATCH(KD$3,Entries!$B$3:$B$16,0)),           _xlfn.IFS(  KD70="","",      SUMPRODUCT((Entries!$A$3:$A$16=KD55)*(Entries!$C$3:$C$16=KE55)*(Entries!$D$3:$D$16=KF55)) &lt;&gt;0,"",         _xlfn.XLOOKUP(KD$3,Entries!$B$3:$B$16,Entries!$E$3:$E$16,"Enter")="Booked",   INDEX(Entries!$B$3:$E$16,MATCH(KD$3,Entries!$B$3:$B$16,0),3),                                                    _xlfn.XLOOKUP(KD$3,Entries!$B$3:$B$16,Entries!$A$3:$A$16,"Error"),""),"")</f>
        <v/>
      </c>
      <c r="KF70" s="123" t="str" cm="1">
        <f t="array" ref="KF70">IF( ISNUMBER(MATCH(KD$3,Entries!$B$3:$B$16,0)),           _xlfn.IFS(  KD70="","",      SUMPRODUCT((Entries!$A$3:$A$16=KE55)*(Entries!$C$3:$C$16=KF55)*(Entries!$D$3:$D$16=KG55)) &lt;&gt;0,"",         _xlfn.XLOOKUP(KD$3,Entries!$B$3:$B$16,Entries!$E$3:$E$16,"Enter")="Booked",   INDEX(Entries!$B$3:$E$16,MATCH(KD$3,Entries!$B$3:$B$16,0),4),                                                    _xlfn.XLOOKUP(KD$3,Entries!$B$3:$B$16,Entries!$A$3:$A$16,"Error"),""),"")</f>
        <v/>
      </c>
    </row>
    <row r="71" spans="1:301">
      <c r="A71" s="792"/>
      <c r="B71" s="124"/>
      <c r="C71" s="122"/>
      <c r="D71" s="164"/>
      <c r="E71" s="124"/>
      <c r="F71" s="793"/>
      <c r="G71" s="794"/>
      <c r="H71" s="124"/>
      <c r="I71" s="122"/>
      <c r="J71" s="164"/>
      <c r="K71" s="124"/>
      <c r="L71" s="793"/>
      <c r="M71" s="794"/>
      <c r="N71" s="138"/>
      <c r="O71" s="122"/>
      <c r="P71" s="794"/>
      <c r="Q71" s="138"/>
      <c r="R71" s="122"/>
      <c r="S71" s="794"/>
      <c r="T71" s="794"/>
      <c r="U71" s="794"/>
      <c r="V71" s="794"/>
      <c r="W71" s="138"/>
      <c r="X71" s="793"/>
      <c r="Y71" s="794"/>
      <c r="Z71" s="138"/>
      <c r="AA71" s="122"/>
      <c r="AB71" s="794"/>
      <c r="AC71" s="138"/>
      <c r="AD71" s="793"/>
      <c r="AE71" s="794"/>
      <c r="AF71" s="138"/>
      <c r="AG71" s="793"/>
      <c r="AH71" s="794"/>
      <c r="AI71" s="138"/>
      <c r="AJ71" s="793"/>
      <c r="AK71" s="794"/>
      <c r="AL71" s="138"/>
      <c r="AM71" s="793"/>
      <c r="AN71" s="794"/>
      <c r="AO71" s="124"/>
      <c r="AP71" s="793"/>
      <c r="AQ71" s="794"/>
      <c r="AR71" s="124"/>
      <c r="AS71" s="793"/>
      <c r="AT71" s="794"/>
      <c r="AU71" s="124"/>
      <c r="AV71" s="793"/>
      <c r="AW71" s="794"/>
      <c r="AX71" s="124"/>
      <c r="AY71" s="793"/>
      <c r="AZ71" s="794"/>
      <c r="BA71" s="124"/>
      <c r="BB71" s="793"/>
      <c r="BC71" s="794"/>
      <c r="BD71" s="124"/>
      <c r="BE71" s="793"/>
      <c r="BF71" s="794"/>
      <c r="BG71" s="124"/>
      <c r="BH71" s="793"/>
      <c r="BI71" s="794"/>
      <c r="BJ71" s="124"/>
      <c r="BK71" s="793"/>
      <c r="BL71" s="794"/>
      <c r="BM71" s="124"/>
      <c r="BN71" s="793"/>
      <c r="BO71" s="794"/>
      <c r="BP71" s="124"/>
      <c r="BQ71" s="793"/>
      <c r="BR71" s="794"/>
      <c r="BS71" s="124"/>
      <c r="BT71" s="793"/>
      <c r="BU71" s="794"/>
      <c r="BV71" s="124"/>
      <c r="BW71" s="122"/>
      <c r="BX71" s="164"/>
      <c r="BY71" s="124"/>
      <c r="BZ71" s="793"/>
      <c r="CA71" s="794"/>
      <c r="CB71" s="124"/>
      <c r="CC71" s="122"/>
      <c r="CD71" s="164"/>
      <c r="CE71" s="124"/>
      <c r="CF71" s="793"/>
      <c r="CG71" s="794"/>
      <c r="CH71" s="124"/>
      <c r="CI71" s="122"/>
      <c r="CJ71" s="795"/>
      <c r="CK71" s="124"/>
      <c r="CL71" s="793"/>
      <c r="CM71" s="794"/>
      <c r="CN71" s="124"/>
      <c r="CO71" s="122"/>
      <c r="CP71" s="164"/>
      <c r="CQ71" s="124"/>
      <c r="CR71" s="793"/>
      <c r="CS71" s="794"/>
      <c r="CT71" s="124"/>
      <c r="CU71" s="122"/>
      <c r="CV71" s="164"/>
      <c r="CW71" s="124"/>
      <c r="CX71" s="793"/>
      <c r="CY71" s="794"/>
      <c r="CZ71" s="124"/>
      <c r="DA71" s="122"/>
      <c r="DB71" s="164"/>
      <c r="DC71" s="124"/>
      <c r="DD71" s="793"/>
      <c r="DE71" s="796"/>
      <c r="DF71" s="124"/>
      <c r="DG71" s="122"/>
      <c r="DH71" s="795"/>
      <c r="DI71" s="124"/>
      <c r="DJ71" s="793"/>
      <c r="DK71" s="796"/>
      <c r="DL71" s="124"/>
      <c r="DM71" s="122"/>
      <c r="DN71" s="795"/>
      <c r="DO71" s="124"/>
      <c r="DP71" s="122"/>
      <c r="DQ71" s="123"/>
      <c r="DR71" s="124"/>
      <c r="DS71" s="122"/>
      <c r="DT71" s="123"/>
      <c r="DU71" s="124"/>
      <c r="DV71" s="793"/>
      <c r="DW71" s="796"/>
      <c r="DX71" s="124"/>
      <c r="DY71" s="122"/>
      <c r="DZ71" s="795"/>
      <c r="EA71" s="124"/>
      <c r="EB71" s="793"/>
      <c r="EC71" s="796"/>
      <c r="ED71" s="124"/>
      <c r="EE71" s="122"/>
      <c r="EF71" s="795"/>
      <c r="EG71" s="124"/>
      <c r="EH71" s="793"/>
      <c r="EI71" s="796"/>
      <c r="EJ71" s="124"/>
      <c r="EK71" s="122"/>
      <c r="EL71" s="123"/>
      <c r="EM71" s="124"/>
      <c r="EN71" s="122"/>
      <c r="EO71" s="795"/>
      <c r="EP71" s="124"/>
      <c r="EQ71" s="122"/>
      <c r="ER71" s="164"/>
      <c r="ES71" s="124"/>
      <c r="ET71" s="122"/>
      <c r="EU71" s="795"/>
      <c r="EV71" s="124"/>
      <c r="EW71" s="793"/>
      <c r="EX71" s="796"/>
      <c r="EY71" s="124"/>
      <c r="EZ71" s="122"/>
      <c r="FA71" s="164"/>
      <c r="FB71" s="124"/>
      <c r="FC71" s="793"/>
      <c r="FD71" s="794"/>
      <c r="FE71" s="124"/>
      <c r="FF71" s="122"/>
      <c r="FG71" s="164"/>
      <c r="FH71" s="124"/>
      <c r="FI71" s="793"/>
      <c r="FJ71" s="794"/>
      <c r="FK71" s="124"/>
      <c r="FL71" s="122"/>
      <c r="FM71" s="164"/>
      <c r="FN71" s="124"/>
      <c r="FO71" s="793"/>
      <c r="FP71" s="796"/>
      <c r="FQ71" s="124"/>
      <c r="FR71" s="122"/>
      <c r="FS71" s="164"/>
      <c r="FT71" s="124"/>
      <c r="FU71" s="793"/>
      <c r="FV71" s="794"/>
      <c r="FW71" s="124"/>
      <c r="FX71" s="122"/>
      <c r="FY71" s="164"/>
      <c r="FZ71" s="124"/>
      <c r="GA71" s="793"/>
      <c r="GB71" s="794"/>
      <c r="GC71" s="124"/>
      <c r="GD71" s="122"/>
      <c r="GE71" s="164"/>
      <c r="GF71" s="124"/>
      <c r="GG71" s="793"/>
      <c r="GH71" s="794"/>
      <c r="GI71" s="124"/>
      <c r="GJ71" s="122"/>
      <c r="GK71" s="164"/>
      <c r="GL71" s="124"/>
      <c r="GM71" s="122"/>
      <c r="GN71" s="123"/>
      <c r="GO71" s="124"/>
      <c r="GP71" s="122"/>
      <c r="GQ71" s="123"/>
      <c r="GR71" s="124"/>
      <c r="GS71" s="122"/>
      <c r="GT71" s="123"/>
      <c r="GU71" s="124"/>
      <c r="GV71" s="122"/>
      <c r="GW71" s="123"/>
      <c r="GX71" s="124"/>
      <c r="GY71" s="122"/>
      <c r="GZ71" s="795"/>
      <c r="HA71" s="124"/>
      <c r="HB71" s="793"/>
      <c r="HC71" s="796"/>
      <c r="HD71" s="124"/>
      <c r="HE71" s="122"/>
      <c r="HF71" s="796"/>
      <c r="HG71" s="138"/>
      <c r="HH71" s="793"/>
      <c r="HI71" s="796"/>
      <c r="HJ71" s="124"/>
      <c r="HK71" s="122"/>
      <c r="HL71" s="795"/>
      <c r="HM71" s="124"/>
      <c r="HN71" s="793"/>
      <c r="HO71" s="796"/>
      <c r="HP71" s="124"/>
      <c r="HQ71" s="122"/>
      <c r="HR71" s="795"/>
      <c r="HS71" s="124"/>
      <c r="HT71" s="122"/>
      <c r="HU71" s="164"/>
      <c r="HV71" s="124"/>
      <c r="HW71" s="122"/>
      <c r="HX71" s="164"/>
      <c r="HY71" s="124"/>
      <c r="HZ71" s="122"/>
      <c r="IA71" s="164"/>
      <c r="IB71" s="124"/>
      <c r="IC71" s="793"/>
      <c r="ID71" s="794"/>
      <c r="IE71" s="124"/>
      <c r="IF71" s="122"/>
      <c r="IG71" s="796"/>
      <c r="IH71" s="124"/>
      <c r="II71" s="122"/>
      <c r="IJ71" s="164"/>
      <c r="IK71" s="124"/>
      <c r="IL71" s="122"/>
      <c r="IM71" s="123"/>
      <c r="IN71" s="124"/>
      <c r="IO71" s="122"/>
      <c r="IP71" s="123"/>
      <c r="IQ71" s="124"/>
      <c r="IR71" s="122"/>
      <c r="IS71" s="123"/>
      <c r="IT71" s="124"/>
      <c r="IU71" s="122"/>
      <c r="IV71" s="123"/>
      <c r="IW71" s="124"/>
      <c r="IX71" s="122"/>
      <c r="IY71" s="123"/>
      <c r="IZ71" s="124"/>
      <c r="JA71" s="122"/>
      <c r="JB71" s="123"/>
      <c r="JC71" s="124"/>
      <c r="JD71" s="122"/>
      <c r="JE71" s="123"/>
      <c r="JF71" s="124"/>
      <c r="JG71" s="122"/>
      <c r="JH71" s="795"/>
      <c r="JI71" s="124"/>
      <c r="JJ71" s="793"/>
      <c r="JK71" s="796"/>
      <c r="JL71" s="124"/>
      <c r="JM71" s="122"/>
      <c r="JN71" s="795"/>
      <c r="JO71" s="124"/>
      <c r="JP71" s="793"/>
      <c r="JQ71" s="796"/>
      <c r="JR71" s="124"/>
      <c r="JS71" s="122"/>
      <c r="JT71" s="795"/>
      <c r="JU71" s="169" t="str" cm="1">
        <f t="array" ref="JU71">IF( ISNUMBER(MATCH(JU$3,Entries!$B$3:$B$16,0)),           _xlfn.IFS(  JU55="","",      AND(SUMPRODUCT((Entries!$A$3:$A$16=JU55)*(Entries!$C$3:$C$16=JV55)*(Entries!$D$3:$D$16=JW55)) = 0,        _xlfn.XLOOKUP(JU$3,Entries!$B$3:$B$16,Entries!$E$3:$E$16,"Enter")="Booked"),   INDEX(Entries!$B$3:$E$16,MATCH(JU$3,Entries!$B$3:$B$16,0),2),      JU55 &lt;&gt;0,""                                                ),"")</f>
        <v/>
      </c>
      <c r="JV71" s="122" t="str" cm="1">
        <f t="array" ref="JV71">IF( ISNUMBER(MATCH(JU$3,Entries!$B$3:$B$16,0)),           _xlfn.IFS(  JU71="","",      SUMPRODUCT((Entries!$A$3:$A$16=JU55)*(Entries!$C$3:$C$16=JV55)*(Entries!$D$3:$D$16=JW55)) &lt;&gt;0,"",         _xlfn.XLOOKUP(JU$3,Entries!$B$3:$B$16,Entries!$E$3:$E$16,"Enter")="Booked",   INDEX(Entries!$B$3:$E$16,MATCH(JU$3,Entries!$B$3:$B$16,0),3),                                                    _xlfn.XLOOKUP(JU$3,Entries!$B$3:$B$16,Entries!$A$3:$A$16,"Error"),""),"")</f>
        <v/>
      </c>
      <c r="JW71" s="123" t="str" cm="1">
        <f t="array" ref="JW71">IF( ISNUMBER(MATCH(JU$3,Entries!$B$3:$B$16,0)),           _xlfn.IFS(  JU71="","",      SUMPRODUCT((Entries!$A$3:$A$16=JV55)*(Entries!$C$3:$C$16=JW55)*(Entries!$D$3:$D$16=JX55)) &lt;&gt;0,"",         _xlfn.XLOOKUP(JU$3,Entries!$B$3:$B$16,Entries!$E$3:$E$16,"Enter")="Booked",   INDEX(Entries!$B$3:$E$16,MATCH(JU$3,Entries!$B$3:$B$16,0),4),                                                    _xlfn.XLOOKUP(JU$3,Entries!$B$3:$B$16,Entries!$A$3:$A$16,"Error"),""),"")</f>
        <v/>
      </c>
      <c r="JX71" s="169" t="str" cm="1">
        <f t="array" ref="JX71">IF( ISNUMBER(MATCH(JX$3,Entries!$B$3:$B$16,0)),           _xlfn.IFS(  JX55="","",      AND(SUMPRODUCT((Entries!$A$3:$A$16=JX55)*(Entries!$C$3:$C$16=JY55)*(Entries!$D$3:$D$16=JZ55)) = 0,        _xlfn.XLOOKUP(JX$3,Entries!$B$3:$B$16,Entries!$E$3:$E$16,"Enter")="Booked"),   INDEX(Entries!$B$3:$E$16,MATCH(JX$3,Entries!$B$3:$B$16,0),2),      JX55 &lt;&gt;0,""                                                ),"")</f>
        <v/>
      </c>
      <c r="JY71" s="122" t="str" cm="1">
        <f t="array" ref="JY71">IF( ISNUMBER(MATCH(JX$3,Entries!$B$3:$B$16,0)),           _xlfn.IFS(  JX71="","",      SUMPRODUCT((Entries!$A$3:$A$16=JX55)*(Entries!$C$3:$C$16=JY55)*(Entries!$D$3:$D$16=JZ55)) &lt;&gt;0,"",         _xlfn.XLOOKUP(JX$3,Entries!$B$3:$B$16,Entries!$E$3:$E$16,"Enter")="Booked",   INDEX(Entries!$B$3:$E$16,MATCH(JX$3,Entries!$B$3:$B$16,0),3),                                                    _xlfn.XLOOKUP(JX$3,Entries!$B$3:$B$16,Entries!$A$3:$A$16,"Error"),""),"")</f>
        <v/>
      </c>
      <c r="JZ71" s="123" t="str" cm="1">
        <f t="array" ref="JZ71">IF( ISNUMBER(MATCH(JX$3,Entries!$B$3:$B$16,0)),           _xlfn.IFS(  JX71="","",      SUMPRODUCT((Entries!$A$3:$A$16=JY55)*(Entries!$C$3:$C$16=JZ55)*(Entries!$D$3:$D$16=KA55)) &lt;&gt;0,"",         _xlfn.XLOOKUP(JX$3,Entries!$B$3:$B$16,Entries!$E$3:$E$16,"Enter")="Booked",   INDEX(Entries!$B$3:$E$16,MATCH(JX$3,Entries!$B$3:$B$16,0),4),                                                    _xlfn.XLOOKUP(JX$3,Entries!$B$3:$B$16,Entries!$A$3:$A$16,"Error"),""),"")</f>
        <v/>
      </c>
      <c r="KA71" s="169" t="str" cm="1">
        <f t="array" ref="KA71">IF( ISNUMBER(MATCH(KA$3,Entries!$B$3:$B$16,0)),           _xlfn.IFS(  KA55="","",      AND(SUMPRODUCT((Entries!$A$3:$A$16=KA55)*(Entries!$C$3:$C$16=KB55)*(Entries!$D$3:$D$16=KC55)) = 0,        _xlfn.XLOOKUP(KA$3,Entries!$B$3:$B$16,Entries!$E$3:$E$16,"Enter")="Booked"),   INDEX(Entries!$B$3:$E$16,MATCH(KA$3,Entries!$B$3:$B$16,0),2),      KA55 &lt;&gt;0,""                                                ),"")</f>
        <v/>
      </c>
      <c r="KB71" s="122" t="str" cm="1">
        <f t="array" ref="KB71">IF( ISNUMBER(MATCH(KA$3,Entries!$B$3:$B$16,0)),           _xlfn.IFS(  KA71="","",      SUMPRODUCT((Entries!$A$3:$A$16=KA55)*(Entries!$C$3:$C$16=KB55)*(Entries!$D$3:$D$16=KC55)) &lt;&gt;0,"",         _xlfn.XLOOKUP(KA$3,Entries!$B$3:$B$16,Entries!$E$3:$E$16,"Enter")="Booked",   INDEX(Entries!$B$3:$E$16,MATCH(KA$3,Entries!$B$3:$B$16,0),3),                                                    _xlfn.XLOOKUP(KA$3,Entries!$B$3:$B$16,Entries!$A$3:$A$16,"Error"),""),"")</f>
        <v/>
      </c>
      <c r="KC71" s="123" t="str" cm="1">
        <f t="array" ref="KC71">IF( ISNUMBER(MATCH(KA$3,Entries!$B$3:$B$16,0)),           _xlfn.IFS(  KA71="","",      SUMPRODUCT((Entries!$A$3:$A$16=KB55)*(Entries!$C$3:$C$16=KC55)*(Entries!$D$3:$D$16=KD55)) &lt;&gt;0,"",         _xlfn.XLOOKUP(KA$3,Entries!$B$3:$B$16,Entries!$E$3:$E$16,"Enter")="Booked",   INDEX(Entries!$B$3:$E$16,MATCH(KA$3,Entries!$B$3:$B$16,0),4),                                                    _xlfn.XLOOKUP(KA$3,Entries!$B$3:$B$16,Entries!$A$3:$A$16,"Error"),""),"")</f>
        <v/>
      </c>
      <c r="KD71" s="169" t="str" cm="1">
        <f t="array" ref="KD71">IF( ISNUMBER(MATCH(KD$3,Entries!$B$3:$B$16,0)),           _xlfn.IFS(  KD55="","",      AND(SUMPRODUCT((Entries!$A$3:$A$16=KD55)*(Entries!$C$3:$C$16=KE55)*(Entries!$D$3:$D$16=KF55)) = 0,        _xlfn.XLOOKUP(KD$3,Entries!$B$3:$B$16,Entries!$E$3:$E$16,"Enter")="Booked"),   INDEX(Entries!$B$3:$E$16,MATCH(KD$3,Entries!$B$3:$B$16,0),2),      KD55 &lt;&gt;0,""                                                ),"")</f>
        <v/>
      </c>
      <c r="KE71" s="122" t="str" cm="1">
        <f t="array" ref="KE71">IF( ISNUMBER(MATCH(KD$3,Entries!$B$3:$B$16,0)),           _xlfn.IFS(  KD71="","",      SUMPRODUCT((Entries!$A$3:$A$16=KD55)*(Entries!$C$3:$C$16=KE55)*(Entries!$D$3:$D$16=KF55)) &lt;&gt;0,"",         _xlfn.XLOOKUP(KD$3,Entries!$B$3:$B$16,Entries!$E$3:$E$16,"Enter")="Booked",   INDEX(Entries!$B$3:$E$16,MATCH(KD$3,Entries!$B$3:$B$16,0),3),                                                    _xlfn.XLOOKUP(KD$3,Entries!$B$3:$B$16,Entries!$A$3:$A$16,"Error"),""),"")</f>
        <v/>
      </c>
      <c r="KF71" s="123" t="str" cm="1">
        <f t="array" ref="KF71">IF( ISNUMBER(MATCH(KD$3,Entries!$B$3:$B$16,0)),           _xlfn.IFS(  KD71="","",      SUMPRODUCT((Entries!$A$3:$A$16=KE55)*(Entries!$C$3:$C$16=KF55)*(Entries!$D$3:$D$16=KG46)) &lt;&gt;0,"",         _xlfn.XLOOKUP(KD$3,Entries!$B$3:$B$16,Entries!$E$3:$E$16,"Enter")="Booked",   INDEX(Entries!$B$3:$E$16,MATCH(KD$3,Entries!$B$3:$B$16,0),4),                                                    _xlfn.XLOOKUP(KD$3,Entries!$B$3:$B$16,Entries!$A$3:$A$16,"Error"),""),"")</f>
        <v/>
      </c>
    </row>
    <row r="72" spans="1:301">
      <c r="A72" s="172"/>
      <c r="B72" s="154">
        <f>COUNT(TabReg[AAPL])</f>
        <v>23</v>
      </c>
      <c r="C72" s="154">
        <f>COUNT(TabReg[AAPL1])</f>
        <v>23</v>
      </c>
      <c r="D72" s="154">
        <f>COUNT(TabReg[AAPL2])</f>
        <v>23</v>
      </c>
      <c r="E72" s="154">
        <f>COUNT(TabReg[ADEA])</f>
        <v>15</v>
      </c>
      <c r="F72" s="154">
        <f>COUNT(TabReg[ADEA1])</f>
        <v>15</v>
      </c>
      <c r="G72" s="154">
        <f>COUNT(TabReg[ADEA2])</f>
        <v>15</v>
      </c>
      <c r="H72" s="154">
        <f>COUNT(TabReg[AET])</f>
        <v>20</v>
      </c>
      <c r="I72" s="154">
        <f>COUNT(TabReg[AET1])</f>
        <v>20</v>
      </c>
      <c r="J72" s="154">
        <f>COUNT(TabReg[AET2])</f>
        <v>20</v>
      </c>
      <c r="K72" s="154">
        <f>COUNT(TabReg[AMZN])</f>
        <v>30</v>
      </c>
      <c r="L72" s="154">
        <f>COUNT(TabReg[AMZN1])</f>
        <v>30</v>
      </c>
      <c r="M72" s="154">
        <f>COUNT(TabReg[AMZN2])</f>
        <v>30</v>
      </c>
      <c r="N72" s="154">
        <f>COUNT(TabReg[ALDNE])</f>
        <v>7</v>
      </c>
      <c r="O72" s="154">
        <f>COUNT(TabReg[ALDNE1])</f>
        <v>7</v>
      </c>
      <c r="P72" s="154">
        <f>COUNT(TabReg[ALDNE2])</f>
        <v>7</v>
      </c>
      <c r="Q72" s="154">
        <f>COUNT(TabReg[ASML])</f>
        <v>52</v>
      </c>
      <c r="R72" s="154">
        <f>COUNT(TabReg[ASML1])</f>
        <v>52</v>
      </c>
      <c r="S72" s="154">
        <f>COUNT(TabReg[ASML2])</f>
        <v>52</v>
      </c>
      <c r="T72" s="154"/>
      <c r="U72" s="154"/>
      <c r="V72" s="154"/>
      <c r="W72" s="154">
        <f>COUNT(TabReg[AZN])</f>
        <v>13</v>
      </c>
      <c r="X72" s="154">
        <f>COUNT(TabReg[AZN1])</f>
        <v>13</v>
      </c>
      <c r="Y72" s="154">
        <f>COUNT(TabReg[AZN2])</f>
        <v>13</v>
      </c>
      <c r="Z72" s="154">
        <f>COUNT(TabReg[BLDP])</f>
        <v>10</v>
      </c>
      <c r="AA72" s="154">
        <f>COUNT(TabReg[BLDP1])</f>
        <v>10</v>
      </c>
      <c r="AB72" s="154">
        <f>COUNT(TabReg[BLDP2])</f>
        <v>10</v>
      </c>
      <c r="AC72" s="154">
        <f>COUNT(TabReg[BMRA])</f>
        <v>1</v>
      </c>
      <c r="AD72" s="154">
        <f>COUNT(TabReg[BMRA1])</f>
        <v>1</v>
      </c>
      <c r="AE72" s="154">
        <f>COUNT(TabReg[BMRA2])</f>
        <v>1</v>
      </c>
      <c r="AF72" s="154">
        <f>COUNT(TabReg[C])</f>
        <v>14</v>
      </c>
      <c r="AG72" s="154">
        <f>COUNT(TabReg[C1])</f>
        <v>14</v>
      </c>
      <c r="AH72" s="154">
        <f>COUNT(TabReg[C2])</f>
        <v>14</v>
      </c>
      <c r="AI72" s="154">
        <f>COUNT(TabReg[CSCO])</f>
        <v>20</v>
      </c>
      <c r="AJ72" s="154">
        <f>COUNT(TabReg[CSCO1])</f>
        <v>20</v>
      </c>
      <c r="AK72" s="154">
        <f>COUNT(TabReg[CSCO2])</f>
        <v>20</v>
      </c>
      <c r="AL72" s="154">
        <f>COUNT(TabReg[CVS])</f>
        <v>20</v>
      </c>
      <c r="AM72" s="154">
        <f>COUNT(TabReg[CVS1])</f>
        <v>20</v>
      </c>
      <c r="AN72" s="154">
        <f>COUNT(TabReg[CVS2])</f>
        <v>20</v>
      </c>
      <c r="AO72" s="154">
        <f>COUNT(TabReg[DDD])</f>
        <v>16</v>
      </c>
      <c r="AP72" s="154">
        <f>COUNT(TabReg[DDD1])</f>
        <v>16</v>
      </c>
      <c r="AQ72" s="154">
        <f>COUNT(TabReg[DDD2])</f>
        <v>16</v>
      </c>
      <c r="AR72" s="154">
        <f>COUNT(TabReg[DIS])</f>
        <v>16</v>
      </c>
      <c r="AS72" s="154">
        <f>COUNT(TabReg[DIS1])</f>
        <v>16</v>
      </c>
      <c r="AT72" s="154">
        <f>COUNT(TabReg[DIS2])</f>
        <v>16</v>
      </c>
      <c r="AU72" s="154">
        <f>COUNT(TabReg[DSY])</f>
        <v>26</v>
      </c>
      <c r="AV72" s="154">
        <f>COUNT(TabReg[DSY1])</f>
        <v>26</v>
      </c>
      <c r="AW72" s="154">
        <f>COUNT(TabReg[DSY2])</f>
        <v>26</v>
      </c>
      <c r="AX72" s="154">
        <f>COUNT(TabReg[DVA])</f>
        <v>11</v>
      </c>
      <c r="AY72" s="154">
        <f>COUNT(TabReg[DVA1])</f>
        <v>11</v>
      </c>
      <c r="AZ72" s="154">
        <f>COUNT(TabReg[DVA2])</f>
        <v>11</v>
      </c>
      <c r="BA72" s="154">
        <f>COUNT(TabReg[DXC])</f>
        <v>7</v>
      </c>
      <c r="BB72" s="154">
        <f>COUNT(TabReg[DXC1])</f>
        <v>7</v>
      </c>
      <c r="BC72" s="154">
        <f>COUNT(TabReg[DXC2])</f>
        <v>7</v>
      </c>
      <c r="BD72" s="154">
        <f>COUNT(TabReg[EOAN])</f>
        <v>32</v>
      </c>
      <c r="BE72" s="154">
        <f>COUNT(TabReg[EOAN1])</f>
        <v>32</v>
      </c>
      <c r="BF72" s="154">
        <f>COUNT(TabReg[EOAN2])</f>
        <v>32</v>
      </c>
      <c r="BG72" s="154">
        <f>COUNT(TabReg[EPIX])</f>
        <v>15</v>
      </c>
      <c r="BH72" s="154">
        <f>COUNT(TabReg[EPIX1])</f>
        <v>15</v>
      </c>
      <c r="BI72" s="154">
        <f>COUNT(TabReg[EPIX2])</f>
        <v>15</v>
      </c>
      <c r="BJ72" s="154">
        <f>COUNT(TabReg[GM])</f>
        <v>6</v>
      </c>
      <c r="BK72" s="154">
        <f>COUNT(TabReg[GM1])</f>
        <v>6</v>
      </c>
      <c r="BL72" s="154">
        <f>COUNT(TabReg[GM2])</f>
        <v>6</v>
      </c>
      <c r="BM72" s="154">
        <f>COUNT(TabReg[HPE])</f>
        <v>25</v>
      </c>
      <c r="BN72" s="154">
        <f>COUNT(TabReg[HPE1])</f>
        <v>25</v>
      </c>
      <c r="BO72" s="154">
        <f>COUNT(TabReg[HPE2])</f>
        <v>25</v>
      </c>
      <c r="BP72" s="154">
        <f>COUNT(TabReg[HPQ])</f>
        <v>21</v>
      </c>
      <c r="BQ72" s="154">
        <f>COUNT(TabReg[HPQ1])</f>
        <v>21</v>
      </c>
      <c r="BR72" s="154">
        <f>COUNT(TabReg[HPQ2])</f>
        <v>21</v>
      </c>
      <c r="BS72" s="154">
        <f>COUNT(TabReg[IAG])</f>
        <v>44</v>
      </c>
      <c r="BT72" s="154">
        <f>COUNT(TabReg[IAG1])</f>
        <v>44</v>
      </c>
      <c r="BU72" s="154">
        <f>COUNT(TabReg[IAG2])</f>
        <v>44</v>
      </c>
      <c r="BV72" s="154">
        <f>COUNT(TabReg[KR])</f>
        <v>21</v>
      </c>
      <c r="BW72" s="154">
        <f>COUNT(TabReg[KR1])</f>
        <v>21</v>
      </c>
      <c r="BX72" s="154">
        <f>COUNT(TabReg[KR2])</f>
        <v>21</v>
      </c>
      <c r="BY72" s="154">
        <f>COUNT(TabReg[LNSR])</f>
        <v>9</v>
      </c>
      <c r="BZ72" s="154">
        <f>COUNT(TabReg[LNSR1])</f>
        <v>9</v>
      </c>
      <c r="CA72" s="154">
        <f>COUNT(TabReg[LNSR2])</f>
        <v>9</v>
      </c>
      <c r="CB72" s="154">
        <f>COUNT(TabReg[LUMN])</f>
        <v>14</v>
      </c>
      <c r="CC72" s="154">
        <f>COUNT(TabReg[LUMN1])</f>
        <v>14</v>
      </c>
      <c r="CD72" s="154">
        <f>COUNT(TabReg[LUMN2])</f>
        <v>14</v>
      </c>
      <c r="CE72" s="154">
        <f>COUNT(TabReg[MRNA])</f>
        <v>13</v>
      </c>
      <c r="CF72" s="154">
        <f>COUNT(TabReg[MRNA1])</f>
        <v>13</v>
      </c>
      <c r="CG72" s="154">
        <f>COUNT(TabReg[MRNA2])</f>
        <v>13</v>
      </c>
      <c r="CH72" s="154">
        <f>COUNT(TabReg[MSFT])</f>
        <v>21</v>
      </c>
      <c r="CI72" s="154">
        <f>COUNT(TabReg[MSFT1])</f>
        <v>21</v>
      </c>
      <c r="CJ72" s="154">
        <f>COUNT(TabReg[MSFT2])</f>
        <v>21</v>
      </c>
      <c r="CK72" s="154">
        <f>COUNT(TabReg[NEE])</f>
        <v>28</v>
      </c>
      <c r="CL72" s="154">
        <f>COUNT(TabReg[NEE1])</f>
        <v>28</v>
      </c>
      <c r="CM72" s="154">
        <f>COUNT(TabReg[NEE2])</f>
        <v>28</v>
      </c>
      <c r="CN72" s="154">
        <f>COUNT(TabReg[NEM])</f>
        <v>34</v>
      </c>
      <c r="CO72" s="154">
        <f>COUNT(TabReg[NEM1])</f>
        <v>34</v>
      </c>
      <c r="CP72" s="154">
        <f>COUNT(TabReg[NEM2])</f>
        <v>34</v>
      </c>
      <c r="CQ72" s="154">
        <f>COUNT(TabReg[NFLX])</f>
        <v>26</v>
      </c>
      <c r="CR72" s="154">
        <f>COUNT(TabReg[NFLX1])</f>
        <v>26</v>
      </c>
      <c r="CS72" s="154">
        <f>COUNT(TabReg[NFLX2])</f>
        <v>26</v>
      </c>
      <c r="CT72" s="154">
        <f>COUNT(TabReg[NOTE])</f>
        <v>2</v>
      </c>
      <c r="CU72" s="154">
        <f>COUNT(TabReg[NOTE1])</f>
        <v>2</v>
      </c>
      <c r="CV72" s="154">
        <f>COUNT(TabReg[NOTE2])</f>
        <v>2</v>
      </c>
      <c r="CW72" s="154">
        <f>COUNT(TabReg[PAAS])</f>
        <v>15</v>
      </c>
      <c r="CX72" s="154">
        <f>COUNT(TabReg[PAAS1])</f>
        <v>15</v>
      </c>
      <c r="CY72" s="154">
        <f>COUNT(TabReg[PAAS2])</f>
        <v>15</v>
      </c>
      <c r="CZ72" s="154">
        <f>COUNT(TabReg[PROF])</f>
        <v>18</v>
      </c>
      <c r="DA72" s="154">
        <f>COUNT(TabReg[PROF1])</f>
        <v>18</v>
      </c>
      <c r="DB72" s="154">
        <f>COUNT(TabReg[PROF2])</f>
        <v>18</v>
      </c>
      <c r="DC72" s="154">
        <f>COUNT(TabReg[POET])</f>
        <v>10</v>
      </c>
      <c r="DD72" s="154">
        <f>COUNT(TabReg[POET1])</f>
        <v>10</v>
      </c>
      <c r="DE72" s="154">
        <f>COUNT(TabReg[POET2])</f>
        <v>10</v>
      </c>
      <c r="DF72" s="154">
        <f>COUNT(TabReg[PW])</f>
        <v>8</v>
      </c>
      <c r="DG72" s="154">
        <f>COUNT(TabReg[PW1])</f>
        <v>8</v>
      </c>
      <c r="DH72" s="154">
        <f>COUNT(TabReg[PW2])</f>
        <v>8</v>
      </c>
      <c r="DI72" s="154">
        <f>COUNT(TabReg[RIGL])</f>
        <v>23</v>
      </c>
      <c r="DJ72" s="154">
        <f>COUNT(TabReg[RIGL1])</f>
        <v>23</v>
      </c>
      <c r="DK72" s="154">
        <f>COUNT(TabReg[RIGL2])</f>
        <v>23</v>
      </c>
      <c r="DL72" s="154">
        <f>COUNT(TabReg[RWE])</f>
        <v>25</v>
      </c>
      <c r="DM72" s="154">
        <f>COUNT(TabReg[RWE1])</f>
        <v>25</v>
      </c>
      <c r="DN72" s="154">
        <f>COUNT(TabReg[RWE2])</f>
        <v>25</v>
      </c>
      <c r="DO72" s="154">
        <f>COUNT(TabReg[SAP])</f>
        <v>27</v>
      </c>
      <c r="DP72" s="154">
        <f>COUNT(TabReg[SAP1])</f>
        <v>27</v>
      </c>
      <c r="DQ72" s="154">
        <f>COUNT(TabReg[SAP2])</f>
        <v>27</v>
      </c>
      <c r="DR72" s="154">
        <f>COUNT(TabReg[SHECY])</f>
        <v>16</v>
      </c>
      <c r="DS72" s="154">
        <f>COUNT(TabReg[SHECY1])</f>
        <v>16</v>
      </c>
      <c r="DT72" s="154">
        <f>COUNT(TabReg[SHECY2])</f>
        <v>16</v>
      </c>
      <c r="DU72" s="154">
        <f>COUNT(TabReg[SSYS])</f>
        <v>7</v>
      </c>
      <c r="DV72" s="154">
        <f>COUNT(TabReg[SSYS1])</f>
        <v>7</v>
      </c>
      <c r="DW72" s="154">
        <f>COUNT(TabReg[SSYS2])</f>
        <v>7</v>
      </c>
      <c r="DX72" s="154">
        <f>COUNT(TabReg[TSLA])</f>
        <v>11</v>
      </c>
      <c r="DY72" s="154">
        <f>COUNT(TabReg[TSLA1])</f>
        <v>11</v>
      </c>
      <c r="DZ72" s="154">
        <f>COUNT(TabReg[TSLA2])</f>
        <v>11</v>
      </c>
      <c r="EA72" s="154">
        <f>COUNT(TabReg[TSM])</f>
        <v>19</v>
      </c>
      <c r="EB72" s="154">
        <f>COUNT(TabReg[TSM1])</f>
        <v>19</v>
      </c>
      <c r="EC72" s="154">
        <f>COUNT(TabReg[TSM2])</f>
        <v>19</v>
      </c>
      <c r="ED72" s="154">
        <f>COUNT(TabReg[UN0])</f>
        <v>15</v>
      </c>
      <c r="EE72" s="154">
        <f>COUNT(TabReg[UN01])</f>
        <v>15</v>
      </c>
      <c r="EF72" s="154">
        <f>COUNT(TabReg[UN02])</f>
        <v>15</v>
      </c>
      <c r="EG72" s="154">
        <f>COUNT(TabReg[UNIT])</f>
        <v>1</v>
      </c>
      <c r="EH72" s="154">
        <f>COUNT(TabReg[UNIT1])</f>
        <v>1</v>
      </c>
      <c r="EI72" s="154">
        <f>COUNT(TabReg[UNIT2])</f>
        <v>1</v>
      </c>
      <c r="EJ72" s="154">
        <f>COUNT(TabReg[Free])</f>
        <v>13</v>
      </c>
      <c r="EK72" s="154">
        <f>COUNT(TabReg[Free1])</f>
        <v>13</v>
      </c>
      <c r="EL72" s="154">
        <f>COUNT(TabReg[Free2])</f>
        <v>13</v>
      </c>
      <c r="EM72" s="154">
        <f>COUNT(TabReg[VLVLY])</f>
        <v>9</v>
      </c>
      <c r="EN72" s="154">
        <f>COUNT(TabReg[VLVLY1])</f>
        <v>9</v>
      </c>
      <c r="EO72" s="154">
        <f>COUNT(TabReg[VLVLY2])</f>
        <v>9</v>
      </c>
      <c r="EP72" s="154">
        <f>COUNT(TabReg[VONN])</f>
        <v>41</v>
      </c>
      <c r="EQ72" s="154">
        <f>COUNT(TabReg[VONN1])</f>
        <v>41</v>
      </c>
      <c r="ER72" s="154">
        <f>COUNT(TabReg[VONN2])</f>
        <v>41</v>
      </c>
      <c r="ES72" s="154">
        <f>COUNT(TabReg[VTRS])</f>
        <v>7</v>
      </c>
      <c r="ET72" s="154">
        <f>COUNT(TabReg[VTRS1])</f>
        <v>7</v>
      </c>
      <c r="EU72" s="154">
        <f>COUNT(TabReg[VTRS2])</f>
        <v>7</v>
      </c>
      <c r="EV72" s="154">
        <f>COUNT(TabReg[WBA])</f>
        <v>11</v>
      </c>
      <c r="EW72" s="154">
        <f>COUNT(TabReg[WBA1])</f>
        <v>11</v>
      </c>
      <c r="EX72" s="154">
        <f>COUNT(TabReg[WBA2])</f>
        <v>11</v>
      </c>
      <c r="EY72" s="154">
        <f>COUNT(TabReg[XOM])</f>
        <v>10</v>
      </c>
      <c r="EZ72" s="154">
        <f>COUNT(TabReg[XOM1])</f>
        <v>10</v>
      </c>
      <c r="FA72" s="154">
        <f>COUNT(TabReg[XOM2])</f>
        <v>10</v>
      </c>
      <c r="FB72" s="154">
        <f>COUNT(TabReg[XPER])</f>
        <v>12</v>
      </c>
      <c r="FC72" s="154">
        <f>COUNT(TabReg[XPER1])</f>
        <v>12</v>
      </c>
      <c r="FD72" s="154">
        <f>COUNT(TabReg[XPER2])</f>
        <v>12</v>
      </c>
      <c r="FE72" s="154">
        <f>COUNT(TabReg[MVEALDNE])</f>
        <v>10</v>
      </c>
      <c r="FF72" s="154">
        <f>COUNT(TabReg[MVEALDNE1])</f>
        <v>10</v>
      </c>
      <c r="FG72" s="154">
        <f>COUNT(TabReg[MVEALDNE2])</f>
        <v>10</v>
      </c>
      <c r="FH72" s="154">
        <f>COUNT(TabReg[MVEDDD])</f>
        <v>9</v>
      </c>
      <c r="FI72" s="154">
        <f>COUNT(TabReg[MVEDDD1])</f>
        <v>9</v>
      </c>
      <c r="FJ72" s="154">
        <f>COUNT(TabReg[MVEDDD2])</f>
        <v>9</v>
      </c>
      <c r="FK72" s="154">
        <f>COUNT(TabReg[MVEDSY])</f>
        <v>19</v>
      </c>
      <c r="FL72" s="154">
        <f>COUNT(TabReg[MVEDSY1])</f>
        <v>19</v>
      </c>
      <c r="FM72" s="154">
        <f>COUNT(TabReg[MVEDSY2])</f>
        <v>19</v>
      </c>
      <c r="FN72" s="154">
        <f>COUNT(TabReg[MVEEOAN])</f>
        <v>12</v>
      </c>
      <c r="FO72" s="154">
        <f>COUNT(TabReg[MVEEOAN1])</f>
        <v>12</v>
      </c>
      <c r="FP72" s="154">
        <f>COUNT(TabReg[MVEEOAN2])</f>
        <v>12</v>
      </c>
      <c r="FQ72" s="154">
        <f>COUNT(TabReg[MVEENI])</f>
        <v>14</v>
      </c>
      <c r="FR72" s="154">
        <f>COUNT(TabReg[MVEENI1])</f>
        <v>14</v>
      </c>
      <c r="FS72" s="154">
        <f>COUNT(TabReg[MVEENI2])</f>
        <v>14</v>
      </c>
      <c r="FT72" s="154">
        <f>COUNT(TabReg[MVEEPIX])</f>
        <v>2</v>
      </c>
      <c r="FU72" s="154">
        <f>COUNT(TabReg[MVEEPIX1])</f>
        <v>2</v>
      </c>
      <c r="FV72" s="154">
        <f>COUNT(TabReg[MVEEPIX2])</f>
        <v>2</v>
      </c>
      <c r="FW72" s="154">
        <f>COUNT(TabReg[MVEGLE])</f>
        <v>35</v>
      </c>
      <c r="FX72" s="154">
        <f>COUNT(TabReg[MVEGLE1])</f>
        <v>35</v>
      </c>
      <c r="FY72" s="154">
        <f>COUNT(TabReg[MVEGLE2])</f>
        <v>35</v>
      </c>
      <c r="FZ72" s="154">
        <f>COUNT(TabReg[MVEORA])</f>
        <v>24</v>
      </c>
      <c r="GA72" s="154">
        <f>COUNT(TabReg[MVEORA1])</f>
        <v>24</v>
      </c>
      <c r="GB72" s="154">
        <f>COUNT(TabReg[MVEORA2])</f>
        <v>24</v>
      </c>
      <c r="GC72" s="154">
        <f>COUNT(TabReg[MVERWE])</f>
        <v>17</v>
      </c>
      <c r="GD72" s="154">
        <f>COUNT(TabReg[MVERWE1])</f>
        <v>17</v>
      </c>
      <c r="GE72" s="154">
        <f>COUNT(TabReg[MVERWE2])</f>
        <v>17</v>
      </c>
      <c r="GF72" s="154">
        <f>COUNT(TabReg[MVESAP])</f>
        <v>26</v>
      </c>
      <c r="GG72" s="154">
        <f>COUNT(TabReg[MVESAP1])</f>
        <v>26</v>
      </c>
      <c r="GH72" s="154">
        <f>COUNT(TabReg[MVESAP2])</f>
        <v>26</v>
      </c>
      <c r="GI72" s="154">
        <f>COUNT(TabReg[MVEUN0])</f>
        <v>9</v>
      </c>
      <c r="GJ72" s="154">
        <f>COUNT(TabReg[MVEUN01])</f>
        <v>9</v>
      </c>
      <c r="GK72" s="154">
        <f>COUNT(TabReg[MVEUN02])</f>
        <v>9</v>
      </c>
      <c r="GL72" s="154">
        <f>COUNT(TabReg[SAFAAPL])</f>
        <v>18</v>
      </c>
      <c r="GM72" s="154">
        <f>COUNT(TabReg[SAFAAPL1])</f>
        <v>18</v>
      </c>
      <c r="GN72" s="154">
        <f>COUNT(TabReg[SAFAAPL2])</f>
        <v>18</v>
      </c>
      <c r="GO72" s="154">
        <f>COUNT(TabReg[SAFAMZN])</f>
        <v>24</v>
      </c>
      <c r="GP72" s="154">
        <f>COUNT(TabReg[SAFAMZN1])</f>
        <v>24</v>
      </c>
      <c r="GQ72" s="154">
        <f>COUNT(TabReg[SAFAMZN2])</f>
        <v>24</v>
      </c>
      <c r="GR72" s="154">
        <f>COUNT(TabReg[SAFASML])</f>
        <v>26</v>
      </c>
      <c r="GS72" s="154">
        <f>COUNT(TabReg[SAFASML1])</f>
        <v>26</v>
      </c>
      <c r="GT72" s="154">
        <f>COUNT(TabReg[SAFASML2])</f>
        <v>26</v>
      </c>
      <c r="GU72" s="154">
        <f>COUNT(TabReg[SAFDDD])</f>
        <v>15</v>
      </c>
      <c r="GV72" s="154">
        <f>COUNT(TabReg[SAFDDD1])</f>
        <v>15</v>
      </c>
      <c r="GW72" s="154">
        <f>COUNT(TabReg[SAFDDD2])</f>
        <v>15</v>
      </c>
      <c r="GX72" s="154">
        <f>COUNT(TabReg[SAFDIS])</f>
        <v>16</v>
      </c>
      <c r="GY72" s="154">
        <f>COUNT(TabReg[SAFDIS1])</f>
        <v>16</v>
      </c>
      <c r="GZ72" s="154">
        <f>COUNT(TabReg[SAFDIS2])</f>
        <v>16</v>
      </c>
      <c r="HA72" s="154">
        <f>COUNT(TabReg[SAFGM])</f>
        <v>27</v>
      </c>
      <c r="HB72" s="154">
        <f>COUNT(TabReg[SAFGM1])</f>
        <v>27</v>
      </c>
      <c r="HC72" s="154">
        <f>COUNT(TabReg[SAFGM2])</f>
        <v>27</v>
      </c>
      <c r="HD72" s="154">
        <f>COUNT(TabReg[SAFIAG])</f>
        <v>10</v>
      </c>
      <c r="HE72" s="154">
        <f>COUNT(TabReg[SAFIAG1])</f>
        <v>10</v>
      </c>
      <c r="HF72" s="154">
        <f>COUNT(TabReg[SAFIAG2])</f>
        <v>10</v>
      </c>
      <c r="HG72" s="154">
        <f>COUNT(TabReg[SAFMRNA])</f>
        <v>14</v>
      </c>
      <c r="HH72" s="154">
        <f>COUNT(TabReg[SAFMRNA1])</f>
        <v>14</v>
      </c>
      <c r="HI72" s="154">
        <f>COUNT(TabReg[SAFMRNA2])</f>
        <v>14</v>
      </c>
      <c r="HJ72" s="154">
        <f>COUNT(TabReg[BLNK])</f>
        <v>13</v>
      </c>
      <c r="HK72" s="154">
        <f>COUNT(TabReg[BLNK1])</f>
        <v>13</v>
      </c>
      <c r="HL72" s="154">
        <f>COUNT(TabReg[BLNK2])</f>
        <v>13</v>
      </c>
      <c r="HM72" s="154">
        <f>COUNT(TabReg[ENI])</f>
        <v>24</v>
      </c>
      <c r="HN72" s="154">
        <f>COUNT(TabReg[ENI1])</f>
        <v>24</v>
      </c>
      <c r="HO72" s="154">
        <f>COUNT(TabReg[ENI2])</f>
        <v>24</v>
      </c>
      <c r="HP72" s="154">
        <f>COUNT(TabReg[EZJ])</f>
        <v>18</v>
      </c>
      <c r="HQ72" s="154">
        <f>COUNT(TabReg[EZJ1])</f>
        <v>18</v>
      </c>
      <c r="HR72" s="154">
        <f>COUNT(TabReg[EZJ2])</f>
        <v>18</v>
      </c>
      <c r="HS72" s="154">
        <f>COUNT(TabReg[F])</f>
        <v>16</v>
      </c>
      <c r="HT72" s="154">
        <f>COUNT(TabReg[F1])</f>
        <v>16</v>
      </c>
      <c r="HU72" s="255">
        <f>COUNT(TabReg[F2])</f>
        <v>16</v>
      </c>
      <c r="HV72" s="154">
        <f>COUNT(TabReg[GLE])</f>
        <v>21</v>
      </c>
      <c r="HW72" s="154">
        <f>COUNT(TabReg[GLE1])</f>
        <v>21</v>
      </c>
      <c r="HX72" s="255">
        <f>COUNT(TabReg[GLE2])</f>
        <v>21</v>
      </c>
      <c r="HY72" s="154">
        <f>COUNT(TabReg[GNRC])</f>
        <v>23</v>
      </c>
      <c r="HZ72" s="154">
        <f>COUNT(TabReg[GNRC1])</f>
        <v>23</v>
      </c>
      <c r="IA72" s="255">
        <f>COUNT(TabReg[GNRC2])</f>
        <v>23</v>
      </c>
      <c r="IB72" s="154">
        <f>COUNT(TabReg[GS])</f>
        <v>11</v>
      </c>
      <c r="IC72" s="154">
        <f>COUNT(TabReg[GS1])</f>
        <v>11</v>
      </c>
      <c r="ID72" s="255">
        <f>COUNT(TabReg[GS2])</f>
        <v>11</v>
      </c>
      <c r="IE72" s="154">
        <f>COUNT(TabReg[LAZR])</f>
        <v>3</v>
      </c>
      <c r="IF72" s="154">
        <f>COUNT(TabReg[LAZR1])</f>
        <v>3</v>
      </c>
      <c r="IG72" s="154">
        <f>COUNT(TabReg[LAZR2])</f>
        <v>3</v>
      </c>
      <c r="IH72" s="154">
        <f>COUNT(TabReg[LUV])</f>
        <v>14</v>
      </c>
      <c r="II72" s="154">
        <f>COUNT(TabReg[LUV1])</f>
        <v>14</v>
      </c>
      <c r="IJ72" s="255">
        <f>COUNT(TabReg[LUV2])</f>
        <v>14</v>
      </c>
      <c r="IK72" s="154">
        <f>COUNT(TabReg[MA])</f>
        <v>17</v>
      </c>
      <c r="IL72" s="154">
        <f>COUNT(TabReg[MA1])</f>
        <v>17</v>
      </c>
      <c r="IM72" s="154">
        <f>COUNT(TabReg[MA2])</f>
        <v>17</v>
      </c>
      <c r="IN72" s="154">
        <f>COUNT(TabReg[NVAX])</f>
        <v>5</v>
      </c>
      <c r="IO72" s="154">
        <f>COUNT(TabReg[NVAX1])</f>
        <v>5</v>
      </c>
      <c r="IP72" s="154">
        <f>COUNT(TabReg[NVAX2])</f>
        <v>5</v>
      </c>
      <c r="IQ72" s="154">
        <f>COUNT(TabReg[NVS])</f>
        <v>14</v>
      </c>
      <c r="IR72" s="154">
        <f>COUNT(TabReg[NVS1])</f>
        <v>14</v>
      </c>
      <c r="IS72" s="154">
        <f>COUNT(TabReg[NVS2])</f>
        <v>14</v>
      </c>
      <c r="IT72" s="154">
        <f>COUNT(TabReg[ORA])</f>
        <v>11</v>
      </c>
      <c r="IU72" s="154">
        <f>COUNT(TabReg[ORA1])</f>
        <v>11</v>
      </c>
      <c r="IV72" s="154">
        <f>COUNT(TabReg[ORA2])</f>
        <v>11</v>
      </c>
      <c r="IW72" s="154">
        <f>COUNT(TabReg[OXY])</f>
        <v>14</v>
      </c>
      <c r="IX72" s="154">
        <f>COUNT(TabReg[OXY1])</f>
        <v>14</v>
      </c>
      <c r="IY72" s="154">
        <f>COUNT(TabReg[OXY2])</f>
        <v>14</v>
      </c>
      <c r="IZ72" s="154">
        <f>COUNT(TabReg[PFE])</f>
        <v>9</v>
      </c>
      <c r="JA72" s="154">
        <f>COUNT(TabReg[PFE1])</f>
        <v>9</v>
      </c>
      <c r="JB72" s="154">
        <f>COUNT(TabReg[PFE2])</f>
        <v>9</v>
      </c>
      <c r="JC72" s="154">
        <f>COUNT(TabReg[RIG])</f>
        <v>10</v>
      </c>
      <c r="JD72" s="154">
        <f>COUNT(TabReg[RIG1])</f>
        <v>10</v>
      </c>
      <c r="JE72" s="154">
        <f>COUNT(TabReg[RIG2])</f>
        <v>10</v>
      </c>
      <c r="JF72" s="154">
        <f>COUNT(TabReg[RRC])</f>
        <v>10</v>
      </c>
      <c r="JG72" s="154">
        <f>COUNT(TabReg[RRC1])</f>
        <v>10</v>
      </c>
      <c r="JH72" s="154">
        <f>COUNT(TabReg[RRC2])</f>
        <v>10</v>
      </c>
      <c r="JI72" s="154">
        <f>COUNT(TabReg[XYZ])</f>
        <v>16</v>
      </c>
      <c r="JJ72" s="154">
        <f>COUNT(TabReg[XYZ1])</f>
        <v>16</v>
      </c>
      <c r="JK72" s="154">
        <f>COUNT(TabReg[XYZ2])</f>
        <v>16</v>
      </c>
      <c r="JL72" s="154">
        <f>COUNT(TabReg[THC])</f>
        <v>27</v>
      </c>
      <c r="JM72" s="154">
        <f>COUNT(TabReg[THC1])</f>
        <v>27</v>
      </c>
      <c r="JN72" s="154">
        <f>COUNT(TabReg[THC2])</f>
        <v>27</v>
      </c>
      <c r="JO72" s="154">
        <f>COUNT(TabReg[X])</f>
        <v>22</v>
      </c>
      <c r="JP72" s="154">
        <f>COUNT(TabReg[X1])</f>
        <v>22</v>
      </c>
      <c r="JQ72" s="154">
        <f>COUNT(TabReg[X2])</f>
        <v>22</v>
      </c>
      <c r="JR72" s="154">
        <f>COUNT(TabReg[LOCK])</f>
        <v>1</v>
      </c>
      <c r="JS72" s="154">
        <f>COUNT(TabReg[LOCK1])</f>
        <v>1</v>
      </c>
      <c r="JT72" s="154">
        <f>COUNT(TabReg[LOCK2])</f>
        <v>1</v>
      </c>
      <c r="JU72" s="154">
        <f>COUNT(TabReg[JBASML])</f>
        <v>2</v>
      </c>
      <c r="JV72" s="154">
        <f>COUNT(TabReg[JBASML1])</f>
        <v>2</v>
      </c>
      <c r="JW72" s="154">
        <f>COUNT(TabReg[JBASML2])</f>
        <v>2</v>
      </c>
      <c r="JX72" s="154">
        <f>COUNT(TabReg[JBEOAN])</f>
        <v>17</v>
      </c>
      <c r="JY72" s="154">
        <f>COUNT(TabReg[JBEOAN1])</f>
        <v>17</v>
      </c>
      <c r="JZ72" s="154">
        <f>COUNT(TabReg[JBEOAN2])</f>
        <v>17</v>
      </c>
      <c r="KA72" s="154">
        <f>COUNT(TabReg[UnknownX3])</f>
        <v>0</v>
      </c>
      <c r="KB72" s="154">
        <f>COUNT(TabReg[UnknownX14])</f>
        <v>0</v>
      </c>
      <c r="KC72" s="154">
        <f>COUNT(TabReg[UnknownX25])</f>
        <v>0</v>
      </c>
      <c r="KD72" s="154">
        <f>COUNT(TabReg[UnknownX6])</f>
        <v>0</v>
      </c>
      <c r="KE72" s="154">
        <f>COUNT(TabReg[UnknownX17])</f>
        <v>0</v>
      </c>
      <c r="KF72" s="154">
        <f>COUNT(TabReg[UnknownX28])</f>
        <v>0</v>
      </c>
    </row>
    <row r="73" spans="1:301">
      <c r="A73" s="1" t="s">
        <v>1788</v>
      </c>
      <c r="B73" cm="1">
        <f t="array" ref="B73:KO73">_xlfn.SEQUENCE(1,300,1,1)</f>
        <v>1</v>
      </c>
      <c r="C73">
        <v>2</v>
      </c>
      <c r="D73">
        <v>3</v>
      </c>
      <c r="E73">
        <v>4</v>
      </c>
      <c r="F73">
        <v>5</v>
      </c>
      <c r="G73">
        <v>6</v>
      </c>
      <c r="H73">
        <v>7</v>
      </c>
      <c r="I73">
        <v>8</v>
      </c>
      <c r="J73">
        <v>9</v>
      </c>
      <c r="K73">
        <v>10</v>
      </c>
      <c r="L73">
        <v>11</v>
      </c>
      <c r="M73">
        <v>12</v>
      </c>
      <c r="N73">
        <v>13</v>
      </c>
      <c r="O73">
        <v>14</v>
      </c>
      <c r="P73">
        <v>15</v>
      </c>
      <c r="Q73">
        <v>16</v>
      </c>
      <c r="R73">
        <v>17</v>
      </c>
      <c r="S73">
        <v>18</v>
      </c>
      <c r="T73">
        <v>19</v>
      </c>
      <c r="U73">
        <v>20</v>
      </c>
      <c r="V73">
        <v>21</v>
      </c>
      <c r="W73">
        <v>22</v>
      </c>
      <c r="X73">
        <v>23</v>
      </c>
      <c r="Y73">
        <v>24</v>
      </c>
      <c r="Z73">
        <v>25</v>
      </c>
      <c r="AA73">
        <v>26</v>
      </c>
      <c r="AB73">
        <v>27</v>
      </c>
      <c r="AC73">
        <v>28</v>
      </c>
      <c r="AD73">
        <v>29</v>
      </c>
      <c r="AE73">
        <v>30</v>
      </c>
      <c r="AF73">
        <v>31</v>
      </c>
      <c r="AG73">
        <v>32</v>
      </c>
      <c r="AH73">
        <v>33</v>
      </c>
      <c r="AI73">
        <v>34</v>
      </c>
      <c r="AJ73">
        <v>35</v>
      </c>
      <c r="AK73">
        <v>36</v>
      </c>
      <c r="AL73">
        <v>37</v>
      </c>
      <c r="AM73">
        <v>38</v>
      </c>
      <c r="AN73">
        <v>39</v>
      </c>
      <c r="AO73">
        <v>40</v>
      </c>
      <c r="AP73">
        <v>41</v>
      </c>
      <c r="AQ73">
        <v>42</v>
      </c>
      <c r="AR73">
        <v>43</v>
      </c>
      <c r="AS73">
        <v>44</v>
      </c>
      <c r="AT73">
        <v>45</v>
      </c>
      <c r="AU73">
        <v>46</v>
      </c>
      <c r="AV73">
        <v>47</v>
      </c>
      <c r="AW73">
        <v>48</v>
      </c>
      <c r="AX73">
        <v>49</v>
      </c>
      <c r="AY73">
        <v>50</v>
      </c>
      <c r="AZ73">
        <v>51</v>
      </c>
      <c r="BA73">
        <v>52</v>
      </c>
      <c r="BB73">
        <v>53</v>
      </c>
      <c r="BC73">
        <v>54</v>
      </c>
      <c r="BD73">
        <v>55</v>
      </c>
      <c r="BE73">
        <v>56</v>
      </c>
      <c r="BF73">
        <v>57</v>
      </c>
      <c r="BG73">
        <v>58</v>
      </c>
      <c r="BH73">
        <v>59</v>
      </c>
      <c r="BI73">
        <v>60</v>
      </c>
      <c r="BJ73">
        <v>61</v>
      </c>
      <c r="BK73">
        <v>62</v>
      </c>
      <c r="BL73">
        <v>63</v>
      </c>
      <c r="BM73">
        <v>64</v>
      </c>
      <c r="BN73">
        <v>65</v>
      </c>
      <c r="BO73">
        <v>66</v>
      </c>
      <c r="BP73">
        <v>67</v>
      </c>
      <c r="BQ73">
        <v>68</v>
      </c>
      <c r="BR73">
        <v>69</v>
      </c>
      <c r="BS73">
        <v>70</v>
      </c>
      <c r="BT73">
        <v>71</v>
      </c>
      <c r="BU73">
        <v>72</v>
      </c>
      <c r="BV73">
        <v>73</v>
      </c>
      <c r="BW73">
        <v>74</v>
      </c>
      <c r="BX73">
        <v>75</v>
      </c>
      <c r="BY73">
        <v>76</v>
      </c>
      <c r="BZ73">
        <v>77</v>
      </c>
      <c r="CA73">
        <v>78</v>
      </c>
      <c r="CB73">
        <v>79</v>
      </c>
      <c r="CC73">
        <v>80</v>
      </c>
      <c r="CD73">
        <v>81</v>
      </c>
      <c r="CE73">
        <v>82</v>
      </c>
      <c r="CF73">
        <v>83</v>
      </c>
      <c r="CG73">
        <v>84</v>
      </c>
      <c r="CH73">
        <v>85</v>
      </c>
      <c r="CI73">
        <v>86</v>
      </c>
      <c r="CJ73">
        <v>87</v>
      </c>
      <c r="CK73">
        <v>88</v>
      </c>
      <c r="CL73">
        <v>89</v>
      </c>
      <c r="CM73">
        <v>90</v>
      </c>
      <c r="CN73">
        <v>91</v>
      </c>
      <c r="CO73">
        <v>92</v>
      </c>
      <c r="CP73">
        <v>93</v>
      </c>
      <c r="CQ73">
        <v>94</v>
      </c>
      <c r="CR73">
        <v>95</v>
      </c>
      <c r="CS73">
        <v>96</v>
      </c>
      <c r="CT73">
        <v>97</v>
      </c>
      <c r="CU73">
        <v>98</v>
      </c>
      <c r="CV73">
        <v>99</v>
      </c>
      <c r="CW73">
        <v>100</v>
      </c>
      <c r="CX73">
        <v>101</v>
      </c>
      <c r="CY73">
        <v>102</v>
      </c>
      <c r="CZ73">
        <v>103</v>
      </c>
      <c r="DA73">
        <v>104</v>
      </c>
      <c r="DB73">
        <v>105</v>
      </c>
      <c r="DC73">
        <v>106</v>
      </c>
      <c r="DD73">
        <v>107</v>
      </c>
      <c r="DE73">
        <v>108</v>
      </c>
      <c r="DF73">
        <v>109</v>
      </c>
      <c r="DG73">
        <v>110</v>
      </c>
      <c r="DH73">
        <v>111</v>
      </c>
      <c r="DI73">
        <v>112</v>
      </c>
      <c r="DJ73">
        <v>113</v>
      </c>
      <c r="DK73">
        <v>114</v>
      </c>
      <c r="DL73">
        <v>115</v>
      </c>
      <c r="DM73">
        <v>116</v>
      </c>
      <c r="DN73">
        <v>117</v>
      </c>
      <c r="DO73">
        <v>118</v>
      </c>
      <c r="DP73">
        <v>119</v>
      </c>
      <c r="DQ73">
        <v>120</v>
      </c>
      <c r="DR73">
        <v>121</v>
      </c>
      <c r="DS73">
        <v>122</v>
      </c>
      <c r="DT73">
        <v>123</v>
      </c>
      <c r="DU73">
        <v>124</v>
      </c>
      <c r="DV73">
        <v>125</v>
      </c>
      <c r="DW73">
        <v>126</v>
      </c>
      <c r="DX73">
        <v>127</v>
      </c>
      <c r="DY73">
        <v>128</v>
      </c>
      <c r="DZ73">
        <v>129</v>
      </c>
      <c r="EA73">
        <v>130</v>
      </c>
      <c r="EB73">
        <v>131</v>
      </c>
      <c r="EC73">
        <v>132</v>
      </c>
      <c r="ED73">
        <v>133</v>
      </c>
      <c r="EE73">
        <v>134</v>
      </c>
      <c r="EF73">
        <v>135</v>
      </c>
      <c r="EG73">
        <v>136</v>
      </c>
      <c r="EH73">
        <v>137</v>
      </c>
      <c r="EI73">
        <v>138</v>
      </c>
      <c r="EJ73">
        <v>139</v>
      </c>
      <c r="EK73">
        <v>140</v>
      </c>
      <c r="EL73">
        <v>141</v>
      </c>
      <c r="EM73">
        <v>142</v>
      </c>
      <c r="EN73">
        <v>143</v>
      </c>
      <c r="EO73">
        <v>144</v>
      </c>
      <c r="EP73">
        <v>145</v>
      </c>
      <c r="EQ73">
        <v>146</v>
      </c>
      <c r="ER73">
        <v>147</v>
      </c>
      <c r="ES73">
        <v>148</v>
      </c>
      <c r="ET73">
        <v>149</v>
      </c>
      <c r="EU73">
        <v>150</v>
      </c>
      <c r="EV73">
        <v>151</v>
      </c>
      <c r="EW73">
        <v>152</v>
      </c>
      <c r="EX73">
        <v>153</v>
      </c>
      <c r="EY73">
        <v>154</v>
      </c>
      <c r="EZ73">
        <v>155</v>
      </c>
      <c r="FA73">
        <v>156</v>
      </c>
      <c r="FB73">
        <v>157</v>
      </c>
      <c r="FC73">
        <v>158</v>
      </c>
      <c r="FD73">
        <v>159</v>
      </c>
      <c r="FE73">
        <v>160</v>
      </c>
      <c r="FF73">
        <v>161</v>
      </c>
      <c r="FG73">
        <v>162</v>
      </c>
      <c r="FH73">
        <v>163</v>
      </c>
      <c r="FI73">
        <v>164</v>
      </c>
      <c r="FJ73">
        <v>165</v>
      </c>
      <c r="FK73">
        <v>166</v>
      </c>
      <c r="FL73">
        <v>167</v>
      </c>
      <c r="FM73">
        <v>168</v>
      </c>
      <c r="FN73">
        <v>169</v>
      </c>
      <c r="FO73">
        <v>170</v>
      </c>
      <c r="FP73">
        <v>171</v>
      </c>
      <c r="FQ73">
        <v>172</v>
      </c>
      <c r="FR73">
        <v>173</v>
      </c>
      <c r="FS73">
        <v>174</v>
      </c>
      <c r="FT73">
        <v>175</v>
      </c>
      <c r="FU73">
        <v>176</v>
      </c>
      <c r="FV73">
        <v>177</v>
      </c>
      <c r="FW73">
        <v>178</v>
      </c>
      <c r="FX73">
        <v>179</v>
      </c>
      <c r="FY73">
        <v>180</v>
      </c>
      <c r="FZ73">
        <v>181</v>
      </c>
      <c r="GA73">
        <v>182</v>
      </c>
      <c r="GB73">
        <v>183</v>
      </c>
      <c r="GC73">
        <v>184</v>
      </c>
      <c r="GD73">
        <v>185</v>
      </c>
      <c r="GE73">
        <v>186</v>
      </c>
      <c r="GF73">
        <v>187</v>
      </c>
      <c r="GG73">
        <v>188</v>
      </c>
      <c r="GH73">
        <v>189</v>
      </c>
      <c r="GI73">
        <v>190</v>
      </c>
      <c r="GJ73">
        <v>191</v>
      </c>
      <c r="GK73">
        <v>192</v>
      </c>
      <c r="GL73">
        <v>193</v>
      </c>
      <c r="GM73">
        <v>194</v>
      </c>
      <c r="GN73">
        <v>195</v>
      </c>
      <c r="GO73">
        <v>196</v>
      </c>
      <c r="GP73">
        <v>197</v>
      </c>
      <c r="GQ73">
        <v>198</v>
      </c>
      <c r="GR73">
        <v>199</v>
      </c>
      <c r="GS73">
        <v>200</v>
      </c>
      <c r="GT73">
        <v>201</v>
      </c>
      <c r="GU73">
        <v>202</v>
      </c>
      <c r="GV73">
        <v>203</v>
      </c>
      <c r="GW73">
        <v>204</v>
      </c>
      <c r="GX73">
        <v>205</v>
      </c>
      <c r="GY73">
        <v>206</v>
      </c>
      <c r="GZ73">
        <v>207</v>
      </c>
      <c r="HA73">
        <v>208</v>
      </c>
      <c r="HB73">
        <v>209</v>
      </c>
      <c r="HC73">
        <v>210</v>
      </c>
      <c r="HD73">
        <v>211</v>
      </c>
      <c r="HE73">
        <v>212</v>
      </c>
      <c r="HF73">
        <v>213</v>
      </c>
      <c r="HG73">
        <v>214</v>
      </c>
      <c r="HH73">
        <v>215</v>
      </c>
      <c r="HI73">
        <v>216</v>
      </c>
      <c r="HJ73">
        <v>217</v>
      </c>
      <c r="HK73">
        <v>218</v>
      </c>
      <c r="HL73">
        <v>219</v>
      </c>
      <c r="HM73">
        <v>220</v>
      </c>
      <c r="HN73">
        <v>221</v>
      </c>
      <c r="HO73">
        <v>222</v>
      </c>
      <c r="HP73">
        <v>223</v>
      </c>
      <c r="HQ73">
        <v>224</v>
      </c>
      <c r="HR73">
        <v>225</v>
      </c>
      <c r="HS73">
        <v>226</v>
      </c>
      <c r="HT73">
        <v>227</v>
      </c>
      <c r="HU73" s="164">
        <v>228</v>
      </c>
      <c r="HV73">
        <v>229</v>
      </c>
      <c r="HW73">
        <v>230</v>
      </c>
      <c r="HX73" s="164">
        <v>231</v>
      </c>
      <c r="HY73">
        <v>232</v>
      </c>
      <c r="HZ73">
        <v>233</v>
      </c>
      <c r="IA73" s="164">
        <v>234</v>
      </c>
      <c r="IB73">
        <v>235</v>
      </c>
      <c r="IC73">
        <v>236</v>
      </c>
      <c r="ID73" s="164">
        <v>237</v>
      </c>
      <c r="IE73">
        <v>238</v>
      </c>
      <c r="IF73">
        <v>239</v>
      </c>
      <c r="IG73">
        <v>240</v>
      </c>
      <c r="IH73">
        <v>241</v>
      </c>
      <c r="II73">
        <v>242</v>
      </c>
      <c r="IJ73" s="164">
        <v>243</v>
      </c>
      <c r="IK73">
        <v>244</v>
      </c>
      <c r="IL73">
        <v>245</v>
      </c>
      <c r="IM73">
        <v>246</v>
      </c>
      <c r="IN73">
        <v>247</v>
      </c>
      <c r="IO73">
        <v>248</v>
      </c>
      <c r="IP73">
        <v>249</v>
      </c>
      <c r="IQ73">
        <v>250</v>
      </c>
      <c r="IR73">
        <v>251</v>
      </c>
      <c r="IS73">
        <v>252</v>
      </c>
      <c r="IT73">
        <v>253</v>
      </c>
      <c r="IU73">
        <v>254</v>
      </c>
      <c r="IV73">
        <v>255</v>
      </c>
      <c r="IW73">
        <v>256</v>
      </c>
      <c r="IX73">
        <v>257</v>
      </c>
      <c r="IY73">
        <v>258</v>
      </c>
      <c r="IZ73">
        <v>259</v>
      </c>
      <c r="JA73">
        <v>260</v>
      </c>
      <c r="JB73">
        <v>261</v>
      </c>
      <c r="JC73">
        <v>262</v>
      </c>
      <c r="JD73">
        <v>263</v>
      </c>
      <c r="JE73">
        <v>264</v>
      </c>
      <c r="JF73">
        <v>265</v>
      </c>
      <c r="JG73">
        <v>266</v>
      </c>
      <c r="JH73">
        <v>267</v>
      </c>
      <c r="JI73">
        <v>268</v>
      </c>
      <c r="JJ73">
        <v>269</v>
      </c>
      <c r="JK73">
        <v>270</v>
      </c>
      <c r="JL73">
        <v>271</v>
      </c>
      <c r="JM73">
        <v>272</v>
      </c>
      <c r="JN73">
        <v>273</v>
      </c>
      <c r="JO73">
        <v>274</v>
      </c>
      <c r="JP73">
        <v>275</v>
      </c>
      <c r="JQ73">
        <v>276</v>
      </c>
      <c r="JR73">
        <v>277</v>
      </c>
      <c r="JS73">
        <v>278</v>
      </c>
      <c r="JT73">
        <v>279</v>
      </c>
      <c r="JU73">
        <v>280</v>
      </c>
      <c r="JV73">
        <v>281</v>
      </c>
      <c r="JW73">
        <v>282</v>
      </c>
      <c r="JX73">
        <v>283</v>
      </c>
      <c r="JY73">
        <v>284</v>
      </c>
      <c r="JZ73">
        <v>285</v>
      </c>
      <c r="KA73">
        <v>286</v>
      </c>
      <c r="KB73">
        <v>287</v>
      </c>
      <c r="KC73">
        <v>288</v>
      </c>
      <c r="KD73">
        <v>289</v>
      </c>
      <c r="KE73">
        <v>290</v>
      </c>
      <c r="KF73">
        <v>291</v>
      </c>
      <c r="KG73">
        <v>292</v>
      </c>
      <c r="KH73">
        <v>293</v>
      </c>
      <c r="KI73">
        <v>294</v>
      </c>
      <c r="KJ73">
        <v>295</v>
      </c>
      <c r="KK73">
        <v>296</v>
      </c>
      <c r="KL73">
        <v>297</v>
      </c>
      <c r="KM73">
        <v>298</v>
      </c>
      <c r="KN73">
        <v>299</v>
      </c>
      <c r="KO73">
        <v>300</v>
      </c>
    </row>
    <row r="74" spans="1:301">
      <c r="A74" s="667" cm="1">
        <f t="array" ref="A74">_xlfn.LET(
  _xlpm.rng, B74:KF74,
  _xlpm.colStart, COLUMN(B74),
  _xlpm.tripletCols, _xlfn.SEQUENCE(1, COLUMNS(_xlpm.rng)/3, 0, 1) * 3 + _xlpm.colStart,
  _xlpm.values, INDEX(B74:KF74, 1, _xlpm.tripletCols - _xlpm.colStart + 1),
  MAX(_xlpm.values)
)</f>
        <v>45954</v>
      </c>
      <c r="B74" s="169">
        <f>MAX(INDEX(TabReg[],0,COLUMN()))</f>
        <v>45951</v>
      </c>
      <c r="C74" s="566">
        <f>SUMIF(INDEX(TabReg[], 0, COLUMN()+1),"&lt;0", INDEX(TabReg[], 0, COLUMN()))-SUMIF(INDEX(TabReg[], 0, COLUMN()+1),"&gt;0", INDEX(TabReg[], 0, COLUMN()))</f>
        <v>10000</v>
      </c>
      <c r="D74" s="566"/>
      <c r="E74" s="169">
        <f>MAX(INDEX(TabReg[],0,COLUMN()))</f>
        <v>45922</v>
      </c>
      <c r="F74" s="566">
        <f>SUMIF(INDEX(TabReg[], 0, COLUMN()+1),"&lt;0", INDEX(TabReg[], 0, COLUMN()))-SUMIF(INDEX(TabReg[], 0, COLUMN()+1),"&gt;0", INDEX(TabReg[], 0, COLUMN()))</f>
        <v>5000</v>
      </c>
      <c r="G74" s="566"/>
      <c r="H74" s="169">
        <f>MAX(INDEX(TabReg[],0,COLUMN()))</f>
        <v>45941</v>
      </c>
      <c r="I74" s="566">
        <f>SUMIF(INDEX(TabReg[], 0, COLUMN()+1),"&lt;0", INDEX(TabReg[], 0, COLUMN()))-SUMIF(INDEX(TabReg[], 0, COLUMN()+1),"&gt;0", INDEX(TabReg[], 0, COLUMN()))</f>
        <v>820000</v>
      </c>
      <c r="J74" s="566"/>
      <c r="K74" s="169">
        <f>MAX(INDEX(TabReg[],0,COLUMN()))</f>
        <v>45929</v>
      </c>
      <c r="L74" s="566">
        <f>SUMIF(INDEX(TabReg[], 0, COLUMN()+1),"&lt;0", INDEX(TabReg[], 0, COLUMN()))-SUMIF(INDEX(TabReg[], 0, COLUMN()+1),"&gt;0", INDEX(TabReg[], 0, COLUMN()))</f>
        <v>12000</v>
      </c>
      <c r="M74" s="566"/>
      <c r="N74" s="169">
        <f>MAX(INDEX(TabReg[],0,COLUMN()))</f>
        <v>45734</v>
      </c>
      <c r="O74" s="566">
        <f>SUMIF(INDEX(TabReg[], 0, COLUMN()+1),"&lt;0", INDEX(TabReg[], 0, COLUMN()))-SUMIF(INDEX(TabReg[], 0, COLUMN()+1),"&gt;0", INDEX(TabReg[], 0, COLUMN()))</f>
        <v>2530000</v>
      </c>
      <c r="P74" s="566"/>
      <c r="Q74" s="169">
        <f>MAX(INDEX(TabReg[],0,COLUMN()))</f>
        <v>45954</v>
      </c>
      <c r="R74" s="566">
        <f>SUMIF(INDEX(TabReg[], 0, COLUMN()+1),"&lt;0", INDEX(TabReg[], 0, COLUMN()))-SUMIF(INDEX(TabReg[], 0, COLUMN()+1),"&gt;0", INDEX(TabReg[], 0, COLUMN()))</f>
        <v>3700</v>
      </c>
      <c r="S74" s="566"/>
      <c r="T74" s="566"/>
      <c r="U74" s="566"/>
      <c r="V74" s="566"/>
      <c r="W74" s="169">
        <f>MAX(INDEX(TabReg[],0,COLUMN()))</f>
        <v>45939</v>
      </c>
      <c r="X74" s="566">
        <f>SUMIF(INDEX(TabReg[], 0, COLUMN()+1),"&lt;0", INDEX(TabReg[], 0, COLUMN()))-SUMIF(INDEX(TabReg[], 0, COLUMN()+1),"&gt;0", INDEX(TabReg[], 0, COLUMN()))</f>
        <v>500</v>
      </c>
      <c r="Y74" s="566"/>
      <c r="Z74" s="169">
        <f>MAX(INDEX(TabReg[],0,COLUMN()))</f>
        <v>45940</v>
      </c>
      <c r="AA74" s="566">
        <f>SUMIF(INDEX(TabReg[], 0, COLUMN()+1),"&lt;0", INDEX(TabReg[], 0, COLUMN()))-SUMIF(INDEX(TabReg[], 0, COLUMN()+1),"&gt;0", INDEX(TabReg[], 0, COLUMN()))</f>
        <v>20000</v>
      </c>
      <c r="AB74" s="566"/>
      <c r="AC74" s="169">
        <f>MAX(INDEX(TabReg[],0,COLUMN()))</f>
        <v>40544</v>
      </c>
      <c r="AD74" s="566">
        <f>SUMIF(INDEX(TabReg[], 0, COLUMN()+1),"&lt;0", INDEX(TabReg[], 0, COLUMN()))-SUMIF(INDEX(TabReg[], 0, COLUMN()+1),"&gt;0", INDEX(TabReg[], 0, COLUMN()))</f>
        <v>12500</v>
      </c>
      <c r="AE74" s="566"/>
      <c r="AF74" s="169">
        <f>MAX(INDEX(TabReg[],0,COLUMN()))</f>
        <v>45910</v>
      </c>
      <c r="AG74" s="566">
        <f>SUMIF(INDEX(TabReg[], 0, COLUMN()+1),"&lt;0", INDEX(TabReg[], 0, COLUMN()))-SUMIF(INDEX(TabReg[], 0, COLUMN()+1),"&gt;0", INDEX(TabReg[], 0, COLUMN()))</f>
        <v>5</v>
      </c>
      <c r="AH74" s="566"/>
      <c r="AI74" s="169">
        <f>MAX(INDEX(TabReg[],0,COLUMN()))</f>
        <v>45945</v>
      </c>
      <c r="AJ74" s="566">
        <f>SUMIF(INDEX(TabReg[], 0, COLUMN()+1),"&lt;0", INDEX(TabReg[], 0, COLUMN()))-SUMIF(INDEX(TabReg[], 0, COLUMN()+1),"&gt;0", INDEX(TabReg[], 0, COLUMN()))</f>
        <v>1000</v>
      </c>
      <c r="AK74" s="566"/>
      <c r="AL74" s="169">
        <f>MAX(INDEX(TabReg[],0,COLUMN()))</f>
        <v>45925</v>
      </c>
      <c r="AM74" s="566">
        <f>SUMIF(INDEX(TabReg[], 0, COLUMN()+1),"&lt;0", INDEX(TabReg[], 0, COLUMN()))-SUMIF(INDEX(TabReg[], 0, COLUMN()+1),"&gt;0", INDEX(TabReg[], 0, COLUMN()))</f>
        <v>1</v>
      </c>
      <c r="AN74" s="566"/>
      <c r="AO74" s="169">
        <f>MAX(INDEX(TabReg[],0,COLUMN()))</f>
        <v>45937</v>
      </c>
      <c r="AP74" s="566">
        <f>SUMIF(INDEX(TabReg[], 0, COLUMN()+1),"&lt;0", INDEX(TabReg[], 0, COLUMN()))-SUMIF(INDEX(TabReg[], 0, COLUMN()+1),"&gt;0", INDEX(TabReg[], 0, COLUMN()))</f>
        <v>85000</v>
      </c>
      <c r="AQ74" s="566"/>
      <c r="AR74" s="169">
        <f>MAX(INDEX(TabReg[],0,COLUMN()))</f>
        <v>45910</v>
      </c>
      <c r="AS74" s="566">
        <f>SUMIF(INDEX(TabReg[], 0, COLUMN()+1),"&lt;0", INDEX(TabReg[], 0, COLUMN()))-SUMIF(INDEX(TabReg[], 0, COLUMN()+1),"&gt;0", INDEX(TabReg[], 0, COLUMN()))</f>
        <v>1000</v>
      </c>
      <c r="AT74" s="566"/>
      <c r="AU74" s="169">
        <f>MAX(INDEX(TabReg[],0,COLUMN()))</f>
        <v>45938</v>
      </c>
      <c r="AV74" s="566">
        <f>SUMIF(INDEX(TabReg[], 0, COLUMN()+1),"&lt;0", INDEX(TabReg[], 0, COLUMN()))-SUMIF(INDEX(TabReg[], 0, COLUMN()+1),"&gt;0", INDEX(TabReg[], 0, COLUMN()))</f>
        <v>4000</v>
      </c>
      <c r="AW74" s="566"/>
      <c r="AX74" s="169">
        <f>MAX(INDEX(TabReg[],0,COLUMN()))</f>
        <v>45939</v>
      </c>
      <c r="AY74" s="566">
        <f>SUMIF(INDEX(TabReg[], 0, COLUMN()+1),"&lt;0", INDEX(TabReg[], 0, COLUMN()))-SUMIF(INDEX(TabReg[], 0, COLUMN()+1),"&gt;0", INDEX(TabReg[], 0, COLUMN()))</f>
        <v>1400</v>
      </c>
      <c r="AZ74" s="566"/>
      <c r="BA74" s="169">
        <f>MAX(INDEX(TabReg[],0,COLUMN()))</f>
        <v>45859</v>
      </c>
      <c r="BB74" s="566">
        <f>SUMIF(INDEX(TabReg[], 0, COLUMN()+1),"&lt;0", INDEX(TabReg[], 0, COLUMN()))-SUMIF(INDEX(TabReg[], 0, COLUMN()+1),"&gt;0", INDEX(TabReg[], 0, COLUMN()))</f>
        <v>6000</v>
      </c>
      <c r="BC74" s="566"/>
      <c r="BD74" s="169">
        <f>MAX(INDEX(TabReg[],0,COLUMN()))</f>
        <v>45936</v>
      </c>
      <c r="BE74" s="566">
        <f>SUMIF(INDEX(TabReg[], 0, COLUMN()+1),"&lt;0", INDEX(TabReg[], 0, COLUMN()))-SUMIF(INDEX(TabReg[], 0, COLUMN()+1),"&gt;0", INDEX(TabReg[], 0, COLUMN()))</f>
        <v>550</v>
      </c>
      <c r="BF74" s="566"/>
      <c r="BG74" s="169">
        <f>MAX(INDEX(TabReg[],0,COLUMN()))</f>
        <v>45686</v>
      </c>
      <c r="BH74" s="566">
        <f>SUMIF(INDEX(TabReg[], 0, COLUMN()+1),"&lt;0", INDEX(TabReg[], 0, COLUMN()))-SUMIF(INDEX(TabReg[], 0, COLUMN()+1),"&gt;0", INDEX(TabReg[], 0, COLUMN()))</f>
        <v>30000</v>
      </c>
      <c r="BI74" s="566"/>
      <c r="BJ74" s="169">
        <f>MAX(INDEX(TabReg[],0,COLUMN()))</f>
        <v>45603</v>
      </c>
      <c r="BK74" s="566">
        <f>SUMIF(INDEX(TabReg[], 0, COLUMN()+1),"&lt;0", INDEX(TabReg[], 0, COLUMN()))-SUMIF(INDEX(TabReg[], 0, COLUMN()+1),"&gt;0", INDEX(TabReg[], 0, COLUMN()))</f>
        <v>10</v>
      </c>
      <c r="BL74" s="566"/>
      <c r="BM74" s="169">
        <f>MAX(INDEX(TabReg[],0,COLUMN()))</f>
        <v>45950</v>
      </c>
      <c r="BN74" s="566">
        <f>SUMIF(INDEX(TabReg[], 0, COLUMN()+1),"&lt;0", INDEX(TabReg[], 0, COLUMN()))-SUMIF(INDEX(TabReg[], 0, COLUMN()+1),"&gt;0", INDEX(TabReg[], 0, COLUMN()))</f>
        <v>11000</v>
      </c>
      <c r="BO74" s="566"/>
      <c r="BP74" s="169">
        <f>MAX(INDEX(TabReg[],0,COLUMN()))</f>
        <v>45946</v>
      </c>
      <c r="BQ74" s="566">
        <f>SUMIF(INDEX(TabReg[], 0, COLUMN()+1),"&lt;0", INDEX(TabReg[], 0, COLUMN()))-SUMIF(INDEX(TabReg[], 0, COLUMN()+1),"&gt;0", INDEX(TabReg[], 0, COLUMN()))</f>
        <v>5000</v>
      </c>
      <c r="BR74" s="566"/>
      <c r="BS74" s="169">
        <f>MAX(INDEX(TabReg[],0,COLUMN()))</f>
        <v>45954</v>
      </c>
      <c r="BT74" s="566">
        <f>SUMIF(INDEX(TabReg[], 0, COLUMN()+1),"&lt;0", INDEX(TabReg[], 0, COLUMN()))-SUMIF(INDEX(TabReg[], 0, COLUMN()+1),"&gt;0", INDEX(TabReg[], 0, COLUMN()))</f>
        <v>200000</v>
      </c>
      <c r="BU74" s="566"/>
      <c r="BV74" s="169">
        <f>MAX(INDEX(TabReg[],0,COLUMN()))</f>
        <v>45954</v>
      </c>
      <c r="BW74" s="566">
        <f>SUMIF(INDEX(TabReg[], 0, COLUMN()+1),"&lt;0", INDEX(TabReg[], 0, COLUMN()))-SUMIF(INDEX(TabReg[], 0, COLUMN()+1),"&gt;0", INDEX(TabReg[], 0, COLUMN()))</f>
        <v>5000</v>
      </c>
      <c r="BX74" s="566"/>
      <c r="BY74" s="169">
        <f>MAX(INDEX(TabReg[],0,COLUMN()))</f>
        <v>45667</v>
      </c>
      <c r="BZ74" s="566">
        <f>SUMIF(INDEX(TabReg[], 0, COLUMN()+1),"&lt;0", INDEX(TabReg[], 0, COLUMN()))-SUMIF(INDEX(TabReg[], 0, COLUMN()+1),"&gt;0", INDEX(TabReg[], 0, COLUMN()))</f>
        <v>0</v>
      </c>
      <c r="CA74" s="566"/>
      <c r="CB74" s="169">
        <f>MAX(INDEX(TabReg[],0,COLUMN()))</f>
        <v>45939</v>
      </c>
      <c r="CC74" s="566">
        <f>SUMIF(INDEX(TabReg[], 0, COLUMN()+1),"&lt;0", INDEX(TabReg[], 0, COLUMN()))-SUMIF(INDEX(TabReg[], 0, COLUMN()+1),"&gt;0", INDEX(TabReg[], 0, COLUMN()))</f>
        <v>10</v>
      </c>
      <c r="CD74" s="566"/>
      <c r="CE74" s="169">
        <f>MAX(INDEX(TabReg[],0,COLUMN()))</f>
        <v>45686</v>
      </c>
      <c r="CF74" s="566">
        <f>SUMIF(INDEX(TabReg[], 0, COLUMN()+1),"&lt;0", INDEX(TabReg[], 0, COLUMN()))-SUMIF(INDEX(TabReg[], 0, COLUMN()+1),"&gt;0", INDEX(TabReg[], 0, COLUMN()))</f>
        <v>12000</v>
      </c>
      <c r="CG74" s="566"/>
      <c r="CH74" s="169">
        <f>MAX(INDEX(TabReg[],0,COLUMN()))</f>
        <v>45943</v>
      </c>
      <c r="CI74" s="566">
        <f>SUMIF(INDEX(TabReg[], 0, COLUMN()+1),"&lt;0", INDEX(TabReg[], 0, COLUMN()))-SUMIF(INDEX(TabReg[], 0, COLUMN()+1),"&gt;0", INDEX(TabReg[], 0, COLUMN()))</f>
        <v>9800</v>
      </c>
      <c r="CJ74" s="566"/>
      <c r="CK74" s="169">
        <f>MAX(INDEX(TabReg[],0,COLUMN()))</f>
        <v>45944</v>
      </c>
      <c r="CL74" s="566">
        <f>SUMIF(INDEX(TabReg[], 0, COLUMN()+1),"&lt;0", INDEX(TabReg[], 0, COLUMN()))-SUMIF(INDEX(TabReg[], 0, COLUMN()+1),"&gt;0", INDEX(TabReg[], 0, COLUMN()))</f>
        <v>400</v>
      </c>
      <c r="CM74" s="566"/>
      <c r="CN74" s="169">
        <f>MAX(INDEX(TabReg[],0,COLUMN()))</f>
        <v>45954</v>
      </c>
      <c r="CO74" s="566">
        <f>SUMIF(INDEX(TabReg[], 0, COLUMN()+1),"&lt;0", INDEX(TabReg[], 0, COLUMN()))-SUMIF(INDEX(TabReg[], 0, COLUMN()+1),"&gt;0", INDEX(TabReg[], 0, COLUMN()))</f>
        <v>17000</v>
      </c>
      <c r="CP74" s="566"/>
      <c r="CQ74" s="169">
        <f>MAX(INDEX(TabReg[],0,COLUMN()))</f>
        <v>45954</v>
      </c>
      <c r="CR74" s="566">
        <f>SUMIF(INDEX(TabReg[], 0, COLUMN()+1),"&lt;0", INDEX(TabReg[], 0, COLUMN()))-SUMIF(INDEX(TabReg[], 0, COLUMN()+1),"&gt;0", INDEX(TabReg[], 0, COLUMN()))</f>
        <v>3000</v>
      </c>
      <c r="CS74" s="566"/>
      <c r="CT74" s="169">
        <f>MAX(INDEX(TabReg[],0,COLUMN()))</f>
        <v>45903</v>
      </c>
      <c r="CU74" s="566">
        <f>SUMIF(INDEX(TabReg[], 0, COLUMN()+1),"&lt;0", INDEX(TabReg[], 0, COLUMN()))-SUMIF(INDEX(TabReg[], 0, COLUMN()+1),"&gt;0", INDEX(TabReg[], 0, COLUMN()))</f>
        <v>26667</v>
      </c>
      <c r="CV74" s="566"/>
      <c r="CW74" s="169">
        <f>MAX(INDEX(TabReg[],0,COLUMN()))</f>
        <v>45951</v>
      </c>
      <c r="CX74" s="566">
        <f>SUMIF(INDEX(TabReg[], 0, COLUMN()+1),"&lt;0", INDEX(TabReg[], 0, COLUMN()))-SUMIF(INDEX(TabReg[], 0, COLUMN()+1),"&gt;0", INDEX(TabReg[], 0, COLUMN()))</f>
        <v>4000</v>
      </c>
      <c r="CY74" s="566"/>
      <c r="CZ74" s="169">
        <f>MAX(INDEX(TabReg[],0,COLUMN()))</f>
        <v>45945</v>
      </c>
      <c r="DA74" s="566">
        <f>SUMIF(INDEX(TabReg[], 0, COLUMN()+1),"&lt;0", INDEX(TabReg[], 0, COLUMN()))-SUMIF(INDEX(TabReg[], 0, COLUMN()+1),"&gt;0", INDEX(TabReg[], 0, COLUMN()))</f>
        <v>4000</v>
      </c>
      <c r="DB74" s="566"/>
      <c r="DC74" s="169">
        <f>MAX(INDEX(TabReg[],0,COLUMN()))</f>
        <v>45938</v>
      </c>
      <c r="DD74" s="566">
        <f>SUMIF(INDEX(TabReg[], 0, COLUMN()+1),"&lt;0", INDEX(TabReg[], 0, COLUMN()))-SUMIF(INDEX(TabReg[], 0, COLUMN()+1),"&gt;0", INDEX(TabReg[], 0, COLUMN()))</f>
        <v>45000</v>
      </c>
      <c r="DE74" s="566"/>
      <c r="DF74" s="169">
        <f>MAX(INDEX(TabReg[],0,COLUMN()))</f>
        <v>45679</v>
      </c>
      <c r="DG74" s="566">
        <f>SUMIF(INDEX(TabReg[], 0, COLUMN()+1),"&lt;0", INDEX(TabReg[], 0, COLUMN()))-SUMIF(INDEX(TabReg[], 0, COLUMN()+1),"&gt;0", INDEX(TabReg[], 0, COLUMN()))</f>
        <v>10000</v>
      </c>
      <c r="DH74" s="566"/>
      <c r="DI74" s="169">
        <f>MAX(INDEX(TabReg[],0,COLUMN()))</f>
        <v>45951</v>
      </c>
      <c r="DJ74" s="566">
        <f>SUMIF(INDEX(TabReg[], 0, COLUMN()+1),"&lt;0", INDEX(TabReg[], 0, COLUMN()))-SUMIF(INDEX(TabReg[], 0, COLUMN()+1),"&gt;0", INDEX(TabReg[], 0, COLUMN()))</f>
        <v>2000</v>
      </c>
      <c r="DK74" s="566"/>
      <c r="DL74" s="169">
        <f>MAX(INDEX(TabReg[],0,COLUMN()))</f>
        <v>45811</v>
      </c>
      <c r="DM74" s="566">
        <f>SUMIF(INDEX(TabReg[], 0, COLUMN()+1),"&lt;0", INDEX(TabReg[], 0, COLUMN()))-SUMIF(INDEX(TabReg[], 0, COLUMN()+1),"&gt;0", INDEX(TabReg[], 0, COLUMN()))</f>
        <v>50</v>
      </c>
      <c r="DN74" s="566"/>
      <c r="DO74" s="169">
        <f>MAX(INDEX(TabReg[],0,COLUMN()))</f>
        <v>45940</v>
      </c>
      <c r="DP74" s="566">
        <f>SUMIF(INDEX(TabReg[], 0, COLUMN()+1),"&lt;0", INDEX(TabReg[], 0, COLUMN()))-SUMIF(INDEX(TabReg[], 0, COLUMN()+1),"&gt;0", INDEX(TabReg[], 0, COLUMN()))</f>
        <v>3800</v>
      </c>
      <c r="DQ74" s="566"/>
      <c r="DR74" s="169">
        <f>MAX(INDEX(TabReg[],0,COLUMN()))</f>
        <v>45945</v>
      </c>
      <c r="DS74" s="566">
        <f>SUMIF(INDEX(TabReg[], 0, COLUMN()+1),"&lt;0", INDEX(TabReg[], 0, COLUMN()))-SUMIF(INDEX(TabReg[], 0, COLUMN()+1),"&gt;0", INDEX(TabReg[], 0, COLUMN()))</f>
        <v>22368</v>
      </c>
      <c r="DT74" s="566"/>
      <c r="DU74" s="169">
        <f>MAX(INDEX(TabReg[],0,COLUMN()))</f>
        <v>45694</v>
      </c>
      <c r="DV74" s="566">
        <f>SUMIF(INDEX(TabReg[], 0, COLUMN()+1),"&lt;0", INDEX(TabReg[], 0, COLUMN()))-SUMIF(INDEX(TabReg[], 0, COLUMN()+1),"&gt;0", INDEX(TabReg[], 0, COLUMN()))</f>
        <v>16000</v>
      </c>
      <c r="DW74" s="566"/>
      <c r="DX74" s="169">
        <f>MAX(INDEX(TabReg[],0,COLUMN()))</f>
        <v>45944</v>
      </c>
      <c r="DY74" s="566">
        <f>SUMIF(INDEX(TabReg[], 0, COLUMN()+1),"&lt;0", INDEX(TabReg[], 0, COLUMN()))-SUMIF(INDEX(TabReg[], 0, COLUMN()+1),"&gt;0", INDEX(TabReg[], 0, COLUMN()))</f>
        <v>1</v>
      </c>
      <c r="DZ74" s="566"/>
      <c r="EA74" s="169">
        <f>MAX(INDEX(TabReg[],0,COLUMN()))</f>
        <v>45952</v>
      </c>
      <c r="EB74" s="566">
        <f>SUMIF(INDEX(TabReg[], 0, COLUMN()+1),"&lt;0", INDEX(TabReg[], 0, COLUMN()))-SUMIF(INDEX(TabReg[], 0, COLUMN()+1),"&gt;0", INDEX(TabReg[], 0, COLUMN()))</f>
        <v>4800</v>
      </c>
      <c r="EC74" s="566"/>
      <c r="ED74" s="169">
        <f>MAX(INDEX(TabReg[],0,COLUMN()))</f>
        <v>45856</v>
      </c>
      <c r="EE74" s="566">
        <f>SUMIF(INDEX(TabReg[], 0, COLUMN()+1),"&lt;0", INDEX(TabReg[], 0, COLUMN()))-SUMIF(INDEX(TabReg[], 0, COLUMN()+1),"&gt;0", INDEX(TabReg[], 0, COLUMN()))</f>
        <v>3000</v>
      </c>
      <c r="EF74" s="566"/>
      <c r="EG74" s="169">
        <f>MAX(INDEX(TabReg[],0,COLUMN()))</f>
        <v>45874</v>
      </c>
      <c r="EH74" s="566">
        <f>SUMIF(INDEX(TabReg[], 0, COLUMN()+1),"&lt;0", INDEX(TabReg[], 0, COLUMN()))-SUMIF(INDEX(TabReg[], 0, COLUMN()+1),"&gt;0", INDEX(TabReg[], 0, COLUMN()))</f>
        <v>7235</v>
      </c>
      <c r="EI74" s="566"/>
      <c r="EJ74" s="169">
        <f>MAX(INDEX(TabReg[],0,COLUMN()))</f>
        <v>45811</v>
      </c>
      <c r="EK74" s="566">
        <f>SUMIF(INDEX(TabReg[], 0, COLUMN()+1),"&lt;0", INDEX(TabReg[], 0, COLUMN()))-SUMIF(INDEX(TabReg[], 0, COLUMN()+1),"&gt;0", INDEX(TabReg[], 0, COLUMN()))</f>
        <v>350</v>
      </c>
      <c r="EL74" s="566"/>
      <c r="EM74" s="169">
        <f>MAX(INDEX(TabReg[],0,COLUMN()))</f>
        <v>45701</v>
      </c>
      <c r="EN74" s="566">
        <f>SUMIF(INDEX(TabReg[], 0, COLUMN()+1),"&lt;0", INDEX(TabReg[], 0, COLUMN()))-SUMIF(INDEX(TabReg[], 0, COLUMN()+1),"&gt;0", INDEX(TabReg[], 0, COLUMN()))</f>
        <v>1500</v>
      </c>
      <c r="EO74" s="566"/>
      <c r="EP74" s="169">
        <f>MAX(INDEX(TabReg[],0,COLUMN()))</f>
        <v>45947</v>
      </c>
      <c r="EQ74" s="566">
        <f>SUMIF(INDEX(TabReg[], 0, COLUMN()+1),"&lt;0", INDEX(TabReg[], 0, COLUMN()))-SUMIF(INDEX(TabReg[], 0, COLUMN()+1),"&gt;0", INDEX(TabReg[], 0, COLUMN()))</f>
        <v>16000</v>
      </c>
      <c r="ER74" s="566"/>
      <c r="ES74" s="169">
        <f>MAX(INDEX(TabReg[],0,COLUMN()))</f>
        <v>45946</v>
      </c>
      <c r="ET74" s="566">
        <f>SUMIF(INDEX(TabReg[], 0, COLUMN()+1),"&lt;0", INDEX(TabReg[], 0, COLUMN()))-SUMIF(INDEX(TabReg[], 0, COLUMN()+1),"&gt;0", INDEX(TabReg[], 0, COLUMN()))</f>
        <v>5000</v>
      </c>
      <c r="EU74" s="566"/>
      <c r="EV74" s="169">
        <f>MAX(INDEX(TabReg[],0,COLUMN()))</f>
        <v>45796</v>
      </c>
      <c r="EW74" s="566">
        <f>SUMIF(INDEX(TabReg[], 0, COLUMN()+1),"&lt;0", INDEX(TabReg[], 0, COLUMN()))-SUMIF(INDEX(TabReg[], 0, COLUMN()+1),"&gt;0", INDEX(TabReg[], 0, COLUMN()))</f>
        <v>3000</v>
      </c>
      <c r="EX74" s="566"/>
      <c r="EY74" s="169">
        <f>MAX(INDEX(TabReg[],0,COLUMN()))</f>
        <v>45926</v>
      </c>
      <c r="EZ74" s="566">
        <f>SUMIF(INDEX(TabReg[], 0, COLUMN()+1),"&lt;0", INDEX(TabReg[], 0, COLUMN()))-SUMIF(INDEX(TabReg[], 0, COLUMN()+1),"&gt;0", INDEX(TabReg[], 0, COLUMN()))</f>
        <v>500</v>
      </c>
      <c r="FA74" s="566"/>
      <c r="FB74" s="169">
        <f>MAX(INDEX(TabReg[],0,COLUMN()))</f>
        <v>45939</v>
      </c>
      <c r="FC74" s="566">
        <f>SUMIF(INDEX(TabReg[], 0, COLUMN()+1),"&lt;0", INDEX(TabReg[], 0, COLUMN()))-SUMIF(INDEX(TabReg[], 0, COLUMN()+1),"&gt;0", INDEX(TabReg[], 0, COLUMN()))</f>
        <v>10000</v>
      </c>
      <c r="FD74" s="566"/>
      <c r="FE74" s="169">
        <f>MAX(INDEX(TabReg[],0,COLUMN()))</f>
        <v>45862</v>
      </c>
      <c r="FF74" s="566">
        <f>SUMIF(INDEX(TabReg[], 0, COLUMN()+1),"&lt;0", INDEX(TabReg[], 0, COLUMN()))-SUMIF(INDEX(TabReg[], 0, COLUMN()+1),"&gt;0", INDEX(TabReg[], 0, COLUMN()))</f>
        <v>505000</v>
      </c>
      <c r="FG74" s="566"/>
      <c r="FH74" s="169">
        <f>MAX(INDEX(TabReg[],0,COLUMN()))</f>
        <v>45602</v>
      </c>
      <c r="FI74" s="566">
        <f>SUMIF(INDEX(TabReg[], 0, COLUMN()+1),"&lt;0", INDEX(TabReg[], 0, COLUMN()))-SUMIF(INDEX(TabReg[], 0, COLUMN()+1),"&gt;0", INDEX(TabReg[], 0, COLUMN()))</f>
        <v>10000</v>
      </c>
      <c r="FJ74" s="566"/>
      <c r="FK74" s="169">
        <f>MAX(INDEX(TabReg[],0,COLUMN()))</f>
        <v>45834</v>
      </c>
      <c r="FL74" s="566">
        <f>SUMIF(INDEX(TabReg[], 0, COLUMN()+1),"&lt;0", INDEX(TabReg[], 0, COLUMN()))-SUMIF(INDEX(TabReg[], 0, COLUMN()+1),"&gt;0", INDEX(TabReg[], 0, COLUMN()))</f>
        <v>12000</v>
      </c>
      <c r="FM74" s="566"/>
      <c r="FN74" s="169">
        <f>MAX(INDEX(TabReg[],0,COLUMN()))</f>
        <v>45714</v>
      </c>
      <c r="FO74" s="566">
        <f>SUMIF(INDEX(TabReg[], 0, COLUMN()+1),"&lt;0", INDEX(TabReg[], 0, COLUMN()))-SUMIF(INDEX(TabReg[], 0, COLUMN()+1),"&gt;0", INDEX(TabReg[], 0, COLUMN()))</f>
        <v>10</v>
      </c>
      <c r="FP74" s="566"/>
      <c r="FQ74" s="169">
        <f>MAX(INDEX(TabReg[],0,COLUMN()))</f>
        <v>45936</v>
      </c>
      <c r="FR74" s="566">
        <f>SUMIF(INDEX(TabReg[], 0, COLUMN()+1),"&lt;0", INDEX(TabReg[], 0, COLUMN()))-SUMIF(INDEX(TabReg[], 0, COLUMN()+1),"&gt;0", INDEX(TabReg[], 0, COLUMN()))</f>
        <v>36000</v>
      </c>
      <c r="FS74" s="566"/>
      <c r="FT74" s="169">
        <f>MAX(INDEX(TabReg[],0,COLUMN()))</f>
        <v>45680</v>
      </c>
      <c r="FU74" s="566">
        <f>SUMIF(INDEX(TabReg[], 0, COLUMN()+1),"&lt;0", INDEX(TabReg[], 0, COLUMN()))-SUMIF(INDEX(TabReg[], 0, COLUMN()+1),"&gt;0", INDEX(TabReg[], 0, COLUMN()))</f>
        <v>12000</v>
      </c>
      <c r="FV74" s="566"/>
      <c r="FW74" s="169">
        <f>MAX(INDEX(TabReg[],0,COLUMN()))</f>
        <v>45947</v>
      </c>
      <c r="FX74" s="566">
        <f>SUMIF(INDEX(TabReg[], 0, COLUMN()+1),"&lt;0", INDEX(TabReg[], 0, COLUMN()))-SUMIF(INDEX(TabReg[], 0, COLUMN()+1),"&gt;0", INDEX(TabReg[], 0, COLUMN()))</f>
        <v>7000</v>
      </c>
      <c r="FY74" s="566"/>
      <c r="FZ74" s="169">
        <f>MAX(INDEX(TabReg[],0,COLUMN()))</f>
        <v>45919</v>
      </c>
      <c r="GA74" s="566">
        <f>SUMIF(INDEX(TabReg[], 0, COLUMN()+1),"&lt;0", INDEX(TabReg[], 0, COLUMN()))-SUMIF(INDEX(TabReg[], 0, COLUMN()+1),"&gt;0", INDEX(TabReg[], 0, COLUMN()))</f>
        <v>19800</v>
      </c>
      <c r="GB74" s="566"/>
      <c r="GC74" s="169">
        <f>MAX(INDEX(TabReg[],0,COLUMN()))</f>
        <v>45811</v>
      </c>
      <c r="GD74" s="566">
        <f>SUMIF(INDEX(TabReg[], 0, COLUMN()+1),"&lt;0", INDEX(TabReg[], 0, COLUMN()))-SUMIF(INDEX(TabReg[], 0, COLUMN()+1),"&gt;0", INDEX(TabReg[], 0, COLUMN()))</f>
        <v>1</v>
      </c>
      <c r="GE74" s="566"/>
      <c r="GF74" s="169">
        <f>MAX(INDEX(TabReg[],0,COLUMN()))</f>
        <v>45861</v>
      </c>
      <c r="GG74" s="566">
        <f>SUMIF(INDEX(TabReg[], 0, COLUMN()+1),"&lt;0", INDEX(TabReg[], 0, COLUMN()))-SUMIF(INDEX(TabReg[], 0, COLUMN()+1),"&gt;0", INDEX(TabReg[], 0, COLUMN()))</f>
        <v>401</v>
      </c>
      <c r="GH74" s="566"/>
      <c r="GI74" s="169">
        <f>MAX(INDEX(TabReg[],0,COLUMN()))</f>
        <v>45856</v>
      </c>
      <c r="GJ74" s="566">
        <f>SUMIF(INDEX(TabReg[], 0, COLUMN()+1),"&lt;0", INDEX(TabReg[], 0, COLUMN()))-SUMIF(INDEX(TabReg[], 0, COLUMN()+1),"&gt;0", INDEX(TabReg[], 0, COLUMN()))</f>
        <v>560</v>
      </c>
      <c r="GK74" s="566"/>
      <c r="GL74" s="169">
        <f>MAX(INDEX(TabReg[],0,COLUMN()))</f>
        <v>45937</v>
      </c>
      <c r="GM74" s="566">
        <f>SUMIF(INDEX(TabReg[], 0, COLUMN()+1),"&lt;0", INDEX(TabReg[], 0, COLUMN()))-SUMIF(INDEX(TabReg[], 0, COLUMN()+1),"&gt;0", INDEX(TabReg[], 0, COLUMN()))</f>
        <v>350</v>
      </c>
      <c r="GN74" s="566"/>
      <c r="GO74" s="169">
        <f>MAX(INDEX(TabReg[],0,COLUMN()))</f>
        <v>45951</v>
      </c>
      <c r="GP74" s="566">
        <f>SUMIF(INDEX(TabReg[], 0, COLUMN()+1),"&lt;0", INDEX(TabReg[], 0, COLUMN()))-SUMIF(INDEX(TabReg[], 0, COLUMN()+1),"&gt;0", INDEX(TabReg[], 0, COLUMN()))</f>
        <v>1500</v>
      </c>
      <c r="GQ74" s="566"/>
      <c r="GR74" s="169">
        <f>MAX(INDEX(TabReg[],0,COLUMN()))</f>
        <v>45905</v>
      </c>
      <c r="GS74" s="566">
        <f>SUMIF(INDEX(TabReg[], 0, COLUMN()+1),"&lt;0", INDEX(TabReg[], 0, COLUMN()))-SUMIF(INDEX(TabReg[], 0, COLUMN()+1),"&gt;0", INDEX(TabReg[], 0, COLUMN()))</f>
        <v>250</v>
      </c>
      <c r="GT74" s="566"/>
      <c r="GU74" s="169">
        <f>MAX(INDEX(TabReg[],0,COLUMN()))</f>
        <v>45936</v>
      </c>
      <c r="GV74" s="566">
        <f>SUMIF(INDEX(TabReg[], 0, COLUMN()+1),"&lt;0", INDEX(TabReg[], 0, COLUMN()))-SUMIF(INDEX(TabReg[], 0, COLUMN()+1),"&gt;0", INDEX(TabReg[], 0, COLUMN()))</f>
        <v>110000</v>
      </c>
      <c r="GW74" s="566"/>
      <c r="GX74" s="169">
        <f>MAX(INDEX(TabReg[],0,COLUMN()))</f>
        <v>45936</v>
      </c>
      <c r="GY74" s="566">
        <f>SUMIF(INDEX(TabReg[], 0, COLUMN()+1),"&lt;0", INDEX(TabReg[], 0, COLUMN()))-SUMIF(INDEX(TabReg[], 0, COLUMN()+1),"&gt;0", INDEX(TabReg[], 0, COLUMN()))</f>
        <v>1200</v>
      </c>
      <c r="GZ74" s="566"/>
      <c r="HA74" s="169">
        <f>MAX(INDEX(TabReg[],0,COLUMN()))</f>
        <v>45538</v>
      </c>
      <c r="HB74" s="566">
        <f>SUMIF(INDEX(TabReg[], 0, COLUMN()+1),"&lt;0", INDEX(TabReg[], 0, COLUMN()))-SUMIF(INDEX(TabReg[], 0, COLUMN()+1),"&gt;0", INDEX(TabReg[], 0, COLUMN()))</f>
        <v>0</v>
      </c>
      <c r="HC74" s="566"/>
      <c r="HD74" s="169">
        <f>MAX(INDEX(TabReg[],0,COLUMN()))</f>
        <v>45646</v>
      </c>
      <c r="HE74" s="566">
        <f>SUMIF(INDEX(TabReg[], 0, COLUMN()+1),"&lt;0", INDEX(TabReg[], 0, COLUMN()))-SUMIF(INDEX(TabReg[], 0, COLUMN()+1),"&gt;0", INDEX(TabReg[], 0, COLUMN()))</f>
        <v>0</v>
      </c>
      <c r="HF74" s="566"/>
      <c r="HG74" s="169">
        <f>MAX(INDEX(TabReg[],0,COLUMN()))</f>
        <v>45679</v>
      </c>
      <c r="HH74" s="566">
        <f>SUMIF(INDEX(TabReg[], 0, COLUMN()+1),"&lt;0", INDEX(TabReg[], 0, COLUMN()))-SUMIF(INDEX(TabReg[], 0, COLUMN()+1),"&gt;0", INDEX(TabReg[], 0, COLUMN()))</f>
        <v>5000</v>
      </c>
      <c r="HI74" s="566"/>
      <c r="HJ74" s="169">
        <f>MAX(INDEX(TabReg[],0,COLUMN()))</f>
        <v>45946</v>
      </c>
      <c r="HK74" s="566">
        <f>SUMIF(INDEX(TabReg[], 0, COLUMN()+1),"&lt;0", INDEX(TabReg[], 0, COLUMN()))-SUMIF(INDEX(TabReg[], 0, COLUMN()+1),"&gt;0", INDEX(TabReg[], 0, COLUMN()))</f>
        <v>120000</v>
      </c>
      <c r="HL74" s="566"/>
      <c r="HM74" s="169">
        <f>MAX(INDEX(TabReg[],0,COLUMN()))</f>
        <v>45919</v>
      </c>
      <c r="HN74" s="566">
        <f>SUMIF(INDEX(TabReg[], 0, COLUMN()+1),"&lt;0", INDEX(TabReg[], 0, COLUMN()))-SUMIF(INDEX(TabReg[], 0, COLUMN()+1),"&gt;0", INDEX(TabReg[], 0, COLUMN()))</f>
        <v>22000</v>
      </c>
      <c r="HO74" s="566"/>
      <c r="HP74" s="169">
        <f>MAX(INDEX(TabReg[],0,COLUMN()))</f>
        <v>45952</v>
      </c>
      <c r="HQ74" s="566">
        <f>SUMIF(INDEX(TabReg[], 0, COLUMN()+1),"&lt;0", INDEX(TabReg[], 0, COLUMN()))-SUMIF(INDEX(TabReg[], 0, COLUMN()+1),"&gt;0", INDEX(TabReg[], 0, COLUMN()))</f>
        <v>30000</v>
      </c>
      <c r="HR74" s="566"/>
      <c r="HS74" s="169">
        <f>MAX(INDEX(TabReg[],0,COLUMN()))</f>
        <v>45950</v>
      </c>
      <c r="HT74" s="566">
        <f>SUMIF(INDEX(TabReg[], 0, COLUMN()+1),"&lt;0", INDEX(TabReg[], 0, COLUMN()))-SUMIF(INDEX(TabReg[], 0, COLUMN()+1),"&gt;0", INDEX(TabReg[], 0, COLUMN()))</f>
        <v>0</v>
      </c>
      <c r="HU74" s="566"/>
      <c r="HV74" s="169">
        <f>MAX(INDEX(TabReg[],0,COLUMN()))</f>
        <v>45687</v>
      </c>
      <c r="HW74" s="566">
        <f>SUMIF(INDEX(TabReg[], 0, COLUMN()+1),"&lt;0", INDEX(TabReg[], 0, COLUMN()))-SUMIF(INDEX(TabReg[], 0, COLUMN()+1),"&gt;0", INDEX(TabReg[], 0, COLUMN()))</f>
        <v>0</v>
      </c>
      <c r="HX74" s="566"/>
      <c r="HY74" s="169">
        <f>MAX(INDEX(TabReg[],0,COLUMN()))</f>
        <v>45952</v>
      </c>
      <c r="HZ74" s="566">
        <f>SUMIF(INDEX(TabReg[], 0, COLUMN()+1),"&lt;0", INDEX(TabReg[], 0, COLUMN()))-SUMIF(INDEX(TabReg[], 0, COLUMN()+1),"&gt;0", INDEX(TabReg[], 0, COLUMN()))</f>
        <v>900</v>
      </c>
      <c r="IA74" s="566"/>
      <c r="IB74" s="169">
        <f>MAX(INDEX(TabReg[],0,COLUMN()))</f>
        <v>45679</v>
      </c>
      <c r="IC74" s="566">
        <f>SUMIF(INDEX(TabReg[], 0, COLUMN()+1),"&lt;0", INDEX(TabReg[], 0, COLUMN()))-SUMIF(INDEX(TabReg[], 0, COLUMN()+1),"&gt;0", INDEX(TabReg[], 0, COLUMN()))</f>
        <v>0</v>
      </c>
      <c r="ID74" s="566"/>
      <c r="IE74" s="169">
        <f>MAX(INDEX(TabReg[],0,COLUMN()))</f>
        <v>45679</v>
      </c>
      <c r="IF74" s="566">
        <f>SUMIF(INDEX(TabReg[], 0, COLUMN()+1),"&lt;0", INDEX(TabReg[], 0, COLUMN()))-SUMIF(INDEX(TabReg[], 0, COLUMN()+1),"&gt;0", INDEX(TabReg[], 0, COLUMN()))</f>
        <v>15518</v>
      </c>
      <c r="IG74" s="566"/>
      <c r="IH74" s="169">
        <f>MAX(INDEX(TabReg[],0,COLUMN()))</f>
        <v>45744</v>
      </c>
      <c r="II74" s="566">
        <f>SUMIF(INDEX(TabReg[], 0, COLUMN()+1),"&lt;0", INDEX(TabReg[], 0, COLUMN()))-SUMIF(INDEX(TabReg[], 0, COLUMN()+1),"&gt;0", INDEX(TabReg[], 0, COLUMN()))</f>
        <v>1200</v>
      </c>
      <c r="IJ74" s="566"/>
      <c r="IK74" s="169">
        <f>MAX(INDEX(TabReg[],0,COLUMN()))</f>
        <v>45924</v>
      </c>
      <c r="IL74" s="566">
        <f>SUMIF(INDEX(TabReg[], 0, COLUMN()+1),"&lt;0", INDEX(TabReg[], 0, COLUMN()))-SUMIF(INDEX(TabReg[], 0, COLUMN()+1),"&gt;0", INDEX(TabReg[], 0, COLUMN()))</f>
        <v>200</v>
      </c>
      <c r="IM74" s="566"/>
      <c r="IN74" s="169">
        <f>MAX(INDEX(TabReg[],0,COLUMN()))</f>
        <v>45663</v>
      </c>
      <c r="IO74" s="566">
        <f>SUMIF(INDEX(TabReg[], 0, COLUMN()+1),"&lt;0", INDEX(TabReg[], 0, COLUMN()))-SUMIF(INDEX(TabReg[], 0, COLUMN()+1),"&gt;0", INDEX(TabReg[], 0, COLUMN()))</f>
        <v>6500</v>
      </c>
      <c r="IP74" s="566"/>
      <c r="IQ74" s="169">
        <f>MAX(INDEX(TabReg[],0,COLUMN()))</f>
        <v>45686</v>
      </c>
      <c r="IR74" s="566">
        <f>SUMIF(INDEX(TabReg[], 0, COLUMN()+1),"&lt;0", INDEX(TabReg[], 0, COLUMN()))-SUMIF(INDEX(TabReg[], 0, COLUMN()+1),"&gt;0", INDEX(TabReg[], 0, COLUMN()))</f>
        <v>0</v>
      </c>
      <c r="IS74" s="566"/>
      <c r="IT74" s="169">
        <f>MAX(INDEX(TabReg[],0,COLUMN()))</f>
        <v>45919</v>
      </c>
      <c r="IU74" s="566">
        <f>SUMIF(INDEX(TabReg[], 0, COLUMN()+1),"&lt;0", INDEX(TabReg[], 0, COLUMN()))-SUMIF(INDEX(TabReg[], 0, COLUMN()+1),"&gt;0", INDEX(TabReg[], 0, COLUMN()))</f>
        <v>1200</v>
      </c>
      <c r="IV74" s="566"/>
      <c r="IW74" s="169">
        <f>MAX(INDEX(TabReg[],0,COLUMN()))</f>
        <v>45733</v>
      </c>
      <c r="IX74" s="566">
        <f>SUMIF(INDEX(TabReg[], 0, COLUMN()+1),"&lt;0", INDEX(TabReg[], 0, COLUMN()))-SUMIF(INDEX(TabReg[], 0, COLUMN()+1),"&gt;0", INDEX(TabReg[], 0, COLUMN()))</f>
        <v>4000</v>
      </c>
      <c r="IY74" s="566"/>
      <c r="IZ74" s="169">
        <f>MAX(INDEX(TabReg[],0,COLUMN()))</f>
        <v>45617</v>
      </c>
      <c r="JA74" s="566">
        <f>SUMIF(INDEX(TabReg[], 0, COLUMN()+1),"&lt;0", INDEX(TabReg[], 0, COLUMN()))-SUMIF(INDEX(TabReg[], 0, COLUMN()+1),"&gt;0", INDEX(TabReg[], 0, COLUMN()))</f>
        <v>1600</v>
      </c>
      <c r="JB74" s="566"/>
      <c r="JC74" s="169">
        <f>MAX(INDEX(TabReg[],0,COLUMN()))</f>
        <v>45922</v>
      </c>
      <c r="JD74" s="566">
        <f>SUMIF(INDEX(TabReg[], 0, COLUMN()+1),"&lt;0", INDEX(TabReg[], 0, COLUMN()))-SUMIF(INDEX(TabReg[], 0, COLUMN()+1),"&gt;0", INDEX(TabReg[], 0, COLUMN()))</f>
        <v>48000</v>
      </c>
      <c r="JE74" s="566"/>
      <c r="JF74" s="169">
        <f>MAX(INDEX(TabReg[],0,COLUMN()))</f>
        <v>45660</v>
      </c>
      <c r="JG74" s="566">
        <f>SUMIF(INDEX(TabReg[], 0, COLUMN()+1),"&lt;0", INDEX(TabReg[], 0, COLUMN()))-SUMIF(INDEX(TabReg[], 0, COLUMN()+1),"&gt;0", INDEX(TabReg[], 0, COLUMN()))</f>
        <v>0</v>
      </c>
      <c r="JH74" s="566"/>
      <c r="JI74" s="169">
        <f>MAX(INDEX(TabReg[],0,COLUMN()))</f>
        <v>45919</v>
      </c>
      <c r="JJ74" s="566">
        <f>SUMIF(INDEX(TabReg[], 0, COLUMN()+1),"&lt;0", INDEX(TabReg[], 0, COLUMN()))-SUMIF(INDEX(TabReg[], 0, COLUMN()+1),"&gt;0", INDEX(TabReg[], 0, COLUMN()))</f>
        <v>600</v>
      </c>
      <c r="JK74" s="566"/>
      <c r="JL74" s="169">
        <f>MAX(INDEX(TabReg[],0,COLUMN()))</f>
        <v>45938</v>
      </c>
      <c r="JM74" s="566">
        <f>SUMIF(INDEX(TabReg[], 0, COLUMN()+1),"&lt;0", INDEX(TabReg[], 0, COLUMN()))-SUMIF(INDEX(TabReg[], 0, COLUMN()+1),"&gt;0", INDEX(TabReg[], 0, COLUMN()))</f>
        <v>1500</v>
      </c>
      <c r="JN74" s="566"/>
      <c r="JO74" s="169">
        <f>MAX(INDEX(TabReg[],0,COLUMN()))</f>
        <v>45674</v>
      </c>
      <c r="JP74" s="566">
        <f>SUMIF(INDEX(TabReg[], 0, COLUMN()+1),"&lt;0", INDEX(TabReg[], 0, COLUMN()))-SUMIF(INDEX(TabReg[], 0, COLUMN()+1),"&gt;0", INDEX(TabReg[], 0, COLUMN()))</f>
        <v>10</v>
      </c>
      <c r="JQ74" s="566"/>
      <c r="JR74" s="169">
        <f>MAX(INDEX(TabReg[],0,COLUMN()))</f>
        <v>44706</v>
      </c>
      <c r="JS74" s="566">
        <f>SUMIF(INDEX(TabReg[], 0, COLUMN()+1),"&lt;0", INDEX(TabReg[], 0, COLUMN()))-SUMIF(INDEX(TabReg[], 0, COLUMN()+1),"&gt;0", INDEX(TabReg[], 0, COLUMN()))</f>
        <v>77100</v>
      </c>
      <c r="JT74" s="566"/>
      <c r="JU74" s="169">
        <f>MAX(INDEX(TabReg[],0,COLUMN()))</f>
        <v>45929</v>
      </c>
      <c r="JV74" s="566">
        <f>SUMIF(INDEX(TabReg[], 0, COLUMN()+1),"&lt;0", INDEX(TabReg[], 0, COLUMN()))-SUMIF(INDEX(TabReg[], 0, COLUMN()+1),"&gt;0", INDEX(TabReg[], 0, COLUMN()))</f>
        <v>200</v>
      </c>
      <c r="JW74" s="566"/>
      <c r="JX74" s="169">
        <f>MAX(INDEX(TabReg[],0,COLUMN()))</f>
        <v>45936</v>
      </c>
      <c r="JY74" s="566">
        <f>SUMIF(INDEX(TabReg[], 0, COLUMN()+1),"&lt;0", INDEX(TabReg[], 0, COLUMN()))-SUMIF(INDEX(TabReg[], 0, COLUMN()+1),"&gt;0", INDEX(TabReg[], 0, COLUMN()))</f>
        <v>18000</v>
      </c>
      <c r="JZ74" s="566"/>
      <c r="KA74" s="169">
        <f>MAX(INDEX(TabReg[],0,COLUMN()))</f>
        <v>0</v>
      </c>
      <c r="KB74" s="566">
        <f>SUMIF(INDEX(TabReg[], 0, COLUMN()+1),"&lt;0", INDEX(TabReg[], 0, COLUMN()))-SUMIF(INDEX(TabReg[], 0, COLUMN()+1),"&gt;0", INDEX(TabReg[], 0, COLUMN()))</f>
        <v>0</v>
      </c>
      <c r="KC74" s="566"/>
      <c r="KD74" s="169">
        <f>MAX(INDEX(TabReg[],0,COLUMN()))</f>
        <v>0</v>
      </c>
      <c r="KE74" s="566">
        <f>SUMIF(INDEX(TabReg[], 0, COLUMN()+1),"&lt;0", INDEX(TabReg[], 0, COLUMN()))-SUMIF(INDEX(TabReg[], 0, COLUMN()+1),"&gt;0", INDEX(TabReg[], 0, COLUMN()))</f>
        <v>0</v>
      </c>
      <c r="KF74" s="566"/>
    </row>
    <row r="76" spans="1:301">
      <c r="A76" s="132" t="s">
        <v>46</v>
      </c>
      <c r="C76">
        <f>SUMPRODUCT(C4:C21,D4:D21)</f>
        <v>-1823470.6099999999</v>
      </c>
    </row>
    <row r="77" spans="1:301">
      <c r="A77" t="str">
        <f>A76&amp;" @ "&amp;_xlfn.XLOOKUP(A76,B1:KF1,B73:KF73)</f>
        <v>AVGO @ 19</v>
      </c>
    </row>
  </sheetData>
  <phoneticPr fontId="47" type="noConversion"/>
  <pageMargins left="0.7" right="0.7" top="0.75" bottom="0.75" header="0.3" footer="0.3"/>
  <pageSetup paperSize="9" orientation="portrait" horizontalDpi="0" verticalDpi="0"/>
  <ignoredErrors>
    <ignoredError sqref="JL75:JL1048576" emptyCellReference="1"/>
    <ignoredError sqref="JU4:JW5" calculatedColumn="1"/>
  </ignoredErrors>
  <legacy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71E60-B6AA-A241-B6E2-B39C9C71B05D}">
  <sheetPr codeName="Sheet15">
    <tabColor rgb="FFFFFF00"/>
  </sheetPr>
  <dimension ref="A1:T1000"/>
  <sheetViews>
    <sheetView showZeros="0" topLeftCell="A603" zoomScale="120" zoomScaleNormal="120" workbookViewId="0">
      <selection activeCell="E618" sqref="E618:E620"/>
    </sheetView>
  </sheetViews>
  <sheetFormatPr baseColWidth="10" defaultRowHeight="22"/>
  <cols>
    <col min="1" max="3" width="10.625" style="448"/>
    <col min="4" max="4" width="11.75" style="448" customWidth="1"/>
    <col min="5" max="5" width="10.625" style="460"/>
    <col min="6" max="7" width="10.625" style="448"/>
    <col min="8" max="8" width="11.125" style="448" bestFit="1" customWidth="1"/>
    <col min="9" max="9" width="17.625" style="448" customWidth="1"/>
    <col min="10" max="17" width="10.625" style="448"/>
    <col min="18" max="18" width="11.625" style="448" bestFit="1" customWidth="1"/>
    <col min="19" max="16384" width="10.625" style="448"/>
  </cols>
  <sheetData>
    <row r="1" spans="1:20">
      <c r="A1" s="534" t="s">
        <v>1661</v>
      </c>
      <c r="B1" s="534"/>
      <c r="C1" s="534"/>
      <c r="D1" s="534"/>
      <c r="E1" s="1309">
        <v>45940.516319444447</v>
      </c>
      <c r="F1" s="457"/>
      <c r="G1" s="457"/>
      <c r="H1" s="457"/>
      <c r="I1" s="967" t="s">
        <v>1733</v>
      </c>
      <c r="S1" s="448">
        <v>500</v>
      </c>
      <c r="T1" s="448">
        <v>285.51</v>
      </c>
    </row>
    <row r="2" spans="1:20" ht="23" thickBot="1">
      <c r="A2" s="449" t="s">
        <v>550</v>
      </c>
      <c r="B2" s="449" t="s">
        <v>546</v>
      </c>
      <c r="C2" s="449" t="s">
        <v>549</v>
      </c>
      <c r="D2" s="449" t="s">
        <v>139</v>
      </c>
      <c r="E2" s="450" t="s">
        <v>660</v>
      </c>
      <c r="F2" s="1002" t="s">
        <v>131</v>
      </c>
      <c r="H2" s="448" t="s">
        <v>1870</v>
      </c>
      <c r="I2" s="451" t="s">
        <v>1665</v>
      </c>
      <c r="S2" s="448">
        <v>300</v>
      </c>
      <c r="T2" s="448">
        <v>287.89</v>
      </c>
    </row>
    <row r="3" spans="1:20" ht="24" thickTop="1" thickBot="1">
      <c r="A3" s="452"/>
      <c r="B3" s="1127"/>
      <c r="C3" s="465"/>
      <c r="D3" s="455"/>
      <c r="E3" s="456"/>
      <c r="F3" s="448" t="str">
        <f ca="1">_xlfn.XLOOKUP(B3,TabCalc[Ticker],TabCalc[M],"no Order")</f>
        <v>no Order</v>
      </c>
      <c r="H3" s="448" t="s">
        <v>929</v>
      </c>
      <c r="I3" s="684" t="str" cm="1">
        <f t="array" aca="1" ref="I3" ca="1">B3&amp;": "&amp;IFERROR(TEXT(_xlfn.XLOOKUP(B3,TabCalc[Ticker],TabCalc[NAfter]),"#,#0")&amp;"xM@"&amp;_xlfn.XLOOKUP(B3,TabCalc[Ticker],TabCalc[M])&amp;          ", A@ "&amp;TRUNC(_xlfn.XLOOKUP(B3,TabCalc[Ticker],TabCalc[A]),2)&amp;           ", Y@ "&amp; _xlfn.XLOOKUP(B3,TabCalc[Ticker],TabCalc[Y])&amp;               ", L_Bp@ "&amp;TRUNC(_xlfn.XLOOKUP(B3,TabCalc[Ticker],TabCalc[L_Bp]),2)&amp;"x"&amp;_xlfn.XLOOKUP(B3,TabCalc[Ticker],TabCalc[L_Bn])&amp;                                  ", L_Sp@ "&amp;IFERROR(TRUNC(_xlfn.XLOOKUP(B3,TabCalc[Ticker],TabCalc[L_Sp]),2),0)&amp;"x"&amp;_xlfn.XLOOKUP(B3,TabCalc[Ticker],TabCalc[L_Sn])&amp;", Cl@ "&amp;_xlfn.XLOOKUP(B3,ListTickers,Tab1Close[Close20])&amp;", Low@ "&amp;_xlfn.XLOOKUP(B3,ListTickers,Tab1Low[Low20])&amp;", High@ "&amp;_xlfn.XLOOKUP(B3,ListTickers,Tab1High[High20])&amp;  ", Agio="&amp;TEXT(_xlfn.XLOOKUP(B3,TabCalc[Ticker],TabCalc[Agiotage]),"#0%"),"")</f>
        <v xml:space="preserve">: </v>
      </c>
      <c r="J3" s="457"/>
    </row>
    <row r="4" spans="1:20" ht="23" thickBot="1">
      <c r="A4" s="452"/>
      <c r="B4" s="1127"/>
      <c r="C4" s="454"/>
      <c r="D4" s="455"/>
      <c r="E4" s="456"/>
      <c r="F4" s="448" t="str">
        <f ca="1">_xlfn.XLOOKUP(B4,TabCalc[Ticker],TabCalc[M],"no Order")</f>
        <v>no Order</v>
      </c>
      <c r="H4" s="448" t="s">
        <v>930</v>
      </c>
      <c r="I4" s="684" t="str" cm="1">
        <f t="array" aca="1" ref="I4" ca="1">B4&amp;": "&amp;IFERROR(TEXT(_xlfn.XLOOKUP(B4,TabCalc[Ticker],TabCalc[NAfter]),"#,#0")&amp;"xM@"&amp;_xlfn.XLOOKUP(B4,TabCalc[Ticker],TabCalc[M])&amp;          ", A@ "&amp;TRUNC(_xlfn.XLOOKUP(B4,TabCalc[Ticker],TabCalc[A]),2)&amp;           ", Y@ "&amp; _xlfn.XLOOKUP(B4,TabCalc[Ticker],TabCalc[Y])&amp;               ", L_Bp@ "&amp;TRUNC(_xlfn.XLOOKUP(B4,TabCalc[Ticker],TabCalc[L_Bp]),2)&amp;"x"&amp;_xlfn.XLOOKUP(B4,TabCalc[Ticker],TabCalc[L_Bn])&amp;                                  ", L_Sp@ "&amp;IFERROR(TRUNC(_xlfn.XLOOKUP(B4,TabCalc[Ticker],TabCalc[L_Sp]),2),0)&amp;"x"&amp;_xlfn.XLOOKUP(B4,TabCalc[Ticker],TabCalc[L_Sn])&amp;", Cl@ "&amp;_xlfn.XLOOKUP(B4,ListTickers,Tab1Close[Close20])&amp;", Low@ "&amp;_xlfn.XLOOKUP(B4,ListTickers,Tab1Low[Low20])&amp;", High@ "&amp;_xlfn.XLOOKUP(B4,ListTickers,Tab1High[High20])&amp;  ", Agio="&amp;TEXT(_xlfn.XLOOKUP(B4,TabCalc[Ticker],TabCalc[Agiotage]),"#0%"),"")</f>
        <v xml:space="preserve">: </v>
      </c>
      <c r="J4" s="458"/>
    </row>
    <row r="5" spans="1:20" ht="23" thickBot="1">
      <c r="A5" s="452"/>
      <c r="B5" s="1127"/>
      <c r="C5" s="454"/>
      <c r="D5" s="455"/>
      <c r="E5" s="456"/>
      <c r="F5" s="448" t="str">
        <f ca="1">_xlfn.XLOOKUP(B5,TabCalc[Ticker],TabCalc[M],"no Order")</f>
        <v>no Order</v>
      </c>
      <c r="H5" s="448" t="s">
        <v>931</v>
      </c>
      <c r="I5" s="684" t="str" cm="1">
        <f t="array" aca="1" ref="I5" ca="1">B5&amp;": "&amp;IFERROR(TEXT(_xlfn.XLOOKUP(B5,TabCalc[Ticker],TabCalc[NAfter]),"#,#0")&amp;"xM@"&amp;_xlfn.XLOOKUP(B5,TabCalc[Ticker],TabCalc[M])&amp;          ", A@ "&amp;TRUNC(_xlfn.XLOOKUP(B5,TabCalc[Ticker],TabCalc[A]),2)&amp;           ", Y@ "&amp; _xlfn.XLOOKUP(B5,TabCalc[Ticker],TabCalc[Y])&amp;               ", L_Bp@ "&amp;TRUNC(_xlfn.XLOOKUP(B5,TabCalc[Ticker],TabCalc[L_Bp]),2)&amp;"x"&amp;_xlfn.XLOOKUP(B5,TabCalc[Ticker],TabCalc[L_Bn])&amp;                                  ", L_Sp@ "&amp;IFERROR(TRUNC(_xlfn.XLOOKUP(B5,TabCalc[Ticker],TabCalc[L_Sp]),2),0)&amp;"x"&amp;_xlfn.XLOOKUP(B5,TabCalc[Ticker],TabCalc[L_Sn])&amp;", Cl@ "&amp;_xlfn.XLOOKUP(B5,ListTickers,Tab1Close[Close20])&amp;", Low@ "&amp;_xlfn.XLOOKUP(B5,ListTickers,Tab1Low[Low20])&amp;", High@ "&amp;_xlfn.XLOOKUP(B5,ListTickers,Tab1High[High20])&amp;  ", Agio="&amp;TEXT(_xlfn.XLOOKUP(B5,TabCalc[Ticker],TabCalc[Agiotage]),"#0%"),"")</f>
        <v xml:space="preserve">: </v>
      </c>
    </row>
    <row r="6" spans="1:20" ht="23" thickBot="1">
      <c r="A6" s="452"/>
      <c r="B6" s="1127"/>
      <c r="C6" s="454"/>
      <c r="D6" s="455"/>
      <c r="E6" s="456"/>
      <c r="F6" s="448" t="str">
        <f ca="1">_xlfn.XLOOKUP(B6,TabCalc[Ticker],TabCalc[M],"no Order")</f>
        <v>no Order</v>
      </c>
      <c r="H6" s="448" t="s">
        <v>932</v>
      </c>
      <c r="I6" s="684" t="str" cm="1">
        <f t="array" aca="1" ref="I6" ca="1">B6&amp;": "&amp;IFERROR(TEXT(_xlfn.XLOOKUP(B6,TabCalc[Ticker],TabCalc[NAfter]),"#,#0")&amp;"xM@"&amp;_xlfn.XLOOKUP(B6,TabCalc[Ticker],TabCalc[M])&amp;          ", A@ "&amp;TRUNC(_xlfn.XLOOKUP(B6,TabCalc[Ticker],TabCalc[A]),2)&amp;           ", Y@ "&amp; _xlfn.XLOOKUP(B6,TabCalc[Ticker],TabCalc[Y])&amp;               ", L_Bp@ "&amp;TRUNC(_xlfn.XLOOKUP(B6,TabCalc[Ticker],TabCalc[L_Bp]),2)&amp;"x"&amp;_xlfn.XLOOKUP(B6,TabCalc[Ticker],TabCalc[L_Bn])&amp;                                  ", L_Sp@ "&amp;IFERROR(TRUNC(_xlfn.XLOOKUP(B6,TabCalc[Ticker],TabCalc[L_Sp]),2),0)&amp;"x"&amp;_xlfn.XLOOKUP(B6,TabCalc[Ticker],TabCalc[L_Sn])&amp;", Cl@ "&amp;_xlfn.XLOOKUP(B6,ListTickers,Tab1Close[Close20])&amp;", Low@ "&amp;_xlfn.XLOOKUP(B6,ListTickers,Tab1Low[Low20])&amp;", High@ "&amp;_xlfn.XLOOKUP(B6,ListTickers,Tab1High[High20])&amp;  ", Agio="&amp;TEXT(_xlfn.XLOOKUP(B6,TabCalc[Ticker],TabCalc[Agiotage]),"#0%"),"")</f>
        <v xml:space="preserve">: </v>
      </c>
      <c r="S6" s="448">
        <f>SUM(S1:S5)</f>
        <v>800</v>
      </c>
      <c r="T6" s="1188">
        <f>SUMPRODUCT(S1:S5,T1:T5)</f>
        <v>229122</v>
      </c>
    </row>
    <row r="7" spans="1:20" ht="23" thickBot="1">
      <c r="A7" s="452"/>
      <c r="B7" s="1127"/>
      <c r="C7" s="454"/>
      <c r="D7" s="455"/>
      <c r="E7" s="456"/>
      <c r="F7" s="448" t="str">
        <f ca="1">_xlfn.XLOOKUP(B7,TabCalc[Ticker],TabCalc[M],"no Order")</f>
        <v>no Order</v>
      </c>
      <c r="I7" s="684" t="str" cm="1">
        <f t="array" aca="1" ref="I7" ca="1">B7&amp;": "&amp;IFERROR(TEXT(_xlfn.XLOOKUP(B7,TabCalc[Ticker],TabCalc[NAfter]),"#,#0")&amp;"xM@"&amp;_xlfn.XLOOKUP(B7,TabCalc[Ticker],TabCalc[M])&amp;          ", A@ "&amp;TRUNC(_xlfn.XLOOKUP(B7,TabCalc[Ticker],TabCalc[A]),2)&amp;           ", Y@ "&amp; _xlfn.XLOOKUP(B7,TabCalc[Ticker],TabCalc[Y])&amp;               ", L_Bp@ "&amp;TRUNC(_xlfn.XLOOKUP(B7,TabCalc[Ticker],TabCalc[L_Bp]),2)&amp;"x"&amp;_xlfn.XLOOKUP(B7,TabCalc[Ticker],TabCalc[L_Bn])&amp;                                  ", L_Sp@ "&amp;IFERROR(TRUNC(_xlfn.XLOOKUP(B7,TabCalc[Ticker],TabCalc[L_Sp]),2),0)&amp;"x"&amp;_xlfn.XLOOKUP(B7,TabCalc[Ticker],TabCalc[L_Sn])&amp;", Cl@ "&amp;_xlfn.XLOOKUP(B7,ListTickers,Tab1Close[Close20])&amp;", Low@ "&amp;_xlfn.XLOOKUP(B7,ListTickers,Tab1Low[Low20])&amp;", High@ "&amp;_xlfn.XLOOKUP(B7,ListTickers,Tab1High[High20])&amp;  ", Agio="&amp;TEXT(_xlfn.XLOOKUP(B7,TabCalc[Ticker],TabCalc[Agiotage]),"#0%"),"")</f>
        <v xml:space="preserve">: </v>
      </c>
      <c r="T7" s="1394">
        <f>T6/S6</f>
        <v>286.40249999999997</v>
      </c>
    </row>
    <row r="8" spans="1:20" ht="23" thickBot="1">
      <c r="A8" s="452"/>
      <c r="B8" s="1127"/>
      <c r="C8" s="454"/>
      <c r="D8" s="455"/>
      <c r="E8" s="456"/>
      <c r="F8" s="448" t="str">
        <f ca="1">_xlfn.XLOOKUP(B8,TabCalc[Ticker],TabCalc[M],"no Order")</f>
        <v>no Order</v>
      </c>
      <c r="I8" s="684" t="str" cm="1">
        <f t="array" aca="1" ref="I8" ca="1">B8&amp;": "&amp;IFERROR(TEXT(_xlfn.XLOOKUP(B8,TabCalc[Ticker],TabCalc[NAfter]),"#,#0")&amp;"xM@"&amp;_xlfn.XLOOKUP(B8,TabCalc[Ticker],TabCalc[M])&amp;          ", A@ "&amp;TRUNC(_xlfn.XLOOKUP(B8,TabCalc[Ticker],TabCalc[A]),2)&amp;           ", Y@ "&amp; _xlfn.XLOOKUP(B8,TabCalc[Ticker],TabCalc[Y])&amp;               ", L_Bp@ "&amp;TRUNC(_xlfn.XLOOKUP(B8,TabCalc[Ticker],TabCalc[L_Bp]),2)&amp;"x"&amp;_xlfn.XLOOKUP(B8,TabCalc[Ticker],TabCalc[L_Bn])&amp;                                  ", L_Sp@ "&amp;IFERROR(TRUNC(_xlfn.XLOOKUP(B8,TabCalc[Ticker],TabCalc[L_Sp]),2),0)&amp;"x"&amp;_xlfn.XLOOKUP(B8,TabCalc[Ticker],TabCalc[L_Sn])&amp;", Cl@ "&amp;_xlfn.XLOOKUP(B8,ListTickers,Tab1Close[Close20])&amp;", Low@ "&amp;_xlfn.XLOOKUP(B8,ListTickers,Tab1Low[Low20])&amp;", High@ "&amp;_xlfn.XLOOKUP(B8,ListTickers,Tab1High[High20])&amp;  ", Agio="&amp;TEXT(_xlfn.XLOOKUP(B8,TabCalc[Ticker],TabCalc[Agiotage]),"#0%"),"")</f>
        <v xml:space="preserve">: </v>
      </c>
    </row>
    <row r="9" spans="1:20" ht="23" thickBot="1">
      <c r="A9" s="452"/>
      <c r="B9" s="1127"/>
      <c r="C9" s="454"/>
      <c r="D9" s="455"/>
      <c r="E9" s="456"/>
      <c r="F9" s="448" t="str">
        <f ca="1">_xlfn.XLOOKUP(B9,TabCalc[Ticker],TabCalc[M],"no Order")</f>
        <v>no Order</v>
      </c>
      <c r="I9" s="684" t="str" cm="1">
        <f t="array" aca="1" ref="I9" ca="1">B9&amp;": "&amp;IFERROR(TEXT(_xlfn.XLOOKUP(B9,TabCalc[Ticker],TabCalc[NAfter]),"#,#0")&amp;"xM@"&amp;_xlfn.XLOOKUP(B9,TabCalc[Ticker],TabCalc[M])&amp;          ", A@ "&amp;TRUNC(_xlfn.XLOOKUP(B9,TabCalc[Ticker],TabCalc[A]),2)&amp;           ", Y@ "&amp; _xlfn.XLOOKUP(B9,TabCalc[Ticker],TabCalc[Y])&amp;               ", L_Bp@ "&amp;TRUNC(_xlfn.XLOOKUP(B9,TabCalc[Ticker],TabCalc[L_Bp]),2)&amp;"x"&amp;_xlfn.XLOOKUP(B9,TabCalc[Ticker],TabCalc[L_Bn])&amp;                                  ", L_Sp@ "&amp;IFERROR(TRUNC(_xlfn.XLOOKUP(B9,TabCalc[Ticker],TabCalc[L_Sp]),2),0)&amp;"x"&amp;_xlfn.XLOOKUP(B9,TabCalc[Ticker],TabCalc[L_Sn])&amp;", Cl@ "&amp;_xlfn.XLOOKUP(B9,ListTickers,Tab1Close[Close20])&amp;", Low@ "&amp;_xlfn.XLOOKUP(B9,ListTickers,Tab1Low[Low20])&amp;", High@ "&amp;_xlfn.XLOOKUP(B9,ListTickers,Tab1High[High20])&amp;  ", Agio="&amp;TEXT(_xlfn.XLOOKUP(B9,TabCalc[Ticker],TabCalc[Agiotage]),"#0%"),"")</f>
        <v xml:space="preserve">: </v>
      </c>
    </row>
    <row r="10" spans="1:20" ht="23" thickBot="1">
      <c r="A10" s="452"/>
      <c r="B10" s="1127"/>
      <c r="C10" s="454"/>
      <c r="D10" s="455"/>
      <c r="E10" s="456"/>
      <c r="F10" s="448" t="str">
        <f ca="1">_xlfn.XLOOKUP(B10,TabCalc[Ticker],TabCalc[M],"no Order")</f>
        <v>no Order</v>
      </c>
      <c r="I10" s="684" t="str" cm="1">
        <f t="array" aca="1" ref="I10" ca="1">B10&amp;": "&amp;IFERROR(TEXT(_xlfn.XLOOKUP(B10,TabCalc[Ticker],TabCalc[NAfter]),"#,#0")&amp;"xM@"&amp;_xlfn.XLOOKUP(B10,TabCalc[Ticker],TabCalc[M])&amp;          ", A@ "&amp;TRUNC(_xlfn.XLOOKUP(B10,TabCalc[Ticker],TabCalc[A]),2)&amp;           ", Y@ "&amp; _xlfn.XLOOKUP(B10,TabCalc[Ticker],TabCalc[Y])&amp;               ", L_Bp@ "&amp;TRUNC(_xlfn.XLOOKUP(B10,TabCalc[Ticker],TabCalc[L_Bp]),2)&amp;"x"&amp;_xlfn.XLOOKUP(B10,TabCalc[Ticker],TabCalc[L_Bn])&amp;                                  ", L_Sp@ "&amp;IFERROR(TRUNC(_xlfn.XLOOKUP(B10,TabCalc[Ticker],TabCalc[L_Sp]),2),0)&amp;"x"&amp;_xlfn.XLOOKUP(B10,TabCalc[Ticker],TabCalc[L_Sn])&amp;", Cl@ "&amp;_xlfn.XLOOKUP(B10,ListTickers,Tab1Close[Close20])&amp;", Low@ "&amp;_xlfn.XLOOKUP(B10,ListTickers,Tab1Low[Low20])&amp;", High@ "&amp;_xlfn.XLOOKUP(B10,ListTickers,Tab1High[High20])&amp;  ", Agio="&amp;TEXT(_xlfn.XLOOKUP(B10,TabCalc[Ticker],TabCalc[Agiotage]),"#0%"),"")</f>
        <v xml:space="preserve">: </v>
      </c>
    </row>
    <row r="11" spans="1:20" ht="23" thickBot="1">
      <c r="A11" s="452"/>
      <c r="B11" s="1127"/>
      <c r="C11" s="454"/>
      <c r="D11" s="455"/>
      <c r="E11" s="456"/>
      <c r="F11" s="448" t="str">
        <f ca="1">_xlfn.XLOOKUP(B11,TabCalc[Ticker],TabCalc[M],"no Order")</f>
        <v>no Order</v>
      </c>
      <c r="I11" s="684" t="str" cm="1">
        <f t="array" aca="1" ref="I11" ca="1">B11&amp;": "&amp;IFERROR(TEXT(_xlfn.XLOOKUP(B11,TabCalc[Ticker],TabCalc[NAfter]),"#,#0")&amp;"xM@"&amp;_xlfn.XLOOKUP(B11,TabCalc[Ticker],TabCalc[M])&amp;          ", A@ "&amp;TRUNC(_xlfn.XLOOKUP(B11,TabCalc[Ticker],TabCalc[A]),2)&amp;           ", Y@ "&amp; _xlfn.XLOOKUP(B11,TabCalc[Ticker],TabCalc[Y])&amp;               ", L_Bp@ "&amp;TRUNC(_xlfn.XLOOKUP(B11,TabCalc[Ticker],TabCalc[L_Bp]),2)&amp;"x"&amp;_xlfn.XLOOKUP(B11,TabCalc[Ticker],TabCalc[L_Bn])&amp;                                  ", L_Sp@ "&amp;IFERROR(TRUNC(_xlfn.XLOOKUP(B11,TabCalc[Ticker],TabCalc[L_Sp]),2),0)&amp;"x"&amp;_xlfn.XLOOKUP(B11,TabCalc[Ticker],TabCalc[L_Sn])&amp;", Cl@ "&amp;_xlfn.XLOOKUP(B11,ListTickers,Tab1Close[Close20])&amp;", Low@ "&amp;_xlfn.XLOOKUP(B11,ListTickers,Tab1Low[Low20])&amp;", High@ "&amp;_xlfn.XLOOKUP(B11,ListTickers,Tab1High[High20])&amp;  ", Agio="&amp;TEXT(_xlfn.XLOOKUP(B11,TabCalc[Ticker],TabCalc[Agiotage]),"#0%"),"")</f>
        <v xml:space="preserve">: </v>
      </c>
    </row>
    <row r="12" spans="1:20" ht="23" thickBot="1">
      <c r="A12" s="452"/>
      <c r="B12" s="1127"/>
      <c r="C12" s="454"/>
      <c r="D12" s="455"/>
      <c r="E12" s="456"/>
      <c r="F12" s="448" t="str">
        <f ca="1">_xlfn.XLOOKUP(B12,TabCalc[Ticker],TabCalc[M],"no Order")</f>
        <v>no Order</v>
      </c>
      <c r="I12" s="684" t="str" cm="1">
        <f t="array" aca="1" ref="I12" ca="1">B12&amp;": "&amp;IFERROR(TEXT(_xlfn.XLOOKUP(B12,TabCalc[Ticker],TabCalc[NAfter]),"#,#0")&amp;"xM@"&amp;_xlfn.XLOOKUP(B12,TabCalc[Ticker],TabCalc[M])&amp;          ", A@ "&amp;TRUNC(_xlfn.XLOOKUP(B12,TabCalc[Ticker],TabCalc[A]),2)&amp;           ", Y@ "&amp; _xlfn.XLOOKUP(B12,TabCalc[Ticker],TabCalc[Y])&amp;               ", L_Bp@ "&amp;TRUNC(_xlfn.XLOOKUP(B12,TabCalc[Ticker],TabCalc[L_Bp]),2)&amp;"x"&amp;_xlfn.XLOOKUP(B12,TabCalc[Ticker],TabCalc[L_Bn])&amp;                                  ", L_Sp@ "&amp;IFERROR(TRUNC(_xlfn.XLOOKUP(B12,TabCalc[Ticker],TabCalc[L_Sp]),2),0)&amp;"x"&amp;_xlfn.XLOOKUP(B12,TabCalc[Ticker],TabCalc[L_Sn])&amp;", Cl@ "&amp;_xlfn.XLOOKUP(B12,ListTickers,Tab1Close[Close20])&amp;", Low@ "&amp;_xlfn.XLOOKUP(B12,ListTickers,Tab1Low[Low20])&amp;", High@ "&amp;_xlfn.XLOOKUP(B12,ListTickers,Tab1High[High20])&amp;  ", Agio="&amp;TEXT(_xlfn.XLOOKUP(B12,TabCalc[Ticker],TabCalc[Agiotage]),"#0%"),"")</f>
        <v xml:space="preserve">: </v>
      </c>
    </row>
    <row r="13" spans="1:20" ht="23" thickBot="1">
      <c r="A13" s="452"/>
      <c r="B13" s="1127"/>
      <c r="C13" s="454"/>
      <c r="D13" s="455"/>
      <c r="E13" s="456"/>
      <c r="F13" s="448" t="str">
        <f ca="1">_xlfn.XLOOKUP(B13,TabCalc[Ticker],TabCalc[M],"no Order")</f>
        <v>no Order</v>
      </c>
      <c r="I13" s="684" t="str" cm="1">
        <f t="array" aca="1" ref="I13" ca="1">B13&amp;": "&amp;IFERROR(TEXT(_xlfn.XLOOKUP(B13,TabCalc[Ticker],TabCalc[NAfter]),"#,#0")&amp;"xM@"&amp;_xlfn.XLOOKUP(B13,TabCalc[Ticker],TabCalc[M])&amp;          ", A@ "&amp;TRUNC(_xlfn.XLOOKUP(B13,TabCalc[Ticker],TabCalc[A]),2)&amp;           ", Y@ "&amp; _xlfn.XLOOKUP(B13,TabCalc[Ticker],TabCalc[Y])&amp;               ", L_Bp@ "&amp;TRUNC(_xlfn.XLOOKUP(B13,TabCalc[Ticker],TabCalc[L_Bp]),2)&amp;"x"&amp;_xlfn.XLOOKUP(B13,TabCalc[Ticker],TabCalc[L_Bn])&amp;                                  ", L_Sp@ "&amp;IFERROR(TRUNC(_xlfn.XLOOKUP(B13,TabCalc[Ticker],TabCalc[L_Sp]),2),0)&amp;"x"&amp;_xlfn.XLOOKUP(B13,TabCalc[Ticker],TabCalc[L_Sn])&amp;", Cl@ "&amp;_xlfn.XLOOKUP(B13,ListTickers,Tab1Close[Close20])&amp;", Low@ "&amp;_xlfn.XLOOKUP(B13,ListTickers,Tab1Low[Low20])&amp;", High@ "&amp;_xlfn.XLOOKUP(B13,ListTickers,Tab1High[High20])&amp;  ", Agio="&amp;TEXT(_xlfn.XLOOKUP(B13,TabCalc[Ticker],TabCalc[Agiotage]),"#0%"),"")</f>
        <v xml:space="preserve">: </v>
      </c>
    </row>
    <row r="14" spans="1:20" ht="23" thickBot="1">
      <c r="A14" s="452"/>
      <c r="B14" s="1127"/>
      <c r="C14" s="454"/>
      <c r="D14" s="455"/>
      <c r="E14" s="456"/>
      <c r="F14" s="448" t="str">
        <f ca="1">_xlfn.XLOOKUP(B14,TabCalc[Ticker],TabCalc[M],"no Order")</f>
        <v>no Order</v>
      </c>
      <c r="I14" s="684" t="str" cm="1">
        <f t="array" aca="1" ref="I14" ca="1">B14&amp;": "&amp;IFERROR(TEXT(_xlfn.XLOOKUP(B14,TabCalc[Ticker],TabCalc[NAfter]),"#,#0")&amp;"xM@"&amp;_xlfn.XLOOKUP(B14,TabCalc[Ticker],TabCalc[M])&amp;          ", A@ "&amp;TRUNC(_xlfn.XLOOKUP(B14,TabCalc[Ticker],TabCalc[A]),2)&amp;           ", Y@ "&amp; _xlfn.XLOOKUP(B14,TabCalc[Ticker],TabCalc[Y])&amp;               ", L_Bp@ "&amp;TRUNC(_xlfn.XLOOKUP(B14,TabCalc[Ticker],TabCalc[L_Bp]),2)&amp;"x"&amp;_xlfn.XLOOKUP(B14,TabCalc[Ticker],TabCalc[L_Bn])&amp;                                  ", L_Sp@ "&amp;IFERROR(TRUNC(_xlfn.XLOOKUP(B14,TabCalc[Ticker],TabCalc[L_Sp]),2),0)&amp;"x"&amp;_xlfn.XLOOKUP(B14,TabCalc[Ticker],TabCalc[L_Sn])&amp;", Cl@ "&amp;_xlfn.XLOOKUP(B14,ListTickers,Tab1Close[Close20])&amp;", Low@ "&amp;_xlfn.XLOOKUP(B14,ListTickers,Tab1Low[Low20])&amp;", High@ "&amp;_xlfn.XLOOKUP(B14,ListTickers,Tab1High[High20])&amp;  ", Agio="&amp;TEXT(_xlfn.XLOOKUP(B14,TabCalc[Ticker],TabCalc[Agiotage]),"#0%"),"")</f>
        <v xml:space="preserve">: </v>
      </c>
    </row>
    <row r="15" spans="1:20" ht="23" thickBot="1">
      <c r="A15" s="452"/>
      <c r="B15" s="1127"/>
      <c r="C15" s="454"/>
      <c r="D15" s="455"/>
      <c r="E15" s="456"/>
      <c r="F15" s="448" t="str">
        <f ca="1">_xlfn.XLOOKUP(B15,TabCalc[Ticker],TabCalc[M],"no Order")</f>
        <v>no Order</v>
      </c>
      <c r="I15" s="684" t="str" cm="1">
        <f t="array" aca="1" ref="I15" ca="1">B15&amp;": "&amp;IFERROR(TEXT(_xlfn.XLOOKUP(B15,TabCalc[Ticker],TabCalc[NAfter]),"#,#0")&amp;"xM@"&amp;_xlfn.XLOOKUP(B15,TabCalc[Ticker],TabCalc[M])&amp;          ", A@ "&amp;TRUNC(_xlfn.XLOOKUP(B15,TabCalc[Ticker],TabCalc[A]),2)&amp;           ", Y@ "&amp; _xlfn.XLOOKUP(B15,TabCalc[Ticker],TabCalc[Y])&amp;               ", L_Bp@ "&amp;TRUNC(_xlfn.XLOOKUP(B15,TabCalc[Ticker],TabCalc[L_Bp]),2)&amp;"x"&amp;_xlfn.XLOOKUP(B15,TabCalc[Ticker],TabCalc[L_Bn])&amp;                                  ", L_Sp@ "&amp;IFERROR(TRUNC(_xlfn.XLOOKUP(B15,TabCalc[Ticker],TabCalc[L_Sp]),2),0)&amp;"x"&amp;_xlfn.XLOOKUP(B15,TabCalc[Ticker],TabCalc[L_Sn])&amp;", Cl@ "&amp;_xlfn.XLOOKUP(B15,ListTickers,Tab1Close[Close20])&amp;", Low@ "&amp;_xlfn.XLOOKUP(B15,ListTickers,Tab1Low[Low20])&amp;", High@ "&amp;_xlfn.XLOOKUP(B15,ListTickers,Tab1High[High20])&amp;  ", Agio="&amp;TEXT(_xlfn.XLOOKUP(B15,TabCalc[Ticker],TabCalc[Agiotage]),"#0%"),"")</f>
        <v xml:space="preserve">: </v>
      </c>
    </row>
    <row r="16" spans="1:20" ht="23" thickBot="1">
      <c r="A16" s="452"/>
      <c r="B16" s="1127"/>
      <c r="C16" s="454"/>
      <c r="D16" s="455"/>
      <c r="E16" s="459"/>
      <c r="F16" s="448" t="str">
        <f ca="1">_xlfn.XLOOKUP(B16,TabCalc[Ticker],TabCalc[M],"no Order")</f>
        <v>no Order</v>
      </c>
      <c r="I16" s="684" t="str" cm="1">
        <f t="array" aca="1" ref="I16" ca="1">B16&amp;": "&amp;IFERROR(TEXT(_xlfn.XLOOKUP(B16,TabCalc[Ticker],TabCalc[NAfter]),"#,#0")&amp;"xM@"&amp;_xlfn.XLOOKUP(B16,TabCalc[Ticker],TabCalc[M])&amp;          ", A@ "&amp;TRUNC(_xlfn.XLOOKUP(B16,TabCalc[Ticker],TabCalc[A]),2)&amp;           ", Y@ "&amp; _xlfn.XLOOKUP(B16,TabCalc[Ticker],TabCalc[Y])&amp;               ", L_Bp@ "&amp;TRUNC(_xlfn.XLOOKUP(B16,TabCalc[Ticker],TabCalc[L_Bp]),2)&amp;"x"&amp;_xlfn.XLOOKUP(B16,TabCalc[Ticker],TabCalc[L_Bn])&amp;                                  ", L_Sp@ "&amp;IFERROR(TRUNC(_xlfn.XLOOKUP(B16,TabCalc[Ticker],TabCalc[L_Sp]),2),0)&amp;"x"&amp;_xlfn.XLOOKUP(B16,TabCalc[Ticker],TabCalc[L_Sn])&amp;", Cl@ "&amp;_xlfn.XLOOKUP(B16,ListTickers,Tab1Close[Close20])&amp;", Low@ "&amp;_xlfn.XLOOKUP(B16,ListTickers,Tab1Low[Low20])&amp;", High@ "&amp;_xlfn.XLOOKUP(B16,ListTickers,Tab1High[High20])&amp;  ", Agio="&amp;TEXT(_xlfn.XLOOKUP(B16,TabCalc[Ticker],TabCalc[Agiotage]),"#0%"),"")</f>
        <v xml:space="preserve">: </v>
      </c>
    </row>
    <row r="19" spans="1:6" ht="23" thickBot="1"/>
    <row r="20" spans="1:6" ht="23" thickBot="1">
      <c r="A20" s="461" t="s">
        <v>999</v>
      </c>
      <c r="B20" s="462"/>
      <c r="C20" s="462"/>
      <c r="D20" s="461" t="s">
        <v>1662</v>
      </c>
      <c r="E20" s="462"/>
      <c r="F20" s="463"/>
    </row>
    <row r="21" spans="1:6">
      <c r="A21" s="474" t="str">
        <f>IF(B3&lt;&gt;"",B3,"")</f>
        <v/>
      </c>
      <c r="B21" s="13" t="str">
        <f>IF(A21="","",A21&amp;1)</f>
        <v/>
      </c>
      <c r="C21" s="69" t="str">
        <f>IF(B3="","",A21&amp;2)</f>
        <v/>
      </c>
      <c r="D21" s="475" t="str">
        <f>IF(A3="","",A3)</f>
        <v/>
      </c>
      <c r="E21" s="476">
        <f>C3</f>
        <v>0</v>
      </c>
      <c r="F21" s="477">
        <f>D3</f>
        <v>0</v>
      </c>
    </row>
    <row r="22" spans="1:6">
      <c r="A22" s="478" t="str">
        <f t="shared" ref="A22:A34" si="0">IF(B4&lt;&gt;"",B4,"")</f>
        <v/>
      </c>
      <c r="B22" t="str">
        <f t="shared" ref="B22:B34" si="1">IF(A22="","",A22&amp;1)</f>
        <v/>
      </c>
      <c r="C22" s="71" t="str">
        <f t="shared" ref="C22:C34" si="2">IF(B4="","",A22&amp;2)</f>
        <v/>
      </c>
      <c r="D22" s="475" t="str">
        <f t="shared" ref="D22:D34" si="3">IF(A4="","",A4)</f>
        <v/>
      </c>
      <c r="E22" s="476">
        <f t="shared" ref="E22:E34" si="4">C4</f>
        <v>0</v>
      </c>
      <c r="F22" s="477">
        <f t="shared" ref="F22:F34" si="5">D4</f>
        <v>0</v>
      </c>
    </row>
    <row r="23" spans="1:6">
      <c r="A23" s="478" t="str">
        <f t="shared" si="0"/>
        <v/>
      </c>
      <c r="B23" t="str">
        <f t="shared" si="1"/>
        <v/>
      </c>
      <c r="C23" s="71" t="str">
        <f t="shared" si="2"/>
        <v/>
      </c>
      <c r="D23" s="475" t="str">
        <f>IF(A5="","",A5)</f>
        <v/>
      </c>
      <c r="E23" s="476">
        <f t="shared" si="4"/>
        <v>0</v>
      </c>
      <c r="F23" s="477">
        <f t="shared" si="5"/>
        <v>0</v>
      </c>
    </row>
    <row r="24" spans="1:6">
      <c r="A24" s="478" t="str">
        <f t="shared" si="0"/>
        <v/>
      </c>
      <c r="B24" t="str">
        <f t="shared" si="1"/>
        <v/>
      </c>
      <c r="C24" s="71" t="str">
        <f t="shared" si="2"/>
        <v/>
      </c>
      <c r="D24" s="475" t="str">
        <f t="shared" si="3"/>
        <v/>
      </c>
      <c r="E24" s="476">
        <f t="shared" si="4"/>
        <v>0</v>
      </c>
      <c r="F24" s="477">
        <f t="shared" si="5"/>
        <v>0</v>
      </c>
    </row>
    <row r="25" spans="1:6">
      <c r="A25" s="478" t="str">
        <f t="shared" si="0"/>
        <v/>
      </c>
      <c r="B25" t="str">
        <f t="shared" si="1"/>
        <v/>
      </c>
      <c r="C25" s="71" t="str">
        <f t="shared" si="2"/>
        <v/>
      </c>
      <c r="D25" s="475" t="str">
        <f t="shared" si="3"/>
        <v/>
      </c>
      <c r="E25" s="476">
        <f t="shared" si="4"/>
        <v>0</v>
      </c>
      <c r="F25" s="477">
        <f t="shared" si="5"/>
        <v>0</v>
      </c>
    </row>
    <row r="26" spans="1:6">
      <c r="A26" s="478" t="str">
        <f t="shared" si="0"/>
        <v/>
      </c>
      <c r="B26" t="str">
        <f t="shared" si="1"/>
        <v/>
      </c>
      <c r="C26" s="71" t="str">
        <f t="shared" si="2"/>
        <v/>
      </c>
      <c r="D26" s="475" t="str">
        <f t="shared" si="3"/>
        <v/>
      </c>
      <c r="E26" s="476">
        <f t="shared" si="4"/>
        <v>0</v>
      </c>
      <c r="F26" s="477">
        <f t="shared" si="5"/>
        <v>0</v>
      </c>
    </row>
    <row r="27" spans="1:6">
      <c r="A27" s="478" t="str">
        <f t="shared" si="0"/>
        <v/>
      </c>
      <c r="B27" t="str">
        <f t="shared" si="1"/>
        <v/>
      </c>
      <c r="C27" s="71" t="str">
        <f t="shared" si="2"/>
        <v/>
      </c>
      <c r="D27" s="475" t="str">
        <f t="shared" si="3"/>
        <v/>
      </c>
      <c r="E27" s="476">
        <f t="shared" si="4"/>
        <v>0</v>
      </c>
      <c r="F27" s="477">
        <f t="shared" si="5"/>
        <v>0</v>
      </c>
    </row>
    <row r="28" spans="1:6">
      <c r="A28" s="478" t="str">
        <f t="shared" si="0"/>
        <v/>
      </c>
      <c r="B28" t="str">
        <f t="shared" si="1"/>
        <v/>
      </c>
      <c r="C28" s="71" t="str">
        <f t="shared" si="2"/>
        <v/>
      </c>
      <c r="D28" s="475" t="str">
        <f t="shared" si="3"/>
        <v/>
      </c>
      <c r="E28" s="476">
        <f t="shared" si="4"/>
        <v>0</v>
      </c>
      <c r="F28" s="477">
        <f t="shared" si="5"/>
        <v>0</v>
      </c>
    </row>
    <row r="29" spans="1:6">
      <c r="A29" s="478" t="str">
        <f t="shared" si="0"/>
        <v/>
      </c>
      <c r="B29" t="str">
        <f t="shared" si="1"/>
        <v/>
      </c>
      <c r="C29" s="71" t="str">
        <f t="shared" si="2"/>
        <v/>
      </c>
      <c r="D29" s="475" t="str">
        <f t="shared" si="3"/>
        <v/>
      </c>
      <c r="E29" s="476">
        <f t="shared" si="4"/>
        <v>0</v>
      </c>
      <c r="F29" s="477">
        <f t="shared" si="5"/>
        <v>0</v>
      </c>
    </row>
    <row r="30" spans="1:6">
      <c r="A30" s="478" t="str">
        <f t="shared" si="0"/>
        <v/>
      </c>
      <c r="B30" t="str">
        <f t="shared" si="1"/>
        <v/>
      </c>
      <c r="C30" s="71" t="str">
        <f t="shared" si="2"/>
        <v/>
      </c>
      <c r="D30" s="475" t="str">
        <f t="shared" si="3"/>
        <v/>
      </c>
      <c r="E30" s="476">
        <f t="shared" si="4"/>
        <v>0</v>
      </c>
      <c r="F30" s="477">
        <f t="shared" si="5"/>
        <v>0</v>
      </c>
    </row>
    <row r="31" spans="1:6">
      <c r="A31" s="478" t="str">
        <f t="shared" si="0"/>
        <v/>
      </c>
      <c r="B31" t="str">
        <f t="shared" si="1"/>
        <v/>
      </c>
      <c r="C31" s="71" t="str">
        <f t="shared" si="2"/>
        <v/>
      </c>
      <c r="D31" s="475" t="str">
        <f t="shared" si="3"/>
        <v/>
      </c>
      <c r="E31" s="476">
        <f t="shared" si="4"/>
        <v>0</v>
      </c>
      <c r="F31" s="477">
        <f t="shared" si="5"/>
        <v>0</v>
      </c>
    </row>
    <row r="32" spans="1:6">
      <c r="A32" s="478" t="str">
        <f t="shared" si="0"/>
        <v/>
      </c>
      <c r="B32" t="str">
        <f t="shared" si="1"/>
        <v/>
      </c>
      <c r="C32" s="71" t="str">
        <f t="shared" si="2"/>
        <v/>
      </c>
      <c r="D32" s="475" t="str">
        <f t="shared" si="3"/>
        <v/>
      </c>
      <c r="E32" s="476">
        <f t="shared" si="4"/>
        <v>0</v>
      </c>
      <c r="F32" s="477">
        <f t="shared" si="5"/>
        <v>0</v>
      </c>
    </row>
    <row r="33" spans="1:14">
      <c r="A33" s="478" t="str">
        <f t="shared" si="0"/>
        <v/>
      </c>
      <c r="B33" t="str">
        <f t="shared" si="1"/>
        <v/>
      </c>
      <c r="C33" s="71" t="str">
        <f t="shared" si="2"/>
        <v/>
      </c>
      <c r="D33" s="475" t="str">
        <f t="shared" si="3"/>
        <v/>
      </c>
      <c r="E33" s="476">
        <f t="shared" si="4"/>
        <v>0</v>
      </c>
      <c r="F33" s="477">
        <f t="shared" si="5"/>
        <v>0</v>
      </c>
      <c r="K33" s="1087" t="s">
        <v>1135</v>
      </c>
    </row>
    <row r="34" spans="1:14" ht="23" thickBot="1">
      <c r="A34" s="479" t="str">
        <f t="shared" si="0"/>
        <v/>
      </c>
      <c r="B34" s="20" t="str">
        <f t="shared" si="1"/>
        <v/>
      </c>
      <c r="C34" s="80" t="str">
        <f t="shared" si="2"/>
        <v/>
      </c>
      <c r="D34" s="480" t="str">
        <f t="shared" si="3"/>
        <v/>
      </c>
      <c r="E34" s="481">
        <f t="shared" si="4"/>
        <v>0</v>
      </c>
      <c r="F34" s="482">
        <f t="shared" si="5"/>
        <v>0</v>
      </c>
      <c r="K34" s="1087" t="s">
        <v>1132</v>
      </c>
    </row>
    <row r="35" spans="1:14">
      <c r="K35" s="1087" t="s">
        <v>1446</v>
      </c>
    </row>
    <row r="36" spans="1:14">
      <c r="K36" s="1087" t="s">
        <v>1134</v>
      </c>
    </row>
    <row r="38" spans="1:14" ht="23" thickBot="1">
      <c r="I38" s="828">
        <v>2.5999999999999999E-3</v>
      </c>
      <c r="J38" s="1087" t="s">
        <v>1135</v>
      </c>
      <c r="K38" s="1087" t="s">
        <v>1132</v>
      </c>
      <c r="L38" s="1087" t="s">
        <v>1446</v>
      </c>
      <c r="M38" s="1087" t="s">
        <v>1134</v>
      </c>
    </row>
    <row r="39" spans="1:14" ht="23" thickBot="1">
      <c r="H39" s="1121" t="s">
        <v>2534</v>
      </c>
      <c r="I39" s="829" t="s">
        <v>1908</v>
      </c>
      <c r="J39" s="1087" t="s">
        <v>1132</v>
      </c>
    </row>
    <row r="40" spans="1:14" ht="23" thickBot="1">
      <c r="G40" s="1120" t="s">
        <v>2357</v>
      </c>
      <c r="H40" s="1122">
        <f ca="1">H42+I42</f>
        <v>-4940065.0345729981</v>
      </c>
      <c r="I40" s="827">
        <f ca="1">(H42-I42)*I38</f>
        <v>83201.355599889794</v>
      </c>
      <c r="J40" s="1087" t="s">
        <v>1446</v>
      </c>
    </row>
    <row r="41" spans="1:14">
      <c r="B41" s="457"/>
      <c r="C41" s="457"/>
      <c r="D41" s="830">
        <f>A43</f>
        <v>45684</v>
      </c>
      <c r="E41" s="826">
        <f>MAX(A43:A1004)</f>
        <v>45954</v>
      </c>
      <c r="F41" s="457" t="s">
        <v>2338</v>
      </c>
      <c r="G41" s="972" t="s">
        <v>2339</v>
      </c>
      <c r="H41" s="1123" t="s">
        <v>2230</v>
      </c>
      <c r="I41" s="1124" t="s">
        <v>1875</v>
      </c>
      <c r="J41" s="1087" t="s">
        <v>1134</v>
      </c>
    </row>
    <row r="42" spans="1:14" ht="23" thickBot="1">
      <c r="A42" s="464" t="s">
        <v>1660</v>
      </c>
      <c r="B42" s="1119" t="s">
        <v>546</v>
      </c>
      <c r="C42" s="1119" t="s">
        <v>549</v>
      </c>
      <c r="D42" s="1119" t="s">
        <v>139</v>
      </c>
      <c r="E42" s="1119" t="s">
        <v>1000</v>
      </c>
      <c r="F42" s="827">
        <f ca="1">SUM(F43:F504)</f>
        <v>-3456714.2445729994</v>
      </c>
      <c r="G42" s="973" t="s">
        <v>2356</v>
      </c>
      <c r="H42" s="1125" cm="1">
        <f t="array" aca="1" ref="H42" ca="1">SUM(_xlfn._xlws.FILTER(F43:F800,F43:F800&gt;0))</f>
        <v>13530228.174999999</v>
      </c>
      <c r="I42" s="1126" cm="1">
        <f t="array" aca="1" ref="I42" ca="1">SUM(_xlfn._xlws.FILTER(F43:F800,F43:F800&lt;0))</f>
        <v>-18470293.209572997</v>
      </c>
      <c r="K42" s="1087" t="s">
        <v>1135</v>
      </c>
      <c r="L42" s="1087" t="s">
        <v>1132</v>
      </c>
      <c r="M42" s="1087" t="s">
        <v>1446</v>
      </c>
      <c r="N42" s="1087" t="s">
        <v>1134</v>
      </c>
    </row>
    <row r="43" spans="1:14">
      <c r="A43" s="466">
        <v>45684</v>
      </c>
      <c r="B43" s="448" t="s">
        <v>13</v>
      </c>
      <c r="C43" s="468">
        <v>2000</v>
      </c>
      <c r="D43" s="467">
        <v>36.674999999999997</v>
      </c>
      <c r="E43" s="1128">
        <f ca="1">IFERROR(C43*D43*_xlfn.XLOOKUP(B43,TabCalc[Ticker],TabCalc[Scale]),0)</f>
        <v>73350</v>
      </c>
      <c r="F43" s="1129" cm="1">
        <f t="array" aca="1" ref="F43" ca="1">IF(A43=A42,0,SUM(_xlfn._xlws.FILTER(E43:E53,A43:A53=A43)))</f>
        <v>26251.421999999999</v>
      </c>
      <c r="G43" s="1130">
        <f ca="1">IF(F43&lt;&gt;0,SUM($F$43:F43),0)</f>
        <v>26251.421999999999</v>
      </c>
      <c r="H43" s="1130" cm="1">
        <f t="array" aca="1" ref="H43" ca="1">IFERROR(IF(A43=A42,0,SUM(_xlfn._xlws.FILTER(E43:E53,(A43:A53=A43)*(E43:E53&gt;0)))),0)</f>
        <v>556728.522</v>
      </c>
      <c r="I43" s="1130" cm="1">
        <f t="array" aca="1" ref="I43" ca="1">IFERROR(IF(A43=A42,0,SUM(_xlfn._xlws.FILTER(E43:E53,(A43:A53=A43)*(F43&lt;0)))),0)</f>
        <v>0</v>
      </c>
      <c r="J43"/>
      <c r="K43"/>
      <c r="L43"/>
      <c r="M43"/>
      <c r="N43"/>
    </row>
    <row r="44" spans="1:14">
      <c r="A44" s="466">
        <v>45684</v>
      </c>
      <c r="B44" s="448" t="s">
        <v>32</v>
      </c>
      <c r="C44" s="468">
        <v>200</v>
      </c>
      <c r="D44" s="467">
        <v>-647.1</v>
      </c>
      <c r="E44" s="1128">
        <f ca="1">IFERROR(C44*D44*_xlfn.XLOOKUP(B44,TabCalc[Ticker],TabCalc[Scale]),0)</f>
        <v>-129420</v>
      </c>
      <c r="F44" s="1129" cm="1">
        <f t="array" ref="F44">IF(A44=A43,0,SUM(_xlfn._xlws.FILTER(E44:E54,A44:A54=A44)))</f>
        <v>0</v>
      </c>
      <c r="G44" s="1130">
        <f>IF(F44&lt;&gt;0,SUM($F$43:F44),0)</f>
        <v>0</v>
      </c>
      <c r="H44" s="1130" cm="1">
        <f t="array" ref="H44">IFERROR(IF(A44=A43,0,SUM(_xlfn._xlws.FILTER(E44:E54,(A44:A54=A44)*(E44:E54&gt;0)))),0)</f>
        <v>0</v>
      </c>
      <c r="I44" s="1130" cm="1">
        <f t="array" ref="I44">IFERROR(IF(A44=A43,0,SUM(_xlfn._xlws.FILTER(E44:E54,(A44:A54=A44)*(F44&lt;0)))),0)</f>
        <v>0</v>
      </c>
      <c r="J44"/>
      <c r="K44"/>
      <c r="L44"/>
      <c r="M44"/>
      <c r="N44"/>
    </row>
    <row r="45" spans="1:14">
      <c r="A45" s="466">
        <v>45684</v>
      </c>
      <c r="B45" s="448" t="s">
        <v>43</v>
      </c>
      <c r="C45" s="468">
        <v>800</v>
      </c>
      <c r="D45" s="467">
        <v>-189.88874999999999</v>
      </c>
      <c r="E45" s="1128">
        <f ca="1">IFERROR(C45*D45*_xlfn.XLOOKUP(B45,TabCalc[Ticker],TabCalc[Scale]),0)</f>
        <v>-151911</v>
      </c>
      <c r="F45" s="1129" cm="1">
        <f t="array" ref="F45">IF(A45=A44,0,SUM(_xlfn._xlws.FILTER(E45:E55,A45:A55=A45)))</f>
        <v>0</v>
      </c>
      <c r="G45" s="1130">
        <f>IF(F45&lt;&gt;0,SUM($F$43:F45),0)</f>
        <v>0</v>
      </c>
      <c r="H45" s="1130" cm="1">
        <f t="array" ref="H45">IFERROR(IF(A45=A44,0,SUM(_xlfn._xlws.FILTER(E45:E55,(A45:A55=A45)*(E45:E55&gt;0)))),0)</f>
        <v>0</v>
      </c>
      <c r="I45" s="1130" cm="1">
        <f t="array" ref="I45">IFERROR(IF(A45=A44,0,SUM(_xlfn._xlws.FILTER(E45:E55,(A45:A55=A45)*(F45&lt;0)))),0)</f>
        <v>0</v>
      </c>
      <c r="J45"/>
      <c r="K45"/>
      <c r="L45"/>
      <c r="M45"/>
      <c r="N45"/>
    </row>
    <row r="46" spans="1:14" hidden="1">
      <c r="A46" s="466">
        <v>45684</v>
      </c>
      <c r="B46" s="448" t="s">
        <v>28</v>
      </c>
      <c r="C46" s="468">
        <v>1200</v>
      </c>
      <c r="D46" s="467">
        <v>72.409469999999999</v>
      </c>
      <c r="E46" s="1128">
        <f ca="1">IFERROR(C46*D46*_xlfn.XLOOKUP(B46,TabCalc[Ticker],TabCalc[Scale]),0)</f>
        <v>86891.364000000001</v>
      </c>
      <c r="F46" s="1129" cm="1">
        <f t="array" ref="F46">IF(A46=A45,0,SUM(_xlfn._xlws.FILTER(E46:E56,A46:A56=A46)))</f>
        <v>0</v>
      </c>
      <c r="G46" s="1130">
        <f>IF(F46&lt;&gt;0,SUM($F$43:F46),0)</f>
        <v>0</v>
      </c>
      <c r="H46" s="1130" cm="1">
        <f t="array" ref="H46">IFERROR(IF(A46=A45,0,SUM(_xlfn._xlws.FILTER(E46:E56,(A46:A56=A46)*(E46:E56&gt;0)))),0)</f>
        <v>0</v>
      </c>
      <c r="I46" s="1130" cm="1">
        <f t="array" ref="I46">IFERROR(IF(A46=A45,0,SUM(_xlfn._xlws.FILTER(E46:E56,(A46:A56=A46)*(F46&lt;0)))),0)</f>
        <v>0</v>
      </c>
      <c r="J46"/>
      <c r="K46"/>
      <c r="L46"/>
      <c r="M46"/>
      <c r="N46"/>
    </row>
    <row r="47" spans="1:14" hidden="1">
      <c r="A47" s="466">
        <v>45684</v>
      </c>
      <c r="B47" s="448" t="s">
        <v>12</v>
      </c>
      <c r="C47" s="468">
        <v>900</v>
      </c>
      <c r="D47" s="467">
        <v>113.21462</v>
      </c>
      <c r="E47" s="1128">
        <f ca="1">IFERROR(C47*D47*_xlfn.XLOOKUP(B47,TabCalc[Ticker],TabCalc[Scale]),0)</f>
        <v>101893.158</v>
      </c>
      <c r="F47" s="1129" cm="1">
        <f t="array" ref="F47">IF(A47=A46,0,SUM(_xlfn._xlws.FILTER(E47:E57,A47:A57=A47)))</f>
        <v>0</v>
      </c>
      <c r="G47" s="1130">
        <f>IF(F47&lt;&gt;0,SUM($F$43:F47),0)</f>
        <v>0</v>
      </c>
      <c r="H47" s="1130" cm="1">
        <f t="array" ref="H47">IFERROR(IF(A47=A46,0,SUM(_xlfn._xlws.FILTER(E47:E57,(A47:A57=A47)*(E47:E57&gt;0)))),0)</f>
        <v>0</v>
      </c>
      <c r="I47" s="1130" cm="1">
        <f t="array" ref="I47">IFERROR(IF(A47=A46,0,SUM(_xlfn._xlws.FILTER(E47:E57,(A47:A57=A47)*(F47&lt;0)))),0)</f>
        <v>0</v>
      </c>
      <c r="J47"/>
      <c r="K47"/>
      <c r="L47"/>
      <c r="M47"/>
      <c r="N47"/>
    </row>
    <row r="48" spans="1:14" hidden="1">
      <c r="A48" s="466">
        <v>45684</v>
      </c>
      <c r="B48" s="448" t="s">
        <v>21</v>
      </c>
      <c r="C48" s="468">
        <v>5000</v>
      </c>
      <c r="D48" s="467">
        <v>32.770000000000003</v>
      </c>
      <c r="E48" s="1128">
        <f ca="1">IFERROR(C48*D48*_xlfn.XLOOKUP(B48,TabCalc[Ticker],TabCalc[Scale]),0)</f>
        <v>163850.00000000003</v>
      </c>
      <c r="F48" s="1129" cm="1">
        <f t="array" ref="F48">IF(A48=A47,0,SUM(_xlfn._xlws.FILTER(E48:E58,A48:A58=A48)))</f>
        <v>0</v>
      </c>
      <c r="G48" s="1130">
        <f>IF(F48&lt;&gt;0,SUM($F$43:F48),0)</f>
        <v>0</v>
      </c>
      <c r="H48" s="1130" cm="1">
        <f t="array" ref="H48">IFERROR(IF(A48=A47,0,SUM(_xlfn._xlws.FILTER(E48:E58,(A48:A58=A48)*(E48:E58&gt;0)))),0)</f>
        <v>0</v>
      </c>
      <c r="I48" s="1130" cm="1">
        <f t="array" ref="I48">IFERROR(IF(A48=A47,0,SUM(_xlfn._xlws.FILTER(E48:E58,(A48:A58=A48)*(F48&lt;0)))),0)</f>
        <v>0</v>
      </c>
      <c r="J48"/>
      <c r="K48"/>
      <c r="L48"/>
      <c r="M48"/>
      <c r="N48"/>
    </row>
    <row r="49" spans="1:14" hidden="1">
      <c r="A49" s="466">
        <v>45684</v>
      </c>
      <c r="B49" s="448" t="s">
        <v>5</v>
      </c>
      <c r="C49" s="468">
        <v>1300</v>
      </c>
      <c r="D49" s="467">
        <v>70.209999999999994</v>
      </c>
      <c r="E49" s="1128">
        <f ca="1">IFERROR(C49*D49*_xlfn.XLOOKUP(B49,TabCalc[Ticker],TabCalc[Scale]),0)</f>
        <v>91272.999999999985</v>
      </c>
      <c r="F49" s="1129" cm="1">
        <f t="array" ref="F49">IF(A49=A48,0,SUM(_xlfn._xlws.FILTER(E49:E59,A49:A59=A49)))</f>
        <v>0</v>
      </c>
      <c r="G49" s="1130">
        <f>IF(F49&lt;&gt;0,SUM($F$43:F49),0)</f>
        <v>0</v>
      </c>
      <c r="H49" s="1130" cm="1">
        <f t="array" ref="H49">IFERROR(IF(A49=A48,0,SUM(_xlfn._xlws.FILTER(E49:E59,(A49:A59=A49)*(E49:E59&gt;0)))),0)</f>
        <v>0</v>
      </c>
      <c r="I49" s="1130" cm="1">
        <f t="array" ref="I49">IFERROR(IF(A49=A48,0,SUM(_xlfn._xlws.FILTER(E49:E59,(A49:A59=A49)*(F49&lt;0)))),0)</f>
        <v>0</v>
      </c>
      <c r="J49"/>
      <c r="K49"/>
      <c r="L49"/>
      <c r="M49"/>
      <c r="N49"/>
    </row>
    <row r="50" spans="1:14" hidden="1">
      <c r="A50" s="466">
        <v>45684</v>
      </c>
      <c r="B50" s="448" t="s">
        <v>46</v>
      </c>
      <c r="C50" s="468">
        <v>200</v>
      </c>
      <c r="D50" s="467">
        <v>197.35499999999999</v>
      </c>
      <c r="E50" s="1128">
        <f ca="1">IFERROR(C50*D50*_xlfn.XLOOKUP(B50,TabCalc[Ticker],TabCalc[Scale]),0)</f>
        <v>39471</v>
      </c>
      <c r="F50" s="1129" cm="1">
        <f t="array" ref="F50">IF(A50=A49,0,SUM(_xlfn._xlws.FILTER(E50:E60,A50:A60=A50)))</f>
        <v>0</v>
      </c>
      <c r="G50" s="1130">
        <f>IF(F50&lt;&gt;0,SUM($F$43:F50),0)</f>
        <v>0</v>
      </c>
      <c r="H50" s="1130" cm="1">
        <f t="array" ref="H50">IFERROR(IF(A50=A49,0,SUM(_xlfn._xlws.FILTER(E50:E60,(A50:A60=A50)*(E50:E60&gt;0)))),0)</f>
        <v>0</v>
      </c>
      <c r="I50" s="1130" cm="1">
        <f t="array" ref="I50">IFERROR(IF(A50=A49,0,SUM(_xlfn._xlws.FILTER(E50:E60,(A50:A60=A50)*(F50&lt;0)))),0)</f>
        <v>0</v>
      </c>
      <c r="J50"/>
      <c r="K50"/>
      <c r="L50"/>
      <c r="M50"/>
      <c r="N50"/>
    </row>
    <row r="51" spans="1:14" hidden="1">
      <c r="A51" s="466">
        <v>45684</v>
      </c>
      <c r="B51" s="448" t="s">
        <v>9</v>
      </c>
      <c r="C51" s="468">
        <v>2000</v>
      </c>
      <c r="D51" s="467">
        <v>-59.125</v>
      </c>
      <c r="E51" s="1128">
        <f ca="1">IFERROR(C51*D51*_xlfn.XLOOKUP(B51,TabCalc[Ticker],TabCalc[Scale]),0)</f>
        <v>-118250</v>
      </c>
      <c r="F51" s="1129" cm="1">
        <f t="array" ref="F51">IF(A51=A50,0,SUM(_xlfn._xlws.FILTER(E51:E61,A51:A61=A51)))</f>
        <v>0</v>
      </c>
      <c r="G51" s="1130">
        <f>IF(F51&lt;&gt;0,SUM($F$43:F51),0)</f>
        <v>0</v>
      </c>
      <c r="H51" s="1130" cm="1">
        <f t="array" ref="H51">IFERROR(IF(A51=A50,0,SUM(_xlfn._xlws.FILTER(E51:E61,(A51:A61=A51)*(E51:E61&gt;0)))),0)</f>
        <v>0</v>
      </c>
      <c r="I51" s="1130" cm="1">
        <f t="array" ref="I51">IFERROR(IF(A51=A50,0,SUM(_xlfn._xlws.FILTER(E51:E61,(A51:A61=A51)*(F51&lt;0)))),0)</f>
        <v>0</v>
      </c>
      <c r="J51"/>
      <c r="K51"/>
      <c r="L51"/>
      <c r="M51"/>
      <c r="N51"/>
    </row>
    <row r="52" spans="1:14" hidden="1">
      <c r="A52" s="466">
        <v>45684</v>
      </c>
      <c r="B52" s="448" t="s">
        <v>23</v>
      </c>
      <c r="C52" s="468">
        <v>2000</v>
      </c>
      <c r="D52" s="467">
        <v>-60.379750000000001</v>
      </c>
      <c r="E52" s="1128">
        <f ca="1">IFERROR(C52*D52*_xlfn.XLOOKUP(B52,TabCalc[Ticker],TabCalc[Scale]),0)</f>
        <v>-120759.5</v>
      </c>
      <c r="F52" s="1129" cm="1">
        <f t="array" ref="F52">IF(A52=A51,0,SUM(_xlfn._xlws.FILTER(E52:E62,A52:A62=A52)))</f>
        <v>0</v>
      </c>
      <c r="G52" s="1130">
        <f>IF(F52&lt;&gt;0,SUM($F$43:F52),0)</f>
        <v>0</v>
      </c>
      <c r="H52" s="1130" cm="1">
        <f t="array" ref="H52">IFERROR(IF(A52=A51,0,SUM(_xlfn._xlws.FILTER(E52:E62,(A52:A62=A52)*(E52:E62&gt;0)))),0)</f>
        <v>0</v>
      </c>
      <c r="I52" s="1130" cm="1">
        <f t="array" ref="I52">IFERROR(IF(A52=A51,0,SUM(_xlfn._xlws.FILTER(E52:E62,(A52:A62=A52)*(F52&lt;0)))),0)</f>
        <v>0</v>
      </c>
      <c r="J52"/>
      <c r="K52"/>
      <c r="L52"/>
      <c r="M52"/>
      <c r="N52"/>
    </row>
    <row r="53" spans="1:14" hidden="1">
      <c r="A53" s="466">
        <v>45684</v>
      </c>
      <c r="B53" s="448" t="s">
        <v>25</v>
      </c>
      <c r="C53" s="468">
        <v>2000</v>
      </c>
      <c r="D53" s="467">
        <v>-5.0682999999999998</v>
      </c>
      <c r="E53" s="1128">
        <f ca="1">IFERROR(C53*D53*_xlfn.XLOOKUP(B53,TabCalc[Ticker],TabCalc[Scale]),0)</f>
        <v>-10136.6</v>
      </c>
      <c r="F53" s="1129" cm="1">
        <f t="array" ref="F53">IF(A53=A52,0,SUM(_xlfn._xlws.FILTER(E53:E63,A53:A63=A53)))</f>
        <v>0</v>
      </c>
      <c r="G53" s="1130">
        <f>IF(F53&lt;&gt;0,SUM($F$43:F53),0)</f>
        <v>0</v>
      </c>
      <c r="H53" s="1130" cm="1">
        <f t="array" ref="H53">IFERROR(IF(A53=A52,0,SUM(_xlfn._xlws.FILTER(E53:E63,(A53:A63=A53)*(E53:E63&gt;0)))),0)</f>
        <v>0</v>
      </c>
      <c r="I53" s="1130" cm="1">
        <f t="array" ref="I53">IFERROR(IF(A53=A52,0,SUM(_xlfn._xlws.FILTER(E53:E63,(A53:A63=A53)*(F53&lt;0)))),0)</f>
        <v>0</v>
      </c>
      <c r="J53"/>
      <c r="K53"/>
      <c r="L53"/>
      <c r="M53"/>
      <c r="N53"/>
    </row>
    <row r="54" spans="1:14" hidden="1">
      <c r="A54" s="466">
        <v>45684</v>
      </c>
      <c r="B54" s="448" t="s">
        <v>20</v>
      </c>
      <c r="C54" s="468">
        <v>4000</v>
      </c>
      <c r="D54" s="467">
        <v>-22.580249999999999</v>
      </c>
      <c r="E54" s="1128">
        <f ca="1">IFERROR(C54*D54*_xlfn.XLOOKUP(B54,TabCalc[Ticker],TabCalc[Scale]),0)</f>
        <v>-90321</v>
      </c>
      <c r="F54" s="1129" cm="1">
        <f t="array" ref="F54">IF(A54=A53,0,SUM(_xlfn._xlws.FILTER(E54:E64,A54:A64=A54)))</f>
        <v>0</v>
      </c>
      <c r="G54" s="1130">
        <f>IF(F54&lt;&gt;0,SUM($F$43:F54),0)</f>
        <v>0</v>
      </c>
      <c r="H54" s="1130" cm="1">
        <f t="array" ref="H54">IFERROR(IF(A54=A53,0,SUM(_xlfn._xlws.FILTER(E54:E64,(A54:A64=A54)*(E54:E64&gt;0)))),0)</f>
        <v>0</v>
      </c>
      <c r="I54" s="1130" cm="1">
        <f t="array" ref="I54">IFERROR(IF(A54=A53,0,SUM(_xlfn._xlws.FILTER(E54:E64,(A54:A64=A54)*(F54&lt;0)))),0)</f>
        <v>0</v>
      </c>
      <c r="J54"/>
      <c r="K54"/>
      <c r="L54"/>
      <c r="M54"/>
      <c r="N54"/>
    </row>
    <row r="55" spans="1:14" hidden="1">
      <c r="A55" s="452">
        <v>45685</v>
      </c>
      <c r="B55" s="465" t="s">
        <v>53</v>
      </c>
      <c r="C55" s="454">
        <v>10000</v>
      </c>
      <c r="D55" s="455">
        <v>1.46</v>
      </c>
      <c r="E55" s="1128">
        <f ca="1">IFERROR(C55*D55*_xlfn.XLOOKUP(B55,TabCalc[Ticker],TabCalc[Scale]),0)</f>
        <v>14600</v>
      </c>
      <c r="F55" s="1129" cm="1">
        <f t="array" aca="1" ref="F55" ca="1">IF(A55=A54,0,SUM(_xlfn._xlws.FILTER(E55:E65,A55:A65=A55)))</f>
        <v>121666.84</v>
      </c>
      <c r="G55" s="1130">
        <f ca="1">IF(F55&lt;&gt;0,SUM($F$43:F55),0)</f>
        <v>147918.26199999999</v>
      </c>
      <c r="H55" s="1130" cm="1">
        <f t="array" aca="1" ref="H55" ca="1">IFERROR(IF(A55=A54,0,SUM(_xlfn._xlws.FILTER(E55:E65,(A55:A65=A55)*(E55:E65&gt;0)))),0)</f>
        <v>256960.69</v>
      </c>
      <c r="I55" s="1130" cm="1">
        <f t="array" aca="1" ref="I55" ca="1">IFERROR(IF(A55=A54,0,SUM(_xlfn._xlws.FILTER(E55:E65,(A55:A65=A55)*(F55&lt;0)))),0)</f>
        <v>0</v>
      </c>
      <c r="J55"/>
      <c r="K55"/>
      <c r="L55"/>
      <c r="M55"/>
      <c r="N55"/>
    </row>
    <row r="56" spans="1:14" hidden="1">
      <c r="A56" s="452">
        <v>45685</v>
      </c>
      <c r="B56" s="453" t="s">
        <v>88</v>
      </c>
      <c r="C56" s="454">
        <v>500</v>
      </c>
      <c r="D56" s="455">
        <v>-142.01769999999999</v>
      </c>
      <c r="E56" s="1128">
        <f ca="1">IFERROR(C56*D56*_xlfn.XLOOKUP(B56,TabCalc[Ticker],TabCalc[Scale]),0)</f>
        <v>-71008.849999999991</v>
      </c>
      <c r="F56" s="1129" cm="1">
        <f t="array" ref="F56">IF(A56=A55,0,SUM(_xlfn._xlws.FILTER(E56:E66,A56:A66=A56)))</f>
        <v>0</v>
      </c>
      <c r="G56" s="1130">
        <f>IF(F56&lt;&gt;0,SUM($F$43:F56),0)</f>
        <v>0</v>
      </c>
      <c r="H56" s="1130" cm="1">
        <f t="array" ref="H56">IFERROR(IF(A56=A55,0,SUM(_xlfn._xlws.FILTER(E56:E66,(A56:A66=A56)*(E56:E66&gt;0)))),0)</f>
        <v>0</v>
      </c>
      <c r="I56" s="1130" cm="1">
        <f t="array" ref="I56">IFERROR(IF(A56=A55,0,SUM(_xlfn._xlws.FILTER(E56:E66,(A56:A66=A56)*(F56&lt;0)))),0)</f>
        <v>0</v>
      </c>
      <c r="J56"/>
      <c r="K56"/>
      <c r="L56"/>
      <c r="M56"/>
      <c r="N56"/>
    </row>
    <row r="57" spans="1:14" hidden="1">
      <c r="A57" s="452">
        <v>45685</v>
      </c>
      <c r="B57" s="453" t="s">
        <v>82</v>
      </c>
      <c r="C57" s="454">
        <v>100</v>
      </c>
      <c r="D57" s="455">
        <v>546.66999999999996</v>
      </c>
      <c r="E57" s="1128">
        <f ca="1">IFERROR(C57*D57*_xlfn.XLOOKUP(B57,TabCalc[Ticker],TabCalc[Scale]),0)</f>
        <v>54666.999999999993</v>
      </c>
      <c r="F57" s="1129" cm="1">
        <f t="array" ref="F57">IF(A57=A56,0,SUM(_xlfn._xlws.FILTER(E57:E67,A57:A67=A57)))</f>
        <v>0</v>
      </c>
      <c r="G57" s="1130">
        <f>IF(F57&lt;&gt;0,SUM($F$43:F57),0)</f>
        <v>0</v>
      </c>
      <c r="H57" s="1130" cm="1">
        <f t="array" ref="H57">IFERROR(IF(A57=A56,0,SUM(_xlfn._xlws.FILTER(E57:E67,(A57:A67=A57)*(E57:E67&gt;0)))),0)</f>
        <v>0</v>
      </c>
      <c r="I57" s="1130" cm="1">
        <f t="array" ref="I57">IFERROR(IF(A57=A56,0,SUM(_xlfn._xlws.FILTER(E57:E67,(A57:A67=A57)*(F57&lt;0)))),0)</f>
        <v>0</v>
      </c>
      <c r="J57"/>
      <c r="K57"/>
      <c r="L57"/>
      <c r="M57"/>
      <c r="N57"/>
    </row>
    <row r="58" spans="1:14" hidden="1">
      <c r="A58" s="452">
        <v>45685</v>
      </c>
      <c r="B58" s="453" t="s">
        <v>69</v>
      </c>
      <c r="C58" s="454">
        <v>700</v>
      </c>
      <c r="D58" s="455">
        <v>113.19670000000001</v>
      </c>
      <c r="E58" s="1128">
        <f ca="1">IFERROR(C58*D58*_xlfn.XLOOKUP(B58,TabCalc[Ticker],TabCalc[Scale]),0)</f>
        <v>79237.69</v>
      </c>
      <c r="F58" s="1129" cm="1">
        <f t="array" ref="F58">IF(A58=A57,0,SUM(_xlfn._xlws.FILTER(E58:E68,A58:A68=A58)))</f>
        <v>0</v>
      </c>
      <c r="G58" s="1130">
        <f>IF(F58&lt;&gt;0,SUM($F$43:F58),0)</f>
        <v>0</v>
      </c>
      <c r="H58" s="1130" cm="1">
        <f t="array" ref="H58">IFERROR(IF(A58=A57,0,SUM(_xlfn._xlws.FILTER(E58:E68,(A58:A68=A58)*(E58:E68&gt;0)))),0)</f>
        <v>0</v>
      </c>
      <c r="I58" s="1130" cm="1">
        <f t="array" ref="I58">IFERROR(IF(A58=A57,0,SUM(_xlfn._xlws.FILTER(E58:E68,(A58:A68=A58)*(F58&lt;0)))),0)</f>
        <v>0</v>
      </c>
      <c r="J58"/>
      <c r="K58"/>
      <c r="L58"/>
      <c r="M58"/>
      <c r="N58"/>
    </row>
    <row r="59" spans="1:14" hidden="1">
      <c r="A59" s="452">
        <v>45685</v>
      </c>
      <c r="B59" s="453" t="s">
        <v>66</v>
      </c>
      <c r="C59" s="454">
        <v>200</v>
      </c>
      <c r="D59" s="455">
        <v>231.18</v>
      </c>
      <c r="E59" s="1128">
        <f ca="1">IFERROR(C59*D59*_xlfn.XLOOKUP(B59,TabCalc[Ticker],TabCalc[Scale]),0)</f>
        <v>46236</v>
      </c>
      <c r="F59" s="1129" cm="1">
        <f t="array" ref="F59">IF(A59=A58,0,SUM(_xlfn._xlws.FILTER(E59:E69,A59:A69=A59)))</f>
        <v>0</v>
      </c>
      <c r="G59" s="1130">
        <f>IF(F59&lt;&gt;0,SUM($F$43:F59),0)</f>
        <v>0</v>
      </c>
      <c r="H59" s="1130" cm="1">
        <f t="array" ref="H59">IFERROR(IF(A59=A58,0,SUM(_xlfn._xlws.FILTER(E59:E69,(A59:A69=A59)*(E59:E69&gt;0)))),0)</f>
        <v>0</v>
      </c>
      <c r="I59" s="1130" cm="1">
        <f t="array" ref="I59">IFERROR(IF(A59=A58,0,SUM(_xlfn._xlws.FILTER(E59:E69,(A59:A69=A59)*(F59&lt;0)))),0)</f>
        <v>0</v>
      </c>
      <c r="J59"/>
      <c r="K59"/>
      <c r="L59"/>
      <c r="M59"/>
      <c r="N59"/>
    </row>
    <row r="60" spans="1:14" hidden="1">
      <c r="A60" s="452">
        <v>45685</v>
      </c>
      <c r="B60" s="453" t="s">
        <v>73</v>
      </c>
      <c r="C60" s="454">
        <v>100</v>
      </c>
      <c r="D60" s="455">
        <v>-642.85</v>
      </c>
      <c r="E60" s="1128">
        <f ca="1">IFERROR(C60*D60*_xlfn.XLOOKUP(B60,TabCalc[Ticker],TabCalc[Scale]),0)</f>
        <v>-64285</v>
      </c>
      <c r="F60" s="1129" cm="1">
        <f t="array" ref="F60">IF(A60=A59,0,SUM(_xlfn._xlws.FILTER(E60:E70,A60:A70=A60)))</f>
        <v>0</v>
      </c>
      <c r="G60" s="1130">
        <f>IF(F60&lt;&gt;0,SUM($F$43:F60),0)</f>
        <v>0</v>
      </c>
      <c r="H60" s="1130" cm="1">
        <f t="array" ref="H60">IFERROR(IF(A60=A59,0,SUM(_xlfn._xlws.FILTER(E60:E70,(A60:A70=A60)*(E60:E70&gt;0)))),0)</f>
        <v>0</v>
      </c>
      <c r="I60" s="1130" cm="1">
        <f t="array" ref="I60">IFERROR(IF(A60=A59,0,SUM(_xlfn._xlws.FILTER(E60:E70,(A60:A70=A60)*(F60&lt;0)))),0)</f>
        <v>0</v>
      </c>
      <c r="J60"/>
      <c r="K60"/>
      <c r="L60"/>
      <c r="M60"/>
      <c r="N60"/>
    </row>
    <row r="61" spans="1:14" hidden="1">
      <c r="A61" s="452">
        <v>45685</v>
      </c>
      <c r="B61" s="453" t="s">
        <v>75</v>
      </c>
      <c r="C61" s="454">
        <v>6000</v>
      </c>
      <c r="D61" s="455">
        <v>10.37</v>
      </c>
      <c r="E61" s="1128">
        <f ca="1">IFERROR(C61*D61*_xlfn.XLOOKUP(B61,TabCalc[Ticker],TabCalc[Scale]),0)</f>
        <v>62219.999999999993</v>
      </c>
      <c r="F61" s="1129" cm="1">
        <f t="array" ref="F61">IF(A61=A60,0,SUM(_xlfn._xlws.FILTER(E61:E71,A61:A71=A61)))</f>
        <v>0</v>
      </c>
      <c r="G61" s="1130">
        <f>IF(F61&lt;&gt;0,SUM($F$43:F61),0)</f>
        <v>0</v>
      </c>
      <c r="H61" s="1130" cm="1">
        <f t="array" ref="H61">IFERROR(IF(A61=A60,0,SUM(_xlfn._xlws.FILTER(E61:E71,(A61:A71=A61)*(E61:E71&gt;0)))),0)</f>
        <v>0</v>
      </c>
      <c r="I61" s="1130" cm="1">
        <f t="array" ref="I61">IFERROR(IF(A61=A60,0,SUM(_xlfn._xlws.FILTER(E61:E71,(A61:A71=A61)*(F61&lt;0)))),0)</f>
        <v>0</v>
      </c>
      <c r="J61"/>
      <c r="K61"/>
      <c r="L61"/>
      <c r="M61"/>
      <c r="N61"/>
    </row>
    <row r="62" spans="1:14" hidden="1">
      <c r="A62" s="466">
        <v>45686</v>
      </c>
      <c r="B62" s="448" t="s">
        <v>42</v>
      </c>
      <c r="C62" s="468">
        <v>6300</v>
      </c>
      <c r="D62" s="467">
        <v>10.39</v>
      </c>
      <c r="E62" s="1128">
        <f ca="1">IFERROR(C62*D62*_xlfn.XLOOKUP(B62,TabCalc[Ticker],TabCalc[Scale]),0)</f>
        <v>65457</v>
      </c>
      <c r="F62" s="1129" cm="1">
        <f t="array" aca="1" ref="F62" ca="1">IF(A62=A61,0,SUM(_xlfn._xlws.FILTER(E62:E72,A62:A72=A62)))</f>
        <v>408827.35000000003</v>
      </c>
      <c r="G62" s="1130">
        <f ca="1">IF(F62&lt;&gt;0,SUM($F$43:F62),0)</f>
        <v>556745.61199999996</v>
      </c>
      <c r="H62" s="1130" cm="1">
        <f t="array" aca="1" ref="H62" ca="1">IFERROR(IF(A62=A61,0,SUM(_xlfn._xlws.FILTER(E62:E72,(A62:A72=A62)*(E62:E72&gt;0)))),0)</f>
        <v>505636.2</v>
      </c>
      <c r="I62" s="1130" cm="1">
        <f t="array" aca="1" ref="I62" ca="1">IFERROR(IF(A62=A61,0,SUM(_xlfn._xlws.FILTER(E62:E72,(A62:A72=A62)*(F62&lt;0)))),0)</f>
        <v>0</v>
      </c>
      <c r="J62"/>
      <c r="K62"/>
      <c r="L62"/>
      <c r="M62"/>
      <c r="N62"/>
    </row>
    <row r="63" spans="1:14" hidden="1">
      <c r="A63" s="466">
        <v>45686</v>
      </c>
      <c r="B63" s="448" t="s">
        <v>37</v>
      </c>
      <c r="C63" s="468">
        <v>4000</v>
      </c>
      <c r="D63" s="467">
        <v>29.33</v>
      </c>
      <c r="E63" s="1128">
        <f ca="1">IFERROR(C63*D63*_xlfn.XLOOKUP(B63,TabCalc[Ticker],TabCalc[Scale]),0)</f>
        <v>117320</v>
      </c>
      <c r="F63" s="1129" cm="1">
        <f t="array" ref="F63">IF(A63=A62,0,SUM(_xlfn._xlws.FILTER(E63:E73,A63:A73=A63)))</f>
        <v>0</v>
      </c>
      <c r="G63" s="1130">
        <f>IF(F63&lt;&gt;0,SUM($F$43:F63),0)</f>
        <v>0</v>
      </c>
      <c r="H63" s="1130" cm="1">
        <f t="array" ref="H63">IFERROR(IF(A63=A62,0,SUM(_xlfn._xlws.FILTER(E63:E73,(A63:A73=A63)*(E63:E73&gt;0)))),0)</f>
        <v>0</v>
      </c>
      <c r="I63" s="1130" cm="1">
        <f t="array" ref="I63">IFERROR(IF(A63=A62,0,SUM(_xlfn._xlws.FILTER(E63:E73,(A63:A73=A63)*(F63&lt;0)))),0)</f>
        <v>0</v>
      </c>
      <c r="J63"/>
      <c r="K63"/>
      <c r="L63"/>
      <c r="M63"/>
      <c r="N63"/>
    </row>
    <row r="64" spans="1:14" hidden="1">
      <c r="A64" s="466">
        <v>45686</v>
      </c>
      <c r="B64" s="448" t="s">
        <v>59</v>
      </c>
      <c r="C64" s="468">
        <v>4000</v>
      </c>
      <c r="D64" s="467">
        <v>29.29</v>
      </c>
      <c r="E64" s="1128">
        <f ca="1">IFERROR(C64*D64*_xlfn.XLOOKUP(B64,TabCalc[Ticker],TabCalc[Scale]),0)</f>
        <v>117160</v>
      </c>
      <c r="F64" s="1129" cm="1">
        <f t="array" ref="F64">IF(A64=A63,0,SUM(_xlfn._xlws.FILTER(E64:E74,A64:A74=A64)))</f>
        <v>0</v>
      </c>
      <c r="G64" s="1130">
        <f>IF(F64&lt;&gt;0,SUM($F$43:F64),0)</f>
        <v>0</v>
      </c>
      <c r="H64" s="1130" cm="1">
        <f t="array" ref="H64">IFERROR(IF(A64=A63,0,SUM(_xlfn._xlws.FILTER(E64:E74,(A64:A74=A64)*(E64:E74&gt;0)))),0)</f>
        <v>0</v>
      </c>
      <c r="I64" s="1130" cm="1">
        <f t="array" ref="I64">IFERROR(IF(A64=A63,0,SUM(_xlfn._xlws.FILTER(E64:E74,(A64:A74=A64)*(F64&lt;0)))),0)</f>
        <v>0</v>
      </c>
      <c r="J64"/>
      <c r="K64"/>
      <c r="L64"/>
      <c r="M64"/>
      <c r="N64"/>
    </row>
    <row r="65" spans="1:14" hidden="1">
      <c r="A65" s="466">
        <v>45686</v>
      </c>
      <c r="B65" s="448" t="s">
        <v>8</v>
      </c>
      <c r="C65" s="468">
        <v>500</v>
      </c>
      <c r="D65" s="467">
        <v>80.89</v>
      </c>
      <c r="E65" s="1128">
        <f ca="1">IFERROR(C65*D65*_xlfn.XLOOKUP(B65,TabCalc[Ticker],TabCalc[Scale]),0)</f>
        <v>40445</v>
      </c>
      <c r="F65" s="1129" cm="1">
        <f t="array" ref="F65">IF(A65=A64,0,SUM(_xlfn._xlws.FILTER(E65:E75,A65:A75=A65)))</f>
        <v>0</v>
      </c>
      <c r="G65" s="1130">
        <f>IF(F65&lt;&gt;0,SUM($F$43:F65),0)</f>
        <v>0</v>
      </c>
      <c r="H65" s="1130" cm="1">
        <f t="array" ref="H65">IFERROR(IF(A65=A64,0,SUM(_xlfn._xlws.FILTER(E65:E75,(A65:A75=A65)*(E65:E75&gt;0)))),0)</f>
        <v>0</v>
      </c>
      <c r="I65" s="1130" cm="1">
        <f t="array" ref="I65">IFERROR(IF(A65=A64,0,SUM(_xlfn._xlws.FILTER(E65:E75,(A65:A75=A65)*(F65&lt;0)))),0)</f>
        <v>0</v>
      </c>
      <c r="J65"/>
      <c r="K65"/>
      <c r="L65"/>
      <c r="M65"/>
      <c r="N65"/>
    </row>
    <row r="66" spans="1:14" hidden="1">
      <c r="A66" s="466">
        <v>45686</v>
      </c>
      <c r="B66" s="448" t="s">
        <v>17</v>
      </c>
      <c r="C66" s="468">
        <v>15000</v>
      </c>
      <c r="D66" s="467">
        <v>-1.72</v>
      </c>
      <c r="E66" s="1128">
        <f ca="1">IFERROR(C66*D66*_xlfn.XLOOKUP(B66,TabCalc[Ticker],TabCalc[Scale]),0)</f>
        <v>-25800</v>
      </c>
      <c r="F66" s="1129" cm="1">
        <f t="array" ref="F66">IF(A66=A65,0,SUM(_xlfn._xlws.FILTER(E66:E76,A66:A76=A66)))</f>
        <v>0</v>
      </c>
      <c r="G66" s="1130">
        <f>IF(F66&lt;&gt;0,SUM($F$43:F66),0)</f>
        <v>0</v>
      </c>
      <c r="H66" s="1130" cm="1">
        <f t="array" ref="H66">IFERROR(IF(A66=A65,0,SUM(_xlfn._xlws.FILTER(E66:E76,(A66:A76=A66)*(E66:E76&gt;0)))),0)</f>
        <v>0</v>
      </c>
      <c r="I66" s="1130" cm="1">
        <f t="array" ref="I66">IFERROR(IF(A66=A65,0,SUM(_xlfn._xlws.FILTER(E66:E76,(A66:A76=A66)*(F66&lt;0)))),0)</f>
        <v>0</v>
      </c>
      <c r="J66"/>
      <c r="K66"/>
      <c r="L66"/>
      <c r="M66"/>
      <c r="N66"/>
    </row>
    <row r="67" spans="1:14" hidden="1">
      <c r="A67" s="466">
        <v>45686</v>
      </c>
      <c r="B67" s="448" t="s">
        <v>26</v>
      </c>
      <c r="C67" s="468">
        <v>3000</v>
      </c>
      <c r="D67" s="467">
        <v>41.35</v>
      </c>
      <c r="E67" s="1128">
        <f ca="1">IFERROR(C67*D67*_xlfn.XLOOKUP(B67,TabCalc[Ticker],TabCalc[Scale]),0)</f>
        <v>124050</v>
      </c>
      <c r="F67" s="1129" cm="1">
        <f t="array" ref="F67">IF(A67=A66,0,SUM(_xlfn._xlws.FILTER(E67:E77,A67:A77=A67)))</f>
        <v>0</v>
      </c>
      <c r="G67" s="1130">
        <f>IF(F67&lt;&gt;0,SUM($F$43:F67),0)</f>
        <v>0</v>
      </c>
      <c r="H67" s="1130" cm="1">
        <f t="array" ref="H67">IFERROR(IF(A67=A66,0,SUM(_xlfn._xlws.FILTER(E67:E77,(A67:A77=A67)*(E67:E77&gt;0)))),0)</f>
        <v>0</v>
      </c>
      <c r="I67" s="1130" cm="1">
        <f t="array" ref="I67">IFERROR(IF(A67=A66,0,SUM(_xlfn._xlws.FILTER(E67:E77,(A67:A77=A67)*(F67&lt;0)))),0)</f>
        <v>0</v>
      </c>
      <c r="J67"/>
      <c r="K67"/>
      <c r="L67"/>
      <c r="M67"/>
      <c r="N67"/>
    </row>
    <row r="68" spans="1:14" hidden="1">
      <c r="A68" s="466">
        <v>45686</v>
      </c>
      <c r="B68" s="448" t="s">
        <v>72</v>
      </c>
      <c r="C68" s="468">
        <v>400</v>
      </c>
      <c r="D68" s="467">
        <v>103.01049999999999</v>
      </c>
      <c r="E68" s="1128">
        <f ca="1">IFERROR(C68*D68*_xlfn.XLOOKUP(B68,TabCalc[Ticker],TabCalc[Scale]),0)</f>
        <v>41204.199999999997</v>
      </c>
      <c r="F68" s="1129" cm="1">
        <f t="array" ref="F68">IF(A68=A67,0,SUM(_xlfn._xlws.FILTER(E68:E78,A68:A78=A68)))</f>
        <v>0</v>
      </c>
      <c r="G68" s="1130">
        <f>IF(F68&lt;&gt;0,SUM($F$43:F68),0)</f>
        <v>0</v>
      </c>
      <c r="H68" s="1130" cm="1">
        <f t="array" ref="H68">IFERROR(IF(A68=A67,0,SUM(_xlfn._xlws.FILTER(E68:E78,(A68:A78=A68)*(E68:E78&gt;0)))),0)</f>
        <v>0</v>
      </c>
      <c r="I68" s="1130" cm="1">
        <f t="array" ref="I68">IFERROR(IF(A68=A67,0,SUM(_xlfn._xlws.FILTER(E68:E78,(A68:A78=A68)*(F68&lt;0)))),0)</f>
        <v>0</v>
      </c>
      <c r="J68"/>
      <c r="K68"/>
      <c r="L68"/>
      <c r="M68"/>
      <c r="N68"/>
    </row>
    <row r="69" spans="1:14" hidden="1">
      <c r="A69" s="466">
        <v>45686</v>
      </c>
      <c r="B69" s="448" t="s">
        <v>88</v>
      </c>
      <c r="C69" s="468">
        <v>500</v>
      </c>
      <c r="D69" s="467">
        <v>-142.01769999999999</v>
      </c>
      <c r="E69" s="1128">
        <f ca="1">IFERROR(C69*D69*_xlfn.XLOOKUP(B69,TabCalc[Ticker],TabCalc[Scale]),0)</f>
        <v>-71008.849999999991</v>
      </c>
      <c r="F69" s="1129" cm="1">
        <f t="array" ref="F69">IF(A69=A68,0,SUM(_xlfn._xlws.FILTER(E69:E79,A69:A79=A69)))</f>
        <v>0</v>
      </c>
      <c r="G69" s="1130">
        <f>IF(F69&lt;&gt;0,SUM($F$43:F69),0)</f>
        <v>0</v>
      </c>
      <c r="H69" s="1130" cm="1">
        <f t="array" ref="H69">IFERROR(IF(A69=A68,0,SUM(_xlfn._xlws.FILTER(E69:E79,(A69:A79=A69)*(E69:E79&gt;0)))),0)</f>
        <v>0</v>
      </c>
      <c r="I69" s="1130" cm="1">
        <f t="array" ref="I69">IFERROR(IF(A69=A68,0,SUM(_xlfn._xlws.FILTER(E69:E79,(A69:A79=A69)*(F69&lt;0)))),0)</f>
        <v>0</v>
      </c>
      <c r="J69"/>
      <c r="K69"/>
      <c r="L69"/>
      <c r="M69"/>
      <c r="N69"/>
    </row>
    <row r="70" spans="1:14" hidden="1">
      <c r="A70" s="452">
        <v>45687</v>
      </c>
      <c r="B70" s="453" t="s">
        <v>20</v>
      </c>
      <c r="C70" s="454">
        <v>4000</v>
      </c>
      <c r="D70" s="455">
        <v>-21.21</v>
      </c>
      <c r="E70" s="1128">
        <f ca="1">IFERROR(C70*D70*_xlfn.XLOOKUP(B70,TabCalc[Ticker],TabCalc[Scale]),0)</f>
        <v>-84840</v>
      </c>
      <c r="F70" s="1129" cm="1">
        <f t="array" aca="1" ref="F70" ca="1">IF(A70=A69,0,SUM(_xlfn._xlws.FILTER(E70:E80,A70:A80=A70)))</f>
        <v>-84840</v>
      </c>
      <c r="G70" s="1130">
        <f ca="1">IF(F70&lt;&gt;0,SUM($F$43:F70),0)</f>
        <v>471905.61199999996</v>
      </c>
      <c r="H70" s="1130" cm="1">
        <f t="array" aca="1" ref="H70" ca="1">IFERROR(IF(A70=A69,0,SUM(_xlfn._xlws.FILTER(E70:E80,(A70:A80=A70)*(E70:E80&gt;0)))),0)</f>
        <v>0</v>
      </c>
      <c r="I70" s="1130" cm="1">
        <f t="array" aca="1" ref="I70" ca="1">IFERROR(IF(A70=A69,0,SUM(_xlfn._xlws.FILTER(E70:E80,(A70:A80=A70)*(F70&lt;0)))),0)</f>
        <v>-84840</v>
      </c>
      <c r="J70"/>
      <c r="K70"/>
      <c r="L70"/>
      <c r="M70"/>
      <c r="N70"/>
    </row>
    <row r="71" spans="1:14" hidden="1">
      <c r="A71" s="466">
        <v>45688</v>
      </c>
      <c r="B71" s="448" t="s">
        <v>0</v>
      </c>
      <c r="C71" s="468">
        <v>200</v>
      </c>
      <c r="D71" s="467">
        <v>-233.95</v>
      </c>
      <c r="E71" s="1128">
        <f ca="1">IFERROR(C71*D71*_xlfn.XLOOKUP(B71,TabCalc[Ticker],TabCalc[Scale]),0)</f>
        <v>-46790</v>
      </c>
      <c r="F71" s="1129" cm="1">
        <f t="array" aca="1" ref="F71" ca="1">IF(A71=A70,0,SUM(_xlfn._xlws.FILTER(E71:E81,A71:A81=A71)))</f>
        <v>78944.12</v>
      </c>
      <c r="G71" s="1130">
        <f ca="1">IF(F71&lt;&gt;0,SUM($F$43:F71),0)</f>
        <v>550849.73199999996</v>
      </c>
      <c r="H71" s="1130" cm="1">
        <f t="array" aca="1" ref="H71" ca="1">IFERROR(IF(A71=A70,0,SUM(_xlfn._xlws.FILTER(E71:E81,(A71:A81=A71)*(E71:E81&gt;0)))),0)</f>
        <v>183640</v>
      </c>
      <c r="I71" s="1130" cm="1">
        <f t="array" aca="1" ref="I71" ca="1">IFERROR(IF(A71=A70,0,SUM(_xlfn._xlws.FILTER(E71:E81,(A71:A81=A71)*(F71&lt;0)))),0)</f>
        <v>0</v>
      </c>
      <c r="J71"/>
      <c r="K71"/>
      <c r="L71"/>
      <c r="M71"/>
      <c r="N71"/>
    </row>
    <row r="72" spans="1:14" hidden="1">
      <c r="A72" s="466">
        <v>45688</v>
      </c>
      <c r="B72" s="448" t="s">
        <v>88</v>
      </c>
      <c r="C72" s="468">
        <v>150</v>
      </c>
      <c r="D72" s="467">
        <v>-140.46</v>
      </c>
      <c r="E72" s="1128">
        <f ca="1">IFERROR(C72*D72*_xlfn.XLOOKUP(B72,TabCalc[Ticker],TabCalc[Scale]),0)</f>
        <v>-21069</v>
      </c>
      <c r="F72" s="1129" cm="1">
        <f t="array" ref="F72">IF(A72=A71,0,SUM(_xlfn._xlws.FILTER(E72:E82,A72:A82=A72)))</f>
        <v>0</v>
      </c>
      <c r="G72" s="1130">
        <f>IF(F72&lt;&gt;0,SUM($F$43:F72),0)</f>
        <v>0</v>
      </c>
      <c r="H72" s="1130" cm="1">
        <f t="array" ref="H72">IFERROR(IF(A72=A71,0,SUM(_xlfn._xlws.FILTER(E72:E82,(A72:A82=A72)*(E72:E82&gt;0)))),0)</f>
        <v>0</v>
      </c>
      <c r="I72" s="1130" cm="1">
        <f t="array" ref="I72">IFERROR(IF(A72=A71,0,SUM(_xlfn._xlws.FILTER(E72:E82,(A72:A82=A72)*(F72&lt;0)))),0)</f>
        <v>0</v>
      </c>
      <c r="J72"/>
      <c r="K72"/>
      <c r="L72"/>
      <c r="M72"/>
      <c r="N72"/>
    </row>
    <row r="73" spans="1:14" hidden="1">
      <c r="A73" s="466">
        <v>45688</v>
      </c>
      <c r="B73" s="448" t="s">
        <v>60</v>
      </c>
      <c r="C73" s="468">
        <v>2000</v>
      </c>
      <c r="D73" s="467">
        <v>31.31</v>
      </c>
      <c r="E73" s="1128">
        <f ca="1">IFERROR(C73*D73*_xlfn.XLOOKUP(B73,TabCalc[Ticker],TabCalc[Scale]),0)</f>
        <v>62620</v>
      </c>
      <c r="F73" s="1129" cm="1">
        <f t="array" ref="F73">IF(A73=A72,0,SUM(_xlfn._xlws.FILTER(E73:E83,A73:A83=A73)))</f>
        <v>0</v>
      </c>
      <c r="G73" s="1130">
        <f>IF(F73&lt;&gt;0,SUM($F$43:F73),0)</f>
        <v>0</v>
      </c>
      <c r="H73" s="1130" cm="1">
        <f t="array" ref="H73">IFERROR(IF(A73=A72,0,SUM(_xlfn._xlws.FILTER(E73:E83,(A73:A83=A73)*(E73:E83&gt;0)))),0)</f>
        <v>0</v>
      </c>
      <c r="I73" s="1130" cm="1">
        <f t="array" ref="I73">IFERROR(IF(A73=A72,0,SUM(_xlfn._xlws.FILTER(E73:E83,(A73:A83=A73)*(F73&lt;0)))),0)</f>
        <v>0</v>
      </c>
      <c r="J73"/>
      <c r="K73"/>
      <c r="L73"/>
      <c r="M73"/>
      <c r="N73"/>
    </row>
    <row r="74" spans="1:14" hidden="1">
      <c r="A74" s="466">
        <v>45688</v>
      </c>
      <c r="B74" s="448" t="s">
        <v>9</v>
      </c>
      <c r="C74" s="468">
        <v>2000</v>
      </c>
      <c r="D74" s="467">
        <v>60.51</v>
      </c>
      <c r="E74" s="1128">
        <f ca="1">IFERROR(C74*D74*_xlfn.XLOOKUP(B74,TabCalc[Ticker],TabCalc[Scale]),0)</f>
        <v>121020</v>
      </c>
      <c r="F74" s="1129" cm="1">
        <f t="array" ref="F74">IF(A74=A73,0,SUM(_xlfn._xlws.FILTER(E74:E84,A74:A84=A74)))</f>
        <v>0</v>
      </c>
      <c r="G74" s="1130">
        <f>IF(F74&lt;&gt;0,SUM($F$43:F74),0)</f>
        <v>0</v>
      </c>
      <c r="H74" s="1130" cm="1">
        <f t="array" ref="H74">IFERROR(IF(A74=A73,0,SUM(_xlfn._xlws.FILTER(E74:E84,(A74:A84=A74)*(E74:E84&gt;0)))),0)</f>
        <v>0</v>
      </c>
      <c r="I74" s="1130" cm="1">
        <f t="array" ref="I74">IFERROR(IF(A74=A73,0,SUM(_xlfn._xlws.FILTER(E74:E84,(A74:A84=A74)*(F74&lt;0)))),0)</f>
        <v>0</v>
      </c>
      <c r="J74"/>
      <c r="K74"/>
      <c r="L74"/>
      <c r="M74"/>
      <c r="N74"/>
    </row>
    <row r="75" spans="1:14" hidden="1">
      <c r="A75" s="466">
        <v>45688</v>
      </c>
      <c r="B75" s="448" t="s">
        <v>87</v>
      </c>
      <c r="C75" s="468">
        <v>1200</v>
      </c>
      <c r="D75" s="467">
        <v>-30.697399999999998</v>
      </c>
      <c r="E75" s="1128">
        <f ca="1">IFERROR(C75*D75*_xlfn.XLOOKUP(B75,TabCalc[Ticker],TabCalc[Scale]),0)</f>
        <v>-36836.879999999997</v>
      </c>
      <c r="F75" s="1129" cm="1">
        <f t="array" ref="F75">IF(A75=A74,0,SUM(_xlfn._xlws.FILTER(E75:E85,A75:A85=A75)))</f>
        <v>0</v>
      </c>
      <c r="G75" s="1130">
        <f>IF(F75&lt;&gt;0,SUM($F$43:F75),0)</f>
        <v>0</v>
      </c>
      <c r="H75" s="1130" cm="1">
        <f t="array" ref="H75">IFERROR(IF(A75=A74,0,SUM(_xlfn._xlws.FILTER(E75:E85,(A75:A85=A75)*(E75:E85&gt;0)))),0)</f>
        <v>0</v>
      </c>
      <c r="I75" s="1130" cm="1">
        <f t="array" ref="I75">IFERROR(IF(A75=A74,0,SUM(_xlfn._xlws.FILTER(E75:E85,(A75:A85=A75)*(F75&lt;0)))),0)</f>
        <v>0</v>
      </c>
      <c r="J75"/>
      <c r="K75"/>
      <c r="L75"/>
      <c r="M75"/>
      <c r="N75"/>
    </row>
    <row r="76" spans="1:14" hidden="1">
      <c r="A76" s="452">
        <v>45692</v>
      </c>
      <c r="B76" s="453" t="s">
        <v>0</v>
      </c>
      <c r="C76" s="454">
        <v>300</v>
      </c>
      <c r="D76" s="455">
        <v>-230.7</v>
      </c>
      <c r="E76" s="1128">
        <f ca="1">IFERROR(C76*D76*_xlfn.XLOOKUP(B76,TabCalc[Ticker],TabCalc[Scale]),0)</f>
        <v>-69210</v>
      </c>
      <c r="F76" s="1129" cm="1">
        <f t="array" aca="1" ref="F76" ca="1">IF(A76=A75,0,SUM(_xlfn._xlws.FILTER(E76:E86,A76:A86=A76)))</f>
        <v>170520</v>
      </c>
      <c r="G76" s="1130">
        <f ca="1">IF(F76&lt;&gt;0,SUM($F$43:F76),0)</f>
        <v>721369.73199999996</v>
      </c>
      <c r="H76" s="1130" cm="1">
        <f t="array" aca="1" ref="H76" ca="1">IFERROR(IF(A76=A75,0,SUM(_xlfn._xlws.FILTER(E76:E86,(A76:A86=A76)*(E76:E86&gt;0)))),0)</f>
        <v>239730</v>
      </c>
      <c r="I76" s="1130" cm="1">
        <f t="array" aca="1" ref="I76" ca="1">IFERROR(IF(A76=A75,0,SUM(_xlfn._xlws.FILTER(E76:E86,(A76:A86=A76)*(F76&lt;0)))),0)</f>
        <v>0</v>
      </c>
      <c r="J76"/>
      <c r="K76"/>
      <c r="L76"/>
      <c r="M76"/>
      <c r="N76"/>
    </row>
    <row r="77" spans="1:14" hidden="1">
      <c r="A77" s="452">
        <v>45692</v>
      </c>
      <c r="B77" s="453" t="s">
        <v>13</v>
      </c>
      <c r="C77" s="454">
        <v>1000</v>
      </c>
      <c r="D77" s="455">
        <v>39.119999999999997</v>
      </c>
      <c r="E77" s="1128">
        <f ca="1">IFERROR(C77*D77*_xlfn.XLOOKUP(B77,TabCalc[Ticker],TabCalc[Scale]),0)</f>
        <v>39120</v>
      </c>
      <c r="F77" s="1129" cm="1">
        <f t="array" ref="F77">IF(A77=A76,0,SUM(_xlfn._xlws.FILTER(E77:E87,A77:A87=A77)))</f>
        <v>0</v>
      </c>
      <c r="G77" s="1130">
        <f>IF(F77&lt;&gt;0,SUM($F$43:F77),0)</f>
        <v>0</v>
      </c>
      <c r="H77" s="1130" cm="1">
        <f t="array" ref="H77">IFERROR(IF(A77=A76,0,SUM(_xlfn._xlws.FILTER(E77:E87,(A77:A87=A77)*(E77:E87&gt;0)))),0)</f>
        <v>0</v>
      </c>
      <c r="I77" s="1130" cm="1">
        <f t="array" ref="I77">IFERROR(IF(A77=A76,0,SUM(_xlfn._xlws.FILTER(E77:E87,(A77:A87=A77)*(F77&lt;0)))),0)</f>
        <v>0</v>
      </c>
      <c r="J77"/>
      <c r="K77"/>
      <c r="L77"/>
      <c r="M77"/>
      <c r="N77"/>
    </row>
    <row r="78" spans="1:14" hidden="1">
      <c r="A78" s="452">
        <v>45692</v>
      </c>
      <c r="B78" s="453" t="s">
        <v>13</v>
      </c>
      <c r="C78" s="454">
        <v>2000</v>
      </c>
      <c r="D78" s="455">
        <v>40.119999999999997</v>
      </c>
      <c r="E78" s="1128">
        <f ca="1">IFERROR(C78*D78*_xlfn.XLOOKUP(B78,TabCalc[Ticker],TabCalc[Scale]),0)</f>
        <v>80240</v>
      </c>
      <c r="F78" s="1129" cm="1">
        <f t="array" ref="F78">IF(A78=A77,0,SUM(_xlfn._xlws.FILTER(E78:E88,A78:A88=A78)))</f>
        <v>0</v>
      </c>
      <c r="G78" s="1130">
        <f>IF(F78&lt;&gt;0,SUM($F$43:F78),0)</f>
        <v>0</v>
      </c>
      <c r="H78" s="1130" cm="1">
        <f t="array" ref="H78">IFERROR(IF(A78=A77,0,SUM(_xlfn._xlws.FILTER(E78:E88,(A78:A88=A78)*(E78:E88&gt;0)))),0)</f>
        <v>0</v>
      </c>
      <c r="I78" s="1130" cm="1">
        <f t="array" ref="I78">IFERROR(IF(A78=A77,0,SUM(_xlfn._xlws.FILTER(E78:E88,(A78:A88=A78)*(F78&lt;0)))),0)</f>
        <v>0</v>
      </c>
      <c r="J78"/>
      <c r="K78"/>
      <c r="L78"/>
      <c r="M78"/>
      <c r="N78"/>
    </row>
    <row r="79" spans="1:14" hidden="1">
      <c r="A79" s="452">
        <v>45692</v>
      </c>
      <c r="B79" s="453" t="s">
        <v>56</v>
      </c>
      <c r="C79" s="454">
        <v>1000</v>
      </c>
      <c r="D79" s="455">
        <v>39.549999999999997</v>
      </c>
      <c r="E79" s="1128">
        <f ca="1">IFERROR(C79*D79*_xlfn.XLOOKUP(B79,TabCalc[Ticker],TabCalc[Scale]),0)</f>
        <v>39550</v>
      </c>
      <c r="F79" s="1129" cm="1">
        <f t="array" ref="F79">IF(A79=A78,0,SUM(_xlfn._xlws.FILTER(E79:E89,A79:A89=A79)))</f>
        <v>0</v>
      </c>
      <c r="G79" s="1130">
        <f>IF(F79&lt;&gt;0,SUM($F$43:F79),0)</f>
        <v>0</v>
      </c>
      <c r="H79" s="1130" cm="1">
        <f t="array" ref="H79">IFERROR(IF(A79=A78,0,SUM(_xlfn._xlws.FILTER(E79:E89,(A79:A89=A79)*(E79:E89&gt;0)))),0)</f>
        <v>0</v>
      </c>
      <c r="I79" s="1130" cm="1">
        <f t="array" ref="I79">IFERROR(IF(A79=A78,0,SUM(_xlfn._xlws.FILTER(E79:E89,(A79:A89=A79)*(F79&lt;0)))),0)</f>
        <v>0</v>
      </c>
      <c r="J79"/>
      <c r="K79"/>
      <c r="L79"/>
      <c r="M79"/>
      <c r="N79"/>
    </row>
    <row r="80" spans="1:14" hidden="1">
      <c r="A80" s="452">
        <v>45692</v>
      </c>
      <c r="B80" s="453" t="s">
        <v>56</v>
      </c>
      <c r="C80" s="454">
        <v>2000</v>
      </c>
      <c r="D80" s="455">
        <v>40.409999999999997</v>
      </c>
      <c r="E80" s="1128">
        <f ca="1">IFERROR(C80*D80*_xlfn.XLOOKUP(B80,TabCalc[Ticker],TabCalc[Scale]),0)</f>
        <v>80820</v>
      </c>
      <c r="F80" s="1129" cm="1">
        <f t="array" ref="F80">IF(A80=A79,0,SUM(_xlfn._xlws.FILTER(E80:E90,A80:A90=A80)))</f>
        <v>0</v>
      </c>
      <c r="G80" s="1130">
        <f>IF(F80&lt;&gt;0,SUM($F$43:F80),0)</f>
        <v>0</v>
      </c>
      <c r="H80" s="1130" cm="1">
        <f t="array" ref="H80">IFERROR(IF(A80=A79,0,SUM(_xlfn._xlws.FILTER(E80:E90,(A80:A90=A80)*(E80:E90&gt;0)))),0)</f>
        <v>0</v>
      </c>
      <c r="I80" s="1130" cm="1">
        <f t="array" ref="I80">IFERROR(IF(A80=A79,0,SUM(_xlfn._xlws.FILTER(E80:E90,(A80:A90=A80)*(F80&lt;0)))),0)</f>
        <v>0</v>
      </c>
      <c r="J80"/>
      <c r="K80"/>
      <c r="L80"/>
      <c r="M80"/>
      <c r="N80"/>
    </row>
    <row r="81" spans="1:14" hidden="1">
      <c r="A81" s="466">
        <v>45693</v>
      </c>
      <c r="B81" s="448" t="s">
        <v>65</v>
      </c>
      <c r="C81" s="468">
        <v>250</v>
      </c>
      <c r="D81" s="467">
        <v>-236.91</v>
      </c>
      <c r="E81" s="1128">
        <f ca="1">IFERROR(C81*D81*_xlfn.XLOOKUP(B81,TabCalc[Ticker],TabCalc[Scale]),0)</f>
        <v>-59227.5</v>
      </c>
      <c r="F81" s="1129" cm="1">
        <f t="array" aca="1" ref="F81" ca="1">IF(A81=A80,0,SUM(_xlfn._xlws.FILTER(E81:E91,A81:A91=A81)))</f>
        <v>115626.432</v>
      </c>
      <c r="G81" s="1130">
        <f ca="1">IF(F81&lt;&gt;0,SUM($F$43:F81),0)</f>
        <v>836996.16399999999</v>
      </c>
      <c r="H81" s="1130" cm="1">
        <f t="array" aca="1" ref="H81" ca="1">IFERROR(IF(A81=A80,0,SUM(_xlfn._xlws.FILTER(E81:E91,(A81:A91=A81)*(E81:E91&gt;0)))),0)</f>
        <v>372004.13199999998</v>
      </c>
      <c r="I81" s="1130" cm="1">
        <f t="array" aca="1" ref="I81" ca="1">IFERROR(IF(A81=A80,0,SUM(_xlfn._xlws.FILTER(E81:E91,(A81:A91=A81)*(F81&lt;0)))),0)</f>
        <v>0</v>
      </c>
      <c r="J81"/>
      <c r="K81"/>
      <c r="L81"/>
      <c r="M81"/>
      <c r="N81"/>
    </row>
    <row r="82" spans="1:14" hidden="1">
      <c r="A82" s="466">
        <v>45693</v>
      </c>
      <c r="B82" s="448" t="s">
        <v>13</v>
      </c>
      <c r="C82" s="468">
        <v>1000</v>
      </c>
      <c r="D82" s="467">
        <v>40.700000000000003</v>
      </c>
      <c r="E82" s="1128">
        <f ca="1">IFERROR(C82*D82*_xlfn.XLOOKUP(B82,TabCalc[Ticker],TabCalc[Scale]),0)</f>
        <v>40700</v>
      </c>
      <c r="F82" s="1129" cm="1">
        <f t="array" ref="F82">IF(A82=A81,0,SUM(_xlfn._xlws.FILTER(E82:E92,A82:A92=A82)))</f>
        <v>0</v>
      </c>
      <c r="G82" s="1130">
        <f>IF(F82&lt;&gt;0,SUM($F$43:F82),0)</f>
        <v>0</v>
      </c>
      <c r="H82" s="1130" cm="1">
        <f t="array" ref="H82">IFERROR(IF(A82=A81,0,SUM(_xlfn._xlws.FILTER(E82:E92,(A82:A92=A82)*(E82:E92&gt;0)))),0)</f>
        <v>0</v>
      </c>
      <c r="I82" s="1130" cm="1">
        <f t="array" ref="I82">IFERROR(IF(A82=A81,0,SUM(_xlfn._xlws.FILTER(E82:E92,(A82:A92=A82)*(F82&lt;0)))),0)</f>
        <v>0</v>
      </c>
      <c r="J82"/>
      <c r="K82"/>
      <c r="L82"/>
      <c r="M82"/>
      <c r="N82"/>
    </row>
    <row r="83" spans="1:14" hidden="1">
      <c r="A83" s="466">
        <v>45693</v>
      </c>
      <c r="B83" s="448" t="s">
        <v>36</v>
      </c>
      <c r="C83" s="468">
        <v>100</v>
      </c>
      <c r="D83" s="467">
        <v>-382.16199999999998</v>
      </c>
      <c r="E83" s="1128">
        <f ca="1">IFERROR(C83*D83*_xlfn.XLOOKUP(B83,TabCalc[Ticker],TabCalc[Scale]),0)</f>
        <v>-38216.199999999997</v>
      </c>
      <c r="F83" s="1129" cm="1">
        <f t="array" ref="F83">IF(A83=A82,0,SUM(_xlfn._xlws.FILTER(E83:E93,A83:A93=A83)))</f>
        <v>0</v>
      </c>
      <c r="G83" s="1130">
        <f>IF(F83&lt;&gt;0,SUM($F$43:F83),0)</f>
        <v>0</v>
      </c>
      <c r="H83" s="1130" cm="1">
        <f t="array" ref="H83">IFERROR(IF(A83=A82,0,SUM(_xlfn._xlws.FILTER(E83:E93,(A83:A93=A83)*(E83:E93&gt;0)))),0)</f>
        <v>0</v>
      </c>
      <c r="I83" s="1130" cm="1">
        <f t="array" ref="I83">IFERROR(IF(A83=A82,0,SUM(_xlfn._xlws.FILTER(E83:E93,(A83:A93=A83)*(F83&lt;0)))),0)</f>
        <v>0</v>
      </c>
      <c r="J83"/>
      <c r="K83"/>
      <c r="L83"/>
      <c r="M83"/>
      <c r="N83"/>
    </row>
    <row r="84" spans="1:14" hidden="1">
      <c r="A84" s="466">
        <v>45693</v>
      </c>
      <c r="B84" s="448" t="s">
        <v>20</v>
      </c>
      <c r="C84" s="468">
        <v>4000</v>
      </c>
      <c r="D84" s="467">
        <v>21.358283</v>
      </c>
      <c r="E84" s="1128">
        <f ca="1">IFERROR(C84*D84*_xlfn.XLOOKUP(B84,TabCalc[Ticker],TabCalc[Scale]),0)</f>
        <v>85433.131999999998</v>
      </c>
      <c r="F84" s="1129" cm="1">
        <f t="array" ref="F84">IF(A84=A83,0,SUM(_xlfn._xlws.FILTER(E84:E94,A84:A94=A84)))</f>
        <v>0</v>
      </c>
      <c r="G84" s="1130">
        <f>IF(F84&lt;&gt;0,SUM($F$43:F84),0)</f>
        <v>0</v>
      </c>
      <c r="H84" s="1130" cm="1">
        <f t="array" ref="H84">IFERROR(IF(A84=A83,0,SUM(_xlfn._xlws.FILTER(E84:E94,(A84:A94=A84)*(E84:E94&gt;0)))),0)</f>
        <v>0</v>
      </c>
      <c r="I84" s="1130" cm="1">
        <f t="array" ref="I84">IFERROR(IF(A84=A83,0,SUM(_xlfn._xlws.FILTER(E84:E94,(A84:A94=A84)*(F84&lt;0)))),0)</f>
        <v>0</v>
      </c>
      <c r="J84"/>
      <c r="K84"/>
      <c r="L84"/>
      <c r="M84"/>
      <c r="N84"/>
    </row>
    <row r="85" spans="1:14" hidden="1">
      <c r="A85" s="466">
        <v>45693</v>
      </c>
      <c r="B85" s="448" t="s">
        <v>3</v>
      </c>
      <c r="C85" s="468">
        <v>400</v>
      </c>
      <c r="D85" s="467">
        <v>-236.70750000000001</v>
      </c>
      <c r="E85" s="1128">
        <f ca="1">IFERROR(C85*D85*_xlfn.XLOOKUP(B85,TabCalc[Ticker],TabCalc[Scale]),0)</f>
        <v>-94683</v>
      </c>
      <c r="F85" s="1129" cm="1">
        <f t="array" ref="F85">IF(A85=A84,0,SUM(_xlfn._xlws.FILTER(E85:E95,A85:A95=A85)))</f>
        <v>0</v>
      </c>
      <c r="G85" s="1130">
        <f>IF(F85&lt;&gt;0,SUM($F$43:F85),0)</f>
        <v>0</v>
      </c>
      <c r="H85" s="1130" cm="1">
        <f t="array" ref="H85">IFERROR(IF(A85=A84,0,SUM(_xlfn._xlws.FILTER(E85:E95,(A85:A95=A85)*(E85:E95&gt;0)))),0)</f>
        <v>0</v>
      </c>
      <c r="I85" s="1130" cm="1">
        <f t="array" ref="I85">IFERROR(IF(A85=A84,0,SUM(_xlfn._xlws.FILTER(E85:E95,(A85:A95=A85)*(F85&lt;0)))),0)</f>
        <v>0</v>
      </c>
      <c r="J85"/>
      <c r="K85"/>
      <c r="L85"/>
      <c r="M85"/>
      <c r="N85"/>
    </row>
    <row r="86" spans="1:14" hidden="1">
      <c r="A86" s="466">
        <v>45693</v>
      </c>
      <c r="B86" s="448" t="s">
        <v>23</v>
      </c>
      <c r="C86" s="468">
        <v>1000</v>
      </c>
      <c r="D86" s="467">
        <v>65.63</v>
      </c>
      <c r="E86" s="1128">
        <f ca="1">IFERROR(C86*D86*_xlfn.XLOOKUP(B86,TabCalc[Ticker],TabCalc[Scale]),0)</f>
        <v>65630</v>
      </c>
      <c r="F86" s="1129" cm="1">
        <f t="array" ref="F86">IF(A86=A85,0,SUM(_xlfn._xlws.FILTER(E86:E96,A86:A96=A86)))</f>
        <v>0</v>
      </c>
      <c r="G86" s="1130">
        <f>IF(F86&lt;&gt;0,SUM($F$43:F86),0)</f>
        <v>0</v>
      </c>
      <c r="H86" s="1130" cm="1">
        <f t="array" ref="H86">IFERROR(IF(A86=A85,0,SUM(_xlfn._xlws.FILTER(E86:E96,(A86:A96=A86)*(E86:E96&gt;0)))),0)</f>
        <v>0</v>
      </c>
      <c r="I86" s="1130" cm="1">
        <f t="array" ref="I86">IFERROR(IF(A86=A85,0,SUM(_xlfn._xlws.FILTER(E86:E96,(A86:A96=A86)*(F86&lt;0)))),0)</f>
        <v>0</v>
      </c>
      <c r="J86"/>
      <c r="K86"/>
      <c r="L86"/>
      <c r="M86"/>
      <c r="N86"/>
    </row>
    <row r="87" spans="1:14" hidden="1">
      <c r="A87" s="466">
        <v>45693</v>
      </c>
      <c r="B87" s="448" t="s">
        <v>64</v>
      </c>
      <c r="C87" s="468">
        <v>20000</v>
      </c>
      <c r="D87" s="467">
        <v>4.5999999999999996</v>
      </c>
      <c r="E87" s="1128">
        <f ca="1">IFERROR(C87*D87*_xlfn.XLOOKUP(B87,TabCalc[Ticker],TabCalc[Scale]),0)</f>
        <v>92000</v>
      </c>
      <c r="F87" s="1129" cm="1">
        <f t="array" ref="F87">IF(A87=A86,0,SUM(_xlfn._xlws.FILTER(E87:E97,A87:A97=A87)))</f>
        <v>0</v>
      </c>
      <c r="G87" s="1130">
        <f>IF(F87&lt;&gt;0,SUM($F$43:F87),0)</f>
        <v>0</v>
      </c>
      <c r="H87" s="1130" cm="1">
        <f t="array" ref="H87">IFERROR(IF(A87=A86,0,SUM(_xlfn._xlws.FILTER(E87:E97,(A87:A97=A87)*(E87:E97&gt;0)))),0)</f>
        <v>0</v>
      </c>
      <c r="I87" s="1130" cm="1">
        <f t="array" ref="I87">IFERROR(IF(A87=A86,0,SUM(_xlfn._xlws.FILTER(E87:E97,(A87:A97=A87)*(F87&lt;0)))),0)</f>
        <v>0</v>
      </c>
      <c r="J87"/>
      <c r="K87"/>
      <c r="L87"/>
      <c r="M87"/>
      <c r="N87"/>
    </row>
    <row r="88" spans="1:14" hidden="1">
      <c r="A88" s="466">
        <v>45693</v>
      </c>
      <c r="B88" s="448" t="s">
        <v>77</v>
      </c>
      <c r="C88" s="468">
        <v>9000</v>
      </c>
      <c r="D88" s="467">
        <v>529.4</v>
      </c>
      <c r="E88" s="1128">
        <f ca="1">IFERROR(C88*D88*_xlfn.XLOOKUP(B88,TabCalc[Ticker],TabCalc[Scale]),0)</f>
        <v>47646</v>
      </c>
      <c r="F88" s="1129" cm="1">
        <f t="array" ref="F88">IF(A88=A87,0,SUM(_xlfn._xlws.FILTER(E88:E98,A88:A98=A88)))</f>
        <v>0</v>
      </c>
      <c r="G88" s="1130">
        <f>IF(F88&lt;&gt;0,SUM($F$43:F88),0)</f>
        <v>0</v>
      </c>
      <c r="H88" s="1130" cm="1">
        <f t="array" ref="H88">IFERROR(IF(A88=A87,0,SUM(_xlfn._xlws.FILTER(E88:E98,(A88:A98=A88)*(E88:E98&gt;0)))),0)</f>
        <v>0</v>
      </c>
      <c r="I88" s="1130" cm="1">
        <f t="array" ref="I88">IFERROR(IF(A88=A87,0,SUM(_xlfn._xlws.FILTER(E88:E98,(A88:A98=A88)*(F88&lt;0)))),0)</f>
        <v>0</v>
      </c>
      <c r="J88"/>
      <c r="K88"/>
      <c r="L88"/>
      <c r="M88"/>
      <c r="N88"/>
    </row>
    <row r="89" spans="1:14" hidden="1">
      <c r="A89" s="466">
        <v>45693</v>
      </c>
      <c r="B89" s="448" t="s">
        <v>80</v>
      </c>
      <c r="C89" s="468">
        <v>450</v>
      </c>
      <c r="D89" s="467">
        <v>-142.78</v>
      </c>
      <c r="E89" s="1128">
        <f ca="1">IFERROR(C89*D89*_xlfn.XLOOKUP(B89,TabCalc[Ticker],TabCalc[Scale]),0)</f>
        <v>-64251</v>
      </c>
      <c r="F89" s="1129" cm="1">
        <f t="array" ref="F89">IF(A89=A88,0,SUM(_xlfn._xlws.FILTER(E89:E99,A89:A99=A89)))</f>
        <v>0</v>
      </c>
      <c r="G89" s="1130">
        <f>IF(F89&lt;&gt;0,SUM($F$43:F89),0)</f>
        <v>0</v>
      </c>
      <c r="H89" s="1130" cm="1">
        <f t="array" ref="H89">IFERROR(IF(A89=A88,0,SUM(_xlfn._xlws.FILTER(E89:E99,(A89:A99=A89)*(E89:E99&gt;0)))),0)</f>
        <v>0</v>
      </c>
      <c r="I89" s="1130" cm="1">
        <f t="array" ref="I89">IFERROR(IF(A89=A88,0,SUM(_xlfn._xlws.FILTER(E89:E99,(A89:A99=A89)*(F89&lt;0)))),0)</f>
        <v>0</v>
      </c>
      <c r="J89"/>
      <c r="K89"/>
      <c r="L89"/>
      <c r="M89"/>
      <c r="N89"/>
    </row>
    <row r="90" spans="1:14" hidden="1">
      <c r="A90" s="466">
        <v>45693</v>
      </c>
      <c r="B90" s="448" t="s">
        <v>13</v>
      </c>
      <c r="C90" s="468">
        <v>1000</v>
      </c>
      <c r="D90" s="467">
        <v>40.594999999999999</v>
      </c>
      <c r="E90" s="1128">
        <f ca="1">IFERROR(C90*D90*_xlfn.XLOOKUP(B90,TabCalc[Ticker],TabCalc[Scale]),0)</f>
        <v>40595</v>
      </c>
      <c r="F90" s="1129" cm="1">
        <f t="array" ref="F90">IF(A90=A89,0,SUM(_xlfn._xlws.FILTER(E90:E100,A90:A100=A90)))</f>
        <v>0</v>
      </c>
      <c r="G90" s="1130">
        <f>IF(F90&lt;&gt;0,SUM($F$43:F90),0)</f>
        <v>0</v>
      </c>
      <c r="H90" s="1130" cm="1">
        <f t="array" ref="H90">IFERROR(IF(A90=A89,0,SUM(_xlfn._xlws.FILTER(E90:E100,(A90:A100=A90)*(E90:E100&gt;0)))),0)</f>
        <v>0</v>
      </c>
      <c r="I90" s="1130" cm="1">
        <f t="array" ref="I90">IFERROR(IF(A90=A89,0,SUM(_xlfn._xlws.FILTER(E90:E100,(A90:A100=A90)*(F90&lt;0)))),0)</f>
        <v>0</v>
      </c>
      <c r="J90"/>
      <c r="K90"/>
      <c r="L90"/>
      <c r="M90"/>
      <c r="N90"/>
    </row>
    <row r="91" spans="1:14" hidden="1">
      <c r="A91" s="452">
        <v>45694</v>
      </c>
      <c r="B91" s="453" t="s">
        <v>4</v>
      </c>
      <c r="C91" s="454">
        <v>10000</v>
      </c>
      <c r="D91" s="455">
        <v>-1.1000000000000001</v>
      </c>
      <c r="E91" s="1128">
        <f ca="1">IFERROR(C91*D91*_xlfn.XLOOKUP(B91,TabCalc[Ticker],TabCalc[Scale]),0)</f>
        <v>-11000</v>
      </c>
      <c r="F91" s="1129" cm="1">
        <f t="array" aca="1" ref="F91" ca="1">IF(A91=A90,0,SUM(_xlfn._xlws.FILTER(E91:E101,A91:A101=A91)))</f>
        <v>-163864.0001</v>
      </c>
      <c r="G91" s="1130">
        <f ca="1">IF(F91&lt;&gt;0,SUM($F$43:F91),0)</f>
        <v>673132.16390000004</v>
      </c>
      <c r="H91" s="1130" cm="1">
        <f t="array" aca="1" ref="H91" ca="1">IFERROR(IF(A91=A90,0,SUM(_xlfn._xlws.FILTER(E91:E101,(A91:A101=A91)*(E91:E101&gt;0)))),0)</f>
        <v>178688.69990000001</v>
      </c>
      <c r="I91" s="1130" cm="1">
        <f t="array" aca="1" ref="I91" ca="1">IFERROR(IF(A91=A90,0,SUM(_xlfn._xlws.FILTER(E91:E101,(A91:A101=A91)*(F91&lt;0)))),0)</f>
        <v>-163864.0001</v>
      </c>
      <c r="J91"/>
      <c r="K91"/>
      <c r="L91"/>
      <c r="M91"/>
      <c r="N91"/>
    </row>
    <row r="92" spans="1:14" hidden="1">
      <c r="A92" s="452">
        <v>45694</v>
      </c>
      <c r="B92" s="453" t="s">
        <v>76</v>
      </c>
      <c r="C92" s="454">
        <v>1000</v>
      </c>
      <c r="D92" s="455">
        <v>34.524999999999999</v>
      </c>
      <c r="E92" s="1128">
        <f ca="1">IFERROR(C92*D92*_xlfn.XLOOKUP(B92,TabCalc[Ticker],TabCalc[Scale]),0)</f>
        <v>34525</v>
      </c>
      <c r="F92" s="1129" cm="1">
        <f t="array" ref="F92">IF(A92=A91,0,SUM(_xlfn._xlws.FILTER(E92:E102,A92:A102=A92)))</f>
        <v>0</v>
      </c>
      <c r="G92" s="1130">
        <f>IF(F92&lt;&gt;0,SUM($F$43:F92),0)</f>
        <v>0</v>
      </c>
      <c r="H92" s="1130" cm="1">
        <f t="array" ref="H92">IFERROR(IF(A92=A91,0,SUM(_xlfn._xlws.FILTER(E92:E102,(A92:A102=A92)*(E92:E102&gt;0)))),0)</f>
        <v>0</v>
      </c>
      <c r="I92" s="1130" cm="1">
        <f t="array" ref="I92">IFERROR(IF(A92=A91,0,SUM(_xlfn._xlws.FILTER(E92:E102,(A92:A102=A92)*(F92&lt;0)))),0)</f>
        <v>0</v>
      </c>
      <c r="J92"/>
      <c r="K92"/>
      <c r="L92"/>
      <c r="M92"/>
      <c r="N92"/>
    </row>
    <row r="93" spans="1:14" hidden="1">
      <c r="A93" s="452">
        <v>45694</v>
      </c>
      <c r="B93" s="453" t="s">
        <v>11</v>
      </c>
      <c r="C93" s="454">
        <v>15000</v>
      </c>
      <c r="D93" s="455">
        <v>4.6399999999999997</v>
      </c>
      <c r="E93" s="1128">
        <f ca="1">IFERROR(C93*D93*_xlfn.XLOOKUP(B93,TabCalc[Ticker],TabCalc[Scale]),0)</f>
        <v>69600</v>
      </c>
      <c r="F93" s="1129" cm="1">
        <f t="array" ref="F93">IF(A93=A92,0,SUM(_xlfn._xlws.FILTER(E93:E103,A93:A103=A93)))</f>
        <v>0</v>
      </c>
      <c r="G93" s="1130">
        <f>IF(F93&lt;&gt;0,SUM($F$43:F93),0)</f>
        <v>0</v>
      </c>
      <c r="H93" s="1130" cm="1">
        <f t="array" ref="H93">IFERROR(IF(A93=A92,0,SUM(_xlfn._xlws.FILTER(E93:E103,(A93:A103=A93)*(E93:E103&gt;0)))),0)</f>
        <v>0</v>
      </c>
      <c r="I93" s="1130" cm="1">
        <f t="array" ref="I93">IFERROR(IF(A93=A92,0,SUM(_xlfn._xlws.FILTER(E93:E103,(A93:A103=A93)*(F93&lt;0)))),0)</f>
        <v>0</v>
      </c>
      <c r="J93"/>
      <c r="K93"/>
      <c r="L93"/>
      <c r="M93"/>
      <c r="N93"/>
    </row>
    <row r="94" spans="1:14" hidden="1">
      <c r="A94" s="452">
        <v>45694</v>
      </c>
      <c r="B94" s="453" t="s">
        <v>61</v>
      </c>
      <c r="C94" s="454">
        <v>363</v>
      </c>
      <c r="D94" s="455">
        <v>-42.2</v>
      </c>
      <c r="E94" s="1128">
        <f ca="1">IFERROR(C94*D94*_xlfn.XLOOKUP(B94,TabCalc[Ticker],TabCalc[Scale]),0)</f>
        <v>-15318.6</v>
      </c>
      <c r="F94" s="1129" cm="1">
        <f t="array" ref="F94">IF(A94=A93,0,SUM(_xlfn._xlws.FILTER(E94:E104,A94:A104=A94)))</f>
        <v>0</v>
      </c>
      <c r="G94" s="1130">
        <f>IF(F94&lt;&gt;0,SUM($F$43:F94),0)</f>
        <v>0</v>
      </c>
      <c r="H94" s="1130" cm="1">
        <f t="array" ref="H94">IFERROR(IF(A94=A93,0,SUM(_xlfn._xlws.FILTER(E94:E104,(A94:A104=A94)*(E94:E104&gt;0)))),0)</f>
        <v>0</v>
      </c>
      <c r="I94" s="1130" cm="1">
        <f t="array" ref="I94">IFERROR(IF(A94=A93,0,SUM(_xlfn._xlws.FILTER(E94:E104,(A94:A104=A94)*(F94&lt;0)))),0)</f>
        <v>0</v>
      </c>
      <c r="J94"/>
      <c r="K94"/>
      <c r="L94"/>
      <c r="M94"/>
      <c r="N94"/>
    </row>
    <row r="95" spans="1:14" hidden="1">
      <c r="A95" s="452">
        <v>45694</v>
      </c>
      <c r="B95" s="453" t="s">
        <v>22</v>
      </c>
      <c r="C95" s="454">
        <v>10000</v>
      </c>
      <c r="D95" s="455">
        <v>362.61099999999999</v>
      </c>
      <c r="E95" s="1128">
        <f ca="1">IFERROR(C95*D95*_xlfn.XLOOKUP(B95,TabCalc[Ticker],TabCalc[Scale]),0)</f>
        <v>36261.1</v>
      </c>
      <c r="F95" s="1129" cm="1">
        <f t="array" ref="F95">IF(A95=A94,0,SUM(_xlfn._xlws.FILTER(E95:E105,A95:A105=A95)))</f>
        <v>0</v>
      </c>
      <c r="G95" s="1130">
        <f>IF(F95&lt;&gt;0,SUM($F$43:F95),0)</f>
        <v>0</v>
      </c>
      <c r="H95" s="1130" cm="1">
        <f t="array" ref="H95">IFERROR(IF(A95=A94,0,SUM(_xlfn._xlws.FILTER(E95:E105,(A95:A105=A95)*(E95:E105&gt;0)))),0)</f>
        <v>0</v>
      </c>
      <c r="I95" s="1130" cm="1">
        <f t="array" ref="I95">IFERROR(IF(A95=A94,0,SUM(_xlfn._xlws.FILTER(E95:E105,(A95:A105=A95)*(F95&lt;0)))),0)</f>
        <v>0</v>
      </c>
      <c r="J95"/>
      <c r="K95"/>
      <c r="L95"/>
      <c r="M95"/>
      <c r="N95"/>
    </row>
    <row r="96" spans="1:14" hidden="1">
      <c r="A96" s="452">
        <v>45694</v>
      </c>
      <c r="B96" s="453" t="s">
        <v>28</v>
      </c>
      <c r="C96" s="454">
        <v>1000</v>
      </c>
      <c r="D96" s="455">
        <v>-68.929749999999999</v>
      </c>
      <c r="E96" s="1128">
        <f ca="1">IFERROR(C96*D96*_xlfn.XLOOKUP(B96,TabCalc[Ticker],TabCalc[Scale]),0)</f>
        <v>-68929.75</v>
      </c>
      <c r="F96" s="1129" cm="1">
        <f t="array" ref="F96">IF(A96=A95,0,SUM(_xlfn._xlws.FILTER(E96:E106,A96:A106=A96)))</f>
        <v>0</v>
      </c>
      <c r="G96" s="1130">
        <f>IF(F96&lt;&gt;0,SUM($F$43:F96),0)</f>
        <v>0</v>
      </c>
      <c r="H96" s="1130" cm="1">
        <f t="array" ref="H96">IFERROR(IF(A96=A95,0,SUM(_xlfn._xlws.FILTER(E96:E106,(A96:A106=A96)*(E96:E106&gt;0)))),0)</f>
        <v>0</v>
      </c>
      <c r="I96" s="1130" cm="1">
        <f t="array" ref="I96">IFERROR(IF(A96=A95,0,SUM(_xlfn._xlws.FILTER(E96:E106,(A96:A106=A96)*(F96&lt;0)))),0)</f>
        <v>0</v>
      </c>
      <c r="J96"/>
      <c r="K96"/>
      <c r="L96"/>
      <c r="M96"/>
      <c r="N96"/>
    </row>
    <row r="97" spans="1:14" hidden="1">
      <c r="A97" s="452">
        <v>45694</v>
      </c>
      <c r="B97" s="453" t="s">
        <v>83</v>
      </c>
      <c r="C97" s="454">
        <v>4500</v>
      </c>
      <c r="D97" s="455">
        <v>-9.75</v>
      </c>
      <c r="E97" s="1128">
        <f ca="1">IFERROR(C97*D97*_xlfn.XLOOKUP(B97,TabCalc[Ticker],TabCalc[Scale]),0)</f>
        <v>-43875</v>
      </c>
      <c r="F97" s="1129" cm="1">
        <f t="array" ref="F97">IF(A97=A96,0,SUM(_xlfn._xlws.FILTER(E97:E107,A97:A107=A97)))</f>
        <v>0</v>
      </c>
      <c r="G97" s="1130">
        <f>IF(F97&lt;&gt;0,SUM($F$43:F97),0)</f>
        <v>0</v>
      </c>
      <c r="H97" s="1130" cm="1">
        <f t="array" ref="H97">IFERROR(IF(A97=A96,0,SUM(_xlfn._xlws.FILTER(E97:E107,(A97:A107=A97)*(E97:E107&gt;0)))),0)</f>
        <v>0</v>
      </c>
      <c r="I97" s="1130" cm="1">
        <f t="array" ref="I97">IFERROR(IF(A97=A96,0,SUM(_xlfn._xlws.FILTER(E97:E107,(A97:A107=A97)*(F97&lt;0)))),0)</f>
        <v>0</v>
      </c>
      <c r="J97"/>
      <c r="K97"/>
      <c r="L97"/>
      <c r="M97"/>
      <c r="N97"/>
    </row>
    <row r="98" spans="1:14" hidden="1">
      <c r="A98" s="452">
        <v>45694</v>
      </c>
      <c r="B98" s="453" t="s">
        <v>37</v>
      </c>
      <c r="C98" s="454">
        <v>4000</v>
      </c>
      <c r="D98" s="455">
        <v>-29.234999999999999</v>
      </c>
      <c r="E98" s="1128">
        <f ca="1">IFERROR(C98*D98*_xlfn.XLOOKUP(B98,TabCalc[Ticker],TabCalc[Scale]),0)</f>
        <v>-116940</v>
      </c>
      <c r="F98" s="1129" cm="1">
        <f t="array" ref="F98">IF(A98=A97,0,SUM(_xlfn._xlws.FILTER(E98:E108,A98:A108=A98)))</f>
        <v>0</v>
      </c>
      <c r="G98" s="1130">
        <f>IF(F98&lt;&gt;0,SUM($F$43:F98),0)</f>
        <v>0</v>
      </c>
      <c r="H98" s="1130" cm="1">
        <f t="array" ref="H98">IFERROR(IF(A98=A97,0,SUM(_xlfn._xlws.FILTER(E98:E108,(A98:A108=A98)*(E98:E108&gt;0)))),0)</f>
        <v>0</v>
      </c>
      <c r="I98" s="1130" cm="1">
        <f t="array" ref="I98">IFERROR(IF(A98=A97,0,SUM(_xlfn._xlws.FILTER(E98:E108,(A98:A108=A98)*(F98&lt;0)))),0)</f>
        <v>0</v>
      </c>
      <c r="J98"/>
      <c r="K98"/>
      <c r="L98"/>
      <c r="M98"/>
      <c r="N98"/>
    </row>
    <row r="99" spans="1:14" hidden="1">
      <c r="A99" s="452">
        <v>45694</v>
      </c>
      <c r="B99" s="453" t="s">
        <v>40</v>
      </c>
      <c r="C99" s="454">
        <v>3000</v>
      </c>
      <c r="D99" s="455">
        <v>12.7675333</v>
      </c>
      <c r="E99" s="1128">
        <f ca="1">IFERROR(C99*D99*_xlfn.XLOOKUP(B99,TabCalc[Ticker],TabCalc[Scale]),0)</f>
        <v>38302.599900000001</v>
      </c>
      <c r="F99" s="1129" cm="1">
        <f t="array" ref="F99">IF(A99=A98,0,SUM(_xlfn._xlws.FILTER(E99:E109,A99:A109=A99)))</f>
        <v>0</v>
      </c>
      <c r="G99" s="1130">
        <f>IF(F99&lt;&gt;0,SUM($F$43:F99),0)</f>
        <v>0</v>
      </c>
      <c r="H99" s="1130" cm="1">
        <f t="array" ref="H99">IFERROR(IF(A99=A98,0,SUM(_xlfn._xlws.FILTER(E99:E109,(A99:A109=A99)*(E99:E109&gt;0)))),0)</f>
        <v>0</v>
      </c>
      <c r="I99" s="1130" cm="1">
        <f t="array" ref="I99">IFERROR(IF(A99=A98,0,SUM(_xlfn._xlws.FILTER(E99:E109,(A99:A109=A99)*(F99&lt;0)))),0)</f>
        <v>0</v>
      </c>
      <c r="J99"/>
      <c r="K99"/>
      <c r="L99"/>
      <c r="M99"/>
      <c r="N99"/>
    </row>
    <row r="100" spans="1:14" hidden="1">
      <c r="A100" s="452">
        <v>45694</v>
      </c>
      <c r="B100" s="453" t="s">
        <v>44</v>
      </c>
      <c r="C100" s="454">
        <v>500</v>
      </c>
      <c r="D100" s="455">
        <v>-42.2</v>
      </c>
      <c r="E100" s="1128">
        <f ca="1">IFERROR(C100*D100*_xlfn.XLOOKUP(B100,TabCalc[Ticker],TabCalc[Scale]),0)</f>
        <v>-21100</v>
      </c>
      <c r="F100" s="1129" cm="1">
        <f t="array" ref="F100">IF(A100=A99,0,SUM(_xlfn._xlws.FILTER(E100:E110,A100:A110=A100)))</f>
        <v>0</v>
      </c>
      <c r="G100" s="1130">
        <f>IF(F100&lt;&gt;0,SUM($F$43:F100),0)</f>
        <v>0</v>
      </c>
      <c r="H100" s="1130" cm="1">
        <f t="array" ref="H100">IFERROR(IF(A100=A99,0,SUM(_xlfn._xlws.FILTER(E100:E110,(A100:A110=A100)*(E100:E110&gt;0)))),0)</f>
        <v>0</v>
      </c>
      <c r="I100" s="1130" cm="1">
        <f t="array" ref="I100">IFERROR(IF(A100=A99,0,SUM(_xlfn._xlws.FILTER(E100:E110,(A100:A110=A100)*(F100&lt;0)))),0)</f>
        <v>0</v>
      </c>
      <c r="J100"/>
      <c r="K100"/>
      <c r="L100"/>
      <c r="M100"/>
      <c r="N100"/>
    </row>
    <row r="101" spans="1:14" hidden="1">
      <c r="A101" s="452">
        <v>45694</v>
      </c>
      <c r="B101" s="453" t="s">
        <v>50</v>
      </c>
      <c r="C101" s="454">
        <v>6500</v>
      </c>
      <c r="D101" s="455">
        <v>-10.059900000000001</v>
      </c>
      <c r="E101" s="1128">
        <f ca="1">IFERROR(C101*D101*_xlfn.XLOOKUP(B101,TabCalc[Ticker],TabCalc[Scale]),0)</f>
        <v>-65389.350000000006</v>
      </c>
      <c r="F101" s="1129" cm="1">
        <f t="array" ref="F101">IF(A101=A100,0,SUM(_xlfn._xlws.FILTER(E101:E111,A101:A111=A101)))</f>
        <v>0</v>
      </c>
      <c r="G101" s="1130">
        <f>IF(F101&lt;&gt;0,SUM($F$43:F101),0)</f>
        <v>0</v>
      </c>
      <c r="H101" s="1130" cm="1">
        <f t="array" ref="H101">IFERROR(IF(A101=A100,0,SUM(_xlfn._xlws.FILTER(E101:E111,(A101:A111=A101)*(E101:E111&gt;0)))),0)</f>
        <v>0</v>
      </c>
      <c r="I101" s="1130" cm="1">
        <f t="array" ref="I101">IFERROR(IF(A101=A100,0,SUM(_xlfn._xlws.FILTER(E101:E111,(A101:A111=A101)*(F101&lt;0)))),0)</f>
        <v>0</v>
      </c>
      <c r="J101"/>
      <c r="K101"/>
      <c r="L101"/>
      <c r="M101"/>
      <c r="N101"/>
    </row>
    <row r="102" spans="1:14" hidden="1">
      <c r="A102" s="466">
        <v>45695</v>
      </c>
      <c r="B102" s="448" t="s">
        <v>39</v>
      </c>
      <c r="C102" s="468">
        <v>4000</v>
      </c>
      <c r="D102" s="467">
        <v>15.3</v>
      </c>
      <c r="E102" s="1128">
        <f ca="1">IFERROR(C102*D102*_xlfn.XLOOKUP(B102,TabCalc[Ticker],TabCalc[Scale]),0)</f>
        <v>61200</v>
      </c>
      <c r="F102" s="1129" cm="1">
        <f t="array" aca="1" ref="F102" ca="1">IF(A102=A101,0,SUM(_xlfn._xlws.FILTER(E102:E112,A102:A112=A102)))</f>
        <v>248687.5</v>
      </c>
      <c r="G102" s="1130">
        <f ca="1">IF(F102&lt;&gt;0,SUM($F$43:F102),0)</f>
        <v>921819.66390000004</v>
      </c>
      <c r="H102" s="1130" cm="1">
        <f t="array" aca="1" ref="H102" ca="1">IFERROR(IF(A102=A101,0,SUM(_xlfn._xlws.FILTER(E102:E112,(A102:A112=A102)*(E102:E112&gt;0)))),0)</f>
        <v>273187.5</v>
      </c>
      <c r="I102" s="1130" cm="1">
        <f t="array" aca="1" ref="I102" ca="1">IFERROR(IF(A102=A101,0,SUM(_xlfn._xlws.FILTER(E102:E112,(A102:A112=A102)*(F102&lt;0)))),0)</f>
        <v>0</v>
      </c>
      <c r="J102"/>
      <c r="K102"/>
      <c r="L102"/>
      <c r="M102"/>
      <c r="N102"/>
    </row>
    <row r="103" spans="1:14" hidden="1">
      <c r="A103" s="466">
        <v>45695</v>
      </c>
      <c r="B103" s="448" t="s">
        <v>16</v>
      </c>
      <c r="C103" s="468">
        <v>4000</v>
      </c>
      <c r="D103" s="467">
        <v>11.63</v>
      </c>
      <c r="E103" s="1128">
        <f ca="1">IFERROR(C103*D103*_xlfn.XLOOKUP(B103,TabCalc[Ticker],TabCalc[Scale]),0)</f>
        <v>46520</v>
      </c>
      <c r="F103" s="1129" cm="1">
        <f t="array" ref="F103">IF(A103=A102,0,SUM(_xlfn._xlws.FILTER(E103:E113,A103:A113=A103)))</f>
        <v>0</v>
      </c>
      <c r="G103" s="1130">
        <f>IF(F103&lt;&gt;0,SUM($F$43:F103),0)</f>
        <v>0</v>
      </c>
      <c r="H103" s="1130" cm="1">
        <f t="array" ref="H103">IFERROR(IF(A103=A102,0,SUM(_xlfn._xlws.FILTER(E103:E113,(A103:A113=A103)*(E103:E113&gt;0)))),0)</f>
        <v>0</v>
      </c>
      <c r="I103" s="1130" cm="1">
        <f t="array" ref="I103">IFERROR(IF(A103=A102,0,SUM(_xlfn._xlws.FILTER(E103:E113,(A103:A113=A103)*(F103&lt;0)))),0)</f>
        <v>0</v>
      </c>
      <c r="J103"/>
      <c r="K103"/>
      <c r="L103"/>
      <c r="M103"/>
      <c r="N103"/>
    </row>
    <row r="104" spans="1:14" hidden="1">
      <c r="A104" s="466">
        <v>45695</v>
      </c>
      <c r="B104" s="448" t="s">
        <v>2</v>
      </c>
      <c r="C104" s="468">
        <v>50000</v>
      </c>
      <c r="D104" s="467">
        <v>-49</v>
      </c>
      <c r="E104" s="1128">
        <f ca="1">IFERROR(C104*D104*_xlfn.XLOOKUP(B104,TabCalc[Ticker],TabCalc[Scale]),0)</f>
        <v>-24500</v>
      </c>
      <c r="F104" s="1129" cm="1">
        <f t="array" ref="F104">IF(A104=A103,0,SUM(_xlfn._xlws.FILTER(E104:E114,A104:A114=A104)))</f>
        <v>0</v>
      </c>
      <c r="G104" s="1130">
        <f>IF(F104&lt;&gt;0,SUM($F$43:F104),0)</f>
        <v>0</v>
      </c>
      <c r="H104" s="1130" cm="1">
        <f t="array" ref="H104">IFERROR(IF(A104=A103,0,SUM(_xlfn._xlws.FILTER(E104:E114,(A104:A114=A104)*(E104:E114&gt;0)))),0)</f>
        <v>0</v>
      </c>
      <c r="I104" s="1130" cm="1">
        <f t="array" ref="I104">IFERROR(IF(A104=A103,0,SUM(_xlfn._xlws.FILTER(E104:E114,(A104:A114=A104)*(F104&lt;0)))),0)</f>
        <v>0</v>
      </c>
      <c r="J104"/>
      <c r="K104"/>
      <c r="L104"/>
      <c r="M104"/>
      <c r="N104"/>
    </row>
    <row r="105" spans="1:14" hidden="1">
      <c r="A105" s="466">
        <v>45695</v>
      </c>
      <c r="B105" s="448" t="s">
        <v>3</v>
      </c>
      <c r="C105" s="468">
        <v>450</v>
      </c>
      <c r="D105" s="467">
        <v>228.95</v>
      </c>
      <c r="E105" s="1128">
        <f ca="1">IFERROR(C105*D105*_xlfn.XLOOKUP(B105,TabCalc[Ticker],TabCalc[Scale]),0)</f>
        <v>103027.5</v>
      </c>
      <c r="F105" s="1129" cm="1">
        <f t="array" ref="F105">IF(A105=A104,0,SUM(_xlfn._xlws.FILTER(E105:E115,A105:A115=A105)))</f>
        <v>0</v>
      </c>
      <c r="G105" s="1130">
        <f>IF(F105&lt;&gt;0,SUM($F$43:F105),0)</f>
        <v>0</v>
      </c>
      <c r="H105" s="1130" cm="1">
        <f t="array" ref="H105">IFERROR(IF(A105=A104,0,SUM(_xlfn._xlws.FILTER(E105:E115,(A105:A115=A105)*(E105:E115&gt;0)))),0)</f>
        <v>0</v>
      </c>
      <c r="I105" s="1130" cm="1">
        <f t="array" ref="I105">IFERROR(IF(A105=A104,0,SUM(_xlfn._xlws.FILTER(E105:E115,(A105:A115=A105)*(F105&lt;0)))),0)</f>
        <v>0</v>
      </c>
      <c r="J105"/>
      <c r="K105"/>
      <c r="L105"/>
      <c r="M105"/>
      <c r="N105"/>
    </row>
    <row r="106" spans="1:14" hidden="1">
      <c r="A106" s="466">
        <v>45695</v>
      </c>
      <c r="B106" s="448" t="s">
        <v>9</v>
      </c>
      <c r="C106" s="468">
        <v>1000</v>
      </c>
      <c r="D106" s="467">
        <v>62.44</v>
      </c>
      <c r="E106" s="1128">
        <f ca="1">IFERROR(C106*D106*_xlfn.XLOOKUP(B106,TabCalc[Ticker],TabCalc[Scale]),0)</f>
        <v>62440</v>
      </c>
      <c r="F106" s="1129" cm="1">
        <f t="array" ref="F106">IF(A106=A105,0,SUM(_xlfn._xlws.FILTER(E106:E116,A106:A116=A106)))</f>
        <v>0</v>
      </c>
      <c r="G106" s="1130">
        <f>IF(F106&lt;&gt;0,SUM($F$43:F106),0)</f>
        <v>0</v>
      </c>
      <c r="H106" s="1130" cm="1">
        <f t="array" ref="H106">IFERROR(IF(A106=A105,0,SUM(_xlfn._xlws.FILTER(E106:E116,(A106:A116=A106)*(E106:E116&gt;0)))),0)</f>
        <v>0</v>
      </c>
      <c r="I106" s="1130" cm="1">
        <f t="array" ref="I106">IFERROR(IF(A106=A105,0,SUM(_xlfn._xlws.FILTER(E106:E116,(A106:A116=A106)*(F106&lt;0)))),0)</f>
        <v>0</v>
      </c>
      <c r="J106"/>
      <c r="K106"/>
      <c r="L106"/>
      <c r="M106"/>
      <c r="N106"/>
    </row>
    <row r="107" spans="1:14" hidden="1">
      <c r="A107" s="452">
        <v>45698</v>
      </c>
      <c r="B107" s="453" t="s">
        <v>3</v>
      </c>
      <c r="C107" s="454">
        <v>250</v>
      </c>
      <c r="D107" s="455">
        <v>-232.89</v>
      </c>
      <c r="E107" s="1128">
        <f ca="1">IFERROR(C107*D107*_xlfn.XLOOKUP(B107,TabCalc[Ticker],TabCalc[Scale]),0)</f>
        <v>-58222.5</v>
      </c>
      <c r="F107" s="1129" cm="1">
        <f t="array" aca="1" ref="F107" ca="1">IF(A107=A106,0,SUM(_xlfn._xlws.FILTER(E107:E117,A107:A117=A107)))</f>
        <v>-58222.5</v>
      </c>
      <c r="G107" s="1130">
        <f ca="1">IF(F107&lt;&gt;0,SUM($F$43:F107),0)</f>
        <v>863597.16390000004</v>
      </c>
      <c r="H107" s="1130" cm="1">
        <f t="array" aca="1" ref="H107" ca="1">IFERROR(IF(A107=A106,0,SUM(_xlfn._xlws.FILTER(E107:E117,(A107:A117=A107)*(E107:E117&gt;0)))),0)</f>
        <v>0</v>
      </c>
      <c r="I107" s="1130" cm="1">
        <f t="array" aca="1" ref="I107" ca="1">IFERROR(IF(A107=A106,0,SUM(_xlfn._xlws.FILTER(E107:E117,(A107:A117=A107)*(F107&lt;0)))),0)</f>
        <v>-58222.5</v>
      </c>
      <c r="J107"/>
      <c r="K107"/>
      <c r="L107"/>
      <c r="M107"/>
      <c r="N107"/>
    </row>
    <row r="108" spans="1:14" hidden="1">
      <c r="A108" s="466">
        <v>45699</v>
      </c>
      <c r="B108" s="448" t="s">
        <v>17</v>
      </c>
      <c r="C108" s="468">
        <v>10000</v>
      </c>
      <c r="D108" s="467">
        <v>1.66</v>
      </c>
      <c r="E108" s="1128">
        <f ca="1">IFERROR(C108*D108*_xlfn.XLOOKUP(B108,TabCalc[Ticker],TabCalc[Scale]),0)</f>
        <v>16600</v>
      </c>
      <c r="F108" s="1129" cm="1">
        <f t="array" aca="1" ref="F108" ca="1">IF(A108=A107,0,SUM(_xlfn._xlws.FILTER(E108:E118,A108:A118=A108)))</f>
        <v>-18100</v>
      </c>
      <c r="G108" s="1130">
        <f ca="1">IF(F108&lt;&gt;0,SUM($F$43:F108),0)</f>
        <v>845497.16390000004</v>
      </c>
      <c r="H108" s="1130" cm="1">
        <f t="array" aca="1" ref="H108" ca="1">IFERROR(IF(A108=A107,0,SUM(_xlfn._xlws.FILTER(E108:E118,(A108:A118=A108)*(E108:E118&gt;0)))),0)</f>
        <v>16600</v>
      </c>
      <c r="I108" s="1130" cm="1">
        <f t="array" aca="1" ref="I108" ca="1">IFERROR(IF(A108=A107,0,SUM(_xlfn._xlws.FILTER(E108:E118,(A108:A118=A108)*(F108&lt;0)))),0)</f>
        <v>-18100</v>
      </c>
      <c r="J108"/>
      <c r="K108"/>
      <c r="L108"/>
      <c r="M108"/>
      <c r="N108"/>
    </row>
    <row r="109" spans="1:14" hidden="1">
      <c r="A109" s="466">
        <v>45699</v>
      </c>
      <c r="B109" s="448" t="s">
        <v>22</v>
      </c>
      <c r="C109" s="468">
        <v>10000</v>
      </c>
      <c r="D109" s="467">
        <v>-347</v>
      </c>
      <c r="E109" s="1128">
        <f ca="1">IFERROR(C109*D109*_xlfn.XLOOKUP(B109,TabCalc[Ticker],TabCalc[Scale]),0)</f>
        <v>-34700</v>
      </c>
      <c r="F109" s="1129" cm="1">
        <f t="array" ref="F109">IF(A109=A108,0,SUM(_xlfn._xlws.FILTER(E109:E119,A109:A119=A109)))</f>
        <v>0</v>
      </c>
      <c r="G109" s="1130">
        <f>IF(F109&lt;&gt;0,SUM($F$43:F109),0)</f>
        <v>0</v>
      </c>
      <c r="H109" s="1130" cm="1">
        <f t="array" ref="H109">IFERROR(IF(A109=A108,0,SUM(_xlfn._xlws.FILTER(E109:E119,(A109:A119=A109)*(E109:E119&gt;0)))),0)</f>
        <v>0</v>
      </c>
      <c r="I109" s="1130" cm="1">
        <f t="array" ref="I109">IFERROR(IF(A109=A108,0,SUM(_xlfn._xlws.FILTER(E109:E119,(A109:A119=A109)*(F109&lt;0)))),0)</f>
        <v>0</v>
      </c>
      <c r="J109"/>
      <c r="K109"/>
      <c r="L109"/>
      <c r="M109"/>
      <c r="N109"/>
    </row>
    <row r="110" spans="1:14" hidden="1">
      <c r="A110" s="452">
        <v>45700</v>
      </c>
      <c r="B110" s="453" t="s">
        <v>13</v>
      </c>
      <c r="C110" s="454">
        <v>1000</v>
      </c>
      <c r="D110" s="455">
        <v>40.01</v>
      </c>
      <c r="E110" s="1128">
        <f ca="1">IFERROR(C110*D110*_xlfn.XLOOKUP(B110,TabCalc[Ticker],TabCalc[Scale]),0)</f>
        <v>40010</v>
      </c>
      <c r="F110" s="1129" cm="1">
        <f t="array" aca="1" ref="F110" ca="1">IF(A110=A109,0,SUM(_xlfn._xlws.FILTER(E110:E120,A110:A120=A110)))</f>
        <v>144579.5</v>
      </c>
      <c r="G110" s="1130">
        <f ca="1">IF(F110&lt;&gt;0,SUM($F$43:F110),0)</f>
        <v>990076.66390000004</v>
      </c>
      <c r="H110" s="1130" cm="1">
        <f t="array" aca="1" ref="H110" ca="1">IFERROR(IF(A110=A109,0,SUM(_xlfn._xlws.FILTER(E110:E120,(A110:A120=A110)*(E110:E120&gt;0)))),0)</f>
        <v>346414.3</v>
      </c>
      <c r="I110" s="1130" cm="1">
        <f t="array" aca="1" ref="I110" ca="1">IFERROR(IF(A110=A109,0,SUM(_xlfn._xlws.FILTER(E110:E120,(A110:A120=A110)*(F110&lt;0)))),0)</f>
        <v>0</v>
      </c>
      <c r="J110"/>
      <c r="K110"/>
      <c r="L110"/>
      <c r="M110"/>
      <c r="N110"/>
    </row>
    <row r="111" spans="1:14" hidden="1">
      <c r="A111" s="452">
        <v>45700</v>
      </c>
      <c r="B111" s="453" t="s">
        <v>56</v>
      </c>
      <c r="C111" s="454">
        <v>1000</v>
      </c>
      <c r="D111" s="455">
        <v>40.01</v>
      </c>
      <c r="E111" s="1128">
        <f ca="1">IFERROR(C111*D111*_xlfn.XLOOKUP(B111,TabCalc[Ticker],TabCalc[Scale]),0)</f>
        <v>40010</v>
      </c>
      <c r="F111" s="1129" cm="1">
        <f t="array" ref="F111">IF(A111=A110,0,SUM(_xlfn._xlws.FILTER(E111:E121,A111:A121=A111)))</f>
        <v>0</v>
      </c>
      <c r="G111" s="1130">
        <f>IF(F111&lt;&gt;0,SUM($F$43:F111),0)</f>
        <v>0</v>
      </c>
      <c r="H111" s="1130" cm="1">
        <f t="array" ref="H111">IFERROR(IF(A111=A110,0,SUM(_xlfn._xlws.FILTER(E111:E121,(A111:A121=A111)*(E111:E121&gt;0)))),0)</f>
        <v>0</v>
      </c>
      <c r="I111" s="1130" cm="1">
        <f t="array" ref="I111">IFERROR(IF(A111=A110,0,SUM(_xlfn._xlws.FILTER(E111:E121,(A111:A121=A111)*(F111&lt;0)))),0)</f>
        <v>0</v>
      </c>
      <c r="J111"/>
      <c r="K111"/>
      <c r="L111"/>
      <c r="M111"/>
      <c r="N111"/>
    </row>
    <row r="112" spans="1:14" hidden="1">
      <c r="A112" s="452">
        <v>45700</v>
      </c>
      <c r="B112" s="453" t="s">
        <v>4</v>
      </c>
      <c r="C112" s="454">
        <v>10000</v>
      </c>
      <c r="D112" s="455">
        <v>-1.1499999999999999</v>
      </c>
      <c r="E112" s="1128">
        <f ca="1">IFERROR(C112*D112*_xlfn.XLOOKUP(B112,TabCalc[Ticker],TabCalc[Scale]),0)</f>
        <v>-11500</v>
      </c>
      <c r="F112" s="1129" cm="1">
        <f t="array" ref="F112">IF(A112=A111,0,SUM(_xlfn._xlws.FILTER(E112:E122,A112:A122=A112)))</f>
        <v>0</v>
      </c>
      <c r="G112" s="1130">
        <f>IF(F112&lt;&gt;0,SUM($F$43:F112),0)</f>
        <v>0</v>
      </c>
      <c r="H112" s="1130" cm="1">
        <f t="array" ref="H112">IFERROR(IF(A112=A111,0,SUM(_xlfn._xlws.FILTER(E112:E122,(A112:A122=A112)*(E112:E122&gt;0)))),0)</f>
        <v>0</v>
      </c>
      <c r="I112" s="1130" cm="1">
        <f t="array" ref="I112">IFERROR(IF(A112=A111,0,SUM(_xlfn._xlws.FILTER(E112:E122,(A112:A122=A112)*(F112&lt;0)))),0)</f>
        <v>0</v>
      </c>
      <c r="J112"/>
      <c r="K112"/>
      <c r="L112"/>
      <c r="M112"/>
      <c r="N112"/>
    </row>
    <row r="113" spans="1:14" hidden="1">
      <c r="A113" s="452">
        <v>45700</v>
      </c>
      <c r="B113" s="453" t="s">
        <v>66</v>
      </c>
      <c r="C113" s="454">
        <v>250</v>
      </c>
      <c r="D113" s="455">
        <v>235.47</v>
      </c>
      <c r="E113" s="1128">
        <f ca="1">IFERROR(C113*D113*_xlfn.XLOOKUP(B113,TabCalc[Ticker],TabCalc[Scale]),0)</f>
        <v>58867.5</v>
      </c>
      <c r="F113" s="1129" cm="1">
        <f t="array" ref="F113">IF(A113=A112,0,SUM(_xlfn._xlws.FILTER(E113:E123,A113:A123=A113)))</f>
        <v>0</v>
      </c>
      <c r="G113" s="1130">
        <f>IF(F113&lt;&gt;0,SUM($F$43:F113),0)</f>
        <v>0</v>
      </c>
      <c r="H113" s="1130" cm="1">
        <f t="array" ref="H113">IFERROR(IF(A113=A112,0,SUM(_xlfn._xlws.FILTER(E113:E123,(A113:A123=A113)*(E113:E123&gt;0)))),0)</f>
        <v>0</v>
      </c>
      <c r="I113" s="1130" cm="1">
        <f t="array" ref="I113">IFERROR(IF(A113=A112,0,SUM(_xlfn._xlws.FILTER(E113:E123,(A113:A123=A113)*(F113&lt;0)))),0)</f>
        <v>0</v>
      </c>
      <c r="J113"/>
      <c r="K113"/>
      <c r="L113"/>
      <c r="M113"/>
      <c r="N113"/>
    </row>
    <row r="114" spans="1:14" hidden="1">
      <c r="A114" s="452">
        <v>45700</v>
      </c>
      <c r="B114" s="453" t="s">
        <v>84</v>
      </c>
      <c r="C114" s="454">
        <v>900</v>
      </c>
      <c r="D114" s="455">
        <v>-48.09</v>
      </c>
      <c r="E114" s="1128">
        <f ca="1">IFERROR(C114*D114*_xlfn.XLOOKUP(B114,TabCalc[Ticker],TabCalc[Scale]),0)</f>
        <v>-43281</v>
      </c>
      <c r="F114" s="1129" cm="1">
        <f t="array" ref="F114">IF(A114=A113,0,SUM(_xlfn._xlws.FILTER(E114:E124,A114:A124=A114)))</f>
        <v>0</v>
      </c>
      <c r="G114" s="1130">
        <f>IF(F114&lt;&gt;0,SUM($F$43:F114),0)</f>
        <v>0</v>
      </c>
      <c r="H114" s="1130" cm="1">
        <f t="array" ref="H114">IFERROR(IF(A114=A113,0,SUM(_xlfn._xlws.FILTER(E114:E124,(A114:A124=A114)*(E114:E124&gt;0)))),0)</f>
        <v>0</v>
      </c>
      <c r="I114" s="1130" cm="1">
        <f t="array" ref="I114">IFERROR(IF(A114=A113,0,SUM(_xlfn._xlws.FILTER(E114:E124,(A114:A124=A114)*(F114&lt;0)))),0)</f>
        <v>0</v>
      </c>
      <c r="J114"/>
      <c r="K114"/>
      <c r="L114"/>
      <c r="M114"/>
      <c r="N114"/>
    </row>
    <row r="115" spans="1:14" hidden="1">
      <c r="A115" s="452">
        <v>45700</v>
      </c>
      <c r="B115" s="453" t="s">
        <v>80</v>
      </c>
      <c r="C115" s="454">
        <v>280</v>
      </c>
      <c r="D115" s="455">
        <v>154.81</v>
      </c>
      <c r="E115" s="1128">
        <f ca="1">IFERROR(C115*D115*_xlfn.XLOOKUP(B115,TabCalc[Ticker],TabCalc[Scale]),0)</f>
        <v>43346.8</v>
      </c>
      <c r="F115" s="1129" cm="1">
        <f t="array" ref="F115">IF(A115=A114,0,SUM(_xlfn._xlws.FILTER(E115:E125,A115:A125=A115)))</f>
        <v>0</v>
      </c>
      <c r="G115" s="1130">
        <f>IF(F115&lt;&gt;0,SUM($F$43:F115),0)</f>
        <v>0</v>
      </c>
      <c r="H115" s="1130" cm="1">
        <f t="array" ref="H115">IFERROR(IF(A115=A114,0,SUM(_xlfn._xlws.FILTER(E115:E125,(A115:A125=A115)*(E115:E125&gt;0)))),0)</f>
        <v>0</v>
      </c>
      <c r="I115" s="1130" cm="1">
        <f t="array" ref="I115">IFERROR(IF(A115=A114,0,SUM(_xlfn._xlws.FILTER(E115:E125,(A115:A125=A115)*(F115&lt;0)))),0)</f>
        <v>0</v>
      </c>
      <c r="J115"/>
      <c r="K115"/>
      <c r="L115"/>
      <c r="M115"/>
      <c r="N115"/>
    </row>
    <row r="116" spans="1:14" hidden="1">
      <c r="A116" s="452">
        <v>45700</v>
      </c>
      <c r="B116" s="453" t="s">
        <v>53</v>
      </c>
      <c r="C116" s="454">
        <v>20000</v>
      </c>
      <c r="D116" s="455">
        <v>1.97</v>
      </c>
      <c r="E116" s="1128">
        <f ca="1">IFERROR(C116*D116*_xlfn.XLOOKUP(B116,TabCalc[Ticker],TabCalc[Scale]),0)</f>
        <v>39400</v>
      </c>
      <c r="F116" s="1129" cm="1">
        <f t="array" ref="F116">IF(A116=A115,0,SUM(_xlfn._xlws.FILTER(E116:E126,A116:A126=A116)))</f>
        <v>0</v>
      </c>
      <c r="G116" s="1130">
        <f>IF(F116&lt;&gt;0,SUM($F$43:F116),0)</f>
        <v>0</v>
      </c>
      <c r="H116" s="1130" cm="1">
        <f t="array" ref="H116">IFERROR(IF(A116=A115,0,SUM(_xlfn._xlws.FILTER(E116:E126,(A116:A126=A116)*(E116:E126&gt;0)))),0)</f>
        <v>0</v>
      </c>
      <c r="I116" s="1130" cm="1">
        <f t="array" ref="I116">IFERROR(IF(A116=A115,0,SUM(_xlfn._xlws.FILTER(E116:E126,(A116:A126=A116)*(F116&lt;0)))),0)</f>
        <v>0</v>
      </c>
      <c r="J116"/>
      <c r="K116"/>
      <c r="L116"/>
      <c r="M116"/>
      <c r="N116"/>
    </row>
    <row r="117" spans="1:14" hidden="1">
      <c r="A117" s="452">
        <v>45700</v>
      </c>
      <c r="B117" s="453" t="s">
        <v>10</v>
      </c>
      <c r="C117" s="454">
        <v>2000</v>
      </c>
      <c r="D117" s="455">
        <v>62.39</v>
      </c>
      <c r="E117" s="1128">
        <f ca="1">IFERROR(C117*D117*_xlfn.XLOOKUP(B117,TabCalc[Ticker],TabCalc[Scale]),0)</f>
        <v>124780</v>
      </c>
      <c r="F117" s="1129" cm="1">
        <f t="array" ref="F117">IF(A117=A116,0,SUM(_xlfn._xlws.FILTER(E117:E127,A117:A127=A117)))</f>
        <v>0</v>
      </c>
      <c r="G117" s="1130">
        <f>IF(F117&lt;&gt;0,SUM($F$43:F117),0)</f>
        <v>0</v>
      </c>
      <c r="H117" s="1130" cm="1">
        <f t="array" ref="H117">IFERROR(IF(A117=A116,0,SUM(_xlfn._xlws.FILTER(E117:E127,(A117:A127=A117)*(E117:E127&gt;0)))),0)</f>
        <v>0</v>
      </c>
      <c r="I117" s="1130" cm="1">
        <f t="array" ref="I117">IFERROR(IF(A117=A116,0,SUM(_xlfn._xlws.FILTER(E117:E127,(A117:A127=A117)*(F117&lt;0)))),0)</f>
        <v>0</v>
      </c>
      <c r="J117"/>
      <c r="K117"/>
      <c r="L117"/>
      <c r="M117"/>
      <c r="N117"/>
    </row>
    <row r="118" spans="1:14" hidden="1">
      <c r="A118" s="452">
        <v>45700</v>
      </c>
      <c r="B118" s="453" t="s">
        <v>33</v>
      </c>
      <c r="C118" s="454">
        <v>2000</v>
      </c>
      <c r="D118" s="455">
        <v>-6.2248999999999999</v>
      </c>
      <c r="E118" s="1128">
        <f ca="1">IFERROR(C118*D118*_xlfn.XLOOKUP(B118,TabCalc[Ticker],TabCalc[Scale]),0)</f>
        <v>-12449.8</v>
      </c>
      <c r="F118" s="1129" cm="1">
        <f t="array" ref="F118">IF(A118=A117,0,SUM(_xlfn._xlws.FILTER(E118:E128,A118:A128=A118)))</f>
        <v>0</v>
      </c>
      <c r="G118" s="1130">
        <f>IF(F118&lt;&gt;0,SUM($F$43:F118),0)</f>
        <v>0</v>
      </c>
      <c r="H118" s="1130" cm="1">
        <f t="array" ref="H118">IFERROR(IF(A118=A117,0,SUM(_xlfn._xlws.FILTER(E118:E128,(A118:A128=A118)*(E118:E128&gt;0)))),0)</f>
        <v>0</v>
      </c>
      <c r="I118" s="1130" cm="1">
        <f t="array" ref="I118">IFERROR(IF(A118=A117,0,SUM(_xlfn._xlws.FILTER(E118:E128,(A118:A128=A118)*(F118&lt;0)))),0)</f>
        <v>0</v>
      </c>
      <c r="J118"/>
      <c r="K118"/>
      <c r="L118"/>
      <c r="M118"/>
      <c r="N118"/>
    </row>
    <row r="119" spans="1:14" hidden="1">
      <c r="A119" s="452">
        <v>45700</v>
      </c>
      <c r="B119" s="453" t="s">
        <v>36</v>
      </c>
      <c r="C119" s="454">
        <v>400</v>
      </c>
      <c r="D119" s="455">
        <v>-336.51</v>
      </c>
      <c r="E119" s="1128">
        <f ca="1">IFERROR(C119*D119*_xlfn.XLOOKUP(B119,TabCalc[Ticker],TabCalc[Scale]),0)</f>
        <v>-134604</v>
      </c>
      <c r="F119" s="1129" cm="1">
        <f t="array" ref="F119">IF(A119=A118,0,SUM(_xlfn._xlws.FILTER(E119:E129,A119:A129=A119)))</f>
        <v>0</v>
      </c>
      <c r="G119" s="1130">
        <f>IF(F119&lt;&gt;0,SUM($F$43:F119),0)</f>
        <v>0</v>
      </c>
      <c r="H119" s="1130" cm="1">
        <f t="array" ref="H119">IFERROR(IF(A119=A118,0,SUM(_xlfn._xlws.FILTER(E119:E129,(A119:A129=A119)*(E119:E129&gt;0)))),0)</f>
        <v>0</v>
      </c>
      <c r="I119" s="1130" cm="1">
        <f t="array" ref="I119">IFERROR(IF(A119=A118,0,SUM(_xlfn._xlws.FILTER(E119:E129,(A119:A129=A119)*(F119&lt;0)))),0)</f>
        <v>0</v>
      </c>
      <c r="J119"/>
      <c r="K119"/>
      <c r="L119"/>
      <c r="M119"/>
      <c r="N119"/>
    </row>
    <row r="120" spans="1:14" hidden="1">
      <c r="A120" s="466">
        <v>45701</v>
      </c>
      <c r="B120" s="448" t="s">
        <v>36</v>
      </c>
      <c r="C120" s="468">
        <v>200</v>
      </c>
      <c r="D120" s="467">
        <v>357.3</v>
      </c>
      <c r="E120" s="1128">
        <f ca="1">IFERROR(C120*D120*_xlfn.XLOOKUP(B120,TabCalc[Ticker],TabCalc[Scale]),0)</f>
        <v>71460</v>
      </c>
      <c r="F120" s="1129" cm="1">
        <f t="array" aca="1" ref="F120" ca="1">IF(A120=A119,0,SUM(_xlfn._xlws.FILTER(E120:E130,A120:A130=A120)))</f>
        <v>310489.75</v>
      </c>
      <c r="G120" s="1130">
        <f ca="1">IF(F120&lt;&gt;0,SUM($F$43:F120),0)</f>
        <v>1300566.4139</v>
      </c>
      <c r="H120" s="1130" cm="1">
        <f t="array" aca="1" ref="H120" ca="1">IFERROR(IF(A120=A119,0,SUM(_xlfn._xlws.FILTER(E120:E130,(A120:A130=A120)*(E120:E130&gt;0)))),0)</f>
        <v>533342</v>
      </c>
      <c r="I120" s="1130" cm="1">
        <f t="array" aca="1" ref="I120" ca="1">IFERROR(IF(A120=A119,0,SUM(_xlfn._xlws.FILTER(E120:E130,(A120:A130=A120)*(F120&lt;0)))),0)</f>
        <v>0</v>
      </c>
      <c r="J120"/>
      <c r="K120"/>
      <c r="L120"/>
      <c r="M120"/>
      <c r="N120"/>
    </row>
    <row r="121" spans="1:14" hidden="1">
      <c r="A121" s="466">
        <v>45701</v>
      </c>
      <c r="B121" s="448" t="s">
        <v>32</v>
      </c>
      <c r="C121" s="468">
        <v>100</v>
      </c>
      <c r="D121" s="467">
        <v>737.1</v>
      </c>
      <c r="E121" s="1128">
        <f ca="1">IFERROR(C121*D121*_xlfn.XLOOKUP(B121,TabCalc[Ticker],TabCalc[Scale]),0)</f>
        <v>73710</v>
      </c>
      <c r="F121" s="1129" cm="1">
        <f t="array" ref="F121">IF(A121=A120,0,SUM(_xlfn._xlws.FILTER(E121:E131,A121:A131=A121)))</f>
        <v>0</v>
      </c>
      <c r="G121" s="1130">
        <f>IF(F121&lt;&gt;0,SUM($F$43:F121),0)</f>
        <v>0</v>
      </c>
      <c r="H121" s="1130" cm="1">
        <f t="array" ref="H121">IFERROR(IF(A121=A120,0,SUM(_xlfn._xlws.FILTER(E121:E131,(A121:A131=A121)*(E121:E131&gt;0)))),0)</f>
        <v>0</v>
      </c>
      <c r="I121" s="1130" cm="1">
        <f t="array" ref="I121">IFERROR(IF(A121=A120,0,SUM(_xlfn._xlws.FILTER(E121:E131,(A121:A131=A121)*(F121&lt;0)))),0)</f>
        <v>0</v>
      </c>
      <c r="J121"/>
      <c r="K121"/>
      <c r="L121"/>
      <c r="M121"/>
      <c r="N121"/>
    </row>
    <row r="122" spans="1:14" hidden="1">
      <c r="A122" s="466">
        <v>45701</v>
      </c>
      <c r="B122" s="448" t="s">
        <v>37</v>
      </c>
      <c r="C122" s="468">
        <v>4000</v>
      </c>
      <c r="D122" s="467">
        <v>-28.364999999999998</v>
      </c>
      <c r="E122" s="1128">
        <f ca="1">IFERROR(C122*D122*_xlfn.XLOOKUP(B122,TabCalc[Ticker],TabCalc[Scale]),0)</f>
        <v>-113460</v>
      </c>
      <c r="F122" s="1129" cm="1">
        <f t="array" ref="F122">IF(A122=A121,0,SUM(_xlfn._xlws.FILTER(E122:E132,A122:A132=A122)))</f>
        <v>0</v>
      </c>
      <c r="G122" s="1130">
        <f>IF(F122&lt;&gt;0,SUM($F$43:F122),0)</f>
        <v>0</v>
      </c>
      <c r="H122" s="1130" cm="1">
        <f t="array" ref="H122">IFERROR(IF(A122=A121,0,SUM(_xlfn._xlws.FILTER(E122:E132,(A122:A132=A122)*(E122:E132&gt;0)))),0)</f>
        <v>0</v>
      </c>
      <c r="I122" s="1130" cm="1">
        <f t="array" ref="I122">IFERROR(IF(A122=A121,0,SUM(_xlfn._xlws.FILTER(E122:E132,(A122:A132=A122)*(F122&lt;0)))),0)</f>
        <v>0</v>
      </c>
      <c r="J122"/>
      <c r="K122"/>
      <c r="L122"/>
      <c r="M122"/>
      <c r="N122"/>
    </row>
    <row r="123" spans="1:14" hidden="1">
      <c r="A123" s="466">
        <v>45701</v>
      </c>
      <c r="B123" s="448" t="s">
        <v>35</v>
      </c>
      <c r="C123" s="468">
        <v>2000</v>
      </c>
      <c r="D123" s="467">
        <v>-20.229375000000001</v>
      </c>
      <c r="E123" s="1128">
        <f ca="1">IFERROR(C123*D123*_xlfn.XLOOKUP(B123,TabCalc[Ticker],TabCalc[Scale]),0)</f>
        <v>-40458.75</v>
      </c>
      <c r="F123" s="1129" cm="1">
        <f t="array" ref="F123">IF(A123=A122,0,SUM(_xlfn._xlws.FILTER(E123:E133,A123:A133=A123)))</f>
        <v>0</v>
      </c>
      <c r="G123" s="1130">
        <f>IF(F123&lt;&gt;0,SUM($F$43:F123),0)</f>
        <v>0</v>
      </c>
      <c r="H123" s="1130" cm="1">
        <f t="array" ref="H123">IFERROR(IF(A123=A122,0,SUM(_xlfn._xlws.FILTER(E123:E133,(A123:A133=A123)*(E123:E133&gt;0)))),0)</f>
        <v>0</v>
      </c>
      <c r="I123" s="1130" cm="1">
        <f t="array" ref="I123">IFERROR(IF(A123=A122,0,SUM(_xlfn._xlws.FILTER(E123:E133,(A123:A133=A123)*(F123&lt;0)))),0)</f>
        <v>0</v>
      </c>
      <c r="J123"/>
      <c r="K123"/>
      <c r="L123"/>
      <c r="M123"/>
      <c r="N123"/>
    </row>
    <row r="124" spans="1:14" hidden="1">
      <c r="A124" s="466">
        <v>45701</v>
      </c>
      <c r="B124" s="448" t="s">
        <v>10</v>
      </c>
      <c r="C124" s="468">
        <v>2000</v>
      </c>
      <c r="D124" s="467">
        <v>67.069999999999993</v>
      </c>
      <c r="E124" s="1128">
        <f ca="1">IFERROR(C124*D124*_xlfn.XLOOKUP(B124,TabCalc[Ticker],TabCalc[Scale]),0)</f>
        <v>134140</v>
      </c>
      <c r="F124" s="1129" cm="1">
        <f t="array" ref="F124">IF(A124=A123,0,SUM(_xlfn._xlws.FILTER(E124:E134,A124:A134=A124)))</f>
        <v>0</v>
      </c>
      <c r="G124" s="1130">
        <f>IF(F124&lt;&gt;0,SUM($F$43:F124),0)</f>
        <v>0</v>
      </c>
      <c r="H124" s="1130" cm="1">
        <f t="array" ref="H124">IFERROR(IF(A124=A123,0,SUM(_xlfn._xlws.FILTER(E124:E134,(A124:A134=A124)*(E124:E134&gt;0)))),0)</f>
        <v>0</v>
      </c>
      <c r="I124" s="1130" cm="1">
        <f t="array" ref="I124">IFERROR(IF(A124=A123,0,SUM(_xlfn._xlws.FILTER(E124:E134,(A124:A134=A124)*(F124&lt;0)))),0)</f>
        <v>0</v>
      </c>
      <c r="J124"/>
      <c r="K124"/>
      <c r="L124"/>
      <c r="M124"/>
      <c r="N124"/>
    </row>
    <row r="125" spans="1:14" hidden="1">
      <c r="A125" s="466">
        <v>45701</v>
      </c>
      <c r="B125" s="448" t="s">
        <v>47</v>
      </c>
      <c r="C125" s="468">
        <v>500</v>
      </c>
      <c r="D125" s="467">
        <v>30.08</v>
      </c>
      <c r="E125" s="1128">
        <f ca="1">IFERROR(C125*D125*_xlfn.XLOOKUP(B125,TabCalc[Ticker],TabCalc[Scale]),0)</f>
        <v>15040</v>
      </c>
      <c r="F125" s="1129" cm="1">
        <f t="array" ref="F125">IF(A125=A124,0,SUM(_xlfn._xlws.FILTER(E125:E135,A125:A135=A125)))</f>
        <v>0</v>
      </c>
      <c r="G125" s="1130">
        <f>IF(F125&lt;&gt;0,SUM($F$43:F125),0)</f>
        <v>0</v>
      </c>
      <c r="H125" s="1130" cm="1">
        <f t="array" ref="H125">IFERROR(IF(A125=A124,0,SUM(_xlfn._xlws.FILTER(E125:E135,(A125:A135=A125)*(E125:E135&gt;0)))),0)</f>
        <v>0</v>
      </c>
      <c r="I125" s="1130" cm="1">
        <f t="array" ref="I125">IFERROR(IF(A125=A124,0,SUM(_xlfn._xlws.FILTER(E125:E135,(A125:A135=A125)*(F125&lt;0)))),0)</f>
        <v>0</v>
      </c>
      <c r="J125"/>
      <c r="K125"/>
      <c r="L125"/>
      <c r="M125"/>
      <c r="N125"/>
    </row>
    <row r="126" spans="1:14" hidden="1">
      <c r="A126" s="466">
        <v>45701</v>
      </c>
      <c r="B126" s="448" t="s">
        <v>29</v>
      </c>
      <c r="C126" s="468">
        <v>1500</v>
      </c>
      <c r="D126" s="467">
        <v>47.96</v>
      </c>
      <c r="E126" s="1128">
        <f ca="1">IFERROR(C126*D126*_xlfn.XLOOKUP(B126,TabCalc[Ticker],TabCalc[Scale]),0)</f>
        <v>71940</v>
      </c>
      <c r="F126" s="1129" cm="1">
        <f t="array" ref="F126">IF(A126=A125,0,SUM(_xlfn._xlws.FILTER(E126:E136,A126:A136=A126)))</f>
        <v>0</v>
      </c>
      <c r="G126" s="1130">
        <f>IF(F126&lt;&gt;0,SUM($F$43:F126),0)</f>
        <v>0</v>
      </c>
      <c r="H126" s="1130" cm="1">
        <f t="array" ref="H126">IFERROR(IF(A126=A125,0,SUM(_xlfn._xlws.FILTER(E126:E136,(A126:A136=A126)*(E126:E136&gt;0)))),0)</f>
        <v>0</v>
      </c>
      <c r="I126" s="1130" cm="1">
        <f t="array" ref="I126">IFERROR(IF(A126=A125,0,SUM(_xlfn._xlws.FILTER(E126:E136,(A126:A136=A126)*(F126&lt;0)))),0)</f>
        <v>0</v>
      </c>
      <c r="J126"/>
      <c r="K126"/>
      <c r="L126"/>
      <c r="M126"/>
      <c r="N126"/>
    </row>
    <row r="127" spans="1:14" hidden="1">
      <c r="A127" s="466">
        <v>45701</v>
      </c>
      <c r="B127" s="448" t="s">
        <v>31</v>
      </c>
      <c r="C127" s="468">
        <v>3000</v>
      </c>
      <c r="D127" s="467">
        <v>25.15</v>
      </c>
      <c r="E127" s="1128">
        <f ca="1">IFERROR(C127*D127*_xlfn.XLOOKUP(B127,TabCalc[Ticker],TabCalc[Scale]),0)</f>
        <v>75450</v>
      </c>
      <c r="F127" s="1129" cm="1">
        <f t="array" ref="F127">IF(A127=A126,0,SUM(_xlfn._xlws.FILTER(E127:E137,A127:A137=A127)))</f>
        <v>0</v>
      </c>
      <c r="G127" s="1130">
        <f>IF(F127&lt;&gt;0,SUM($F$43:F127),0)</f>
        <v>0</v>
      </c>
      <c r="H127" s="1130" cm="1">
        <f t="array" ref="H127">IFERROR(IF(A127=A126,0,SUM(_xlfn._xlws.FILTER(E127:E137,(A127:A137=A127)*(E127:E137&gt;0)))),0)</f>
        <v>0</v>
      </c>
      <c r="I127" s="1130" cm="1">
        <f t="array" ref="I127">IFERROR(IF(A127=A126,0,SUM(_xlfn._xlws.FILTER(E127:E137,(A127:A137=A127)*(F127&lt;0)))),0)</f>
        <v>0</v>
      </c>
      <c r="J127"/>
      <c r="K127"/>
      <c r="L127"/>
      <c r="M127"/>
      <c r="N127"/>
    </row>
    <row r="128" spans="1:14" hidden="1">
      <c r="A128" s="466">
        <v>45701</v>
      </c>
      <c r="B128" s="448" t="s">
        <v>3</v>
      </c>
      <c r="C128" s="468">
        <v>400</v>
      </c>
      <c r="D128" s="467">
        <v>229.005</v>
      </c>
      <c r="E128" s="1128">
        <f ca="1">IFERROR(C128*D128*_xlfn.XLOOKUP(B128,TabCalc[Ticker],TabCalc[Scale]),0)</f>
        <v>91602</v>
      </c>
      <c r="F128" s="1129" cm="1">
        <f t="array" ref="F128">IF(A128=A127,0,SUM(_xlfn._xlws.FILTER(E128:E138,A128:A138=A128)))</f>
        <v>0</v>
      </c>
      <c r="G128" s="1130">
        <f>IF(F128&lt;&gt;0,SUM($F$43:F128),0)</f>
        <v>0</v>
      </c>
      <c r="H128" s="1130" cm="1">
        <f t="array" ref="H128">IFERROR(IF(A128=A127,0,SUM(_xlfn._xlws.FILTER(E128:E138,(A128:A138=A128)*(E128:E138&gt;0)))),0)</f>
        <v>0</v>
      </c>
      <c r="I128" s="1130" cm="1">
        <f t="array" ref="I128">IFERROR(IF(A128=A127,0,SUM(_xlfn._xlws.FILTER(E128:E138,(A128:A138=A128)*(F128&lt;0)))),0)</f>
        <v>0</v>
      </c>
      <c r="J128"/>
      <c r="K128"/>
      <c r="L128"/>
      <c r="M128"/>
      <c r="N128"/>
    </row>
    <row r="129" spans="1:14" hidden="1">
      <c r="A129" s="466">
        <v>45701</v>
      </c>
      <c r="B129" s="448" t="s">
        <v>6</v>
      </c>
      <c r="C129" s="468">
        <v>14000</v>
      </c>
      <c r="D129" s="467">
        <v>-1.46</v>
      </c>
      <c r="E129" s="1128">
        <f ca="1">IFERROR(C129*D129*_xlfn.XLOOKUP(B129,TabCalc[Ticker],TabCalc[Scale]),0)</f>
        <v>-20440</v>
      </c>
      <c r="F129" s="1129" cm="1">
        <f t="array" ref="F129">IF(A129=A128,0,SUM(_xlfn._xlws.FILTER(E129:E139,A129:A139=A129)))</f>
        <v>0</v>
      </c>
      <c r="G129" s="1130">
        <f>IF(F129&lt;&gt;0,SUM($F$43:F129),0)</f>
        <v>0</v>
      </c>
      <c r="H129" s="1130" cm="1">
        <f t="array" ref="H129">IFERROR(IF(A129=A128,0,SUM(_xlfn._xlws.FILTER(E129:E139,(A129:A139=A129)*(E129:E139&gt;0)))),0)</f>
        <v>0</v>
      </c>
      <c r="I129" s="1130" cm="1">
        <f t="array" ref="I129">IFERROR(IF(A129=A128,0,SUM(_xlfn._xlws.FILTER(E129:E139,(A129:A139=A129)*(F129&lt;0)))),0)</f>
        <v>0</v>
      </c>
      <c r="J129"/>
      <c r="K129"/>
      <c r="L129"/>
      <c r="M129"/>
      <c r="N129"/>
    </row>
    <row r="130" spans="1:14" hidden="1">
      <c r="A130" s="466">
        <v>45701</v>
      </c>
      <c r="B130" s="448" t="s">
        <v>80</v>
      </c>
      <c r="C130" s="468">
        <v>330</v>
      </c>
      <c r="D130" s="467">
        <v>-146.94999999999999</v>
      </c>
      <c r="E130" s="1128">
        <f ca="1">IFERROR(C130*D130*_xlfn.XLOOKUP(B130,TabCalc[Ticker],TabCalc[Scale]),0)</f>
        <v>-48493.499999999993</v>
      </c>
      <c r="F130" s="1129" cm="1">
        <f t="array" ref="F130">IF(A130=A129,0,SUM(_xlfn._xlws.FILTER(E130:E140,A130:A140=A130)))</f>
        <v>0</v>
      </c>
      <c r="G130" s="1130">
        <f>IF(F130&lt;&gt;0,SUM($F$43:F130),0)</f>
        <v>0</v>
      </c>
      <c r="H130" s="1130" cm="1">
        <f t="array" ref="H130">IFERROR(IF(A130=A129,0,SUM(_xlfn._xlws.FILTER(E130:E140,(A130:A140=A130)*(E130:E140&gt;0)))),0)</f>
        <v>0</v>
      </c>
      <c r="I130" s="1130" cm="1">
        <f t="array" ref="I130">IFERROR(IF(A130=A129,0,SUM(_xlfn._xlws.FILTER(E130:E140,(A130:A140=A130)*(F130&lt;0)))),0)</f>
        <v>0</v>
      </c>
      <c r="J130"/>
      <c r="K130"/>
      <c r="L130"/>
      <c r="M130"/>
      <c r="N130"/>
    </row>
    <row r="131" spans="1:14" hidden="1">
      <c r="A131" s="469">
        <v>45702</v>
      </c>
      <c r="B131" s="470" t="s">
        <v>61</v>
      </c>
      <c r="C131" s="471">
        <v>488</v>
      </c>
      <c r="D131" s="472">
        <v>45.93</v>
      </c>
      <c r="E131" s="1128">
        <f ca="1">IFERROR(C131*D131*_xlfn.XLOOKUP(B131,TabCalc[Ticker],TabCalc[Scale]),0)</f>
        <v>22413.84</v>
      </c>
      <c r="F131" s="1129" cm="1">
        <f t="array" aca="1" ref="F131" ca="1">IF(A131=A130,0,SUM(_xlfn._xlws.FILTER(E131:E141,A131:A141=A131)))</f>
        <v>-118176.95999999999</v>
      </c>
      <c r="G131" s="1130">
        <f ca="1">IF(F131&lt;&gt;0,SUM($F$43:F131),0)</f>
        <v>1182389.4539000001</v>
      </c>
      <c r="H131" s="1130" cm="1">
        <f t="array" aca="1" ref="H131" ca="1">IFERROR(IF(A131=A130,0,SUM(_xlfn._xlws.FILTER(E131:E141,(A131:A141=A131)*(E131:E141&gt;0)))),0)</f>
        <v>206539.84</v>
      </c>
      <c r="I131" s="1130" cm="1">
        <f t="array" aca="1" ref="I131" ca="1">IFERROR(IF(A131=A130,0,SUM(_xlfn._xlws.FILTER(E131:E141,(A131:A141=A131)*(F131&lt;0)))),0)</f>
        <v>-118176.95999999999</v>
      </c>
      <c r="J131"/>
      <c r="K131"/>
      <c r="L131"/>
      <c r="M131"/>
      <c r="N131"/>
    </row>
    <row r="132" spans="1:14" hidden="1">
      <c r="A132" s="469">
        <v>45702</v>
      </c>
      <c r="B132" s="470" t="s">
        <v>42</v>
      </c>
      <c r="C132" s="471">
        <v>5000</v>
      </c>
      <c r="D132" s="472">
        <v>-10.93</v>
      </c>
      <c r="E132" s="1128">
        <f ca="1">IFERROR(C132*D132*_xlfn.XLOOKUP(B132,TabCalc[Ticker],TabCalc[Scale]),0)</f>
        <v>-54650</v>
      </c>
      <c r="F132" s="1129" cm="1">
        <f t="array" ref="F132">IF(A132=A131,0,SUM(_xlfn._xlws.FILTER(E132:E142,A132:A142=A132)))</f>
        <v>0</v>
      </c>
      <c r="G132" s="1130">
        <f>IF(F132&lt;&gt;0,SUM($F$43:F132),0)</f>
        <v>0</v>
      </c>
      <c r="H132" s="1130" cm="1">
        <f t="array" ref="H132">IFERROR(IF(A132=A131,0,SUM(_xlfn._xlws.FILTER(E132:E142,(A132:A142=A132)*(E132:E142&gt;0)))),0)</f>
        <v>0</v>
      </c>
      <c r="I132" s="1130" cm="1">
        <f t="array" ref="I132">IFERROR(IF(A132=A131,0,SUM(_xlfn._xlws.FILTER(E132:E142,(A132:A142=A132)*(F132&lt;0)))),0)</f>
        <v>0</v>
      </c>
      <c r="J132"/>
      <c r="K132"/>
      <c r="L132"/>
      <c r="M132"/>
      <c r="N132"/>
    </row>
    <row r="133" spans="1:14" hidden="1">
      <c r="A133" s="469">
        <v>45702</v>
      </c>
      <c r="B133" s="470" t="s">
        <v>77</v>
      </c>
      <c r="C133" s="471">
        <v>8000</v>
      </c>
      <c r="D133" s="472">
        <v>-514.55999999999995</v>
      </c>
      <c r="E133" s="1128">
        <f ca="1">IFERROR(C133*D133*_xlfn.XLOOKUP(B133,TabCalc[Ticker],TabCalc[Scale]),0)</f>
        <v>-41164.799999999996</v>
      </c>
      <c r="F133" s="1129" cm="1">
        <f t="array" ref="F133">IF(A133=A132,0,SUM(_xlfn._xlws.FILTER(E133:E143,A133:A143=A133)))</f>
        <v>0</v>
      </c>
      <c r="G133" s="1130">
        <f>IF(F133&lt;&gt;0,SUM($F$43:F133),0)</f>
        <v>0</v>
      </c>
      <c r="H133" s="1130" cm="1">
        <f t="array" ref="H133">IFERROR(IF(A133=A132,0,SUM(_xlfn._xlws.FILTER(E133:E143,(A133:A143=A133)*(E133:E143&gt;0)))),0)</f>
        <v>0</v>
      </c>
      <c r="I133" s="1130" cm="1">
        <f t="array" ref="I133">IFERROR(IF(A133=A132,0,SUM(_xlfn._xlws.FILTER(E133:E143,(A133:A143=A133)*(F133&lt;0)))),0)</f>
        <v>0</v>
      </c>
      <c r="J133"/>
      <c r="K133"/>
      <c r="L133"/>
      <c r="M133"/>
      <c r="N133"/>
    </row>
    <row r="134" spans="1:14" hidden="1">
      <c r="A134" s="469">
        <v>45702</v>
      </c>
      <c r="B134" s="470" t="s">
        <v>12</v>
      </c>
      <c r="C134" s="471">
        <v>600</v>
      </c>
      <c r="D134" s="472">
        <v>-110.22</v>
      </c>
      <c r="E134" s="1128">
        <f ca="1">IFERROR(C134*D134*_xlfn.XLOOKUP(B134,TabCalc[Ticker],TabCalc[Scale]),0)</f>
        <v>-66132</v>
      </c>
      <c r="F134" s="1129" cm="1">
        <f t="array" ref="F134">IF(A134=A133,0,SUM(_xlfn._xlws.FILTER(E134:E144,A134:A144=A134)))</f>
        <v>0</v>
      </c>
      <c r="G134" s="1130">
        <f>IF(F134&lt;&gt;0,SUM($F$43:F134),0)</f>
        <v>0</v>
      </c>
      <c r="H134" s="1130" cm="1">
        <f t="array" ref="H134">IFERROR(IF(A134=A133,0,SUM(_xlfn._xlws.FILTER(E134:E144,(A134:A144=A134)*(E134:E144&gt;0)))),0)</f>
        <v>0</v>
      </c>
      <c r="I134" s="1130" cm="1">
        <f t="array" ref="I134">IFERROR(IF(A134=A133,0,SUM(_xlfn._xlws.FILTER(E134:E144,(A134:A144=A134)*(F134&lt;0)))),0)</f>
        <v>0</v>
      </c>
      <c r="J134"/>
      <c r="K134"/>
      <c r="L134"/>
      <c r="M134"/>
      <c r="N134"/>
    </row>
    <row r="135" spans="1:14" hidden="1">
      <c r="A135" s="469">
        <v>45702</v>
      </c>
      <c r="B135" s="470" t="s">
        <v>53</v>
      </c>
      <c r="C135" s="471">
        <v>20000</v>
      </c>
      <c r="D135" s="472">
        <v>-1.67</v>
      </c>
      <c r="E135" s="1128">
        <f ca="1">IFERROR(C135*D135*_xlfn.XLOOKUP(B135,TabCalc[Ticker],TabCalc[Scale]),0)</f>
        <v>-33400</v>
      </c>
      <c r="F135" s="1129" cm="1">
        <f t="array" ref="F135">IF(A135=A134,0,SUM(_xlfn._xlws.FILTER(E135:E145,A135:A145=A135)))</f>
        <v>0</v>
      </c>
      <c r="G135" s="1130">
        <f>IF(F135&lt;&gt;0,SUM($F$43:F135),0)</f>
        <v>0</v>
      </c>
      <c r="H135" s="1130" cm="1">
        <f t="array" ref="H135">IFERROR(IF(A135=A134,0,SUM(_xlfn._xlws.FILTER(E135:E145,(A135:A145=A135)*(E135:E145&gt;0)))),0)</f>
        <v>0</v>
      </c>
      <c r="I135" s="1130" cm="1">
        <f t="array" ref="I135">IFERROR(IF(A135=A134,0,SUM(_xlfn._xlws.FILTER(E135:E145,(A135:A145=A135)*(F135&lt;0)))),0)</f>
        <v>0</v>
      </c>
      <c r="J135"/>
      <c r="K135"/>
      <c r="L135"/>
      <c r="M135"/>
      <c r="N135"/>
    </row>
    <row r="136" spans="1:14" hidden="1">
      <c r="A136" s="469">
        <v>45702</v>
      </c>
      <c r="B136" s="470" t="s">
        <v>0</v>
      </c>
      <c r="C136" s="471">
        <v>300</v>
      </c>
      <c r="D136" s="472">
        <v>244.12</v>
      </c>
      <c r="E136" s="1128">
        <f ca="1">IFERROR(C136*D136*_xlfn.XLOOKUP(B136,TabCalc[Ticker],TabCalc[Scale]),0)</f>
        <v>73236</v>
      </c>
      <c r="F136" s="1129" cm="1">
        <f t="array" ref="F136">IF(A136=A135,0,SUM(_xlfn._xlws.FILTER(E136:E146,A136:A146=A136)))</f>
        <v>0</v>
      </c>
      <c r="G136" s="1130">
        <f>IF(F136&lt;&gt;0,SUM($F$43:F136),0)</f>
        <v>0</v>
      </c>
      <c r="H136" s="1130" cm="1">
        <f t="array" ref="H136">IFERROR(IF(A136=A135,0,SUM(_xlfn._xlws.FILTER(E136:E146,(A136:A146=A136)*(E136:E146&gt;0)))),0)</f>
        <v>0</v>
      </c>
      <c r="I136" s="1130" cm="1">
        <f t="array" ref="I136">IFERROR(IF(A136=A135,0,SUM(_xlfn._xlws.FILTER(E136:E146,(A136:A146=A136)*(F136&lt;0)))),0)</f>
        <v>0</v>
      </c>
      <c r="J136"/>
      <c r="K136"/>
      <c r="L136"/>
      <c r="M136"/>
      <c r="N136"/>
    </row>
    <row r="137" spans="1:14" hidden="1">
      <c r="A137" s="469">
        <v>45702</v>
      </c>
      <c r="B137" s="470" t="s">
        <v>3</v>
      </c>
      <c r="C137" s="471">
        <v>500</v>
      </c>
      <c r="D137" s="472">
        <v>-228.54</v>
      </c>
      <c r="E137" s="1128">
        <f ca="1">IFERROR(C137*D137*_xlfn.XLOOKUP(B137,TabCalc[Ticker],TabCalc[Scale]),0)</f>
        <v>-114270</v>
      </c>
      <c r="F137" s="1129" cm="1">
        <f t="array" ref="F137">IF(A137=A136,0,SUM(_xlfn._xlws.FILTER(E137:E147,A137:A147=A137)))</f>
        <v>0</v>
      </c>
      <c r="G137" s="1130">
        <f>IF(F137&lt;&gt;0,SUM($F$43:F137),0)</f>
        <v>0</v>
      </c>
      <c r="H137" s="1130" cm="1">
        <f t="array" ref="H137">IFERROR(IF(A137=A136,0,SUM(_xlfn._xlws.FILTER(E137:E147,(A137:A147=A137)*(E137:E147&gt;0)))),0)</f>
        <v>0</v>
      </c>
      <c r="I137" s="1130" cm="1">
        <f t="array" ref="I137">IFERROR(IF(A137=A136,0,SUM(_xlfn._xlws.FILTER(E137:E147,(A137:A147=A137)*(F137&lt;0)))),0)</f>
        <v>0</v>
      </c>
      <c r="J137"/>
      <c r="K137"/>
      <c r="L137"/>
      <c r="M137"/>
      <c r="N137"/>
    </row>
    <row r="138" spans="1:14" hidden="1">
      <c r="A138" s="469">
        <v>45702</v>
      </c>
      <c r="B138" s="470" t="s">
        <v>28</v>
      </c>
      <c r="C138" s="471">
        <v>1000</v>
      </c>
      <c r="D138" s="472">
        <v>68.03</v>
      </c>
      <c r="E138" s="1128">
        <f ca="1">IFERROR(C138*D138*_xlfn.XLOOKUP(B138,TabCalc[Ticker],TabCalc[Scale]),0)</f>
        <v>68030</v>
      </c>
      <c r="F138" s="1129" cm="1">
        <f t="array" ref="F138">IF(A138=A137,0,SUM(_xlfn._xlws.FILTER(E138:E148,A138:A148=A138)))</f>
        <v>0</v>
      </c>
      <c r="G138" s="1130">
        <f>IF(F138&lt;&gt;0,SUM($F$43:F138),0)</f>
        <v>0</v>
      </c>
      <c r="H138" s="1130" cm="1">
        <f t="array" ref="H138">IFERROR(IF(A138=A137,0,SUM(_xlfn._xlws.FILTER(E138:E148,(A138:A148=A138)*(E138:E148&gt;0)))),0)</f>
        <v>0</v>
      </c>
      <c r="I138" s="1130" cm="1">
        <f t="array" ref="I138">IFERROR(IF(A138=A137,0,SUM(_xlfn._xlws.FILTER(E138:E148,(A138:A148=A138)*(F138&lt;0)))),0)</f>
        <v>0</v>
      </c>
      <c r="J138"/>
      <c r="K138"/>
      <c r="L138"/>
      <c r="M138"/>
      <c r="N138"/>
    </row>
    <row r="139" spans="1:14" hidden="1">
      <c r="A139" s="469">
        <v>45702</v>
      </c>
      <c r="B139" s="470" t="s">
        <v>35</v>
      </c>
      <c r="C139" s="471">
        <v>2000</v>
      </c>
      <c r="D139" s="472">
        <v>21.43</v>
      </c>
      <c r="E139" s="1128">
        <f ca="1">IFERROR(C139*D139*_xlfn.XLOOKUP(B139,TabCalc[Ticker],TabCalc[Scale]),0)</f>
        <v>42860</v>
      </c>
      <c r="F139" s="1129" cm="1">
        <f t="array" ref="F139">IF(A139=A138,0,SUM(_xlfn._xlws.FILTER(E139:E149,A139:A149=A139)))</f>
        <v>0</v>
      </c>
      <c r="G139" s="1130">
        <f>IF(F139&lt;&gt;0,SUM($F$43:F139),0)</f>
        <v>0</v>
      </c>
      <c r="H139" s="1130" cm="1">
        <f t="array" ref="H139">IFERROR(IF(A139=A138,0,SUM(_xlfn._xlws.FILTER(E139:E149,(A139:A149=A139)*(E139:E149&gt;0)))),0)</f>
        <v>0</v>
      </c>
      <c r="I139" s="1130" cm="1">
        <f t="array" ref="I139">IFERROR(IF(A139=A138,0,SUM(_xlfn._xlws.FILTER(E139:E149,(A139:A149=A139)*(F139&lt;0)))),0)</f>
        <v>0</v>
      </c>
      <c r="J139"/>
      <c r="K139"/>
      <c r="L139"/>
      <c r="M139"/>
      <c r="N139"/>
    </row>
    <row r="140" spans="1:14" hidden="1">
      <c r="A140" s="471">
        <v>45702</v>
      </c>
      <c r="B140" s="470" t="s">
        <v>53</v>
      </c>
      <c r="C140" s="471">
        <v>10000</v>
      </c>
      <c r="D140" s="472">
        <v>-1.51</v>
      </c>
      <c r="E140" s="1128">
        <f ca="1">IFERROR(C140*D140*_xlfn.XLOOKUP(B140,TabCalc[Ticker],TabCalc[Scale]),0)</f>
        <v>-15100</v>
      </c>
      <c r="F140" s="1129" cm="1">
        <f t="array" ref="F140">IF(A140=A139,0,SUM(_xlfn._xlws.FILTER(E140:E150,A140:A150=A140)))</f>
        <v>0</v>
      </c>
      <c r="G140" s="1130">
        <f>IF(F140&lt;&gt;0,SUM($F$43:F140),0)</f>
        <v>0</v>
      </c>
      <c r="H140" s="1130" cm="1">
        <f t="array" ref="H140">IFERROR(IF(A140=A139,0,SUM(_xlfn._xlws.FILTER(E140:E150,(A140:A150=A140)*(E140:E150&gt;0)))),0)</f>
        <v>0</v>
      </c>
      <c r="I140" s="1130" cm="1">
        <f t="array" ref="I140">IFERROR(IF(A140=A139,0,SUM(_xlfn._xlws.FILTER(E140:E150,(A140:A150=A140)*(F140&lt;0)))),0)</f>
        <v>0</v>
      </c>
      <c r="J140"/>
      <c r="K140"/>
      <c r="L140"/>
      <c r="M140"/>
      <c r="N140"/>
    </row>
    <row r="141" spans="1:14" hidden="1">
      <c r="A141" s="466">
        <v>45705</v>
      </c>
      <c r="B141" s="448" t="s">
        <v>22</v>
      </c>
      <c r="C141" s="468">
        <v>10000</v>
      </c>
      <c r="D141" s="467">
        <v>-337</v>
      </c>
      <c r="E141" s="1128">
        <f ca="1">IFERROR(C141*D141*_xlfn.XLOOKUP(B141,TabCalc[Ticker],TabCalc[Scale]),0)</f>
        <v>-33700</v>
      </c>
      <c r="F141" s="1129" cm="1">
        <f t="array" aca="1" ref="F141" ca="1">IF(A141=A140,0,SUM(_xlfn._xlws.FILTER(E141:E151,A141:A151=A141)))</f>
        <v>-33700</v>
      </c>
      <c r="G141" s="1130">
        <f ca="1">IF(F141&lt;&gt;0,SUM($F$43:F141),0)</f>
        <v>1148689.4539000001</v>
      </c>
      <c r="H141" s="1130" cm="1">
        <f t="array" aca="1" ref="H141" ca="1">IFERROR(IF(A141=A140,0,SUM(_xlfn._xlws.FILTER(E141:E151,(A141:A151=A141)*(E141:E151&gt;0)))),0)</f>
        <v>0</v>
      </c>
      <c r="I141" s="1130" cm="1">
        <f t="array" aca="1" ref="I141" ca="1">IFERROR(IF(A141=A140,0,SUM(_xlfn._xlws.FILTER(E141:E151,(A141:A151=A141)*(F141&lt;0)))),0)</f>
        <v>-33700</v>
      </c>
      <c r="J141"/>
      <c r="K141"/>
      <c r="L141"/>
      <c r="M141"/>
      <c r="N141"/>
    </row>
    <row r="142" spans="1:14" hidden="1">
      <c r="A142" s="452">
        <v>45706</v>
      </c>
      <c r="B142" s="453" t="s">
        <v>4</v>
      </c>
      <c r="C142" s="473">
        <v>20000</v>
      </c>
      <c r="D142" s="455">
        <v>-1.1459755</v>
      </c>
      <c r="E142" s="1128">
        <f ca="1">IFERROR(C142*D142*_xlfn.XLOOKUP(B142,TabCalc[Ticker],TabCalc[Scale]),0)</f>
        <v>-22919.510000000002</v>
      </c>
      <c r="F142" s="1129" cm="1">
        <f t="array" aca="1" ref="F142" ca="1">IF(A142=A141,0,SUM(_xlfn._xlws.FILTER(E142:E152,A142:A152=A142)))</f>
        <v>-234428.51</v>
      </c>
      <c r="G142" s="1130">
        <f ca="1">IF(F142&lt;&gt;0,SUM($F$43:F142),0)</f>
        <v>914260.94390000007</v>
      </c>
      <c r="H142" s="1130" cm="1">
        <f t="array" aca="1" ref="H142" ca="1">IFERROR(IF(A142=A141,0,SUM(_xlfn._xlws.FILTER(E142:E152,(A142:A152=A142)*(E142:E152&gt;0)))),0)</f>
        <v>126420</v>
      </c>
      <c r="I142" s="1130" cm="1">
        <f t="array" aca="1" ref="I142" ca="1">IFERROR(IF(A142=A141,0,SUM(_xlfn._xlws.FILTER(E142:E152,(A142:A152=A142)*(F142&lt;0)))),0)</f>
        <v>-234428.51</v>
      </c>
      <c r="J142"/>
      <c r="K142"/>
      <c r="L142"/>
      <c r="M142"/>
      <c r="N142"/>
    </row>
    <row r="143" spans="1:14" hidden="1">
      <c r="A143" s="452">
        <v>45706</v>
      </c>
      <c r="B143" s="453" t="s">
        <v>54</v>
      </c>
      <c r="C143" s="473">
        <v>30000</v>
      </c>
      <c r="D143" s="455">
        <v>-1.1000000000000001</v>
      </c>
      <c r="E143" s="1128">
        <f ca="1">IFERROR(C143*D143*_xlfn.XLOOKUP(B143,TabCalc[Ticker],TabCalc[Scale]),0)</f>
        <v>-33000</v>
      </c>
      <c r="F143" s="1129" cm="1">
        <f t="array" ref="F143">IF(A143=A142,0,SUM(_xlfn._xlws.FILTER(E143:E153,A143:A153=A143)))</f>
        <v>0</v>
      </c>
      <c r="G143" s="1130">
        <f>IF(F143&lt;&gt;0,SUM($F$43:F143),0)</f>
        <v>0</v>
      </c>
      <c r="H143" s="1130" cm="1">
        <f t="array" ref="H143">IFERROR(IF(A143=A142,0,SUM(_xlfn._xlws.FILTER(E143:E153,(A143:A153=A143)*(E143:E153&gt;0)))),0)</f>
        <v>0</v>
      </c>
      <c r="I143" s="1130" cm="1">
        <f t="array" ref="I143">IFERROR(IF(A143=A142,0,SUM(_xlfn._xlws.FILTER(E143:E153,(A143:A153=A143)*(F143&lt;0)))),0)</f>
        <v>0</v>
      </c>
      <c r="J143"/>
      <c r="K143"/>
      <c r="L143"/>
      <c r="M143"/>
      <c r="N143"/>
    </row>
    <row r="144" spans="1:14" hidden="1">
      <c r="A144" s="452">
        <v>45706</v>
      </c>
      <c r="B144" s="453" t="s">
        <v>12</v>
      </c>
      <c r="C144" s="473">
        <v>800</v>
      </c>
      <c r="D144" s="455">
        <v>-109.28</v>
      </c>
      <c r="E144" s="1128">
        <f ca="1">IFERROR(C144*D144*_xlfn.XLOOKUP(B144,TabCalc[Ticker],TabCalc[Scale]),0)</f>
        <v>-87424</v>
      </c>
      <c r="F144" s="1129" cm="1">
        <f t="array" ref="F144">IF(A144=A143,0,SUM(_xlfn._xlws.FILTER(E144:E154,A144:A154=A144)))</f>
        <v>0</v>
      </c>
      <c r="G144" s="1130">
        <f>IF(F144&lt;&gt;0,SUM($F$43:F144),0)</f>
        <v>0</v>
      </c>
      <c r="H144" s="1130" cm="1">
        <f t="array" ref="H144">IFERROR(IF(A144=A143,0,SUM(_xlfn._xlws.FILTER(E144:E154,(A144:A154=A144)*(E144:E154&gt;0)))),0)</f>
        <v>0</v>
      </c>
      <c r="I144" s="1130" cm="1">
        <f t="array" ref="I144">IFERROR(IF(A144=A143,0,SUM(_xlfn._xlws.FILTER(E144:E154,(A144:A154=A144)*(F144&lt;0)))),0)</f>
        <v>0</v>
      </c>
      <c r="J144"/>
      <c r="K144"/>
      <c r="L144"/>
      <c r="M144"/>
      <c r="N144"/>
    </row>
    <row r="145" spans="1:14" hidden="1">
      <c r="A145" s="452">
        <v>45706</v>
      </c>
      <c r="B145" s="453" t="s">
        <v>22</v>
      </c>
      <c r="C145" s="473">
        <v>10000</v>
      </c>
      <c r="D145" s="455">
        <v>-337</v>
      </c>
      <c r="E145" s="1128">
        <f ca="1">IFERROR(C145*D145*_xlfn.XLOOKUP(B145,TabCalc[Ticker],TabCalc[Scale]),0)</f>
        <v>-33700</v>
      </c>
      <c r="F145" s="1129" cm="1">
        <f t="array" ref="F145">IF(A145=A144,0,SUM(_xlfn._xlws.FILTER(E145:E155,A145:A155=A145)))</f>
        <v>0</v>
      </c>
      <c r="G145" s="1130">
        <f>IF(F145&lt;&gt;0,SUM($F$43:F145),0)</f>
        <v>0</v>
      </c>
      <c r="H145" s="1130" cm="1">
        <f t="array" ref="H145">IFERROR(IF(A145=A144,0,SUM(_xlfn._xlws.FILTER(E145:E155,(A145:A155=A145)*(E145:E155&gt;0)))),0)</f>
        <v>0</v>
      </c>
      <c r="I145" s="1130" cm="1">
        <f t="array" ref="I145">IFERROR(IF(A145=A144,0,SUM(_xlfn._xlws.FILTER(E145:E155,(A145:A155=A145)*(F145&lt;0)))),0)</f>
        <v>0</v>
      </c>
      <c r="J145"/>
      <c r="K145"/>
      <c r="L145"/>
      <c r="M145"/>
      <c r="N145"/>
    </row>
    <row r="146" spans="1:14" hidden="1">
      <c r="A146" s="452">
        <v>45706</v>
      </c>
      <c r="B146" s="453" t="s">
        <v>58</v>
      </c>
      <c r="C146" s="473">
        <v>8000</v>
      </c>
      <c r="D146" s="455">
        <v>-14.09</v>
      </c>
      <c r="E146" s="1128">
        <f ca="1">IFERROR(C146*D146*_xlfn.XLOOKUP(B146,TabCalc[Ticker],TabCalc[Scale]),0)</f>
        <v>-112720</v>
      </c>
      <c r="F146" s="1129" cm="1">
        <f t="array" ref="F146">IF(A146=A145,0,SUM(_xlfn._xlws.FILTER(E146:E156,A146:A156=A146)))</f>
        <v>0</v>
      </c>
      <c r="G146" s="1130">
        <f>IF(F146&lt;&gt;0,SUM($F$43:F146),0)</f>
        <v>0</v>
      </c>
      <c r="H146" s="1130" cm="1">
        <f t="array" ref="H146">IFERROR(IF(A146=A145,0,SUM(_xlfn._xlws.FILTER(E146:E156,(A146:A156=A146)*(E146:E156&gt;0)))),0)</f>
        <v>0</v>
      </c>
      <c r="I146" s="1130" cm="1">
        <f t="array" ref="I146">IFERROR(IF(A146=A145,0,SUM(_xlfn._xlws.FILTER(E146:E156,(A146:A156=A146)*(F146&lt;0)))),0)</f>
        <v>0</v>
      </c>
      <c r="J146"/>
      <c r="K146"/>
      <c r="L146"/>
      <c r="M146"/>
      <c r="N146"/>
    </row>
    <row r="147" spans="1:14" hidden="1">
      <c r="A147" s="452">
        <v>45706</v>
      </c>
      <c r="B147" s="453" t="s">
        <v>4</v>
      </c>
      <c r="C147" s="473">
        <v>20000</v>
      </c>
      <c r="D147" s="455">
        <v>-1.1459999999999999</v>
      </c>
      <c r="E147" s="1128">
        <f ca="1">IFERROR(C147*D147*_xlfn.XLOOKUP(B147,TabCalc[Ticker],TabCalc[Scale]),0)</f>
        <v>-22919.999999999996</v>
      </c>
      <c r="F147" s="1129" cm="1">
        <f t="array" ref="F147">IF(A147=A146,0,SUM(_xlfn._xlws.FILTER(E147:E157,A147:A157=A147)))</f>
        <v>0</v>
      </c>
      <c r="G147" s="1130">
        <f>IF(F147&lt;&gt;0,SUM($F$43:F147),0)</f>
        <v>0</v>
      </c>
      <c r="H147" s="1130" cm="1">
        <f t="array" ref="H147">IFERROR(IF(A147=A146,0,SUM(_xlfn._xlws.FILTER(E147:E157,(A147:A157=A147)*(E147:E157&gt;0)))),0)</f>
        <v>0</v>
      </c>
      <c r="I147" s="1130" cm="1">
        <f t="array" ref="I147">IFERROR(IF(A147=A146,0,SUM(_xlfn._xlws.FILTER(E147:E157,(A147:A157=A147)*(F147&lt;0)))),0)</f>
        <v>0</v>
      </c>
      <c r="J147"/>
      <c r="K147"/>
      <c r="L147"/>
      <c r="M147"/>
      <c r="N147"/>
    </row>
    <row r="148" spans="1:14" hidden="1">
      <c r="A148" s="452">
        <v>45706</v>
      </c>
      <c r="B148" s="453" t="s">
        <v>32</v>
      </c>
      <c r="C148" s="473">
        <v>100</v>
      </c>
      <c r="D148" s="455">
        <v>717.2</v>
      </c>
      <c r="E148" s="1128">
        <f ca="1">IFERROR(C148*D148*_xlfn.XLOOKUP(B148,TabCalc[Ticker],TabCalc[Scale]),0)</f>
        <v>71720</v>
      </c>
      <c r="F148" s="1129" cm="1">
        <f t="array" ref="F148">IF(A148=A147,0,SUM(_xlfn._xlws.FILTER(E148:E158,A148:A158=A148)))</f>
        <v>0</v>
      </c>
      <c r="G148" s="1130">
        <f>IF(F148&lt;&gt;0,SUM($F$43:F148),0)</f>
        <v>0</v>
      </c>
      <c r="H148" s="1130" cm="1">
        <f t="array" ref="H148">IFERROR(IF(A148=A147,0,SUM(_xlfn._xlws.FILTER(E148:E158,(A148:A158=A148)*(E148:E158&gt;0)))),0)</f>
        <v>0</v>
      </c>
      <c r="I148" s="1130" cm="1">
        <f t="array" ref="I148">IFERROR(IF(A148=A147,0,SUM(_xlfn._xlws.FILTER(E148:E158,(A148:A158=A148)*(F148&lt;0)))),0)</f>
        <v>0</v>
      </c>
      <c r="J148"/>
      <c r="K148"/>
      <c r="L148"/>
      <c r="M148"/>
      <c r="N148"/>
    </row>
    <row r="149" spans="1:14" hidden="1">
      <c r="A149" s="452">
        <v>45706</v>
      </c>
      <c r="B149" s="453" t="s">
        <v>2</v>
      </c>
      <c r="C149" s="473">
        <v>7000</v>
      </c>
      <c r="D149" s="455">
        <v>-46.5</v>
      </c>
      <c r="E149" s="1128">
        <f ca="1">IFERROR(C149*D149*_xlfn.XLOOKUP(B149,TabCalc[Ticker],TabCalc[Scale]),0)</f>
        <v>-3255</v>
      </c>
      <c r="F149" s="1129" cm="1">
        <f t="array" ref="F149">IF(A149=A148,0,SUM(_xlfn._xlws.FILTER(E149:E159,A149:A159=A149)))</f>
        <v>0</v>
      </c>
      <c r="G149" s="1130">
        <f>IF(F149&lt;&gt;0,SUM($F$43:F149),0)</f>
        <v>0</v>
      </c>
      <c r="H149" s="1130" cm="1">
        <f t="array" ref="H149">IFERROR(IF(A149=A148,0,SUM(_xlfn._xlws.FILTER(E149:E159,(A149:A159=A149)*(E149:E159&gt;0)))),0)</f>
        <v>0</v>
      </c>
      <c r="I149" s="1130" cm="1">
        <f t="array" ref="I149">IFERROR(IF(A149=A148,0,SUM(_xlfn._xlws.FILTER(E149:E159,(A149:A159=A149)*(F149&lt;0)))),0)</f>
        <v>0</v>
      </c>
      <c r="J149"/>
      <c r="K149"/>
      <c r="L149"/>
      <c r="M149"/>
      <c r="N149"/>
    </row>
    <row r="150" spans="1:14" hidden="1">
      <c r="A150" s="452">
        <v>45706</v>
      </c>
      <c r="B150" s="453" t="s">
        <v>3</v>
      </c>
      <c r="C150" s="473">
        <v>200</v>
      </c>
      <c r="D150" s="455">
        <v>-224.55</v>
      </c>
      <c r="E150" s="1128">
        <f ca="1">IFERROR(C150*D150*_xlfn.XLOOKUP(B150,TabCalc[Ticker],TabCalc[Scale]),0)</f>
        <v>-44910</v>
      </c>
      <c r="F150" s="1129" cm="1">
        <f t="array" ref="F150">IF(A150=A149,0,SUM(_xlfn._xlws.FILTER(E150:E160,A150:A160=A150)))</f>
        <v>0</v>
      </c>
      <c r="G150" s="1130">
        <f>IF(F150&lt;&gt;0,SUM($F$43:F150),0)</f>
        <v>0</v>
      </c>
      <c r="H150" s="1130" cm="1">
        <f t="array" ref="H150">IFERROR(IF(A150=A149,0,SUM(_xlfn._xlws.FILTER(E150:E160,(A150:A160=A150)*(E150:E160&gt;0)))),0)</f>
        <v>0</v>
      </c>
      <c r="I150" s="1130" cm="1">
        <f t="array" ref="I150">IFERROR(IF(A150=A149,0,SUM(_xlfn._xlws.FILTER(E150:E160,(A150:A160=A150)*(F150&lt;0)))),0)</f>
        <v>0</v>
      </c>
      <c r="J150"/>
      <c r="K150"/>
      <c r="L150"/>
      <c r="M150"/>
      <c r="N150"/>
    </row>
    <row r="151" spans="1:14" hidden="1">
      <c r="A151" s="452">
        <v>45706</v>
      </c>
      <c r="B151" s="453" t="s">
        <v>50</v>
      </c>
      <c r="C151" s="473">
        <v>3000</v>
      </c>
      <c r="D151" s="455">
        <v>10.765000000000001</v>
      </c>
      <c r="E151" s="1128">
        <f ca="1">IFERROR(C151*D151*_xlfn.XLOOKUP(B151,TabCalc[Ticker],TabCalc[Scale]),0)</f>
        <v>32295</v>
      </c>
      <c r="F151" s="1129" cm="1">
        <f t="array" ref="F151">IF(A151=A150,0,SUM(_xlfn._xlws.FILTER(E151:E161,A151:A161=A151)))</f>
        <v>0</v>
      </c>
      <c r="G151" s="1130">
        <f>IF(F151&lt;&gt;0,SUM($F$43:F151),0)</f>
        <v>0</v>
      </c>
      <c r="H151" s="1130" cm="1">
        <f t="array" ref="H151">IFERROR(IF(A151=A150,0,SUM(_xlfn._xlws.FILTER(E151:E161,(A151:A161=A151)*(E151:E161&gt;0)))),0)</f>
        <v>0</v>
      </c>
      <c r="I151" s="1130" cm="1">
        <f t="array" ref="I151">IFERROR(IF(A151=A150,0,SUM(_xlfn._xlws.FILTER(E151:E161,(A151:A161=A151)*(F151&lt;0)))),0)</f>
        <v>0</v>
      </c>
      <c r="J151"/>
      <c r="K151"/>
      <c r="L151"/>
      <c r="M151"/>
      <c r="N151"/>
    </row>
    <row r="152" spans="1:14" hidden="1">
      <c r="A152" s="452">
        <v>45706</v>
      </c>
      <c r="B152" s="453" t="s">
        <v>64</v>
      </c>
      <c r="C152" s="473">
        <v>5000</v>
      </c>
      <c r="D152" s="455">
        <v>4.4809999999999999</v>
      </c>
      <c r="E152" s="1128">
        <f ca="1">IFERROR(C152*D152*_xlfn.XLOOKUP(B152,TabCalc[Ticker],TabCalc[Scale]),0)</f>
        <v>22405</v>
      </c>
      <c r="F152" s="1129" cm="1">
        <f t="array" ref="F152">IF(A152=A151,0,SUM(_xlfn._xlws.FILTER(E152:E162,A152:A162=A152)))</f>
        <v>0</v>
      </c>
      <c r="G152" s="1130">
        <f>IF(F152&lt;&gt;0,SUM($F$43:F152),0)</f>
        <v>0</v>
      </c>
      <c r="H152" s="1130" cm="1">
        <f t="array" ref="H152">IFERROR(IF(A152=A151,0,SUM(_xlfn._xlws.FILTER(E152:E162,(A152:A162=A152)*(E152:E162&gt;0)))),0)</f>
        <v>0</v>
      </c>
      <c r="I152" s="1130" cm="1">
        <f t="array" ref="I152">IFERROR(IF(A152=A151,0,SUM(_xlfn._xlws.FILTER(E152:E162,(A152:A162=A152)*(F152&lt;0)))),0)</f>
        <v>0</v>
      </c>
      <c r="J152"/>
      <c r="K152"/>
      <c r="L152"/>
      <c r="M152"/>
      <c r="N152"/>
    </row>
    <row r="153" spans="1:14" hidden="1">
      <c r="A153" s="452">
        <v>45706</v>
      </c>
      <c r="B153" s="453" t="s">
        <v>79</v>
      </c>
      <c r="C153" s="473">
        <v>10000</v>
      </c>
      <c r="D153" s="455">
        <v>-9.2349999999999994</v>
      </c>
      <c r="E153" s="1128">
        <f ca="1">IFERROR(C153*D153*_xlfn.XLOOKUP(B153,TabCalc[Ticker],TabCalc[Scale]),0)</f>
        <v>-92350</v>
      </c>
      <c r="F153" s="1129" cm="1">
        <f t="array" ref="F153">IF(A153=A152,0,SUM(_xlfn._xlws.FILTER(E153:E163,A153:A163=A153)))</f>
        <v>0</v>
      </c>
      <c r="G153" s="1130">
        <f>IF(F153&lt;&gt;0,SUM($F$43:F153),0)</f>
        <v>0</v>
      </c>
      <c r="H153" s="1130" cm="1">
        <f t="array" ref="H153">IFERROR(IF(A153=A152,0,SUM(_xlfn._xlws.FILTER(E153:E163,(A153:A163=A153)*(E153:E163&gt;0)))),0)</f>
        <v>0</v>
      </c>
      <c r="I153" s="1130" cm="1">
        <f t="array" ref="I153">IFERROR(IF(A153=A152,0,SUM(_xlfn._xlws.FILTER(E153:E163,(A153:A163=A153)*(F153&lt;0)))),0)</f>
        <v>0</v>
      </c>
      <c r="J153"/>
      <c r="K153"/>
      <c r="L153"/>
      <c r="M153"/>
      <c r="N153"/>
    </row>
    <row r="154" spans="1:14" hidden="1">
      <c r="A154" s="466">
        <v>45707</v>
      </c>
      <c r="B154" s="448" t="s">
        <v>46</v>
      </c>
      <c r="C154" s="468">
        <v>250</v>
      </c>
      <c r="D154" s="467">
        <v>-227.5</v>
      </c>
      <c r="E154" s="1128">
        <f ca="1">IFERROR(C154*D154*_xlfn.XLOOKUP(B154,TabCalc[Ticker],TabCalc[Scale]),0)</f>
        <v>-56875</v>
      </c>
      <c r="F154" s="1129" cm="1">
        <f t="array" aca="1" ref="F154" ca="1">IF(A154=A153,0,SUM(_xlfn._xlws.FILTER(E154:E164,A154:A164=A154)))</f>
        <v>-77950.62</v>
      </c>
      <c r="G154" s="1130">
        <f ca="1">IF(F154&lt;&gt;0,SUM($F$43:F154),0)</f>
        <v>836310.32390000008</v>
      </c>
      <c r="H154" s="1130" cm="1">
        <f t="array" aca="1" ref="H154" ca="1">IFERROR(IF(A154=A153,0,SUM(_xlfn._xlws.FILTER(E154:E164,(A154:A164=A154)*(E154:E164&gt;0)))),0)</f>
        <v>293444.38</v>
      </c>
      <c r="I154" s="1130" cm="1">
        <f t="array" aca="1" ref="I154" ca="1">IFERROR(IF(A154=A153,0,SUM(_xlfn._xlws.FILTER(E154:E164,(A154:A164=A154)*(F154&lt;0)))),0)</f>
        <v>-77950.62</v>
      </c>
      <c r="J154"/>
      <c r="K154"/>
      <c r="L154"/>
      <c r="M154"/>
      <c r="N154"/>
    </row>
    <row r="155" spans="1:14" hidden="1">
      <c r="A155" s="466">
        <v>45707</v>
      </c>
      <c r="B155" s="448" t="s">
        <v>9</v>
      </c>
      <c r="C155" s="468">
        <v>1000</v>
      </c>
      <c r="D155" s="467">
        <v>64.849999999999994</v>
      </c>
      <c r="E155" s="1128">
        <f ca="1">IFERROR(C155*D155*_xlfn.XLOOKUP(B155,TabCalc[Ticker],TabCalc[Scale]),0)</f>
        <v>64849.999999999993</v>
      </c>
      <c r="F155" s="1129" cm="1">
        <f t="array" ref="F155">IF(A155=A154,0,SUM(_xlfn._xlws.FILTER(E155:E165,A155:A165=A155)))</f>
        <v>0</v>
      </c>
      <c r="G155" s="1130">
        <f>IF(F155&lt;&gt;0,SUM($F$43:F155),0)</f>
        <v>0</v>
      </c>
      <c r="H155" s="1130" cm="1">
        <f t="array" ref="H155">IFERROR(IF(A155=A154,0,SUM(_xlfn._xlws.FILTER(E155:E165,(A155:A165=A155)*(E155:E165&gt;0)))),0)</f>
        <v>0</v>
      </c>
      <c r="I155" s="1130" cm="1">
        <f t="array" ref="I155">IFERROR(IF(A155=A154,0,SUM(_xlfn._xlws.FILTER(E155:E165,(A155:A165=A155)*(F155&lt;0)))),0)</f>
        <v>0</v>
      </c>
      <c r="J155"/>
      <c r="K155"/>
      <c r="L155"/>
      <c r="M155"/>
      <c r="N155"/>
    </row>
    <row r="156" spans="1:14" hidden="1">
      <c r="A156" s="466">
        <v>45707</v>
      </c>
      <c r="B156" s="448" t="s">
        <v>12</v>
      </c>
      <c r="C156" s="468">
        <v>400</v>
      </c>
      <c r="D156" s="467">
        <v>111.54</v>
      </c>
      <c r="E156" s="1128">
        <f ca="1">IFERROR(C156*D156*_xlfn.XLOOKUP(B156,TabCalc[Ticker],TabCalc[Scale]),0)</f>
        <v>44616</v>
      </c>
      <c r="F156" s="1129" cm="1">
        <f t="array" ref="F156">IF(A156=A155,0,SUM(_xlfn._xlws.FILTER(E156:E166,A156:A166=A156)))</f>
        <v>0</v>
      </c>
      <c r="G156" s="1130">
        <f>IF(F156&lt;&gt;0,SUM($F$43:F156),0)</f>
        <v>0</v>
      </c>
      <c r="H156" s="1130" cm="1">
        <f t="array" ref="H156">IFERROR(IF(A156=A155,0,SUM(_xlfn._xlws.FILTER(E156:E166,(A156:A166=A156)*(E156:E166&gt;0)))),0)</f>
        <v>0</v>
      </c>
      <c r="I156" s="1130" cm="1">
        <f t="array" ref="I156">IFERROR(IF(A156=A155,0,SUM(_xlfn._xlws.FILTER(E156:E166,(A156:A166=A156)*(F156&lt;0)))),0)</f>
        <v>0</v>
      </c>
      <c r="J156"/>
      <c r="K156"/>
      <c r="L156"/>
      <c r="M156"/>
      <c r="N156"/>
    </row>
    <row r="157" spans="1:14" hidden="1">
      <c r="A157" s="466">
        <v>45707</v>
      </c>
      <c r="B157" s="448" t="s">
        <v>31</v>
      </c>
      <c r="C157" s="468">
        <v>2500</v>
      </c>
      <c r="D157" s="467">
        <v>-24.12</v>
      </c>
      <c r="E157" s="1128">
        <f ca="1">IFERROR(C157*D157*_xlfn.XLOOKUP(B157,TabCalc[Ticker],TabCalc[Scale]),0)</f>
        <v>-60300</v>
      </c>
      <c r="F157" s="1129" cm="1">
        <f t="array" ref="F157">IF(A157=A156,0,SUM(_xlfn._xlws.FILTER(E157:E167,A157:A167=A157)))</f>
        <v>0</v>
      </c>
      <c r="G157" s="1130">
        <f>IF(F157&lt;&gt;0,SUM($F$43:F157),0)</f>
        <v>0</v>
      </c>
      <c r="H157" s="1130" cm="1">
        <f t="array" ref="H157">IFERROR(IF(A157=A156,0,SUM(_xlfn._xlws.FILTER(E157:E167,(A157:A167=A157)*(E157:E167&gt;0)))),0)</f>
        <v>0</v>
      </c>
      <c r="I157" s="1130" cm="1">
        <f t="array" ref="I157">IFERROR(IF(A157=A156,0,SUM(_xlfn._xlws.FILTER(E157:E167,(A157:A167=A157)*(F157&lt;0)))),0)</f>
        <v>0</v>
      </c>
      <c r="J157"/>
      <c r="K157"/>
      <c r="L157"/>
      <c r="M157"/>
      <c r="N157"/>
    </row>
    <row r="158" spans="1:14" hidden="1">
      <c r="A158" s="466">
        <v>45707</v>
      </c>
      <c r="B158" s="448" t="s">
        <v>33</v>
      </c>
      <c r="C158" s="468">
        <v>2000</v>
      </c>
      <c r="D158" s="467">
        <v>6.93</v>
      </c>
      <c r="E158" s="1128">
        <f ca="1">IFERROR(C158*D158*_xlfn.XLOOKUP(B158,TabCalc[Ticker],TabCalc[Scale]),0)</f>
        <v>13860</v>
      </c>
      <c r="F158" s="1129" cm="1">
        <f t="array" ref="F158">IF(A158=A157,0,SUM(_xlfn._xlws.FILTER(E158:E168,A158:A168=A158)))</f>
        <v>0</v>
      </c>
      <c r="G158" s="1130">
        <f>IF(F158&lt;&gt;0,SUM($F$43:F158),0)</f>
        <v>0</v>
      </c>
      <c r="H158" s="1130" cm="1">
        <f t="array" ref="H158">IFERROR(IF(A158=A157,0,SUM(_xlfn._xlws.FILTER(E158:E168,(A158:A168=A158)*(E158:E168&gt;0)))),0)</f>
        <v>0</v>
      </c>
      <c r="I158" s="1130" cm="1">
        <f t="array" ref="I158">IFERROR(IF(A158=A157,0,SUM(_xlfn._xlws.FILTER(E158:E168,(A158:A168=A158)*(F158&lt;0)))),0)</f>
        <v>0</v>
      </c>
      <c r="J158"/>
      <c r="K158"/>
      <c r="L158"/>
      <c r="M158"/>
      <c r="N158"/>
    </row>
    <row r="159" spans="1:14" hidden="1">
      <c r="A159" s="466">
        <v>45707</v>
      </c>
      <c r="B159" s="448" t="s">
        <v>60</v>
      </c>
      <c r="C159" s="468">
        <v>5000</v>
      </c>
      <c r="D159" s="467">
        <v>-37.799999999999997</v>
      </c>
      <c r="E159" s="1128">
        <f ca="1">IFERROR(C159*D159*_xlfn.XLOOKUP(B159,TabCalc[Ticker],TabCalc[Scale]),0)</f>
        <v>-189000</v>
      </c>
      <c r="F159" s="1129" cm="1">
        <f t="array" ref="F159">IF(A159=A158,0,SUM(_xlfn._xlws.FILTER(E159:E169,A159:A169=A159)))</f>
        <v>0</v>
      </c>
      <c r="G159" s="1130">
        <f>IF(F159&lt;&gt;0,SUM($F$43:F159),0)</f>
        <v>0</v>
      </c>
      <c r="H159" s="1130" cm="1">
        <f t="array" ref="H159">IFERROR(IF(A159=A158,0,SUM(_xlfn._xlws.FILTER(E159:E169,(A159:A169=A159)*(E159:E169&gt;0)))),0)</f>
        <v>0</v>
      </c>
      <c r="I159" s="1130" cm="1">
        <f t="array" ref="I159">IFERROR(IF(A159=A158,0,SUM(_xlfn._xlws.FILTER(E159:E169,(A159:A169=A159)*(F159&lt;0)))),0)</f>
        <v>0</v>
      </c>
      <c r="J159"/>
      <c r="K159"/>
      <c r="L159"/>
      <c r="M159"/>
      <c r="N159"/>
    </row>
    <row r="160" spans="1:14" hidden="1">
      <c r="A160" s="466">
        <v>45707</v>
      </c>
      <c r="B160" s="448" t="s">
        <v>42</v>
      </c>
      <c r="C160" s="468">
        <v>6000</v>
      </c>
      <c r="D160" s="467">
        <v>-10.87</v>
      </c>
      <c r="E160" s="1128">
        <f ca="1">IFERROR(C160*D160*_xlfn.XLOOKUP(B160,TabCalc[Ticker],TabCalc[Scale]),0)</f>
        <v>-65219.999999999993</v>
      </c>
      <c r="F160" s="1129" cm="1">
        <f t="array" ref="F160">IF(A160=A159,0,SUM(_xlfn._xlws.FILTER(E160:E170,A160:A170=A160)))</f>
        <v>0</v>
      </c>
      <c r="G160" s="1130">
        <f>IF(F160&lt;&gt;0,SUM($F$43:F160),0)</f>
        <v>0</v>
      </c>
      <c r="H160" s="1130" cm="1">
        <f t="array" ref="H160">IFERROR(IF(A160=A159,0,SUM(_xlfn._xlws.FILTER(E160:E170,(A160:A170=A160)*(E160:E170&gt;0)))),0)</f>
        <v>0</v>
      </c>
      <c r="I160" s="1130" cm="1">
        <f t="array" ref="I160">IFERROR(IF(A160=A159,0,SUM(_xlfn._xlws.FILTER(E160:E170,(A160:A170=A160)*(F160&lt;0)))),0)</f>
        <v>0</v>
      </c>
      <c r="J160"/>
      <c r="K160"/>
      <c r="L160"/>
      <c r="M160"/>
      <c r="N160"/>
    </row>
    <row r="161" spans="1:14" hidden="1">
      <c r="A161" s="466">
        <v>45707</v>
      </c>
      <c r="B161" s="448" t="s">
        <v>66</v>
      </c>
      <c r="C161" s="468">
        <v>240</v>
      </c>
      <c r="D161" s="467">
        <v>244.79</v>
      </c>
      <c r="E161" s="1128">
        <f ca="1">IFERROR(C161*D161*_xlfn.XLOOKUP(B161,TabCalc[Ticker],TabCalc[Scale]),0)</f>
        <v>58749.599999999999</v>
      </c>
      <c r="F161" s="1129" cm="1">
        <f t="array" ref="F161">IF(A161=A160,0,SUM(_xlfn._xlws.FILTER(E161:E171,A161:A171=A161)))</f>
        <v>0</v>
      </c>
      <c r="G161" s="1130">
        <f>IF(F161&lt;&gt;0,SUM($F$43:F161),0)</f>
        <v>0</v>
      </c>
      <c r="H161" s="1130" cm="1">
        <f t="array" ref="H161">IFERROR(IF(A161=A160,0,SUM(_xlfn._xlws.FILTER(E161:E171,(A161:A171=A161)*(E161:E171&gt;0)))),0)</f>
        <v>0</v>
      </c>
      <c r="I161" s="1130" cm="1">
        <f t="array" ref="I161">IFERROR(IF(A161=A160,0,SUM(_xlfn._xlws.FILTER(E161:E171,(A161:A171=A161)*(F161&lt;0)))),0)</f>
        <v>0</v>
      </c>
      <c r="J161"/>
      <c r="K161"/>
      <c r="L161"/>
      <c r="M161"/>
      <c r="N161"/>
    </row>
    <row r="162" spans="1:14" hidden="1">
      <c r="A162" s="466">
        <v>45707</v>
      </c>
      <c r="B162" s="448" t="s">
        <v>77</v>
      </c>
      <c r="C162" s="468">
        <v>10000</v>
      </c>
      <c r="D162" s="467">
        <v>595.08780000000002</v>
      </c>
      <c r="E162" s="1128">
        <f ca="1">IFERROR(C162*D162*_xlfn.XLOOKUP(B162,TabCalc[Ticker],TabCalc[Scale]),0)</f>
        <v>59508.78</v>
      </c>
      <c r="F162" s="1129" cm="1">
        <f t="array" ref="F162">IF(A162=A161,0,SUM(_xlfn._xlws.FILTER(E162:E172,A162:A172=A162)))</f>
        <v>0</v>
      </c>
      <c r="G162" s="1130">
        <f>IF(F162&lt;&gt;0,SUM($F$43:F162),0)</f>
        <v>0</v>
      </c>
      <c r="H162" s="1130" cm="1">
        <f t="array" ref="H162">IFERROR(IF(A162=A161,0,SUM(_xlfn._xlws.FILTER(E162:E172,(A162:A172=A162)*(E162:E172&gt;0)))),0)</f>
        <v>0</v>
      </c>
      <c r="I162" s="1130" cm="1">
        <f t="array" ref="I162">IFERROR(IF(A162=A161,0,SUM(_xlfn._xlws.FILTER(E162:E172,(A162:A172=A162)*(F162&lt;0)))),0)</f>
        <v>0</v>
      </c>
      <c r="J162"/>
      <c r="K162"/>
      <c r="L162"/>
      <c r="M162"/>
      <c r="N162"/>
    </row>
    <row r="163" spans="1:14" hidden="1">
      <c r="A163" s="466">
        <v>45707</v>
      </c>
      <c r="B163" s="448" t="s">
        <v>84</v>
      </c>
      <c r="C163" s="468">
        <v>1000</v>
      </c>
      <c r="D163" s="467">
        <v>51.86</v>
      </c>
      <c r="E163" s="1128">
        <f ca="1">IFERROR(C163*D163*_xlfn.XLOOKUP(B163,TabCalc[Ticker],TabCalc[Scale]),0)</f>
        <v>51860</v>
      </c>
      <c r="F163" s="1129" cm="1">
        <f t="array" ref="F163">IF(A163=A162,0,SUM(_xlfn._xlws.FILTER(E163:E173,A163:A173=A163)))</f>
        <v>0</v>
      </c>
      <c r="G163" s="1130">
        <f>IF(F163&lt;&gt;0,SUM($F$43:F163),0)</f>
        <v>0</v>
      </c>
      <c r="H163" s="1130" cm="1">
        <f t="array" ref="H163">IFERROR(IF(A163=A162,0,SUM(_xlfn._xlws.FILTER(E163:E173,(A163:A173=A163)*(E163:E173&gt;0)))),0)</f>
        <v>0</v>
      </c>
      <c r="I163" s="1130" cm="1">
        <f t="array" ref="I163">IFERROR(IF(A163=A162,0,SUM(_xlfn._xlws.FILTER(E163:E173,(A163:A173=A163)*(F163&lt;0)))),0)</f>
        <v>0</v>
      </c>
      <c r="J163"/>
      <c r="K163"/>
      <c r="L163"/>
      <c r="M163"/>
      <c r="N163"/>
    </row>
    <row r="164" spans="1:14" hidden="1">
      <c r="A164" s="452">
        <v>45708</v>
      </c>
      <c r="B164" s="453" t="s">
        <v>54</v>
      </c>
      <c r="C164" s="454">
        <v>7942</v>
      </c>
      <c r="D164" s="455">
        <v>-1.0740000000000001</v>
      </c>
      <c r="E164" s="1128">
        <f ca="1">IFERROR(C164*D164*_xlfn.XLOOKUP(B164,TabCalc[Ticker],TabCalc[Scale]),0)</f>
        <v>-8529.7080000000005</v>
      </c>
      <c r="F164" s="1129" cm="1">
        <f t="array" aca="1" ref="F164" ca="1">IF(A164=A163,0,SUM(_xlfn._xlws.FILTER(E164:E174,A164:A174=A164)))</f>
        <v>61566.292000000001</v>
      </c>
      <c r="G164" s="1130">
        <f ca="1">IF(F164&lt;&gt;0,SUM($F$43:F164),0)</f>
        <v>897876.61590000009</v>
      </c>
      <c r="H164" s="1130" cm="1">
        <f t="array" aca="1" ref="H164" ca="1">IFERROR(IF(A164=A163,0,SUM(_xlfn._xlws.FILTER(E164:E174,(A164:A174=A164)*(E164:E174&gt;0)))),0)</f>
        <v>70096</v>
      </c>
      <c r="I164" s="1130" cm="1">
        <f t="array" aca="1" ref="I164" ca="1">IFERROR(IF(A164=A163,0,SUM(_xlfn._xlws.FILTER(E164:E174,(A164:A174=A164)*(F164&lt;0)))),0)</f>
        <v>0</v>
      </c>
      <c r="J164"/>
      <c r="K164"/>
      <c r="L164"/>
      <c r="M164"/>
      <c r="N164"/>
    </row>
    <row r="165" spans="1:14" hidden="1">
      <c r="A165" s="452">
        <v>45708</v>
      </c>
      <c r="B165" s="453" t="s">
        <v>28</v>
      </c>
      <c r="C165" s="454">
        <v>1000</v>
      </c>
      <c r="D165" s="455">
        <v>70.096000000000004</v>
      </c>
      <c r="E165" s="1128">
        <f ca="1">IFERROR(C165*D165*_xlfn.XLOOKUP(B165,TabCalc[Ticker],TabCalc[Scale]),0)</f>
        <v>70096</v>
      </c>
      <c r="F165" s="1129" cm="1">
        <f t="array" ref="F165">IF(A165=A164,0,SUM(_xlfn._xlws.FILTER(E165:E175,A165:A175=A165)))</f>
        <v>0</v>
      </c>
      <c r="G165" s="1130">
        <f>IF(F165&lt;&gt;0,SUM($F$43:F165),0)</f>
        <v>0</v>
      </c>
      <c r="H165" s="1130" cm="1">
        <f t="array" ref="H165">IFERROR(IF(A165=A164,0,SUM(_xlfn._xlws.FILTER(E165:E175,(A165:A175=A165)*(E165:E175&gt;0)))),0)</f>
        <v>0</v>
      </c>
      <c r="I165" s="1130" cm="1">
        <f t="array" ref="I165">IFERROR(IF(A165=A164,0,SUM(_xlfn._xlws.FILTER(E165:E175,(A165:A175=A165)*(F165&lt;0)))),0)</f>
        <v>0</v>
      </c>
      <c r="J165"/>
      <c r="K165"/>
      <c r="L165"/>
      <c r="M165"/>
      <c r="N165"/>
    </row>
    <row r="166" spans="1:14" hidden="1">
      <c r="A166" s="466">
        <v>45709</v>
      </c>
      <c r="B166" s="448" t="s">
        <v>3</v>
      </c>
      <c r="C166" s="468">
        <v>500</v>
      </c>
      <c r="D166" s="467">
        <v>-215.45</v>
      </c>
      <c r="E166" s="1128">
        <f ca="1">IFERROR(C166*D166*_xlfn.XLOOKUP(B166,TabCalc[Ticker],TabCalc[Scale]),0)</f>
        <v>-107725</v>
      </c>
      <c r="F166" s="1129" cm="1">
        <f t="array" aca="1" ref="F166" ca="1">IF(A166=A165,0,SUM(_xlfn._xlws.FILTER(E166:E176,A166:A176=A166)))</f>
        <v>-141324.100274</v>
      </c>
      <c r="G166" s="1130">
        <f ca="1">IF(F166&lt;&gt;0,SUM($F$43:F166),0)</f>
        <v>756552.51562600012</v>
      </c>
      <c r="H166" s="1130" cm="1">
        <f t="array" aca="1" ref="H166" ca="1">IFERROR(IF(A166=A165,0,SUM(_xlfn._xlws.FILTER(E166:E176,(A166:A176=A166)*(E166:E176&gt;0)))),0)</f>
        <v>106193.93</v>
      </c>
      <c r="I166" s="1130" cm="1">
        <f t="array" aca="1" ref="I166" ca="1">IFERROR(IF(A166=A165,0,SUM(_xlfn._xlws.FILTER(E166:E176,(A166:A176=A166)*(F166&lt;0)))),0)</f>
        <v>-141324.100274</v>
      </c>
      <c r="J166"/>
      <c r="K166"/>
      <c r="L166"/>
      <c r="M166"/>
      <c r="N166"/>
    </row>
    <row r="167" spans="1:14" hidden="1">
      <c r="A167" s="466">
        <v>45709</v>
      </c>
      <c r="B167" s="448" t="s">
        <v>32</v>
      </c>
      <c r="C167" s="468">
        <v>100</v>
      </c>
      <c r="D167" s="467">
        <v>-706.6</v>
      </c>
      <c r="E167" s="1128">
        <f ca="1">IFERROR(C167*D167*_xlfn.XLOOKUP(B167,TabCalc[Ticker],TabCalc[Scale]),0)</f>
        <v>-70660</v>
      </c>
      <c r="F167" s="1129" cm="1">
        <f t="array" ref="F167">IF(A167=A166,0,SUM(_xlfn._xlws.FILTER(E167:E177,A167:A177=A167)))</f>
        <v>0</v>
      </c>
      <c r="G167" s="1130">
        <f>IF(F167&lt;&gt;0,SUM($F$43:F167),0)</f>
        <v>0</v>
      </c>
      <c r="H167" s="1130" cm="1">
        <f t="array" ref="H167">IFERROR(IF(A167=A166,0,SUM(_xlfn._xlws.FILTER(E167:E177,(A167:A177=A167)*(E167:E177&gt;0)))),0)</f>
        <v>0</v>
      </c>
      <c r="I167" s="1130" cm="1">
        <f t="array" ref="I167">IFERROR(IF(A167=A166,0,SUM(_xlfn._xlws.FILTER(E167:E177,(A167:A177=A167)*(F167&lt;0)))),0)</f>
        <v>0</v>
      </c>
      <c r="J167"/>
      <c r="K167"/>
      <c r="L167"/>
      <c r="M167"/>
      <c r="N167"/>
    </row>
    <row r="168" spans="1:14" hidden="1">
      <c r="A168" s="466">
        <v>45709</v>
      </c>
      <c r="B168" s="448" t="s">
        <v>28</v>
      </c>
      <c r="C168" s="468">
        <v>1000</v>
      </c>
      <c r="D168" s="467">
        <v>71.239999999999995</v>
      </c>
      <c r="E168" s="1128">
        <f ca="1">IFERROR(C168*D168*_xlfn.XLOOKUP(B168,TabCalc[Ticker],TabCalc[Scale]),0)</f>
        <v>71240</v>
      </c>
      <c r="F168" s="1129" cm="1">
        <f t="array" ref="F168">IF(A168=A167,0,SUM(_xlfn._xlws.FILTER(E168:E178,A168:A178=A168)))</f>
        <v>0</v>
      </c>
      <c r="G168" s="1130">
        <f>IF(F168&lt;&gt;0,SUM($F$43:F168),0)</f>
        <v>0</v>
      </c>
      <c r="H168" s="1130" cm="1">
        <f t="array" ref="H168">IFERROR(IF(A168=A167,0,SUM(_xlfn._xlws.FILTER(E168:E178,(A168:A178=A168)*(E168:E178&gt;0)))),0)</f>
        <v>0</v>
      </c>
      <c r="I168" s="1130" cm="1">
        <f t="array" ref="I168">IFERROR(IF(A168=A167,0,SUM(_xlfn._xlws.FILTER(E168:E178,(A168:A178=A168)*(F168&lt;0)))),0)</f>
        <v>0</v>
      </c>
      <c r="J168"/>
      <c r="K168"/>
      <c r="L168"/>
      <c r="M168"/>
      <c r="N168"/>
    </row>
    <row r="169" spans="1:14" hidden="1">
      <c r="A169" s="466">
        <v>45709</v>
      </c>
      <c r="B169" s="448" t="s">
        <v>54</v>
      </c>
      <c r="C169" s="468">
        <v>12058</v>
      </c>
      <c r="D169" s="467">
        <v>-1.0964529999999999</v>
      </c>
      <c r="E169" s="1128">
        <f ca="1">IFERROR(C169*D169*_xlfn.XLOOKUP(B169,TabCalc[Ticker],TabCalc[Scale]),0)</f>
        <v>-13221.030273999999</v>
      </c>
      <c r="F169" s="1129" cm="1">
        <f t="array" ref="F169">IF(A169=A168,0,SUM(_xlfn._xlws.FILTER(E169:E179,A169:A179=A169)))</f>
        <v>0</v>
      </c>
      <c r="G169" s="1130">
        <f>IF(F169&lt;&gt;0,SUM($F$43:F169),0)</f>
        <v>0</v>
      </c>
      <c r="H169" s="1130" cm="1">
        <f t="array" ref="H169">IFERROR(IF(A169=A168,0,SUM(_xlfn._xlws.FILTER(E169:E179,(A169:A179=A169)*(E169:E179&gt;0)))),0)</f>
        <v>0</v>
      </c>
      <c r="I169" s="1130" cm="1">
        <f t="array" ref="I169">IFERROR(IF(A169=A168,0,SUM(_xlfn._xlws.FILTER(E169:E179,(A169:A179=A169)*(F169&lt;0)))),0)</f>
        <v>0</v>
      </c>
      <c r="J169"/>
      <c r="K169"/>
      <c r="L169"/>
      <c r="M169"/>
      <c r="N169"/>
    </row>
    <row r="170" spans="1:14" hidden="1">
      <c r="A170" s="466">
        <v>45709</v>
      </c>
      <c r="B170" s="448" t="s">
        <v>57</v>
      </c>
      <c r="C170" s="468">
        <v>3000</v>
      </c>
      <c r="D170" s="467">
        <v>11.65131</v>
      </c>
      <c r="E170" s="1128">
        <f ca="1">IFERROR(C170*D170*_xlfn.XLOOKUP(B170,TabCalc[Ticker],TabCalc[Scale]),0)</f>
        <v>34953.93</v>
      </c>
      <c r="F170" s="1129" cm="1">
        <f t="array" ref="F170">IF(A170=A169,0,SUM(_xlfn._xlws.FILTER(E170:E180,A170:A180=A170)))</f>
        <v>0</v>
      </c>
      <c r="G170" s="1130">
        <f>IF(F170&lt;&gt;0,SUM($F$43:F170),0)</f>
        <v>0</v>
      </c>
      <c r="H170" s="1130" cm="1">
        <f t="array" ref="H170">IFERROR(IF(A170=A169,0,SUM(_xlfn._xlws.FILTER(E170:E180,(A170:A180=A170)*(E170:E180&gt;0)))),0)</f>
        <v>0</v>
      </c>
      <c r="I170" s="1130" cm="1">
        <f t="array" ref="I170">IFERROR(IF(A170=A169,0,SUM(_xlfn._xlws.FILTER(E170:E180,(A170:A180=A170)*(F170&lt;0)))),0)</f>
        <v>0</v>
      </c>
      <c r="J170"/>
      <c r="K170"/>
      <c r="L170"/>
      <c r="M170"/>
      <c r="N170"/>
    </row>
    <row r="171" spans="1:14" hidden="1">
      <c r="A171" s="466">
        <v>45709</v>
      </c>
      <c r="B171" s="448" t="s">
        <v>74</v>
      </c>
      <c r="C171" s="468">
        <v>4000</v>
      </c>
      <c r="D171" s="467">
        <v>-13.978</v>
      </c>
      <c r="E171" s="1128">
        <f ca="1">IFERROR(C171*D171*_xlfn.XLOOKUP(B171,TabCalc[Ticker],TabCalc[Scale]),0)</f>
        <v>-55912</v>
      </c>
      <c r="F171" s="1129" cm="1">
        <f t="array" ref="F171">IF(A171=A170,0,SUM(_xlfn._xlws.FILTER(E171:E181,A171:A181=A171)))</f>
        <v>0</v>
      </c>
      <c r="G171" s="1130">
        <f>IF(F171&lt;&gt;0,SUM($F$43:F171),0)</f>
        <v>0</v>
      </c>
      <c r="H171" s="1130" cm="1">
        <f t="array" ref="H171">IFERROR(IF(A171=A170,0,SUM(_xlfn._xlws.FILTER(E171:E181,(A171:A181=A171)*(E171:E181&gt;0)))),0)</f>
        <v>0</v>
      </c>
      <c r="I171" s="1130" cm="1">
        <f t="array" ref="I171">IFERROR(IF(A171=A170,0,SUM(_xlfn._xlws.FILTER(E171:E181,(A171:A181=A171)*(F171&lt;0)))),0)</f>
        <v>0</v>
      </c>
      <c r="J171"/>
      <c r="K171"/>
      <c r="L171"/>
      <c r="M171"/>
      <c r="N171"/>
    </row>
    <row r="172" spans="1:14" hidden="1">
      <c r="A172" s="452">
        <v>45712</v>
      </c>
      <c r="B172" s="453" t="s">
        <v>38</v>
      </c>
      <c r="C172" s="454">
        <v>499</v>
      </c>
      <c r="D172" s="455">
        <v>275.52499999999998</v>
      </c>
      <c r="E172" s="1128">
        <f ca="1">IFERROR(C172*D172*_xlfn.XLOOKUP(B172,TabCalc[Ticker],TabCalc[Scale]),0)</f>
        <v>137486.97499999998</v>
      </c>
      <c r="F172" s="1129" cm="1">
        <f t="array" aca="1" ref="F172" ca="1">IF(A172=A171,0,SUM(_xlfn._xlws.FILTER(E172:E182,A172:A182=A172)))</f>
        <v>360547.32499999995</v>
      </c>
      <c r="G172" s="1130">
        <f ca="1">IF(F172&lt;&gt;0,SUM($F$43:F172),0)</f>
        <v>1117099.840626</v>
      </c>
      <c r="H172" s="1130" cm="1">
        <f t="array" aca="1" ref="H172" ca="1">IFERROR(IF(A172=A171,0,SUM(_xlfn._xlws.FILTER(E172:E182,(A172:A182=A172)*(E172:E182&gt;0)))),0)</f>
        <v>551832.32499999995</v>
      </c>
      <c r="I172" s="1130" cm="1">
        <f t="array" aca="1" ref="I172" ca="1">IFERROR(IF(A172=A171,0,SUM(_xlfn._xlws.FILTER(E172:E182,(A172:A182=A172)*(F172&lt;0)))),0)</f>
        <v>0</v>
      </c>
      <c r="J172"/>
      <c r="K172"/>
      <c r="L172"/>
      <c r="M172"/>
      <c r="N172"/>
    </row>
    <row r="173" spans="1:14" hidden="1">
      <c r="A173" s="452">
        <v>45712</v>
      </c>
      <c r="B173" s="453" t="s">
        <v>62</v>
      </c>
      <c r="C173" s="454">
        <v>499</v>
      </c>
      <c r="D173" s="455">
        <v>275.64999999999998</v>
      </c>
      <c r="E173" s="1128">
        <f ca="1">IFERROR(C173*D173*_xlfn.XLOOKUP(B173,TabCalc[Ticker],TabCalc[Scale]),0)</f>
        <v>137549.34999999998</v>
      </c>
      <c r="F173" s="1129" cm="1">
        <f t="array" ref="F173">IF(A173=A172,0,SUM(_xlfn._xlws.FILTER(E173:E183,A173:A183=A173)))</f>
        <v>0</v>
      </c>
      <c r="G173" s="1130">
        <f>IF(F173&lt;&gt;0,SUM($F$43:F173),0)</f>
        <v>0</v>
      </c>
      <c r="H173" s="1130" cm="1">
        <f t="array" ref="H173">IFERROR(IF(A173=A172,0,SUM(_xlfn._xlws.FILTER(E173:E183,(A173:A183=A173)*(E173:E183&gt;0)))),0)</f>
        <v>0</v>
      </c>
      <c r="I173" s="1130" cm="1">
        <f t="array" ref="I173">IFERROR(IF(A173=A172,0,SUM(_xlfn._xlws.FILTER(E173:E183,(A173:A183=A173)*(F173&lt;0)))),0)</f>
        <v>0</v>
      </c>
      <c r="J173"/>
      <c r="K173"/>
      <c r="L173"/>
      <c r="M173"/>
      <c r="N173"/>
    </row>
    <row r="174" spans="1:14" hidden="1">
      <c r="A174" s="452">
        <v>45712</v>
      </c>
      <c r="B174" s="453" t="s">
        <v>16</v>
      </c>
      <c r="C174" s="454">
        <v>8000</v>
      </c>
      <c r="D174" s="455">
        <v>12.09</v>
      </c>
      <c r="E174" s="1128">
        <f ca="1">IFERROR(C174*D174*_xlfn.XLOOKUP(B174,TabCalc[Ticker],TabCalc[Scale]),0)</f>
        <v>96720</v>
      </c>
      <c r="F174" s="1129" cm="1">
        <f t="array" ref="F174">IF(A174=A173,0,SUM(_xlfn._xlws.FILTER(E174:E184,A174:A184=A174)))</f>
        <v>0</v>
      </c>
      <c r="G174" s="1130">
        <f>IF(F174&lt;&gt;0,SUM($F$43:F174),0)</f>
        <v>0</v>
      </c>
      <c r="H174" s="1130" cm="1">
        <f t="array" ref="H174">IFERROR(IF(A174=A173,0,SUM(_xlfn._xlws.FILTER(E174:E184,(A174:A184=A174)*(E174:E184&gt;0)))),0)</f>
        <v>0</v>
      </c>
      <c r="I174" s="1130" cm="1">
        <f t="array" ref="I174">IFERROR(IF(A174=A173,0,SUM(_xlfn._xlws.FILTER(E174:E184,(A174:A184=A174)*(F174&lt;0)))),0)</f>
        <v>0</v>
      </c>
      <c r="J174"/>
      <c r="K174"/>
      <c r="L174"/>
      <c r="M174"/>
      <c r="N174"/>
    </row>
    <row r="175" spans="1:14" hidden="1">
      <c r="A175" s="452">
        <v>45712</v>
      </c>
      <c r="B175" s="453" t="s">
        <v>1</v>
      </c>
      <c r="C175" s="454">
        <v>2990</v>
      </c>
      <c r="D175" s="455">
        <v>16.670000000000002</v>
      </c>
      <c r="E175" s="1128">
        <f ca="1">IFERROR(C175*D175*_xlfn.XLOOKUP(B175,TabCalc[Ticker],TabCalc[Scale]),0)</f>
        <v>49843.3</v>
      </c>
      <c r="F175" s="1129" cm="1">
        <f t="array" ref="F175">IF(A175=A174,0,SUM(_xlfn._xlws.FILTER(E175:E185,A175:A185=A175)))</f>
        <v>0</v>
      </c>
      <c r="G175" s="1130">
        <f>IF(F175&lt;&gt;0,SUM($F$43:F175),0)</f>
        <v>0</v>
      </c>
      <c r="H175" s="1130" cm="1">
        <f t="array" ref="H175">IFERROR(IF(A175=A174,0,SUM(_xlfn._xlws.FILTER(E175:E185,(A175:A185=A175)*(E175:E185&gt;0)))),0)</f>
        <v>0</v>
      </c>
      <c r="I175" s="1130" cm="1">
        <f t="array" ref="I175">IFERROR(IF(A175=A174,0,SUM(_xlfn._xlws.FILTER(E175:E185,(A175:A185=A175)*(F175&lt;0)))),0)</f>
        <v>0</v>
      </c>
      <c r="J175"/>
      <c r="K175"/>
      <c r="L175"/>
      <c r="M175"/>
      <c r="N175"/>
    </row>
    <row r="176" spans="1:14" hidden="1">
      <c r="A176" s="452">
        <v>45712</v>
      </c>
      <c r="B176" s="453" t="s">
        <v>29</v>
      </c>
      <c r="C176" s="454">
        <v>2000</v>
      </c>
      <c r="D176" s="455">
        <v>-43.7</v>
      </c>
      <c r="E176" s="1128">
        <f ca="1">IFERROR(C176*D176*_xlfn.XLOOKUP(B176,TabCalc[Ticker],TabCalc[Scale]),0)</f>
        <v>-87400</v>
      </c>
      <c r="F176" s="1129" cm="1">
        <f t="array" ref="F176">IF(A176=A175,0,SUM(_xlfn._xlws.FILTER(E176:E186,A176:A186=A176)))</f>
        <v>0</v>
      </c>
      <c r="G176" s="1130">
        <f>IF(F176&lt;&gt;0,SUM($F$43:F176),0)</f>
        <v>0</v>
      </c>
      <c r="H176" s="1130" cm="1">
        <f t="array" ref="H176">IFERROR(IF(A176=A175,0,SUM(_xlfn._xlws.FILTER(E176:E186,(A176:A186=A176)*(E176:E186&gt;0)))),0)</f>
        <v>0</v>
      </c>
      <c r="I176" s="1130" cm="1">
        <f t="array" ref="I176">IFERROR(IF(A176=A175,0,SUM(_xlfn._xlws.FILTER(E176:E186,(A176:A186=A176)*(F176&lt;0)))),0)</f>
        <v>0</v>
      </c>
      <c r="J176"/>
      <c r="K176"/>
      <c r="L176"/>
      <c r="M176"/>
      <c r="N176"/>
    </row>
    <row r="177" spans="1:14" hidden="1">
      <c r="A177" s="452">
        <v>45712</v>
      </c>
      <c r="B177" s="453" t="s">
        <v>36</v>
      </c>
      <c r="C177" s="454">
        <v>390</v>
      </c>
      <c r="D177" s="455">
        <v>333.93</v>
      </c>
      <c r="E177" s="1128">
        <f ca="1">IFERROR(C177*D177*_xlfn.XLOOKUP(B177,TabCalc[Ticker],TabCalc[Scale]),0)</f>
        <v>130232.7</v>
      </c>
      <c r="F177" s="1129" cm="1">
        <f t="array" ref="F177">IF(A177=A176,0,SUM(_xlfn._xlws.FILTER(E177:E187,A177:A187=A177)))</f>
        <v>0</v>
      </c>
      <c r="G177" s="1130">
        <f>IF(F177&lt;&gt;0,SUM($F$43:F177),0)</f>
        <v>0</v>
      </c>
      <c r="H177" s="1130" cm="1">
        <f t="array" ref="H177">IFERROR(IF(A177=A176,0,SUM(_xlfn._xlws.FILTER(E177:E187,(A177:A187=A177)*(E177:E187&gt;0)))),0)</f>
        <v>0</v>
      </c>
      <c r="I177" s="1130" cm="1">
        <f t="array" ref="I177">IFERROR(IF(A177=A176,0,SUM(_xlfn._xlws.FILTER(E177:E187,(A177:A187=A177)*(F177&lt;0)))),0)</f>
        <v>0</v>
      </c>
      <c r="J177"/>
      <c r="K177"/>
      <c r="L177"/>
      <c r="M177"/>
      <c r="N177"/>
    </row>
    <row r="178" spans="1:14" hidden="1">
      <c r="A178" s="452">
        <v>45712</v>
      </c>
      <c r="B178" s="453" t="s">
        <v>46</v>
      </c>
      <c r="C178" s="454">
        <v>500</v>
      </c>
      <c r="D178" s="455">
        <v>-207.77</v>
      </c>
      <c r="E178" s="1128">
        <f ca="1">IFERROR(C178*D178*_xlfn.XLOOKUP(B178,TabCalc[Ticker],TabCalc[Scale]),0)</f>
        <v>-103885</v>
      </c>
      <c r="F178" s="1129" cm="1">
        <f t="array" ref="F178">IF(A178=A177,0,SUM(_xlfn._xlws.FILTER(E178:E188,A178:A188=A178)))</f>
        <v>0</v>
      </c>
      <c r="G178" s="1130">
        <f>IF(F178&lt;&gt;0,SUM($F$43:F178),0)</f>
        <v>0</v>
      </c>
      <c r="H178" s="1130" cm="1">
        <f t="array" ref="H178">IFERROR(IF(A178=A177,0,SUM(_xlfn._xlws.FILTER(E178:E188,(A178:A188=A178)*(E178:E188&gt;0)))),0)</f>
        <v>0</v>
      </c>
      <c r="I178" s="1130" cm="1">
        <f t="array" ref="I178">IFERROR(IF(A178=A177,0,SUM(_xlfn._xlws.FILTER(E178:E188,(A178:A188=A178)*(F178&lt;0)))),0)</f>
        <v>0</v>
      </c>
      <c r="J178"/>
      <c r="K178"/>
      <c r="L178"/>
      <c r="M178"/>
      <c r="N178"/>
    </row>
    <row r="179" spans="1:14" hidden="1">
      <c r="A179" s="466">
        <v>45713</v>
      </c>
      <c r="B179" s="448" t="s">
        <v>46</v>
      </c>
      <c r="C179" s="468">
        <v>240</v>
      </c>
      <c r="D179" s="467">
        <v>-203.42583329999999</v>
      </c>
      <c r="E179" s="1128">
        <f ca="1">IFERROR(C179*D179*_xlfn.XLOOKUP(B179,TabCalc[Ticker],TabCalc[Scale]),0)</f>
        <v>-48822.199992000002</v>
      </c>
      <c r="F179" s="1129" cm="1">
        <f t="array" aca="1" ref="F179" ca="1">IF(A179=A178,0,SUM(_xlfn._xlws.FILTER(E179:E189,A179:A189=A179)))</f>
        <v>-937150.96999199991</v>
      </c>
      <c r="G179" s="1130">
        <f ca="1">IF(F179&lt;&gt;0,SUM($F$43:F179),0)</f>
        <v>179948.87063400005</v>
      </c>
      <c r="H179" s="1130" cm="1">
        <f t="array" aca="1" ref="H179" ca="1">IFERROR(IF(A179=A178,0,SUM(_xlfn._xlws.FILTER(E179:E189,(A179:A189=A179)*(E179:E189&gt;0)))),0)</f>
        <v>284248.55000000005</v>
      </c>
      <c r="I179" s="1130" cm="1">
        <f t="array" aca="1" ref="I179" ca="1">IFERROR(IF(A179=A178,0,SUM(_xlfn._xlws.FILTER(E179:E189,(A179:A189=A179)*(F179&lt;0)))),0)</f>
        <v>-937150.96999199991</v>
      </c>
      <c r="J179"/>
      <c r="K179"/>
      <c r="L179"/>
      <c r="M179"/>
      <c r="N179"/>
    </row>
    <row r="180" spans="1:14" hidden="1">
      <c r="A180" s="466">
        <v>45713</v>
      </c>
      <c r="B180" s="448" t="s">
        <v>60</v>
      </c>
      <c r="C180" s="468">
        <v>5000</v>
      </c>
      <c r="D180" s="467">
        <v>38.693710000000003</v>
      </c>
      <c r="E180" s="1128">
        <f ca="1">IFERROR(C180*D180*_xlfn.XLOOKUP(B180,TabCalc[Ticker],TabCalc[Scale]),0)</f>
        <v>193468.55000000002</v>
      </c>
      <c r="F180" s="1129" cm="1">
        <f t="array" ref="F180">IF(A180=A179,0,SUM(_xlfn._xlws.FILTER(E180:E190,A180:A190=A180)))</f>
        <v>0</v>
      </c>
      <c r="G180" s="1130">
        <f>IF(F180&lt;&gt;0,SUM($F$43:F180),0)</f>
        <v>0</v>
      </c>
      <c r="H180" s="1130" cm="1">
        <f t="array" ref="H180">IFERROR(IF(A180=A179,0,SUM(_xlfn._xlws.FILTER(E180:E190,(A180:A190=A180)*(E180:E190&gt;0)))),0)</f>
        <v>0</v>
      </c>
      <c r="I180" s="1130" cm="1">
        <f t="array" ref="I180">IFERROR(IF(A180=A179,0,SUM(_xlfn._xlws.FILTER(E180:E190,(A180:A190=A180)*(F180&lt;0)))),0)</f>
        <v>0</v>
      </c>
      <c r="J180"/>
      <c r="K180"/>
      <c r="L180"/>
      <c r="M180"/>
      <c r="N180"/>
    </row>
    <row r="181" spans="1:14" hidden="1">
      <c r="A181" s="466">
        <v>45713</v>
      </c>
      <c r="B181" s="448" t="s">
        <v>32</v>
      </c>
      <c r="C181" s="468">
        <v>300</v>
      </c>
      <c r="D181" s="467">
        <v>-690.9</v>
      </c>
      <c r="E181" s="1128">
        <f ca="1">IFERROR(C181*D181*_xlfn.XLOOKUP(B181,TabCalc[Ticker],TabCalc[Scale]),0)</f>
        <v>-207270</v>
      </c>
      <c r="F181" s="1129" cm="1">
        <f t="array" ref="F181">IF(A181=A180,0,SUM(_xlfn._xlws.FILTER(E181:E191,A181:A191=A181)))</f>
        <v>0</v>
      </c>
      <c r="G181" s="1130">
        <f>IF(F181&lt;&gt;0,SUM($F$43:F181),0)</f>
        <v>0</v>
      </c>
      <c r="H181" s="1130" cm="1">
        <f t="array" ref="H181">IFERROR(IF(A181=A180,0,SUM(_xlfn._xlws.FILTER(E181:E191,(A181:A191=A181)*(E181:E191&gt;0)))),0)</f>
        <v>0</v>
      </c>
      <c r="I181" s="1130" cm="1">
        <f t="array" ref="I181">IFERROR(IF(A181=A180,0,SUM(_xlfn._xlws.FILTER(E181:E191,(A181:A191=A181)*(F181&lt;0)))),0)</f>
        <v>0</v>
      </c>
      <c r="J181"/>
      <c r="K181"/>
      <c r="L181"/>
      <c r="M181"/>
      <c r="N181"/>
    </row>
    <row r="182" spans="1:14" hidden="1">
      <c r="A182" s="466">
        <v>45713</v>
      </c>
      <c r="B182" s="448" t="s">
        <v>22</v>
      </c>
      <c r="C182" s="468">
        <v>30000</v>
      </c>
      <c r="D182" s="467">
        <v>302.60000000000002</v>
      </c>
      <c r="E182" s="1128">
        <f ca="1">IFERROR(C182*D182*_xlfn.XLOOKUP(B182,TabCalc[Ticker],TabCalc[Scale]),0)</f>
        <v>90780</v>
      </c>
      <c r="F182" s="1129" cm="1">
        <f t="array" ref="F182">IF(A182=A181,0,SUM(_xlfn._xlws.FILTER(E182:E192,A182:A192=A182)))</f>
        <v>0</v>
      </c>
      <c r="G182" s="1130">
        <f>IF(F182&lt;&gt;0,SUM($F$43:F182),0)</f>
        <v>0</v>
      </c>
      <c r="H182" s="1130" cm="1">
        <f t="array" ref="H182">IFERROR(IF(A182=A181,0,SUM(_xlfn._xlws.FILTER(E182:E192,(A182:A192=A182)*(E182:E192&gt;0)))),0)</f>
        <v>0</v>
      </c>
      <c r="I182" s="1130" cm="1">
        <f t="array" ref="I182">IFERROR(IF(A182=A181,0,SUM(_xlfn._xlws.FILTER(E182:E192,(A182:A192=A182)*(F182&lt;0)))),0)</f>
        <v>0</v>
      </c>
      <c r="J182"/>
      <c r="K182"/>
      <c r="L182"/>
      <c r="M182"/>
      <c r="N182"/>
    </row>
    <row r="183" spans="1:14" hidden="1">
      <c r="A183" s="466">
        <v>45713</v>
      </c>
      <c r="B183" s="448" t="s">
        <v>3</v>
      </c>
      <c r="C183" s="468">
        <v>800</v>
      </c>
      <c r="D183" s="467">
        <v>-206.18340000000001</v>
      </c>
      <c r="E183" s="1128">
        <f ca="1">IFERROR(C183*D183*_xlfn.XLOOKUP(B183,TabCalc[Ticker],TabCalc[Scale]),0)</f>
        <v>-164946.72</v>
      </c>
      <c r="F183" s="1129" cm="1">
        <f t="array" ref="F183">IF(A183=A182,0,SUM(_xlfn._xlws.FILTER(E183:E193,A183:A193=A183)))</f>
        <v>0</v>
      </c>
      <c r="G183" s="1130">
        <f>IF(F183&lt;&gt;0,SUM($F$43:F183),0)</f>
        <v>0</v>
      </c>
      <c r="H183" s="1130" cm="1">
        <f t="array" ref="H183">IFERROR(IF(A183=A182,0,SUM(_xlfn._xlws.FILTER(E183:E193,(A183:A193=A183)*(E183:E193&gt;0)))),0)</f>
        <v>0</v>
      </c>
      <c r="I183" s="1130" cm="1">
        <f t="array" ref="I183">IFERROR(IF(A183=A182,0,SUM(_xlfn._xlws.FILTER(E183:E193,(A183:A193=A183)*(F183&lt;0)))),0)</f>
        <v>0</v>
      </c>
      <c r="J183"/>
      <c r="K183"/>
      <c r="L183"/>
      <c r="M183"/>
      <c r="N183"/>
    </row>
    <row r="184" spans="1:14" hidden="1">
      <c r="A184" s="466">
        <v>45713</v>
      </c>
      <c r="B184" s="448" t="s">
        <v>27</v>
      </c>
      <c r="C184" s="468">
        <v>2000</v>
      </c>
      <c r="D184" s="467">
        <v>-400.18029999999999</v>
      </c>
      <c r="E184" s="1128">
        <f ca="1">IFERROR(C184*D184*_xlfn.XLOOKUP(B184,TabCalc[Ticker],TabCalc[Scale]),0)</f>
        <v>-800360.6</v>
      </c>
      <c r="F184" s="1129" cm="1">
        <f t="array" ref="F184">IF(A184=A183,0,SUM(_xlfn._xlws.FILTER(E184:E194,A184:A194=A184)))</f>
        <v>0</v>
      </c>
      <c r="G184" s="1130">
        <f>IF(F184&lt;&gt;0,SUM($F$43:F184),0)</f>
        <v>0</v>
      </c>
      <c r="H184" s="1130" cm="1">
        <f t="array" ref="H184">IFERROR(IF(A184=A183,0,SUM(_xlfn._xlws.FILTER(E184:E194,(A184:A194=A184)*(E184:E194&gt;0)))),0)</f>
        <v>0</v>
      </c>
      <c r="I184" s="1130" cm="1">
        <f t="array" ref="I184">IFERROR(IF(A184=A183,0,SUM(_xlfn._xlws.FILTER(E184:E194,(A184:A194=A184)*(F184&lt;0)))),0)</f>
        <v>0</v>
      </c>
      <c r="J184"/>
      <c r="K184"/>
      <c r="L184"/>
      <c r="M184"/>
      <c r="N184"/>
    </row>
    <row r="185" spans="1:14" hidden="1">
      <c r="A185" s="452">
        <v>45714</v>
      </c>
      <c r="B185" s="453" t="s">
        <v>0</v>
      </c>
      <c r="C185" s="454">
        <v>300</v>
      </c>
      <c r="D185" s="455">
        <v>-240.34</v>
      </c>
      <c r="E185" s="1128">
        <f ca="1">IFERROR(C185*D185*_xlfn.XLOOKUP(B185,TabCalc[Ticker],TabCalc[Scale]),0)</f>
        <v>-72102</v>
      </c>
      <c r="F185" s="1129" cm="1">
        <f t="array" aca="1" ref="F185" ca="1">IF(A185=A184,0,SUM(_xlfn._xlws.FILTER(E185:E195,A185:A195=A185)))</f>
        <v>181614.23199999999</v>
      </c>
      <c r="G185" s="1130">
        <f ca="1">IF(F185&lt;&gt;0,SUM($F$43:F185),0)</f>
        <v>361563.10263400001</v>
      </c>
      <c r="H185" s="1130" cm="1">
        <f t="array" aca="1" ref="H185" ca="1">IFERROR(IF(A185=A184,0,SUM(_xlfn._xlws.FILTER(E185:E195,(A185:A195=A185)*(E185:E195&gt;0)))),0)</f>
        <v>308616.23199999996</v>
      </c>
      <c r="I185" s="1130" cm="1">
        <f t="array" aca="1" ref="I185" ca="1">IFERROR(IF(A185=A184,0,SUM(_xlfn._xlws.FILTER(E185:E195,(A185:A195=A185)*(F185&lt;0)))),0)</f>
        <v>0</v>
      </c>
      <c r="J185"/>
      <c r="K185"/>
      <c r="L185"/>
      <c r="M185"/>
      <c r="N185"/>
    </row>
    <row r="186" spans="1:14" hidden="1">
      <c r="A186" s="452">
        <v>45714</v>
      </c>
      <c r="B186" s="453" t="s">
        <v>11</v>
      </c>
      <c r="C186" s="454">
        <v>15000</v>
      </c>
      <c r="D186" s="455">
        <v>-3.66</v>
      </c>
      <c r="E186" s="1128">
        <f ca="1">IFERROR(C186*D186*_xlfn.XLOOKUP(B186,TabCalc[Ticker],TabCalc[Scale]),0)</f>
        <v>-54900</v>
      </c>
      <c r="F186" s="1129" cm="1">
        <f t="array" ref="F186">IF(A186=A185,0,SUM(_xlfn._xlws.FILTER(E186:E196,A186:A196=A186)))</f>
        <v>0</v>
      </c>
      <c r="G186" s="1130">
        <f>IF(F186&lt;&gt;0,SUM($F$43:F186),0)</f>
        <v>0</v>
      </c>
      <c r="H186" s="1130" cm="1">
        <f t="array" ref="H186">IFERROR(IF(A186=A185,0,SUM(_xlfn._xlws.FILTER(E186:E196,(A186:A196=A186)*(E186:E196&gt;0)))),0)</f>
        <v>0</v>
      </c>
      <c r="I186" s="1130" cm="1">
        <f t="array" ref="I186">IFERROR(IF(A186=A185,0,SUM(_xlfn._xlws.FILTER(E186:E196,(A186:A196=A186)*(F186&lt;0)))),0)</f>
        <v>0</v>
      </c>
      <c r="J186"/>
      <c r="K186"/>
      <c r="L186"/>
      <c r="M186"/>
      <c r="N186"/>
    </row>
    <row r="187" spans="1:14" hidden="1">
      <c r="A187" s="452">
        <v>45714</v>
      </c>
      <c r="B187" s="453" t="s">
        <v>20</v>
      </c>
      <c r="C187" s="454">
        <v>4000</v>
      </c>
      <c r="D187" s="455">
        <v>20.287958</v>
      </c>
      <c r="E187" s="1128">
        <f ca="1">IFERROR(C187*D187*_xlfn.XLOOKUP(B187,TabCalc[Ticker],TabCalc[Scale]),0)</f>
        <v>81151.831999999995</v>
      </c>
      <c r="F187" s="1129" cm="1">
        <f t="array" ref="F187">IF(A187=A186,0,SUM(_xlfn._xlws.FILTER(E187:E197,A187:A197=A187)))</f>
        <v>0</v>
      </c>
      <c r="G187" s="1130">
        <f>IF(F187&lt;&gt;0,SUM($F$43:F187),0)</f>
        <v>0</v>
      </c>
      <c r="H187" s="1130" cm="1">
        <f t="array" ref="H187">IFERROR(IF(A187=A186,0,SUM(_xlfn._xlws.FILTER(E187:E197,(A187:A197=A187)*(E187:E197&gt;0)))),0)</f>
        <v>0</v>
      </c>
      <c r="I187" s="1130" cm="1">
        <f t="array" ref="I187">IFERROR(IF(A187=A186,0,SUM(_xlfn._xlws.FILTER(E187:E197,(A187:A197=A187)*(F187&lt;0)))),0)</f>
        <v>0</v>
      </c>
      <c r="J187"/>
      <c r="K187"/>
      <c r="L187"/>
      <c r="M187"/>
      <c r="N187"/>
    </row>
    <row r="188" spans="1:14" hidden="1">
      <c r="A188" s="452">
        <v>45714</v>
      </c>
      <c r="B188" s="453" t="s">
        <v>37</v>
      </c>
      <c r="C188" s="454">
        <v>4000</v>
      </c>
      <c r="D188" s="455">
        <v>30.52</v>
      </c>
      <c r="E188" s="1128">
        <f ca="1">IFERROR(C188*D188*_xlfn.XLOOKUP(B188,TabCalc[Ticker],TabCalc[Scale]),0)</f>
        <v>122080</v>
      </c>
      <c r="F188" s="1129" cm="1">
        <f t="array" ref="F188">IF(A188=A187,0,SUM(_xlfn._xlws.FILTER(E188:E198,A188:A198=A188)))</f>
        <v>0</v>
      </c>
      <c r="G188" s="1130">
        <f>IF(F188&lt;&gt;0,SUM($F$43:F188),0)</f>
        <v>0</v>
      </c>
      <c r="H188" s="1130" cm="1">
        <f t="array" ref="H188">IFERROR(IF(A188=A187,0,SUM(_xlfn._xlws.FILTER(E188:E198,(A188:A198=A188)*(E188:E198&gt;0)))),0)</f>
        <v>0</v>
      </c>
      <c r="I188" s="1130" cm="1">
        <f t="array" ref="I188">IFERROR(IF(A188=A187,0,SUM(_xlfn._xlws.FILTER(E188:E198,(A188:A198=A188)*(F188&lt;0)))),0)</f>
        <v>0</v>
      </c>
      <c r="J188"/>
      <c r="K188"/>
      <c r="L188"/>
      <c r="M188"/>
      <c r="N188"/>
    </row>
    <row r="189" spans="1:14" hidden="1">
      <c r="A189" s="452">
        <v>45714</v>
      </c>
      <c r="B189" s="453" t="s">
        <v>57</v>
      </c>
      <c r="C189" s="454">
        <v>2990</v>
      </c>
      <c r="D189" s="455">
        <v>12.56</v>
      </c>
      <c r="E189" s="1128">
        <f ca="1">IFERROR(C189*D189*_xlfn.XLOOKUP(B189,TabCalc[Ticker],TabCalc[Scale]),0)</f>
        <v>37554.400000000001</v>
      </c>
      <c r="F189" s="1129" cm="1">
        <f t="array" ref="F189">IF(A189=A188,0,SUM(_xlfn._xlws.FILTER(E189:E199,A189:A199=A189)))</f>
        <v>0</v>
      </c>
      <c r="G189" s="1130">
        <f>IF(F189&lt;&gt;0,SUM($F$43:F189),0)</f>
        <v>0</v>
      </c>
      <c r="H189" s="1130" cm="1">
        <f t="array" ref="H189">IFERROR(IF(A189=A188,0,SUM(_xlfn._xlws.FILTER(E189:E199,(A189:A199=A189)*(E189:E199&gt;0)))),0)</f>
        <v>0</v>
      </c>
      <c r="I189" s="1130" cm="1">
        <f t="array" ref="I189">IFERROR(IF(A189=A188,0,SUM(_xlfn._xlws.FILTER(E189:E199,(A189:A199=A189)*(F189&lt;0)))),0)</f>
        <v>0</v>
      </c>
      <c r="J189"/>
      <c r="K189"/>
      <c r="L189"/>
      <c r="M189"/>
      <c r="N189"/>
    </row>
    <row r="190" spans="1:14" hidden="1">
      <c r="A190" s="452">
        <v>45714</v>
      </c>
      <c r="B190" s="453" t="s">
        <v>75</v>
      </c>
      <c r="C190" s="454">
        <v>6000</v>
      </c>
      <c r="D190" s="455">
        <v>11.305</v>
      </c>
      <c r="E190" s="1128">
        <f ca="1">IFERROR(C190*D190*_xlfn.XLOOKUP(B190,TabCalc[Ticker],TabCalc[Scale]),0)</f>
        <v>67830</v>
      </c>
      <c r="F190" s="1129" cm="1">
        <f t="array" ref="F190">IF(A190=A189,0,SUM(_xlfn._xlws.FILTER(E190:E200,A190:A200=A190)))</f>
        <v>0</v>
      </c>
      <c r="G190" s="1130">
        <f>IF(F190&lt;&gt;0,SUM($F$43:F190),0)</f>
        <v>0</v>
      </c>
      <c r="H190" s="1130" cm="1">
        <f t="array" ref="H190">IFERROR(IF(A190=A189,0,SUM(_xlfn._xlws.FILTER(E190:E200,(A190:A200=A190)*(E190:E200&gt;0)))),0)</f>
        <v>0</v>
      </c>
      <c r="I190" s="1130" cm="1">
        <f t="array" ref="I190">IFERROR(IF(A190=A189,0,SUM(_xlfn._xlws.FILTER(E190:E200,(A190:A200=A190)*(F190&lt;0)))),0)</f>
        <v>0</v>
      </c>
      <c r="J190"/>
      <c r="K190"/>
      <c r="L190"/>
      <c r="M190"/>
      <c r="N190"/>
    </row>
    <row r="191" spans="1:14" hidden="1">
      <c r="A191" s="466">
        <v>45715</v>
      </c>
      <c r="B191" s="448" t="s">
        <v>18</v>
      </c>
      <c r="C191" s="468">
        <v>5000</v>
      </c>
      <c r="D191" s="467">
        <v>12.49</v>
      </c>
      <c r="E191" s="1128">
        <f ca="1">IFERROR(C191*D191*_xlfn.XLOOKUP(B191,TabCalc[Ticker],TabCalc[Scale]),0)</f>
        <v>62450</v>
      </c>
      <c r="F191" s="1129" cm="1">
        <f t="array" aca="1" ref="F191" ca="1">IF(A191=A190,0,SUM(_xlfn._xlws.FILTER(E191:E201,A191:A201=A191)))</f>
        <v>246702.07050000003</v>
      </c>
      <c r="G191" s="1130">
        <f ca="1">IF(F191&lt;&gt;0,SUM($F$43:F191),0)</f>
        <v>608265.17313400004</v>
      </c>
      <c r="H191" s="1130" cm="1">
        <f t="array" aca="1" ref="H191" ca="1">IFERROR(IF(A191=A190,0,SUM(_xlfn._xlws.FILTER(E191:E201,(A191:A201=A191)*(E191:E201&gt;0)))),0)</f>
        <v>246702.07050000003</v>
      </c>
      <c r="I191" s="1130" cm="1">
        <f t="array" aca="1" ref="I191" ca="1">IFERROR(IF(A191=A190,0,SUM(_xlfn._xlws.FILTER(E191:E201,(A191:A201=A191)*(F191&lt;0)))),0)</f>
        <v>0</v>
      </c>
      <c r="J191"/>
      <c r="K191"/>
      <c r="L191"/>
      <c r="M191"/>
      <c r="N191"/>
    </row>
    <row r="192" spans="1:14" hidden="1">
      <c r="A192" s="466">
        <v>45715</v>
      </c>
      <c r="B192" s="448" t="s">
        <v>42</v>
      </c>
      <c r="C192" s="468">
        <v>6000</v>
      </c>
      <c r="D192" s="467">
        <v>11.42</v>
      </c>
      <c r="E192" s="1128">
        <f ca="1">IFERROR(C192*D192*_xlfn.XLOOKUP(B192,TabCalc[Ticker],TabCalc[Scale]),0)</f>
        <v>68520</v>
      </c>
      <c r="F192" s="1129" cm="1">
        <f t="array" ref="F192">IF(A192=A191,0,SUM(_xlfn._xlws.FILTER(E192:E202,A192:A202=A192)))</f>
        <v>0</v>
      </c>
      <c r="G192" s="1130">
        <f>IF(F192&lt;&gt;0,SUM($F$43:F192),0)</f>
        <v>0</v>
      </c>
      <c r="H192" s="1130" cm="1">
        <f t="array" ref="H192">IFERROR(IF(A192=A191,0,SUM(_xlfn._xlws.FILTER(E192:E202,(A192:A202=A192)*(E192:E202&gt;0)))),0)</f>
        <v>0</v>
      </c>
      <c r="I192" s="1130" cm="1">
        <f t="array" ref="I192">IFERROR(IF(A192=A191,0,SUM(_xlfn._xlws.FILTER(E192:E202,(A192:A202=A192)*(F192&lt;0)))),0)</f>
        <v>0</v>
      </c>
      <c r="J192"/>
      <c r="K192"/>
      <c r="L192"/>
      <c r="M192"/>
      <c r="N192"/>
    </row>
    <row r="193" spans="1:14" hidden="1">
      <c r="A193" s="466">
        <v>45715</v>
      </c>
      <c r="B193" s="448" t="s">
        <v>44</v>
      </c>
      <c r="C193" s="468">
        <v>350</v>
      </c>
      <c r="D193" s="467">
        <v>44.298769999999998</v>
      </c>
      <c r="E193" s="1128">
        <f ca="1">IFERROR(C193*D193*_xlfn.XLOOKUP(B193,TabCalc[Ticker],TabCalc[Scale]),0)</f>
        <v>15504.5695</v>
      </c>
      <c r="F193" s="1129" cm="1">
        <f t="array" ref="F193">IF(A193=A192,0,SUM(_xlfn._xlws.FILTER(E193:E203,A193:A203=A193)))</f>
        <v>0</v>
      </c>
      <c r="G193" s="1130">
        <f>IF(F193&lt;&gt;0,SUM($F$43:F193),0)</f>
        <v>0</v>
      </c>
      <c r="H193" s="1130" cm="1">
        <f t="array" ref="H193">IFERROR(IF(A193=A192,0,SUM(_xlfn._xlws.FILTER(E193:E203,(A193:A203=A193)*(E193:E203&gt;0)))),0)</f>
        <v>0</v>
      </c>
      <c r="I193" s="1130" cm="1">
        <f t="array" ref="I193">IFERROR(IF(A193=A192,0,SUM(_xlfn._xlws.FILTER(E193:E203,(A193:A203=A193)*(F193&lt;0)))),0)</f>
        <v>0</v>
      </c>
      <c r="J193"/>
      <c r="K193"/>
      <c r="L193"/>
      <c r="M193"/>
      <c r="N193"/>
    </row>
    <row r="194" spans="1:14" hidden="1">
      <c r="A194" s="466">
        <v>45715</v>
      </c>
      <c r="B194" s="448" t="s">
        <v>22</v>
      </c>
      <c r="C194" s="468">
        <v>30000</v>
      </c>
      <c r="D194" s="467">
        <v>334.09167000000002</v>
      </c>
      <c r="E194" s="1128">
        <f ca="1">IFERROR(C194*D194*_xlfn.XLOOKUP(B194,TabCalc[Ticker],TabCalc[Scale]),0)</f>
        <v>100227.50100000002</v>
      </c>
      <c r="F194" s="1129" cm="1">
        <f t="array" ref="F194">IF(A194=A193,0,SUM(_xlfn._xlws.FILTER(E194:E204,A194:A204=A194)))</f>
        <v>0</v>
      </c>
      <c r="G194" s="1130">
        <f>IF(F194&lt;&gt;0,SUM($F$43:F194),0)</f>
        <v>0</v>
      </c>
      <c r="H194" s="1130" cm="1">
        <f t="array" ref="H194">IFERROR(IF(A194=A193,0,SUM(_xlfn._xlws.FILTER(E194:E204,(A194:A204=A194)*(E194:E204&gt;0)))),0)</f>
        <v>0</v>
      </c>
      <c r="I194" s="1130" cm="1">
        <f t="array" ref="I194">IFERROR(IF(A194=A193,0,SUM(_xlfn._xlws.FILTER(E194:E204,(A194:A204=A194)*(F194&lt;0)))),0)</f>
        <v>0</v>
      </c>
      <c r="J194"/>
      <c r="K194"/>
      <c r="L194"/>
      <c r="M194"/>
      <c r="N194"/>
    </row>
    <row r="195" spans="1:14" hidden="1">
      <c r="A195" s="452">
        <v>45716</v>
      </c>
      <c r="B195" s="453" t="s">
        <v>4</v>
      </c>
      <c r="C195" s="454">
        <v>15000</v>
      </c>
      <c r="D195" s="455">
        <v>-1.2</v>
      </c>
      <c r="E195" s="1128">
        <f ca="1">IFERROR(C195*D195*_xlfn.XLOOKUP(B195,TabCalc[Ticker],TabCalc[Scale]),0)</f>
        <v>-18000</v>
      </c>
      <c r="F195" s="1129" cm="1">
        <f t="array" aca="1" ref="F195" ca="1">IF(A195=A194,0,SUM(_xlfn._xlws.FILTER(E195:E205,A195:A205=A195)))</f>
        <v>-41258.44</v>
      </c>
      <c r="G195" s="1130">
        <f ca="1">IF(F195&lt;&gt;0,SUM($F$43:F195),0)</f>
        <v>567006.7331340001</v>
      </c>
      <c r="H195" s="1130" cm="1">
        <f t="array" aca="1" ref="H195" ca="1">IFERROR(IF(A195=A194,0,SUM(_xlfn._xlws.FILTER(E195:E205,(A195:A205=A195)*(E195:E205&gt;0)))),0)</f>
        <v>99472.950000000012</v>
      </c>
      <c r="I195" s="1130" cm="1">
        <f t="array" aca="1" ref="I195" ca="1">IFERROR(IF(A195=A194,0,SUM(_xlfn._xlws.FILTER(E195:E205,(A195:A205=A195)*(F195&lt;0)))),0)</f>
        <v>-41258.44</v>
      </c>
      <c r="J195"/>
      <c r="K195"/>
      <c r="L195"/>
      <c r="M195"/>
      <c r="N195"/>
    </row>
    <row r="196" spans="1:14" hidden="1">
      <c r="A196" s="452">
        <v>45716</v>
      </c>
      <c r="B196" s="453" t="s">
        <v>22</v>
      </c>
      <c r="C196" s="454">
        <v>10000</v>
      </c>
      <c r="D196" s="455">
        <v>351.42950000000002</v>
      </c>
      <c r="E196" s="1128">
        <f ca="1">IFERROR(C196*D196*_xlfn.XLOOKUP(B196,TabCalc[Ticker],TabCalc[Scale]),0)</f>
        <v>35142.950000000004</v>
      </c>
      <c r="F196" s="1129" cm="1">
        <f t="array" ref="F196">IF(A196=A195,0,SUM(_xlfn._xlws.FILTER(E196:E206,A196:A206=A196)))</f>
        <v>0</v>
      </c>
      <c r="G196" s="1130">
        <f>IF(F196&lt;&gt;0,SUM($F$43:F196),0)</f>
        <v>0</v>
      </c>
      <c r="H196" s="1130" cm="1">
        <f t="array" ref="H196">IFERROR(IF(A196=A195,0,SUM(_xlfn._xlws.FILTER(E196:E206,(A196:A206=A196)*(E196:E206&gt;0)))),0)</f>
        <v>0</v>
      </c>
      <c r="I196" s="1130" cm="1">
        <f t="array" ref="I196">IFERROR(IF(A196=A195,0,SUM(_xlfn._xlws.FILTER(E196:E206,(A196:A206=A196)*(F196&lt;0)))),0)</f>
        <v>0</v>
      </c>
      <c r="J196"/>
      <c r="K196"/>
      <c r="L196"/>
      <c r="M196"/>
      <c r="N196"/>
    </row>
    <row r="197" spans="1:14" hidden="1">
      <c r="A197" s="452">
        <v>45716</v>
      </c>
      <c r="B197" s="453" t="s">
        <v>54</v>
      </c>
      <c r="C197" s="454">
        <v>20000</v>
      </c>
      <c r="D197" s="455">
        <v>-1.01</v>
      </c>
      <c r="E197" s="1128">
        <f ca="1">IFERROR(C197*D197*_xlfn.XLOOKUP(B197,TabCalc[Ticker],TabCalc[Scale]),0)</f>
        <v>-20200</v>
      </c>
      <c r="F197" s="1129" cm="1">
        <f t="array" ref="F197">IF(A197=A196,0,SUM(_xlfn._xlws.FILTER(E197:E207,A197:A207=A197)))</f>
        <v>0</v>
      </c>
      <c r="G197" s="1130">
        <f>IF(F197&lt;&gt;0,SUM($F$43:F197),0)</f>
        <v>0</v>
      </c>
      <c r="H197" s="1130" cm="1">
        <f t="array" ref="H197">IFERROR(IF(A197=A196,0,SUM(_xlfn._xlws.FILTER(E197:E207,(A197:A207=A197)*(E197:E207&gt;0)))),0)</f>
        <v>0</v>
      </c>
      <c r="I197" s="1130" cm="1">
        <f t="array" ref="I197">IFERROR(IF(A197=A196,0,SUM(_xlfn._xlws.FILTER(E197:E207,(A197:A207=A197)*(F197&lt;0)))),0)</f>
        <v>0</v>
      </c>
      <c r="J197"/>
      <c r="K197"/>
      <c r="L197"/>
      <c r="M197"/>
      <c r="N197"/>
    </row>
    <row r="198" spans="1:14" hidden="1">
      <c r="A198" s="452">
        <v>45716</v>
      </c>
      <c r="B198" s="453" t="s">
        <v>73</v>
      </c>
      <c r="C198" s="454">
        <v>150</v>
      </c>
      <c r="D198" s="455">
        <v>-683.54259999999999</v>
      </c>
      <c r="E198" s="1128">
        <f ca="1">IFERROR(C198*D198*_xlfn.XLOOKUP(B198,TabCalc[Ticker],TabCalc[Scale]),0)</f>
        <v>-102531.39</v>
      </c>
      <c r="F198" s="1129" cm="1">
        <f t="array" ref="F198">IF(A198=A197,0,SUM(_xlfn._xlws.FILTER(E198:E208,A198:A208=A198)))</f>
        <v>0</v>
      </c>
      <c r="G198" s="1130">
        <f>IF(F198&lt;&gt;0,SUM($F$43:F198),0)</f>
        <v>0</v>
      </c>
      <c r="H198" s="1130" cm="1">
        <f t="array" ref="H198">IFERROR(IF(A198=A197,0,SUM(_xlfn._xlws.FILTER(E198:E208,(A198:A208=A198)*(E198:E208&gt;0)))),0)</f>
        <v>0</v>
      </c>
      <c r="I198" s="1130" cm="1">
        <f t="array" ref="I198">IFERROR(IF(A198=A197,0,SUM(_xlfn._xlws.FILTER(E198:E208,(A198:A208=A198)*(F198&lt;0)))),0)</f>
        <v>0</v>
      </c>
      <c r="J198"/>
      <c r="K198"/>
      <c r="L198"/>
      <c r="M198"/>
      <c r="N198"/>
    </row>
    <row r="199" spans="1:14" hidden="1">
      <c r="A199" s="452">
        <v>45716</v>
      </c>
      <c r="B199" s="453" t="s">
        <v>9</v>
      </c>
      <c r="C199" s="454">
        <v>1000</v>
      </c>
      <c r="D199" s="455">
        <v>64.33</v>
      </c>
      <c r="E199" s="1128">
        <f ca="1">IFERROR(C199*D199*_xlfn.XLOOKUP(B199,TabCalc[Ticker],TabCalc[Scale]),0)</f>
        <v>64330</v>
      </c>
      <c r="F199" s="1129" cm="1">
        <f t="array" ref="F199">IF(A199=A198,0,SUM(_xlfn._xlws.FILTER(E199:E209,A199:A209=A199)))</f>
        <v>0</v>
      </c>
      <c r="G199" s="1130">
        <f>IF(F199&lt;&gt;0,SUM($F$43:F199),0)</f>
        <v>0</v>
      </c>
      <c r="H199" s="1130" cm="1">
        <f t="array" ref="H199">IFERROR(IF(A199=A198,0,SUM(_xlfn._xlws.FILTER(E199:E209,(A199:A209=A199)*(E199:E209&gt;0)))),0)</f>
        <v>0</v>
      </c>
      <c r="I199" s="1130" cm="1">
        <f t="array" ref="I199">IFERROR(IF(A199=A198,0,SUM(_xlfn._xlws.FILTER(E199:E209,(A199:A209=A199)*(F199&lt;0)))),0)</f>
        <v>0</v>
      </c>
      <c r="J199"/>
      <c r="K199"/>
      <c r="L199"/>
      <c r="M199"/>
      <c r="N199"/>
    </row>
    <row r="200" spans="1:14" hidden="1">
      <c r="A200" s="466">
        <v>45719</v>
      </c>
      <c r="B200" s="448" t="s">
        <v>22</v>
      </c>
      <c r="C200" s="468">
        <v>20000</v>
      </c>
      <c r="D200" s="467">
        <v>344.03</v>
      </c>
      <c r="E200" s="1128">
        <f ca="1">IFERROR(C200*D200*_xlfn.XLOOKUP(B200,TabCalc[Ticker],TabCalc[Scale]),0)</f>
        <v>68805.999999999985</v>
      </c>
      <c r="F200" s="1129" cm="1">
        <f t="array" aca="1" ref="F200" ca="1">IF(A200=A199,0,SUM(_xlfn._xlws.FILTER(E200:E210,A200:A210=A200)))</f>
        <v>186431.2</v>
      </c>
      <c r="G200" s="1130">
        <f ca="1">IF(F200&lt;&gt;0,SUM($F$43:F200),0)</f>
        <v>753437.93313400005</v>
      </c>
      <c r="H200" s="1130" cm="1">
        <f t="array" aca="1" ref="H200" ca="1">IFERROR(IF(A200=A199,0,SUM(_xlfn._xlws.FILTER(E200:E210,(A200:A210=A200)*(E200:E210&gt;0)))),0)</f>
        <v>350821.2</v>
      </c>
      <c r="I200" s="1130" cm="1">
        <f t="array" aca="1" ref="I200" ca="1">IFERROR(IF(A200=A199,0,SUM(_xlfn._xlws.FILTER(E200:E210,(A200:A210=A200)*(F200&lt;0)))),0)</f>
        <v>0</v>
      </c>
      <c r="J200"/>
      <c r="K200"/>
      <c r="L200"/>
      <c r="M200"/>
      <c r="N200"/>
    </row>
    <row r="201" spans="1:14" hidden="1">
      <c r="A201" s="466">
        <v>45719</v>
      </c>
      <c r="B201" s="448" t="s">
        <v>27</v>
      </c>
      <c r="C201" s="468">
        <v>200</v>
      </c>
      <c r="D201" s="467">
        <v>-395.34</v>
      </c>
      <c r="E201" s="1128">
        <f ca="1">IFERROR(C201*D201*_xlfn.XLOOKUP(B201,TabCalc[Ticker],TabCalc[Scale]),0)</f>
        <v>-79068</v>
      </c>
      <c r="F201" s="1129" cm="1">
        <f t="array" ref="F201">IF(A201=A200,0,SUM(_xlfn._xlws.FILTER(E201:E211,A201:A211=A201)))</f>
        <v>0</v>
      </c>
      <c r="G201" s="1130">
        <f>IF(F201&lt;&gt;0,SUM($F$43:F201),0)</f>
        <v>0</v>
      </c>
      <c r="H201" s="1130" cm="1">
        <f t="array" ref="H201">IFERROR(IF(A201=A200,0,SUM(_xlfn._xlws.FILTER(E201:E211,(A201:A211=A201)*(E201:E211&gt;0)))),0)</f>
        <v>0</v>
      </c>
      <c r="I201" s="1130" cm="1">
        <f t="array" ref="I201">IFERROR(IF(A201=A200,0,SUM(_xlfn._xlws.FILTER(E201:E211,(A201:A211=A201)*(F201&lt;0)))),0)</f>
        <v>0</v>
      </c>
      <c r="J201"/>
      <c r="K201"/>
      <c r="L201"/>
      <c r="M201"/>
      <c r="N201"/>
    </row>
    <row r="202" spans="1:14" hidden="1">
      <c r="A202" s="466">
        <v>45719</v>
      </c>
      <c r="B202" s="448" t="s">
        <v>30</v>
      </c>
      <c r="C202" s="468">
        <v>200</v>
      </c>
      <c r="D202" s="467">
        <v>982.61</v>
      </c>
      <c r="E202" s="1128">
        <f ca="1">IFERROR(C202*D202*_xlfn.XLOOKUP(B202,TabCalc[Ticker],TabCalc[Scale]),0)</f>
        <v>196522</v>
      </c>
      <c r="F202" s="1129" cm="1">
        <f t="array" ref="F202">IF(A202=A201,0,SUM(_xlfn._xlws.FILTER(E202:E212,A202:A212=A202)))</f>
        <v>0</v>
      </c>
      <c r="G202" s="1130">
        <f>IF(F202&lt;&gt;0,SUM($F$43:F202),0)</f>
        <v>0</v>
      </c>
      <c r="H202" s="1130" cm="1">
        <f t="array" ref="H202">IFERROR(IF(A202=A201,0,SUM(_xlfn._xlws.FILTER(E202:E212,(A202:A212=A202)*(E202:E212&gt;0)))),0)</f>
        <v>0</v>
      </c>
      <c r="I202" s="1130" cm="1">
        <f t="array" ref="I202">IFERROR(IF(A202=A201,0,SUM(_xlfn._xlws.FILTER(E202:E212,(A202:A212=A202)*(F202&lt;0)))),0)</f>
        <v>0</v>
      </c>
      <c r="J202"/>
      <c r="K202"/>
      <c r="L202"/>
      <c r="M202"/>
      <c r="N202"/>
    </row>
    <row r="203" spans="1:14" hidden="1">
      <c r="A203" s="466">
        <v>45719</v>
      </c>
      <c r="B203" s="448" t="s">
        <v>1089</v>
      </c>
      <c r="C203" s="468">
        <v>7000</v>
      </c>
      <c r="D203" s="467">
        <v>-3.78</v>
      </c>
      <c r="E203" s="1128">
        <f ca="1">IFERROR(C203*D203*_xlfn.XLOOKUP(B203,TabCalc[Ticker],TabCalc[Scale]),0)</f>
        <v>-26460</v>
      </c>
      <c r="F203" s="1129" cm="1">
        <f t="array" ref="F203">IF(A203=A202,0,SUM(_xlfn._xlws.FILTER(E203:E213,A203:A213=A203)))</f>
        <v>0</v>
      </c>
      <c r="G203" s="1130">
        <f>IF(F203&lt;&gt;0,SUM($F$43:F203),0)</f>
        <v>0</v>
      </c>
      <c r="H203" s="1130" cm="1">
        <f t="array" ref="H203">IFERROR(IF(A203=A202,0,SUM(_xlfn._xlws.FILTER(E203:E213,(A203:A213=A203)*(E203:E213&gt;0)))),0)</f>
        <v>0</v>
      </c>
      <c r="I203" s="1130" cm="1">
        <f t="array" ref="I203">IFERROR(IF(A203=A202,0,SUM(_xlfn._xlws.FILTER(E203:E213,(A203:A213=A203)*(F203&lt;0)))),0)</f>
        <v>0</v>
      </c>
      <c r="J203"/>
      <c r="K203"/>
      <c r="L203"/>
      <c r="M203"/>
      <c r="N203"/>
    </row>
    <row r="204" spans="1:14" hidden="1">
      <c r="A204" s="466">
        <v>45719</v>
      </c>
      <c r="B204" s="448" t="s">
        <v>60</v>
      </c>
      <c r="C204" s="468">
        <v>990</v>
      </c>
      <c r="D204" s="467">
        <v>39.68</v>
      </c>
      <c r="E204" s="1128">
        <f ca="1">IFERROR(C204*D204*_xlfn.XLOOKUP(B204,TabCalc[Ticker],TabCalc[Scale]),0)</f>
        <v>39283.199999999997</v>
      </c>
      <c r="F204" s="1129" cm="1">
        <f t="array" ref="F204">IF(A204=A203,0,SUM(_xlfn._xlws.FILTER(E204:E214,A204:A214=A204)))</f>
        <v>0</v>
      </c>
      <c r="G204" s="1130">
        <f>IF(F204&lt;&gt;0,SUM($F$43:F204),0)</f>
        <v>0</v>
      </c>
      <c r="H204" s="1130" cm="1">
        <f t="array" ref="H204">IFERROR(IF(A204=A203,0,SUM(_xlfn._xlws.FILTER(E204:E214,(A204:A214=A204)*(E204:E214&gt;0)))),0)</f>
        <v>0</v>
      </c>
      <c r="I204" s="1130" cm="1">
        <f t="array" ref="I204">IFERROR(IF(A204=A203,0,SUM(_xlfn._xlws.FILTER(E204:E214,(A204:A214=A204)*(F204&lt;0)))),0)</f>
        <v>0</v>
      </c>
      <c r="J204"/>
      <c r="K204"/>
      <c r="L204"/>
      <c r="M204"/>
      <c r="N204"/>
    </row>
    <row r="205" spans="1:14" hidden="1">
      <c r="A205" s="466">
        <v>45719</v>
      </c>
      <c r="B205" s="448" t="s">
        <v>75</v>
      </c>
      <c r="C205" s="468">
        <v>4000</v>
      </c>
      <c r="D205" s="467">
        <v>11.5525</v>
      </c>
      <c r="E205" s="1128">
        <f ca="1">IFERROR(C205*D205*_xlfn.XLOOKUP(B205,TabCalc[Ticker],TabCalc[Scale]),0)</f>
        <v>46210</v>
      </c>
      <c r="F205" s="1129" cm="1">
        <f t="array" ref="F205">IF(A205=A204,0,SUM(_xlfn._xlws.FILTER(E205:E215,A205:A215=A205)))</f>
        <v>0</v>
      </c>
      <c r="G205" s="1130">
        <f>IF(F205&lt;&gt;0,SUM($F$43:F205),0)</f>
        <v>0</v>
      </c>
      <c r="H205" s="1130" cm="1">
        <f t="array" ref="H205">IFERROR(IF(A205=A204,0,SUM(_xlfn._xlws.FILTER(E205:E215,(A205:A215=A205)*(E205:E215&gt;0)))),0)</f>
        <v>0</v>
      </c>
      <c r="I205" s="1130" cm="1">
        <f t="array" ref="I205">IFERROR(IF(A205=A204,0,SUM(_xlfn._xlws.FILTER(E205:E215,(A205:A215=A205)*(F205&lt;0)))),0)</f>
        <v>0</v>
      </c>
      <c r="J205"/>
      <c r="K205"/>
      <c r="L205"/>
      <c r="M205"/>
      <c r="N205"/>
    </row>
    <row r="206" spans="1:14" hidden="1">
      <c r="A206" s="466">
        <v>45719</v>
      </c>
      <c r="B206" s="448" t="s">
        <v>53</v>
      </c>
      <c r="C206" s="468">
        <v>20000</v>
      </c>
      <c r="D206" s="467">
        <v>-1.1599999999999999</v>
      </c>
      <c r="E206" s="1128">
        <f ca="1">IFERROR(C206*D206*_xlfn.XLOOKUP(B206,TabCalc[Ticker],TabCalc[Scale]),0)</f>
        <v>-23200</v>
      </c>
      <c r="F206" s="1129" cm="1">
        <f t="array" ref="F206">IF(A206=A205,0,SUM(_xlfn._xlws.FILTER(E206:E216,A206:A216=A206)))</f>
        <v>0</v>
      </c>
      <c r="G206" s="1130">
        <f>IF(F206&lt;&gt;0,SUM($F$43:F206),0)</f>
        <v>0</v>
      </c>
      <c r="H206" s="1130" cm="1">
        <f t="array" ref="H206">IFERROR(IF(A206=A205,0,SUM(_xlfn._xlws.FILTER(E206:E216,(A206:A216=A206)*(E206:E216&gt;0)))),0)</f>
        <v>0</v>
      </c>
      <c r="I206" s="1130" cm="1">
        <f t="array" ref="I206">IFERROR(IF(A206=A205,0,SUM(_xlfn._xlws.FILTER(E206:E216,(A206:A216=A206)*(F206&lt;0)))),0)</f>
        <v>0</v>
      </c>
      <c r="J206"/>
      <c r="K206"/>
      <c r="L206"/>
      <c r="M206"/>
      <c r="N206"/>
    </row>
    <row r="207" spans="1:14" hidden="1">
      <c r="A207" s="466">
        <v>45719</v>
      </c>
      <c r="B207" s="448" t="s">
        <v>43</v>
      </c>
      <c r="C207" s="468">
        <v>200</v>
      </c>
      <c r="D207" s="467">
        <v>-178.31</v>
      </c>
      <c r="E207" s="1128">
        <f ca="1">IFERROR(C207*D207*_xlfn.XLOOKUP(B207,TabCalc[Ticker],TabCalc[Scale]),0)</f>
        <v>-35662</v>
      </c>
      <c r="F207" s="1129" cm="1">
        <f t="array" ref="F207">IF(A207=A206,0,SUM(_xlfn._xlws.FILTER(E207:E217,A207:A217=A207)))</f>
        <v>0</v>
      </c>
      <c r="G207" s="1130">
        <f>IF(F207&lt;&gt;0,SUM($F$43:F207),0)</f>
        <v>0</v>
      </c>
      <c r="H207" s="1130" cm="1">
        <f t="array" ref="H207">IFERROR(IF(A207=A206,0,SUM(_xlfn._xlws.FILTER(E207:E217,(A207:A217=A207)*(E207:E217&gt;0)))),0)</f>
        <v>0</v>
      </c>
      <c r="I207" s="1130" cm="1">
        <f t="array" ref="I207">IFERROR(IF(A207=A206,0,SUM(_xlfn._xlws.FILTER(E207:E217,(A207:A217=A207)*(F207&lt;0)))),0)</f>
        <v>0</v>
      </c>
      <c r="J207"/>
      <c r="K207"/>
      <c r="L207"/>
      <c r="M207"/>
      <c r="N207"/>
    </row>
    <row r="208" spans="1:14" hidden="1">
      <c r="A208" s="452">
        <v>45722</v>
      </c>
      <c r="B208" s="453" t="s">
        <v>5</v>
      </c>
      <c r="C208" s="454">
        <v>800</v>
      </c>
      <c r="D208" s="455">
        <v>-77.67</v>
      </c>
      <c r="E208" s="1128">
        <f ca="1">IFERROR(C208*D208*_xlfn.XLOOKUP(B208,TabCalc[Ticker],TabCalc[Scale]),0)</f>
        <v>-62136</v>
      </c>
      <c r="F208" s="1129" cm="1">
        <f t="array" aca="1" ref="F208" ca="1">IF(A208=A207,0,SUM(_xlfn._xlws.FILTER(E208:E218,A208:A218=A208)))</f>
        <v>-62136</v>
      </c>
      <c r="G208" s="1130">
        <f ca="1">IF(F208&lt;&gt;0,SUM($F$43:F208),0)</f>
        <v>691301.93313400005</v>
      </c>
      <c r="H208" s="1130" cm="1">
        <f t="array" aca="1" ref="H208" ca="1">IFERROR(IF(A208=A207,0,SUM(_xlfn._xlws.FILTER(E208:E218,(A208:A218=A208)*(E208:E218&gt;0)))),0)</f>
        <v>0</v>
      </c>
      <c r="I208" s="1130" cm="1">
        <f t="array" aca="1" ref="I208" ca="1">IFERROR(IF(A208=A207,0,SUM(_xlfn._xlws.FILTER(E208:E218,(A208:A218=A208)*(F208&lt;0)))),0)</f>
        <v>-62136</v>
      </c>
      <c r="J208"/>
      <c r="K208"/>
      <c r="L208"/>
      <c r="M208"/>
      <c r="N208"/>
    </row>
    <row r="209" spans="1:14" hidden="1">
      <c r="A209" s="466">
        <v>45723</v>
      </c>
      <c r="B209" s="448" t="s">
        <v>20</v>
      </c>
      <c r="C209" s="468">
        <v>2000</v>
      </c>
      <c r="D209" s="467">
        <v>-15.76</v>
      </c>
      <c r="E209" s="1128">
        <f ca="1">IFERROR(C209*D209*_xlfn.XLOOKUP(B209,TabCalc[Ticker],TabCalc[Scale]),0)</f>
        <v>-31520</v>
      </c>
      <c r="F209" s="1129" cm="1">
        <f t="array" aca="1" ref="F209" ca="1">IF(A209=A208,0,SUM(_xlfn._xlws.FILTER(E209:E219,A209:A219=A209)))</f>
        <v>-31520</v>
      </c>
      <c r="G209" s="1130">
        <f ca="1">IF(F209&lt;&gt;0,SUM($F$43:F209),0)</f>
        <v>659781.93313400005</v>
      </c>
      <c r="H209" s="1130" cm="1">
        <f t="array" aca="1" ref="H209" ca="1">IFERROR(IF(A209=A208,0,SUM(_xlfn._xlws.FILTER(E209:E219,(A209:A219=A209)*(E209:E219&gt;0)))),0)</f>
        <v>0</v>
      </c>
      <c r="I209" s="1130" cm="1">
        <f t="array" aca="1" ref="I209" ca="1">IFERROR(IF(A209=A208,0,SUM(_xlfn._xlws.FILTER(E209:E219,(A209:A219=A209)*(F209&lt;0)))),0)</f>
        <v>-31520</v>
      </c>
      <c r="J209"/>
      <c r="K209"/>
      <c r="L209"/>
      <c r="M209"/>
      <c r="N209"/>
    </row>
    <row r="210" spans="1:14" hidden="1">
      <c r="A210" s="452">
        <v>45726</v>
      </c>
      <c r="B210" s="453" t="s">
        <v>32</v>
      </c>
      <c r="C210" s="454">
        <v>300</v>
      </c>
      <c r="D210" s="455">
        <v>-632.79999999999995</v>
      </c>
      <c r="E210" s="1128">
        <f ca="1">IFERROR(C210*D210*_xlfn.XLOOKUP(B210,TabCalc[Ticker],TabCalc[Scale]),0)</f>
        <v>-189840</v>
      </c>
      <c r="F210" s="1129" cm="1">
        <f t="array" aca="1" ref="F210" ca="1">IF(A210=A209,0,SUM(_xlfn._xlws.FILTER(E210:E220,A210:A220=A210)))</f>
        <v>-304395.5</v>
      </c>
      <c r="G210" s="1130">
        <f ca="1">IF(F210&lt;&gt;0,SUM($F$43:F210),0)</f>
        <v>355386.43313400005</v>
      </c>
      <c r="H210" s="1130" cm="1">
        <f t="array" aca="1" ref="H210" ca="1">IFERROR(IF(A210=A209,0,SUM(_xlfn._xlws.FILTER(E210:E220,(A210:A220=A210)*(E210:E220&gt;0)))),0)</f>
        <v>59233.5</v>
      </c>
      <c r="I210" s="1130" cm="1">
        <f t="array" aca="1" ref="I210" ca="1">IFERROR(IF(A210=A209,0,SUM(_xlfn._xlws.FILTER(E210:E220,(A210:A220=A210)*(F210&lt;0)))),0)</f>
        <v>-304395.5</v>
      </c>
      <c r="J210"/>
      <c r="K210"/>
      <c r="L210"/>
      <c r="M210"/>
      <c r="N210"/>
    </row>
    <row r="211" spans="1:14" hidden="1">
      <c r="A211" s="452">
        <v>45726</v>
      </c>
      <c r="B211" s="453" t="s">
        <v>22</v>
      </c>
      <c r="C211" s="454">
        <v>20000</v>
      </c>
      <c r="D211" s="455">
        <v>-319.60000000000002</v>
      </c>
      <c r="E211" s="1128">
        <f ca="1">IFERROR(C211*D211*_xlfn.XLOOKUP(B211,TabCalc[Ticker],TabCalc[Scale]),0)</f>
        <v>-63920</v>
      </c>
      <c r="F211" s="1129" cm="1">
        <f t="array" ref="F211">IF(A211=A210,0,SUM(_xlfn._xlws.FILTER(E211:E221,A211:A221=A211)))</f>
        <v>0</v>
      </c>
      <c r="G211" s="1130">
        <f>IF(F211&lt;&gt;0,SUM($F$43:F211),0)</f>
        <v>0</v>
      </c>
      <c r="H211" s="1130" cm="1">
        <f t="array" ref="H211">IFERROR(IF(A211=A210,0,SUM(_xlfn._xlws.FILTER(E211:E221,(A211:A221=A211)*(E211:E221&gt;0)))),0)</f>
        <v>0</v>
      </c>
      <c r="I211" s="1130" cm="1">
        <f t="array" ref="I211">IFERROR(IF(A211=A210,0,SUM(_xlfn._xlws.FILTER(E211:E221,(A211:A221=A211)*(F211&lt;0)))),0)</f>
        <v>0</v>
      </c>
      <c r="J211"/>
      <c r="K211"/>
      <c r="L211"/>
      <c r="M211"/>
      <c r="N211"/>
    </row>
    <row r="212" spans="1:14" hidden="1">
      <c r="A212" s="452">
        <v>45726</v>
      </c>
      <c r="B212" s="453" t="s">
        <v>42</v>
      </c>
      <c r="C212" s="454">
        <v>5000</v>
      </c>
      <c r="D212" s="455">
        <v>11.8467</v>
      </c>
      <c r="E212" s="1128">
        <f ca="1">IFERROR(C212*D212*_xlfn.XLOOKUP(B212,TabCalc[Ticker],TabCalc[Scale]),0)</f>
        <v>59233.5</v>
      </c>
      <c r="F212" s="1129" cm="1">
        <f t="array" ref="F212">IF(A212=A211,0,SUM(_xlfn._xlws.FILTER(E212:E222,A212:A222=A212)))</f>
        <v>0</v>
      </c>
      <c r="G212" s="1130">
        <f>IF(F212&lt;&gt;0,SUM($F$43:F212),0)</f>
        <v>0</v>
      </c>
      <c r="H212" s="1130" cm="1">
        <f t="array" ref="H212">IFERROR(IF(A212=A211,0,SUM(_xlfn._xlws.FILTER(E212:E222,(A212:A222=A212)*(E212:E222&gt;0)))),0)</f>
        <v>0</v>
      </c>
      <c r="I212" s="1130" cm="1">
        <f t="array" ref="I212">IFERROR(IF(A212=A211,0,SUM(_xlfn._xlws.FILTER(E212:E222,(A212:A222=A212)*(F212&lt;0)))),0)</f>
        <v>0</v>
      </c>
      <c r="J212"/>
      <c r="K212"/>
      <c r="L212"/>
      <c r="M212"/>
      <c r="N212"/>
    </row>
    <row r="213" spans="1:14" hidden="1">
      <c r="A213" s="452">
        <v>45726</v>
      </c>
      <c r="B213" s="453" t="s">
        <v>48</v>
      </c>
      <c r="C213" s="454">
        <v>1000</v>
      </c>
      <c r="D213" s="455">
        <v>-61.496499999999997</v>
      </c>
      <c r="E213" s="1128">
        <f ca="1">IFERROR(C213*D213*_xlfn.XLOOKUP(B213,TabCalc[Ticker],TabCalc[Scale]),0)</f>
        <v>-61496.5</v>
      </c>
      <c r="F213" s="1129" cm="1">
        <f t="array" ref="F213">IF(A213=A212,0,SUM(_xlfn._xlws.FILTER(E213:E223,A213:A223=A213)))</f>
        <v>0</v>
      </c>
      <c r="G213" s="1130">
        <f>IF(F213&lt;&gt;0,SUM($F$43:F213),0)</f>
        <v>0</v>
      </c>
      <c r="H213" s="1130" cm="1">
        <f t="array" ref="H213">IFERROR(IF(A213=A212,0,SUM(_xlfn._xlws.FILTER(E213:E223,(A213:A223=A213)*(E213:E223&gt;0)))),0)</f>
        <v>0</v>
      </c>
      <c r="I213" s="1130" cm="1">
        <f t="array" ref="I213">IFERROR(IF(A213=A212,0,SUM(_xlfn._xlws.FILTER(E213:E223,(A213:A223=A213)*(F213&lt;0)))),0)</f>
        <v>0</v>
      </c>
      <c r="J213"/>
      <c r="K213"/>
      <c r="L213"/>
      <c r="M213"/>
      <c r="N213"/>
    </row>
    <row r="214" spans="1:14" hidden="1">
      <c r="A214" s="452">
        <v>45726</v>
      </c>
      <c r="B214" s="453" t="s">
        <v>65</v>
      </c>
      <c r="C214" s="454">
        <v>250</v>
      </c>
      <c r="D214" s="455">
        <v>-193.49</v>
      </c>
      <c r="E214" s="1128">
        <f ca="1">IFERROR(C214*D214*_xlfn.XLOOKUP(B214,TabCalc[Ticker],TabCalc[Scale]),0)</f>
        <v>-48372.5</v>
      </c>
      <c r="F214" s="1129" cm="1">
        <f t="array" ref="F214">IF(A214=A213,0,SUM(_xlfn._xlws.FILTER(E214:E224,A214:A224=A214)))</f>
        <v>0</v>
      </c>
      <c r="G214" s="1130">
        <f>IF(F214&lt;&gt;0,SUM($F$43:F214),0)</f>
        <v>0</v>
      </c>
      <c r="H214" s="1130" cm="1">
        <f t="array" ref="H214">IFERROR(IF(A214=A213,0,SUM(_xlfn._xlws.FILTER(E214:E224,(A214:A224=A214)*(E214:E224&gt;0)))),0)</f>
        <v>0</v>
      </c>
      <c r="I214" s="1130" cm="1">
        <f t="array" ref="I214">IFERROR(IF(A214=A213,0,SUM(_xlfn._xlws.FILTER(E214:E224,(A214:A224=A214)*(F214&lt;0)))),0)</f>
        <v>0</v>
      </c>
      <c r="J214"/>
      <c r="K214"/>
      <c r="L214"/>
      <c r="M214"/>
      <c r="N214"/>
    </row>
    <row r="215" spans="1:14" hidden="1">
      <c r="A215" s="452">
        <v>45730</v>
      </c>
      <c r="B215" s="448" t="s">
        <v>22</v>
      </c>
      <c r="C215" s="468">
        <v>20000</v>
      </c>
      <c r="D215" s="467">
        <v>287.7</v>
      </c>
      <c r="E215" s="1128">
        <f ca="1">IFERROR(C215*D215*_xlfn.XLOOKUP(B215,TabCalc[Ticker],TabCalc[Scale]),0)</f>
        <v>57540</v>
      </c>
      <c r="F215" s="1129" cm="1">
        <f t="array" aca="1" ref="F215" ca="1">IF(A215=A214,0,SUM(_xlfn._xlws.FILTER(E215:E225,A215:A225=A215)))</f>
        <v>-4764.0779999999941</v>
      </c>
      <c r="G215" s="1130">
        <f ca="1">IF(F215&lt;&gt;0,SUM($F$43:F215),0)</f>
        <v>350622.35513400007</v>
      </c>
      <c r="H215" s="1130" cm="1">
        <f t="array" aca="1" ref="H215" ca="1">IFERROR(IF(A215=A214,0,SUM(_xlfn._xlws.FILTER(E215:E225,(A215:A225=A215)*(E215:E225&gt;0)))),0)</f>
        <v>237449</v>
      </c>
      <c r="I215" s="1130" cm="1">
        <f t="array" aca="1" ref="I215" ca="1">IFERROR(IF(A215=A214,0,SUM(_xlfn._xlws.FILTER(E215:E225,(A215:A225=A215)*(F215&lt;0)))),0)</f>
        <v>-4764.0779999999941</v>
      </c>
      <c r="J215"/>
      <c r="K215"/>
      <c r="L215"/>
      <c r="M215"/>
      <c r="N215"/>
    </row>
    <row r="216" spans="1:14" hidden="1">
      <c r="A216" s="466">
        <v>45730</v>
      </c>
      <c r="B216" s="448" t="s">
        <v>25</v>
      </c>
      <c r="C216" s="468">
        <v>2000</v>
      </c>
      <c r="D216" s="467">
        <v>4.9000000000000004</v>
      </c>
      <c r="E216" s="1128">
        <f ca="1">IFERROR(C216*D216*_xlfn.XLOOKUP(B216,TabCalc[Ticker],TabCalc[Scale]),0)</f>
        <v>9800</v>
      </c>
      <c r="F216" s="1129" cm="1">
        <f t="array" ref="F216">IF(A216=A215,0,SUM(_xlfn._xlws.FILTER(E216:E226,A216:A226=A216)))</f>
        <v>0</v>
      </c>
      <c r="G216" s="1130">
        <f>IF(F216&lt;&gt;0,SUM($F$43:F216),0)</f>
        <v>0</v>
      </c>
      <c r="H216" s="1130" cm="1">
        <f t="array" ref="H216">IFERROR(IF(A216=A215,0,SUM(_xlfn._xlws.FILTER(E216:E226,(A216:A226=A216)*(E216:E226&gt;0)))),0)</f>
        <v>0</v>
      </c>
      <c r="I216" s="1130" cm="1">
        <f t="array" ref="I216">IFERROR(IF(A216=A215,0,SUM(_xlfn._xlws.FILTER(E216:E226,(A216:A226=A216)*(F216&lt;0)))),0)</f>
        <v>0</v>
      </c>
      <c r="J216"/>
      <c r="K216"/>
      <c r="L216"/>
      <c r="M216"/>
      <c r="N216"/>
    </row>
    <row r="217" spans="1:14" hidden="1">
      <c r="A217" s="466">
        <v>45730</v>
      </c>
      <c r="B217" s="448" t="s">
        <v>28</v>
      </c>
      <c r="C217" s="468">
        <v>1000</v>
      </c>
      <c r="D217" s="467">
        <v>73.358999999999995</v>
      </c>
      <c r="E217" s="1128">
        <f ca="1">IFERROR(C217*D217*_xlfn.XLOOKUP(B217,TabCalc[Ticker],TabCalc[Scale]),0)</f>
        <v>73359</v>
      </c>
      <c r="F217" s="1129" cm="1">
        <f t="array" ref="F217">IF(A217=A216,0,SUM(_xlfn._xlws.FILTER(E217:E227,A217:A227=A217)))</f>
        <v>0</v>
      </c>
      <c r="G217" s="1130">
        <f>IF(F217&lt;&gt;0,SUM($F$43:F217),0)</f>
        <v>0</v>
      </c>
      <c r="H217" s="1130" cm="1">
        <f t="array" ref="H217">IFERROR(IF(A217=A216,0,SUM(_xlfn._xlws.FILTER(E217:E227,(A217:A227=A217)*(E217:E227&gt;0)))),0)</f>
        <v>0</v>
      </c>
      <c r="I217" s="1130" cm="1">
        <f t="array" ref="I217">IFERROR(IF(A217=A216,0,SUM(_xlfn._xlws.FILTER(E217:E227,(A217:A227=A217)*(F217&lt;0)))),0)</f>
        <v>0</v>
      </c>
      <c r="J217"/>
      <c r="K217"/>
      <c r="L217"/>
      <c r="M217"/>
      <c r="N217"/>
    </row>
    <row r="218" spans="1:14" hidden="1">
      <c r="A218" s="466">
        <v>45730</v>
      </c>
      <c r="B218" s="448" t="s">
        <v>45</v>
      </c>
      <c r="C218" s="468">
        <v>18000</v>
      </c>
      <c r="D218" s="467">
        <v>-4.97</v>
      </c>
      <c r="E218" s="1128">
        <f ca="1">IFERROR(C218*D218*_xlfn.XLOOKUP(B218,TabCalc[Ticker],TabCalc[Scale]),0)</f>
        <v>-89460</v>
      </c>
      <c r="F218" s="1129" cm="1">
        <f t="array" ref="F218">IF(A218=A217,0,SUM(_xlfn._xlws.FILTER(E218:E228,A218:A228=A218)))</f>
        <v>0</v>
      </c>
      <c r="G218" s="1130">
        <f>IF(F218&lt;&gt;0,SUM($F$43:F218),0)</f>
        <v>0</v>
      </c>
      <c r="H218" s="1130" cm="1">
        <f t="array" ref="H218">IFERROR(IF(A218=A217,0,SUM(_xlfn._xlws.FILTER(E218:E228,(A218:A228=A218)*(E218:E228&gt;0)))),0)</f>
        <v>0</v>
      </c>
      <c r="I218" s="1130" cm="1">
        <f t="array" ref="I218">IFERROR(IF(A218=A217,0,SUM(_xlfn._xlws.FILTER(E218:E228,(A218:A228=A218)*(F218&lt;0)))),0)</f>
        <v>0</v>
      </c>
      <c r="J218"/>
      <c r="K218"/>
      <c r="L218"/>
      <c r="M218"/>
      <c r="N218"/>
    </row>
    <row r="219" spans="1:14" hidden="1">
      <c r="A219" s="466">
        <v>45730</v>
      </c>
      <c r="B219" s="448" t="s">
        <v>53</v>
      </c>
      <c r="C219" s="468">
        <v>15000</v>
      </c>
      <c r="D219" s="467">
        <v>-0.91</v>
      </c>
      <c r="E219" s="1128">
        <f ca="1">IFERROR(C219*D219*_xlfn.XLOOKUP(B219,TabCalc[Ticker],TabCalc[Scale]),0)</f>
        <v>-13650</v>
      </c>
      <c r="F219" s="1129" cm="1">
        <f t="array" ref="F219">IF(A219=A218,0,SUM(_xlfn._xlws.FILTER(E219:E229,A219:A229=A219)))</f>
        <v>0</v>
      </c>
      <c r="G219" s="1130">
        <f>IF(F219&lt;&gt;0,SUM($F$43:F219),0)</f>
        <v>0</v>
      </c>
      <c r="H219" s="1130" cm="1">
        <f t="array" ref="H219">IFERROR(IF(A219=A218,0,SUM(_xlfn._xlws.FILTER(E219:E229,(A219:A229=A219)*(E219:E229&gt;0)))),0)</f>
        <v>0</v>
      </c>
      <c r="I219" s="1130" cm="1">
        <f t="array" ref="I219">IFERROR(IF(A219=A218,0,SUM(_xlfn._xlws.FILTER(E219:E229,(A219:A229=A219)*(F219&lt;0)))),0)</f>
        <v>0</v>
      </c>
      <c r="J219"/>
      <c r="K219"/>
      <c r="L219"/>
      <c r="M219"/>
      <c r="N219"/>
    </row>
    <row r="220" spans="1:14" hidden="1">
      <c r="A220" s="466">
        <v>45730</v>
      </c>
      <c r="B220" s="448" t="s">
        <v>43</v>
      </c>
      <c r="C220" s="468">
        <v>450</v>
      </c>
      <c r="D220" s="467">
        <v>-193.52683999999999</v>
      </c>
      <c r="E220" s="1128">
        <f ca="1">IFERROR(C220*D220*_xlfn.XLOOKUP(B220,TabCalc[Ticker],TabCalc[Scale]),0)</f>
        <v>-87087.077999999994</v>
      </c>
      <c r="F220" s="1129" cm="1">
        <f t="array" ref="F220">IF(A220=A219,0,SUM(_xlfn._xlws.FILTER(E220:E230,A220:A230=A220)))</f>
        <v>0</v>
      </c>
      <c r="G220" s="1130">
        <f>IF(F220&lt;&gt;0,SUM($F$43:F220),0)</f>
        <v>0</v>
      </c>
      <c r="H220" s="1130" cm="1">
        <f t="array" ref="H220">IFERROR(IF(A220=A219,0,SUM(_xlfn._xlws.FILTER(E220:E230,(A220:A230=A220)*(E220:E230&gt;0)))),0)</f>
        <v>0</v>
      </c>
      <c r="I220" s="1130" cm="1">
        <f t="array" ref="I220">IFERROR(IF(A220=A219,0,SUM(_xlfn._xlws.FILTER(E220:E230,(A220:A230=A220)*(F220&lt;0)))),0)</f>
        <v>0</v>
      </c>
      <c r="J220"/>
      <c r="K220"/>
      <c r="L220"/>
      <c r="M220"/>
      <c r="N220"/>
    </row>
    <row r="221" spans="1:14" hidden="1">
      <c r="A221" s="466">
        <v>45730</v>
      </c>
      <c r="B221" s="448" t="s">
        <v>80</v>
      </c>
      <c r="C221" s="468">
        <v>400</v>
      </c>
      <c r="D221" s="467">
        <v>-130.04</v>
      </c>
      <c r="E221" s="1128">
        <f ca="1">IFERROR(C221*D221*_xlfn.XLOOKUP(B221,TabCalc[Ticker],TabCalc[Scale]),0)</f>
        <v>-52016</v>
      </c>
      <c r="F221" s="1129" cm="1">
        <f t="array" ref="F221">IF(A221=A220,0,SUM(_xlfn._xlws.FILTER(E221:E231,A221:A231=A221)))</f>
        <v>0</v>
      </c>
      <c r="G221" s="1130">
        <f>IF(F221&lt;&gt;0,SUM($F$43:F221),0)</f>
        <v>0</v>
      </c>
      <c r="H221" s="1130" cm="1">
        <f t="array" ref="H221">IFERROR(IF(A221=A220,0,SUM(_xlfn._xlws.FILTER(E221:E231,(A221:A231=A221)*(E221:E231&gt;0)))),0)</f>
        <v>0</v>
      </c>
      <c r="I221" s="1130" cm="1">
        <f t="array" ref="I221">IFERROR(IF(A221=A220,0,SUM(_xlfn._xlws.FILTER(E221:E231,(A221:A231=A221)*(F221&lt;0)))),0)</f>
        <v>0</v>
      </c>
      <c r="J221"/>
      <c r="K221"/>
      <c r="L221"/>
      <c r="M221"/>
      <c r="N221"/>
    </row>
    <row r="222" spans="1:14" hidden="1">
      <c r="A222" s="466">
        <v>45730</v>
      </c>
      <c r="B222" s="448" t="s">
        <v>79</v>
      </c>
      <c r="C222" s="468">
        <v>10000</v>
      </c>
      <c r="D222" s="467">
        <v>9.6750000000000007</v>
      </c>
      <c r="E222" s="1128">
        <f ca="1">IFERROR(C222*D222*_xlfn.XLOOKUP(B222,TabCalc[Ticker],TabCalc[Scale]),0)</f>
        <v>96750</v>
      </c>
      <c r="F222" s="1129" cm="1">
        <f t="array" ref="F222">IF(A222=A221,0,SUM(_xlfn._xlws.FILTER(E222:E232,A222:A232=A222)))</f>
        <v>0</v>
      </c>
      <c r="G222" s="1130">
        <f>IF(F222&lt;&gt;0,SUM($F$43:F222),0)</f>
        <v>0</v>
      </c>
      <c r="H222" s="1130" cm="1">
        <f t="array" ref="H222">IFERROR(IF(A222=A221,0,SUM(_xlfn._xlws.FILTER(E222:E232,(A222:A232=A222)*(E222:E232&gt;0)))),0)</f>
        <v>0</v>
      </c>
      <c r="I222" s="1130" cm="1">
        <f t="array" ref="I222">IFERROR(IF(A222=A221,0,SUM(_xlfn._xlws.FILTER(E222:E232,(A222:A232=A222)*(F222&lt;0)))),0)</f>
        <v>0</v>
      </c>
      <c r="J222"/>
      <c r="K222"/>
      <c r="L222"/>
      <c r="M222"/>
      <c r="N222"/>
    </row>
    <row r="223" spans="1:14" hidden="1">
      <c r="A223" s="452">
        <v>45733</v>
      </c>
      <c r="B223" s="453" t="s">
        <v>16</v>
      </c>
      <c r="C223" s="454">
        <v>7000</v>
      </c>
      <c r="D223" s="455">
        <v>13.14</v>
      </c>
      <c r="E223" s="1128">
        <f ca="1">IFERROR(C223*D223*_xlfn.XLOOKUP(B223,TabCalc[Ticker],TabCalc[Scale]),0)</f>
        <v>91980</v>
      </c>
      <c r="F223" s="1129" cm="1">
        <f t="array" aca="1" ref="F223" ca="1">IF(A223=A222,0,SUM(_xlfn._xlws.FILTER(E223:E233,A223:A233=A223)))</f>
        <v>-22542.5</v>
      </c>
      <c r="G223" s="1130">
        <f ca="1">IF(F223&lt;&gt;0,SUM($F$43:F223),0)</f>
        <v>328079.85513400007</v>
      </c>
      <c r="H223" s="1130" cm="1">
        <f t="array" aca="1" ref="H223" ca="1">IFERROR(IF(A223=A222,0,SUM(_xlfn._xlws.FILTER(E223:E233,(A223:A233=A223)*(E223:E233&gt;0)))),0)</f>
        <v>91980</v>
      </c>
      <c r="I223" s="1130" cm="1">
        <f t="array" aca="1" ref="I223" ca="1">IFERROR(IF(A223=A222,0,SUM(_xlfn._xlws.FILTER(E223:E233,(A223:A233=A223)*(F223&lt;0)))),0)</f>
        <v>-22542.5</v>
      </c>
      <c r="J223"/>
      <c r="K223"/>
      <c r="L223"/>
      <c r="M223"/>
      <c r="N223"/>
    </row>
    <row r="224" spans="1:14" hidden="1">
      <c r="A224" s="452">
        <v>45733</v>
      </c>
      <c r="B224" s="453" t="s">
        <v>64</v>
      </c>
      <c r="C224" s="454">
        <v>25000</v>
      </c>
      <c r="D224" s="455">
        <v>-2.6913</v>
      </c>
      <c r="E224" s="1128">
        <f ca="1">IFERROR(C224*D224*_xlfn.XLOOKUP(B224,TabCalc[Ticker],TabCalc[Scale]),0)</f>
        <v>-67282.5</v>
      </c>
      <c r="F224" s="1129" cm="1">
        <f t="array" ref="F224">IF(A224=A223,0,SUM(_xlfn._xlws.FILTER(E224:E234,A224:A234=A224)))</f>
        <v>0</v>
      </c>
      <c r="G224" s="1130">
        <f>IF(F224&lt;&gt;0,SUM($F$43:F224),0)</f>
        <v>0</v>
      </c>
      <c r="H224" s="1130" cm="1">
        <f t="array" ref="H224">IFERROR(IF(A224=A223,0,SUM(_xlfn._xlws.FILTER(E224:E234,(A224:A234=A224)*(E224:E234&gt;0)))),0)</f>
        <v>0</v>
      </c>
      <c r="I224" s="1130" cm="1">
        <f t="array" ref="I224">IFERROR(IF(A224=A223,0,SUM(_xlfn._xlws.FILTER(E224:E234,(A224:A234=A224)*(F224&lt;0)))),0)</f>
        <v>0</v>
      </c>
      <c r="J224"/>
      <c r="K224"/>
      <c r="L224"/>
      <c r="M224"/>
      <c r="N224"/>
    </row>
    <row r="225" spans="1:14" hidden="1">
      <c r="A225" s="452">
        <v>45733</v>
      </c>
      <c r="B225" s="453" t="s">
        <v>84</v>
      </c>
      <c r="C225" s="454">
        <v>1000</v>
      </c>
      <c r="D225" s="455">
        <v>-47.24</v>
      </c>
      <c r="E225" s="1128">
        <f ca="1">IFERROR(C225*D225*_xlfn.XLOOKUP(B225,TabCalc[Ticker],TabCalc[Scale]),0)</f>
        <v>-47240</v>
      </c>
      <c r="F225" s="1129" cm="1">
        <f t="array" ref="F225">IF(A225=A224,0,SUM(_xlfn._xlws.FILTER(E225:E235,A225:A235=A225)))</f>
        <v>0</v>
      </c>
      <c r="G225" s="1130">
        <f>IF(F225&lt;&gt;0,SUM($F$43:F225),0)</f>
        <v>0</v>
      </c>
      <c r="H225" s="1130" cm="1">
        <f t="array" ref="H225">IFERROR(IF(A225=A224,0,SUM(_xlfn._xlws.FILTER(E225:E235,(A225:A235=A225)*(E225:E235&gt;0)))),0)</f>
        <v>0</v>
      </c>
      <c r="I225" s="1130" cm="1">
        <f t="array" ref="I225">IFERROR(IF(A225=A224,0,SUM(_xlfn._xlws.FILTER(E225:E235,(A225:A235=A225)*(F225&lt;0)))),0)</f>
        <v>0</v>
      </c>
      <c r="J225"/>
      <c r="K225"/>
      <c r="L225"/>
      <c r="M225"/>
      <c r="N225"/>
    </row>
    <row r="226" spans="1:14" hidden="1">
      <c r="A226" s="466">
        <v>45734</v>
      </c>
      <c r="B226" s="448" t="s">
        <v>4</v>
      </c>
      <c r="C226" s="468">
        <v>15000</v>
      </c>
      <c r="D226" s="448">
        <v>-0.93</v>
      </c>
      <c r="E226" s="1128">
        <f ca="1">IFERROR(C226*D226*_xlfn.XLOOKUP(B226,TabCalc[Ticker],TabCalc[Scale]),0)</f>
        <v>-13950</v>
      </c>
      <c r="F226" s="1129" cm="1">
        <f t="array" aca="1" ref="F226" ca="1">IF(A226=A225,0,SUM(_xlfn._xlws.FILTER(E226:E236,A226:A236=A226)))</f>
        <v>-52730</v>
      </c>
      <c r="G226" s="1130">
        <f ca="1">IF(F226&lt;&gt;0,SUM($F$43:F226),0)</f>
        <v>275349.85513400007</v>
      </c>
      <c r="H226" s="1130" cm="1">
        <f t="array" aca="1" ref="H226" ca="1">IFERROR(IF(A226=A225,0,SUM(_xlfn._xlws.FILTER(E226:E236,(A226:A236=A226)*(E226:E236&gt;0)))),0)</f>
        <v>0</v>
      </c>
      <c r="I226" s="1130" cm="1">
        <f t="array" aca="1" ref="I226" ca="1">IFERROR(IF(A226=A225,0,SUM(_xlfn._xlws.FILTER(E226:E236,(A226:A236=A226)*(F226&lt;0)))),0)</f>
        <v>-52730</v>
      </c>
      <c r="J226"/>
      <c r="K226"/>
      <c r="L226"/>
      <c r="M226"/>
      <c r="N226"/>
    </row>
    <row r="227" spans="1:14" hidden="1">
      <c r="A227" s="466">
        <v>45734</v>
      </c>
      <c r="B227" s="448" t="s">
        <v>13</v>
      </c>
      <c r="C227" s="468">
        <v>1000</v>
      </c>
      <c r="D227" s="448">
        <v>-38.78</v>
      </c>
      <c r="E227" s="1128">
        <f ca="1">IFERROR(C227*D227*_xlfn.XLOOKUP(B227,TabCalc[Ticker],TabCalc[Scale]),0)</f>
        <v>-38780</v>
      </c>
      <c r="F227" s="1129" cm="1">
        <f t="array" ref="F227">IF(A227=A226,0,SUM(_xlfn._xlws.FILTER(E227:E237,A227:A237=A227)))</f>
        <v>0</v>
      </c>
      <c r="G227" s="1130">
        <f>IF(F227&lt;&gt;0,SUM($F$43:F227),0)</f>
        <v>0</v>
      </c>
      <c r="H227" s="1130" cm="1">
        <f t="array" ref="H227">IFERROR(IF(A227=A226,0,SUM(_xlfn._xlws.FILTER(E227:E237,(A227:A237=A227)*(E227:E237&gt;0)))),0)</f>
        <v>0</v>
      </c>
      <c r="I227" s="1130" cm="1">
        <f t="array" ref="I227">IFERROR(IF(A227=A226,0,SUM(_xlfn._xlws.FILTER(E227:E237,(A227:A237=A227)*(F227&lt;0)))),0)</f>
        <v>0</v>
      </c>
      <c r="J227"/>
      <c r="K227"/>
      <c r="L227"/>
      <c r="M227"/>
      <c r="N227"/>
    </row>
    <row r="228" spans="1:14" hidden="1">
      <c r="A228" s="452">
        <v>45735</v>
      </c>
      <c r="B228" s="453" t="s">
        <v>32</v>
      </c>
      <c r="C228" s="454">
        <v>300</v>
      </c>
      <c r="D228" s="455">
        <v>667.6</v>
      </c>
      <c r="E228" s="1128">
        <f ca="1">IFERROR(C228*D228*_xlfn.XLOOKUP(B228,TabCalc[Ticker],TabCalc[Scale]),0)</f>
        <v>200280</v>
      </c>
      <c r="F228" s="1129" cm="1">
        <f t="array" aca="1" ref="F228" ca="1">IF(A228=A227,0,SUM(_xlfn._xlws.FILTER(E228:E238,A228:A238=A228)))</f>
        <v>322582</v>
      </c>
      <c r="G228" s="1130">
        <f ca="1">IF(F228&lt;&gt;0,SUM($F$43:F228),0)</f>
        <v>597931.85513400007</v>
      </c>
      <c r="H228" s="1130" cm="1">
        <f t="array" aca="1" ref="H228" ca="1">IFERROR(IF(A228=A227,0,SUM(_xlfn._xlws.FILTER(E228:E238,(A228:A238=A228)*(E228:E238&gt;0)))),0)</f>
        <v>322582</v>
      </c>
      <c r="I228" s="1130" cm="1">
        <f t="array" aca="1" ref="I228" ca="1">IFERROR(IF(A228=A227,0,SUM(_xlfn._xlws.FILTER(E228:E238,(A228:A238=A228)*(F228&lt;0)))),0)</f>
        <v>0</v>
      </c>
      <c r="J228"/>
      <c r="K228"/>
      <c r="L228"/>
      <c r="M228"/>
      <c r="N228"/>
    </row>
    <row r="229" spans="1:14" hidden="1">
      <c r="A229" s="452">
        <v>45735</v>
      </c>
      <c r="B229" s="453" t="s">
        <v>48</v>
      </c>
      <c r="C229" s="454">
        <v>1000</v>
      </c>
      <c r="D229" s="455">
        <v>63.1</v>
      </c>
      <c r="E229" s="1128">
        <f ca="1">IFERROR(C229*D229*_xlfn.XLOOKUP(B229,TabCalc[Ticker],TabCalc[Scale]),0)</f>
        <v>63100</v>
      </c>
      <c r="F229" s="1129" cm="1">
        <f t="array" ref="F229">IF(A229=A228,0,SUM(_xlfn._xlws.FILTER(E229:E239,A229:A239=A229)))</f>
        <v>0</v>
      </c>
      <c r="G229" s="1130">
        <f>IF(F229&lt;&gt;0,SUM($F$43:F229),0)</f>
        <v>0</v>
      </c>
      <c r="H229" s="1130" cm="1">
        <f t="array" ref="H229">IFERROR(IF(A229=A228,0,SUM(_xlfn._xlws.FILTER(E229:E239,(A229:A239=A229)*(E229:E239&gt;0)))),0)</f>
        <v>0</v>
      </c>
      <c r="I229" s="1130" cm="1">
        <f t="array" ref="I229">IFERROR(IF(A229=A228,0,SUM(_xlfn._xlws.FILTER(E229:E239,(A229:A239=A229)*(F229&lt;0)))),0)</f>
        <v>0</v>
      </c>
      <c r="J229"/>
      <c r="K229"/>
      <c r="L229"/>
      <c r="M229"/>
      <c r="N229"/>
    </row>
    <row r="230" spans="1:14" hidden="1">
      <c r="A230" s="452">
        <v>45735</v>
      </c>
      <c r="B230" s="453" t="s">
        <v>22</v>
      </c>
      <c r="C230" s="454">
        <v>20000</v>
      </c>
      <c r="D230" s="455">
        <v>296.01</v>
      </c>
      <c r="E230" s="1128">
        <f ca="1">IFERROR(C230*D230*_xlfn.XLOOKUP(B230,TabCalc[Ticker],TabCalc[Scale]),0)</f>
        <v>59202</v>
      </c>
      <c r="F230" s="1129" cm="1">
        <f t="array" ref="F230">IF(A230=A229,0,SUM(_xlfn._xlws.FILTER(E230:E240,A230:A240=A230)))</f>
        <v>0</v>
      </c>
      <c r="G230" s="1130">
        <f>IF(F230&lt;&gt;0,SUM($F$43:F230),0)</f>
        <v>0</v>
      </c>
      <c r="H230" s="1130" cm="1">
        <f t="array" ref="H230">IFERROR(IF(A230=A229,0,SUM(_xlfn._xlws.FILTER(E230:E240,(A230:A240=A230)*(E230:E240&gt;0)))),0)</f>
        <v>0</v>
      </c>
      <c r="I230" s="1130" cm="1">
        <f t="array" ref="I230">IFERROR(IF(A230=A229,0,SUM(_xlfn._xlws.FILTER(E230:E240,(A230:A240=A230)*(F230&lt;0)))),0)</f>
        <v>0</v>
      </c>
      <c r="J230"/>
      <c r="K230"/>
      <c r="L230"/>
      <c r="M230"/>
      <c r="N230"/>
    </row>
    <row r="231" spans="1:14" hidden="1">
      <c r="A231" s="466">
        <v>45736</v>
      </c>
      <c r="B231" s="448" t="s">
        <v>38</v>
      </c>
      <c r="C231" s="468">
        <v>1000</v>
      </c>
      <c r="D231" s="448">
        <v>-250.8</v>
      </c>
      <c r="E231" s="1128">
        <f ca="1">IFERROR(C231*D231*_xlfn.XLOOKUP(B231,TabCalc[Ticker],TabCalc[Scale]),0)</f>
        <v>-250800</v>
      </c>
      <c r="F231" s="1129" cm="1">
        <f t="array" aca="1" ref="F231" ca="1">IF(A231=A230,0,SUM(_xlfn._xlws.FILTER(E231:E241,A231:A241=A231)))</f>
        <v>-260330.36</v>
      </c>
      <c r="G231" s="1130">
        <f ca="1">IF(F231&lt;&gt;0,SUM($F$43:F231),0)</f>
        <v>337601.49513400008</v>
      </c>
      <c r="H231" s="1130" cm="1">
        <f t="array" aca="1" ref="H231" ca="1">IFERROR(IF(A231=A230,0,SUM(_xlfn._xlws.FILTER(E231:E241,(A231:A241=A231)*(E231:E241&gt;0)))),0)</f>
        <v>0</v>
      </c>
      <c r="I231" s="1130" cm="1">
        <f t="array" aca="1" ref="I231" ca="1">IFERROR(IF(A231=A230,0,SUM(_xlfn._xlws.FILTER(E231:E241,(A231:A241=A231)*(F231&lt;0)))),0)</f>
        <v>-260330.36</v>
      </c>
      <c r="J231"/>
      <c r="K231"/>
      <c r="L231"/>
      <c r="M231"/>
      <c r="N231"/>
    </row>
    <row r="232" spans="1:14" hidden="1">
      <c r="A232" s="466">
        <v>45736</v>
      </c>
      <c r="B232" s="448" t="s">
        <v>1696</v>
      </c>
      <c r="C232" s="468">
        <v>23590</v>
      </c>
      <c r="D232" s="448">
        <v>-40.4</v>
      </c>
      <c r="E232" s="1128">
        <f ca="1">IFERROR(C232*D232*_xlfn.XLOOKUP(B232,TabCalc[Ticker],TabCalc[Scale]),0)</f>
        <v>-9530.36</v>
      </c>
      <c r="F232" s="1129" cm="1">
        <f t="array" ref="F232">IF(A232=A231,0,SUM(_xlfn._xlws.FILTER(E232:E242,A232:A242=A232)))</f>
        <v>0</v>
      </c>
      <c r="G232" s="1130">
        <f>IF(F232&lt;&gt;0,SUM($F$43:F232),0)</f>
        <v>0</v>
      </c>
      <c r="H232" s="1130" cm="1">
        <f t="array" ref="H232">IFERROR(IF(A232=A231,0,SUM(_xlfn._xlws.FILTER(E232:E242,(A232:A242=A232)*(E232:E242&gt;0)))),0)</f>
        <v>0</v>
      </c>
      <c r="I232" s="1130" cm="1">
        <f t="array" ref="I232">IFERROR(IF(A232=A231,0,SUM(_xlfn._xlws.FILTER(E232:E242,(A232:A242=A232)*(F232&lt;0)))),0)</f>
        <v>0</v>
      </c>
      <c r="J232"/>
      <c r="K232"/>
      <c r="L232"/>
      <c r="M232"/>
      <c r="N232"/>
    </row>
    <row r="233" spans="1:14" hidden="1">
      <c r="A233" s="452">
        <v>45737</v>
      </c>
      <c r="B233" s="453" t="s">
        <v>75</v>
      </c>
      <c r="C233" s="454">
        <v>2000</v>
      </c>
      <c r="D233" s="455">
        <v>11.845000000000001</v>
      </c>
      <c r="E233" s="1128">
        <f ca="1">IFERROR(C233*D233*_xlfn.XLOOKUP(B233,TabCalc[Ticker],TabCalc[Scale]),0)</f>
        <v>23690</v>
      </c>
      <c r="F233" s="1129" cm="1">
        <f t="array" aca="1" ref="F233" ca="1">IF(A233=A232,0,SUM(_xlfn._xlws.FILTER(E233:E243,A233:A243=A233)))</f>
        <v>43035</v>
      </c>
      <c r="G233" s="1130">
        <f ca="1">IF(F233&lt;&gt;0,SUM($F$43:F233),0)</f>
        <v>380636.49513400008</v>
      </c>
      <c r="H233" s="1130" cm="1">
        <f t="array" aca="1" ref="H233" ca="1">IFERROR(IF(A233=A232,0,SUM(_xlfn._xlws.FILTER(E233:E243,(A233:A243=A233)*(E233:E243&gt;0)))),0)</f>
        <v>43035</v>
      </c>
      <c r="I233" s="1130" cm="1">
        <f t="array" aca="1" ref="I233" ca="1">IFERROR(IF(A233=A232,0,SUM(_xlfn._xlws.FILTER(E233:E243,(A233:A243=A233)*(F233&lt;0)))),0)</f>
        <v>0</v>
      </c>
      <c r="J233"/>
      <c r="K233"/>
      <c r="L233"/>
      <c r="M233"/>
      <c r="N233"/>
    </row>
    <row r="234" spans="1:14" hidden="1">
      <c r="A234" s="452">
        <v>45737</v>
      </c>
      <c r="B234" s="453" t="s">
        <v>13</v>
      </c>
      <c r="C234" s="454">
        <v>500</v>
      </c>
      <c r="D234" s="455">
        <v>38.69</v>
      </c>
      <c r="E234" s="1128">
        <f ca="1">IFERROR(C234*D234*_xlfn.XLOOKUP(B234,TabCalc[Ticker],TabCalc[Scale]),0)</f>
        <v>19345</v>
      </c>
      <c r="F234" s="1129" cm="1">
        <f t="array" ref="F234">IF(A234=A233,0,SUM(_xlfn._xlws.FILTER(E234:E244,A234:A244=A234)))</f>
        <v>0</v>
      </c>
      <c r="G234" s="1130">
        <f>IF(F234&lt;&gt;0,SUM($F$43:F234),0)</f>
        <v>0</v>
      </c>
      <c r="H234" s="1130" cm="1">
        <f t="array" ref="H234">IFERROR(IF(A234=A233,0,SUM(_xlfn._xlws.FILTER(E234:E244,(A234:A244=A234)*(E234:E244&gt;0)))),0)</f>
        <v>0</v>
      </c>
      <c r="I234" s="1130" cm="1">
        <f t="array" ref="I234">IFERROR(IF(A234=A233,0,SUM(_xlfn._xlws.FILTER(E234:E244,(A234:A244=A234)*(F234&lt;0)))),0)</f>
        <v>0</v>
      </c>
      <c r="J234"/>
      <c r="K234"/>
      <c r="L234"/>
      <c r="M234"/>
      <c r="N234"/>
    </row>
    <row r="235" spans="1:14" hidden="1">
      <c r="A235" s="466">
        <v>45740</v>
      </c>
      <c r="B235" s="448" t="s">
        <v>2</v>
      </c>
      <c r="C235" s="468">
        <v>19410</v>
      </c>
      <c r="D235" s="448">
        <v>-41.404269999999997</v>
      </c>
      <c r="E235" s="1128">
        <f ca="1">IFERROR(C235*D235*_xlfn.XLOOKUP(B235,TabCalc[Ticker],TabCalc[Scale]),0)</f>
        <v>-8036.5688069999997</v>
      </c>
      <c r="F235" s="1129" cm="1">
        <f t="array" aca="1" ref="F235" ca="1">IF(A235=A234,0,SUM(_xlfn._xlws.FILTER(E235:E245,A235:A245=A235)))</f>
        <v>-518276.568807</v>
      </c>
      <c r="G235" s="1130">
        <f ca="1">IF(F235&lt;&gt;0,SUM($F$43:F235),0)</f>
        <v>-137640.07367299992</v>
      </c>
      <c r="H235" s="1130" cm="1">
        <f t="array" aca="1" ref="H235" ca="1">IFERROR(IF(A235=A234,0,SUM(_xlfn._xlws.FILTER(E235:E245,(A235:A245=A235)*(E235:E245&gt;0)))),0)</f>
        <v>0</v>
      </c>
      <c r="I235" s="1130" cm="1">
        <f t="array" aca="1" ref="I235" ca="1">IFERROR(IF(A235=A234,0,SUM(_xlfn._xlws.FILTER(E235:E245,(A235:A245=A235)*(F235&lt;0)))),0)</f>
        <v>-518276.568807</v>
      </c>
      <c r="J235"/>
      <c r="K235"/>
      <c r="L235"/>
      <c r="M235"/>
      <c r="N235"/>
    </row>
    <row r="236" spans="1:14" hidden="1">
      <c r="A236" s="466">
        <v>45740</v>
      </c>
      <c r="B236" s="448" t="s">
        <v>62</v>
      </c>
      <c r="C236" s="468">
        <v>1000</v>
      </c>
      <c r="D236" s="448">
        <v>-255.05</v>
      </c>
      <c r="E236" s="1128">
        <f ca="1">IFERROR(C236*D236*_xlfn.XLOOKUP(B236,TabCalc[Ticker],TabCalc[Scale]),0)</f>
        <v>-255050</v>
      </c>
      <c r="F236" s="1129" cm="1">
        <f t="array" ref="F236">IF(A236=A235,0,SUM(_xlfn._xlws.FILTER(E236:E246,A236:A246=A236)))</f>
        <v>0</v>
      </c>
      <c r="G236" s="1130">
        <f>IF(F236&lt;&gt;0,SUM($F$43:F236),0)</f>
        <v>0</v>
      </c>
      <c r="H236" s="1130" cm="1">
        <f t="array" ref="H236">IFERROR(IF(A236=A235,0,SUM(_xlfn._xlws.FILTER(E236:E246,(A236:A246=A236)*(E236:E246&gt;0)))),0)</f>
        <v>0</v>
      </c>
      <c r="I236" s="1130" cm="1">
        <f t="array" ref="I236">IFERROR(IF(A236=A235,0,SUM(_xlfn._xlws.FILTER(E236:E246,(A236:A246=A236)*(F236&lt;0)))),0)</f>
        <v>0</v>
      </c>
      <c r="J236"/>
      <c r="K236"/>
      <c r="L236"/>
      <c r="M236"/>
      <c r="N236"/>
    </row>
    <row r="237" spans="1:14" hidden="1">
      <c r="A237" s="466">
        <v>45740</v>
      </c>
      <c r="B237" s="448" t="s">
        <v>38</v>
      </c>
      <c r="C237" s="468">
        <v>1000</v>
      </c>
      <c r="D237" s="448">
        <v>-255.19</v>
      </c>
      <c r="E237" s="1128">
        <f ca="1">IFERROR(C237*D237*_xlfn.XLOOKUP(B237,TabCalc[Ticker],TabCalc[Scale]),0)</f>
        <v>-255190</v>
      </c>
      <c r="F237" s="1129" cm="1">
        <f t="array" ref="F237">IF(A237=A236,0,SUM(_xlfn._xlws.FILTER(E237:E247,A237:A247=A237)))</f>
        <v>0</v>
      </c>
      <c r="G237" s="1130">
        <f>IF(F237&lt;&gt;0,SUM($F$43:F237),0)</f>
        <v>0</v>
      </c>
      <c r="H237" s="1130" cm="1">
        <f t="array" ref="H237">IFERROR(IF(A237=A236,0,SUM(_xlfn._xlws.FILTER(E237:E247,(A237:A247=A237)*(E237:E247&gt;0)))),0)</f>
        <v>0</v>
      </c>
      <c r="I237" s="1130" cm="1">
        <f t="array" ref="I237">IFERROR(IF(A237=A236,0,SUM(_xlfn._xlws.FILTER(E237:E247,(A237:A247=A237)*(F237&lt;0)))),0)</f>
        <v>0</v>
      </c>
      <c r="J237"/>
      <c r="K237"/>
      <c r="L237"/>
      <c r="M237"/>
      <c r="N237"/>
    </row>
    <row r="238" spans="1:14" hidden="1">
      <c r="A238" s="452">
        <v>45741</v>
      </c>
      <c r="B238" s="453" t="s">
        <v>29</v>
      </c>
      <c r="C238" s="454">
        <v>500</v>
      </c>
      <c r="D238" s="455">
        <v>47.6</v>
      </c>
      <c r="E238" s="1128">
        <f ca="1">IFERROR(C238*D238*_xlfn.XLOOKUP(B238,TabCalc[Ticker],TabCalc[Scale]),0)</f>
        <v>23800</v>
      </c>
      <c r="F238" s="1129" cm="1">
        <f t="array" aca="1" ref="F238" ca="1">IF(A238=A237,0,SUM(_xlfn._xlws.FILTER(E238:E248,A238:A248=A238)))</f>
        <v>32075</v>
      </c>
      <c r="G238" s="1130">
        <f ca="1">IF(F238&lt;&gt;0,SUM($F$43:F238),0)</f>
        <v>-105565.07367299992</v>
      </c>
      <c r="H238" s="1130" cm="1">
        <f t="array" aca="1" ref="H238" ca="1">IFERROR(IF(A238=A237,0,SUM(_xlfn._xlws.FILTER(E238:E248,(A238:A248=A238)*(E238:E248&gt;0)))),0)</f>
        <v>32075</v>
      </c>
      <c r="I238" s="1130" cm="1">
        <f t="array" aca="1" ref="I238" ca="1">IFERROR(IF(A238=A237,0,SUM(_xlfn._xlws.FILTER(E238:E248,(A238:A248=A238)*(F238&lt;0)))),0)</f>
        <v>0</v>
      </c>
      <c r="J238"/>
      <c r="K238"/>
      <c r="L238"/>
      <c r="M238"/>
      <c r="N238"/>
    </row>
    <row r="239" spans="1:14" hidden="1">
      <c r="A239" s="452">
        <v>45741</v>
      </c>
      <c r="B239" s="453" t="s">
        <v>20</v>
      </c>
      <c r="C239" s="454">
        <v>500</v>
      </c>
      <c r="D239" s="455">
        <v>16.55</v>
      </c>
      <c r="E239" s="1128">
        <f ca="1">IFERROR(C239*D239*_xlfn.XLOOKUP(B239,TabCalc[Ticker],TabCalc[Scale]),0)</f>
        <v>8275</v>
      </c>
      <c r="F239" s="1129" cm="1">
        <f t="array" ref="F239">IF(A239=A238,0,SUM(_xlfn._xlws.FILTER(E239:E249,A239:A249=A239)))</f>
        <v>0</v>
      </c>
      <c r="G239" s="1130">
        <f>IF(F239&lt;&gt;0,SUM($F$43:F239),0)</f>
        <v>0</v>
      </c>
      <c r="H239" s="1130" cm="1">
        <f t="array" ref="H239">IFERROR(IF(A239=A238,0,SUM(_xlfn._xlws.FILTER(E239:E249,(A239:A249=A239)*(E239:E249&gt;0)))),0)</f>
        <v>0</v>
      </c>
      <c r="I239" s="1130" cm="1">
        <f t="array" ref="I239">IFERROR(IF(A239=A238,0,SUM(_xlfn._xlws.FILTER(E239:E249,(A239:A249=A239)*(F239&lt;0)))),0)</f>
        <v>0</v>
      </c>
      <c r="J239"/>
      <c r="K239"/>
      <c r="L239"/>
      <c r="M239"/>
      <c r="N239"/>
    </row>
    <row r="240" spans="1:14" hidden="1">
      <c r="A240" s="466">
        <v>45742</v>
      </c>
      <c r="B240" s="448" t="s">
        <v>73</v>
      </c>
      <c r="C240" s="468">
        <v>50</v>
      </c>
      <c r="D240" s="448">
        <v>-661.5</v>
      </c>
      <c r="E240" s="1128">
        <f ca="1">IFERROR(C240*D240*_xlfn.XLOOKUP(B240,TabCalc[Ticker],TabCalc[Scale]),0)</f>
        <v>-33075</v>
      </c>
      <c r="F240" s="1129" cm="1">
        <f t="array" aca="1" ref="F240" ca="1">IF(A240=A239,0,SUM(_xlfn._xlws.FILTER(E240:E250,A240:A250=A240)))</f>
        <v>-33075</v>
      </c>
      <c r="G240" s="1130">
        <f ca="1">IF(F240&lt;&gt;0,SUM($F$43:F240),0)</f>
        <v>-138640.07367299992</v>
      </c>
      <c r="H240" s="1130" cm="1">
        <f t="array" aca="1" ref="H240" ca="1">IFERROR(IF(A240=A239,0,SUM(_xlfn._xlws.FILTER(E240:E250,(A240:A250=A240)*(E240:E250&gt;0)))),0)</f>
        <v>0</v>
      </c>
      <c r="I240" s="1130" cm="1">
        <f t="array" aca="1" ref="I240" ca="1">IFERROR(IF(A240=A239,0,SUM(_xlfn._xlws.FILTER(E240:E250,(A240:A250=A240)*(F240&lt;0)))),0)</f>
        <v>-33075</v>
      </c>
      <c r="J240"/>
      <c r="K240"/>
      <c r="L240"/>
      <c r="M240"/>
      <c r="N240"/>
    </row>
    <row r="241" spans="1:14" hidden="1">
      <c r="A241" s="452">
        <v>45743</v>
      </c>
      <c r="B241" s="453" t="s">
        <v>32</v>
      </c>
      <c r="C241" s="454">
        <v>300</v>
      </c>
      <c r="D241" s="455">
        <v>-647.29999999999995</v>
      </c>
      <c r="E241" s="1128">
        <f ca="1">IFERROR(C241*D241*_xlfn.XLOOKUP(B241,TabCalc[Ticker],TabCalc[Scale]),0)</f>
        <v>-194190</v>
      </c>
      <c r="F241" s="1129" cm="1">
        <f t="array" aca="1" ref="F241" ca="1">IF(A241=A240,0,SUM(_xlfn._xlws.FILTER(E241:E251,A241:A251=A241)))</f>
        <v>-194190</v>
      </c>
      <c r="G241" s="1130">
        <f ca="1">IF(F241&lt;&gt;0,SUM($F$43:F241),0)</f>
        <v>-332830.07367299992</v>
      </c>
      <c r="H241" s="1130" cm="1">
        <f t="array" aca="1" ref="H241" ca="1">IFERROR(IF(A241=A240,0,SUM(_xlfn._xlws.FILTER(E241:E251,(A241:A251=A241)*(E241:E251&gt;0)))),0)</f>
        <v>0</v>
      </c>
      <c r="I241" s="1130" cm="1">
        <f t="array" aca="1" ref="I241" ca="1">IFERROR(IF(A241=A240,0,SUM(_xlfn._xlws.FILTER(E241:E251,(A241:A251=A241)*(F241&lt;0)))),0)</f>
        <v>-194190</v>
      </c>
      <c r="J241"/>
      <c r="K241"/>
      <c r="L241"/>
      <c r="M241"/>
      <c r="N241"/>
    </row>
    <row r="242" spans="1:14" hidden="1">
      <c r="A242" s="466">
        <v>45744</v>
      </c>
      <c r="B242" s="448" t="s">
        <v>22</v>
      </c>
      <c r="C242" s="468">
        <v>20000</v>
      </c>
      <c r="D242" s="448">
        <v>-284.47789999999998</v>
      </c>
      <c r="E242" s="1128">
        <f ca="1">IFERROR(C242*D242*_xlfn.XLOOKUP(B242,TabCalc[Ticker],TabCalc[Scale]),0)</f>
        <v>-56895.58</v>
      </c>
      <c r="F242" s="1129" cm="1">
        <f t="array" aca="1" ref="F242" ca="1">IF(A242=A241,0,SUM(_xlfn._xlws.FILTER(E242:E252,A242:A252=A242)))</f>
        <v>-20908.750000000007</v>
      </c>
      <c r="G242" s="1130">
        <f ca="1">IF(F242&lt;&gt;0,SUM($F$43:F242),0)</f>
        <v>-353738.82367299992</v>
      </c>
      <c r="H242" s="1130" cm="1">
        <f t="array" aca="1" ref="H242" ca="1">IFERROR(IF(A242=A241,0,SUM(_xlfn._xlws.FILTER(E242:E252,(A242:A252=A242)*(E242:E252&gt;0)))),0)</f>
        <v>106150.82999999999</v>
      </c>
      <c r="I242" s="1130" cm="1">
        <f t="array" aca="1" ref="I242" ca="1">IFERROR(IF(A242=A241,0,SUM(_xlfn._xlws.FILTER(E242:E252,(A242:A252=A242)*(F242&lt;0)))),0)</f>
        <v>-20908.750000000007</v>
      </c>
      <c r="J242"/>
      <c r="K242"/>
      <c r="L242"/>
      <c r="M242"/>
      <c r="N242"/>
    </row>
    <row r="243" spans="1:14" hidden="1">
      <c r="A243" s="466">
        <v>45744</v>
      </c>
      <c r="B243" s="448" t="s">
        <v>31</v>
      </c>
      <c r="C243" s="468">
        <v>2500</v>
      </c>
      <c r="D243" s="448">
        <v>26.31</v>
      </c>
      <c r="E243" s="1128">
        <f ca="1">IFERROR(C243*D243*_xlfn.XLOOKUP(B243,TabCalc[Ticker],TabCalc[Scale]),0)</f>
        <v>65775</v>
      </c>
      <c r="F243" s="1129" cm="1">
        <f t="array" ref="F243">IF(A243=A242,0,SUM(_xlfn._xlws.FILTER(E243:E253,A243:A253=A243)))</f>
        <v>0</v>
      </c>
      <c r="G243" s="1130">
        <f>IF(F243&lt;&gt;0,SUM($F$43:F243),0)</f>
        <v>0</v>
      </c>
      <c r="H243" s="1130" cm="1">
        <f t="array" ref="H243">IFERROR(IF(A243=A242,0,SUM(_xlfn._xlws.FILTER(E243:E253,(A243:A253=A243)*(E243:E253&gt;0)))),0)</f>
        <v>0</v>
      </c>
      <c r="I243" s="1130" cm="1">
        <f t="array" ref="I243">IFERROR(IF(A243=A242,0,SUM(_xlfn._xlws.FILTER(E243:E253,(A243:A253=A243)*(F243&lt;0)))),0)</f>
        <v>0</v>
      </c>
      <c r="J243"/>
      <c r="K243"/>
      <c r="L243"/>
      <c r="M243"/>
      <c r="N243"/>
    </row>
    <row r="244" spans="1:14" hidden="1">
      <c r="A244" s="466">
        <v>45744</v>
      </c>
      <c r="B244" s="448" t="s">
        <v>87</v>
      </c>
      <c r="C244" s="468">
        <v>1200</v>
      </c>
      <c r="D244" s="448">
        <v>33.646524999999997</v>
      </c>
      <c r="E244" s="1128">
        <f ca="1">IFERROR(C244*D244*_xlfn.XLOOKUP(B244,TabCalc[Ticker],TabCalc[Scale]),0)</f>
        <v>40375.829999999994</v>
      </c>
      <c r="F244" s="1129" cm="1">
        <f t="array" ref="F244">IF(A244=A243,0,SUM(_xlfn._xlws.FILTER(E244:E254,A244:A254=A244)))</f>
        <v>0</v>
      </c>
      <c r="G244" s="1130">
        <f>IF(F244&lt;&gt;0,SUM($F$43:F244),0)</f>
        <v>0</v>
      </c>
      <c r="H244" s="1130" cm="1">
        <f t="array" ref="H244">IFERROR(IF(A244=A243,0,SUM(_xlfn._xlws.FILTER(E244:E254,(A244:A254=A244)*(E244:E254&gt;0)))),0)</f>
        <v>0</v>
      </c>
      <c r="I244" s="1130" cm="1">
        <f t="array" ref="I244">IFERROR(IF(A244=A243,0,SUM(_xlfn._xlws.FILTER(E244:E254,(A244:A254=A244)*(F244&lt;0)))),0)</f>
        <v>0</v>
      </c>
      <c r="J244"/>
      <c r="K244"/>
      <c r="L244"/>
      <c r="M244"/>
      <c r="N244"/>
    </row>
    <row r="245" spans="1:14" hidden="1">
      <c r="A245" s="466">
        <v>45744</v>
      </c>
      <c r="B245" s="448" t="s">
        <v>53</v>
      </c>
      <c r="C245" s="468">
        <v>15000</v>
      </c>
      <c r="D245" s="448">
        <v>-0.89</v>
      </c>
      <c r="E245" s="1128">
        <f ca="1">IFERROR(C245*D245*_xlfn.XLOOKUP(B245,TabCalc[Ticker],TabCalc[Scale]),0)</f>
        <v>-13350</v>
      </c>
      <c r="F245" s="1129" cm="1">
        <f t="array" ref="F245">IF(A245=A244,0,SUM(_xlfn._xlws.FILTER(E245:E255,A245:A255=A245)))</f>
        <v>0</v>
      </c>
      <c r="G245" s="1130">
        <f>IF(F245&lt;&gt;0,SUM($F$43:F245),0)</f>
        <v>0</v>
      </c>
      <c r="H245" s="1130" cm="1">
        <f t="array" ref="H245">IFERROR(IF(A245=A244,0,SUM(_xlfn._xlws.FILTER(E245:E255,(A245:A255=A245)*(E245:E255&gt;0)))),0)</f>
        <v>0</v>
      </c>
      <c r="I245" s="1130" cm="1">
        <f t="array" ref="I245">IFERROR(IF(A245=A244,0,SUM(_xlfn._xlws.FILTER(E245:E255,(A245:A255=A245)*(F245&lt;0)))),0)</f>
        <v>0</v>
      </c>
      <c r="J245"/>
      <c r="K245"/>
      <c r="L245"/>
      <c r="M245"/>
      <c r="N245"/>
    </row>
    <row r="246" spans="1:14" hidden="1">
      <c r="A246" s="466">
        <v>45744</v>
      </c>
      <c r="B246" s="448" t="s">
        <v>27</v>
      </c>
      <c r="C246" s="468">
        <v>150</v>
      </c>
      <c r="D246" s="448">
        <v>-378.76</v>
      </c>
      <c r="E246" s="1128">
        <f ca="1">IFERROR(C246*D246*_xlfn.XLOOKUP(B246,TabCalc[Ticker],TabCalc[Scale]),0)</f>
        <v>-56814</v>
      </c>
      <c r="F246" s="1129" cm="1">
        <f t="array" ref="F246">IF(A246=A245,0,SUM(_xlfn._xlws.FILTER(E246:E256,A246:A256=A246)))</f>
        <v>0</v>
      </c>
      <c r="G246" s="1130">
        <f>IF(F246&lt;&gt;0,SUM($F$43:F246),0)</f>
        <v>0</v>
      </c>
      <c r="H246" s="1130" cm="1">
        <f t="array" ref="H246">IFERROR(IF(A246=A245,0,SUM(_xlfn._xlws.FILTER(E246:E256,(A246:A256=A246)*(E246:E256&gt;0)))),0)</f>
        <v>0</v>
      </c>
      <c r="I246" s="1130" cm="1">
        <f t="array" ref="I246">IFERROR(IF(A246=A245,0,SUM(_xlfn._xlws.FILTER(E246:E256,(A246:A256=A246)*(F246&lt;0)))),0)</f>
        <v>0</v>
      </c>
      <c r="J246"/>
      <c r="K246"/>
      <c r="L246"/>
      <c r="M246"/>
      <c r="N246"/>
    </row>
    <row r="247" spans="1:14" hidden="1">
      <c r="A247" s="452">
        <v>45747</v>
      </c>
      <c r="B247" s="465" t="s">
        <v>32</v>
      </c>
      <c r="C247" s="454">
        <v>200</v>
      </c>
      <c r="D247" s="651">
        <v>-603.79999999999995</v>
      </c>
      <c r="E247" s="1128">
        <f ca="1">IFERROR(C247*D247*_xlfn.XLOOKUP(B247,TabCalc[Ticker],TabCalc[Scale]),0)</f>
        <v>-120759.99999999999</v>
      </c>
      <c r="F247" s="1129" cm="1">
        <f t="array" aca="1" ref="F247" ca="1">IF(A247=A246,0,SUM(_xlfn._xlws.FILTER(E247:E257,A247:A257=A247)))</f>
        <v>-11044.599499999986</v>
      </c>
      <c r="G247" s="1130">
        <f ca="1">IF(F247&lt;&gt;0,SUM($F$43:F247),0)</f>
        <v>-364783.42317299993</v>
      </c>
      <c r="H247" s="1130" cm="1">
        <f t="array" aca="1" ref="H247" ca="1">IFERROR(IF(A247=A246,0,SUM(_xlfn._xlws.FILTER(E247:E257,(A247:A257=A247)*(E247:E257&gt;0)))),0)</f>
        <v>109715.4005</v>
      </c>
      <c r="I247" s="1130" cm="1">
        <f t="array" aca="1" ref="I247" ca="1">IFERROR(IF(A247=A246,0,SUM(_xlfn._xlws.FILTER(E247:E257,(A247:A257=A247)*(F247&lt;0)))),0)</f>
        <v>-11044.599499999986</v>
      </c>
      <c r="J247"/>
      <c r="K247"/>
      <c r="L247"/>
      <c r="M247"/>
      <c r="N247"/>
    </row>
    <row r="248" spans="1:14" hidden="1">
      <c r="A248" s="452">
        <v>45747</v>
      </c>
      <c r="B248" s="465" t="s">
        <v>16</v>
      </c>
      <c r="C248" s="454">
        <v>7000</v>
      </c>
      <c r="D248" s="651">
        <v>13.94</v>
      </c>
      <c r="E248" s="1128">
        <f ca="1">IFERROR(C248*D248*_xlfn.XLOOKUP(B248,TabCalc[Ticker],TabCalc[Scale]),0)</f>
        <v>97580</v>
      </c>
      <c r="F248" s="1129" cm="1">
        <f t="array" ref="F248">IF(A248=A247,0,SUM(_xlfn._xlws.FILTER(E248:E258,A248:A258=A248)))</f>
        <v>0</v>
      </c>
      <c r="G248" s="1130">
        <f>IF(F248&lt;&gt;0,SUM($F$43:F248),0)</f>
        <v>0</v>
      </c>
      <c r="H248" s="1130" cm="1">
        <f t="array" ref="H248">IFERROR(IF(A248=A247,0,SUM(_xlfn._xlws.FILTER(E248:E258,(A248:A258=A248)*(E248:E258&gt;0)))),0)</f>
        <v>0</v>
      </c>
      <c r="I248" s="1130" cm="1">
        <f t="array" ref="I248">IFERROR(IF(A248=A247,0,SUM(_xlfn._xlws.FILTER(E248:E258,(A248:A258=A248)*(F248&lt;0)))),0)</f>
        <v>0</v>
      </c>
      <c r="J248"/>
      <c r="K248"/>
      <c r="L248"/>
      <c r="M248"/>
      <c r="N248"/>
    </row>
    <row r="249" spans="1:14" hidden="1">
      <c r="A249" s="452">
        <v>45747</v>
      </c>
      <c r="B249" s="465" t="s">
        <v>53</v>
      </c>
      <c r="C249" s="454">
        <v>15000</v>
      </c>
      <c r="D249" s="651">
        <v>0.80902669999999999</v>
      </c>
      <c r="E249" s="1128">
        <f ca="1">IFERROR(C249*D249*_xlfn.XLOOKUP(B249,TabCalc[Ticker],TabCalc[Scale]),0)</f>
        <v>12135.4005</v>
      </c>
      <c r="F249" s="1129" cm="1">
        <f t="array" ref="F249">IF(A249=A248,0,SUM(_xlfn._xlws.FILTER(E249:E259,A249:A259=A249)))</f>
        <v>0</v>
      </c>
      <c r="G249" s="1130">
        <f>IF(F249&lt;&gt;0,SUM($F$43:F249),0)</f>
        <v>0</v>
      </c>
      <c r="H249" s="1130" cm="1">
        <f t="array" ref="H249">IFERROR(IF(A249=A248,0,SUM(_xlfn._xlws.FILTER(E249:E259,(A249:A259=A249)*(E249:E259&gt;0)))),0)</f>
        <v>0</v>
      </c>
      <c r="I249" s="1130" cm="1">
        <f t="array" ref="I249">IFERROR(IF(A249=A248,0,SUM(_xlfn._xlws.FILTER(E249:E259,(A249:A259=A249)*(F249&lt;0)))),0)</f>
        <v>0</v>
      </c>
      <c r="J249"/>
      <c r="K249"/>
      <c r="L249"/>
      <c r="M249"/>
      <c r="N249"/>
    </row>
    <row r="250" spans="1:14" hidden="1">
      <c r="A250" s="466">
        <v>45748</v>
      </c>
      <c r="B250" s="448" t="s">
        <v>3</v>
      </c>
      <c r="C250" s="468">
        <v>500</v>
      </c>
      <c r="D250" s="448">
        <v>-192.82</v>
      </c>
      <c r="E250" s="1128">
        <f ca="1">IFERROR(C250*D250*_xlfn.XLOOKUP(B250,TabCalc[Ticker],TabCalc[Scale]),0)</f>
        <v>-96410</v>
      </c>
      <c r="F250" s="1129" cm="1">
        <f t="array" aca="1" ref="F250" ca="1">IF(A250=A249,0,SUM(_xlfn._xlws.FILTER(E250:E260,A250:A260=A250)))</f>
        <v>-154345.20000000001</v>
      </c>
      <c r="G250" s="1130">
        <f ca="1">IF(F250&lt;&gt;0,SUM($F$43:F250),0)</f>
        <v>-519128.62317299994</v>
      </c>
      <c r="H250" s="1130" cm="1">
        <f t="array" aca="1" ref="H250" ca="1">IFERROR(IF(A250=A249,0,SUM(_xlfn._xlws.FILTER(E250:E260,(A250:A260=A250)*(E250:E260&gt;0)))),0)</f>
        <v>52140</v>
      </c>
      <c r="I250" s="1130" cm="1">
        <f t="array" aca="1" ref="I250" ca="1">IFERROR(IF(A250=A249,0,SUM(_xlfn._xlws.FILTER(E250:E260,(A250:A260=A250)*(F250&lt;0)))),0)</f>
        <v>-154345.20000000001</v>
      </c>
      <c r="J250"/>
      <c r="K250"/>
      <c r="L250"/>
      <c r="M250"/>
      <c r="N250"/>
    </row>
    <row r="251" spans="1:14" hidden="1">
      <c r="A251" s="466">
        <v>45748</v>
      </c>
      <c r="B251" s="448" t="s">
        <v>16</v>
      </c>
      <c r="C251" s="468">
        <v>2000</v>
      </c>
      <c r="D251" s="448">
        <v>14.04</v>
      </c>
      <c r="E251" s="1128">
        <f ca="1">IFERROR(C251*D251*_xlfn.XLOOKUP(B251,TabCalc[Ticker],TabCalc[Scale]),0)</f>
        <v>28080</v>
      </c>
      <c r="F251" s="1129" cm="1">
        <f t="array" ref="F251">IF(A251=A250,0,SUM(_xlfn._xlws.FILTER(E251:E261,A251:A261=A251)))</f>
        <v>0</v>
      </c>
      <c r="G251" s="1130">
        <f>IF(F251&lt;&gt;0,SUM($F$43:F251),0)</f>
        <v>0</v>
      </c>
      <c r="H251" s="1130" cm="1">
        <f t="array" ref="H251">IFERROR(IF(A251=A250,0,SUM(_xlfn._xlws.FILTER(E251:E261,(A251:A261=A251)*(E251:E261&gt;0)))),0)</f>
        <v>0</v>
      </c>
      <c r="I251" s="1130" cm="1">
        <f t="array" ref="I251">IFERROR(IF(A251=A250,0,SUM(_xlfn._xlws.FILTER(E251:E261,(A251:A261=A251)*(F251&lt;0)))),0)</f>
        <v>0</v>
      </c>
      <c r="J251"/>
      <c r="K251"/>
      <c r="L251"/>
      <c r="M251"/>
      <c r="N251"/>
    </row>
    <row r="252" spans="1:14" hidden="1">
      <c r="A252" s="466">
        <v>45748</v>
      </c>
      <c r="B252" s="448" t="s">
        <v>22</v>
      </c>
      <c r="C252" s="468">
        <v>20000</v>
      </c>
      <c r="D252" s="448">
        <v>-267.01</v>
      </c>
      <c r="E252" s="1128">
        <f ca="1">IFERROR(C252*D252*_xlfn.XLOOKUP(B252,TabCalc[Ticker],TabCalc[Scale]),0)</f>
        <v>-53402</v>
      </c>
      <c r="F252" s="1129" cm="1">
        <f t="array" ref="F252">IF(A252=A251,0,SUM(_xlfn._xlws.FILTER(E252:E262,A252:A262=A252)))</f>
        <v>0</v>
      </c>
      <c r="G252" s="1130">
        <f>IF(F252&lt;&gt;0,SUM($F$43:F252),0)</f>
        <v>0</v>
      </c>
      <c r="H252" s="1130" cm="1">
        <f t="array" ref="H252">IFERROR(IF(A252=A251,0,SUM(_xlfn._xlws.FILTER(E252:E262,(A252:A262=A252)*(E252:E262&gt;0)))),0)</f>
        <v>0</v>
      </c>
      <c r="I252" s="1130" cm="1">
        <f t="array" ref="I252">IFERROR(IF(A252=A251,0,SUM(_xlfn._xlws.FILTER(E252:E262,(A252:A262=A252)*(F252&lt;0)))),0)</f>
        <v>0</v>
      </c>
      <c r="J252"/>
      <c r="K252"/>
      <c r="L252"/>
      <c r="M252"/>
      <c r="N252"/>
    </row>
    <row r="253" spans="1:14" hidden="1">
      <c r="A253" s="466">
        <v>45748</v>
      </c>
      <c r="B253" s="448" t="s">
        <v>39</v>
      </c>
      <c r="C253" s="468">
        <v>4000</v>
      </c>
      <c r="D253" s="448">
        <v>-14.1683</v>
      </c>
      <c r="E253" s="1128">
        <f ca="1">IFERROR(C253*D253*_xlfn.XLOOKUP(B253,TabCalc[Ticker],TabCalc[Scale]),0)</f>
        <v>-56673.200000000004</v>
      </c>
      <c r="F253" s="1129" cm="1">
        <f t="array" ref="F253">IF(A253=A252,0,SUM(_xlfn._xlws.FILTER(E253:E263,A253:A263=A253)))</f>
        <v>0</v>
      </c>
      <c r="G253" s="1130">
        <f>IF(F253&lt;&gt;0,SUM($F$43:F253),0)</f>
        <v>0</v>
      </c>
      <c r="H253" s="1130" cm="1">
        <f t="array" ref="H253">IFERROR(IF(A253=A252,0,SUM(_xlfn._xlws.FILTER(E253:E263,(A253:A263=A253)*(E253:E263&gt;0)))),0)</f>
        <v>0</v>
      </c>
      <c r="I253" s="1130" cm="1">
        <f t="array" ref="I253">IFERROR(IF(A253=A252,0,SUM(_xlfn._xlws.FILTER(E253:E263,(A253:A263=A253)*(F253&lt;0)))),0)</f>
        <v>0</v>
      </c>
      <c r="J253"/>
      <c r="K253"/>
      <c r="L253"/>
      <c r="M253"/>
      <c r="N253"/>
    </row>
    <row r="254" spans="1:14" hidden="1">
      <c r="A254" s="466">
        <v>45748</v>
      </c>
      <c r="B254" s="448" t="s">
        <v>75</v>
      </c>
      <c r="C254" s="468">
        <v>2000</v>
      </c>
      <c r="D254" s="448">
        <v>12.03</v>
      </c>
      <c r="E254" s="1128">
        <f ca="1">IFERROR(C254*D254*_xlfn.XLOOKUP(B254,TabCalc[Ticker],TabCalc[Scale]),0)</f>
        <v>24060</v>
      </c>
      <c r="F254" s="1129" cm="1">
        <f t="array" ref="F254">IF(A254=A253,0,SUM(_xlfn._xlws.FILTER(E254:E264,A254:A264=A254)))</f>
        <v>0</v>
      </c>
      <c r="G254" s="1130">
        <f>IF(F254&lt;&gt;0,SUM($F$43:F254),0)</f>
        <v>0</v>
      </c>
      <c r="H254" s="1130" cm="1">
        <f t="array" ref="H254">IFERROR(IF(A254=A253,0,SUM(_xlfn._xlws.FILTER(E254:E264,(A254:A264=A254)*(E254:E264&gt;0)))),0)</f>
        <v>0</v>
      </c>
      <c r="I254" s="1130" cm="1">
        <f t="array" ref="I254">IFERROR(IF(A254=A253,0,SUM(_xlfn._xlws.FILTER(E254:E264,(A254:A264=A254)*(F254&lt;0)))),0)</f>
        <v>0</v>
      </c>
      <c r="J254"/>
      <c r="K254"/>
      <c r="L254"/>
      <c r="M254"/>
      <c r="N254"/>
    </row>
    <row r="255" spans="1:14" hidden="1">
      <c r="A255" s="452">
        <v>45749</v>
      </c>
      <c r="B255" s="465" t="s">
        <v>13</v>
      </c>
      <c r="C255" s="454">
        <v>2000</v>
      </c>
      <c r="D255" s="651">
        <v>-35.44</v>
      </c>
      <c r="E255" s="1128">
        <f ca="1">IFERROR(C255*D255*_xlfn.XLOOKUP(B255,TabCalc[Ticker],TabCalc[Scale]),0)</f>
        <v>-70880</v>
      </c>
      <c r="F255" s="1129" cm="1">
        <f t="array" aca="1" ref="F255" ca="1">IF(A255=A254,0,SUM(_xlfn._xlws.FILTER(E255:E265,A255:A265=A255)))</f>
        <v>-10830</v>
      </c>
      <c r="G255" s="1130">
        <f ca="1">IF(F255&lt;&gt;0,SUM($F$43:F255),0)</f>
        <v>-529958.62317299994</v>
      </c>
      <c r="H255" s="1130" cm="1">
        <f t="array" aca="1" ref="H255" ca="1">IFERROR(IF(A255=A254,0,SUM(_xlfn._xlws.FILTER(E255:E265,(A255:A265=A255)*(E255:E265&gt;0)))),0)</f>
        <v>60050</v>
      </c>
      <c r="I255" s="1130" cm="1">
        <f t="array" aca="1" ref="I255" ca="1">IFERROR(IF(A255=A254,0,SUM(_xlfn._xlws.FILTER(E255:E265,(A255:A265=A255)*(F255&lt;0)))),0)</f>
        <v>-10830</v>
      </c>
      <c r="J255"/>
      <c r="K255"/>
      <c r="L255"/>
      <c r="M255"/>
      <c r="N255"/>
    </row>
    <row r="256" spans="1:14" hidden="1">
      <c r="A256" s="452">
        <v>45749</v>
      </c>
      <c r="B256" s="465" t="s">
        <v>42</v>
      </c>
      <c r="C256" s="454">
        <v>5000</v>
      </c>
      <c r="D256" s="651">
        <v>12.01</v>
      </c>
      <c r="E256" s="1128">
        <f ca="1">IFERROR(C256*D256*_xlfn.XLOOKUP(B256,TabCalc[Ticker],TabCalc[Scale]),0)</f>
        <v>60050</v>
      </c>
      <c r="F256" s="1129" cm="1">
        <f t="array" ref="F256">IF(A256=A255,0,SUM(_xlfn._xlws.FILTER(E256:E266,A256:A266=A256)))</f>
        <v>0</v>
      </c>
      <c r="G256" s="1130">
        <f>IF(F256&lt;&gt;0,SUM($F$43:F256),0)</f>
        <v>0</v>
      </c>
      <c r="H256" s="1130" cm="1">
        <f t="array" ref="H256">IFERROR(IF(A256=A255,0,SUM(_xlfn._xlws.FILTER(E256:E266,(A256:A266=A256)*(E256:E266&gt;0)))),0)</f>
        <v>0</v>
      </c>
      <c r="I256" s="1130" cm="1">
        <f t="array" ref="I256">IFERROR(IF(A256=A255,0,SUM(_xlfn._xlws.FILTER(E256:E266,(A256:A266=A256)*(F256&lt;0)))),0)</f>
        <v>0</v>
      </c>
      <c r="J256"/>
      <c r="K256"/>
      <c r="L256"/>
      <c r="M256"/>
      <c r="N256"/>
    </row>
    <row r="257" spans="1:14" hidden="1">
      <c r="A257" s="466">
        <v>45755</v>
      </c>
      <c r="B257" s="448" t="s">
        <v>48</v>
      </c>
      <c r="C257" s="468">
        <v>6000</v>
      </c>
      <c r="D257" s="448">
        <v>-56.89</v>
      </c>
      <c r="E257" s="1128">
        <f ca="1">IFERROR(C257*D257*_xlfn.XLOOKUP(B257,TabCalc[Ticker],TabCalc[Scale]),0)</f>
        <v>-341340</v>
      </c>
      <c r="F257" s="1129" cm="1">
        <f t="array" aca="1" ref="F257" ca="1">IF(A257=A256,0,SUM(_xlfn._xlws.FILTER(E257:E267,A257:A267=A257)))</f>
        <v>-341340</v>
      </c>
      <c r="G257" s="1130">
        <f ca="1">IF(F257&lt;&gt;0,SUM($F$43:F257),0)</f>
        <v>-871298.62317299994</v>
      </c>
      <c r="H257" s="1130" cm="1">
        <f t="array" aca="1" ref="H257" ca="1">IFERROR(IF(A257=A256,0,SUM(_xlfn._xlws.FILTER(E257:E267,(A257:A267=A257)*(E257:E267&gt;0)))),0)</f>
        <v>0</v>
      </c>
      <c r="I257" s="1130" cm="1">
        <f t="array" aca="1" ref="I257" ca="1">IFERROR(IF(A257=A256,0,SUM(_xlfn._xlws.FILTER(E257:E267,(A257:A267=A257)*(F257&lt;0)))),0)</f>
        <v>-341340</v>
      </c>
      <c r="J257"/>
      <c r="K257"/>
      <c r="L257"/>
      <c r="M257"/>
      <c r="N257"/>
    </row>
    <row r="258" spans="1:14" hidden="1">
      <c r="A258" s="452">
        <v>45757</v>
      </c>
      <c r="B258" s="465" t="s">
        <v>48</v>
      </c>
      <c r="C258" s="454">
        <v>4000</v>
      </c>
      <c r="D258" s="651">
        <v>-55.7</v>
      </c>
      <c r="E258" s="1128">
        <f ca="1">IFERROR(C258*D258*_xlfn.XLOOKUP(B258,TabCalc[Ticker],TabCalc[Scale]),0)</f>
        <v>-222800</v>
      </c>
      <c r="F258" s="1129" cm="1">
        <f t="array" aca="1" ref="F258" ca="1">IF(A258=A257,0,SUM(_xlfn._xlws.FILTER(E258:E268,A258:A268=A258)))</f>
        <v>-222800</v>
      </c>
      <c r="G258" s="1130">
        <f ca="1">IF(F258&lt;&gt;0,SUM($F$43:F258),0)</f>
        <v>-1094098.6231729998</v>
      </c>
      <c r="H258" s="1130" cm="1">
        <f t="array" aca="1" ref="H258" ca="1">IFERROR(IF(A258=A257,0,SUM(_xlfn._xlws.FILTER(E258:E268,(A258:A268=A258)*(E258:E268&gt;0)))),0)</f>
        <v>0</v>
      </c>
      <c r="I258" s="1130" cm="1">
        <f t="array" aca="1" ref="I258" ca="1">IFERROR(IF(A258=A257,0,SUM(_xlfn._xlws.FILTER(E258:E268,(A258:A268=A258)*(F258&lt;0)))),0)</f>
        <v>-222800</v>
      </c>
      <c r="J258"/>
      <c r="K258"/>
      <c r="L258"/>
      <c r="M258"/>
      <c r="N258"/>
    </row>
    <row r="259" spans="1:14" hidden="1">
      <c r="A259" s="466">
        <v>45759</v>
      </c>
      <c r="B259" s="448" t="s">
        <v>53</v>
      </c>
      <c r="C259" s="468">
        <v>15000</v>
      </c>
      <c r="D259" s="448">
        <v>-0.73</v>
      </c>
      <c r="E259" s="1128">
        <f ca="1">IFERROR(C259*D259*_xlfn.XLOOKUP(B259,TabCalc[Ticker],TabCalc[Scale]),0)</f>
        <v>-10950</v>
      </c>
      <c r="F259" s="1129" cm="1">
        <f t="array" aca="1" ref="F259" ca="1">IF(A259=A258,0,SUM(_xlfn._xlws.FILTER(E259:E269,A259:A269=A259)))</f>
        <v>-10950</v>
      </c>
      <c r="G259" s="1130">
        <f ca="1">IF(F259&lt;&gt;0,SUM($F$43:F259),0)</f>
        <v>-1105048.6231729998</v>
      </c>
      <c r="H259" s="1130" cm="1">
        <f t="array" aca="1" ref="H259" ca="1">IFERROR(IF(A259=A258,0,SUM(_xlfn._xlws.FILTER(E259:E269,(A259:A269=A259)*(E259:E269&gt;0)))),0)</f>
        <v>0</v>
      </c>
      <c r="I259" s="1130" cm="1">
        <f t="array" aca="1" ref="I259" ca="1">IFERROR(IF(A259=A258,0,SUM(_xlfn._xlws.FILTER(E259:E269,(A259:A269=A259)*(F259&lt;0)))),0)</f>
        <v>-10950</v>
      </c>
      <c r="J259"/>
      <c r="K259"/>
      <c r="L259"/>
      <c r="M259"/>
      <c r="N259"/>
    </row>
    <row r="260" spans="1:14" hidden="1">
      <c r="A260" s="452">
        <v>45762</v>
      </c>
      <c r="B260" s="465" t="s">
        <v>53</v>
      </c>
      <c r="C260" s="454">
        <v>50000</v>
      </c>
      <c r="D260" s="465">
        <v>-0.62019999999999997</v>
      </c>
      <c r="E260" s="1128">
        <f ca="1">IFERROR(C260*D260*_xlfn.XLOOKUP(B260,TabCalc[Ticker],TabCalc[Scale]),0)</f>
        <v>-31010</v>
      </c>
      <c r="F260" s="1129" cm="1">
        <f t="array" aca="1" ref="F260" ca="1">IF(A260=A259,0,SUM(_xlfn._xlws.FILTER(E260:E270,A260:A270=A260)))</f>
        <v>-243567.49999999997</v>
      </c>
      <c r="G260" s="1130">
        <f ca="1">IF(F260&lt;&gt;0,SUM($F$43:F260),0)</f>
        <v>-1348616.1231729998</v>
      </c>
      <c r="H260" s="1130" cm="1">
        <f t="array" aca="1" ref="H260" ca="1">IFERROR(IF(A260=A259,0,SUM(_xlfn._xlws.FILTER(E260:E270,(A260:A270=A260)*(E260:E270&gt;0)))),0)</f>
        <v>0</v>
      </c>
      <c r="I260" s="1130" cm="1">
        <f t="array" aca="1" ref="I260" ca="1">IFERROR(IF(A260=A259,0,SUM(_xlfn._xlws.FILTER(E260:E270,(A260:A270=A260)*(F260&lt;0)))),0)</f>
        <v>-243567.49999999997</v>
      </c>
      <c r="J260"/>
      <c r="K260"/>
      <c r="L260"/>
      <c r="M260"/>
      <c r="N260"/>
    </row>
    <row r="261" spans="1:14" hidden="1">
      <c r="A261" s="452">
        <v>45762</v>
      </c>
      <c r="B261" s="465" t="s">
        <v>43</v>
      </c>
      <c r="C261" s="454">
        <v>1350</v>
      </c>
      <c r="D261" s="465">
        <v>-157.44999999999999</v>
      </c>
      <c r="E261" s="1128">
        <f ca="1">IFERROR(C261*D261*_xlfn.XLOOKUP(B261,TabCalc[Ticker],TabCalc[Scale]),0)</f>
        <v>-212557.49999999997</v>
      </c>
      <c r="F261" s="1129" cm="1">
        <f t="array" ref="F261">IF(A261=A260,0,SUM(_xlfn._xlws.FILTER(E261:E271,A261:A271=A261)))</f>
        <v>0</v>
      </c>
      <c r="G261" s="1130">
        <f>IF(F261&lt;&gt;0,SUM($F$43:F261),0)</f>
        <v>0</v>
      </c>
      <c r="H261" s="1130" cm="1">
        <f t="array" ref="H261">IFERROR(IF(A261=A260,0,SUM(_xlfn._xlws.FILTER(E261:E271,(A261:A271=A261)*(E261:E271&gt;0)))),0)</f>
        <v>0</v>
      </c>
      <c r="I261" s="1130" cm="1">
        <f t="array" ref="I261">IFERROR(IF(A261=A260,0,SUM(_xlfn._xlws.FILTER(E261:E271,(A261:A271=A261)*(F261&lt;0)))),0)</f>
        <v>0</v>
      </c>
      <c r="J261"/>
      <c r="K261"/>
      <c r="L261"/>
      <c r="M261"/>
      <c r="N261"/>
    </row>
    <row r="262" spans="1:14" hidden="1">
      <c r="A262" s="466">
        <v>45770</v>
      </c>
      <c r="B262" s="448" t="s">
        <v>48</v>
      </c>
      <c r="C262" s="468">
        <v>4000</v>
      </c>
      <c r="D262" s="448">
        <v>58.63</v>
      </c>
      <c r="E262" s="1128">
        <f ca="1">IFERROR(C262*D262*_xlfn.XLOOKUP(B262,TabCalc[Ticker],TabCalc[Scale]),0)</f>
        <v>234520</v>
      </c>
      <c r="F262" s="1129" cm="1">
        <f t="array" aca="1" ref="F262" ca="1">IF(A262=A261,0,SUM(_xlfn._xlws.FILTER(E262:E272,A262:A272=A262)))</f>
        <v>499130</v>
      </c>
      <c r="G262" s="1130">
        <f ca="1">IF(F262&lt;&gt;0,SUM($F$43:F262),0)</f>
        <v>-849486.12317299983</v>
      </c>
      <c r="H262" s="1130" cm="1">
        <f t="array" aca="1" ref="H262" ca="1">IFERROR(IF(A262=A261,0,SUM(_xlfn._xlws.FILTER(E262:E272,(A262:A272=A262)*(E262:E272&gt;0)))),0)</f>
        <v>499130</v>
      </c>
      <c r="I262" s="1130" cm="1">
        <f t="array" aca="1" ref="I262" ca="1">IFERROR(IF(A262=A261,0,SUM(_xlfn._xlws.FILTER(E262:E272,(A262:A272=A262)*(F262&lt;0)))),0)</f>
        <v>0</v>
      </c>
      <c r="J262"/>
      <c r="K262"/>
      <c r="L262"/>
      <c r="M262"/>
      <c r="N262"/>
    </row>
    <row r="263" spans="1:14" hidden="1">
      <c r="A263" s="466">
        <v>45770</v>
      </c>
      <c r="B263" s="448" t="s">
        <v>60</v>
      </c>
      <c r="C263" s="468">
        <v>3000</v>
      </c>
      <c r="D263" s="448">
        <v>42.22</v>
      </c>
      <c r="E263" s="1128">
        <f ca="1">IFERROR(C263*D263*_xlfn.XLOOKUP(B263,TabCalc[Ticker],TabCalc[Scale]),0)</f>
        <v>126660</v>
      </c>
      <c r="F263" s="1129" cm="1">
        <f t="array" ref="F263">IF(A263=A262,0,SUM(_xlfn._xlws.FILTER(E263:E273,A263:A273=A263)))</f>
        <v>0</v>
      </c>
      <c r="G263" s="1130">
        <f>IF(F263&lt;&gt;0,SUM($F$43:F263),0)</f>
        <v>0</v>
      </c>
      <c r="H263" s="1130" cm="1">
        <f t="array" ref="H263">IFERROR(IF(A263=A262,0,SUM(_xlfn._xlws.FILTER(E263:E273,(A263:A273=A263)*(E263:E273&gt;0)))),0)</f>
        <v>0</v>
      </c>
      <c r="I263" s="1130" cm="1">
        <f t="array" ref="I263">IFERROR(IF(A263=A262,0,SUM(_xlfn._xlws.FILTER(E263:E273,(A263:A273=A263)*(F263&lt;0)))),0)</f>
        <v>0</v>
      </c>
      <c r="J263"/>
      <c r="K263"/>
      <c r="L263"/>
      <c r="M263"/>
      <c r="N263"/>
    </row>
    <row r="264" spans="1:14" hidden="1">
      <c r="A264" s="466">
        <v>45770</v>
      </c>
      <c r="B264" s="448" t="s">
        <v>42</v>
      </c>
      <c r="C264" s="468">
        <v>5000</v>
      </c>
      <c r="D264" s="448">
        <v>12.62</v>
      </c>
      <c r="E264" s="1128">
        <f ca="1">IFERROR(C264*D264*_xlfn.XLOOKUP(B264,TabCalc[Ticker],TabCalc[Scale]),0)</f>
        <v>63099.999999999993</v>
      </c>
      <c r="F264" s="1129" cm="1">
        <f t="array" ref="F264">IF(A264=A263,0,SUM(_xlfn._xlws.FILTER(E264:E274,A264:A274=A264)))</f>
        <v>0</v>
      </c>
      <c r="G264" s="1130">
        <f>IF(F264&lt;&gt;0,SUM($F$43:F264),0)</f>
        <v>0</v>
      </c>
      <c r="H264" s="1130" cm="1">
        <f t="array" ref="H264">IFERROR(IF(A264=A263,0,SUM(_xlfn._xlws.FILTER(E264:E274,(A264:A274=A264)*(E264:E274&gt;0)))),0)</f>
        <v>0</v>
      </c>
      <c r="I264" s="1130" cm="1">
        <f t="array" ref="I264">IFERROR(IF(A264=A263,0,SUM(_xlfn._xlws.FILTER(E264:E274,(A264:A274=A264)*(F264&lt;0)))),0)</f>
        <v>0</v>
      </c>
      <c r="J264"/>
      <c r="K264"/>
      <c r="L264"/>
      <c r="M264"/>
      <c r="N264"/>
    </row>
    <row r="265" spans="1:14" hidden="1">
      <c r="A265" s="466">
        <v>45770</v>
      </c>
      <c r="B265" s="448" t="s">
        <v>18</v>
      </c>
      <c r="C265" s="468">
        <v>5000</v>
      </c>
      <c r="D265" s="448">
        <v>14.97</v>
      </c>
      <c r="E265" s="1128">
        <f ca="1">IFERROR(C265*D265*_xlfn.XLOOKUP(B265,TabCalc[Ticker],TabCalc[Scale]),0)</f>
        <v>74850</v>
      </c>
      <c r="F265" s="1129" cm="1">
        <f t="array" ref="F265">IF(A265=A264,0,SUM(_xlfn._xlws.FILTER(E265:E275,A265:A275=A265)))</f>
        <v>0</v>
      </c>
      <c r="G265" s="1130">
        <f>IF(F265&lt;&gt;0,SUM($F$43:F265),0)</f>
        <v>0</v>
      </c>
      <c r="H265" s="1130" cm="1">
        <f t="array" ref="H265">IFERROR(IF(A265=A264,0,SUM(_xlfn._xlws.FILTER(E265:E275,(A265:A275=A265)*(E265:E275&gt;0)))),0)</f>
        <v>0</v>
      </c>
      <c r="I265" s="1130" cm="1">
        <f t="array" ref="I265">IFERROR(IF(A265=A264,0,SUM(_xlfn._xlws.FILTER(E265:E275,(A265:A275=A265)*(F265&lt;0)))),0)</f>
        <v>0</v>
      </c>
      <c r="J265"/>
      <c r="K265"/>
      <c r="L265"/>
      <c r="M265"/>
      <c r="N265"/>
    </row>
    <row r="266" spans="1:14" hidden="1">
      <c r="A266" s="452">
        <v>45771</v>
      </c>
      <c r="B266" s="465" t="s">
        <v>58</v>
      </c>
      <c r="C266" s="454">
        <v>8000</v>
      </c>
      <c r="D266" s="465">
        <v>-12.6593</v>
      </c>
      <c r="E266" s="1128">
        <f ca="1">IFERROR(C266*D266*_xlfn.XLOOKUP(B266,TabCalc[Ticker],TabCalc[Scale]),0)</f>
        <v>-101274.4</v>
      </c>
      <c r="F266" s="1129" cm="1">
        <f t="array" aca="1" ref="F266" ca="1">IF(A266=A265,0,SUM(_xlfn._xlws.FILTER(E266:E276,A266:A276=A266)))</f>
        <v>-48974.399999999994</v>
      </c>
      <c r="G266" s="1130">
        <f ca="1">IF(F266&lt;&gt;0,SUM($F$43:F266),0)</f>
        <v>-898460.52317299985</v>
      </c>
      <c r="H266" s="1130" cm="1">
        <f t="array" aca="1" ref="H266" ca="1">IFERROR(IF(A266=A265,0,SUM(_xlfn._xlws.FILTER(E266:E276,(A266:A276=A266)*(E266:E276&gt;0)))),0)</f>
        <v>52300</v>
      </c>
      <c r="I266" s="1130" cm="1">
        <f t="array" aca="1" ref="I266" ca="1">IFERROR(IF(A266=A265,0,SUM(_xlfn._xlws.FILTER(E266:E276,(A266:A276=A266)*(F266&lt;0)))),0)</f>
        <v>-48974.399999999994</v>
      </c>
      <c r="J266"/>
      <c r="K266"/>
      <c r="L266"/>
      <c r="M266"/>
      <c r="N266"/>
    </row>
    <row r="267" spans="1:14" hidden="1">
      <c r="A267" s="452">
        <v>45771</v>
      </c>
      <c r="B267" s="465" t="s">
        <v>22</v>
      </c>
      <c r="C267" s="454">
        <v>20000</v>
      </c>
      <c r="D267" s="465">
        <v>261.5</v>
      </c>
      <c r="E267" s="1128">
        <f ca="1">IFERROR(C267*D267*_xlfn.XLOOKUP(B267,TabCalc[Ticker],TabCalc[Scale]),0)</f>
        <v>52300</v>
      </c>
      <c r="F267" s="1129" cm="1">
        <f t="array" ref="F267">IF(A267=A266,0,SUM(_xlfn._xlws.FILTER(E267:E277,A267:A277=A267)))</f>
        <v>0</v>
      </c>
      <c r="G267" s="1130">
        <f>IF(F267&lt;&gt;0,SUM($F$43:F267),0)</f>
        <v>0</v>
      </c>
      <c r="H267" s="1130" cm="1">
        <f t="array" ref="H267">IFERROR(IF(A267=A266,0,SUM(_xlfn._xlws.FILTER(E267:E277,(A267:A277=A267)*(E267:E277&gt;0)))),0)</f>
        <v>0</v>
      </c>
      <c r="I267" s="1130" cm="1">
        <f t="array" ref="I267">IFERROR(IF(A267=A266,0,SUM(_xlfn._xlws.FILTER(E267:E277,(A267:A277=A267)*(F267&lt;0)))),0)</f>
        <v>0</v>
      </c>
      <c r="J267"/>
      <c r="K267"/>
      <c r="L267"/>
      <c r="M267"/>
      <c r="N267"/>
    </row>
    <row r="268" spans="1:14" hidden="1">
      <c r="A268" s="466">
        <v>45768</v>
      </c>
      <c r="B268" s="448" t="s">
        <v>3</v>
      </c>
      <c r="C268" s="468">
        <v>200</v>
      </c>
      <c r="D268" s="448">
        <v>-173.55</v>
      </c>
      <c r="E268" s="1128">
        <f ca="1">IFERROR(C268*D268*_xlfn.XLOOKUP(B268,TabCalc[Ticker],TabCalc[Scale]),0)</f>
        <v>-34710</v>
      </c>
      <c r="F268" s="1129" cm="1">
        <f t="array" aca="1" ref="F268" ca="1">IF(A268=A267,0,SUM(_xlfn._xlws.FILTER(E268:E278,A268:A278=A268)))</f>
        <v>-34710</v>
      </c>
      <c r="G268" s="1130">
        <f ca="1">IF(F268&lt;&gt;0,SUM($F$43:F268),0)</f>
        <v>-933170.52317299985</v>
      </c>
      <c r="H268" s="1130" cm="1">
        <f t="array" aca="1" ref="H268" ca="1">IFERROR(IF(A268=A267,0,SUM(_xlfn._xlws.FILTER(E268:E278,(A268:A278=A268)*(E268:E278&gt;0)))),0)</f>
        <v>0</v>
      </c>
      <c r="I268" s="1130" cm="1">
        <f t="array" aca="1" ref="I268" ca="1">IFERROR(IF(A268=A267,0,SUM(_xlfn._xlws.FILTER(E268:E278,(A268:A278=A268)*(F268&lt;0)))),0)</f>
        <v>-34710</v>
      </c>
      <c r="J268"/>
      <c r="K268"/>
      <c r="L268"/>
      <c r="M268"/>
      <c r="N268"/>
    </row>
    <row r="269" spans="1:14" hidden="1">
      <c r="A269" s="452">
        <v>45764</v>
      </c>
      <c r="B269" s="465" t="s">
        <v>0</v>
      </c>
      <c r="C269" s="454">
        <v>500</v>
      </c>
      <c r="D269" s="465">
        <v>-197.42</v>
      </c>
      <c r="E269" s="1128">
        <f ca="1">IFERROR(C269*D269*_xlfn.XLOOKUP(B269,TabCalc[Ticker],TabCalc[Scale]),0)</f>
        <v>-98710</v>
      </c>
      <c r="F269" s="1129" cm="1">
        <f t="array" aca="1" ref="F269" ca="1">IF(A269=A268,0,SUM(_xlfn._xlws.FILTER(E269:E279,A269:A279=A269)))</f>
        <v>-562369.5</v>
      </c>
      <c r="G269" s="1130">
        <f ca="1">IF(F269&lt;&gt;0,SUM($F$43:F269),0)</f>
        <v>-1495540.0231729997</v>
      </c>
      <c r="H269" s="1130" cm="1">
        <f t="array" aca="1" ref="H269" ca="1">IFERROR(IF(A269=A268,0,SUM(_xlfn._xlws.FILTER(E269:E279,(A269:A279=A269)*(E269:E279&gt;0)))),0)</f>
        <v>0</v>
      </c>
      <c r="I269" s="1130" cm="1">
        <f t="array" aca="1" ref="I269" ca="1">IFERROR(IF(A269=A268,0,SUM(_xlfn._xlws.FILTER(E269:E279,(A269:A279=A269)*(F269&lt;0)))),0)</f>
        <v>-562369.5</v>
      </c>
      <c r="J269"/>
      <c r="K269"/>
      <c r="L269"/>
      <c r="M269"/>
      <c r="N269"/>
    </row>
    <row r="270" spans="1:14" hidden="1">
      <c r="A270" s="466">
        <v>45779</v>
      </c>
      <c r="B270" s="448" t="s">
        <v>32</v>
      </c>
      <c r="C270" s="468">
        <v>200</v>
      </c>
      <c r="D270" s="448">
        <v>-603.79999999999995</v>
      </c>
      <c r="E270" s="1128">
        <f ca="1">IFERROR(C270*D270*_xlfn.XLOOKUP(B270,TabCalc[Ticker],TabCalc[Scale]),0)</f>
        <v>-120759.99999999999</v>
      </c>
      <c r="F270" s="1129" cm="1">
        <f t="array" aca="1" ref="F270" ca="1">IF(A270=A269,0,SUM(_xlfn._xlws.FILTER(E270:E280,A270:A280=A270)))</f>
        <v>-543460.06000000006</v>
      </c>
      <c r="G270" s="1130">
        <f ca="1">IF(F270&lt;&gt;0,SUM($F$43:F270),0)</f>
        <v>-2039000.0831729998</v>
      </c>
      <c r="H270" s="1130" cm="1">
        <f t="array" aca="1" ref="H270" ca="1">IFERROR(IF(A270=A269,0,SUM(_xlfn._xlws.FILTER(E270:E280,(A270:A280=A270)*(E270:E280&gt;0)))),0)</f>
        <v>0</v>
      </c>
      <c r="I270" s="1130" cm="1">
        <f t="array" aca="1" ref="I270" ca="1">IFERROR(IF(A270=A269,0,SUM(_xlfn._xlws.FILTER(E270:E280,(A270:A280=A270)*(F270&lt;0)))),0)</f>
        <v>-543460.06000000006</v>
      </c>
      <c r="J270"/>
      <c r="K270"/>
      <c r="L270"/>
      <c r="M270"/>
      <c r="N270"/>
    </row>
    <row r="271" spans="1:14" hidden="1">
      <c r="A271" s="466">
        <v>45779</v>
      </c>
      <c r="B271" s="448" t="s">
        <v>59</v>
      </c>
      <c r="C271" s="468">
        <v>3000</v>
      </c>
      <c r="D271" s="448">
        <v>-33.094999999999999</v>
      </c>
      <c r="E271" s="1128">
        <f ca="1">IFERROR(C271*D271*_xlfn.XLOOKUP(B271,TabCalc[Ticker],TabCalc[Scale]),0)</f>
        <v>-99285</v>
      </c>
      <c r="F271" s="1129" cm="1">
        <f t="array" ref="F271">IF(A271=A270,0,SUM(_xlfn._xlws.FILTER(E271:E281,A271:A281=A271)))</f>
        <v>0</v>
      </c>
      <c r="G271" s="1130">
        <f>IF(F271&lt;&gt;0,SUM($F$43:F271),0)</f>
        <v>0</v>
      </c>
      <c r="H271" s="1130" cm="1">
        <f t="array" ref="H271">IFERROR(IF(A271=A270,0,SUM(_xlfn._xlws.FILTER(E271:E281,(A271:A281=A271)*(E271:E281&gt;0)))),0)</f>
        <v>0</v>
      </c>
      <c r="I271" s="1130" cm="1">
        <f t="array" ref="I271">IFERROR(IF(A271=A270,0,SUM(_xlfn._xlws.FILTER(E271:E281,(A271:A281=A271)*(F271&lt;0)))),0)</f>
        <v>0</v>
      </c>
      <c r="J271"/>
      <c r="K271"/>
      <c r="L271"/>
      <c r="M271"/>
      <c r="N271"/>
    </row>
    <row r="272" spans="1:14" hidden="1">
      <c r="A272" s="466">
        <v>45779</v>
      </c>
      <c r="B272" s="448" t="s">
        <v>29</v>
      </c>
      <c r="C272" s="468">
        <v>2000</v>
      </c>
      <c r="D272" s="448">
        <v>-51.829875000000001</v>
      </c>
      <c r="E272" s="1128">
        <f ca="1">IFERROR(C272*D272*_xlfn.XLOOKUP(B272,TabCalc[Ticker],TabCalc[Scale]),0)</f>
        <v>-103659.75</v>
      </c>
      <c r="F272" s="1129" cm="1">
        <f t="array" ref="F272">IF(A272=A271,0,SUM(_xlfn._xlws.FILTER(E272:E282,A272:A282=A272)))</f>
        <v>0</v>
      </c>
      <c r="G272" s="1130">
        <f>IF(F272&lt;&gt;0,SUM($F$43:F272),0)</f>
        <v>0</v>
      </c>
      <c r="H272" s="1130" cm="1">
        <f t="array" ref="H272">IFERROR(IF(A272=A271,0,SUM(_xlfn._xlws.FILTER(E272:E282,(A272:A282=A272)*(E272:E282&gt;0)))),0)</f>
        <v>0</v>
      </c>
      <c r="I272" s="1130" cm="1">
        <f t="array" ref="I272">IFERROR(IF(A272=A271,0,SUM(_xlfn._xlws.FILTER(E272:E282,(A272:A282=A272)*(F272&lt;0)))),0)</f>
        <v>0</v>
      </c>
      <c r="J272"/>
      <c r="K272"/>
      <c r="L272"/>
      <c r="M272"/>
      <c r="N272"/>
    </row>
    <row r="273" spans="1:14" hidden="1">
      <c r="A273" s="466">
        <v>45779</v>
      </c>
      <c r="B273" s="448" t="s">
        <v>9</v>
      </c>
      <c r="C273" s="468">
        <v>1990</v>
      </c>
      <c r="D273" s="448">
        <v>-58.935000000000002</v>
      </c>
      <c r="E273" s="1128">
        <f ca="1">IFERROR(C273*D273*_xlfn.XLOOKUP(B273,TabCalc[Ticker],TabCalc[Scale]),0)</f>
        <v>-117280.65000000001</v>
      </c>
      <c r="F273" s="1129" cm="1">
        <f t="array" ref="F273">IF(A273=A272,0,SUM(_xlfn._xlws.FILTER(E273:E283,A273:A283=A273)))</f>
        <v>0</v>
      </c>
      <c r="G273" s="1130">
        <f>IF(F273&lt;&gt;0,SUM($F$43:F273),0)</f>
        <v>0</v>
      </c>
      <c r="H273" s="1130" cm="1">
        <f t="array" ref="H273">IFERROR(IF(A273=A272,0,SUM(_xlfn._xlws.FILTER(E273:E283,(A273:A283=A273)*(E273:E283&gt;0)))),0)</f>
        <v>0</v>
      </c>
      <c r="I273" s="1130" cm="1">
        <f t="array" ref="I273">IFERROR(IF(A273=A272,0,SUM(_xlfn._xlws.FILTER(E273:E283,(A273:A283=A273)*(F273&lt;0)))),0)</f>
        <v>0</v>
      </c>
      <c r="J273"/>
      <c r="K273"/>
      <c r="L273"/>
      <c r="M273"/>
      <c r="N273"/>
    </row>
    <row r="274" spans="1:14" hidden="1">
      <c r="A274" s="466">
        <v>45779</v>
      </c>
      <c r="B274" s="448" t="s">
        <v>66</v>
      </c>
      <c r="C274" s="468">
        <v>500</v>
      </c>
      <c r="D274" s="448">
        <v>-204.94932</v>
      </c>
      <c r="E274" s="1128">
        <f ca="1">IFERROR(C274*D274*_xlfn.XLOOKUP(B274,TabCalc[Ticker],TabCalc[Scale]),0)</f>
        <v>-102474.66</v>
      </c>
      <c r="F274" s="1129" cm="1">
        <f t="array" ref="F274">IF(A274=A273,0,SUM(_xlfn._xlws.FILTER(E274:E284,A274:A284=A274)))</f>
        <v>0</v>
      </c>
      <c r="G274" s="1130">
        <f>IF(F274&lt;&gt;0,SUM($F$43:F274),0)</f>
        <v>0</v>
      </c>
      <c r="H274" s="1130" cm="1">
        <f t="array" ref="H274">IFERROR(IF(A274=A273,0,SUM(_xlfn._xlws.FILTER(E274:E284,(A274:A284=A274)*(E274:E284&gt;0)))),0)</f>
        <v>0</v>
      </c>
      <c r="I274" s="1130" cm="1">
        <f t="array" ref="I274">IFERROR(IF(A274=A273,0,SUM(_xlfn._xlws.FILTER(E274:E284,(A274:A284=A274)*(F274&lt;0)))),0)</f>
        <v>0</v>
      </c>
      <c r="J274"/>
      <c r="K274"/>
      <c r="L274"/>
      <c r="M274"/>
      <c r="N274"/>
    </row>
    <row r="275" spans="1:14" hidden="1">
      <c r="A275" s="452">
        <v>45764</v>
      </c>
      <c r="B275" s="465" t="s">
        <v>8</v>
      </c>
      <c r="C275" s="454">
        <v>500</v>
      </c>
      <c r="D275" s="465">
        <v>-62.75</v>
      </c>
      <c r="E275" s="1128">
        <f ca="1">IFERROR(C275*D275*_xlfn.XLOOKUP(B275,TabCalc[Ticker],TabCalc[Scale]),0)</f>
        <v>-31375</v>
      </c>
      <c r="F275" s="1129" cm="1">
        <f t="array" aca="1" ref="F275" ca="1">IF(A275=A274,0,SUM(_xlfn._xlws.FILTER(E275:E285,A275:A285=A275)))</f>
        <v>-463659.5</v>
      </c>
      <c r="G275" s="1130">
        <f ca="1">IF(F275&lt;&gt;0,SUM($F$43:F275),0)</f>
        <v>-2502659.5831729998</v>
      </c>
      <c r="H275" s="1130" cm="1">
        <f t="array" aca="1" ref="H275" ca="1">IFERROR(IF(A275=A274,0,SUM(_xlfn._xlws.FILTER(E275:E285,(A275:A285=A275)*(E275:E285&gt;0)))),0)</f>
        <v>0</v>
      </c>
      <c r="I275" s="1130" cm="1">
        <f t="array" aca="1" ref="I275" ca="1">IFERROR(IF(A275=A274,0,SUM(_xlfn._xlws.FILTER(E275:E285,(A275:A285=A275)*(F275&lt;0)))),0)</f>
        <v>-463659.5</v>
      </c>
      <c r="J275"/>
      <c r="K275"/>
      <c r="L275"/>
      <c r="M275"/>
      <c r="N275"/>
    </row>
    <row r="276" spans="1:14" hidden="1">
      <c r="A276" s="452">
        <v>45764</v>
      </c>
      <c r="B276" s="465" t="s">
        <v>27</v>
      </c>
      <c r="C276" s="454">
        <v>150</v>
      </c>
      <c r="D276" s="465">
        <v>-378.43</v>
      </c>
      <c r="E276" s="1128">
        <f ca="1">IFERROR(C276*D276*_xlfn.XLOOKUP(B276,TabCalc[Ticker],TabCalc[Scale]),0)</f>
        <v>-56764.5</v>
      </c>
      <c r="F276" s="1129" cm="1">
        <f t="array" ref="F276">IF(A276=A275,0,SUM(_xlfn._xlws.FILTER(E276:E286,A276:A286=A276)))</f>
        <v>0</v>
      </c>
      <c r="G276" s="1130">
        <f>IF(F276&lt;&gt;0,SUM($F$43:F276),0)</f>
        <v>0</v>
      </c>
      <c r="H276" s="1130" cm="1">
        <f t="array" ref="H276">IFERROR(IF(A276=A275,0,SUM(_xlfn._xlws.FILTER(E276:E286,(A276:A286=A276)*(E276:E286&gt;0)))),0)</f>
        <v>0</v>
      </c>
      <c r="I276" s="1130" cm="1">
        <f t="array" ref="I276">IFERROR(IF(A276=A275,0,SUM(_xlfn._xlws.FILTER(E276:E286,(A276:A286=A276)*(F276&lt;0)))),0)</f>
        <v>0</v>
      </c>
      <c r="J276"/>
      <c r="K276"/>
      <c r="L276"/>
      <c r="M276"/>
      <c r="N276"/>
    </row>
    <row r="277" spans="1:14" hidden="1">
      <c r="A277" s="452">
        <v>45764</v>
      </c>
      <c r="B277" s="465" t="s">
        <v>43</v>
      </c>
      <c r="C277" s="454">
        <v>1000</v>
      </c>
      <c r="D277" s="465">
        <v>-152.32</v>
      </c>
      <c r="E277" s="1128">
        <f ca="1">IFERROR(C277*D277*_xlfn.XLOOKUP(B277,TabCalc[Ticker],TabCalc[Scale]),0)</f>
        <v>-152320</v>
      </c>
      <c r="F277" s="1129" cm="1">
        <f t="array" ref="F277">IF(A277=A276,0,SUM(_xlfn._xlws.FILTER(E277:E287,A277:A287=A277)))</f>
        <v>0</v>
      </c>
      <c r="G277" s="1130">
        <f>IF(F277&lt;&gt;0,SUM($F$43:F277),0)</f>
        <v>0</v>
      </c>
      <c r="H277" s="1130" cm="1">
        <f t="array" ref="H277">IFERROR(IF(A277=A276,0,SUM(_xlfn._xlws.FILTER(E277:E287,(A277:A287=A277)*(E277:E287&gt;0)))),0)</f>
        <v>0</v>
      </c>
      <c r="I277" s="1130" cm="1">
        <f t="array" ref="I277">IFERROR(IF(A277=A276,0,SUM(_xlfn._xlws.FILTER(E277:E287,(A277:A287=A277)*(F277&lt;0)))),0)</f>
        <v>0</v>
      </c>
      <c r="J277"/>
      <c r="K277"/>
      <c r="L277"/>
      <c r="M277"/>
      <c r="N277"/>
    </row>
    <row r="278" spans="1:14" hidden="1">
      <c r="A278" s="452">
        <v>45764</v>
      </c>
      <c r="B278" s="465" t="s">
        <v>48</v>
      </c>
      <c r="C278" s="454">
        <v>4000</v>
      </c>
      <c r="D278" s="465">
        <v>-55.8</v>
      </c>
      <c r="E278" s="1128">
        <f ca="1">IFERROR(C278*D278*_xlfn.XLOOKUP(B278,TabCalc[Ticker],TabCalc[Scale]),0)</f>
        <v>-223200</v>
      </c>
      <c r="F278" s="1129" cm="1">
        <f t="array" ref="F278">IF(A278=A277,0,SUM(_xlfn._xlws.FILTER(E278:E288,A278:A288=A278)))</f>
        <v>0</v>
      </c>
      <c r="G278" s="1130">
        <f>IF(F278&lt;&gt;0,SUM($F$43:F278),0)</f>
        <v>0</v>
      </c>
      <c r="H278" s="1130" cm="1">
        <f t="array" ref="H278">IFERROR(IF(A278=A277,0,SUM(_xlfn._xlws.FILTER(E278:E288,(A278:A288=A278)*(E278:E288&gt;0)))),0)</f>
        <v>0</v>
      </c>
      <c r="I278" s="1130" cm="1">
        <f t="array" ref="I278">IFERROR(IF(A278=A277,0,SUM(_xlfn._xlws.FILTER(E278:E288,(A278:A288=A278)*(F278&lt;0)))),0)</f>
        <v>0</v>
      </c>
      <c r="J278"/>
      <c r="K278"/>
      <c r="L278"/>
      <c r="M278"/>
      <c r="N278"/>
    </row>
    <row r="279" spans="1:14" hidden="1">
      <c r="A279" s="466">
        <v>45751</v>
      </c>
      <c r="B279" s="448" t="s">
        <v>56</v>
      </c>
      <c r="C279" s="468">
        <v>2000</v>
      </c>
      <c r="D279" s="448">
        <v>-35.44</v>
      </c>
      <c r="E279" s="1128">
        <f ca="1">IFERROR(C279*D279*_xlfn.XLOOKUP(B279,TabCalc[Ticker],TabCalc[Scale]),0)</f>
        <v>-70880</v>
      </c>
      <c r="F279" s="1129" cm="1">
        <f t="array" aca="1" ref="F279" ca="1">IF(A279=A278,0,SUM(_xlfn._xlws.FILTER(E279:E289,A279:A289=A279)))</f>
        <v>-70880</v>
      </c>
      <c r="G279" s="1130">
        <f ca="1">IF(F279&lt;&gt;0,SUM($F$43:F279),0)</f>
        <v>-2573539.5831729998</v>
      </c>
      <c r="H279" s="1130" cm="1">
        <f t="array" aca="1" ref="H279" ca="1">IFERROR(IF(A279=A278,0,SUM(_xlfn._xlws.FILTER(E279:E289,(A279:A289=A279)*(E279:E289&gt;0)))),0)</f>
        <v>0</v>
      </c>
      <c r="I279" s="1130" cm="1">
        <f t="array" aca="1" ref="I279" ca="1">IFERROR(IF(A279=A278,0,SUM(_xlfn._xlws.FILTER(E279:E289,(A279:A289=A279)*(F279&lt;0)))),0)</f>
        <v>-70880</v>
      </c>
      <c r="J279"/>
      <c r="K279"/>
      <c r="L279"/>
      <c r="M279"/>
      <c r="N279"/>
    </row>
    <row r="280" spans="1:14" hidden="1">
      <c r="A280" s="452">
        <v>45769</v>
      </c>
      <c r="B280" s="465" t="s">
        <v>60</v>
      </c>
      <c r="C280" s="454">
        <v>5000</v>
      </c>
      <c r="D280" s="465">
        <v>-39.590000000000003</v>
      </c>
      <c r="E280" s="1128">
        <f ca="1">IFERROR(C280*D280*_xlfn.XLOOKUP(B280,TabCalc[Ticker],TabCalc[Scale]),0)</f>
        <v>-197950.00000000003</v>
      </c>
      <c r="F280" s="1129" cm="1">
        <f t="array" aca="1" ref="F280" ca="1">IF(A280=A279,0,SUM(_xlfn._xlws.FILTER(E280:E290,A280:A290=A280)))</f>
        <v>-395900.00000000006</v>
      </c>
      <c r="G280" s="1130">
        <f ca="1">IF(F280&lt;&gt;0,SUM($F$43:F280),0)</f>
        <v>-2969439.5831729998</v>
      </c>
      <c r="H280" s="1130" cm="1">
        <f t="array" aca="1" ref="H280" ca="1">IFERROR(IF(A280=A279,0,SUM(_xlfn._xlws.FILTER(E280:E290,(A280:A290=A280)*(E280:E290&gt;0)))),0)</f>
        <v>0</v>
      </c>
      <c r="I280" s="1130" cm="1">
        <f t="array" aca="1" ref="I280" ca="1">IFERROR(IF(A280=A279,0,SUM(_xlfn._xlws.FILTER(E280:E290,(A280:A290=A280)*(F280&lt;0)))),0)</f>
        <v>-395900.00000000006</v>
      </c>
      <c r="J280"/>
      <c r="K280"/>
      <c r="L280"/>
      <c r="M280"/>
      <c r="N280"/>
    </row>
    <row r="281" spans="1:14" hidden="1">
      <c r="A281" s="452">
        <v>45769</v>
      </c>
      <c r="B281" s="465" t="s">
        <v>60</v>
      </c>
      <c r="C281" s="454">
        <v>5000</v>
      </c>
      <c r="D281" s="465">
        <v>-39.590000000000003</v>
      </c>
      <c r="E281" s="1128">
        <f ca="1">IFERROR(C281*D281*_xlfn.XLOOKUP(B281,TabCalc[Ticker],TabCalc[Scale]),0)</f>
        <v>-197950.00000000003</v>
      </c>
      <c r="F281" s="1129" cm="1">
        <f t="array" ref="F281">IF(A281=A280,0,SUM(_xlfn._xlws.FILTER(E281:E291,A281:A291=A281)))</f>
        <v>0</v>
      </c>
      <c r="G281" s="1130">
        <f>IF(F281&lt;&gt;0,SUM($F$43:F281),0)</f>
        <v>0</v>
      </c>
      <c r="H281" s="1130" cm="1">
        <f t="array" ref="H281">IFERROR(IF(A281=A280,0,SUM(_xlfn._xlws.FILTER(E281:E291,(A281:A291=A281)*(E281:E291&gt;0)))),0)</f>
        <v>0</v>
      </c>
      <c r="I281" s="1130" cm="1">
        <f t="array" ref="I281">IFERROR(IF(A281=A280,0,SUM(_xlfn._xlws.FILTER(E281:E291,(A281:A291=A281)*(F281&lt;0)))),0)</f>
        <v>0</v>
      </c>
      <c r="J281"/>
      <c r="K281"/>
      <c r="L281"/>
      <c r="M281"/>
      <c r="N281"/>
    </row>
    <row r="282" spans="1:14" hidden="1">
      <c r="A282" s="466">
        <v>45782</v>
      </c>
      <c r="B282" s="448" t="s">
        <v>58</v>
      </c>
      <c r="C282" s="468">
        <v>2000</v>
      </c>
      <c r="D282" s="448">
        <v>-12.59</v>
      </c>
      <c r="E282" s="1128">
        <f ca="1">IFERROR(C282*D282*_xlfn.XLOOKUP(B282,TabCalc[Ticker],TabCalc[Scale]),0)</f>
        <v>-25180</v>
      </c>
      <c r="F282" s="1129" cm="1">
        <f t="array" aca="1" ref="F282" ca="1">IF(A282=A281,0,SUM(_xlfn._xlws.FILTER(E282:E292,A282:A292=A282)))</f>
        <v>201572</v>
      </c>
      <c r="G282" s="1130">
        <f ca="1">IF(F282&lt;&gt;0,SUM($F$43:F282),0)</f>
        <v>-2767867.5831729998</v>
      </c>
      <c r="H282" s="1130" cm="1">
        <f t="array" aca="1" ref="H282" ca="1">IFERROR(IF(A282=A281,0,SUM(_xlfn._xlws.FILTER(E282:E292,(A282:A292=A282)*(E282:E292&gt;0)))),0)</f>
        <v>226752</v>
      </c>
      <c r="I282" s="1130" cm="1">
        <f t="array" aca="1" ref="I282" ca="1">IFERROR(IF(A282=A281,0,SUM(_xlfn._xlws.FILTER(E282:E292,(A282:A292=A282)*(F282&lt;0)))),0)</f>
        <v>0</v>
      </c>
      <c r="J282"/>
      <c r="K282"/>
      <c r="L282"/>
      <c r="M282"/>
      <c r="N282"/>
    </row>
    <row r="283" spans="1:14" hidden="1">
      <c r="A283" s="466">
        <v>45782</v>
      </c>
      <c r="B283" s="448" t="s">
        <v>30</v>
      </c>
      <c r="C283" s="468">
        <v>200</v>
      </c>
      <c r="D283" s="448">
        <v>1133.76</v>
      </c>
      <c r="E283" s="1128">
        <f ca="1">IFERROR(C283*D283*_xlfn.XLOOKUP(B283,TabCalc[Ticker],TabCalc[Scale]),0)</f>
        <v>226752</v>
      </c>
      <c r="F283" s="1129" cm="1">
        <f t="array" ref="F283">IF(A283=A282,0,SUM(_xlfn._xlws.FILTER(E283:E293,A283:A293=A283)))</f>
        <v>0</v>
      </c>
      <c r="G283" s="1130">
        <f>IF(F283&lt;&gt;0,SUM($F$43:F283),0)</f>
        <v>0</v>
      </c>
      <c r="H283" s="1130" cm="1">
        <f t="array" ref="H283">IFERROR(IF(A283=A282,0,SUM(_xlfn._xlws.FILTER(E283:E293,(A283:A293=A283)*(E283:E293&gt;0)))),0)</f>
        <v>0</v>
      </c>
      <c r="I283" s="1130" cm="1">
        <f t="array" ref="I283">IFERROR(IF(A283=A282,0,SUM(_xlfn._xlws.FILTER(E283:E293,(A283:A293=A283)*(F283&lt;0)))),0)</f>
        <v>0</v>
      </c>
      <c r="J283"/>
      <c r="K283"/>
      <c r="L283"/>
      <c r="M283"/>
      <c r="N283"/>
    </row>
    <row r="284" spans="1:14" hidden="1">
      <c r="A284" s="452">
        <v>45784</v>
      </c>
      <c r="B284" s="465" t="s">
        <v>73</v>
      </c>
      <c r="C284" s="454">
        <v>66</v>
      </c>
      <c r="D284" s="465">
        <v>606.66</v>
      </c>
      <c r="E284" s="1128">
        <f ca="1">IFERROR(C284*D284*_xlfn.XLOOKUP(B284,TabCalc[Ticker],TabCalc[Scale]),0)</f>
        <v>40039.56</v>
      </c>
      <c r="F284" s="1129" cm="1">
        <f t="array" aca="1" ref="F284" ca="1">IF(A284=A283,0,SUM(_xlfn._xlws.FILTER(E284:E294,A284:A294=A284)))</f>
        <v>40039.56</v>
      </c>
      <c r="G284" s="1130">
        <f ca="1">IF(F284&lt;&gt;0,SUM($F$43:F284),0)</f>
        <v>-2727828.0231729997</v>
      </c>
      <c r="H284" s="1130" cm="1">
        <f t="array" aca="1" ref="H284" ca="1">IFERROR(IF(A284=A283,0,SUM(_xlfn._xlws.FILTER(E284:E294,(A284:A294=A284)*(E284:E294&gt;0)))),0)</f>
        <v>40039.56</v>
      </c>
      <c r="I284" s="1130" cm="1">
        <f t="array" aca="1" ref="I284" ca="1">IFERROR(IF(A284=A283,0,SUM(_xlfn._xlws.FILTER(E284:E294,(A284:A294=A284)*(F284&lt;0)))),0)</f>
        <v>0</v>
      </c>
      <c r="J284"/>
      <c r="K284"/>
      <c r="L284"/>
      <c r="M284"/>
      <c r="N284"/>
    </row>
    <row r="285" spans="1:14" hidden="1">
      <c r="A285" s="466">
        <v>45785</v>
      </c>
      <c r="B285" s="448" t="s">
        <v>22</v>
      </c>
      <c r="C285" s="468">
        <v>20000</v>
      </c>
      <c r="D285" s="448">
        <v>2.85</v>
      </c>
      <c r="E285" s="1128">
        <f ca="1">IFERROR(C285*D285*_xlfn.XLOOKUP(B285,TabCalc[Ticker],TabCalc[Scale]),0)</f>
        <v>570</v>
      </c>
      <c r="F285" s="1129" cm="1">
        <f t="array" aca="1" ref="F285" ca="1">IF(A285=A284,0,SUM(_xlfn._xlws.FILTER(E285:E295,A285:A295=A285)))</f>
        <v>303440.3125</v>
      </c>
      <c r="G285" s="1130">
        <f ca="1">IF(F285&lt;&gt;0,SUM($F$43:F285),0)</f>
        <v>-2424387.7106729997</v>
      </c>
      <c r="H285" s="1130" cm="1">
        <f t="array" aca="1" ref="H285" ca="1">IFERROR(IF(A285=A284,0,SUM(_xlfn._xlws.FILTER(E285:E295,(A285:A295=A285)*(E285:E295&gt;0)))),0)</f>
        <v>566330.3125</v>
      </c>
      <c r="I285" s="1130" cm="1">
        <f t="array" aca="1" ref="I285" ca="1">IFERROR(IF(A285=A284,0,SUM(_xlfn._xlws.FILTER(E285:E295,(A285:A295=A285)*(F285&lt;0)))),0)</f>
        <v>0</v>
      </c>
      <c r="J285"/>
      <c r="K285"/>
      <c r="L285"/>
      <c r="M285"/>
      <c r="N285"/>
    </row>
    <row r="286" spans="1:14" hidden="1">
      <c r="A286" s="466">
        <v>45785</v>
      </c>
      <c r="B286" s="448" t="s">
        <v>37</v>
      </c>
      <c r="C286" s="468">
        <v>1250</v>
      </c>
      <c r="D286" s="448">
        <v>32.660249999999998</v>
      </c>
      <c r="E286" s="1128">
        <f ca="1">IFERROR(C286*D286*_xlfn.XLOOKUP(B286,TabCalc[Ticker],TabCalc[Scale]),0)</f>
        <v>40825.3125</v>
      </c>
      <c r="F286" s="1129" cm="1">
        <f t="array" ref="F286">IF(A286=A285,0,SUM(_xlfn._xlws.FILTER(E286:E296,A286:A296=A286)))</f>
        <v>0</v>
      </c>
      <c r="G286" s="1130">
        <f>IF(F286&lt;&gt;0,SUM($F$43:F286),0)</f>
        <v>0</v>
      </c>
      <c r="H286" s="1130" cm="1">
        <f t="array" ref="H286">IFERROR(IF(A286=A285,0,SUM(_xlfn._xlws.FILTER(E286:E296,(A286:A296=A286)*(E286:E296&gt;0)))),0)</f>
        <v>0</v>
      </c>
      <c r="I286" s="1130" cm="1">
        <f t="array" ref="I286">IFERROR(IF(A286=A285,0,SUM(_xlfn._xlws.FILTER(E286:E296,(A286:A296=A286)*(F286&lt;0)))),0)</f>
        <v>0</v>
      </c>
      <c r="J286"/>
      <c r="K286"/>
      <c r="L286"/>
      <c r="M286"/>
      <c r="N286"/>
    </row>
    <row r="287" spans="1:14" hidden="1">
      <c r="A287" s="466">
        <v>45785</v>
      </c>
      <c r="B287" s="448" t="s">
        <v>38</v>
      </c>
      <c r="C287" s="468">
        <v>500</v>
      </c>
      <c r="D287" s="448">
        <v>265.64999999999998</v>
      </c>
      <c r="E287" s="1128">
        <f ca="1">IFERROR(C287*D287*_xlfn.XLOOKUP(B287,TabCalc[Ticker],TabCalc[Scale]),0)</f>
        <v>132825</v>
      </c>
      <c r="F287" s="1129" cm="1">
        <f t="array" ref="F287">IF(A287=A286,0,SUM(_xlfn._xlws.FILTER(E287:E297,A287:A297=A287)))</f>
        <v>0</v>
      </c>
      <c r="G287" s="1130">
        <f>IF(F287&lt;&gt;0,SUM($F$43:F287),0)</f>
        <v>0</v>
      </c>
      <c r="H287" s="1130" cm="1">
        <f t="array" ref="H287">IFERROR(IF(A287=A286,0,SUM(_xlfn._xlws.FILTER(E287:E297,(A287:A297=A287)*(E287:E297&gt;0)))),0)</f>
        <v>0</v>
      </c>
      <c r="I287" s="1130" cm="1">
        <f t="array" ref="I287">IFERROR(IF(A287=A286,0,SUM(_xlfn._xlws.FILTER(E287:E297,(A287:A297=A287)*(F287&lt;0)))),0)</f>
        <v>0</v>
      </c>
      <c r="J287"/>
      <c r="K287"/>
      <c r="L287"/>
      <c r="M287"/>
      <c r="N287"/>
    </row>
    <row r="288" spans="1:14" hidden="1">
      <c r="A288" s="466">
        <v>45785</v>
      </c>
      <c r="B288" s="448" t="s">
        <v>62</v>
      </c>
      <c r="C288" s="468">
        <v>500</v>
      </c>
      <c r="D288" s="448">
        <v>265.64999999999998</v>
      </c>
      <c r="E288" s="1128">
        <f ca="1">IFERROR(C288*D288*_xlfn.XLOOKUP(B288,TabCalc[Ticker],TabCalc[Scale]),0)</f>
        <v>132825</v>
      </c>
      <c r="F288" s="1129" cm="1">
        <f t="array" ref="F288">IF(A288=A287,0,SUM(_xlfn._xlws.FILTER(E288:E298,A288:A298=A288)))</f>
        <v>0</v>
      </c>
      <c r="G288" s="1130">
        <f>IF(F288&lt;&gt;0,SUM($F$43:F288),0)</f>
        <v>0</v>
      </c>
      <c r="H288" s="1130" cm="1">
        <f t="array" ref="H288">IFERROR(IF(A288=A287,0,SUM(_xlfn._xlws.FILTER(E288:E298,(A288:A298=A288)*(E288:E298&gt;0)))),0)</f>
        <v>0</v>
      </c>
      <c r="I288" s="1130" cm="1">
        <f t="array" ref="I288">IFERROR(IF(A288=A287,0,SUM(_xlfn._xlws.FILTER(E288:E298,(A288:A298=A288)*(F288&lt;0)))),0)</f>
        <v>0</v>
      </c>
      <c r="J288"/>
      <c r="K288"/>
      <c r="L288"/>
      <c r="M288"/>
      <c r="N288"/>
    </row>
    <row r="289" spans="1:14" hidden="1">
      <c r="A289" s="466">
        <v>45785</v>
      </c>
      <c r="B289" s="448" t="s">
        <v>60</v>
      </c>
      <c r="C289" s="468">
        <v>1000</v>
      </c>
      <c r="D289" s="448">
        <v>45.76</v>
      </c>
      <c r="E289" s="1128">
        <f ca="1">IFERROR(C289*D289*_xlfn.XLOOKUP(B289,TabCalc[Ticker],TabCalc[Scale]),0)</f>
        <v>45760</v>
      </c>
      <c r="F289" s="1129" cm="1">
        <f t="array" ref="F289">IF(A289=A288,0,SUM(_xlfn._xlws.FILTER(E289:E299,A289:A299=A289)))</f>
        <v>0</v>
      </c>
      <c r="G289" s="1130">
        <f>IF(F289&lt;&gt;0,SUM($F$43:F289),0)</f>
        <v>0</v>
      </c>
      <c r="H289" s="1130" cm="1">
        <f t="array" ref="H289">IFERROR(IF(A289=A288,0,SUM(_xlfn._xlws.FILTER(E289:E299,(A289:A299=A289)*(E289:E299&gt;0)))),0)</f>
        <v>0</v>
      </c>
      <c r="I289" s="1130" cm="1">
        <f t="array" ref="I289">IFERROR(IF(A289=A288,0,SUM(_xlfn._xlws.FILTER(E289:E299,(A289:A299=A289)*(F289&lt;0)))),0)</f>
        <v>0</v>
      </c>
      <c r="J289"/>
      <c r="K289"/>
      <c r="L289"/>
      <c r="M289"/>
      <c r="N289"/>
    </row>
    <row r="290" spans="1:14" hidden="1">
      <c r="A290" s="466">
        <v>45785</v>
      </c>
      <c r="B290" s="448" t="s">
        <v>42</v>
      </c>
      <c r="C290" s="468">
        <v>3000</v>
      </c>
      <c r="D290" s="448">
        <v>12.664999999999999</v>
      </c>
      <c r="E290" s="1128">
        <f ca="1">IFERROR(C290*D290*_xlfn.XLOOKUP(B290,TabCalc[Ticker],TabCalc[Scale]),0)</f>
        <v>37995</v>
      </c>
      <c r="F290" s="1129" cm="1">
        <f t="array" ref="F290">IF(A290=A289,0,SUM(_xlfn._xlws.FILTER(E290:E300,A290:A300=A290)))</f>
        <v>0</v>
      </c>
      <c r="G290" s="1130">
        <f>IF(F290&lt;&gt;0,SUM($F$43:F290),0)</f>
        <v>0</v>
      </c>
      <c r="H290" s="1130" cm="1">
        <f t="array" ref="H290">IFERROR(IF(A290=A289,0,SUM(_xlfn._xlws.FILTER(E290:E300,(A290:A300=A290)*(E290:E300&gt;0)))),0)</f>
        <v>0</v>
      </c>
      <c r="I290" s="1130" cm="1">
        <f t="array" ref="I290">IFERROR(IF(A290=A289,0,SUM(_xlfn._xlws.FILTER(E290:E300,(A290:A300=A290)*(F290&lt;0)))),0)</f>
        <v>0</v>
      </c>
      <c r="J290"/>
      <c r="K290"/>
      <c r="L290"/>
      <c r="M290"/>
      <c r="N290"/>
    </row>
    <row r="291" spans="1:14" hidden="1">
      <c r="A291" s="466">
        <v>45785</v>
      </c>
      <c r="B291" s="448" t="s">
        <v>16</v>
      </c>
      <c r="C291" s="468">
        <v>1250</v>
      </c>
      <c r="D291" s="448">
        <v>15.64</v>
      </c>
      <c r="E291" s="1128">
        <f ca="1">IFERROR(C291*D291*_xlfn.XLOOKUP(B291,TabCalc[Ticker],TabCalc[Scale]),0)</f>
        <v>19550</v>
      </c>
      <c r="F291" s="1129" cm="1">
        <f t="array" ref="F291">IF(A291=A290,0,SUM(_xlfn._xlws.FILTER(E291:E301,A291:A301=A291)))</f>
        <v>0</v>
      </c>
      <c r="G291" s="1130">
        <f>IF(F291&lt;&gt;0,SUM($F$43:F291),0)</f>
        <v>0</v>
      </c>
      <c r="H291" s="1130" cm="1">
        <f t="array" ref="H291">IFERROR(IF(A291=A290,0,SUM(_xlfn._xlws.FILTER(E291:E301,(A291:A301=A291)*(E291:E301&gt;0)))),0)</f>
        <v>0</v>
      </c>
      <c r="I291" s="1130" cm="1">
        <f t="array" ref="I291">IFERROR(IF(A291=A290,0,SUM(_xlfn._xlws.FILTER(E291:E301,(A291:A301=A291)*(F291&lt;0)))),0)</f>
        <v>0</v>
      </c>
      <c r="J291"/>
      <c r="K291"/>
      <c r="L291"/>
      <c r="M291"/>
      <c r="N291"/>
    </row>
    <row r="292" spans="1:14" hidden="1">
      <c r="A292" s="466">
        <v>45785</v>
      </c>
      <c r="B292" s="448" t="s">
        <v>48</v>
      </c>
      <c r="C292" s="468">
        <v>2000</v>
      </c>
      <c r="D292" s="448">
        <v>62.09</v>
      </c>
      <c r="E292" s="1128">
        <f ca="1">IFERROR(C292*D292*_xlfn.XLOOKUP(B292,TabCalc[Ticker],TabCalc[Scale]),0)</f>
        <v>124180</v>
      </c>
      <c r="F292" s="1129" cm="1">
        <f t="array" ref="F292">IF(A292=A291,0,SUM(_xlfn._xlws.FILTER(E292:E302,A292:A302=A292)))</f>
        <v>0</v>
      </c>
      <c r="G292" s="1130">
        <f>IF(F292&lt;&gt;0,SUM($F$43:F292),0)</f>
        <v>0</v>
      </c>
      <c r="H292" s="1130" cm="1">
        <f t="array" ref="H292">IFERROR(IF(A292=A291,0,SUM(_xlfn._xlws.FILTER(E292:E302,(A292:A302=A292)*(E292:E302&gt;0)))),0)</f>
        <v>0</v>
      </c>
      <c r="I292" s="1130" cm="1">
        <f t="array" ref="I292">IFERROR(IF(A292=A291,0,SUM(_xlfn._xlws.FILTER(E292:E302,(A292:A302=A292)*(F292&lt;0)))),0)</f>
        <v>0</v>
      </c>
      <c r="J292"/>
      <c r="K292"/>
      <c r="L292"/>
      <c r="M292"/>
      <c r="N292"/>
    </row>
    <row r="293" spans="1:14" hidden="1">
      <c r="A293" s="466">
        <v>45785</v>
      </c>
      <c r="B293" s="448" t="s">
        <v>18</v>
      </c>
      <c r="C293" s="468">
        <v>2000</v>
      </c>
      <c r="D293" s="448">
        <v>15.9</v>
      </c>
      <c r="E293" s="1128">
        <f ca="1">IFERROR(C293*D293*_xlfn.XLOOKUP(B293,TabCalc[Ticker],TabCalc[Scale]),0)</f>
        <v>31800</v>
      </c>
      <c r="F293" s="1129" cm="1">
        <f t="array" ref="F293">IF(A293=A292,0,SUM(_xlfn._xlws.FILTER(E293:E303,A293:A303=A293)))</f>
        <v>0</v>
      </c>
      <c r="G293" s="1130">
        <f>IF(F293&lt;&gt;0,SUM($F$43:F293),0)</f>
        <v>0</v>
      </c>
      <c r="H293" s="1130" cm="1">
        <f t="array" ref="H293">IFERROR(IF(A293=A292,0,SUM(_xlfn._xlws.FILTER(E293:E303,(A293:A303=A293)*(E293:E303&gt;0)))),0)</f>
        <v>0</v>
      </c>
      <c r="I293" s="1130" cm="1">
        <f t="array" ref="I293">IFERROR(IF(A293=A292,0,SUM(_xlfn._xlws.FILTER(E293:E303,(A293:A303=A293)*(F293&lt;0)))),0)</f>
        <v>0</v>
      </c>
      <c r="J293"/>
      <c r="K293"/>
      <c r="L293"/>
      <c r="M293"/>
      <c r="N293"/>
    </row>
    <row r="294" spans="1:14" hidden="1">
      <c r="A294" s="466">
        <v>45785</v>
      </c>
      <c r="B294" s="448" t="s">
        <v>38</v>
      </c>
      <c r="C294" s="468">
        <v>500</v>
      </c>
      <c r="D294" s="448">
        <v>-262.89999999999998</v>
      </c>
      <c r="E294" s="1128">
        <f ca="1">IFERROR(C294*D294*_xlfn.XLOOKUP(B294,TabCalc[Ticker],TabCalc[Scale]),0)</f>
        <v>-131450</v>
      </c>
      <c r="F294" s="1129" cm="1">
        <f t="array" ref="F294">IF(A294=A293,0,SUM(_xlfn._xlws.FILTER(E294:E304,A294:A304=A294)))</f>
        <v>0</v>
      </c>
      <c r="G294" s="1130">
        <f>IF(F294&lt;&gt;0,SUM($F$43:F294),0)</f>
        <v>0</v>
      </c>
      <c r="H294" s="1130" cm="1">
        <f t="array" ref="H294">IFERROR(IF(A294=A293,0,SUM(_xlfn._xlws.FILTER(E294:E304,(A294:A304=A294)*(E294:E304&gt;0)))),0)</f>
        <v>0</v>
      </c>
      <c r="I294" s="1130" cm="1">
        <f t="array" ref="I294">IFERROR(IF(A294=A293,0,SUM(_xlfn._xlws.FILTER(E294:E304,(A294:A304=A294)*(F294&lt;0)))),0)</f>
        <v>0</v>
      </c>
      <c r="J294"/>
      <c r="K294"/>
      <c r="L294"/>
      <c r="M294"/>
      <c r="N294"/>
    </row>
    <row r="295" spans="1:14" hidden="1">
      <c r="A295" s="466">
        <v>45785</v>
      </c>
      <c r="B295" s="448" t="s">
        <v>62</v>
      </c>
      <c r="C295" s="468">
        <v>500</v>
      </c>
      <c r="D295" s="448">
        <v>-262.88</v>
      </c>
      <c r="E295" s="1128">
        <f ca="1">IFERROR(C295*D295*_xlfn.XLOOKUP(B295,TabCalc[Ticker],TabCalc[Scale]),0)</f>
        <v>-131440</v>
      </c>
      <c r="F295" s="1129" cm="1">
        <f t="array" ref="F295">IF(A295=A294,0,SUM(_xlfn._xlws.FILTER(E295:E305,A295:A305=A295)))</f>
        <v>0</v>
      </c>
      <c r="G295" s="1130">
        <f>IF(F295&lt;&gt;0,SUM($F$43:F295),0)</f>
        <v>0</v>
      </c>
      <c r="H295" s="1130" cm="1">
        <f t="array" ref="H295">IFERROR(IF(A295=A294,0,SUM(_xlfn._xlws.FILTER(E295:E305,(A295:A305=A295)*(E295:E305&gt;0)))),0)</f>
        <v>0</v>
      </c>
      <c r="I295" s="1130" cm="1">
        <f t="array" ref="I295">IFERROR(IF(A295=A294,0,SUM(_xlfn._xlws.FILTER(E295:E305,(A295:A305=A295)*(F295&lt;0)))),0)</f>
        <v>0</v>
      </c>
      <c r="J295"/>
      <c r="K295"/>
      <c r="L295"/>
      <c r="M295"/>
      <c r="N295"/>
    </row>
    <row r="296" spans="1:14" hidden="1">
      <c r="A296" s="452">
        <v>45786</v>
      </c>
      <c r="B296" s="465" t="s">
        <v>1791</v>
      </c>
      <c r="C296" s="454">
        <v>11855</v>
      </c>
      <c r="D296" s="465">
        <v>-0.66</v>
      </c>
      <c r="E296" s="1128">
        <f ca="1">IFERROR(C296*D296*_xlfn.XLOOKUP(B296,TabCalc[Ticker],TabCalc[Scale]),0)</f>
        <v>-7824.3</v>
      </c>
      <c r="F296" s="1129" cm="1">
        <f t="array" aca="1" ref="F296" ca="1">IF(A296=A295,0,SUM(_xlfn._xlws.FILTER(E296:E306,A296:A306=A296)))</f>
        <v>-7824.3</v>
      </c>
      <c r="G296" s="1130">
        <f ca="1">IF(F296&lt;&gt;0,SUM($F$43:F296),0)</f>
        <v>-2432212.0106729995</v>
      </c>
      <c r="H296" s="1130" cm="1">
        <f t="array" aca="1" ref="H296" ca="1">IFERROR(IF(A296=A295,0,SUM(_xlfn._xlws.FILTER(E296:E306,(A296:A306=A296)*(E296:E306&gt;0)))),0)</f>
        <v>0</v>
      </c>
      <c r="I296" s="1130" cm="1">
        <f t="array" aca="1" ref="I296" ca="1">IFERROR(IF(A296=A295,0,SUM(_xlfn._xlws.FILTER(E296:E306,(A296:A306=A296)*(F296&lt;0)))),0)</f>
        <v>-7824.3</v>
      </c>
      <c r="J296"/>
      <c r="K296"/>
      <c r="L296"/>
      <c r="M296"/>
      <c r="N296"/>
    </row>
    <row r="297" spans="1:14" hidden="1">
      <c r="A297" s="466">
        <v>45789</v>
      </c>
      <c r="B297" s="448" t="s">
        <v>29</v>
      </c>
      <c r="C297" s="468">
        <v>2000</v>
      </c>
      <c r="D297" s="448">
        <v>-50.63</v>
      </c>
      <c r="E297" s="1128">
        <f ca="1">IFERROR(C297*D297*_xlfn.XLOOKUP(B297,TabCalc[Ticker],TabCalc[Scale]),0)</f>
        <v>-101260</v>
      </c>
      <c r="F297" s="1129" cm="1">
        <f t="array" aca="1" ref="F297" ca="1">IF(A297=A296,0,SUM(_xlfn._xlws.FILTER(E297:E307,A297:A307=A297)))</f>
        <v>-122670</v>
      </c>
      <c r="G297" s="1130">
        <f ca="1">IF(F297&lt;&gt;0,SUM($F$43:F297),0)</f>
        <v>-2554882.0106729995</v>
      </c>
      <c r="H297" s="1130" cm="1">
        <f t="array" aca="1" ref="H297" ca="1">IFERROR(IF(A297=A296,0,SUM(_xlfn._xlws.FILTER(E297:E307,(A297:A307=A297)*(E297:E307&gt;0)))),0)</f>
        <v>47470</v>
      </c>
      <c r="I297" s="1130" cm="1">
        <f t="array" aca="1" ref="I297" ca="1">IFERROR(IF(A297=A296,0,SUM(_xlfn._xlws.FILTER(E297:E307,(A297:A307=A297)*(F297&lt;0)))),0)</f>
        <v>-122670</v>
      </c>
      <c r="J297"/>
      <c r="K297"/>
      <c r="L297"/>
      <c r="M297"/>
      <c r="N297"/>
    </row>
    <row r="298" spans="1:14" hidden="1">
      <c r="A298" s="466">
        <v>45789</v>
      </c>
      <c r="B298" s="448" t="s">
        <v>31</v>
      </c>
      <c r="C298" s="468">
        <v>3000</v>
      </c>
      <c r="D298" s="448">
        <v>-22.96</v>
      </c>
      <c r="E298" s="1128">
        <f ca="1">IFERROR(C298*D298*_xlfn.XLOOKUP(B298,TabCalc[Ticker],TabCalc[Scale]),0)</f>
        <v>-68880</v>
      </c>
      <c r="F298" s="1129" cm="1">
        <f t="array" ref="F298">IF(A298=A297,0,SUM(_xlfn._xlws.FILTER(E298:E308,A298:A308=A298)))</f>
        <v>0</v>
      </c>
      <c r="G298" s="1130">
        <f>IF(F298&lt;&gt;0,SUM($F$43:F298),0)</f>
        <v>0</v>
      </c>
      <c r="H298" s="1130" cm="1">
        <f t="array" ref="H298">IFERROR(IF(A298=A297,0,SUM(_xlfn._xlws.FILTER(E298:E308,(A298:A308=A298)*(E298:E308&gt;0)))),0)</f>
        <v>0</v>
      </c>
      <c r="I298" s="1130" cm="1">
        <f t="array" ref="I298">IFERROR(IF(A298=A297,0,SUM(_xlfn._xlws.FILTER(E298:E308,(A298:A308=A298)*(F298&lt;0)))),0)</f>
        <v>0</v>
      </c>
      <c r="J298"/>
      <c r="K298"/>
      <c r="L298"/>
      <c r="M298"/>
      <c r="N298"/>
    </row>
    <row r="299" spans="1:14" hidden="1">
      <c r="A299" s="466">
        <v>45789</v>
      </c>
      <c r="B299" s="448" t="s">
        <v>60</v>
      </c>
      <c r="C299" s="468">
        <v>1000</v>
      </c>
      <c r="D299" s="448">
        <v>47.47</v>
      </c>
      <c r="E299" s="1128">
        <f ca="1">IFERROR(C299*D299*_xlfn.XLOOKUP(B299,TabCalc[Ticker],TabCalc[Scale]),0)</f>
        <v>47470</v>
      </c>
      <c r="F299" s="1129" cm="1">
        <f t="array" ref="F299">IF(A299=A298,0,SUM(_xlfn._xlws.FILTER(E299:E309,A299:A309=A299)))</f>
        <v>0</v>
      </c>
      <c r="G299" s="1130">
        <f>IF(F299&lt;&gt;0,SUM($F$43:F299),0)</f>
        <v>0</v>
      </c>
      <c r="H299" s="1130" cm="1">
        <f t="array" ref="H299">IFERROR(IF(A299=A298,0,SUM(_xlfn._xlws.FILTER(E299:E309,(A299:A309=A299)*(E299:E309&gt;0)))),0)</f>
        <v>0</v>
      </c>
      <c r="I299" s="1130" cm="1">
        <f t="array" ref="I299">IFERROR(IF(A299=A298,0,SUM(_xlfn._xlws.FILTER(E299:E309,(A299:A309=A299)*(F299&lt;0)))),0)</f>
        <v>0</v>
      </c>
      <c r="J299"/>
      <c r="K299"/>
      <c r="L299"/>
      <c r="M299"/>
      <c r="N299"/>
    </row>
    <row r="300" spans="1:14" hidden="1">
      <c r="A300" s="452">
        <v>45790</v>
      </c>
      <c r="B300" s="465" t="s">
        <v>1792</v>
      </c>
      <c r="C300" s="454">
        <v>1250</v>
      </c>
      <c r="D300" s="465">
        <v>-14.7</v>
      </c>
      <c r="E300" s="1128">
        <f ca="1">IFERROR(C300*D300*_xlfn.XLOOKUP(B300,TabCalc[Ticker],TabCalc[Scale]),0)</f>
        <v>-18375</v>
      </c>
      <c r="F300" s="1129" cm="1">
        <f t="array" aca="1" ref="F300" ca="1">IF(A300=A299,0,SUM(_xlfn._xlws.FILTER(E300:E310,A300:A310=A300)))</f>
        <v>-176524</v>
      </c>
      <c r="G300" s="1130">
        <f ca="1">IF(F300&lt;&gt;0,SUM($F$43:F300),0)</f>
        <v>-2731406.0106729995</v>
      </c>
      <c r="H300" s="1130" cm="1">
        <f t="array" aca="1" ref="H300" ca="1">IFERROR(IF(A300=A299,0,SUM(_xlfn._xlws.FILTER(E300:E310,(A300:A310=A300)*(E300:E310&gt;0)))),0)</f>
        <v>0</v>
      </c>
      <c r="I300" s="1130" cm="1">
        <f t="array" aca="1" ref="I300" ca="1">IFERROR(IF(A300=A299,0,SUM(_xlfn._xlws.FILTER(E300:E310,(A300:A310=A300)*(F300&lt;0)))),0)</f>
        <v>-176524</v>
      </c>
      <c r="J300"/>
      <c r="K300"/>
      <c r="L300"/>
      <c r="M300"/>
      <c r="N300"/>
    </row>
    <row r="301" spans="1:14" hidden="1">
      <c r="A301" s="452">
        <v>45790</v>
      </c>
      <c r="B301" s="465" t="s">
        <v>18</v>
      </c>
      <c r="C301" s="454">
        <v>2000</v>
      </c>
      <c r="D301" s="465">
        <v>-14.73</v>
      </c>
      <c r="E301" s="1128">
        <f ca="1">IFERROR(C301*D301*_xlfn.XLOOKUP(B301,TabCalc[Ticker],TabCalc[Scale]),0)</f>
        <v>-29460</v>
      </c>
      <c r="F301" s="1129" cm="1">
        <f t="array" ref="F301">IF(A301=A300,0,SUM(_xlfn._xlws.FILTER(E301:E311,A301:A311=A301)))</f>
        <v>0</v>
      </c>
      <c r="G301" s="1130">
        <f>IF(F301&lt;&gt;0,SUM($F$43:F301),0)</f>
        <v>0</v>
      </c>
      <c r="H301" s="1130" cm="1">
        <f t="array" ref="H301">IFERROR(IF(A301=A300,0,SUM(_xlfn._xlws.FILTER(E301:E311,(A301:A311=A301)*(E301:E311&gt;0)))),0)</f>
        <v>0</v>
      </c>
      <c r="I301" s="1130" cm="1">
        <f t="array" ref="I301">IFERROR(IF(A301=A300,0,SUM(_xlfn._xlws.FILTER(E301:E311,(A301:A311=A301)*(F301&lt;0)))),0)</f>
        <v>0</v>
      </c>
      <c r="J301"/>
      <c r="K301"/>
      <c r="L301"/>
      <c r="M301"/>
      <c r="N301"/>
    </row>
    <row r="302" spans="1:14" hidden="1">
      <c r="A302" s="452">
        <v>45790</v>
      </c>
      <c r="B302" s="465" t="s">
        <v>11</v>
      </c>
      <c r="C302" s="454">
        <v>20000</v>
      </c>
      <c r="D302" s="465">
        <v>-1.91</v>
      </c>
      <c r="E302" s="1128">
        <f ca="1">IFERROR(C302*D302*_xlfn.XLOOKUP(B302,TabCalc[Ticker],TabCalc[Scale]),0)</f>
        <v>-38200</v>
      </c>
      <c r="F302" s="1129" cm="1">
        <f t="array" ref="F302">IF(A302=A301,0,SUM(_xlfn._xlws.FILTER(E302:E312,A302:A312=A302)))</f>
        <v>0</v>
      </c>
      <c r="G302" s="1130">
        <f>IF(F302&lt;&gt;0,SUM($F$43:F302),0)</f>
        <v>0</v>
      </c>
      <c r="H302" s="1130" cm="1">
        <f t="array" ref="H302">IFERROR(IF(A302=A301,0,SUM(_xlfn._xlws.FILTER(E302:E312,(A302:A312=A302)*(E302:E312&gt;0)))),0)</f>
        <v>0</v>
      </c>
      <c r="I302" s="1130" cm="1">
        <f t="array" ref="I302">IFERROR(IF(A302=A301,0,SUM(_xlfn._xlws.FILTER(E302:E312,(A302:A312=A302)*(F302&lt;0)))),0)</f>
        <v>0</v>
      </c>
      <c r="J302"/>
      <c r="K302"/>
      <c r="L302"/>
      <c r="M302"/>
      <c r="N302"/>
    </row>
    <row r="303" spans="1:14" hidden="1">
      <c r="A303" s="452">
        <v>45790</v>
      </c>
      <c r="B303" s="465" t="s">
        <v>64</v>
      </c>
      <c r="C303" s="454">
        <v>21000</v>
      </c>
      <c r="D303" s="465">
        <v>-1.929</v>
      </c>
      <c r="E303" s="1128">
        <f ca="1">IFERROR(C303*D303*_xlfn.XLOOKUP(B303,TabCalc[Ticker],TabCalc[Scale]),0)</f>
        <v>-40509</v>
      </c>
      <c r="F303" s="1129" cm="1">
        <f t="array" ref="F303">IF(A303=A302,0,SUM(_xlfn._xlws.FILTER(E303:E313,A303:A313=A303)))</f>
        <v>0</v>
      </c>
      <c r="G303" s="1130">
        <f>IF(F303&lt;&gt;0,SUM($F$43:F303),0)</f>
        <v>0</v>
      </c>
      <c r="H303" s="1130" cm="1">
        <f t="array" ref="H303">IFERROR(IF(A303=A302,0,SUM(_xlfn._xlws.FILTER(E303:E313,(A303:A313=A303)*(E303:E313&gt;0)))),0)</f>
        <v>0</v>
      </c>
      <c r="I303" s="1130" cm="1">
        <f t="array" ref="I303">IFERROR(IF(A303=A302,0,SUM(_xlfn._xlws.FILTER(E303:E313,(A303:A313=A303)*(F303&lt;0)))),0)</f>
        <v>0</v>
      </c>
      <c r="J303"/>
      <c r="K303"/>
      <c r="L303"/>
      <c r="M303"/>
      <c r="N303"/>
    </row>
    <row r="304" spans="1:14" hidden="1">
      <c r="A304" s="452">
        <v>45790</v>
      </c>
      <c r="B304" s="465" t="s">
        <v>29</v>
      </c>
      <c r="C304" s="454">
        <v>1000</v>
      </c>
      <c r="D304" s="465">
        <v>-49.98</v>
      </c>
      <c r="E304" s="1128">
        <f ca="1">IFERROR(C304*D304*_xlfn.XLOOKUP(B304,TabCalc[Ticker],TabCalc[Scale]),0)</f>
        <v>-49980</v>
      </c>
      <c r="F304" s="1129" cm="1">
        <f t="array" ref="F304">IF(A304=A303,0,SUM(_xlfn._xlws.FILTER(E304:E314,A304:A314=A304)))</f>
        <v>0</v>
      </c>
      <c r="G304" s="1130">
        <f>IF(F304&lt;&gt;0,SUM($F$43:F304),0)</f>
        <v>0</v>
      </c>
      <c r="H304" s="1130" cm="1">
        <f t="array" ref="H304">IFERROR(IF(A304=A303,0,SUM(_xlfn._xlws.FILTER(E304:E314,(A304:A314=A304)*(E304:E314&gt;0)))),0)</f>
        <v>0</v>
      </c>
      <c r="I304" s="1130" cm="1">
        <f t="array" ref="I304">IFERROR(IF(A304=A303,0,SUM(_xlfn._xlws.FILTER(E304:E314,(A304:A314=A304)*(F304&lt;0)))),0)</f>
        <v>0</v>
      </c>
      <c r="J304"/>
      <c r="K304"/>
      <c r="L304"/>
      <c r="M304"/>
      <c r="N304"/>
    </row>
    <row r="305" spans="1:14" hidden="1">
      <c r="A305" s="466">
        <v>45792</v>
      </c>
      <c r="B305" s="448" t="s">
        <v>48</v>
      </c>
      <c r="C305" s="468">
        <v>2000</v>
      </c>
      <c r="D305" s="448">
        <v>63.3</v>
      </c>
      <c r="E305" s="1128">
        <f ca="1">IFERROR(C305*D305*_xlfn.XLOOKUP(B305,TabCalc[Ticker],TabCalc[Scale]),0)</f>
        <v>126600</v>
      </c>
      <c r="F305" s="1129" cm="1">
        <f t="array" aca="1" ref="F305" ca="1">IF(A305=A304,0,SUM(_xlfn._xlws.FILTER(E305:E315,A305:A315=A305)))</f>
        <v>155430</v>
      </c>
      <c r="G305" s="1130">
        <f ca="1">IF(F305&lt;&gt;0,SUM($F$43:F305),0)</f>
        <v>-2575976.0106729995</v>
      </c>
      <c r="H305" s="1130" cm="1">
        <f t="array" aca="1" ref="H305" ca="1">IFERROR(IF(A305=A304,0,SUM(_xlfn._xlws.FILTER(E305:E315,(A305:A315=A305)*(E305:E315&gt;0)))),0)</f>
        <v>155430</v>
      </c>
      <c r="I305" s="1130" cm="1">
        <f t="array" aca="1" ref="I305" ca="1">IFERROR(IF(A305=A304,0,SUM(_xlfn._xlws.FILTER(E305:E315,(A305:A315=A305)*(F305&lt;0)))),0)</f>
        <v>0</v>
      </c>
      <c r="J305"/>
      <c r="K305"/>
      <c r="L305"/>
      <c r="M305"/>
      <c r="N305"/>
    </row>
    <row r="306" spans="1:14" hidden="1">
      <c r="A306" s="466">
        <v>45792</v>
      </c>
      <c r="B306" s="448" t="s">
        <v>21</v>
      </c>
      <c r="C306" s="468">
        <v>1000</v>
      </c>
      <c r="D306" s="448">
        <v>28.83</v>
      </c>
      <c r="E306" s="1128">
        <f ca="1">IFERROR(C306*D306*_xlfn.XLOOKUP(B306,TabCalc[Ticker],TabCalc[Scale]),0)</f>
        <v>28830</v>
      </c>
      <c r="F306" s="1129" cm="1">
        <f t="array" ref="F306">IF(A306=A305,0,SUM(_xlfn._xlws.FILTER(E306:E316,A306:A316=A306)))</f>
        <v>0</v>
      </c>
      <c r="G306" s="1130">
        <f>IF(F306&lt;&gt;0,SUM($F$43:F306),0)</f>
        <v>0</v>
      </c>
      <c r="H306" s="1130" cm="1">
        <f t="array" ref="H306">IFERROR(IF(A306=A305,0,SUM(_xlfn._xlws.FILTER(E306:E316,(A306:A316=A306)*(E306:E316&gt;0)))),0)</f>
        <v>0</v>
      </c>
      <c r="I306" s="1130" cm="1">
        <f t="array" ref="I306">IFERROR(IF(A306=A305,0,SUM(_xlfn._xlws.FILTER(E306:E316,(A306:A316=A306)*(F306&lt;0)))),0)</f>
        <v>0</v>
      </c>
      <c r="J306"/>
      <c r="K306"/>
      <c r="L306"/>
      <c r="M306"/>
      <c r="N306"/>
    </row>
    <row r="307" spans="1:14" hidden="1">
      <c r="A307" s="452">
        <v>45793</v>
      </c>
      <c r="B307" s="465" t="s">
        <v>1819</v>
      </c>
      <c r="C307" s="454">
        <v>18000</v>
      </c>
      <c r="D307" s="651">
        <v>544.20000000000005</v>
      </c>
      <c r="E307" s="1128">
        <f ca="1">IFERROR(C307*D307*_xlfn.XLOOKUP(B307,TabCalc[Ticker],TabCalc[Scale]),0)</f>
        <v>97956</v>
      </c>
      <c r="F307" s="1129" cm="1">
        <f t="array" aca="1" ref="F307" ca="1">IF(A307=A306,0,SUM(_xlfn._xlws.FILTER(E307:E317,A307:A317=A307)))</f>
        <v>97956</v>
      </c>
      <c r="G307" s="1130">
        <f ca="1">IF(F307&lt;&gt;0,SUM($F$43:F307),0)</f>
        <v>-2478020.0106729995</v>
      </c>
      <c r="H307" s="1130" cm="1">
        <f t="array" aca="1" ref="H307" ca="1">IFERROR(IF(A307=A306,0,SUM(_xlfn._xlws.FILTER(E307:E317,(A307:A317=A307)*(E307:E317&gt;0)))),0)</f>
        <v>97956</v>
      </c>
      <c r="I307" s="1130" cm="1">
        <f t="array" aca="1" ref="I307" ca="1">IFERROR(IF(A307=A306,0,SUM(_xlfn._xlws.FILTER(E307:E317,(A307:A317=A307)*(F307&lt;0)))),0)</f>
        <v>0</v>
      </c>
      <c r="J307"/>
      <c r="K307"/>
      <c r="L307"/>
      <c r="M307"/>
      <c r="N307"/>
    </row>
    <row r="308" spans="1:14" hidden="1">
      <c r="A308" s="591" t="s">
        <v>1842</v>
      </c>
      <c r="B308" s="465" t="s">
        <v>1843</v>
      </c>
      <c r="C308" s="454">
        <v>1000</v>
      </c>
      <c r="D308" s="465">
        <v>-206.73</v>
      </c>
      <c r="E308" s="1128">
        <f ca="1">IFERROR(C308*D308*_xlfn.XLOOKUP(B308,TabCalc[Ticker],TabCalc[Scale]),0)</f>
        <v>-206730</v>
      </c>
      <c r="F308" s="1129" cm="1">
        <f t="array" aca="1" ref="F308" ca="1">IF(A308=A307,0,SUM(_xlfn._xlws.FILTER(E308:E318,A308:A318=A308)))</f>
        <v>-377242.5</v>
      </c>
      <c r="G308" s="1130">
        <f ca="1">IF(F308&lt;&gt;0,SUM($F$43:F308),0)</f>
        <v>-2855262.5106729995</v>
      </c>
      <c r="H308" s="1130" cm="1">
        <f t="array" aca="1" ref="H308" ca="1">IFERROR(IF(A308=A307,0,SUM(_xlfn._xlws.FILTER(E308:E318,(A308:A318=A308)*(E308:E318&gt;0)))),0)</f>
        <v>33585</v>
      </c>
      <c r="I308" s="1130" cm="1">
        <f t="array" aca="1" ref="I308" ca="1">IFERROR(IF(A308=A307,0,SUM(_xlfn._xlws.FILTER(E308:E318,(A308:A318=A308)*(F308&lt;0)))),0)</f>
        <v>-377242.5</v>
      </c>
      <c r="J308"/>
      <c r="K308"/>
      <c r="L308"/>
      <c r="M308"/>
      <c r="N308"/>
    </row>
    <row r="309" spans="1:14" hidden="1">
      <c r="A309" s="591" t="s">
        <v>1842</v>
      </c>
      <c r="B309" s="465" t="s">
        <v>3</v>
      </c>
      <c r="C309" s="454">
        <v>1000</v>
      </c>
      <c r="D309" s="465">
        <v>-204.0975</v>
      </c>
      <c r="E309" s="1128">
        <f ca="1">IFERROR(C309*D309*_xlfn.XLOOKUP(B309,TabCalc[Ticker],TabCalc[Scale]),0)</f>
        <v>-204097.5</v>
      </c>
      <c r="F309" s="1129" cm="1">
        <f t="array" ref="F309">IF(A309=A308,0,SUM(_xlfn._xlws.FILTER(E309:E319,A309:A319=A309)))</f>
        <v>0</v>
      </c>
      <c r="G309" s="1130">
        <f>IF(F309&lt;&gt;0,SUM($F$43:F309),0)</f>
        <v>0</v>
      </c>
      <c r="H309" s="1130" cm="1">
        <f t="array" ref="H309">IFERROR(IF(A309=A308,0,SUM(_xlfn._xlws.FILTER(E309:E319,(A309:A319=A309)*(E309:E319&gt;0)))),0)</f>
        <v>0</v>
      </c>
      <c r="I309" s="1130" cm="1">
        <f t="array" ref="I309">IFERROR(IF(A309=A308,0,SUM(_xlfn._xlws.FILTER(E309:E319,(A309:A319=A309)*(F309&lt;0)))),0)</f>
        <v>0</v>
      </c>
      <c r="J309"/>
      <c r="K309"/>
      <c r="L309"/>
      <c r="M309"/>
      <c r="N309"/>
    </row>
    <row r="310" spans="1:14" hidden="1">
      <c r="A310" s="591" t="s">
        <v>1842</v>
      </c>
      <c r="B310" s="465" t="s">
        <v>22</v>
      </c>
      <c r="C310" s="454">
        <v>10000</v>
      </c>
      <c r="D310" s="465">
        <v>335.85</v>
      </c>
      <c r="E310" s="1128">
        <f ca="1">IFERROR(C310*D310*_xlfn.XLOOKUP(B310,TabCalc[Ticker],TabCalc[Scale]),0)</f>
        <v>33585</v>
      </c>
      <c r="F310" s="1129" cm="1">
        <f t="array" ref="F310">IF(A310=A309,0,SUM(_xlfn._xlws.FILTER(E310:E320,A310:A320=A310)))</f>
        <v>0</v>
      </c>
      <c r="G310" s="1130">
        <f>IF(F310&lt;&gt;0,SUM($F$43:F310),0)</f>
        <v>0</v>
      </c>
      <c r="H310" s="1130" cm="1">
        <f t="array" ref="H310">IFERROR(IF(A310=A309,0,SUM(_xlfn._xlws.FILTER(E310:E320,(A310:A320=A310)*(E310:E320&gt;0)))),0)</f>
        <v>0</v>
      </c>
      <c r="I310" s="1130" cm="1">
        <f t="array" ref="I310">IFERROR(IF(A310=A309,0,SUM(_xlfn._xlws.FILTER(E310:E320,(A310:A320=A310)*(F310&lt;0)))),0)</f>
        <v>0</v>
      </c>
      <c r="J310"/>
      <c r="K310"/>
      <c r="L310"/>
      <c r="M310"/>
      <c r="N310"/>
    </row>
    <row r="311" spans="1:14" hidden="1">
      <c r="A311" s="452">
        <v>45796</v>
      </c>
      <c r="B311" s="465" t="s">
        <v>50</v>
      </c>
      <c r="C311" s="454">
        <v>4000</v>
      </c>
      <c r="D311" s="651">
        <v>11.251099999999999</v>
      </c>
      <c r="E311" s="1128">
        <f ca="1">IFERROR(C311*D311*_xlfn.XLOOKUP(B311,TabCalc[Ticker],TabCalc[Scale]),0)</f>
        <v>45004.399999999994</v>
      </c>
      <c r="F311" s="1129" cm="1">
        <f t="array" aca="1" ref="F311" ca="1">IF(A311=A310,0,SUM(_xlfn._xlws.FILTER(E311:E321,A311:A321=A311)))</f>
        <v>704784.55</v>
      </c>
      <c r="G311" s="1130">
        <f ca="1">IF(F311&lt;&gt;0,SUM($F$43:F311),0)</f>
        <v>-2150477.9606729997</v>
      </c>
      <c r="H311" s="1130" cm="1">
        <f t="array" aca="1" ref="H311" ca="1">IFERROR(IF(A311=A310,0,SUM(_xlfn._xlws.FILTER(E311:E321,(A311:A321=A311)*(E311:E321&gt;0)))),0)</f>
        <v>704784.55</v>
      </c>
      <c r="I311" s="1130" cm="1">
        <f t="array" aca="1" ref="I311" ca="1">IFERROR(IF(A311=A310,0,SUM(_xlfn._xlws.FILTER(E311:E321,(A311:A321=A311)*(F311&lt;0)))),0)</f>
        <v>0</v>
      </c>
      <c r="J311"/>
      <c r="K311"/>
      <c r="L311"/>
      <c r="M311"/>
      <c r="N311"/>
    </row>
    <row r="312" spans="1:14" hidden="1">
      <c r="A312" s="452">
        <v>45796</v>
      </c>
      <c r="B312" s="465" t="s">
        <v>28</v>
      </c>
      <c r="C312" s="454">
        <v>1000</v>
      </c>
      <c r="D312" s="651">
        <v>73.814999999999998</v>
      </c>
      <c r="E312" s="1128">
        <f ca="1">IFERROR(C312*D312*_xlfn.XLOOKUP(B312,TabCalc[Ticker],TabCalc[Scale]),0)</f>
        <v>73815</v>
      </c>
      <c r="F312" s="1129" cm="1">
        <f t="array" ref="F312">IF(A312=A311,0,SUM(_xlfn._xlws.FILTER(E312:E322,A312:A322=A312)))</f>
        <v>0</v>
      </c>
      <c r="G312" s="1130">
        <f>IF(F312&lt;&gt;0,SUM($F$43:F312),0)</f>
        <v>0</v>
      </c>
      <c r="H312" s="1130" cm="1">
        <f t="array" ref="H312">IFERROR(IF(A312=A311,0,SUM(_xlfn._xlws.FILTER(E312:E322,(A312:A322=A312)*(E312:E322&gt;0)))),0)</f>
        <v>0</v>
      </c>
      <c r="I312" s="1130" cm="1">
        <f t="array" ref="I312">IFERROR(IF(A312=A311,0,SUM(_xlfn._xlws.FILTER(E312:E322,(A312:A322=A312)*(F312&lt;0)))),0)</f>
        <v>0</v>
      </c>
      <c r="J312"/>
      <c r="K312"/>
      <c r="L312"/>
      <c r="M312"/>
      <c r="N312"/>
    </row>
    <row r="313" spans="1:14" hidden="1">
      <c r="A313" s="452">
        <v>45796</v>
      </c>
      <c r="B313" s="465" t="s">
        <v>37</v>
      </c>
      <c r="C313" s="454">
        <v>1500</v>
      </c>
      <c r="D313" s="651">
        <v>32.24</v>
      </c>
      <c r="E313" s="1128">
        <f ca="1">IFERROR(C313*D313*_xlfn.XLOOKUP(B313,TabCalc[Ticker],TabCalc[Scale]),0)</f>
        <v>48360</v>
      </c>
      <c r="F313" s="1129" cm="1">
        <f t="array" ref="F313">IF(A313=A312,0,SUM(_xlfn._xlws.FILTER(E313:E323,A313:A323=A313)))</f>
        <v>0</v>
      </c>
      <c r="G313" s="1130">
        <f>IF(F313&lt;&gt;0,SUM($F$43:F313),0)</f>
        <v>0</v>
      </c>
      <c r="H313" s="1130" cm="1">
        <f t="array" ref="H313">IFERROR(IF(A313=A312,0,SUM(_xlfn._xlws.FILTER(E313:E323,(A313:A323=A313)*(E313:E323&gt;0)))),0)</f>
        <v>0</v>
      </c>
      <c r="I313" s="1130" cm="1">
        <f t="array" ref="I313">IFERROR(IF(A313=A312,0,SUM(_xlfn._xlws.FILTER(E313:E323,(A313:A323=A313)*(F313&lt;0)))),0)</f>
        <v>0</v>
      </c>
      <c r="J313"/>
      <c r="K313"/>
      <c r="L313"/>
      <c r="M313"/>
      <c r="N313"/>
    </row>
    <row r="314" spans="1:14" hidden="1">
      <c r="A314" s="452">
        <v>45796</v>
      </c>
      <c r="B314" s="465" t="s">
        <v>38</v>
      </c>
      <c r="C314" s="454">
        <v>500</v>
      </c>
      <c r="D314" s="651">
        <v>263.875</v>
      </c>
      <c r="E314" s="1128">
        <f ca="1">IFERROR(C314*D314*_xlfn.XLOOKUP(B314,TabCalc[Ticker],TabCalc[Scale]),0)</f>
        <v>131937.5</v>
      </c>
      <c r="F314" s="1129" cm="1">
        <f t="array" ref="F314">IF(A314=A313,0,SUM(_xlfn._xlws.FILTER(E314:E324,A314:A324=A314)))</f>
        <v>0</v>
      </c>
      <c r="G314" s="1130">
        <f>IF(F314&lt;&gt;0,SUM($F$43:F314),0)</f>
        <v>0</v>
      </c>
      <c r="H314" s="1130" cm="1">
        <f t="array" ref="H314">IFERROR(IF(A314=A313,0,SUM(_xlfn._xlws.FILTER(E314:E324,(A314:A324=A314)*(E314:E324&gt;0)))),0)</f>
        <v>0</v>
      </c>
      <c r="I314" s="1130" cm="1">
        <f t="array" ref="I314">IFERROR(IF(A314=A313,0,SUM(_xlfn._xlws.FILTER(E314:E324,(A314:A324=A314)*(F314&lt;0)))),0)</f>
        <v>0</v>
      </c>
      <c r="J314"/>
      <c r="K314"/>
      <c r="L314"/>
      <c r="M314"/>
      <c r="N314"/>
    </row>
    <row r="315" spans="1:14" hidden="1">
      <c r="A315" s="452">
        <v>45796</v>
      </c>
      <c r="B315" s="465" t="s">
        <v>62</v>
      </c>
      <c r="C315" s="454">
        <v>500</v>
      </c>
      <c r="D315" s="651">
        <v>263.8</v>
      </c>
      <c r="E315" s="1128">
        <f ca="1">IFERROR(C315*D315*_xlfn.XLOOKUP(B315,TabCalc[Ticker],TabCalc[Scale]),0)</f>
        <v>131900</v>
      </c>
      <c r="F315" s="1129" cm="1">
        <f t="array" ref="F315">IF(A315=A314,0,SUM(_xlfn._xlws.FILTER(E315:E325,A315:A325=A315)))</f>
        <v>0</v>
      </c>
      <c r="G315" s="1130">
        <f>IF(F315&lt;&gt;0,SUM($F$43:F315),0)</f>
        <v>0</v>
      </c>
      <c r="H315" s="1130" cm="1">
        <f t="array" ref="H315">IFERROR(IF(A315=A314,0,SUM(_xlfn._xlws.FILTER(E315:E325,(A315:A325=A315)*(E315:E325&gt;0)))),0)</f>
        <v>0</v>
      </c>
      <c r="I315" s="1130" cm="1">
        <f t="array" ref="I315">IFERROR(IF(A315=A314,0,SUM(_xlfn._xlws.FILTER(E315:E325,(A315:A325=A315)*(F315&lt;0)))),0)</f>
        <v>0</v>
      </c>
      <c r="J315"/>
      <c r="K315"/>
      <c r="L315"/>
      <c r="M315"/>
      <c r="N315"/>
    </row>
    <row r="316" spans="1:14" hidden="1">
      <c r="A316" s="452">
        <v>45796</v>
      </c>
      <c r="B316" s="465" t="s">
        <v>8</v>
      </c>
      <c r="C316" s="454">
        <v>400</v>
      </c>
      <c r="D316" s="651">
        <v>76.105000000000004</v>
      </c>
      <c r="E316" s="1128">
        <f ca="1">IFERROR(C316*D316*_xlfn.XLOOKUP(B316,TabCalc[Ticker],TabCalc[Scale]),0)</f>
        <v>30442</v>
      </c>
      <c r="F316" s="1129" cm="1">
        <f t="array" ref="F316">IF(A316=A315,0,SUM(_xlfn._xlws.FILTER(E316:E326,A316:A326=A316)))</f>
        <v>0</v>
      </c>
      <c r="G316" s="1130">
        <f>IF(F316&lt;&gt;0,SUM($F$43:F316),0)</f>
        <v>0</v>
      </c>
      <c r="H316" s="1130" cm="1">
        <f t="array" ref="H316">IFERROR(IF(A316=A315,0,SUM(_xlfn._xlws.FILTER(E316:E326,(A316:A326=A316)*(E316:E326&gt;0)))),0)</f>
        <v>0</v>
      </c>
      <c r="I316" s="1130" cm="1">
        <f t="array" ref="I316">IFERROR(IF(A316=A315,0,SUM(_xlfn._xlws.FILTER(E316:E326,(A316:A326=A316)*(F316&lt;0)))),0)</f>
        <v>0</v>
      </c>
      <c r="J316"/>
      <c r="K316"/>
      <c r="L316"/>
      <c r="M316"/>
      <c r="N316"/>
    </row>
    <row r="317" spans="1:14" hidden="1">
      <c r="A317" s="452">
        <v>45796</v>
      </c>
      <c r="B317" s="465" t="s">
        <v>21</v>
      </c>
      <c r="C317" s="454">
        <v>1000</v>
      </c>
      <c r="D317" s="651">
        <v>29.094999999999999</v>
      </c>
      <c r="E317" s="1128">
        <f ca="1">IFERROR(C317*D317*_xlfn.XLOOKUP(B317,TabCalc[Ticker],TabCalc[Scale]),0)</f>
        <v>29095</v>
      </c>
      <c r="F317" s="1129" cm="1">
        <f t="array" ref="F317">IF(A317=A316,0,SUM(_xlfn._xlws.FILTER(E317:E327,A317:A327=A317)))</f>
        <v>0</v>
      </c>
      <c r="G317" s="1130">
        <f>IF(F317&lt;&gt;0,SUM($F$43:F317),0)</f>
        <v>0</v>
      </c>
      <c r="H317" s="1130" cm="1">
        <f t="array" ref="H317">IFERROR(IF(A317=A316,0,SUM(_xlfn._xlws.FILTER(E317:E327,(A317:A327=A317)*(E317:E327&gt;0)))),0)</f>
        <v>0</v>
      </c>
      <c r="I317" s="1130" cm="1">
        <f t="array" ref="I317">IFERROR(IF(A317=A316,0,SUM(_xlfn._xlws.FILTER(E317:E327,(A317:A327=A317)*(F317&lt;0)))),0)</f>
        <v>0</v>
      </c>
      <c r="J317"/>
      <c r="K317"/>
      <c r="L317"/>
      <c r="M317"/>
      <c r="N317"/>
    </row>
    <row r="318" spans="1:14" hidden="1">
      <c r="A318" s="452">
        <v>45796</v>
      </c>
      <c r="B318" s="465" t="s">
        <v>10</v>
      </c>
      <c r="C318" s="454">
        <v>750</v>
      </c>
      <c r="D318" s="651">
        <v>62.734999999999999</v>
      </c>
      <c r="E318" s="1128">
        <f ca="1">IFERROR(C318*D318*_xlfn.XLOOKUP(B318,TabCalc[Ticker],TabCalc[Scale]),0)</f>
        <v>47051.25</v>
      </c>
      <c r="F318" s="1129" cm="1">
        <f t="array" ref="F318">IF(A318=A317,0,SUM(_xlfn._xlws.FILTER(E318:E328,A318:A328=A318)))</f>
        <v>0</v>
      </c>
      <c r="G318" s="1130">
        <f>IF(F318&lt;&gt;0,SUM($F$43:F318),0)</f>
        <v>0</v>
      </c>
      <c r="H318" s="1130" cm="1">
        <f t="array" ref="H318">IFERROR(IF(A318=A317,0,SUM(_xlfn._xlws.FILTER(E318:E328,(A318:A328=A318)*(E318:E328&gt;0)))),0)</f>
        <v>0</v>
      </c>
      <c r="I318" s="1130" cm="1">
        <f t="array" ref="I318">IFERROR(IF(A318=A317,0,SUM(_xlfn._xlws.FILTER(E318:E328,(A318:A328=A318)*(F318&lt;0)))),0)</f>
        <v>0</v>
      </c>
      <c r="J318"/>
      <c r="K318"/>
      <c r="L318"/>
      <c r="M318"/>
      <c r="N318"/>
    </row>
    <row r="319" spans="1:14" hidden="1">
      <c r="A319" s="452">
        <v>45796</v>
      </c>
      <c r="B319" s="465" t="s">
        <v>50</v>
      </c>
      <c r="C319" s="454">
        <v>4000</v>
      </c>
      <c r="D319" s="651">
        <v>11.251099999999999</v>
      </c>
      <c r="E319" s="1128">
        <f ca="1">IFERROR(C319*D319*_xlfn.XLOOKUP(B319,TabCalc[Ticker],TabCalc[Scale]),0)</f>
        <v>45004.399999999994</v>
      </c>
      <c r="F319" s="1129" cm="1">
        <f t="array" ref="F319">IF(A319=A318,0,SUM(_xlfn._xlws.FILTER(E319:E329,A319:A329=A319)))</f>
        <v>0</v>
      </c>
      <c r="G319" s="1130">
        <f>IF(F319&lt;&gt;0,SUM($F$43:F319),0)</f>
        <v>0</v>
      </c>
      <c r="H319" s="1130" cm="1">
        <f t="array" ref="H319">IFERROR(IF(A319=A318,0,SUM(_xlfn._xlws.FILTER(E319:E329,(A319:A329=A319)*(E319:E329&gt;0)))),0)</f>
        <v>0</v>
      </c>
      <c r="I319" s="1130" cm="1">
        <f t="array" ref="I319">IFERROR(IF(A319=A318,0,SUM(_xlfn._xlws.FILTER(E319:E329,(A319:A329=A319)*(F319&lt;0)))),0)</f>
        <v>0</v>
      </c>
      <c r="J319"/>
      <c r="K319"/>
      <c r="L319"/>
      <c r="M319"/>
      <c r="N319"/>
    </row>
    <row r="320" spans="1:14" hidden="1">
      <c r="A320" s="452">
        <v>45796</v>
      </c>
      <c r="B320" s="465" t="s">
        <v>28</v>
      </c>
      <c r="C320" s="454">
        <v>1000</v>
      </c>
      <c r="D320" s="651">
        <v>73.814999999999998</v>
      </c>
      <c r="E320" s="1128">
        <f ca="1">IFERROR(C320*D320*_xlfn.XLOOKUP(B320,TabCalc[Ticker],TabCalc[Scale]),0)</f>
        <v>73815</v>
      </c>
      <c r="F320" s="1129" cm="1">
        <f t="array" ref="F320">IF(A320=A319,0,SUM(_xlfn._xlws.FILTER(E320:E330,A320:A330=A320)))</f>
        <v>0</v>
      </c>
      <c r="G320" s="1130">
        <f>IF(F320&lt;&gt;0,SUM($F$43:F320),0)</f>
        <v>0</v>
      </c>
      <c r="H320" s="1130" cm="1">
        <f t="array" ref="H320">IFERROR(IF(A320=A319,0,SUM(_xlfn._xlws.FILTER(E320:E330,(A320:A330=A320)*(E320:E330&gt;0)))),0)</f>
        <v>0</v>
      </c>
      <c r="I320" s="1130" cm="1">
        <f t="array" ref="I320">IFERROR(IF(A320=A319,0,SUM(_xlfn._xlws.FILTER(E320:E330,(A320:A330=A320)*(F320&lt;0)))),0)</f>
        <v>0</v>
      </c>
      <c r="J320"/>
      <c r="K320"/>
      <c r="L320"/>
      <c r="M320"/>
      <c r="N320"/>
    </row>
    <row r="321" spans="1:14" hidden="1">
      <c r="A321" s="452">
        <v>45796</v>
      </c>
      <c r="B321" s="465" t="s">
        <v>37</v>
      </c>
      <c r="C321" s="454">
        <v>1500</v>
      </c>
      <c r="D321" s="651">
        <v>32.24</v>
      </c>
      <c r="E321" s="1128">
        <f ca="1">IFERROR(C321*D321*_xlfn.XLOOKUP(B321,TabCalc[Ticker],TabCalc[Scale]),0)</f>
        <v>48360</v>
      </c>
      <c r="F321" s="1129" cm="1">
        <f t="array" ref="F321">IF(A321=A320,0,SUM(_xlfn._xlws.FILTER(E321:E331,A321:A331=A321)))</f>
        <v>0</v>
      </c>
      <c r="G321" s="1130">
        <f>IF(F321&lt;&gt;0,SUM($F$43:F321),0)</f>
        <v>0</v>
      </c>
      <c r="H321" s="1130" cm="1">
        <f t="array" ref="H321">IFERROR(IF(A321=A320,0,SUM(_xlfn._xlws.FILTER(E321:E331,(A321:A331=A321)*(E321:E331&gt;0)))),0)</f>
        <v>0</v>
      </c>
      <c r="I321" s="1130" cm="1">
        <f t="array" ref="I321">IFERROR(IF(A321=A320,0,SUM(_xlfn._xlws.FILTER(E321:E331,(A321:A331=A321)*(F321&lt;0)))),0)</f>
        <v>0</v>
      </c>
      <c r="J321"/>
      <c r="K321"/>
      <c r="L321"/>
      <c r="M321"/>
      <c r="N321"/>
    </row>
    <row r="322" spans="1:14" hidden="1">
      <c r="A322" s="452">
        <v>45796</v>
      </c>
      <c r="B322" s="465" t="s">
        <v>38</v>
      </c>
      <c r="C322" s="454">
        <v>500</v>
      </c>
      <c r="D322" s="651">
        <v>263.875</v>
      </c>
      <c r="E322" s="1128">
        <f ca="1">IFERROR(C322*D322*_xlfn.XLOOKUP(B322,TabCalc[Ticker],TabCalc[Scale]),0)</f>
        <v>131937.5</v>
      </c>
      <c r="F322" s="1129" cm="1">
        <f t="array" ref="F322">IF(A322=A321,0,SUM(_xlfn._xlws.FILTER(E322:E332,A322:A332=A322)))</f>
        <v>0</v>
      </c>
      <c r="G322" s="1130">
        <f>IF(F322&lt;&gt;0,SUM($F$43:F322),0)</f>
        <v>0</v>
      </c>
      <c r="H322" s="1130" cm="1">
        <f t="array" ref="H322">IFERROR(IF(A322=A321,0,SUM(_xlfn._xlws.FILTER(E322:E332,(A322:A332=A322)*(E322:E332&gt;0)))),0)</f>
        <v>0</v>
      </c>
      <c r="I322" s="1130" cm="1">
        <f t="array" ref="I322">IFERROR(IF(A322=A321,0,SUM(_xlfn._xlws.FILTER(E322:E332,(A322:A332=A322)*(F322&lt;0)))),0)</f>
        <v>0</v>
      </c>
      <c r="J322"/>
      <c r="K322"/>
      <c r="L322"/>
      <c r="M322"/>
      <c r="N322"/>
    </row>
    <row r="323" spans="1:14" hidden="1">
      <c r="A323" s="452">
        <v>45796</v>
      </c>
      <c r="B323" s="465" t="s">
        <v>62</v>
      </c>
      <c r="C323" s="454">
        <v>500</v>
      </c>
      <c r="D323" s="651">
        <v>263.8</v>
      </c>
      <c r="E323" s="1128">
        <f ca="1">IFERROR(C323*D323*_xlfn.XLOOKUP(B323,TabCalc[Ticker],TabCalc[Scale]),0)</f>
        <v>131900</v>
      </c>
      <c r="F323" s="1129" cm="1">
        <f t="array" ref="F323">IF(A323=A322,0,SUM(_xlfn._xlws.FILTER(E323:E333,A323:A333=A323)))</f>
        <v>0</v>
      </c>
      <c r="G323" s="1130">
        <f>IF(F323&lt;&gt;0,SUM($F$43:F323),0)</f>
        <v>0</v>
      </c>
      <c r="H323" s="1130" cm="1">
        <f t="array" ref="H323">IFERROR(IF(A323=A322,0,SUM(_xlfn._xlws.FILTER(E323:E333,(A323:A333=A323)*(E323:E333&gt;0)))),0)</f>
        <v>0</v>
      </c>
      <c r="I323" s="1130" cm="1">
        <f t="array" ref="I323">IFERROR(IF(A323=A322,0,SUM(_xlfn._xlws.FILTER(E323:E333,(A323:A333=A323)*(F323&lt;0)))),0)</f>
        <v>0</v>
      </c>
      <c r="J323"/>
      <c r="K323"/>
      <c r="L323"/>
      <c r="M323"/>
      <c r="N323"/>
    </row>
    <row r="324" spans="1:14" hidden="1">
      <c r="A324" s="452">
        <v>45796</v>
      </c>
      <c r="B324" s="465" t="s">
        <v>8</v>
      </c>
      <c r="C324" s="454">
        <v>400</v>
      </c>
      <c r="D324" s="651">
        <v>76.105000000000004</v>
      </c>
      <c r="E324" s="1128">
        <f ca="1">IFERROR(C324*D324*_xlfn.XLOOKUP(B324,TabCalc[Ticker],TabCalc[Scale]),0)</f>
        <v>30442</v>
      </c>
      <c r="F324" s="1129" cm="1">
        <f t="array" ref="F324">IF(A324=A323,0,SUM(_xlfn._xlws.FILTER(E324:E334,A324:A334=A324)))</f>
        <v>0</v>
      </c>
      <c r="G324" s="1130">
        <f>IF(F324&lt;&gt;0,SUM($F$43:F324),0)</f>
        <v>0</v>
      </c>
      <c r="H324" s="1130" cm="1">
        <f t="array" ref="H324">IFERROR(IF(A324=A323,0,SUM(_xlfn._xlws.FILTER(E324:E334,(A324:A334=A324)*(E324:E334&gt;0)))),0)</f>
        <v>0</v>
      </c>
      <c r="I324" s="1130" cm="1">
        <f t="array" ref="I324">IFERROR(IF(A324=A323,0,SUM(_xlfn._xlws.FILTER(E324:E334,(A324:A334=A324)*(F324&lt;0)))),0)</f>
        <v>0</v>
      </c>
      <c r="J324"/>
      <c r="K324"/>
      <c r="L324"/>
      <c r="M324"/>
      <c r="N324"/>
    </row>
    <row r="325" spans="1:14" hidden="1">
      <c r="A325" s="452">
        <v>45796</v>
      </c>
      <c r="B325" s="465" t="s">
        <v>21</v>
      </c>
      <c r="C325" s="454">
        <v>1000</v>
      </c>
      <c r="D325" s="651">
        <v>29.094999999999999</v>
      </c>
      <c r="E325" s="1128">
        <f ca="1">IFERROR(C325*D325*_xlfn.XLOOKUP(B325,TabCalc[Ticker],TabCalc[Scale]),0)</f>
        <v>29095</v>
      </c>
      <c r="F325" s="1129" cm="1">
        <f t="array" ref="F325">IF(A325=A324,0,SUM(_xlfn._xlws.FILTER(E325:E335,A325:A335=A325)))</f>
        <v>0</v>
      </c>
      <c r="G325" s="1130">
        <f>IF(F325&lt;&gt;0,SUM($F$43:F325),0)</f>
        <v>0</v>
      </c>
      <c r="H325" s="1130" cm="1">
        <f t="array" ref="H325">IFERROR(IF(A325=A324,0,SUM(_xlfn._xlws.FILTER(E325:E335,(A325:A335=A325)*(E325:E335&gt;0)))),0)</f>
        <v>0</v>
      </c>
      <c r="I325" s="1130" cm="1">
        <f t="array" ref="I325">IFERROR(IF(A325=A324,0,SUM(_xlfn._xlws.FILTER(E325:E335,(A325:A335=A325)*(F325&lt;0)))),0)</f>
        <v>0</v>
      </c>
      <c r="J325"/>
      <c r="K325"/>
      <c r="L325"/>
      <c r="M325"/>
      <c r="N325"/>
    </row>
    <row r="326" spans="1:14" hidden="1">
      <c r="A326" s="452">
        <v>45796</v>
      </c>
      <c r="B326" s="465" t="s">
        <v>10</v>
      </c>
      <c r="C326" s="454">
        <v>750</v>
      </c>
      <c r="D326" s="651">
        <v>62.734999999999999</v>
      </c>
      <c r="E326" s="1128">
        <f ca="1">IFERROR(C326*D326*_xlfn.XLOOKUP(B326,TabCalc[Ticker],TabCalc[Scale]),0)</f>
        <v>47051.25</v>
      </c>
      <c r="F326" s="1129" cm="1">
        <f t="array" ref="F326">IF(A326=A325,0,SUM(_xlfn._xlws.FILTER(E326:E336,A326:A336=A326)))</f>
        <v>0</v>
      </c>
      <c r="G326" s="1130">
        <f>IF(F326&lt;&gt;0,SUM($F$43:F326),0)</f>
        <v>0</v>
      </c>
      <c r="H326" s="1130" cm="1">
        <f t="array" ref="H326">IFERROR(IF(A326=A325,0,SUM(_xlfn._xlws.FILTER(E326:E336,(A326:A336=A326)*(E326:E336&gt;0)))),0)</f>
        <v>0</v>
      </c>
      <c r="I326" s="1130" cm="1">
        <f t="array" ref="I326">IFERROR(IF(A326=A325,0,SUM(_xlfn._xlws.FILTER(E326:E336,(A326:A336=A326)*(F326&lt;0)))),0)</f>
        <v>0</v>
      </c>
      <c r="J326"/>
      <c r="K326"/>
      <c r="L326"/>
      <c r="M326"/>
      <c r="N326"/>
    </row>
    <row r="327" spans="1:14" hidden="1">
      <c r="A327" s="466">
        <v>45799</v>
      </c>
      <c r="B327" s="448" t="s">
        <v>42</v>
      </c>
      <c r="C327" s="468">
        <v>3000</v>
      </c>
      <c r="D327" s="448">
        <v>13.3</v>
      </c>
      <c r="E327" s="1128">
        <f ca="1">IFERROR(C327*D327*_xlfn.XLOOKUP(B327,TabCalc[Ticker],TabCalc[Scale]),0)</f>
        <v>39900</v>
      </c>
      <c r="F327" s="1129" cm="1">
        <f t="array" aca="1" ref="F327" ca="1">IF(A327=A326,0,SUM(_xlfn._xlws.FILTER(E327:E337,A327:A337=A327)))</f>
        <v>39900</v>
      </c>
      <c r="G327" s="1130">
        <f ca="1">IF(F327&lt;&gt;0,SUM($F$43:F327),0)</f>
        <v>-2110577.9606729997</v>
      </c>
      <c r="H327" s="1130" cm="1">
        <f t="array" aca="1" ref="H327" ca="1">IFERROR(IF(A327=A326,0,SUM(_xlfn._xlws.FILTER(E327:E337,(A327:A337=A327)*(E327:E337&gt;0)))),0)</f>
        <v>39900</v>
      </c>
      <c r="I327" s="1130" cm="1">
        <f t="array" aca="1" ref="I327" ca="1">IFERROR(IF(A327=A326,0,SUM(_xlfn._xlws.FILTER(E327:E337,(A327:A337=A327)*(F327&lt;0)))),0)</f>
        <v>0</v>
      </c>
      <c r="J327"/>
      <c r="K327"/>
      <c r="L327"/>
      <c r="M327"/>
      <c r="N327"/>
    </row>
    <row r="328" spans="1:14" hidden="1">
      <c r="A328" s="452">
        <v>45800</v>
      </c>
      <c r="B328" s="465" t="s">
        <v>18</v>
      </c>
      <c r="C328" s="454">
        <v>3000</v>
      </c>
      <c r="D328" s="651">
        <v>15.547513</v>
      </c>
      <c r="E328" s="1128">
        <f ca="1">IFERROR(C328*D328*_xlfn.XLOOKUP(B328,TabCalc[Ticker],TabCalc[Scale]),0)</f>
        <v>46642.539000000004</v>
      </c>
      <c r="F328" s="1129" cm="1">
        <f t="array" aca="1" ref="F328" ca="1">IF(A328=A327,0,SUM(_xlfn._xlws.FILTER(E328:E338,A328:A338=A328)))</f>
        <v>-151472.96100000001</v>
      </c>
      <c r="G328" s="1130">
        <f ca="1">IF(F328&lt;&gt;0,SUM($F$43:F328),0)</f>
        <v>-2262050.9216729999</v>
      </c>
      <c r="H328" s="1130" cm="1">
        <f t="array" aca="1" ref="H328" ca="1">IFERROR(IF(A328=A327,0,SUM(_xlfn._xlws.FILTER(E328:E338,(A328:A338=A328)*(E328:E338&gt;0)))),0)</f>
        <v>244418.03899999999</v>
      </c>
      <c r="I328" s="1130" cm="1">
        <f t="array" aca="1" ref="I328" ca="1">IFERROR(IF(A328=A327,0,SUM(_xlfn._xlws.FILTER(E328:E338,(A328:A338=A328)*(F328&lt;0)))),0)</f>
        <v>-151472.96100000001</v>
      </c>
      <c r="J328"/>
      <c r="K328"/>
      <c r="L328"/>
      <c r="M328"/>
      <c r="N328"/>
    </row>
    <row r="329" spans="1:14" hidden="1">
      <c r="A329" s="452">
        <v>45800</v>
      </c>
      <c r="B329" s="465" t="s">
        <v>88</v>
      </c>
      <c r="C329" s="454">
        <v>650</v>
      </c>
      <c r="D329" s="651">
        <v>160.91</v>
      </c>
      <c r="E329" s="1128">
        <f ca="1">IFERROR(C329*D329*_xlfn.XLOOKUP(B329,TabCalc[Ticker],TabCalc[Scale]),0)</f>
        <v>104591.5</v>
      </c>
      <c r="F329" s="1129" cm="1">
        <f t="array" ref="F329">IF(A329=A328,0,SUM(_xlfn._xlws.FILTER(E329:E339,A329:A339=A329)))</f>
        <v>0</v>
      </c>
      <c r="G329" s="1130">
        <f>IF(F329&lt;&gt;0,SUM($F$43:F329),0)</f>
        <v>0</v>
      </c>
      <c r="H329" s="1130" cm="1">
        <f t="array" ref="H329">IFERROR(IF(A329=A328,0,SUM(_xlfn._xlws.FILTER(E329:E339,(A329:A339=A329)*(E329:E339&gt;0)))),0)</f>
        <v>0</v>
      </c>
      <c r="I329" s="1130" cm="1">
        <f t="array" ref="I329">IFERROR(IF(A329=A328,0,SUM(_xlfn._xlws.FILTER(E329:E339,(A329:A339=A329)*(F329&lt;0)))),0)</f>
        <v>0</v>
      </c>
      <c r="J329"/>
      <c r="K329"/>
      <c r="L329"/>
      <c r="M329"/>
      <c r="N329"/>
    </row>
    <row r="330" spans="1:14" hidden="1">
      <c r="A330" s="452">
        <v>45800</v>
      </c>
      <c r="B330" s="465" t="s">
        <v>46</v>
      </c>
      <c r="C330" s="454">
        <v>200</v>
      </c>
      <c r="D330" s="651">
        <v>229.82</v>
      </c>
      <c r="E330" s="1128">
        <f ca="1">IFERROR(C330*D330*_xlfn.XLOOKUP(B330,TabCalc[Ticker],TabCalc[Scale]),0)</f>
        <v>45964</v>
      </c>
      <c r="F330" s="1129" cm="1">
        <f t="array" ref="F330">IF(A330=A329,0,SUM(_xlfn._xlws.FILTER(E330:E340,A330:A340=A330)))</f>
        <v>0</v>
      </c>
      <c r="G330" s="1130">
        <f>IF(F330&lt;&gt;0,SUM($F$43:F330),0)</f>
        <v>0</v>
      </c>
      <c r="H330" s="1130" cm="1">
        <f t="array" ref="H330">IFERROR(IF(A330=A329,0,SUM(_xlfn._xlws.FILTER(E330:E340,(A330:A340=A330)*(E330:E340&gt;0)))),0)</f>
        <v>0</v>
      </c>
      <c r="I330" s="1130" cm="1">
        <f t="array" ref="I330">IFERROR(IF(A330=A329,0,SUM(_xlfn._xlws.FILTER(E330:E340,(A330:A340=A330)*(F330&lt;0)))),0)</f>
        <v>0</v>
      </c>
      <c r="J330"/>
      <c r="K330"/>
      <c r="L330"/>
      <c r="M330"/>
      <c r="N330"/>
    </row>
    <row r="331" spans="1:14" hidden="1">
      <c r="A331" s="452">
        <v>45800</v>
      </c>
      <c r="B331" s="465" t="s">
        <v>74</v>
      </c>
      <c r="C331" s="454">
        <v>10000</v>
      </c>
      <c r="D331" s="651">
        <v>-12.82</v>
      </c>
      <c r="E331" s="1128">
        <f ca="1">IFERROR(C331*D331*_xlfn.XLOOKUP(B331,TabCalc[Ticker],TabCalc[Scale]),0)</f>
        <v>-128200</v>
      </c>
      <c r="F331" s="1129" cm="1">
        <f t="array" ref="F331">IF(A331=A330,0,SUM(_xlfn._xlws.FILTER(E331:E341,A331:A341=A331)))</f>
        <v>0</v>
      </c>
      <c r="G331" s="1130">
        <f>IF(F331&lt;&gt;0,SUM($F$43:F331),0)</f>
        <v>0</v>
      </c>
      <c r="H331" s="1130" cm="1">
        <f t="array" ref="H331">IFERROR(IF(A331=A330,0,SUM(_xlfn._xlws.FILTER(E331:E341,(A331:A341=A331)*(E331:E341&gt;0)))),0)</f>
        <v>0</v>
      </c>
      <c r="I331" s="1130" cm="1">
        <f t="array" ref="I331">IFERROR(IF(A331=A330,0,SUM(_xlfn._xlws.FILTER(E331:E341,(A331:A341=A331)*(F331&lt;0)))),0)</f>
        <v>0</v>
      </c>
      <c r="J331"/>
      <c r="K331"/>
      <c r="L331"/>
      <c r="M331"/>
      <c r="N331"/>
    </row>
    <row r="332" spans="1:14" hidden="1">
      <c r="A332" s="452">
        <v>45800</v>
      </c>
      <c r="B332" s="465" t="s">
        <v>37</v>
      </c>
      <c r="C332" s="454">
        <v>4000</v>
      </c>
      <c r="D332" s="651">
        <v>-32.119999999999997</v>
      </c>
      <c r="E332" s="1128">
        <f ca="1">IFERROR(C332*D332*_xlfn.XLOOKUP(B332,TabCalc[Ticker],TabCalc[Scale]),0)</f>
        <v>-128479.99999999999</v>
      </c>
      <c r="F332" s="1129" cm="1">
        <f t="array" ref="F332">IF(A332=A331,0,SUM(_xlfn._xlws.FILTER(E332:E342,A332:A342=A332)))</f>
        <v>0</v>
      </c>
      <c r="G332" s="1130">
        <f>IF(F332&lt;&gt;0,SUM($F$43:F332),0)</f>
        <v>0</v>
      </c>
      <c r="H332" s="1130" cm="1">
        <f t="array" ref="H332">IFERROR(IF(A332=A331,0,SUM(_xlfn._xlws.FILTER(E332:E342,(A332:A342=A332)*(E332:E342&gt;0)))),0)</f>
        <v>0</v>
      </c>
      <c r="I332" s="1130" cm="1">
        <f t="array" ref="I332">IFERROR(IF(A332=A331,0,SUM(_xlfn._xlws.FILTER(E332:E342,(A332:A342=A332)*(F332&lt;0)))),0)</f>
        <v>0</v>
      </c>
      <c r="J332"/>
      <c r="K332"/>
      <c r="L332"/>
      <c r="M332"/>
      <c r="N332"/>
    </row>
    <row r="333" spans="1:14" hidden="1">
      <c r="A333" s="452">
        <v>45800</v>
      </c>
      <c r="B333" s="465" t="s">
        <v>22</v>
      </c>
      <c r="C333" s="454">
        <v>10000</v>
      </c>
      <c r="D333" s="651">
        <v>-317.01</v>
      </c>
      <c r="E333" s="1128">
        <f ca="1">IFERROR(C333*D333*_xlfn.XLOOKUP(B333,TabCalc[Ticker],TabCalc[Scale]),0)</f>
        <v>-31701</v>
      </c>
      <c r="F333" s="1129" cm="1">
        <f t="array" ref="F333">IF(A333=A332,0,SUM(_xlfn._xlws.FILTER(E333:E343,A333:A343=A333)))</f>
        <v>0</v>
      </c>
      <c r="G333" s="1130">
        <f>IF(F333&lt;&gt;0,SUM($F$43:F333),0)</f>
        <v>0</v>
      </c>
      <c r="H333" s="1130" cm="1">
        <f t="array" ref="H333">IFERROR(IF(A333=A332,0,SUM(_xlfn._xlws.FILTER(E333:E343,(A333:A343=A333)*(E333:E343&gt;0)))),0)</f>
        <v>0</v>
      </c>
      <c r="I333" s="1130" cm="1">
        <f t="array" ref="I333">IFERROR(IF(A333=A332,0,SUM(_xlfn._xlws.FILTER(E333:E343,(A333:A343=A333)*(F333&lt;0)))),0)</f>
        <v>0</v>
      </c>
      <c r="J333"/>
      <c r="K333"/>
      <c r="L333"/>
      <c r="M333"/>
      <c r="N333"/>
    </row>
    <row r="334" spans="1:14" hidden="1">
      <c r="A334" s="452">
        <v>45800</v>
      </c>
      <c r="B334" s="465" t="s">
        <v>28</v>
      </c>
      <c r="C334" s="454">
        <v>1000</v>
      </c>
      <c r="D334" s="651">
        <v>-66.36</v>
      </c>
      <c r="E334" s="1128">
        <f ca="1">IFERROR(C334*D334*_xlfn.XLOOKUP(B334,TabCalc[Ticker],TabCalc[Scale]),0)</f>
        <v>-66360</v>
      </c>
      <c r="F334" s="1129" cm="1">
        <f t="array" ref="F334">IF(A334=A333,0,SUM(_xlfn._xlws.FILTER(E334:E344,A334:A344=A334)))</f>
        <v>0</v>
      </c>
      <c r="G334" s="1130">
        <f>IF(F334&lt;&gt;0,SUM($F$43:F334),0)</f>
        <v>0</v>
      </c>
      <c r="H334" s="1130" cm="1">
        <f t="array" ref="H334">IFERROR(IF(A334=A333,0,SUM(_xlfn._xlws.FILTER(E334:E344,(A334:A344=A334)*(E334:E344&gt;0)))),0)</f>
        <v>0</v>
      </c>
      <c r="I334" s="1130" cm="1">
        <f t="array" ref="I334">IFERROR(IF(A334=A333,0,SUM(_xlfn._xlws.FILTER(E334:E344,(A334:A344=A334)*(F334&lt;0)))),0)</f>
        <v>0</v>
      </c>
      <c r="J334"/>
      <c r="K334"/>
      <c r="L334"/>
      <c r="M334"/>
      <c r="N334"/>
    </row>
    <row r="335" spans="1:14" hidden="1">
      <c r="A335" s="452">
        <v>45800</v>
      </c>
      <c r="B335" s="465" t="s">
        <v>49</v>
      </c>
      <c r="C335" s="454">
        <v>5000</v>
      </c>
      <c r="D335" s="651">
        <v>-8.23</v>
      </c>
      <c r="E335" s="1128">
        <f ca="1">IFERROR(C335*D335*_xlfn.XLOOKUP(B335,TabCalc[Ticker],TabCalc[Scale]),0)</f>
        <v>-41150</v>
      </c>
      <c r="F335" s="1129" cm="1">
        <f t="array" ref="F335">IF(A335=A334,0,SUM(_xlfn._xlws.FILTER(E335:E345,A335:A345=A335)))</f>
        <v>0</v>
      </c>
      <c r="G335" s="1130">
        <f>IF(F335&lt;&gt;0,SUM($F$43:F335),0)</f>
        <v>0</v>
      </c>
      <c r="H335" s="1130" cm="1">
        <f t="array" ref="H335">IFERROR(IF(A335=A334,0,SUM(_xlfn._xlws.FILTER(E335:E345,(A335:A345=A335)*(E335:E345&gt;0)))),0)</f>
        <v>0</v>
      </c>
      <c r="I335" s="1130" cm="1">
        <f t="array" ref="I335">IFERROR(IF(A335=A334,0,SUM(_xlfn._xlws.FILTER(E335:E345,(A335:A345=A335)*(F335&lt;0)))),0)</f>
        <v>0</v>
      </c>
      <c r="J335"/>
      <c r="K335"/>
      <c r="L335"/>
      <c r="M335"/>
      <c r="N335"/>
    </row>
    <row r="336" spans="1:14" hidden="1">
      <c r="A336" s="452">
        <v>45800</v>
      </c>
      <c r="B336" s="465" t="s">
        <v>1792</v>
      </c>
      <c r="C336" s="454">
        <v>3000</v>
      </c>
      <c r="D336" s="651">
        <v>15.74</v>
      </c>
      <c r="E336" s="1128">
        <f ca="1">IFERROR(C336*D336*_xlfn.XLOOKUP(B336,TabCalc[Ticker],TabCalc[Scale]),0)</f>
        <v>47220</v>
      </c>
      <c r="F336" s="1129" cm="1">
        <f t="array" ref="F336">IF(A336=A335,0,SUM(_xlfn._xlws.FILTER(E336:E346,A336:A346=A336)))</f>
        <v>0</v>
      </c>
      <c r="G336" s="1130">
        <f>IF(F336&lt;&gt;0,SUM($F$43:F336),0)</f>
        <v>0</v>
      </c>
      <c r="H336" s="1130" cm="1">
        <f t="array" ref="H336">IFERROR(IF(A336=A335,0,SUM(_xlfn._xlws.FILTER(E336:E346,(A336:A346=A336)*(E336:E346&gt;0)))),0)</f>
        <v>0</v>
      </c>
      <c r="I336" s="1130" cm="1">
        <f t="array" ref="I336">IFERROR(IF(A336=A335,0,SUM(_xlfn._xlws.FILTER(E336:E346,(A336:A346=A336)*(F336&lt;0)))),0)</f>
        <v>0</v>
      </c>
      <c r="J336"/>
      <c r="K336"/>
      <c r="L336"/>
      <c r="M336"/>
      <c r="N336"/>
    </row>
    <row r="337" spans="1:14" hidden="1">
      <c r="A337" s="466">
        <v>45804</v>
      </c>
      <c r="B337" s="448" t="s">
        <v>22</v>
      </c>
      <c r="C337" s="468">
        <v>40000</v>
      </c>
      <c r="D337" s="448">
        <v>333.9</v>
      </c>
      <c r="E337" s="1128">
        <f ca="1">IFERROR(C337*D337*_xlfn.XLOOKUP(B337,TabCalc[Ticker],TabCalc[Scale]),0)</f>
        <v>133560</v>
      </c>
      <c r="F337" s="1129" cm="1">
        <f t="array" aca="1" ref="F337" ca="1">IF(A337=A336,0,SUM(_xlfn._xlws.FILTER(E337:E347,A337:A347=A337)))</f>
        <v>133560</v>
      </c>
      <c r="G337" s="1130">
        <f ca="1">IF(F337&lt;&gt;0,SUM($F$43:F337),0)</f>
        <v>-2128490.9216729999</v>
      </c>
      <c r="H337" s="1130" cm="1">
        <f t="array" aca="1" ref="H337" ca="1">IFERROR(IF(A337=A336,0,SUM(_xlfn._xlws.FILTER(E337:E347,(A337:A347=A337)*(E337:E347&gt;0)))),0)</f>
        <v>133560</v>
      </c>
      <c r="I337" s="1130" cm="1">
        <f t="array" aca="1" ref="I337" ca="1">IFERROR(IF(A337=A336,0,SUM(_xlfn._xlws.FILTER(E337:E347,(A337:A347=A337)*(F337&lt;0)))),0)</f>
        <v>0</v>
      </c>
      <c r="J337"/>
      <c r="K337"/>
      <c r="L337"/>
      <c r="M337"/>
      <c r="N337"/>
    </row>
    <row r="338" spans="1:14" hidden="1">
      <c r="A338" s="466">
        <v>45806</v>
      </c>
      <c r="B338" s="448" t="s">
        <v>31</v>
      </c>
      <c r="C338" s="468">
        <v>1000</v>
      </c>
      <c r="D338" s="448">
        <v>-24.42</v>
      </c>
      <c r="E338" s="1128">
        <f ca="1">IFERROR(C338*D338*_xlfn.XLOOKUP(B338,TabCalc[Ticker],TabCalc[Scale]),0)</f>
        <v>-24420</v>
      </c>
      <c r="F338" s="1129" cm="1">
        <f t="array" aca="1" ref="F338" ca="1">IF(A338=A337,0,SUM(_xlfn._xlws.FILTER(E338:E348,A338:A348=A338)))</f>
        <v>137812.25</v>
      </c>
      <c r="G338" s="1130">
        <f ca="1">IF(F338&lt;&gt;0,SUM($F$43:F338),0)</f>
        <v>-1990678.6716729999</v>
      </c>
      <c r="H338" s="1130" cm="1">
        <f t="array" aca="1" ref="H338" ca="1">IFERROR(IF(A338=A337,0,SUM(_xlfn._xlws.FILTER(E338:E348,(A338:A348=A338)*(E338:E348&gt;0)))),0)</f>
        <v>162232.25</v>
      </c>
      <c r="I338" s="1130" cm="1">
        <f t="array" aca="1" ref="I338" ca="1">IFERROR(IF(A338=A337,0,SUM(_xlfn._xlws.FILTER(E338:E348,(A338:A348=A338)*(F338&lt;0)))),0)</f>
        <v>0</v>
      </c>
      <c r="J338"/>
      <c r="K338"/>
      <c r="L338"/>
      <c r="M338"/>
      <c r="N338"/>
    </row>
    <row r="339" spans="1:14" hidden="1">
      <c r="A339" s="466">
        <v>45806</v>
      </c>
      <c r="B339" s="448" t="s">
        <v>46</v>
      </c>
      <c r="C339" s="468">
        <v>250</v>
      </c>
      <c r="D339" s="448">
        <v>241.72900000000001</v>
      </c>
      <c r="E339" s="1128">
        <f ca="1">IFERROR(C339*D339*_xlfn.XLOOKUP(B339,TabCalc[Ticker],TabCalc[Scale]),0)</f>
        <v>60432.25</v>
      </c>
      <c r="F339" s="1129" cm="1">
        <f t="array" ref="F339">IF(A339=A338,0,SUM(_xlfn._xlws.FILTER(E339:E349,A339:A349=A339)))</f>
        <v>0</v>
      </c>
      <c r="G339" s="1130">
        <f>IF(F339&lt;&gt;0,SUM($F$43:F339),0)</f>
        <v>0</v>
      </c>
      <c r="H339" s="1130" cm="1">
        <f t="array" ref="H339">IFERROR(IF(A339=A338,0,SUM(_xlfn._xlws.FILTER(E339:E349,(A339:A349=A339)*(E339:E349&gt;0)))),0)</f>
        <v>0</v>
      </c>
      <c r="I339" s="1130" cm="1">
        <f t="array" ref="I339">IFERROR(IF(A339=A338,0,SUM(_xlfn._xlws.FILTER(E339:E349,(A339:A349=A339)*(F339&lt;0)))),0)</f>
        <v>0</v>
      </c>
      <c r="J339"/>
      <c r="K339"/>
      <c r="L339"/>
      <c r="M339"/>
      <c r="N339"/>
    </row>
    <row r="340" spans="1:14" hidden="1">
      <c r="A340" s="466">
        <v>45806</v>
      </c>
      <c r="B340" s="448" t="s">
        <v>79</v>
      </c>
      <c r="C340" s="468">
        <v>10000</v>
      </c>
      <c r="D340" s="448">
        <v>10.18</v>
      </c>
      <c r="E340" s="1128">
        <f ca="1">IFERROR(C340*D340*_xlfn.XLOOKUP(B340,TabCalc[Ticker],TabCalc[Scale]),0)</f>
        <v>101800</v>
      </c>
      <c r="F340" s="1129" cm="1">
        <f t="array" ref="F340">IF(A340=A339,0,SUM(_xlfn._xlws.FILTER(E340:E350,A340:A350=A340)))</f>
        <v>0</v>
      </c>
      <c r="G340" s="1130">
        <f>IF(F340&lt;&gt;0,SUM($F$43:F340),0)</f>
        <v>0</v>
      </c>
      <c r="H340" s="1130" cm="1">
        <f t="array" ref="H340">IFERROR(IF(A340=A339,0,SUM(_xlfn._xlws.FILTER(E340:E350,(A340:A350=A340)*(E340:E350&gt;0)))),0)</f>
        <v>0</v>
      </c>
      <c r="I340" s="1130" cm="1">
        <f t="array" ref="I340">IFERROR(IF(A340=A339,0,SUM(_xlfn._xlws.FILTER(E340:E350,(A340:A350=A340)*(F340&lt;0)))),0)</f>
        <v>0</v>
      </c>
      <c r="J340"/>
      <c r="K340"/>
      <c r="L340"/>
      <c r="M340"/>
      <c r="N340"/>
    </row>
    <row r="341" spans="1:14" hidden="1">
      <c r="A341" s="452">
        <v>45807</v>
      </c>
      <c r="B341" s="465" t="s">
        <v>13</v>
      </c>
      <c r="C341" s="454">
        <v>500</v>
      </c>
      <c r="D341" s="651">
        <v>-32.950000000000003</v>
      </c>
      <c r="E341" s="1128">
        <f ca="1">IFERROR(C341*D341*_xlfn.XLOOKUP(B341,TabCalc[Ticker],TabCalc[Scale]),0)</f>
        <v>-16475</v>
      </c>
      <c r="F341" s="1129" cm="1">
        <f t="array" aca="1" ref="F341" ca="1">IF(A341=A340,0,SUM(_xlfn._xlws.FILTER(E341:E351,A341:A351=A341)))</f>
        <v>-1289260.112</v>
      </c>
      <c r="G341" s="1130">
        <f ca="1">IF(F341&lt;&gt;0,SUM($F$43:F341),0)</f>
        <v>-3279938.7836729996</v>
      </c>
      <c r="H341" s="1130" cm="1">
        <f t="array" aca="1" ref="H341" ca="1">IFERROR(IF(A341=A340,0,SUM(_xlfn._xlws.FILTER(E341:E351,(A341:A351=A341)*(E341:E351&gt;0)))),0)</f>
        <v>0</v>
      </c>
      <c r="I341" s="1130" cm="1">
        <f t="array" aca="1" ref="I341" ca="1">IFERROR(IF(A341=A340,0,SUM(_xlfn._xlws.FILTER(E341:E351,(A341:A351=A341)*(F341&lt;0)))),0)</f>
        <v>-1289260.112</v>
      </c>
      <c r="J341"/>
      <c r="K341"/>
      <c r="L341"/>
      <c r="M341"/>
      <c r="N341"/>
    </row>
    <row r="342" spans="1:14" hidden="1">
      <c r="A342" s="452">
        <v>45807</v>
      </c>
      <c r="B342" s="465" t="s">
        <v>56</v>
      </c>
      <c r="C342" s="454">
        <v>4000</v>
      </c>
      <c r="D342" s="651">
        <v>-32.950000000000003</v>
      </c>
      <c r="E342" s="1128">
        <f ca="1">IFERROR(C342*D342*_xlfn.XLOOKUP(B342,TabCalc[Ticker],TabCalc[Scale]),0)</f>
        <v>-131800</v>
      </c>
      <c r="F342" s="1129" cm="1">
        <f t="array" ref="F342">IF(A342=A341,0,SUM(_xlfn._xlws.FILTER(E342:E352,A342:A352=A342)))</f>
        <v>0</v>
      </c>
      <c r="G342" s="1130">
        <f>IF(F342&lt;&gt;0,SUM($F$43:F342),0)</f>
        <v>0</v>
      </c>
      <c r="H342" s="1130" cm="1">
        <f t="array" ref="H342">IFERROR(IF(A342=A341,0,SUM(_xlfn._xlws.FILTER(E342:E352,(A342:A352=A342)*(E342:E352&gt;0)))),0)</f>
        <v>0</v>
      </c>
      <c r="I342" s="1130" cm="1">
        <f t="array" ref="I342">IFERROR(IF(A342=A341,0,SUM(_xlfn._xlws.FILTER(E342:E352,(A342:A352=A342)*(F342&lt;0)))),0)</f>
        <v>0</v>
      </c>
      <c r="J342"/>
      <c r="K342"/>
      <c r="L342"/>
      <c r="M342"/>
      <c r="N342"/>
    </row>
    <row r="343" spans="1:14" hidden="1">
      <c r="A343" s="452">
        <v>45807</v>
      </c>
      <c r="B343" s="465" t="s">
        <v>58</v>
      </c>
      <c r="C343" s="454">
        <v>8000</v>
      </c>
      <c r="D343" s="651">
        <v>-12.96</v>
      </c>
      <c r="E343" s="1128">
        <f ca="1">IFERROR(C343*D343*_xlfn.XLOOKUP(B343,TabCalc[Ticker],TabCalc[Scale]),0)</f>
        <v>-103680</v>
      </c>
      <c r="F343" s="1129" cm="1">
        <f t="array" ref="F343">IF(A343=A342,0,SUM(_xlfn._xlws.FILTER(E343:E353,A343:A353=A343)))</f>
        <v>0</v>
      </c>
      <c r="G343" s="1130">
        <f>IF(F343&lt;&gt;0,SUM($F$43:F343),0)</f>
        <v>0</v>
      </c>
      <c r="H343" s="1130" cm="1">
        <f t="array" ref="H343">IFERROR(IF(A343=A342,0,SUM(_xlfn._xlws.FILTER(E343:E353,(A343:A353=A343)*(E343:E353&gt;0)))),0)</f>
        <v>0</v>
      </c>
      <c r="I343" s="1130" cm="1">
        <f t="array" ref="I343">IFERROR(IF(A343=A342,0,SUM(_xlfn._xlws.FILTER(E343:E353,(A343:A353=A343)*(F343&lt;0)))),0)</f>
        <v>0</v>
      </c>
      <c r="J343"/>
      <c r="K343"/>
      <c r="L343"/>
      <c r="M343"/>
      <c r="N343"/>
    </row>
    <row r="344" spans="1:14" hidden="1">
      <c r="A344" s="452">
        <v>45807</v>
      </c>
      <c r="B344" s="465" t="s">
        <v>42</v>
      </c>
      <c r="C344" s="454">
        <v>6000</v>
      </c>
      <c r="D344" s="651">
        <v>-13.19</v>
      </c>
      <c r="E344" s="1128">
        <f ca="1">IFERROR(C344*D344*_xlfn.XLOOKUP(B344,TabCalc[Ticker],TabCalc[Scale]),0)</f>
        <v>-79140</v>
      </c>
      <c r="F344" s="1129" cm="1">
        <f t="array" ref="F344">IF(A344=A343,0,SUM(_xlfn._xlws.FILTER(E344:E354,A344:A354=A344)))</f>
        <v>0</v>
      </c>
      <c r="G344" s="1130">
        <f>IF(F344&lt;&gt;0,SUM($F$43:F344),0)</f>
        <v>0</v>
      </c>
      <c r="H344" s="1130" cm="1">
        <f t="array" ref="H344">IFERROR(IF(A344=A343,0,SUM(_xlfn._xlws.FILTER(E344:E354,(A344:A354=A344)*(E344:E354&gt;0)))),0)</f>
        <v>0</v>
      </c>
      <c r="I344" s="1130" cm="1">
        <f t="array" ref="I344">IFERROR(IF(A344=A343,0,SUM(_xlfn._xlws.FILTER(E344:E354,(A344:A354=A344)*(F344&lt;0)))),0)</f>
        <v>0</v>
      </c>
      <c r="J344"/>
      <c r="K344"/>
      <c r="L344"/>
      <c r="M344"/>
      <c r="N344"/>
    </row>
    <row r="345" spans="1:14" hidden="1">
      <c r="A345" s="452">
        <v>45807</v>
      </c>
      <c r="B345" s="465" t="s">
        <v>0</v>
      </c>
      <c r="C345" s="454">
        <v>3000</v>
      </c>
      <c r="D345" s="651">
        <v>-201.75086999999999</v>
      </c>
      <c r="E345" s="1128">
        <f ca="1">IFERROR(C345*D345*_xlfn.XLOOKUP(B345,TabCalc[Ticker],TabCalc[Scale]),0)</f>
        <v>-605252.61</v>
      </c>
      <c r="F345" s="1129" cm="1">
        <f t="array" ref="F345">IF(A345=A344,0,SUM(_xlfn._xlws.FILTER(E345:E355,A345:A355=A345)))</f>
        <v>0</v>
      </c>
      <c r="G345" s="1130">
        <f>IF(F345&lt;&gt;0,SUM($F$43:F345),0)</f>
        <v>0</v>
      </c>
      <c r="H345" s="1130" cm="1">
        <f t="array" ref="H345">IFERROR(IF(A345=A344,0,SUM(_xlfn._xlws.FILTER(E345:E355,(A345:A355=A345)*(E345:E355&gt;0)))),0)</f>
        <v>0</v>
      </c>
      <c r="I345" s="1130" cm="1">
        <f t="array" ref="I345">IFERROR(IF(A345=A344,0,SUM(_xlfn._xlws.FILTER(E345:E355,(A345:A355=A345)*(F345&lt;0)))),0)</f>
        <v>0</v>
      </c>
      <c r="J345"/>
      <c r="K345"/>
      <c r="L345"/>
      <c r="M345"/>
      <c r="N345"/>
    </row>
    <row r="346" spans="1:14" hidden="1">
      <c r="A346" s="452">
        <v>45807</v>
      </c>
      <c r="B346" s="465" t="s">
        <v>21</v>
      </c>
      <c r="C346" s="454">
        <v>4000</v>
      </c>
      <c r="D346" s="651">
        <v>-24.949998000000001</v>
      </c>
      <c r="E346" s="1128">
        <f ca="1">IFERROR(C346*D346*_xlfn.XLOOKUP(B346,TabCalc[Ticker],TabCalc[Scale]),0)</f>
        <v>-99799.991999999998</v>
      </c>
      <c r="F346" s="1129" cm="1">
        <f t="array" ref="F346">IF(A346=A345,0,SUM(_xlfn._xlws.FILTER(E346:E356,A346:A356=A346)))</f>
        <v>0</v>
      </c>
      <c r="G346" s="1130">
        <f>IF(F346&lt;&gt;0,SUM($F$43:F346),0)</f>
        <v>0</v>
      </c>
      <c r="H346" s="1130" cm="1">
        <f t="array" ref="H346">IFERROR(IF(A346=A345,0,SUM(_xlfn._xlws.FILTER(E346:E356,(A346:A356=A346)*(E346:E356&gt;0)))),0)</f>
        <v>0</v>
      </c>
      <c r="I346" s="1130" cm="1">
        <f t="array" ref="I346">IFERROR(IF(A346=A345,0,SUM(_xlfn._xlws.FILTER(E346:E356,(A346:A356=A346)*(F346&lt;0)))),0)</f>
        <v>0</v>
      </c>
      <c r="J346"/>
      <c r="K346"/>
      <c r="L346"/>
      <c r="M346"/>
      <c r="N346"/>
    </row>
    <row r="347" spans="1:14" hidden="1">
      <c r="A347" s="452">
        <v>45807</v>
      </c>
      <c r="B347" s="465" t="s">
        <v>23</v>
      </c>
      <c r="C347" s="454">
        <v>2000</v>
      </c>
      <c r="D347" s="651">
        <v>-68.399500000000003</v>
      </c>
      <c r="E347" s="1128">
        <f ca="1">IFERROR(C347*D347*_xlfn.XLOOKUP(B347,TabCalc[Ticker],TabCalc[Scale]),0)</f>
        <v>-136799</v>
      </c>
      <c r="F347" s="1129" cm="1">
        <f t="array" ref="F347">IF(A347=A346,0,SUM(_xlfn._xlws.FILTER(E347:E357,A347:A357=A347)))</f>
        <v>0</v>
      </c>
      <c r="G347" s="1130">
        <f>IF(F347&lt;&gt;0,SUM($F$43:F347),0)</f>
        <v>0</v>
      </c>
      <c r="H347" s="1130" cm="1">
        <f t="array" ref="H347">IFERROR(IF(A347=A346,0,SUM(_xlfn._xlws.FILTER(E347:E357,(A347:A357=A347)*(E347:E357&gt;0)))),0)</f>
        <v>0</v>
      </c>
      <c r="I347" s="1130" cm="1">
        <f t="array" ref="I347">IFERROR(IF(A347=A346,0,SUM(_xlfn._xlws.FILTER(E347:E357,(A347:A357=A347)*(F347&lt;0)))),0)</f>
        <v>0</v>
      </c>
      <c r="J347"/>
      <c r="K347"/>
      <c r="L347"/>
      <c r="M347"/>
      <c r="N347"/>
    </row>
    <row r="348" spans="1:14" hidden="1">
      <c r="A348" s="452">
        <v>45807</v>
      </c>
      <c r="B348" s="465" t="s">
        <v>35</v>
      </c>
      <c r="C348" s="454">
        <v>6000</v>
      </c>
      <c r="D348" s="651">
        <v>-19.385584999999999</v>
      </c>
      <c r="E348" s="1128">
        <f ca="1">IFERROR(C348*D348*_xlfn.XLOOKUP(B348,TabCalc[Ticker],TabCalc[Scale]),0)</f>
        <v>-116313.51</v>
      </c>
      <c r="F348" s="1129" cm="1">
        <f t="array" ref="F348">IF(A348=A347,0,SUM(_xlfn._xlws.FILTER(E348:E358,A348:A358=A348)))</f>
        <v>0</v>
      </c>
      <c r="G348" s="1130">
        <f>IF(F348&lt;&gt;0,SUM($F$43:F348),0)</f>
        <v>0</v>
      </c>
      <c r="H348" s="1130" cm="1">
        <f t="array" ref="H348">IFERROR(IF(A348=A347,0,SUM(_xlfn._xlws.FILTER(E348:E358,(A348:A358=A348)*(E348:E358&gt;0)))),0)</f>
        <v>0</v>
      </c>
      <c r="I348" s="1130" cm="1">
        <f t="array" ref="I348">IFERROR(IF(A348=A347,0,SUM(_xlfn._xlws.FILTER(E348:E358,(A348:A358=A348)*(F348&lt;0)))),0)</f>
        <v>0</v>
      </c>
      <c r="J348"/>
      <c r="K348"/>
      <c r="L348"/>
      <c r="M348"/>
      <c r="N348"/>
    </row>
    <row r="349" spans="1:14" hidden="1">
      <c r="A349" s="466">
        <v>45811</v>
      </c>
      <c r="B349" s="448" t="s">
        <v>62</v>
      </c>
      <c r="C349" s="468">
        <v>500</v>
      </c>
      <c r="D349" s="448">
        <v>267.48</v>
      </c>
      <c r="E349" s="1128">
        <f ca="1">IFERROR(C349*D349*_xlfn.XLOOKUP(B349,TabCalc[Ticker],TabCalc[Scale]),0)</f>
        <v>133740</v>
      </c>
      <c r="F349" s="1129" cm="1">
        <f t="array" aca="1" ref="F349" ca="1">IF(A349=A348,0,SUM(_xlfn._xlws.FILTER(E349:E359,A349:A359=A349)))</f>
        <v>944492.64</v>
      </c>
      <c r="G349" s="1130">
        <f ca="1">IF(F349&lt;&gt;0,SUM($F$43:F349),0)</f>
        <v>-2335446.1436729995</v>
      </c>
      <c r="H349" s="1130" cm="1">
        <f t="array" aca="1" ref="H349" ca="1">IFERROR(IF(A349=A348,0,SUM(_xlfn._xlws.FILTER(E349:E359,(A349:A359=A349)*(E349:E359&gt;0)))),0)</f>
        <v>995732.64</v>
      </c>
      <c r="I349" s="1130" cm="1">
        <f t="array" aca="1" ref="I349" ca="1">IFERROR(IF(A349=A348,0,SUM(_xlfn._xlws.FILTER(E349:E359,(A349:A359=A349)*(F349&lt;0)))),0)</f>
        <v>0</v>
      </c>
      <c r="J349"/>
      <c r="K349"/>
      <c r="L349"/>
      <c r="M349"/>
      <c r="N349"/>
    </row>
    <row r="350" spans="1:14" hidden="1">
      <c r="A350" s="466">
        <v>45811</v>
      </c>
      <c r="B350" s="448" t="s">
        <v>59</v>
      </c>
      <c r="C350" s="468">
        <v>3999</v>
      </c>
      <c r="D350" s="448">
        <v>33.36</v>
      </c>
      <c r="E350" s="1128">
        <f ca="1">IFERROR(C350*D350*_xlfn.XLOOKUP(B350,TabCalc[Ticker],TabCalc[Scale]),0)</f>
        <v>133406.63999999998</v>
      </c>
      <c r="F350" s="1129" cm="1">
        <f t="array" ref="F350">IF(A350=A349,0,SUM(_xlfn._xlws.FILTER(E350:E360,A350:A360=A350)))</f>
        <v>0</v>
      </c>
      <c r="G350" s="1130">
        <f>IF(F350&lt;&gt;0,SUM($F$43:F350),0)</f>
        <v>0</v>
      </c>
      <c r="H350" s="1130" cm="1">
        <f t="array" ref="H350">IFERROR(IF(A350=A349,0,SUM(_xlfn._xlws.FILTER(E350:E360,(A350:A360=A350)*(E350:E360&gt;0)))),0)</f>
        <v>0</v>
      </c>
      <c r="I350" s="1130" cm="1">
        <f t="array" ref="I350">IFERROR(IF(A350=A349,0,SUM(_xlfn._xlws.FILTER(E350:E360,(A350:A360=A350)*(F350&lt;0)))),0)</f>
        <v>0</v>
      </c>
      <c r="J350"/>
      <c r="K350"/>
      <c r="L350"/>
      <c r="M350"/>
      <c r="N350"/>
    </row>
    <row r="351" spans="1:14" hidden="1">
      <c r="A351" s="466">
        <v>45811</v>
      </c>
      <c r="B351" s="448" t="s">
        <v>37</v>
      </c>
      <c r="C351" s="468">
        <v>3200</v>
      </c>
      <c r="D351" s="448">
        <v>33.36</v>
      </c>
      <c r="E351" s="1128">
        <f ca="1">IFERROR(C351*D351*_xlfn.XLOOKUP(B351,TabCalc[Ticker],TabCalc[Scale]),0)</f>
        <v>106752</v>
      </c>
      <c r="F351" s="1129" cm="1">
        <f t="array" ref="F351">IF(A351=A350,0,SUM(_xlfn._xlws.FILTER(E351:E361,A351:A361=A351)))</f>
        <v>0</v>
      </c>
      <c r="G351" s="1130">
        <f>IF(F351&lt;&gt;0,SUM($F$43:F351),0)</f>
        <v>0</v>
      </c>
      <c r="H351" s="1130" cm="1">
        <f t="array" ref="H351">IFERROR(IF(A351=A350,0,SUM(_xlfn._xlws.FILTER(E351:E361,(A351:A361=A351)*(E351:E361&gt;0)))),0)</f>
        <v>0</v>
      </c>
      <c r="I351" s="1130" cm="1">
        <f t="array" ref="I351">IFERROR(IF(A351=A350,0,SUM(_xlfn._xlws.FILTER(E351:E361,(A351:A361=A351)*(F351&lt;0)))),0)</f>
        <v>0</v>
      </c>
      <c r="J351"/>
      <c r="K351"/>
      <c r="L351"/>
      <c r="M351"/>
      <c r="N351"/>
    </row>
    <row r="352" spans="1:14" hidden="1">
      <c r="A352" s="466">
        <v>45811</v>
      </c>
      <c r="B352" s="448" t="s">
        <v>48</v>
      </c>
      <c r="C352" s="468">
        <v>6000</v>
      </c>
      <c r="D352" s="448">
        <v>62.9</v>
      </c>
      <c r="E352" s="1128">
        <f ca="1">IFERROR(C352*D352*_xlfn.XLOOKUP(B352,TabCalc[Ticker],TabCalc[Scale]),0)</f>
        <v>377400</v>
      </c>
      <c r="F352" s="1129" cm="1">
        <f t="array" ref="F352">IF(A352=A351,0,SUM(_xlfn._xlws.FILTER(E352:E362,A352:A362=A352)))</f>
        <v>0</v>
      </c>
      <c r="G352" s="1130">
        <f>IF(F352&lt;&gt;0,SUM($F$43:F352),0)</f>
        <v>0</v>
      </c>
      <c r="H352" s="1130" cm="1">
        <f t="array" ref="H352">IFERROR(IF(A352=A351,0,SUM(_xlfn._xlws.FILTER(E352:E362,(A352:A362=A352)*(E352:E362&gt;0)))),0)</f>
        <v>0</v>
      </c>
      <c r="I352" s="1130" cm="1">
        <f t="array" ref="I352">IFERROR(IF(A352=A351,0,SUM(_xlfn._xlws.FILTER(E352:E362,(A352:A362=A352)*(F352&lt;0)))),0)</f>
        <v>0</v>
      </c>
      <c r="J352"/>
      <c r="K352"/>
      <c r="L352"/>
      <c r="M352"/>
      <c r="N352"/>
    </row>
    <row r="353" spans="1:14" hidden="1">
      <c r="A353" s="466">
        <v>45811</v>
      </c>
      <c r="B353" s="448" t="s">
        <v>30</v>
      </c>
      <c r="C353" s="468">
        <v>200</v>
      </c>
      <c r="D353" s="448">
        <v>1222.17</v>
      </c>
      <c r="E353" s="1128">
        <f ca="1">IFERROR(C353*D353*_xlfn.XLOOKUP(B353,TabCalc[Ticker],TabCalc[Scale]),0)</f>
        <v>244434</v>
      </c>
      <c r="F353" s="1129" cm="1">
        <f t="array" ref="F353">IF(A353=A352,0,SUM(_xlfn._xlws.FILTER(E353:E363,A353:A363=A353)))</f>
        <v>0</v>
      </c>
      <c r="G353" s="1130">
        <f>IF(F353&lt;&gt;0,SUM($F$43:F353),0)</f>
        <v>0</v>
      </c>
      <c r="H353" s="1130" cm="1">
        <f t="array" ref="H353">IFERROR(IF(A353=A352,0,SUM(_xlfn._xlws.FILTER(E353:E363,(A353:A363=A353)*(E353:E363&gt;0)))),0)</f>
        <v>0</v>
      </c>
      <c r="I353" s="1130" cm="1">
        <f t="array" ref="I353">IFERROR(IF(A353=A352,0,SUM(_xlfn._xlws.FILTER(E353:E363,(A353:A363=A353)*(F353&lt;0)))),0)</f>
        <v>0</v>
      </c>
      <c r="J353"/>
      <c r="K353"/>
      <c r="L353"/>
      <c r="M353"/>
      <c r="N353"/>
    </row>
    <row r="354" spans="1:14" hidden="1">
      <c r="A354" s="466">
        <v>45811</v>
      </c>
      <c r="B354" s="448" t="s">
        <v>46</v>
      </c>
      <c r="C354" s="468">
        <v>200</v>
      </c>
      <c r="D354" s="448">
        <v>-256.2</v>
      </c>
      <c r="E354" s="1128">
        <f ca="1">IFERROR(C354*D354*_xlfn.XLOOKUP(B354,TabCalc[Ticker],TabCalc[Scale]),0)</f>
        <v>-51240</v>
      </c>
      <c r="F354" s="1129" cm="1">
        <f t="array" ref="F354">IF(A354=A353,0,SUM(_xlfn._xlws.FILTER(E354:E364,A354:A364=A354)))</f>
        <v>0</v>
      </c>
      <c r="G354" s="1130">
        <f>IF(F354&lt;&gt;0,SUM($F$43:F354),0)</f>
        <v>0</v>
      </c>
      <c r="H354" s="1130" cm="1">
        <f t="array" ref="H354">IFERROR(IF(A354=A353,0,SUM(_xlfn._xlws.FILTER(E354:E364,(A354:A364=A354)*(E354:E364&gt;0)))),0)</f>
        <v>0</v>
      </c>
      <c r="I354" s="1130" cm="1">
        <f t="array" ref="I354">IFERROR(IF(A354=A353,0,SUM(_xlfn._xlws.FILTER(E354:E364,(A354:A364=A354)*(F354&lt;0)))),0)</f>
        <v>0</v>
      </c>
      <c r="J354"/>
      <c r="K354"/>
      <c r="L354"/>
      <c r="M354"/>
      <c r="N354"/>
    </row>
    <row r="355" spans="1:14" hidden="1">
      <c r="A355" s="466">
        <v>45813</v>
      </c>
      <c r="B355" s="448" t="s">
        <v>38</v>
      </c>
      <c r="C355" s="468">
        <v>500</v>
      </c>
      <c r="D355" s="448">
        <v>273.14999999999998</v>
      </c>
      <c r="E355" s="1128">
        <f ca="1">IFERROR(C355*D355*_xlfn.XLOOKUP(B355,TabCalc[Ticker],TabCalc[Scale]),0)</f>
        <v>136575</v>
      </c>
      <c r="F355" s="1129" cm="1">
        <f t="array" aca="1" ref="F355" ca="1">IF(A355=A354,0,SUM(_xlfn._xlws.FILTER(E355:E365,A355:A365=A355)))</f>
        <v>136575</v>
      </c>
      <c r="G355" s="1130">
        <f ca="1">IF(F355&lt;&gt;0,SUM($F$43:F355),0)</f>
        <v>-2198871.1436729995</v>
      </c>
      <c r="H355" s="1130" cm="1">
        <f t="array" aca="1" ref="H355" ca="1">IFERROR(IF(A355=A354,0,SUM(_xlfn._xlws.FILTER(E355:E365,(A355:A365=A355)*(E355:E365&gt;0)))),0)</f>
        <v>136575</v>
      </c>
      <c r="I355" s="1130" cm="1">
        <f t="array" aca="1" ref="I355" ca="1">IFERROR(IF(A355=A354,0,SUM(_xlfn._xlws.FILTER(E355:E365,(A355:A365=A355)*(F355&lt;0)))),0)</f>
        <v>0</v>
      </c>
      <c r="J355"/>
      <c r="K355"/>
      <c r="L355"/>
      <c r="M355"/>
      <c r="N355"/>
    </row>
    <row r="356" spans="1:14" hidden="1">
      <c r="A356" s="452">
        <v>45819</v>
      </c>
      <c r="B356" s="465" t="s">
        <v>65</v>
      </c>
      <c r="C356" s="454">
        <v>500</v>
      </c>
      <c r="D356" s="651">
        <v>-213.25</v>
      </c>
      <c r="E356" s="1128">
        <f ca="1">IFERROR(C356*D356*_xlfn.XLOOKUP(B356,TabCalc[Ticker],TabCalc[Scale]),0)</f>
        <v>-106625</v>
      </c>
      <c r="F356" s="1129" cm="1">
        <f t="array" aca="1" ref="F356" ca="1">IF(A356=A355,0,SUM(_xlfn._xlws.FILTER(E356:E366,A356:A366=A356)))</f>
        <v>-270992</v>
      </c>
      <c r="G356" s="1130">
        <f ca="1">IF(F356&lt;&gt;0,SUM($F$43:F356),0)</f>
        <v>-2469863.1436729995</v>
      </c>
      <c r="H356" s="1130" cm="1">
        <f t="array" aca="1" ref="H356" ca="1">IFERROR(IF(A356=A355,0,SUM(_xlfn._xlws.FILTER(E356:E366,(A356:A366=A356)*(E356:E366&gt;0)))),0)</f>
        <v>0</v>
      </c>
      <c r="I356" s="1130" cm="1">
        <f t="array" aca="1" ref="I356" ca="1">IFERROR(IF(A356=A355,0,SUM(_xlfn._xlws.FILTER(E356:E366,(A356:A366=A356)*(F356&lt;0)))),0)</f>
        <v>-270992</v>
      </c>
      <c r="J356"/>
      <c r="K356"/>
      <c r="L356"/>
      <c r="M356"/>
      <c r="N356"/>
    </row>
    <row r="357" spans="1:14" hidden="1">
      <c r="A357" s="452">
        <v>45819</v>
      </c>
      <c r="B357" s="465" t="s">
        <v>3</v>
      </c>
      <c r="C357" s="454">
        <v>500</v>
      </c>
      <c r="D357" s="651">
        <v>-213.43</v>
      </c>
      <c r="E357" s="1128">
        <f ca="1">IFERROR(C357*D357*_xlfn.XLOOKUP(B357,TabCalc[Ticker],TabCalc[Scale]),0)</f>
        <v>-106715</v>
      </c>
      <c r="F357" s="1129" cm="1">
        <f t="array" ref="F357">IF(A357=A356,0,SUM(_xlfn._xlws.FILTER(E357:E367,A357:A367=A357)))</f>
        <v>0</v>
      </c>
      <c r="G357" s="1130">
        <f>IF(F357&lt;&gt;0,SUM($F$43:F357),0)</f>
        <v>0</v>
      </c>
      <c r="H357" s="1130" cm="1">
        <f t="array" ref="H357">IFERROR(IF(A357=A356,0,SUM(_xlfn._xlws.FILTER(E357:E367,(A357:A367=A357)*(E357:E367&gt;0)))),0)</f>
        <v>0</v>
      </c>
      <c r="I357" s="1130" cm="1">
        <f t="array" ref="I357">IFERROR(IF(A357=A356,0,SUM(_xlfn._xlws.FILTER(E357:E367,(A357:A367=A357)*(F357&lt;0)))),0)</f>
        <v>0</v>
      </c>
      <c r="J357"/>
      <c r="K357"/>
      <c r="L357"/>
      <c r="M357"/>
      <c r="N357"/>
    </row>
    <row r="358" spans="1:14" hidden="1">
      <c r="A358" s="452">
        <v>45819</v>
      </c>
      <c r="B358" s="465" t="s">
        <v>66</v>
      </c>
      <c r="C358" s="454">
        <v>290</v>
      </c>
      <c r="D358" s="452">
        <v>-198.8</v>
      </c>
      <c r="E358" s="1128">
        <f ca="1">IFERROR(C358*D358*_xlfn.XLOOKUP(B358,TabCalc[Ticker],TabCalc[Scale]),0)</f>
        <v>-57652</v>
      </c>
      <c r="F358" s="1129" cm="1">
        <f t="array" ref="F358">IF(A358=A357,0,SUM(_xlfn._xlws.FILTER(E358:E368,A358:A368=A358)))</f>
        <v>0</v>
      </c>
      <c r="G358" s="1130">
        <f>IF(F358&lt;&gt;0,SUM($F$43:F358),0)</f>
        <v>0</v>
      </c>
      <c r="H358" s="1130" cm="1">
        <f t="array" ref="H358">IFERROR(IF(A358=A357,0,SUM(_xlfn._xlws.FILTER(E358:E368,(A358:A368=A358)*(E358:E368&gt;0)))),0)</f>
        <v>0</v>
      </c>
      <c r="I358" s="1130" cm="1">
        <f t="array" ref="I358">IFERROR(IF(A358=A357,0,SUM(_xlfn._xlws.FILTER(E358:E368,(A358:A368=A358)*(F358&lt;0)))),0)</f>
        <v>0</v>
      </c>
      <c r="J358"/>
      <c r="K358"/>
      <c r="L358"/>
      <c r="M358"/>
      <c r="N358"/>
    </row>
    <row r="359" spans="1:14" hidden="1">
      <c r="A359" s="448">
        <v>45821</v>
      </c>
      <c r="B359" s="448" t="s">
        <v>0</v>
      </c>
      <c r="C359" s="468">
        <v>500</v>
      </c>
      <c r="D359" s="825">
        <v>-195.75</v>
      </c>
      <c r="E359" s="1128">
        <f ca="1">IFERROR(C359*D359*_xlfn.XLOOKUP(B359,TabCalc[Ticker],TabCalc[Scale]),0)</f>
        <v>-97875</v>
      </c>
      <c r="F359" s="1129" cm="1">
        <f t="array" aca="1" ref="F359" ca="1">IF(A359=A358,0,SUM(_xlfn._xlws.FILTER(E359:E369,A359:A369=A359)))</f>
        <v>-136995</v>
      </c>
      <c r="G359" s="1130">
        <f ca="1">IF(F359&lt;&gt;0,SUM($F$43:F359),0)</f>
        <v>-2606858.1436729995</v>
      </c>
      <c r="H359" s="1130" cm="1">
        <f t="array" aca="1" ref="H359" ca="1">IFERROR(IF(A359=A358,0,SUM(_xlfn._xlws.FILTER(E359:E369,(A359:A369=A359)*(E359:E369&gt;0)))),0)</f>
        <v>0</v>
      </c>
      <c r="I359" s="1130" cm="1">
        <f t="array" aca="1" ref="I359" ca="1">IFERROR(IF(A359=A358,0,SUM(_xlfn._xlws.FILTER(E359:E369,(A359:A369=A359)*(F359&lt;0)))),0)</f>
        <v>-136995</v>
      </c>
      <c r="J359" s="1129"/>
      <c r="K359"/>
      <c r="L359"/>
      <c r="M359"/>
      <c r="N359"/>
    </row>
    <row r="360" spans="1:14" hidden="1">
      <c r="A360" s="466">
        <v>45821</v>
      </c>
      <c r="B360" s="448" t="s">
        <v>1</v>
      </c>
      <c r="C360" s="468">
        <v>3000</v>
      </c>
      <c r="D360" s="650">
        <v>-13.04</v>
      </c>
      <c r="E360" s="1128">
        <f ca="1">IFERROR(C360*D360*_xlfn.XLOOKUP(B360,TabCalc[Ticker],TabCalc[Scale]),0)</f>
        <v>-39120</v>
      </c>
      <c r="F360" s="1129" cm="1">
        <f t="array" ref="F360">IF(A360=A359,0,SUM(_xlfn._xlws.FILTER(E360:E370,A360:A370=A360)))</f>
        <v>0</v>
      </c>
      <c r="G360" s="1130">
        <f>IF(F360&lt;&gt;0,SUM($F$43:F360),0)</f>
        <v>0</v>
      </c>
      <c r="H360" s="1130" cm="1">
        <f t="array" ref="H360">IFERROR(IF(A360=A359,0,SUM(_xlfn._xlws.FILTER(E360:E370,(A360:A370=A360)*(E360:E370&gt;0)))),0)</f>
        <v>0</v>
      </c>
      <c r="I360" s="1130" cm="1">
        <f t="array" ref="I360">IFERROR(IF(A360=A359,0,SUM(_xlfn._xlws.FILTER(E360:E370,(A360:A370=A360)*(F360&lt;0)))),0)</f>
        <v>0</v>
      </c>
      <c r="J360"/>
      <c r="K360"/>
      <c r="L360"/>
      <c r="M360"/>
      <c r="N360"/>
    </row>
    <row r="361" spans="1:14" hidden="1">
      <c r="A361" s="452">
        <v>45825</v>
      </c>
      <c r="B361" s="465" t="s">
        <v>30</v>
      </c>
      <c r="C361" s="454">
        <v>200</v>
      </c>
      <c r="D361" s="651">
        <v>1220.52</v>
      </c>
      <c r="E361" s="1128">
        <f ca="1">IFERROR(C361*D361*_xlfn.XLOOKUP(B361,TabCalc[Ticker],TabCalc[Scale]),0)</f>
        <v>244104</v>
      </c>
      <c r="F361" s="1129" cm="1">
        <f t="array" aca="1" ref="F361" ca="1">IF(A361=A360,0,SUM(_xlfn._xlws.FILTER(E361:E371,A361:A371=A361)))</f>
        <v>244104</v>
      </c>
      <c r="G361" s="1130">
        <f ca="1">IF(F361&lt;&gt;0,SUM($F$43:F361),0)</f>
        <v>-2362754.1436729995</v>
      </c>
      <c r="H361" s="1130" cm="1">
        <f t="array" aca="1" ref="H361" ca="1">IFERROR(IF(A361=A360,0,SUM(_xlfn._xlws.FILTER(E361:E371,(A361:A371=A361)*(E361:E371&gt;0)))),0)</f>
        <v>244104</v>
      </c>
      <c r="I361" s="1130" cm="1">
        <f t="array" aca="1" ref="I361" ca="1">IFERROR(IF(A361=A360,0,SUM(_xlfn._xlws.FILTER(E361:E371,(A361:A371=A361)*(F361&lt;0)))),0)</f>
        <v>0</v>
      </c>
      <c r="J361"/>
      <c r="K361"/>
      <c r="L361"/>
      <c r="M361"/>
      <c r="N361"/>
    </row>
    <row r="362" spans="1:14" hidden="1">
      <c r="A362" s="466">
        <v>45826</v>
      </c>
      <c r="B362" s="448" t="s">
        <v>13</v>
      </c>
      <c r="C362" s="468">
        <v>500</v>
      </c>
      <c r="D362" s="650">
        <v>-31.34</v>
      </c>
      <c r="E362" s="1128">
        <f ca="1">IFERROR(C362*D362*_xlfn.XLOOKUP(B362,TabCalc[Ticker],TabCalc[Scale]),0)</f>
        <v>-15670</v>
      </c>
      <c r="F362" s="1129" cm="1">
        <f t="array" aca="1" ref="F362" ca="1">IF(A362=A361,0,SUM(_xlfn._xlws.FILTER(E362:E372,A362:A372=A362)))</f>
        <v>-235092.28289999999</v>
      </c>
      <c r="G362" s="1130">
        <f ca="1">IF(F362&lt;&gt;0,SUM($F$43:F362),0)</f>
        <v>-2597846.4265729995</v>
      </c>
      <c r="H362" s="1130" cm="1">
        <f t="array" aca="1" ref="H362" ca="1">IFERROR(IF(A362=A361,0,SUM(_xlfn._xlws.FILTER(E362:E372,(A362:A372=A362)*(E362:E372&gt;0)))),0)</f>
        <v>5472.0171</v>
      </c>
      <c r="I362" s="1130" cm="1">
        <f t="array" aca="1" ref="I362" ca="1">IFERROR(IF(A362=A361,0,SUM(_xlfn._xlws.FILTER(E362:E372,(A362:A372=A362)*(F362&lt;0)))),0)</f>
        <v>-235092.28289999999</v>
      </c>
      <c r="J362"/>
      <c r="K362"/>
      <c r="L362"/>
      <c r="M362"/>
      <c r="N362"/>
    </row>
    <row r="363" spans="1:14" hidden="1">
      <c r="A363" s="466">
        <v>45826</v>
      </c>
      <c r="B363" s="448" t="s">
        <v>22</v>
      </c>
      <c r="C363" s="468">
        <v>1710</v>
      </c>
      <c r="D363" s="650">
        <v>320.00099999999998</v>
      </c>
      <c r="E363" s="1128">
        <f ca="1">IFERROR(C363*D363*_xlfn.XLOOKUP(B363,TabCalc[Ticker],TabCalc[Scale]),0)</f>
        <v>5472.0171</v>
      </c>
      <c r="F363" s="1129" cm="1">
        <f t="array" ref="F363">IF(A363=A362,0,SUM(_xlfn._xlws.FILTER(E363:E373,A363:A373=A363)))</f>
        <v>0</v>
      </c>
      <c r="G363" s="1130">
        <f>IF(F363&lt;&gt;0,SUM($F$43:F363),0)</f>
        <v>0</v>
      </c>
      <c r="H363" s="1130" cm="1">
        <f t="array" ref="H363">IFERROR(IF(A363=A362,0,SUM(_xlfn._xlws.FILTER(E363:E373,(A363:A373=A363)*(E363:E373&gt;0)))),0)</f>
        <v>0</v>
      </c>
      <c r="I363" s="1130" cm="1">
        <f t="array" ref="I363">IFERROR(IF(A363=A362,0,SUM(_xlfn._xlws.FILTER(E363:E373,(A363:A373=A363)*(F363&lt;0)))),0)</f>
        <v>0</v>
      </c>
      <c r="J363"/>
      <c r="K363"/>
      <c r="L363"/>
      <c r="M363"/>
      <c r="N363"/>
    </row>
    <row r="364" spans="1:14" hidden="1">
      <c r="A364" s="466">
        <v>45826</v>
      </c>
      <c r="B364" s="448" t="s">
        <v>0</v>
      </c>
      <c r="C364" s="468">
        <v>300</v>
      </c>
      <c r="D364" s="650">
        <v>-196.66</v>
      </c>
      <c r="E364" s="1128">
        <f ca="1">IFERROR(C364*D364*_xlfn.XLOOKUP(B364,TabCalc[Ticker],TabCalc[Scale]),0)</f>
        <v>-58998</v>
      </c>
      <c r="F364" s="1129" cm="1">
        <f t="array" ref="F364">IF(A364=A363,0,SUM(_xlfn._xlws.FILTER(E364:E374,A364:A374=A364)))</f>
        <v>0</v>
      </c>
      <c r="G364" s="1130">
        <f>IF(F364&lt;&gt;0,SUM($F$43:F364),0)</f>
        <v>0</v>
      </c>
      <c r="H364" s="1130" cm="1">
        <f t="array" ref="H364">IFERROR(IF(A364=A363,0,SUM(_xlfn._xlws.FILTER(E364:E374,(A364:A374=A364)*(E364:E374&gt;0)))),0)</f>
        <v>0</v>
      </c>
      <c r="I364" s="1130" cm="1">
        <f t="array" ref="I364">IFERROR(IF(A364=A363,0,SUM(_xlfn._xlws.FILTER(E364:E374,(A364:A374=A364)*(F364&lt;0)))),0)</f>
        <v>0</v>
      </c>
      <c r="J364"/>
      <c r="K364"/>
      <c r="L364"/>
      <c r="M364"/>
      <c r="N364"/>
    </row>
    <row r="365" spans="1:14" hidden="1">
      <c r="A365" s="466">
        <v>45826</v>
      </c>
      <c r="B365" s="448" t="s">
        <v>53</v>
      </c>
      <c r="C365" s="468">
        <v>8145</v>
      </c>
      <c r="D365" s="650">
        <v>-0.54</v>
      </c>
      <c r="E365" s="1128">
        <f ca="1">IFERROR(C365*D365*_xlfn.XLOOKUP(B365,TabCalc[Ticker],TabCalc[Scale]),0)</f>
        <v>-4398.3</v>
      </c>
      <c r="F365" s="1129" cm="1">
        <f t="array" ref="F365">IF(A365=A364,0,SUM(_xlfn._xlws.FILTER(E365:E375,A365:A375=A365)))</f>
        <v>0</v>
      </c>
      <c r="G365" s="1130">
        <f>IF(F365&lt;&gt;0,SUM($F$43:F365),0)</f>
        <v>0</v>
      </c>
      <c r="H365" s="1130" cm="1">
        <f t="array" ref="H365">IFERROR(IF(A365=A364,0,SUM(_xlfn._xlws.FILTER(E365:E375,(A365:A375=A365)*(E365:E375&gt;0)))),0)</f>
        <v>0</v>
      </c>
      <c r="I365" s="1130" cm="1">
        <f t="array" ref="I365">IFERROR(IF(A365=A364,0,SUM(_xlfn._xlws.FILTER(E365:E375,(A365:A375=A365)*(F365&lt;0)))),0)</f>
        <v>0</v>
      </c>
      <c r="J365"/>
      <c r="K365"/>
      <c r="L365"/>
      <c r="M365"/>
      <c r="N365"/>
    </row>
    <row r="366" spans="1:14" hidden="1">
      <c r="A366" s="466">
        <v>45826</v>
      </c>
      <c r="B366" s="448" t="s">
        <v>56</v>
      </c>
      <c r="C366" s="468">
        <v>500</v>
      </c>
      <c r="D366" s="650">
        <v>-31.36</v>
      </c>
      <c r="E366" s="1128">
        <f ca="1">IFERROR(C366*D366*_xlfn.XLOOKUP(B366,TabCalc[Ticker],TabCalc[Scale]),0)</f>
        <v>-15680</v>
      </c>
      <c r="F366" s="1129" cm="1">
        <f t="array" ref="F366">IF(A366=A365,0,SUM(_xlfn._xlws.FILTER(E366:E376,A366:A376=A366)))</f>
        <v>0</v>
      </c>
      <c r="G366" s="1130">
        <f>IF(F366&lt;&gt;0,SUM($F$43:F366),0)</f>
        <v>0</v>
      </c>
      <c r="H366" s="1130" cm="1">
        <f t="array" ref="H366">IFERROR(IF(A366=A365,0,SUM(_xlfn._xlws.FILTER(E366:E376,(A366:A376=A366)*(E366:E376&gt;0)))),0)</f>
        <v>0</v>
      </c>
      <c r="I366" s="1130" cm="1">
        <f t="array" ref="I366">IFERROR(IF(A366=A365,0,SUM(_xlfn._xlws.FILTER(E366:E376,(A366:A376=A366)*(F366&lt;0)))),0)</f>
        <v>0</v>
      </c>
      <c r="J366"/>
      <c r="K366"/>
      <c r="L366"/>
      <c r="M366"/>
      <c r="N366"/>
    </row>
    <row r="367" spans="1:14" hidden="1">
      <c r="A367" s="466">
        <v>45826</v>
      </c>
      <c r="B367" s="448" t="s">
        <v>82</v>
      </c>
      <c r="C367" s="468">
        <v>200</v>
      </c>
      <c r="D367" s="650">
        <v>-546.80999999999995</v>
      </c>
      <c r="E367" s="1128">
        <f ca="1">IFERROR(C367*D367*_xlfn.XLOOKUP(B367,TabCalc[Ticker],TabCalc[Scale]),0)</f>
        <v>-109361.99999999999</v>
      </c>
      <c r="F367" s="1129" cm="1">
        <f t="array" ref="F367">IF(A367=A366,0,SUM(_xlfn._xlws.FILTER(E367:E377,A367:A377=A367)))</f>
        <v>0</v>
      </c>
      <c r="G367" s="1130">
        <f>IF(F367&lt;&gt;0,SUM($F$43:F367),0)</f>
        <v>0</v>
      </c>
      <c r="H367" s="1130" cm="1">
        <f t="array" ref="H367">IFERROR(IF(A367=A366,0,SUM(_xlfn._xlws.FILTER(E367:E377,(A367:A377=A367)*(E367:E377&gt;0)))),0)</f>
        <v>0</v>
      </c>
      <c r="I367" s="1130" cm="1">
        <f t="array" ref="I367">IFERROR(IF(A367=A366,0,SUM(_xlfn._xlws.FILTER(E367:E377,(A367:A377=A367)*(F367&lt;0)))),0)</f>
        <v>0</v>
      </c>
      <c r="J367"/>
      <c r="K367"/>
      <c r="L367"/>
      <c r="M367"/>
      <c r="N367"/>
    </row>
    <row r="368" spans="1:14" hidden="1">
      <c r="A368" s="452">
        <v>45827</v>
      </c>
      <c r="B368" s="465" t="s">
        <v>13</v>
      </c>
      <c r="C368" s="454">
        <v>500</v>
      </c>
      <c r="D368" s="651">
        <v>-30.95</v>
      </c>
      <c r="E368" s="1128">
        <f ca="1">IFERROR(C368*D368*_xlfn.XLOOKUP(B368,TabCalc[Ticker],TabCalc[Scale]),0)</f>
        <v>-15475</v>
      </c>
      <c r="F368" s="1129" cm="1">
        <f t="array" aca="1" ref="F368" ca="1">IF(A368=A367,0,SUM(_xlfn._xlws.FILTER(E368:E378,A368:A378=A368)))</f>
        <v>-15475</v>
      </c>
      <c r="G368" s="1130">
        <f ca="1">IF(F368&lt;&gt;0,SUM($F$43:F368),0)</f>
        <v>-2613321.4265729995</v>
      </c>
      <c r="H368" s="1130" cm="1">
        <f t="array" aca="1" ref="H368" ca="1">IFERROR(IF(A368=A367,0,SUM(_xlfn._xlws.FILTER(E368:E378,(A368:A378=A368)*(E368:E378&gt;0)))),0)</f>
        <v>0</v>
      </c>
      <c r="I368" s="1130" cm="1">
        <f t="array" aca="1" ref="I368" ca="1">IFERROR(IF(A368=A367,0,SUM(_xlfn._xlws.FILTER(E368:E378,(A368:A378=A368)*(F368&lt;0)))),0)</f>
        <v>-15475</v>
      </c>
      <c r="J368"/>
      <c r="K368"/>
      <c r="L368"/>
      <c r="M368"/>
      <c r="N368"/>
    </row>
    <row r="369" spans="1:14" hidden="1">
      <c r="A369" s="452">
        <v>45826</v>
      </c>
      <c r="B369" s="465" t="s">
        <v>1</v>
      </c>
      <c r="C369" s="454">
        <v>2800</v>
      </c>
      <c r="D369" s="651">
        <v>-13.02</v>
      </c>
      <c r="E369" s="1128">
        <f ca="1">IFERROR(C369*D369*_xlfn.XLOOKUP(B369,TabCalc[Ticker],TabCalc[Scale]),0)</f>
        <v>-36456</v>
      </c>
      <c r="F369" s="1129" cm="1">
        <f t="array" aca="1" ref="F369" ca="1">IF(A369=A368,0,SUM(_xlfn._xlws.FILTER(E369:E379,A369:A379=A369)))</f>
        <v>-36456</v>
      </c>
      <c r="G369" s="1130">
        <f ca="1">IF(F369&lt;&gt;0,SUM($F$43:F369),0)</f>
        <v>-2649777.4265729995</v>
      </c>
      <c r="H369" s="1130" cm="1">
        <f t="array" aca="1" ref="H369" ca="1">IFERROR(IF(A369=A368,0,SUM(_xlfn._xlws.FILTER(E369:E379,(A369:A379=A369)*(E369:E379&gt;0)))),0)</f>
        <v>0</v>
      </c>
      <c r="I369" s="1130" cm="1">
        <f t="array" aca="1" ref="I369" ca="1">IFERROR(IF(A369=A368,0,SUM(_xlfn._xlws.FILTER(E369:E379,(A369:A379=A369)*(F369&lt;0)))),0)</f>
        <v>-36456</v>
      </c>
      <c r="J369"/>
      <c r="K369"/>
      <c r="L369"/>
      <c r="M369"/>
      <c r="N369"/>
    </row>
    <row r="370" spans="1:14" hidden="1">
      <c r="A370" s="466">
        <v>45828</v>
      </c>
      <c r="B370" s="448" t="s">
        <v>2</v>
      </c>
      <c r="C370" s="468">
        <v>20000</v>
      </c>
      <c r="D370" s="650">
        <v>52.01</v>
      </c>
      <c r="E370" s="1128">
        <f ca="1">IFERROR(C370*D370*_xlfn.XLOOKUP(B370,TabCalc[Ticker],TabCalc[Scale]),0)</f>
        <v>10402</v>
      </c>
      <c r="F370" s="1129" cm="1">
        <f t="array" aca="1" ref="F370" ca="1">IF(A370=A369,0,SUM(_xlfn._xlws.FILTER(E370:E380,A370:A380=A370)))</f>
        <v>-150178</v>
      </c>
      <c r="G370" s="1130">
        <f ca="1">IF(F370&lt;&gt;0,SUM($F$43:F370),0)</f>
        <v>-2799955.4265729995</v>
      </c>
      <c r="H370" s="1130" cm="1">
        <f t="array" aca="1" ref="H370" ca="1">IFERROR(IF(A370=A369,0,SUM(_xlfn._xlws.FILTER(E370:E380,(A370:A380=A370)*(E370:E380&gt;0)))),0)</f>
        <v>129182</v>
      </c>
      <c r="I370" s="1130" cm="1">
        <f t="array" aca="1" ref="I370" ca="1">IFERROR(IF(A370=A369,0,SUM(_xlfn._xlws.FILTER(E370:E380,(A370:A380=A370)*(F370&lt;0)))),0)</f>
        <v>-150178</v>
      </c>
      <c r="J370"/>
      <c r="K370"/>
      <c r="L370"/>
      <c r="M370"/>
      <c r="N370"/>
    </row>
    <row r="371" spans="1:14" hidden="1">
      <c r="A371" s="466">
        <v>45828</v>
      </c>
      <c r="B371" s="448" t="s">
        <v>12</v>
      </c>
      <c r="C371" s="468">
        <v>400</v>
      </c>
      <c r="D371" s="650">
        <v>117.4</v>
      </c>
      <c r="E371" s="1128">
        <f ca="1">IFERROR(C371*D371*_xlfn.XLOOKUP(B371,TabCalc[Ticker],TabCalc[Scale]),0)</f>
        <v>46960</v>
      </c>
      <c r="F371" s="1129" cm="1">
        <f t="array" ref="F371">IF(A371=A370,0,SUM(_xlfn._xlws.FILTER(E371:E381,A371:A381=A371)))</f>
        <v>0</v>
      </c>
      <c r="G371" s="1130">
        <f>IF(F371&lt;&gt;0,SUM($F$43:F371),0)</f>
        <v>0</v>
      </c>
      <c r="H371" s="1130" cm="1">
        <f t="array" ref="H371">IFERROR(IF(A371=A370,0,SUM(_xlfn._xlws.FILTER(E371:E381,(A371:A381=A371)*(E371:E381&gt;0)))),0)</f>
        <v>0</v>
      </c>
      <c r="I371" s="1130" cm="1">
        <f t="array" ref="I371">IFERROR(IF(A371=A370,0,SUM(_xlfn._xlws.FILTER(E371:E381,(A371:A381=A371)*(F371&lt;0)))),0)</f>
        <v>0</v>
      </c>
      <c r="J371"/>
      <c r="K371"/>
      <c r="L371"/>
      <c r="M371"/>
      <c r="N371"/>
    </row>
    <row r="372" spans="1:14" hidden="1">
      <c r="A372" s="466">
        <v>45828</v>
      </c>
      <c r="B372" s="448" t="s">
        <v>5</v>
      </c>
      <c r="C372" s="468">
        <v>4000</v>
      </c>
      <c r="D372" s="650">
        <v>-69.84</v>
      </c>
      <c r="E372" s="1128">
        <f ca="1">IFERROR(C372*D372*_xlfn.XLOOKUP(B372,TabCalc[Ticker],TabCalc[Scale]),0)</f>
        <v>-279360</v>
      </c>
      <c r="F372" s="1129" cm="1">
        <f t="array" ref="F372">IF(A372=A371,0,SUM(_xlfn._xlws.FILTER(E372:E382,A372:A382=A372)))</f>
        <v>0</v>
      </c>
      <c r="G372" s="1130">
        <f>IF(F372&lt;&gt;0,SUM($F$43:F372),0)</f>
        <v>0</v>
      </c>
      <c r="H372" s="1130" cm="1">
        <f t="array" ref="H372">IFERROR(IF(A372=A371,0,SUM(_xlfn._xlws.FILTER(E372:E382,(A372:A382=A372)*(E372:E382&gt;0)))),0)</f>
        <v>0</v>
      </c>
      <c r="I372" s="1130" cm="1">
        <f t="array" ref="I372">IFERROR(IF(A372=A371,0,SUM(_xlfn._xlws.FILTER(E372:E382,(A372:A382=A372)*(F372&lt;0)))),0)</f>
        <v>0</v>
      </c>
      <c r="J372"/>
      <c r="K372"/>
      <c r="L372"/>
      <c r="M372"/>
      <c r="N372"/>
    </row>
    <row r="373" spans="1:14" hidden="1">
      <c r="A373" s="466">
        <v>45828</v>
      </c>
      <c r="B373" s="448" t="s">
        <v>23</v>
      </c>
      <c r="C373" s="468">
        <v>1000</v>
      </c>
      <c r="D373" s="650">
        <v>71.819999999999993</v>
      </c>
      <c r="E373" s="1128">
        <f ca="1">IFERROR(C373*D373*_xlfn.XLOOKUP(B373,TabCalc[Ticker],TabCalc[Scale]),0)</f>
        <v>71820</v>
      </c>
      <c r="F373" s="1129" cm="1">
        <f t="array" ref="F373">IF(A373=A372,0,SUM(_xlfn._xlws.FILTER(E373:E383,A373:A383=A373)))</f>
        <v>0</v>
      </c>
      <c r="G373" s="1130">
        <f>IF(F373&lt;&gt;0,SUM($F$43:F373),0)</f>
        <v>0</v>
      </c>
      <c r="H373" s="1130" cm="1">
        <f t="array" ref="H373">IFERROR(IF(A373=A372,0,SUM(_xlfn._xlws.FILTER(E373:E383,(A373:A383=A373)*(E373:E383&gt;0)))),0)</f>
        <v>0</v>
      </c>
      <c r="I373" s="1130" cm="1">
        <f t="array" ref="I373">IFERROR(IF(A373=A372,0,SUM(_xlfn._xlws.FILTER(E373:E383,(A373:A383=A373)*(F373&lt;0)))),0)</f>
        <v>0</v>
      </c>
      <c r="J373"/>
      <c r="K373"/>
      <c r="L373"/>
      <c r="M373"/>
      <c r="N373"/>
    </row>
    <row r="374" spans="1:14" hidden="1">
      <c r="A374" s="452">
        <v>45831</v>
      </c>
      <c r="B374" s="465" t="s">
        <v>38</v>
      </c>
      <c r="C374" s="454">
        <v>1000</v>
      </c>
      <c r="D374" s="651">
        <v>-250.75</v>
      </c>
      <c r="E374" s="1128">
        <f ca="1">IFERROR(C374*D374*_xlfn.XLOOKUP(B374,TabCalc[Ticker],TabCalc[Scale]),0)</f>
        <v>-250750</v>
      </c>
      <c r="F374" s="1129" cm="1">
        <f t="array" aca="1" ref="F374" ca="1">IF(A374=A373,0,SUM(_xlfn._xlws.FILTER(E374:E384,A374:A384=A374)))</f>
        <v>-500500</v>
      </c>
      <c r="G374" s="1130">
        <f ca="1">IF(F374&lt;&gt;0,SUM($F$43:F374),0)</f>
        <v>-3300455.4265729995</v>
      </c>
      <c r="H374" s="1130" cm="1">
        <f t="array" aca="1" ref="H374" ca="1">IFERROR(IF(A374=A373,0,SUM(_xlfn._xlws.FILTER(E374:E384,(A374:A384=A374)*(E374:E384&gt;0)))),0)</f>
        <v>0</v>
      </c>
      <c r="I374" s="1130" cm="1">
        <f t="array" aca="1" ref="I374" ca="1">IFERROR(IF(A374=A373,0,SUM(_xlfn._xlws.FILTER(E374:E384,(A374:A384=A374)*(F374&lt;0)))),0)</f>
        <v>-500500</v>
      </c>
      <c r="J374"/>
      <c r="K374"/>
      <c r="L374"/>
      <c r="M374"/>
      <c r="N374"/>
    </row>
    <row r="375" spans="1:14" hidden="1">
      <c r="A375" s="452">
        <v>45831</v>
      </c>
      <c r="B375" s="465" t="s">
        <v>38</v>
      </c>
      <c r="C375" s="454">
        <v>1000</v>
      </c>
      <c r="D375" s="651">
        <v>-249.75</v>
      </c>
      <c r="E375" s="1128">
        <f ca="1">IFERROR(C375*D375*_xlfn.XLOOKUP(B375,TabCalc[Ticker],TabCalc[Scale]),0)</f>
        <v>-249750</v>
      </c>
      <c r="F375" s="1129" cm="1">
        <f t="array" ref="F375">IF(A375=A374,0,SUM(_xlfn._xlws.FILTER(E375:E385,A375:A385=A375)))</f>
        <v>0</v>
      </c>
      <c r="G375" s="1130">
        <f>IF(F375&lt;&gt;0,SUM($F$43:F375),0)</f>
        <v>0</v>
      </c>
      <c r="H375" s="1130" cm="1">
        <f t="array" ref="H375">IFERROR(IF(A375=A374,0,SUM(_xlfn._xlws.FILTER(E375:E385,(A375:A385=A375)*(E375:E385&gt;0)))),0)</f>
        <v>0</v>
      </c>
      <c r="I375" s="1130" cm="1">
        <f t="array" ref="I375">IFERROR(IF(A375=A374,0,SUM(_xlfn._xlws.FILTER(E375:E385,(A375:A385=A375)*(F375&lt;0)))),0)</f>
        <v>0</v>
      </c>
      <c r="J375"/>
      <c r="K375"/>
      <c r="L375"/>
      <c r="M375"/>
      <c r="N375"/>
    </row>
    <row r="376" spans="1:14" hidden="1">
      <c r="A376" s="466">
        <v>45832</v>
      </c>
      <c r="B376" s="448" t="s">
        <v>0</v>
      </c>
      <c r="C376" s="468">
        <v>300</v>
      </c>
      <c r="D376" s="650">
        <v>-200.7</v>
      </c>
      <c r="E376" s="1128">
        <f ca="1">IFERROR(C376*D376*_xlfn.XLOOKUP(B376,TabCalc[Ticker],TabCalc[Scale]),0)</f>
        <v>-60210</v>
      </c>
      <c r="F376" s="1129" cm="1">
        <f t="array" aca="1" ref="F376" ca="1">IF(A376=A375,0,SUM(_xlfn._xlws.FILTER(E376:E386,A376:A386=A376)))</f>
        <v>-166700</v>
      </c>
      <c r="G376" s="1130">
        <f ca="1">IF(F376&lt;&gt;0,SUM($F$43:F376),0)</f>
        <v>-3467155.4265729995</v>
      </c>
      <c r="H376" s="1130" cm="1">
        <f t="array" aca="1" ref="H376" ca="1">IFERROR(IF(A376=A375,0,SUM(_xlfn._xlws.FILTER(E376:E386,(A376:A386=A376)*(E376:E386&gt;0)))),0)</f>
        <v>0</v>
      </c>
      <c r="I376" s="1130" cm="1">
        <f t="array" aca="1" ref="I376" ca="1">IFERROR(IF(A376=A375,0,SUM(_xlfn._xlws.FILTER(E376:E386,(A376:A386=A376)*(F376&lt;0)))),0)</f>
        <v>-166700</v>
      </c>
      <c r="J376"/>
      <c r="K376"/>
      <c r="L376"/>
      <c r="M376"/>
      <c r="N376"/>
    </row>
    <row r="377" spans="1:14" hidden="1">
      <c r="A377" s="466">
        <v>45832</v>
      </c>
      <c r="B377" s="448" t="s">
        <v>3</v>
      </c>
      <c r="C377" s="468">
        <v>500</v>
      </c>
      <c r="D377" s="650">
        <v>-212.98</v>
      </c>
      <c r="E377" s="1128">
        <f ca="1">IFERROR(C377*D377*_xlfn.XLOOKUP(B377,TabCalc[Ticker],TabCalc[Scale]),0)</f>
        <v>-106490</v>
      </c>
      <c r="F377" s="1129" cm="1">
        <f t="array" ref="F377">IF(A377=A376,0,SUM(_xlfn._xlws.FILTER(E377:E387,A377:A387=A377)))</f>
        <v>0</v>
      </c>
      <c r="G377" s="1130">
        <f>IF(F377&lt;&gt;0,SUM($F$43:F377),0)</f>
        <v>0</v>
      </c>
      <c r="H377" s="1130" cm="1">
        <f t="array" ref="H377">IFERROR(IF(A377=A376,0,SUM(_xlfn._xlws.FILTER(E377:E387,(A377:A387=A377)*(E377:E387&gt;0)))),0)</f>
        <v>0</v>
      </c>
      <c r="I377" s="1130" cm="1">
        <f t="array" ref="I377">IFERROR(IF(A377=A376,0,SUM(_xlfn._xlws.FILTER(E377:E387,(A377:A387=A377)*(F377&lt;0)))),0)</f>
        <v>0</v>
      </c>
      <c r="J377"/>
      <c r="K377"/>
      <c r="L377"/>
      <c r="M377"/>
      <c r="N377"/>
    </row>
    <row r="378" spans="1:14" hidden="1">
      <c r="A378" s="452">
        <v>45833</v>
      </c>
      <c r="B378" s="465" t="s">
        <v>32</v>
      </c>
      <c r="C378" s="454">
        <v>200</v>
      </c>
      <c r="D378" s="651">
        <v>-695.5</v>
      </c>
      <c r="E378" s="1128">
        <f ca="1">IFERROR(C378*D378*_xlfn.XLOOKUP(B378,TabCalc[Ticker],TabCalc[Scale]),0)</f>
        <v>-139100</v>
      </c>
      <c r="F378" s="1129" cm="1">
        <f t="array" aca="1" ref="F378" ca="1">IF(A378=A377,0,SUM(_xlfn._xlws.FILTER(E378:E388,A378:A388=A378)))</f>
        <v>267268.25</v>
      </c>
      <c r="G378" s="1130">
        <f ca="1">IF(F378&lt;&gt;0,SUM($F$43:F378),0)</f>
        <v>-3199887.1765729995</v>
      </c>
      <c r="H378" s="1130" cm="1">
        <f t="array" aca="1" ref="H378" ca="1">IFERROR(IF(A378=A377,0,SUM(_xlfn._xlws.FILTER(E378:E388,(A378:A388=A378)*(E378:E388&gt;0)))),0)</f>
        <v>502818.25</v>
      </c>
      <c r="I378" s="1130" cm="1">
        <f t="array" aca="1" ref="I378" ca="1">IFERROR(IF(A378=A377,0,SUM(_xlfn._xlws.FILTER(E378:E388,(A378:A388=A378)*(F378&lt;0)))),0)</f>
        <v>0</v>
      </c>
      <c r="J378"/>
      <c r="K378"/>
      <c r="L378"/>
      <c r="M378"/>
      <c r="N378"/>
    </row>
    <row r="379" spans="1:14" hidden="1">
      <c r="A379" s="452">
        <v>45833</v>
      </c>
      <c r="B379" s="465" t="s">
        <v>69</v>
      </c>
      <c r="C379" s="454">
        <v>800</v>
      </c>
      <c r="D379" s="651">
        <v>119.32</v>
      </c>
      <c r="E379" s="1128">
        <f ca="1">IFERROR(C379*D379*_xlfn.XLOOKUP(B379,TabCalc[Ticker],TabCalc[Scale]),0)</f>
        <v>95456</v>
      </c>
      <c r="F379" s="1129" cm="1">
        <f t="array" ref="F379">IF(A379=A378,0,SUM(_xlfn._xlws.FILTER(E379:E389,A379:A389=A379)))</f>
        <v>0</v>
      </c>
      <c r="G379" s="1130">
        <f>IF(F379&lt;&gt;0,SUM($F$43:F379),0)</f>
        <v>0</v>
      </c>
      <c r="H379" s="1130" cm="1">
        <f t="array" ref="H379">IFERROR(IF(A379=A378,0,SUM(_xlfn._xlws.FILTER(E379:E389,(A379:A389=A379)*(E379:E389&gt;0)))),0)</f>
        <v>0</v>
      </c>
      <c r="I379" s="1130" cm="1">
        <f t="array" ref="I379">IFERROR(IF(A379=A378,0,SUM(_xlfn._xlws.FILTER(E379:E389,(A379:A389=A379)*(F379&lt;0)))),0)</f>
        <v>0</v>
      </c>
      <c r="J379"/>
      <c r="K379"/>
      <c r="L379"/>
      <c r="M379"/>
      <c r="N379"/>
    </row>
    <row r="380" spans="1:14" hidden="1">
      <c r="A380" s="452">
        <v>45833</v>
      </c>
      <c r="B380" s="465" t="s">
        <v>79</v>
      </c>
      <c r="C380" s="454">
        <v>5000</v>
      </c>
      <c r="D380" s="651">
        <v>10.5</v>
      </c>
      <c r="E380" s="1128">
        <f ca="1">IFERROR(C380*D380*_xlfn.XLOOKUP(B380,TabCalc[Ticker],TabCalc[Scale]),0)</f>
        <v>52500</v>
      </c>
      <c r="F380" s="1129" cm="1">
        <f t="array" ref="F380">IF(A380=A379,0,SUM(_xlfn._xlws.FILTER(E380:E390,A380:A390=A380)))</f>
        <v>0</v>
      </c>
      <c r="G380" s="1130">
        <f>IF(F380&lt;&gt;0,SUM($F$43:F380),0)</f>
        <v>0</v>
      </c>
      <c r="H380" s="1130" cm="1">
        <f t="array" ref="H380">IFERROR(IF(A380=A379,0,SUM(_xlfn._xlws.FILTER(E380:E390,(A380:A390=A380)*(E380:E390&gt;0)))),0)</f>
        <v>0</v>
      </c>
      <c r="I380" s="1130" cm="1">
        <f t="array" ref="I380">IFERROR(IF(A380=A379,0,SUM(_xlfn._xlws.FILTER(E380:E390,(A380:A390=A380)*(F380&lt;0)))),0)</f>
        <v>0</v>
      </c>
      <c r="J380"/>
      <c r="K380"/>
      <c r="L380"/>
      <c r="M380"/>
      <c r="N380"/>
    </row>
    <row r="381" spans="1:14" hidden="1">
      <c r="A381" s="452">
        <v>45833</v>
      </c>
      <c r="B381" s="465" t="s">
        <v>88</v>
      </c>
      <c r="C381" s="454">
        <v>350</v>
      </c>
      <c r="D381" s="651">
        <v>169.12</v>
      </c>
      <c r="E381" s="1128">
        <f ca="1">IFERROR(C381*D381*_xlfn.XLOOKUP(B381,TabCalc[Ticker],TabCalc[Scale]),0)</f>
        <v>59192</v>
      </c>
      <c r="F381" s="1129" cm="1">
        <f t="array" ref="F381">IF(A381=A380,0,SUM(_xlfn._xlws.FILTER(E381:E391,A381:A391=A381)))</f>
        <v>0</v>
      </c>
      <c r="G381" s="1130">
        <f>IF(F381&lt;&gt;0,SUM($F$43:F381),0)</f>
        <v>0</v>
      </c>
      <c r="H381" s="1130" cm="1">
        <f t="array" ref="H381">IFERROR(IF(A381=A380,0,SUM(_xlfn._xlws.FILTER(E381:E391,(A381:A391=A381)*(E381:E391&gt;0)))),0)</f>
        <v>0</v>
      </c>
      <c r="I381" s="1130" cm="1">
        <f t="array" ref="I381">IFERROR(IF(A381=A380,0,SUM(_xlfn._xlws.FILTER(E381:E391,(A381:A391=A381)*(F381&lt;0)))),0)</f>
        <v>0</v>
      </c>
      <c r="J381"/>
      <c r="K381"/>
      <c r="L381"/>
      <c r="M381"/>
      <c r="N381"/>
    </row>
    <row r="382" spans="1:14" hidden="1">
      <c r="A382" s="452">
        <v>45833</v>
      </c>
      <c r="B382" s="465" t="s">
        <v>39</v>
      </c>
      <c r="C382" s="454">
        <v>3000</v>
      </c>
      <c r="D382" s="651">
        <v>-15.45</v>
      </c>
      <c r="E382" s="1128">
        <f ca="1">IFERROR(C382*D382*_xlfn.XLOOKUP(B382,TabCalc[Ticker],TabCalc[Scale]),0)</f>
        <v>-46350</v>
      </c>
      <c r="F382" s="1129" cm="1">
        <f t="array" ref="F382">IF(A382=A381,0,SUM(_xlfn._xlws.FILTER(E382:E392,A382:A392=A382)))</f>
        <v>0</v>
      </c>
      <c r="G382" s="1130">
        <f>IF(F382&lt;&gt;0,SUM($F$43:F382),0)</f>
        <v>0</v>
      </c>
      <c r="H382" s="1130" cm="1">
        <f t="array" ref="H382">IFERROR(IF(A382=A381,0,SUM(_xlfn._xlws.FILTER(E382:E392,(A382:A392=A382)*(E382:E392&gt;0)))),0)</f>
        <v>0</v>
      </c>
      <c r="I382" s="1130" cm="1">
        <f t="array" ref="I382">IFERROR(IF(A382=A381,0,SUM(_xlfn._xlws.FILTER(E382:E392,(A382:A392=A382)*(F382&lt;0)))),0)</f>
        <v>0</v>
      </c>
      <c r="J382"/>
      <c r="K382"/>
      <c r="L382"/>
      <c r="M382"/>
      <c r="N382"/>
    </row>
    <row r="383" spans="1:14" hidden="1">
      <c r="A383" s="452">
        <v>45833</v>
      </c>
      <c r="B383" s="465" t="s">
        <v>1089</v>
      </c>
      <c r="C383" s="454">
        <v>2500</v>
      </c>
      <c r="D383" s="651">
        <v>-5.12</v>
      </c>
      <c r="E383" s="1128">
        <f ca="1">IFERROR(C383*D383*_xlfn.XLOOKUP(B383,TabCalc[Ticker],TabCalc[Scale]),0)</f>
        <v>-12800</v>
      </c>
      <c r="F383" s="1129" cm="1">
        <f t="array" ref="F383">IF(A383=A382,0,SUM(_xlfn._xlws.FILTER(E383:E393,A383:A393=A383)))</f>
        <v>0</v>
      </c>
      <c r="G383" s="1130">
        <f>IF(F383&lt;&gt;0,SUM($F$43:F383),0)</f>
        <v>0</v>
      </c>
      <c r="H383" s="1130" cm="1">
        <f t="array" ref="H383">IFERROR(IF(A383=A382,0,SUM(_xlfn._xlws.FILTER(E383:E393,(A383:A393=A383)*(E383:E393&gt;0)))),0)</f>
        <v>0</v>
      </c>
      <c r="I383" s="1130" cm="1">
        <f t="array" ref="I383">IFERROR(IF(A383=A382,0,SUM(_xlfn._xlws.FILTER(E383:E393,(A383:A393=A383)*(F383&lt;0)))),0)</f>
        <v>0</v>
      </c>
      <c r="J383"/>
      <c r="K383"/>
      <c r="L383"/>
      <c r="M383"/>
      <c r="N383"/>
    </row>
    <row r="384" spans="1:14" hidden="1">
      <c r="A384" s="452">
        <v>45833</v>
      </c>
      <c r="B384" s="465" t="s">
        <v>35</v>
      </c>
      <c r="C384" s="454">
        <v>2000</v>
      </c>
      <c r="D384" s="651">
        <v>-18.649999999999999</v>
      </c>
      <c r="E384" s="1128">
        <f ca="1">IFERROR(C384*D384*_xlfn.XLOOKUP(B384,TabCalc[Ticker],TabCalc[Scale]),0)</f>
        <v>-37300</v>
      </c>
      <c r="F384" s="1129" cm="1">
        <f t="array" ref="F384">IF(A384=A383,0,SUM(_xlfn._xlws.FILTER(E384:E394,A384:A394=A384)))</f>
        <v>0</v>
      </c>
      <c r="G384" s="1130">
        <f>IF(F384&lt;&gt;0,SUM($F$43:F384),0)</f>
        <v>0</v>
      </c>
      <c r="H384" s="1130" cm="1">
        <f t="array" ref="H384">IFERROR(IF(A384=A383,0,SUM(_xlfn._xlws.FILTER(E384:E394,(A384:A394=A384)*(E384:E394&gt;0)))),0)</f>
        <v>0</v>
      </c>
      <c r="I384" s="1130" cm="1">
        <f t="array" ref="I384">IFERROR(IF(A384=A383,0,SUM(_xlfn._xlws.FILTER(E384:E394,(A384:A394=A384)*(F384&lt;0)))),0)</f>
        <v>0</v>
      </c>
      <c r="J384"/>
      <c r="K384"/>
      <c r="L384"/>
      <c r="M384"/>
      <c r="N384"/>
    </row>
    <row r="385" spans="1:14" hidden="1">
      <c r="A385" s="452">
        <v>45833</v>
      </c>
      <c r="B385" s="465" t="s">
        <v>29</v>
      </c>
      <c r="C385" s="454">
        <v>1000</v>
      </c>
      <c r="D385" s="651">
        <v>58.125</v>
      </c>
      <c r="E385" s="1128">
        <f ca="1">IFERROR(C385*D385*_xlfn.XLOOKUP(B385,TabCalc[Ticker],TabCalc[Scale]),0)</f>
        <v>58125</v>
      </c>
      <c r="F385" s="1129" cm="1">
        <f t="array" ref="F385">IF(A385=A384,0,SUM(_xlfn._xlws.FILTER(E385:E395,A385:A395=A385)))</f>
        <v>0</v>
      </c>
      <c r="G385" s="1130">
        <f>IF(F385&lt;&gt;0,SUM($F$43:F385),0)</f>
        <v>0</v>
      </c>
      <c r="H385" s="1130" cm="1">
        <f t="array" ref="H385">IFERROR(IF(A385=A384,0,SUM(_xlfn._xlws.FILTER(E385:E395,(A385:A395=A385)*(E385:E395&gt;0)))),0)</f>
        <v>0</v>
      </c>
      <c r="I385" s="1130" cm="1">
        <f t="array" ref="I385">IFERROR(IF(A385=A384,0,SUM(_xlfn._xlws.FILTER(E385:E395,(A385:A395=A385)*(F385&lt;0)))),0)</f>
        <v>0</v>
      </c>
      <c r="J385"/>
      <c r="K385"/>
      <c r="L385"/>
      <c r="M385"/>
      <c r="N385"/>
    </row>
    <row r="386" spans="1:14" hidden="1">
      <c r="A386" s="452">
        <v>45833</v>
      </c>
      <c r="B386" s="465" t="s">
        <v>27</v>
      </c>
      <c r="C386" s="454">
        <v>150</v>
      </c>
      <c r="D386" s="651">
        <v>491.47500000000002</v>
      </c>
      <c r="E386" s="1128">
        <f ca="1">IFERROR(C386*D386*_xlfn.XLOOKUP(B386,TabCalc[Ticker],TabCalc[Scale]),0)</f>
        <v>73721.25</v>
      </c>
      <c r="F386" s="1129" cm="1">
        <f t="array" ref="F386">IF(A386=A385,0,SUM(_xlfn._xlws.FILTER(E386:E396,A386:A396=A386)))</f>
        <v>0</v>
      </c>
      <c r="G386" s="1130">
        <f>IF(F386&lt;&gt;0,SUM($F$43:F386),0)</f>
        <v>0</v>
      </c>
      <c r="H386" s="1130" cm="1">
        <f t="array" ref="H386">IFERROR(IF(A386=A385,0,SUM(_xlfn._xlws.FILTER(E386:E396,(A386:A396=A386)*(E386:E396&gt;0)))),0)</f>
        <v>0</v>
      </c>
      <c r="I386" s="1130" cm="1">
        <f t="array" ref="I386">IFERROR(IF(A386=A385,0,SUM(_xlfn._xlws.FILTER(E386:E396,(A386:A396=A386)*(F386&lt;0)))),0)</f>
        <v>0</v>
      </c>
      <c r="J386"/>
      <c r="K386"/>
      <c r="L386"/>
      <c r="M386"/>
      <c r="N386"/>
    </row>
    <row r="387" spans="1:14" hidden="1">
      <c r="A387" s="452">
        <v>45833</v>
      </c>
      <c r="B387" s="465" t="s">
        <v>12</v>
      </c>
      <c r="C387" s="454">
        <v>800</v>
      </c>
      <c r="D387" s="651">
        <v>119.38</v>
      </c>
      <c r="E387" s="1128">
        <f ca="1">IFERROR(C387*D387*_xlfn.XLOOKUP(B387,TabCalc[Ticker],TabCalc[Scale]),0)</f>
        <v>95504</v>
      </c>
      <c r="F387" s="1129" cm="1">
        <f t="array" ref="F387">IF(A387=A386,0,SUM(_xlfn._xlws.FILTER(E387:E397,A387:A397=A387)))</f>
        <v>0</v>
      </c>
      <c r="G387" s="1130">
        <f>IF(F387&lt;&gt;0,SUM($F$43:F387),0)</f>
        <v>0</v>
      </c>
      <c r="H387" s="1130" cm="1">
        <f t="array" ref="H387">IFERROR(IF(A387=A386,0,SUM(_xlfn._xlws.FILTER(E387:E397,(A387:A397=A387)*(E387:E397&gt;0)))),0)</f>
        <v>0</v>
      </c>
      <c r="I387" s="1130" cm="1">
        <f t="array" ref="I387">IFERROR(IF(A387=A386,0,SUM(_xlfn._xlws.FILTER(E387:E397,(A387:A397=A387)*(F387&lt;0)))),0)</f>
        <v>0</v>
      </c>
      <c r="J387"/>
      <c r="K387"/>
      <c r="L387"/>
      <c r="M387"/>
      <c r="N387"/>
    </row>
    <row r="388" spans="1:14" hidden="1">
      <c r="A388" s="452">
        <v>45833</v>
      </c>
      <c r="B388" s="465" t="s">
        <v>9</v>
      </c>
      <c r="C388" s="454">
        <v>1000</v>
      </c>
      <c r="D388" s="651">
        <v>68.319999999999993</v>
      </c>
      <c r="E388" s="1128">
        <f ca="1">IFERROR(C388*D388*_xlfn.XLOOKUP(B388,TabCalc[Ticker],TabCalc[Scale]),0)</f>
        <v>68320</v>
      </c>
      <c r="F388" s="1129" cm="1">
        <f t="array" ref="F388">IF(A388=A387,0,SUM(_xlfn._xlws.FILTER(E388:E398,A388:A398=A388)))</f>
        <v>0</v>
      </c>
      <c r="G388" s="1130">
        <f>IF(F388&lt;&gt;0,SUM($F$43:F388),0)</f>
        <v>0</v>
      </c>
      <c r="H388" s="1130" cm="1">
        <f t="array" ref="H388">IFERROR(IF(A388=A387,0,SUM(_xlfn._xlws.FILTER(E388:E398,(A388:A398=A388)*(E388:E398&gt;0)))),0)</f>
        <v>0</v>
      </c>
      <c r="I388" s="1130" cm="1">
        <f t="array" ref="I388">IFERROR(IF(A388=A387,0,SUM(_xlfn._xlws.FILTER(E388:E398,(A388:A398=A388)*(F388&lt;0)))),0)</f>
        <v>0</v>
      </c>
      <c r="J388"/>
      <c r="K388"/>
      <c r="L388"/>
      <c r="M388"/>
      <c r="N388"/>
    </row>
    <row r="389" spans="1:14" hidden="1">
      <c r="A389" s="452">
        <v>45833</v>
      </c>
      <c r="B389" s="465" t="s">
        <v>8</v>
      </c>
      <c r="C389" s="454">
        <v>500</v>
      </c>
      <c r="D389" s="651">
        <v>82.67</v>
      </c>
      <c r="E389" s="1128">
        <f ca="1">IFERROR(C389*D389*_xlfn.XLOOKUP(B389,TabCalc[Ticker],TabCalc[Scale]),0)</f>
        <v>41335</v>
      </c>
      <c r="F389" s="1129" cm="1">
        <f t="array" ref="F389">IF(A389=A388,0,SUM(_xlfn._xlws.FILTER(E389:E399,A389:A399=A389)))</f>
        <v>0</v>
      </c>
      <c r="G389" s="1130">
        <f>IF(F389&lt;&gt;0,SUM($F$43:F389),0)</f>
        <v>0</v>
      </c>
      <c r="H389" s="1130" cm="1">
        <f t="array" ref="H389">IFERROR(IF(A389=A388,0,SUM(_xlfn._xlws.FILTER(E389:E399,(A389:A399=A389)*(E389:E399&gt;0)))),0)</f>
        <v>0</v>
      </c>
      <c r="I389" s="1130" cm="1">
        <f t="array" ref="I389">IFERROR(IF(A389=A388,0,SUM(_xlfn._xlws.FILTER(E389:E399,(A389:A399=A389)*(F389&lt;0)))),0)</f>
        <v>0</v>
      </c>
      <c r="J389"/>
      <c r="K389"/>
      <c r="L389"/>
      <c r="M389"/>
      <c r="N389"/>
    </row>
    <row r="390" spans="1:14" hidden="1">
      <c r="A390" s="452">
        <v>45833</v>
      </c>
      <c r="B390" s="465" t="s">
        <v>22</v>
      </c>
      <c r="C390" s="454">
        <v>20000</v>
      </c>
      <c r="D390" s="651">
        <v>331.3</v>
      </c>
      <c r="E390" s="1128">
        <f ca="1">IFERROR(C390*D390*_xlfn.XLOOKUP(B390,TabCalc[Ticker],TabCalc[Scale]),0)</f>
        <v>66260</v>
      </c>
      <c r="F390" s="1129" cm="1">
        <f t="array" ref="F390">IF(A390=A389,0,SUM(_xlfn._xlws.FILTER(E390:E400,A390:A400=A390)))</f>
        <v>0</v>
      </c>
      <c r="G390" s="1130">
        <f>IF(F390&lt;&gt;0,SUM($F$43:F390),0)</f>
        <v>0</v>
      </c>
      <c r="H390" s="1130" cm="1">
        <f t="array" ref="H390">IFERROR(IF(A390=A389,0,SUM(_xlfn._xlws.FILTER(E390:E400,(A390:A400=A390)*(E390:E400&gt;0)))),0)</f>
        <v>0</v>
      </c>
      <c r="I390" s="1130" cm="1">
        <f t="array" ref="I390">IFERROR(IF(A390=A389,0,SUM(_xlfn._xlws.FILTER(E390:E400,(A390:A400=A390)*(F390&lt;0)))),0)</f>
        <v>0</v>
      </c>
      <c r="J390"/>
      <c r="K390"/>
      <c r="L390"/>
      <c r="M390"/>
      <c r="N390"/>
    </row>
    <row r="391" spans="1:14" hidden="1">
      <c r="A391" s="466">
        <v>45834</v>
      </c>
      <c r="B391" s="448" t="s">
        <v>56</v>
      </c>
      <c r="C391" s="468">
        <v>1500</v>
      </c>
      <c r="D391" s="650">
        <v>-30.22</v>
      </c>
      <c r="E391" s="1128">
        <f ca="1">IFERROR(C391*D391*_xlfn.XLOOKUP(B391,TabCalc[Ticker],TabCalc[Scale]),0)</f>
        <v>-45330</v>
      </c>
      <c r="F391" s="1129" cm="1">
        <f t="array" aca="1" ref="F391" ca="1">IF(A391=A390,0,SUM(_xlfn._xlws.FILTER(E391:E401,A391:A401=A391)))</f>
        <v>160005</v>
      </c>
      <c r="G391" s="1130">
        <f ca="1">IF(F391&lt;&gt;0,SUM($F$43:F391),0)</f>
        <v>-3039882.1765729995</v>
      </c>
      <c r="H391" s="1130" cm="1">
        <f t="array" aca="1" ref="H391" ca="1">IFERROR(IF(A391=A390,0,SUM(_xlfn._xlws.FILTER(E391:E401,(A391:A401=A391)*(E391:E401&gt;0)))),0)</f>
        <v>245815</v>
      </c>
      <c r="I391" s="1130" cm="1">
        <f t="array" aca="1" ref="I391" ca="1">IFERROR(IF(A391=A390,0,SUM(_xlfn._xlws.FILTER(E391:E401,(A391:A401=A391)*(F391&lt;0)))),0)</f>
        <v>0</v>
      </c>
      <c r="J391"/>
      <c r="K391"/>
      <c r="L391"/>
      <c r="M391"/>
      <c r="N391"/>
    </row>
    <row r="392" spans="1:14" hidden="1">
      <c r="A392" s="466">
        <v>45834</v>
      </c>
      <c r="B392" s="448" t="s">
        <v>27</v>
      </c>
      <c r="C392" s="468">
        <v>150</v>
      </c>
      <c r="D392" s="650">
        <v>496.3</v>
      </c>
      <c r="E392" s="1128">
        <f ca="1">IFERROR(C392*D392*_xlfn.XLOOKUP(B392,TabCalc[Ticker],TabCalc[Scale]),0)</f>
        <v>74445</v>
      </c>
      <c r="F392" s="1129" cm="1">
        <f t="array" ref="F392">IF(A392=A391,0,SUM(_xlfn._xlws.FILTER(E392:E402,A392:A402=A392)))</f>
        <v>0</v>
      </c>
      <c r="G392" s="1130">
        <f>IF(F392&lt;&gt;0,SUM($F$43:F392),0)</f>
        <v>0</v>
      </c>
      <c r="H392" s="1130" cm="1">
        <f t="array" ref="H392">IFERROR(IF(A392=A391,0,SUM(_xlfn._xlws.FILTER(E392:E402,(A392:A402=A392)*(E392:E402&gt;0)))),0)</f>
        <v>0</v>
      </c>
      <c r="I392" s="1130" cm="1">
        <f t="array" ref="I392">IFERROR(IF(A392=A391,0,SUM(_xlfn._xlws.FILTER(E392:E402,(A392:A402=A392)*(F392&lt;0)))),0)</f>
        <v>0</v>
      </c>
      <c r="J392"/>
      <c r="K392"/>
      <c r="L392"/>
      <c r="M392"/>
      <c r="N392"/>
    </row>
    <row r="393" spans="1:14" hidden="1">
      <c r="A393" s="466">
        <v>45834</v>
      </c>
      <c r="B393" s="448" t="s">
        <v>78</v>
      </c>
      <c r="C393" s="468">
        <v>40000</v>
      </c>
      <c r="D393" s="650">
        <v>-1.012</v>
      </c>
      <c r="E393" s="1128">
        <f ca="1">IFERROR(C393*D393*_xlfn.XLOOKUP(B393,TabCalc[Ticker],TabCalc[Scale]),0)</f>
        <v>-40480</v>
      </c>
      <c r="F393" s="1129" cm="1">
        <f t="array" ref="F393">IF(A393=A392,0,SUM(_xlfn._xlws.FILTER(E393:E403,A393:A403=A393)))</f>
        <v>0</v>
      </c>
      <c r="G393" s="1130">
        <f>IF(F393&lt;&gt;0,SUM($F$43:F393),0)</f>
        <v>0</v>
      </c>
      <c r="H393" s="1130" cm="1">
        <f t="array" ref="H393">IFERROR(IF(A393=A392,0,SUM(_xlfn._xlws.FILTER(E393:E403,(A393:A403=A393)*(E393:E403&gt;0)))),0)</f>
        <v>0</v>
      </c>
      <c r="I393" s="1130" cm="1">
        <f t="array" ref="I393">IFERROR(IF(A393=A392,0,SUM(_xlfn._xlws.FILTER(E393:E403,(A393:A403=A393)*(F393&lt;0)))),0)</f>
        <v>0</v>
      </c>
      <c r="J393"/>
      <c r="K393"/>
      <c r="L393"/>
      <c r="M393"/>
      <c r="N393"/>
    </row>
    <row r="394" spans="1:14" hidden="1">
      <c r="A394" s="466">
        <v>45834</v>
      </c>
      <c r="B394" s="448" t="s">
        <v>29</v>
      </c>
      <c r="C394" s="468">
        <v>1000</v>
      </c>
      <c r="D394" s="650">
        <v>59.16</v>
      </c>
      <c r="E394" s="1128">
        <f ca="1">IFERROR(C394*D394*_xlfn.XLOOKUP(B394,TabCalc[Ticker],TabCalc[Scale]),0)</f>
        <v>59160</v>
      </c>
      <c r="F394" s="1129" cm="1">
        <f t="array" ref="F394">IF(A394=A393,0,SUM(_xlfn._xlws.FILTER(E394:E404,A394:A404=A394)))</f>
        <v>0</v>
      </c>
      <c r="G394" s="1130">
        <f>IF(F394&lt;&gt;0,SUM($F$43:F394),0)</f>
        <v>0</v>
      </c>
      <c r="H394" s="1130" cm="1">
        <f t="array" ref="H394">IFERROR(IF(A394=A393,0,SUM(_xlfn._xlws.FILTER(E394:E404,(A394:A404=A394)*(E394:E404&gt;0)))),0)</f>
        <v>0</v>
      </c>
      <c r="I394" s="1130" cm="1">
        <f t="array" ref="I394">IFERROR(IF(A394=A393,0,SUM(_xlfn._xlws.FILTER(E394:E404,(A394:A404=A394)*(F394&lt;0)))),0)</f>
        <v>0</v>
      </c>
      <c r="J394"/>
      <c r="K394"/>
      <c r="L394"/>
      <c r="M394"/>
      <c r="N394"/>
    </row>
    <row r="395" spans="1:14" hidden="1">
      <c r="A395" s="466">
        <v>45834</v>
      </c>
      <c r="B395" s="448" t="s">
        <v>43</v>
      </c>
      <c r="C395" s="468">
        <v>500</v>
      </c>
      <c r="D395" s="650">
        <v>224.42</v>
      </c>
      <c r="E395" s="1128">
        <f ca="1">IFERROR(C395*D395*_xlfn.XLOOKUP(B395,TabCalc[Ticker],TabCalc[Scale]),0)</f>
        <v>112210</v>
      </c>
      <c r="F395" s="1129" cm="1">
        <f t="array" ref="F395">IF(A395=A394,0,SUM(_xlfn._xlws.FILTER(E395:E405,A395:A405=A395)))</f>
        <v>0</v>
      </c>
      <c r="G395" s="1130">
        <f>IF(F395&lt;&gt;0,SUM($F$43:F395),0)</f>
        <v>0</v>
      </c>
      <c r="H395" s="1130" cm="1">
        <f t="array" ref="H395">IFERROR(IF(A395=A394,0,SUM(_xlfn._xlws.FILTER(E395:E405,(A395:A405=A395)*(E395:E405&gt;0)))),0)</f>
        <v>0</v>
      </c>
      <c r="I395" s="1130" cm="1">
        <f t="array" ref="I395">IFERROR(IF(A395=A394,0,SUM(_xlfn._xlws.FILTER(E395:E405,(A395:A405=A395)*(F395&lt;0)))),0)</f>
        <v>0</v>
      </c>
      <c r="J395"/>
      <c r="K395"/>
      <c r="L395"/>
      <c r="M395"/>
      <c r="N395"/>
    </row>
    <row r="396" spans="1:14" hidden="1">
      <c r="A396" s="452">
        <v>45835</v>
      </c>
      <c r="B396" s="465" t="s">
        <v>31</v>
      </c>
      <c r="C396" s="454">
        <v>1000</v>
      </c>
      <c r="D396" s="651">
        <v>-27.53</v>
      </c>
      <c r="E396" s="1128">
        <f ca="1">IFERROR(C396*D396*_xlfn.XLOOKUP(B396,TabCalc[Ticker],TabCalc[Scale]),0)</f>
        <v>-27530</v>
      </c>
      <c r="F396" s="1129" cm="1">
        <f t="array" aca="1" ref="F396" ca="1">IF(A396=A395,0,SUM(_xlfn._xlws.FILTER(E396:E406,A396:A406=A396)))</f>
        <v>-27530</v>
      </c>
      <c r="G396" s="1130">
        <f ca="1">IF(F396&lt;&gt;0,SUM($F$43:F396),0)</f>
        <v>-3067412.1765729995</v>
      </c>
      <c r="H396" s="1130" cm="1">
        <f t="array" aca="1" ref="H396" ca="1">IFERROR(IF(A396=A395,0,SUM(_xlfn._xlws.FILTER(E396:E406,(A396:A406=A396)*(E396:E406&gt;0)))),0)</f>
        <v>0</v>
      </c>
      <c r="I396" s="1130" cm="1">
        <f t="array" aca="1" ref="I396" ca="1">IFERROR(IF(A396=A395,0,SUM(_xlfn._xlws.FILTER(E396:E406,(A396:A406=A396)*(F396&lt;0)))),0)</f>
        <v>-27530</v>
      </c>
      <c r="J396"/>
      <c r="K396"/>
      <c r="L396"/>
      <c r="M396"/>
      <c r="N396"/>
    </row>
    <row r="397" spans="1:14" hidden="1">
      <c r="A397" s="466">
        <v>45838</v>
      </c>
      <c r="B397" s="448" t="s">
        <v>20</v>
      </c>
      <c r="C397" s="468">
        <v>2000</v>
      </c>
      <c r="D397" s="650">
        <v>20.52</v>
      </c>
      <c r="E397" s="1128">
        <f ca="1">IFERROR(C397*D397*_xlfn.XLOOKUP(B397,TabCalc[Ticker],TabCalc[Scale]),0)</f>
        <v>41040</v>
      </c>
      <c r="F397" s="1129" cm="1">
        <f t="array" aca="1" ref="F397" ca="1">IF(A397=A396,0,SUM(_xlfn._xlws.FILTER(E397:E407,A397:A407=A397)))</f>
        <v>41040</v>
      </c>
      <c r="G397" s="1130">
        <f ca="1">IF(F397&lt;&gt;0,SUM($F$43:F397),0)</f>
        <v>-3026372.1765729995</v>
      </c>
      <c r="H397" s="1130" cm="1">
        <f t="array" aca="1" ref="H397" ca="1">IFERROR(IF(A397=A396,0,SUM(_xlfn._xlws.FILTER(E397:E407,(A397:A407=A397)*(E397:E407&gt;0)))),0)</f>
        <v>41040</v>
      </c>
      <c r="I397" s="1130" cm="1">
        <f t="array" aca="1" ref="I397" ca="1">IFERROR(IF(A397=A396,0,SUM(_xlfn._xlws.FILTER(E397:E407,(A397:A407=A397)*(F397&lt;0)))),0)</f>
        <v>0</v>
      </c>
      <c r="J397"/>
      <c r="K397"/>
      <c r="L397"/>
      <c r="M397"/>
      <c r="N397"/>
    </row>
    <row r="398" spans="1:14" hidden="1">
      <c r="A398" s="452">
        <v>45841</v>
      </c>
      <c r="B398" s="465" t="s">
        <v>22</v>
      </c>
      <c r="C398" s="454">
        <v>8290</v>
      </c>
      <c r="D398" s="651">
        <v>3.46</v>
      </c>
      <c r="E398" s="1128">
        <f ca="1">IFERROR(C398*D398*_xlfn.XLOOKUP(B398,TabCalc[Ticker],TabCalc[Scale]),0)</f>
        <v>286.834</v>
      </c>
      <c r="F398" s="1129" cm="1">
        <f t="array" aca="1" ref="F398" ca="1">IF(A398=A397,0,SUM(_xlfn._xlws.FILTER(E398:E408,A398:A408=A398)))</f>
        <v>286.834</v>
      </c>
      <c r="G398" s="1130">
        <f ca="1">IF(F398&lt;&gt;0,SUM($F$43:F398),0)</f>
        <v>-3026085.3425729997</v>
      </c>
      <c r="H398" s="1130" cm="1">
        <f t="array" aca="1" ref="H398" ca="1">IFERROR(IF(A398=A397,0,SUM(_xlfn._xlws.FILTER(E398:E408,(A398:A408=A398)*(E398:E408&gt;0)))),0)</f>
        <v>286.834</v>
      </c>
      <c r="I398" s="1130" cm="1">
        <f t="array" aca="1" ref="I398" ca="1">IFERROR(IF(A398=A397,0,SUM(_xlfn._xlws.FILTER(E398:E408,(A398:A408=A398)*(F398&lt;0)))),0)</f>
        <v>0</v>
      </c>
      <c r="J398"/>
      <c r="K398"/>
      <c r="L398"/>
      <c r="M398"/>
      <c r="N398"/>
    </row>
    <row r="399" spans="1:14" hidden="1">
      <c r="A399" s="466">
        <v>45842</v>
      </c>
      <c r="B399" s="448" t="s">
        <v>22</v>
      </c>
      <c r="C399" s="468">
        <v>20000</v>
      </c>
      <c r="D399" s="650">
        <v>345.8</v>
      </c>
      <c r="E399" s="1128">
        <f ca="1">IFERROR(C399*D399*_xlfn.XLOOKUP(B399,TabCalc[Ticker],TabCalc[Scale]),0)</f>
        <v>69160</v>
      </c>
      <c r="F399" s="1129" cm="1">
        <f t="array" aca="1" ref="F399" ca="1">IF(A399=A398,0,SUM(_xlfn._xlws.FILTER(E399:E409,A399:A409=A399)))</f>
        <v>69160</v>
      </c>
      <c r="G399" s="1130">
        <f ca="1">IF(F399&lt;&gt;0,SUM($F$43:F399),0)</f>
        <v>-2956925.3425729997</v>
      </c>
      <c r="H399" s="1130" cm="1">
        <f t="array" aca="1" ref="H399" ca="1">IFERROR(IF(A399=A398,0,SUM(_xlfn._xlws.FILTER(E399:E409,(A399:A409=A399)*(E399:E409&gt;0)))),0)</f>
        <v>69160</v>
      </c>
      <c r="I399" s="1130" cm="1">
        <f t="array" aca="1" ref="I399" ca="1">IFERROR(IF(A399=A398,0,SUM(_xlfn._xlws.FILTER(E399:E409,(A399:A409=A399)*(F399&lt;0)))),0)</f>
        <v>0</v>
      </c>
      <c r="J399"/>
      <c r="K399"/>
      <c r="L399"/>
      <c r="M399"/>
      <c r="N399"/>
    </row>
    <row r="400" spans="1:14" hidden="1">
      <c r="A400" s="452">
        <v>45845</v>
      </c>
      <c r="B400" s="465" t="s">
        <v>69</v>
      </c>
      <c r="C400" s="454">
        <v>330</v>
      </c>
      <c r="D400" s="651">
        <v>122.97</v>
      </c>
      <c r="E400" s="1128">
        <f ca="1">IFERROR(C400*D400*_xlfn.XLOOKUP(B400,TabCalc[Ticker],TabCalc[Scale]),0)</f>
        <v>40580.1</v>
      </c>
      <c r="F400" s="1129" cm="1">
        <f t="array" aca="1" ref="F400" ca="1">IF(A400=A399,0,SUM(_xlfn._xlws.FILTER(E400:E410,A400:A410=A400)))</f>
        <v>40580.1</v>
      </c>
      <c r="G400" s="1130">
        <f ca="1">IF(F400&lt;&gt;0,SUM($F$43:F400),0)</f>
        <v>-2916345.2425729996</v>
      </c>
      <c r="H400" s="1130" cm="1">
        <f t="array" aca="1" ref="H400" ca="1">IFERROR(IF(A400=A399,0,SUM(_xlfn._xlws.FILTER(E400:E410,(A400:A410=A400)*(E400:E410&gt;0)))),0)</f>
        <v>40580.1</v>
      </c>
      <c r="I400" s="1130" cm="1">
        <f t="array" aca="1" ref="I400" ca="1">IFERROR(IF(A400=A399,0,SUM(_xlfn._xlws.FILTER(E400:E410,(A400:A410=A400)*(F400&lt;0)))),0)</f>
        <v>0</v>
      </c>
      <c r="J400"/>
      <c r="K400"/>
      <c r="L400"/>
      <c r="M400"/>
      <c r="N400"/>
    </row>
    <row r="401" spans="1:14" hidden="1">
      <c r="A401" s="466">
        <v>45848</v>
      </c>
      <c r="B401" s="448" t="s">
        <v>77</v>
      </c>
      <c r="C401" s="468">
        <v>10000</v>
      </c>
      <c r="D401" s="650">
        <v>-524.20000000000005</v>
      </c>
      <c r="E401" s="1128">
        <f ca="1">IFERROR(C401*D401*_xlfn.XLOOKUP(B401,TabCalc[Ticker],TabCalc[Scale]),0)</f>
        <v>-52420</v>
      </c>
      <c r="F401" s="1129" cm="1">
        <f t="array" aca="1" ref="F401" ca="1">IF(A401=A400,0,SUM(_xlfn._xlws.FILTER(E401:E411,A401:A411=A401)))</f>
        <v>21420</v>
      </c>
      <c r="G401" s="1130">
        <f ca="1">IF(F401&lt;&gt;0,SUM($F$43:F401),0)</f>
        <v>-2894925.2425729996</v>
      </c>
      <c r="H401" s="1130" cm="1">
        <f t="array" aca="1" ref="H401" ca="1">IFERROR(IF(A401=A400,0,SUM(_xlfn._xlws.FILTER(E401:E411,(A401:A411=A401)*(E401:E411&gt;0)))),0)</f>
        <v>73840</v>
      </c>
      <c r="I401" s="1130" cm="1">
        <f t="array" aca="1" ref="I401" ca="1">IFERROR(IF(A401=A400,0,SUM(_xlfn._xlws.FILTER(E401:E411,(A401:A411=A401)*(F401&lt;0)))),0)</f>
        <v>0</v>
      </c>
      <c r="J401"/>
      <c r="K401"/>
      <c r="L401"/>
      <c r="M401"/>
      <c r="N401"/>
    </row>
    <row r="402" spans="1:14" hidden="1">
      <c r="A402" s="466">
        <v>45848</v>
      </c>
      <c r="B402" s="448" t="s">
        <v>22</v>
      </c>
      <c r="C402" s="468">
        <v>20000</v>
      </c>
      <c r="D402" s="650">
        <v>369.2</v>
      </c>
      <c r="E402" s="1128">
        <f ca="1">IFERROR(C402*D402*_xlfn.XLOOKUP(B402,TabCalc[Ticker],TabCalc[Scale]),0)</f>
        <v>73840</v>
      </c>
      <c r="F402" s="1129" cm="1">
        <f t="array" ref="F402">IF(A402=A401,0,SUM(_xlfn._xlws.FILTER(E402:E412,A402:A412=A402)))</f>
        <v>0</v>
      </c>
      <c r="G402" s="1130">
        <f>IF(F402&lt;&gt;0,SUM($F$43:F402),0)</f>
        <v>0</v>
      </c>
      <c r="H402" s="1130" cm="1">
        <f t="array" ref="H402">IFERROR(IF(A402=A401,0,SUM(_xlfn._xlws.FILTER(E402:E412,(A402:A412=A402)*(E402:E412&gt;0)))),0)</f>
        <v>0</v>
      </c>
      <c r="I402" s="1130" cm="1">
        <f t="array" ref="I402">IFERROR(IF(A402=A401,0,SUM(_xlfn._xlws.FILTER(E402:E412,(A402:A412=A402)*(F402&lt;0)))),0)</f>
        <v>0</v>
      </c>
      <c r="J402"/>
      <c r="K402"/>
      <c r="L402"/>
      <c r="M402"/>
      <c r="N402"/>
    </row>
    <row r="403" spans="1:14" hidden="1">
      <c r="A403" s="452">
        <v>45853</v>
      </c>
      <c r="B403" s="465" t="s">
        <v>18</v>
      </c>
      <c r="C403" s="454">
        <v>5000</v>
      </c>
      <c r="D403" s="651">
        <v>16.068280000000001</v>
      </c>
      <c r="E403" s="1128">
        <f ca="1">IFERROR(C403*D403*_xlfn.XLOOKUP(B403,TabCalc[Ticker],TabCalc[Scale]),0)</f>
        <v>80341.400000000009</v>
      </c>
      <c r="F403" s="1129" cm="1">
        <f t="array" aca="1" ref="F403" ca="1">IF(A403=A402,0,SUM(_xlfn._xlws.FILTER(E403:E413,A403:A413=A403)))</f>
        <v>24371.400000000009</v>
      </c>
      <c r="G403" s="1130">
        <f ca="1">IF(F403&lt;&gt;0,SUM($F$43:F403),0)</f>
        <v>-2870553.8425729997</v>
      </c>
      <c r="H403" s="1130" cm="1">
        <f t="array" aca="1" ref="H403" ca="1">IFERROR(IF(A403=A402,0,SUM(_xlfn._xlws.FILTER(E403:E413,(A403:A413=A403)*(E403:E413&gt;0)))),0)</f>
        <v>80341.400000000009</v>
      </c>
      <c r="I403" s="1130" cm="1">
        <f t="array" aca="1" ref="I403" ca="1">IFERROR(IF(A403=A402,0,SUM(_xlfn._xlws.FILTER(E403:E413,(A403:A413=A403)*(F403&lt;0)))),0)</f>
        <v>0</v>
      </c>
      <c r="J403"/>
      <c r="K403"/>
      <c r="L403"/>
      <c r="M403"/>
      <c r="N403"/>
    </row>
    <row r="404" spans="1:14" hidden="1">
      <c r="A404" s="452">
        <v>45853</v>
      </c>
      <c r="B404" s="465" t="s">
        <v>29</v>
      </c>
      <c r="C404" s="454">
        <v>1000</v>
      </c>
      <c r="D404" s="651">
        <v>-55.97</v>
      </c>
      <c r="E404" s="1128">
        <f ca="1">IFERROR(C404*D404*_xlfn.XLOOKUP(B404,TabCalc[Ticker],TabCalc[Scale]),0)</f>
        <v>-55970</v>
      </c>
      <c r="F404" s="1129" cm="1">
        <f t="array" ref="F404">IF(A404=A403,0,SUM(_xlfn._xlws.FILTER(E404:E414,A404:A414=A404)))</f>
        <v>0</v>
      </c>
      <c r="G404" s="1130">
        <f>IF(F404&lt;&gt;0,SUM($F$43:F404),0)</f>
        <v>0</v>
      </c>
      <c r="H404" s="1130" cm="1">
        <f t="array" ref="H404">IFERROR(IF(A404=A403,0,SUM(_xlfn._xlws.FILTER(E404:E414,(A404:A414=A404)*(E404:E414&gt;0)))),0)</f>
        <v>0</v>
      </c>
      <c r="I404" s="1130" cm="1">
        <f t="array" ref="I404">IFERROR(IF(A404=A403,0,SUM(_xlfn._xlws.FILTER(E404:E414,(A404:A414=A404)*(F404&lt;0)))),0)</f>
        <v>0</v>
      </c>
      <c r="J404"/>
      <c r="K404"/>
      <c r="L404"/>
      <c r="M404"/>
      <c r="N404"/>
    </row>
    <row r="405" spans="1:14" hidden="1">
      <c r="A405" s="466">
        <v>45854</v>
      </c>
      <c r="B405" s="448" t="s">
        <v>22</v>
      </c>
      <c r="C405" s="468">
        <v>250</v>
      </c>
      <c r="D405" s="650">
        <v>386.01</v>
      </c>
      <c r="E405" s="1128">
        <f ca="1">IFERROR(C405*D405*_xlfn.XLOOKUP(B405,TabCalc[Ticker],TabCalc[Scale]),0)</f>
        <v>965.02499999999998</v>
      </c>
      <c r="F405" s="1129" cm="1">
        <f t="array" aca="1" ref="F405" ca="1">IF(A405=A404,0,SUM(_xlfn._xlws.FILTER(E405:E415,A405:A415=A405)))</f>
        <v>965.02499999999998</v>
      </c>
      <c r="G405" s="1130">
        <f ca="1">IF(F405&lt;&gt;0,SUM($F$43:F405),0)</f>
        <v>-2869588.8175729997</v>
      </c>
      <c r="H405" s="1130" cm="1">
        <f t="array" aca="1" ref="H405" ca="1">IFERROR(IF(A405=A404,0,SUM(_xlfn._xlws.FILTER(E405:E415,(A405:A415=A405)*(E405:E415&gt;0)))),0)</f>
        <v>965.02499999999998</v>
      </c>
      <c r="I405" s="1130" cm="1">
        <f t="array" aca="1" ref="I405" ca="1">IFERROR(IF(A405=A404,0,SUM(_xlfn._xlws.FILTER(E405:E415,(A405:A415=A405)*(F405&lt;0)))),0)</f>
        <v>0</v>
      </c>
      <c r="J405"/>
      <c r="K405"/>
      <c r="L405"/>
      <c r="M405"/>
      <c r="N405"/>
    </row>
    <row r="406" spans="1:14" hidden="1">
      <c r="A406" s="452">
        <v>45855</v>
      </c>
      <c r="B406" s="465" t="s">
        <v>1</v>
      </c>
      <c r="C406" s="454">
        <v>190</v>
      </c>
      <c r="D406" s="651">
        <v>-14.25</v>
      </c>
      <c r="E406" s="1128">
        <f ca="1">IFERROR(C406*D406*_xlfn.XLOOKUP(B406,TabCalc[Ticker],TabCalc[Scale]),0)</f>
        <v>-2707.5</v>
      </c>
      <c r="F406" s="1129" cm="1">
        <f t="array" aca="1" ref="F406" ca="1">IF(A406=A405,0,SUM(_xlfn._xlws.FILTER(E406:E416,A406:A416=A406)))</f>
        <v>334724.875</v>
      </c>
      <c r="G406" s="1130">
        <f ca="1">IF(F406&lt;&gt;0,SUM($F$43:F406),0)</f>
        <v>-2534863.9425729997</v>
      </c>
      <c r="H406" s="1130" cm="1">
        <f t="array" aca="1" ref="H406" ca="1">IFERROR(IF(A406=A405,0,SUM(_xlfn._xlws.FILTER(E406:E416,(A406:A416=A406)*(E406:E416&gt;0)))),0)</f>
        <v>389693.47499999998</v>
      </c>
      <c r="I406" s="1130" cm="1">
        <f t="array" aca="1" ref="I406" ca="1">IFERROR(IF(A406=A405,0,SUM(_xlfn._xlws.FILTER(E406:E416,(A406:A416=A406)*(F406&lt;0)))),0)</f>
        <v>0</v>
      </c>
      <c r="J406"/>
      <c r="K406"/>
      <c r="L406"/>
      <c r="M406"/>
      <c r="N406"/>
    </row>
    <row r="407" spans="1:14" hidden="1">
      <c r="A407" s="452">
        <v>45855</v>
      </c>
      <c r="B407" s="465" t="s">
        <v>1089</v>
      </c>
      <c r="C407" s="454">
        <v>2500</v>
      </c>
      <c r="D407" s="651">
        <v>6.5</v>
      </c>
      <c r="E407" s="1128">
        <f ca="1">IFERROR(C407*D407*_xlfn.XLOOKUP(B407,TabCalc[Ticker],TabCalc[Scale]),0)</f>
        <v>16250</v>
      </c>
      <c r="F407" s="1129" cm="1">
        <f t="array" ref="F407">IF(A407=A406,0,SUM(_xlfn._xlws.FILTER(E407:E417,A407:A417=A407)))</f>
        <v>0</v>
      </c>
      <c r="G407" s="1130">
        <f>IF(F407&lt;&gt;0,SUM($F$43:F407),0)</f>
        <v>0</v>
      </c>
      <c r="H407" s="1130" cm="1">
        <f t="array" ref="H407">IFERROR(IF(A407=A406,0,SUM(_xlfn._xlws.FILTER(E407:E417,(A407:A417=A407)*(E407:E417&gt;0)))),0)</f>
        <v>0</v>
      </c>
      <c r="I407" s="1130" cm="1">
        <f t="array" ref="I407">IFERROR(IF(A407=A406,0,SUM(_xlfn._xlws.FILTER(E407:E417,(A407:A417=A407)*(F407&lt;0)))),0)</f>
        <v>0</v>
      </c>
      <c r="J407"/>
      <c r="K407"/>
      <c r="L407"/>
      <c r="M407"/>
      <c r="N407"/>
    </row>
    <row r="408" spans="1:14" hidden="1">
      <c r="A408" s="452">
        <v>45855</v>
      </c>
      <c r="B408" s="465" t="s">
        <v>16</v>
      </c>
      <c r="C408" s="454">
        <v>5000</v>
      </c>
      <c r="D408" s="651">
        <v>15.95</v>
      </c>
      <c r="E408" s="1128">
        <f ca="1">IFERROR(C408*D408*_xlfn.XLOOKUP(B408,TabCalc[Ticker],TabCalc[Scale]),0)</f>
        <v>79750</v>
      </c>
      <c r="F408" s="1129" cm="1">
        <f t="array" ref="F408">IF(A408=A407,0,SUM(_xlfn._xlws.FILTER(E408:E418,A408:A418=A408)))</f>
        <v>0</v>
      </c>
      <c r="G408" s="1130">
        <f>IF(F408&lt;&gt;0,SUM($F$43:F408),0)</f>
        <v>0</v>
      </c>
      <c r="H408" s="1130" cm="1">
        <f t="array" ref="H408">IFERROR(IF(A408=A407,0,SUM(_xlfn._xlws.FILTER(E408:E418,(A408:A418=A408)*(E408:E418&gt;0)))),0)</f>
        <v>0</v>
      </c>
      <c r="I408" s="1130" cm="1">
        <f t="array" ref="I408">IFERROR(IF(A408=A407,0,SUM(_xlfn._xlws.FILTER(E408:E418,(A408:A418=A408)*(F408&lt;0)))),0)</f>
        <v>0</v>
      </c>
      <c r="J408"/>
      <c r="K408"/>
      <c r="L408"/>
      <c r="M408"/>
      <c r="N408"/>
    </row>
    <row r="409" spans="1:14" hidden="1">
      <c r="A409" s="452">
        <v>45855</v>
      </c>
      <c r="B409" s="465" t="s">
        <v>22</v>
      </c>
      <c r="C409" s="454">
        <v>9750</v>
      </c>
      <c r="D409" s="651">
        <v>383.01</v>
      </c>
      <c r="E409" s="1128">
        <f ca="1">IFERROR(C409*D409*_xlfn.XLOOKUP(B409,TabCalc[Ticker],TabCalc[Scale]),0)</f>
        <v>37343.474999999999</v>
      </c>
      <c r="F409" s="1129" cm="1">
        <f t="array" ref="F409">IF(A409=A408,0,SUM(_xlfn._xlws.FILTER(E409:E419,A409:A419=A409)))</f>
        <v>0</v>
      </c>
      <c r="G409" s="1130">
        <f>IF(F409&lt;&gt;0,SUM($F$43:F409),0)</f>
        <v>0</v>
      </c>
      <c r="H409" s="1130" cm="1">
        <f t="array" ref="H409">IFERROR(IF(A409=A408,0,SUM(_xlfn._xlws.FILTER(E409:E419,(A409:A419=A409)*(E409:E419&gt;0)))),0)</f>
        <v>0</v>
      </c>
      <c r="I409" s="1130" cm="1">
        <f t="array" ref="I409">IFERROR(IF(A409=A408,0,SUM(_xlfn._xlws.FILTER(E409:E419,(A409:A419=A409)*(F409&lt;0)))),0)</f>
        <v>0</v>
      </c>
      <c r="J409"/>
      <c r="K409"/>
      <c r="L409"/>
      <c r="M409"/>
      <c r="N409"/>
    </row>
    <row r="410" spans="1:14" hidden="1">
      <c r="A410" s="452">
        <v>45855</v>
      </c>
      <c r="B410" s="465" t="s">
        <v>38</v>
      </c>
      <c r="C410" s="454">
        <v>500</v>
      </c>
      <c r="D410" s="651">
        <v>265.05</v>
      </c>
      <c r="E410" s="1128">
        <f ca="1">IFERROR(C410*D410*_xlfn.XLOOKUP(B410,TabCalc[Ticker],TabCalc[Scale]),0)</f>
        <v>132525</v>
      </c>
      <c r="F410" s="1129" cm="1">
        <f t="array" ref="F410">IF(A410=A409,0,SUM(_xlfn._xlws.FILTER(E410:E420,A410:A420=A410)))</f>
        <v>0</v>
      </c>
      <c r="G410" s="1130">
        <f>IF(F410&lt;&gt;0,SUM($F$43:F410),0)</f>
        <v>0</v>
      </c>
      <c r="H410" s="1130" cm="1">
        <f t="array" ref="H410">IFERROR(IF(A410=A409,0,SUM(_xlfn._xlws.FILTER(E410:E420,(A410:A420=A410)*(E410:E420&gt;0)))),0)</f>
        <v>0</v>
      </c>
      <c r="I410" s="1130" cm="1">
        <f t="array" ref="I410">IFERROR(IF(A410=A409,0,SUM(_xlfn._xlws.FILTER(E410:E420,(A410:A420=A410)*(F410&lt;0)))),0)</f>
        <v>0</v>
      </c>
      <c r="J410"/>
      <c r="K410"/>
      <c r="L410"/>
      <c r="M410"/>
      <c r="N410"/>
    </row>
    <row r="411" spans="1:14" hidden="1">
      <c r="A411" s="452">
        <v>45855</v>
      </c>
      <c r="B411" s="465" t="s">
        <v>43</v>
      </c>
      <c r="C411" s="454">
        <v>500</v>
      </c>
      <c r="D411" s="651">
        <v>247.65</v>
      </c>
      <c r="E411" s="1128">
        <f ca="1">IFERROR(C411*D411*_xlfn.XLOOKUP(B411,TabCalc[Ticker],TabCalc[Scale]),0)</f>
        <v>123825</v>
      </c>
      <c r="F411" s="1129" cm="1">
        <f t="array" ref="F411">IF(A411=A410,0,SUM(_xlfn._xlws.FILTER(E411:E421,A411:A421=A411)))</f>
        <v>0</v>
      </c>
      <c r="G411" s="1130">
        <f>IF(F411&lt;&gt;0,SUM($F$43:F411),0)</f>
        <v>0</v>
      </c>
      <c r="H411" s="1130" cm="1">
        <f t="array" ref="H411">IFERROR(IF(A411=A410,0,SUM(_xlfn._xlws.FILTER(E411:E421,(A411:A421=A411)*(E411:E421&gt;0)))),0)</f>
        <v>0</v>
      </c>
      <c r="I411" s="1130" cm="1">
        <f t="array" ref="I411">IFERROR(IF(A411=A410,0,SUM(_xlfn._xlws.FILTER(E411:E421,(A411:A421=A411)*(F411&lt;0)))),0)</f>
        <v>0</v>
      </c>
      <c r="J411"/>
      <c r="K411"/>
      <c r="L411"/>
      <c r="M411"/>
      <c r="N411"/>
    </row>
    <row r="412" spans="1:14" hidden="1">
      <c r="A412" s="452">
        <v>45855</v>
      </c>
      <c r="B412" s="465" t="s">
        <v>61</v>
      </c>
      <c r="C412" s="454">
        <v>9</v>
      </c>
      <c r="D412" s="651">
        <v>-37.9</v>
      </c>
      <c r="E412" s="1128">
        <f ca="1">IFERROR(C412*D412*_xlfn.XLOOKUP(B412,TabCalc[Ticker],TabCalc[Scale]),0)</f>
        <v>-341.09999999999997</v>
      </c>
      <c r="F412" s="1129" cm="1">
        <f t="array" ref="F412">IF(A412=A411,0,SUM(_xlfn._xlws.FILTER(E412:E422,A412:A422=A412)))</f>
        <v>0</v>
      </c>
      <c r="G412" s="1130">
        <f>IF(F412&lt;&gt;0,SUM($F$43:F412),0)</f>
        <v>0</v>
      </c>
      <c r="H412" s="1130" cm="1">
        <f t="array" ref="H412">IFERROR(IF(A412=A411,0,SUM(_xlfn._xlws.FILTER(E412:E422,(A412:A422=A412)*(E412:E422&gt;0)))),0)</f>
        <v>0</v>
      </c>
      <c r="I412" s="1130" cm="1">
        <f t="array" ref="I412">IFERROR(IF(A412=A411,0,SUM(_xlfn._xlws.FILTER(E412:E422,(A412:A422=A412)*(F412&lt;0)))),0)</f>
        <v>0</v>
      </c>
      <c r="J412"/>
      <c r="K412"/>
      <c r="L412"/>
      <c r="M412"/>
      <c r="N412"/>
    </row>
    <row r="413" spans="1:14" hidden="1">
      <c r="A413" s="452">
        <v>45855</v>
      </c>
      <c r="B413" s="465" t="s">
        <v>62</v>
      </c>
      <c r="C413" s="454">
        <v>200</v>
      </c>
      <c r="D413" s="651">
        <v>-259.60000000000002</v>
      </c>
      <c r="E413" s="1128">
        <f ca="1">IFERROR(C413*D413*_xlfn.XLOOKUP(B413,TabCalc[Ticker],TabCalc[Scale]),0)</f>
        <v>-51920.000000000007</v>
      </c>
      <c r="F413" s="1129" cm="1">
        <f t="array" ref="F413">IF(A413=A412,0,SUM(_xlfn._xlws.FILTER(E413:E423,A413:A423=A413)))</f>
        <v>0</v>
      </c>
      <c r="G413" s="1130">
        <f>IF(F413&lt;&gt;0,SUM($F$43:F413),0)</f>
        <v>0</v>
      </c>
      <c r="H413" s="1130" cm="1">
        <f t="array" ref="H413">IFERROR(IF(A413=A412,0,SUM(_xlfn._xlws.FILTER(E413:E423,(A413:A423=A413)*(E413:E423&gt;0)))),0)</f>
        <v>0</v>
      </c>
      <c r="I413" s="1130" cm="1">
        <f t="array" ref="I413">IFERROR(IF(A413=A412,0,SUM(_xlfn._xlws.FILTER(E413:E423,(A413:A423=A413)*(F413&lt;0)))),0)</f>
        <v>0</v>
      </c>
      <c r="J413"/>
      <c r="K413"/>
      <c r="L413"/>
      <c r="M413"/>
      <c r="N413"/>
    </row>
    <row r="414" spans="1:14" hidden="1">
      <c r="A414" s="466">
        <v>45856</v>
      </c>
      <c r="B414" s="448" t="s">
        <v>32</v>
      </c>
      <c r="C414" s="468">
        <v>100</v>
      </c>
      <c r="D414" s="650">
        <v>-632.95000000000005</v>
      </c>
      <c r="E414" s="1128">
        <f ca="1">IFERROR(C414*D414*_xlfn.XLOOKUP(B414,TabCalc[Ticker],TabCalc[Scale]),0)</f>
        <v>-63295.000000000007</v>
      </c>
      <c r="F414" s="1129" cm="1">
        <f t="array" aca="1" ref="F414" ca="1">IF(A414=A413,0,SUM(_xlfn._xlws.FILTER(E414:E424,A414:A424=A414)))</f>
        <v>-811179.82000000007</v>
      </c>
      <c r="G414" s="1130">
        <f ca="1">IF(F414&lt;&gt;0,SUM($F$43:F414),0)</f>
        <v>-3346043.762573</v>
      </c>
      <c r="H414" s="1130" cm="1">
        <f t="array" aca="1" ref="H414" ca="1">IFERROR(IF(A414=A413,0,SUM(_xlfn._xlws.FILTER(E414:E424,(A414:A424=A414)*(E414:E424&gt;0)))),0)</f>
        <v>0</v>
      </c>
      <c r="I414" s="1130" cm="1">
        <f t="array" aca="1" ref="I414" ca="1">IFERROR(IF(A414=A413,0,SUM(_xlfn._xlws.FILTER(E414:E424,(A414:A424=A414)*(F414&lt;0)))),0)</f>
        <v>-811179.82000000007</v>
      </c>
      <c r="J414"/>
      <c r="K414"/>
      <c r="L414"/>
      <c r="M414"/>
      <c r="N414"/>
    </row>
    <row r="415" spans="1:14" hidden="1">
      <c r="A415" s="466">
        <v>45856</v>
      </c>
      <c r="B415" s="448" t="s">
        <v>32</v>
      </c>
      <c r="C415" s="468">
        <v>200</v>
      </c>
      <c r="D415" s="650">
        <v>-645.5</v>
      </c>
      <c r="E415" s="1128">
        <f ca="1">IFERROR(C415*D415*_xlfn.XLOOKUP(B415,TabCalc[Ticker],TabCalc[Scale]),0)</f>
        <v>-129100</v>
      </c>
      <c r="F415" s="1129" cm="1">
        <f t="array" ref="F415">IF(A415=A414,0,SUM(_xlfn._xlws.FILTER(E415:E425,A415:A425=A415)))</f>
        <v>0</v>
      </c>
      <c r="G415" s="1130">
        <f>IF(F415&lt;&gt;0,SUM($F$43:F415),0)</f>
        <v>0</v>
      </c>
      <c r="H415" s="1130" cm="1">
        <f t="array" ref="H415">IFERROR(IF(A415=A414,0,SUM(_xlfn._xlws.FILTER(E415:E425,(A415:A425=A415)*(E415:E425&gt;0)))),0)</f>
        <v>0</v>
      </c>
      <c r="I415" s="1130" cm="1">
        <f t="array" ref="I415">IFERROR(IF(A415=A414,0,SUM(_xlfn._xlws.FILTER(E415:E425,(A415:A425=A415)*(F415&lt;0)))),0)</f>
        <v>0</v>
      </c>
      <c r="J415"/>
      <c r="K415"/>
      <c r="L415"/>
      <c r="M415"/>
      <c r="N415"/>
    </row>
    <row r="416" spans="1:14" hidden="1">
      <c r="A416" s="466">
        <v>45856</v>
      </c>
      <c r="B416" s="448" t="s">
        <v>61</v>
      </c>
      <c r="C416" s="468">
        <v>39</v>
      </c>
      <c r="D416" s="650">
        <v>-37.424999999999997</v>
      </c>
      <c r="E416" s="1128">
        <f ca="1">IFERROR(C416*D416*_xlfn.XLOOKUP(B416,TabCalc[Ticker],TabCalc[Scale]),0)</f>
        <v>-1459.5749999999998</v>
      </c>
      <c r="F416" s="1129" cm="1">
        <f t="array" ref="F416">IF(A416=A415,0,SUM(_xlfn._xlws.FILTER(E416:E426,A416:A426=A416)))</f>
        <v>0</v>
      </c>
      <c r="G416" s="1130">
        <f>IF(F416&lt;&gt;0,SUM($F$43:F416),0)</f>
        <v>0</v>
      </c>
      <c r="H416" s="1130" cm="1">
        <f t="array" ref="H416">IFERROR(IF(A416=A415,0,SUM(_xlfn._xlws.FILTER(E416:E426,(A416:A426=A416)*(E416:E426&gt;0)))),0)</f>
        <v>0</v>
      </c>
      <c r="I416" s="1130" cm="1">
        <f t="array" ref="I416">IFERROR(IF(A416=A415,0,SUM(_xlfn._xlws.FILTER(E416:E426,(A416:A426=A416)*(F416&lt;0)))),0)</f>
        <v>0</v>
      </c>
      <c r="J416"/>
      <c r="K416"/>
      <c r="L416"/>
      <c r="M416"/>
      <c r="N416"/>
    </row>
    <row r="417" spans="1:14" hidden="1">
      <c r="A417" s="466">
        <v>45856</v>
      </c>
      <c r="B417" s="448" t="s">
        <v>44</v>
      </c>
      <c r="C417" s="468">
        <v>350</v>
      </c>
      <c r="D417" s="650">
        <v>-37.240699999999997</v>
      </c>
      <c r="E417" s="1128">
        <f ca="1">IFERROR(C417*D417*_xlfn.XLOOKUP(B417,TabCalc[Ticker],TabCalc[Scale]),0)</f>
        <v>-13034.244999999999</v>
      </c>
      <c r="F417" s="1129" cm="1">
        <f t="array" ref="F417">IF(A417=A416,0,SUM(_xlfn._xlws.FILTER(E417:E427,A417:A427=A417)))</f>
        <v>0</v>
      </c>
      <c r="G417" s="1130">
        <f>IF(F417&lt;&gt;0,SUM($F$43:F417),0)</f>
        <v>0</v>
      </c>
      <c r="H417" s="1130" cm="1">
        <f t="array" ref="H417">IFERROR(IF(A417=A416,0,SUM(_xlfn._xlws.FILTER(E417:E427,(A417:A427=A417)*(E417:E427&gt;0)))),0)</f>
        <v>0</v>
      </c>
      <c r="I417" s="1130" cm="1">
        <f t="array" ref="I417">IFERROR(IF(A417=A416,0,SUM(_xlfn._xlws.FILTER(E417:E427,(A417:A427=A417)*(F417&lt;0)))),0)</f>
        <v>0</v>
      </c>
      <c r="J417"/>
      <c r="K417"/>
      <c r="L417"/>
      <c r="M417"/>
      <c r="N417"/>
    </row>
    <row r="418" spans="1:14" hidden="1">
      <c r="A418" s="466">
        <v>45856</v>
      </c>
      <c r="B418" s="448" t="s">
        <v>30</v>
      </c>
      <c r="C418" s="468">
        <v>400</v>
      </c>
      <c r="D418" s="650">
        <v>-1208.99</v>
      </c>
      <c r="E418" s="1128">
        <f ca="1">IFERROR(C418*D418*_xlfn.XLOOKUP(B418,TabCalc[Ticker],TabCalc[Scale]),0)</f>
        <v>-483596</v>
      </c>
      <c r="F418" s="1129" cm="1">
        <f t="array" ref="F418">IF(A418=A417,0,SUM(_xlfn._xlws.FILTER(E418:E428,A418:A428=A418)))</f>
        <v>0</v>
      </c>
      <c r="G418" s="1130">
        <f>IF(F418&lt;&gt;0,SUM($F$43:F418),0)</f>
        <v>0</v>
      </c>
      <c r="H418" s="1130" cm="1">
        <f t="array" ref="H418">IFERROR(IF(A418=A417,0,SUM(_xlfn._xlws.FILTER(E418:E428,(A418:A428=A418)*(E418:E428&gt;0)))),0)</f>
        <v>0</v>
      </c>
      <c r="I418" s="1130" cm="1">
        <f t="array" ref="I418">IFERROR(IF(A418=A417,0,SUM(_xlfn._xlws.FILTER(E418:E428,(A418:A428=A418)*(F418&lt;0)))),0)</f>
        <v>0</v>
      </c>
      <c r="J418"/>
      <c r="K418"/>
      <c r="L418"/>
      <c r="M418"/>
      <c r="N418"/>
    </row>
    <row r="419" spans="1:14" hidden="1">
      <c r="A419" s="466">
        <v>45856</v>
      </c>
      <c r="B419" s="448" t="s">
        <v>43</v>
      </c>
      <c r="C419" s="468">
        <v>500</v>
      </c>
      <c r="D419" s="650">
        <v>-241.39</v>
      </c>
      <c r="E419" s="1128">
        <f ca="1">IFERROR(C419*D419*_xlfn.XLOOKUP(B419,TabCalc[Ticker],TabCalc[Scale]),0)</f>
        <v>-120695</v>
      </c>
      <c r="F419" s="1129" cm="1">
        <f t="array" ref="F419">IF(A419=A418,0,SUM(_xlfn._xlws.FILTER(E419:E429,A419:A429=A419)))</f>
        <v>0</v>
      </c>
      <c r="G419" s="1130">
        <f>IF(F419&lt;&gt;0,SUM($F$43:F419),0)</f>
        <v>0</v>
      </c>
      <c r="H419" s="1130" cm="1">
        <f t="array" ref="H419">IFERROR(IF(A419=A418,0,SUM(_xlfn._xlws.FILTER(E419:E429,(A419:A429=A419)*(E419:E429&gt;0)))),0)</f>
        <v>0</v>
      </c>
      <c r="I419" s="1130" cm="1">
        <f t="array" ref="I419">IFERROR(IF(A419=A418,0,SUM(_xlfn._xlws.FILTER(E419:E429,(A419:A429=A419)*(F419&lt;0)))),0)</f>
        <v>0</v>
      </c>
      <c r="J419"/>
      <c r="K419"/>
      <c r="L419"/>
      <c r="M419"/>
      <c r="N419"/>
    </row>
    <row r="420" spans="1:14" hidden="1">
      <c r="A420" s="452">
        <v>45859</v>
      </c>
      <c r="B420" s="465" t="s">
        <v>15</v>
      </c>
      <c r="C420" s="454">
        <v>4000</v>
      </c>
      <c r="D420" s="651">
        <v>-14.48</v>
      </c>
      <c r="E420" s="1128">
        <f ca="1">IFERROR(C420*D420*_xlfn.XLOOKUP(B420,TabCalc[Ticker],TabCalc[Scale]),0)</f>
        <v>-57920</v>
      </c>
      <c r="F420" s="1129" cm="1">
        <f t="array" aca="1" ref="F420" ca="1">IF(A420=A419,0,SUM(_xlfn._xlws.FILTER(E420:E430,A420:A430=A420)))</f>
        <v>-196609.1</v>
      </c>
      <c r="G420" s="1130">
        <f ca="1">IF(F420&lt;&gt;0,SUM($F$43:F420),0)</f>
        <v>-3542652.8625730001</v>
      </c>
      <c r="H420" s="1130" cm="1">
        <f t="array" aca="1" ref="H420" ca="1">IFERROR(IF(A420=A419,0,SUM(_xlfn._xlws.FILTER(E420:E430,(A420:A430=A420)*(E420:E430&gt;0)))),0)</f>
        <v>0</v>
      </c>
      <c r="I420" s="1130" cm="1">
        <f t="array" aca="1" ref="I420" ca="1">IFERROR(IF(A420=A419,0,SUM(_xlfn._xlws.FILTER(E420:E430,(A420:A430=A420)*(F420&lt;0)))),0)</f>
        <v>-196609.1</v>
      </c>
      <c r="J420"/>
      <c r="K420"/>
      <c r="L420"/>
      <c r="M420"/>
      <c r="N420"/>
    </row>
    <row r="421" spans="1:14" hidden="1">
      <c r="A421" s="452">
        <v>45859</v>
      </c>
      <c r="B421" s="465" t="s">
        <v>14</v>
      </c>
      <c r="C421" s="454">
        <v>990</v>
      </c>
      <c r="D421" s="651">
        <v>-140.09</v>
      </c>
      <c r="E421" s="1128">
        <f ca="1">IFERROR(C421*D421*_xlfn.XLOOKUP(B421,TabCalc[Ticker],TabCalc[Scale]),0)</f>
        <v>-138689.1</v>
      </c>
      <c r="F421" s="1129" cm="1">
        <f t="array" ref="F421">IF(A421=A420,0,SUM(_xlfn._xlws.FILTER(E421:E431,A421:A431=A421)))</f>
        <v>0</v>
      </c>
      <c r="G421" s="1130">
        <f>IF(F421&lt;&gt;0,SUM($F$43:F421),0)</f>
        <v>0</v>
      </c>
      <c r="H421" s="1130" cm="1">
        <f t="array" ref="H421">IFERROR(IF(A421=A420,0,SUM(_xlfn._xlws.FILTER(E421:E431,(A421:A431=A421)*(E421:E431&gt;0)))),0)</f>
        <v>0</v>
      </c>
      <c r="I421" s="1130" cm="1">
        <f t="array" ref="I421">IFERROR(IF(A421=A420,0,SUM(_xlfn._xlws.FILTER(E421:E431,(A421:A431=A421)*(F421&lt;0)))),0)</f>
        <v>0</v>
      </c>
      <c r="J421"/>
      <c r="K421"/>
      <c r="L421"/>
      <c r="M421"/>
      <c r="N421"/>
    </row>
    <row r="422" spans="1:14" hidden="1">
      <c r="A422" s="466">
        <v>45860</v>
      </c>
      <c r="B422" s="448" t="s">
        <v>32</v>
      </c>
      <c r="C422" s="468">
        <v>300</v>
      </c>
      <c r="D422" s="650">
        <v>-602.54999999999995</v>
      </c>
      <c r="E422" s="1128">
        <f ca="1">IFERROR(C422*D422*_xlfn.XLOOKUP(B422,TabCalc[Ticker],TabCalc[Scale]),0)</f>
        <v>-180765</v>
      </c>
      <c r="F422" s="1129" cm="1">
        <f t="array" aca="1" ref="F422" ca="1">IF(A422=A421,0,SUM(_xlfn._xlws.FILTER(E422:E432,A422:A432=A422)))</f>
        <v>-180765</v>
      </c>
      <c r="G422" s="1130">
        <f ca="1">IF(F422&lt;&gt;0,SUM($F$43:F422),0)</f>
        <v>-3723417.8625730001</v>
      </c>
      <c r="H422" s="1130" cm="1">
        <f t="array" aca="1" ref="H422" ca="1">IFERROR(IF(A422=A421,0,SUM(_xlfn._xlws.FILTER(E422:E432,(A422:A432=A422)*(E422:E432&gt;0)))),0)</f>
        <v>0</v>
      </c>
      <c r="I422" s="1130" cm="1">
        <f t="array" aca="1" ref="I422" ca="1">IFERROR(IF(A422=A421,0,SUM(_xlfn._xlws.FILTER(E422:E432,(A422:A432=A422)*(F422&lt;0)))),0)</f>
        <v>-180765</v>
      </c>
      <c r="J422"/>
      <c r="K422"/>
      <c r="L422"/>
      <c r="M422"/>
      <c r="N422"/>
    </row>
    <row r="423" spans="1:14" hidden="1">
      <c r="A423" s="452">
        <v>45861</v>
      </c>
      <c r="B423" s="465" t="s">
        <v>62</v>
      </c>
      <c r="C423" s="454">
        <v>200</v>
      </c>
      <c r="D423" s="651">
        <v>-250.9</v>
      </c>
      <c r="E423" s="1128">
        <f ca="1">IFERROR(C423*D423*_xlfn.XLOOKUP(B423,TabCalc[Ticker],TabCalc[Scale]),0)</f>
        <v>-50180</v>
      </c>
      <c r="F423" s="1129" cm="1">
        <f t="array" aca="1" ref="F423" ca="1">IF(A423=A422,0,SUM(_xlfn._xlws.FILTER(E423:E433,A423:A433=A423)))</f>
        <v>-393285</v>
      </c>
      <c r="G423" s="1130">
        <f ca="1">IF(F423&lt;&gt;0,SUM($F$43:F423),0)</f>
        <v>-4116702.8625730001</v>
      </c>
      <c r="H423" s="1130" cm="1">
        <f t="array" aca="1" ref="H423" ca="1">IFERROR(IF(A423=A422,0,SUM(_xlfn._xlws.FILTER(E423:E433,(A423:A433=A423)*(E423:E433&gt;0)))),0)</f>
        <v>0</v>
      </c>
      <c r="I423" s="1130" cm="1">
        <f t="array" aca="1" ref="I423" ca="1">IFERROR(IF(A423=A422,0,SUM(_xlfn._xlws.FILTER(E423:E433,(A423:A433=A423)*(F423&lt;0)))),0)</f>
        <v>-393285</v>
      </c>
      <c r="J423"/>
      <c r="K423"/>
      <c r="L423"/>
      <c r="M423"/>
      <c r="N423"/>
    </row>
    <row r="424" spans="1:14" hidden="1">
      <c r="A424" s="452">
        <v>45861</v>
      </c>
      <c r="B424" s="465" t="s">
        <v>38</v>
      </c>
      <c r="C424" s="454">
        <v>500</v>
      </c>
      <c r="D424" s="651">
        <v>-250.85</v>
      </c>
      <c r="E424" s="1128">
        <f ca="1">IFERROR(C424*D424*_xlfn.XLOOKUP(B424,TabCalc[Ticker],TabCalc[Scale]),0)</f>
        <v>-125425</v>
      </c>
      <c r="F424" s="1129" cm="1">
        <f t="array" ref="F424">IF(A424=A423,0,SUM(_xlfn._xlws.FILTER(E424:E434,A424:A434=A424)))</f>
        <v>0</v>
      </c>
      <c r="G424" s="1130">
        <f>IF(F424&lt;&gt;0,SUM($F$43:F424),0)</f>
        <v>0</v>
      </c>
      <c r="H424" s="1130" cm="1">
        <f t="array" ref="H424">IFERROR(IF(A424=A423,0,SUM(_xlfn._xlws.FILTER(E424:E434,(A424:A434=A424)*(E424:E434&gt;0)))),0)</f>
        <v>0</v>
      </c>
      <c r="I424" s="1130" cm="1">
        <f t="array" ref="I424">IFERROR(IF(A424=A423,0,SUM(_xlfn._xlws.FILTER(E424:E434,(A424:A434=A424)*(F424&lt;0)))),0)</f>
        <v>0</v>
      </c>
      <c r="J424"/>
      <c r="K424"/>
      <c r="L424"/>
      <c r="M424"/>
      <c r="N424"/>
    </row>
    <row r="425" spans="1:14" hidden="1">
      <c r="A425" s="452">
        <v>45861</v>
      </c>
      <c r="B425" s="465" t="s">
        <v>28</v>
      </c>
      <c r="C425" s="454">
        <v>3000</v>
      </c>
      <c r="D425" s="651">
        <v>-72.56</v>
      </c>
      <c r="E425" s="1128">
        <f ca="1">IFERROR(C425*D425*_xlfn.XLOOKUP(B425,TabCalc[Ticker],TabCalc[Scale]),0)</f>
        <v>-217680</v>
      </c>
      <c r="F425" s="1129" cm="1">
        <f t="array" ref="F425">IF(A425=A424,0,SUM(_xlfn._xlws.FILTER(E425:E435,A425:A435=A425)))</f>
        <v>0</v>
      </c>
      <c r="G425" s="1130">
        <f>IF(F425&lt;&gt;0,SUM($F$43:F425),0)</f>
        <v>0</v>
      </c>
      <c r="H425" s="1130" cm="1">
        <f t="array" ref="H425">IFERROR(IF(A425=A424,0,SUM(_xlfn._xlws.FILTER(E425:E435,(A425:A435=A425)*(E425:E435&gt;0)))),0)</f>
        <v>0</v>
      </c>
      <c r="I425" s="1130" cm="1">
        <f t="array" ref="I425">IFERROR(IF(A425=A424,0,SUM(_xlfn._xlws.FILTER(E425:E435,(A425:A435=A425)*(F425&lt;0)))),0)</f>
        <v>0</v>
      </c>
      <c r="J425"/>
      <c r="K425"/>
      <c r="L425"/>
      <c r="M425"/>
      <c r="N425"/>
    </row>
    <row r="426" spans="1:14" hidden="1">
      <c r="A426" s="466">
        <v>45862</v>
      </c>
      <c r="B426" s="448" t="s">
        <v>48</v>
      </c>
      <c r="C426" s="468">
        <v>6000</v>
      </c>
      <c r="D426" s="650">
        <v>-61.05</v>
      </c>
      <c r="E426" s="1128">
        <f ca="1">IFERROR(C426*D426*_xlfn.XLOOKUP(B426,TabCalc[Ticker],TabCalc[Scale]),0)</f>
        <v>-366300</v>
      </c>
      <c r="F426" s="1129" cm="1">
        <f t="array" aca="1" ref="F426" ca="1">IF(A426=A425,0,SUM(_xlfn._xlws.FILTER(E426:E436,A426:A436=A426)))</f>
        <v>-231614.27</v>
      </c>
      <c r="G426" s="1130">
        <f ca="1">IF(F426&lt;&gt;0,SUM($F$43:F426),0)</f>
        <v>-4348317.1325730002</v>
      </c>
      <c r="H426" s="1130" cm="1">
        <f t="array" aca="1" ref="H426" ca="1">IFERROR(IF(A426=A425,0,SUM(_xlfn._xlws.FILTER(E426:E436,(A426:A436=A426)*(E426:E436&gt;0)))),0)</f>
        <v>134685.73000000001</v>
      </c>
      <c r="I426" s="1130" cm="1">
        <f t="array" aca="1" ref="I426" ca="1">IFERROR(IF(A426=A425,0,SUM(_xlfn._xlws.FILTER(E426:E436,(A426:A436=A426)*(F426&lt;0)))),0)</f>
        <v>-231614.27</v>
      </c>
      <c r="J426"/>
      <c r="K426"/>
      <c r="L426"/>
      <c r="M426"/>
      <c r="N426"/>
    </row>
    <row r="427" spans="1:14" hidden="1">
      <c r="A427" s="466">
        <v>45862</v>
      </c>
      <c r="B427" s="448" t="s">
        <v>58</v>
      </c>
      <c r="C427" s="468">
        <v>8000</v>
      </c>
      <c r="D427" s="448">
        <v>14.44</v>
      </c>
      <c r="E427" s="1128">
        <f ca="1">IFERROR(C427*D427*_xlfn.XLOOKUP(B427,TabCalc[Ticker],TabCalc[Scale]),0)</f>
        <v>115520</v>
      </c>
      <c r="F427" s="1129" cm="1">
        <f t="array" ref="F427">IF(A427=A426,0,SUM(_xlfn._xlws.FILTER(E427:E437,A427:A437=A427)))</f>
        <v>0</v>
      </c>
      <c r="G427" s="1130">
        <f>IF(F427&lt;&gt;0,SUM($F$43:F427),0)</f>
        <v>0</v>
      </c>
      <c r="H427" s="1130" cm="1">
        <f t="array" ref="H427">IFERROR(IF(A427=A426,0,SUM(_xlfn._xlws.FILTER(E427:E437,(A427:A437=A427)*(E427:E437&gt;0)))),0)</f>
        <v>0</v>
      </c>
      <c r="I427" s="1130" cm="1">
        <f t="array" ref="I427">IFERROR(IF(A427=A426,0,SUM(_xlfn._xlws.FILTER(E427:E437,(A427:A437=A427)*(F427&lt;0)))),0)</f>
        <v>0</v>
      </c>
      <c r="J427"/>
      <c r="K427"/>
      <c r="L427"/>
      <c r="M427"/>
      <c r="N427"/>
    </row>
    <row r="428" spans="1:14" hidden="1">
      <c r="A428" s="466">
        <v>45862</v>
      </c>
      <c r="B428" s="448" t="s">
        <v>54</v>
      </c>
      <c r="C428" s="468">
        <v>20000</v>
      </c>
      <c r="D428" s="448">
        <v>0.95828650000000004</v>
      </c>
      <c r="E428" s="1128">
        <f ca="1">IFERROR(C428*D428*_xlfn.XLOOKUP(B428,TabCalc[Ticker],TabCalc[Scale]),0)</f>
        <v>19165.73</v>
      </c>
      <c r="F428" s="1129" cm="1">
        <f t="array" ref="F428">IF(A428=A427,0,SUM(_xlfn._xlws.FILTER(E428:E438,A428:A438=A428)))</f>
        <v>0</v>
      </c>
      <c r="G428" s="1130">
        <f>IF(F428&lt;&gt;0,SUM($F$43:F428),0)</f>
        <v>0</v>
      </c>
      <c r="H428" s="1130" cm="1">
        <f t="array" ref="H428">IFERROR(IF(A428=A427,0,SUM(_xlfn._xlws.FILTER(E428:E438,(A428:A438=A428)*(E428:E438&gt;0)))),0)</f>
        <v>0</v>
      </c>
      <c r="I428" s="1130" cm="1">
        <f t="array" ref="I428">IFERROR(IF(A428=A427,0,SUM(_xlfn._xlws.FILTER(E428:E438,(A428:A438=A428)*(F428&lt;0)))),0)</f>
        <v>0</v>
      </c>
      <c r="J428"/>
      <c r="K428"/>
      <c r="L428"/>
      <c r="M428"/>
      <c r="N428"/>
    </row>
    <row r="429" spans="1:14" hidden="1">
      <c r="A429" s="452">
        <v>45863</v>
      </c>
      <c r="B429" s="465" t="s">
        <v>29</v>
      </c>
      <c r="C429" s="454">
        <v>800</v>
      </c>
      <c r="D429" s="651">
        <v>65.245000000000005</v>
      </c>
      <c r="E429" s="1128">
        <f ca="1">IFERROR(C429*D429*_xlfn.XLOOKUP(B429,TabCalc[Ticker],TabCalc[Scale]),0)</f>
        <v>52196</v>
      </c>
      <c r="F429" s="1129" cm="1">
        <f t="array" aca="1" ref="F429" ca="1">IF(A429=A428,0,SUM(_xlfn._xlws.FILTER(E429:E439,A429:A439=A429)))</f>
        <v>111396</v>
      </c>
      <c r="G429" s="1130">
        <f ca="1">IF(F429&lt;&gt;0,SUM($F$43:F429),0)</f>
        <v>-4236921.1325730002</v>
      </c>
      <c r="H429" s="1130" cm="1">
        <f t="array" aca="1" ref="H429" ca="1">IFERROR(IF(A429=A428,0,SUM(_xlfn._xlws.FILTER(E429:E439,(A429:A439=A429)*(E429:E439&gt;0)))),0)</f>
        <v>263576</v>
      </c>
      <c r="I429" s="1130" cm="1">
        <f t="array" aca="1" ref="I429" ca="1">IFERROR(IF(A429=A428,0,SUM(_xlfn._xlws.FILTER(E429:E439,(A429:A439=A429)*(F429&lt;0)))),0)</f>
        <v>0</v>
      </c>
      <c r="J429"/>
      <c r="K429"/>
      <c r="L429"/>
      <c r="M429"/>
      <c r="N429"/>
    </row>
    <row r="430" spans="1:14" hidden="1">
      <c r="A430" s="452">
        <v>45863</v>
      </c>
      <c r="B430" s="465" t="s">
        <v>5</v>
      </c>
      <c r="C430" s="454">
        <v>2000</v>
      </c>
      <c r="D430" s="651">
        <v>72.540000000000006</v>
      </c>
      <c r="E430" s="1128">
        <f ca="1">IFERROR(C430*D430*_xlfn.XLOOKUP(B430,TabCalc[Ticker],TabCalc[Scale]),0)</f>
        <v>145080</v>
      </c>
      <c r="F430" s="1129" cm="1">
        <f t="array" ref="F430">IF(A430=A429,0,SUM(_xlfn._xlws.FILTER(E430:E440,A430:A440=A430)))</f>
        <v>0</v>
      </c>
      <c r="G430" s="1130">
        <f>IF(F430&lt;&gt;0,SUM($F$43:F430),0)</f>
        <v>0</v>
      </c>
      <c r="H430" s="1130" cm="1">
        <f t="array" ref="H430">IFERROR(IF(A430=A429,0,SUM(_xlfn._xlws.FILTER(E430:E440,(A430:A440=A430)*(E430:E440&gt;0)))),0)</f>
        <v>0</v>
      </c>
      <c r="I430" s="1130" cm="1">
        <f t="array" ref="I430">IFERROR(IF(A430=A429,0,SUM(_xlfn._xlws.FILTER(E430:E440,(A430:A440=A430)*(F430&lt;0)))),0)</f>
        <v>0</v>
      </c>
      <c r="J430"/>
      <c r="K430"/>
      <c r="L430"/>
      <c r="M430"/>
      <c r="N430"/>
    </row>
    <row r="431" spans="1:14" hidden="1">
      <c r="A431" s="452">
        <v>45863</v>
      </c>
      <c r="B431" s="465" t="s">
        <v>88</v>
      </c>
      <c r="C431" s="454">
        <v>1000</v>
      </c>
      <c r="D431" s="651">
        <v>-152.18</v>
      </c>
      <c r="E431" s="1128">
        <f ca="1">IFERROR(C431*D431*_xlfn.XLOOKUP(B431,TabCalc[Ticker],TabCalc[Scale]),0)</f>
        <v>-152180</v>
      </c>
      <c r="F431" s="1129" cm="1">
        <f t="array" ref="F431">IF(A431=A430,0,SUM(_xlfn._xlws.FILTER(E431:E441,A431:A441=A431)))</f>
        <v>0</v>
      </c>
      <c r="G431" s="1130">
        <f>IF(F431&lt;&gt;0,SUM($F$43:F431),0)</f>
        <v>0</v>
      </c>
      <c r="H431" s="1130" cm="1">
        <f t="array" ref="H431">IFERROR(IF(A431=A430,0,SUM(_xlfn._xlws.FILTER(E431:E441,(A431:A441=A431)*(E431:E441&gt;0)))),0)</f>
        <v>0</v>
      </c>
      <c r="I431" s="1130" cm="1">
        <f t="array" ref="I431">IFERROR(IF(A431=A430,0,SUM(_xlfn._xlws.FILTER(E431:E441,(A431:A441=A431)*(F431&lt;0)))),0)</f>
        <v>0</v>
      </c>
      <c r="J431"/>
      <c r="K431"/>
      <c r="L431"/>
      <c r="M431"/>
      <c r="N431"/>
    </row>
    <row r="432" spans="1:14" hidden="1">
      <c r="A432" s="452">
        <v>45863</v>
      </c>
      <c r="B432" s="465" t="s">
        <v>80</v>
      </c>
      <c r="C432" s="454">
        <v>400</v>
      </c>
      <c r="D432" s="651">
        <v>165.75</v>
      </c>
      <c r="E432" s="1128">
        <f ca="1">IFERROR(C432*D432*_xlfn.XLOOKUP(B432,TabCalc[Ticker],TabCalc[Scale]),0)</f>
        <v>66300</v>
      </c>
      <c r="F432" s="1129" cm="1">
        <f t="array" ref="F432">IF(A432=A431,0,SUM(_xlfn._xlws.FILTER(E432:E442,A432:A442=A432)))</f>
        <v>0</v>
      </c>
      <c r="G432" s="1130">
        <f>IF(F432&lt;&gt;0,SUM($F$43:F432),0)</f>
        <v>0</v>
      </c>
      <c r="H432" s="1130" cm="1">
        <f t="array" ref="H432">IFERROR(IF(A432=A431,0,SUM(_xlfn._xlws.FILTER(E432:E442,(A432:A442=A432)*(E432:E442&gt;0)))),0)</f>
        <v>0</v>
      </c>
      <c r="I432" s="1130" cm="1">
        <f t="array" ref="I432">IFERROR(IF(A432=A431,0,SUM(_xlfn._xlws.FILTER(E432:E442,(A432:A442=A432)*(F432&lt;0)))),0)</f>
        <v>0</v>
      </c>
      <c r="J432"/>
      <c r="K432"/>
      <c r="L432"/>
      <c r="M432"/>
      <c r="N432"/>
    </row>
    <row r="433" spans="1:14" hidden="1">
      <c r="A433" s="466">
        <v>45866</v>
      </c>
      <c r="B433" s="448" t="s">
        <v>71</v>
      </c>
      <c r="C433" s="468">
        <v>25000</v>
      </c>
      <c r="D433" s="448">
        <v>-3.04</v>
      </c>
      <c r="E433" s="1128">
        <f ca="1">IFERROR(C433*D433*_xlfn.XLOOKUP(B433,TabCalc[Ticker],TabCalc[Scale]),0)</f>
        <v>-76000</v>
      </c>
      <c r="F433" s="1129" cm="1">
        <f t="array" aca="1" ref="F433" ca="1">IF(A433=A432,0,SUM(_xlfn._xlws.FILTER(E433:E443,A433:A443=A433)))</f>
        <v>-76000</v>
      </c>
      <c r="G433" s="1130">
        <f ca="1">IF(F433&lt;&gt;0,SUM($F$43:F433),0)</f>
        <v>-4312921.1325730002</v>
      </c>
      <c r="H433" s="1130" cm="1">
        <f t="array" aca="1" ref="H433" ca="1">IFERROR(IF(A433=A432,0,SUM(_xlfn._xlws.FILTER(E433:E443,(A433:A443=A433)*(E433:E443&gt;0)))),0)</f>
        <v>0</v>
      </c>
      <c r="I433" s="1130" cm="1">
        <f t="array" aca="1" ref="I433" ca="1">IFERROR(IF(A433=A432,0,SUM(_xlfn._xlws.FILTER(E433:E443,(A433:A443=A433)*(F433&lt;0)))),0)</f>
        <v>-76000</v>
      </c>
      <c r="J433"/>
      <c r="K433"/>
      <c r="L433"/>
      <c r="M433"/>
      <c r="N433"/>
    </row>
    <row r="434" spans="1:14" hidden="1">
      <c r="A434" s="452">
        <v>45868</v>
      </c>
      <c r="B434" s="465" t="s">
        <v>74</v>
      </c>
      <c r="C434" s="454">
        <v>4000</v>
      </c>
      <c r="D434" s="651">
        <v>14.82</v>
      </c>
      <c r="E434" s="1128">
        <f ca="1">IFERROR(C434*D434*_xlfn.XLOOKUP(B434,TabCalc[Ticker],TabCalc[Scale]),0)</f>
        <v>59280</v>
      </c>
      <c r="F434" s="1129" cm="1">
        <f t="array" aca="1" ref="F434" ca="1">IF(A434=A433,0,SUM(_xlfn._xlws.FILTER(E434:E444,A434:A444=A434)))</f>
        <v>-394920</v>
      </c>
      <c r="G434" s="1130">
        <f ca="1">IF(F434&lt;&gt;0,SUM($F$43:F434),0)</f>
        <v>-4707841.1325730002</v>
      </c>
      <c r="H434" s="1130" cm="1">
        <f t="array" aca="1" ref="H434" ca="1">IFERROR(IF(A434=A433,0,SUM(_xlfn._xlws.FILTER(E434:E444,(A434:A444=A434)*(E434:E444&gt;0)))),0)</f>
        <v>59280</v>
      </c>
      <c r="I434" s="1130" cm="1">
        <f t="array" aca="1" ref="I434" ca="1">IFERROR(IF(A434=A433,0,SUM(_xlfn._xlws.FILTER(E434:E444,(A434:A444=A434)*(F434&lt;0)))),0)</f>
        <v>-394920</v>
      </c>
      <c r="J434"/>
      <c r="K434"/>
      <c r="L434"/>
      <c r="M434"/>
      <c r="N434"/>
    </row>
    <row r="435" spans="1:14" hidden="1">
      <c r="A435" s="452">
        <v>45868</v>
      </c>
      <c r="B435" s="465" t="s">
        <v>48</v>
      </c>
      <c r="C435" s="454">
        <v>6000</v>
      </c>
      <c r="D435" s="651">
        <v>-59.5</v>
      </c>
      <c r="E435" s="1128">
        <f ca="1">IFERROR(C435*D435*_xlfn.XLOOKUP(B435,TabCalc[Ticker],TabCalc[Scale]),0)</f>
        <v>-357000</v>
      </c>
      <c r="F435" s="1129" cm="1">
        <f t="array" ref="F435">IF(A435=A434,0,SUM(_xlfn._xlws.FILTER(E435:E445,A435:A445=A435)))</f>
        <v>0</v>
      </c>
      <c r="G435" s="1130">
        <f>IF(F435&lt;&gt;0,SUM($F$43:F435),0)</f>
        <v>0</v>
      </c>
      <c r="H435" s="1130" cm="1">
        <f t="array" ref="H435">IFERROR(IF(A435=A434,0,SUM(_xlfn._xlws.FILTER(E435:E445,(A435:A445=A435)*(E435:E445&gt;0)))),0)</f>
        <v>0</v>
      </c>
      <c r="I435" s="1130" cm="1">
        <f t="array" ref="I435">IFERROR(IF(A435=A434,0,SUM(_xlfn._xlws.FILTER(E435:E445,(A435:A445=A435)*(F435&lt;0)))),0)</f>
        <v>0</v>
      </c>
      <c r="J435"/>
      <c r="K435"/>
      <c r="L435"/>
      <c r="M435"/>
      <c r="N435"/>
    </row>
    <row r="436" spans="1:14" hidden="1">
      <c r="A436" s="452">
        <v>45868</v>
      </c>
      <c r="B436" s="465" t="s">
        <v>77</v>
      </c>
      <c r="C436" s="454">
        <v>20000</v>
      </c>
      <c r="D436" s="651">
        <v>-486</v>
      </c>
      <c r="E436" s="1128">
        <f ca="1">IFERROR(C436*D436*_xlfn.XLOOKUP(B436,TabCalc[Ticker],TabCalc[Scale]),0)</f>
        <v>-97200</v>
      </c>
      <c r="F436" s="1129" cm="1">
        <f t="array" ref="F436">IF(A436=A435,0,SUM(_xlfn._xlws.FILTER(E436:E446,A436:A446=A436)))</f>
        <v>0</v>
      </c>
      <c r="G436" s="1130">
        <f>IF(F436&lt;&gt;0,SUM($F$43:F436),0)</f>
        <v>0</v>
      </c>
      <c r="H436" s="1130" cm="1">
        <f t="array" ref="H436">IFERROR(IF(A436=A435,0,SUM(_xlfn._xlws.FILTER(E436:E446,(A436:A446=A436)*(E436:E446&gt;0)))),0)</f>
        <v>0</v>
      </c>
      <c r="I436" s="1130" cm="1">
        <f t="array" ref="I436">IFERROR(IF(A436=A435,0,SUM(_xlfn._xlws.FILTER(E436:E446,(A436:A446=A436)*(F436&lt;0)))),0)</f>
        <v>0</v>
      </c>
      <c r="J436"/>
      <c r="K436"/>
      <c r="L436"/>
      <c r="M436"/>
      <c r="N436"/>
    </row>
    <row r="437" spans="1:14" hidden="1">
      <c r="A437" s="466">
        <v>45870</v>
      </c>
      <c r="B437" s="448" t="s">
        <v>3</v>
      </c>
      <c r="C437" s="468">
        <v>2000</v>
      </c>
      <c r="D437" s="650">
        <v>-215.02</v>
      </c>
      <c r="E437" s="1128">
        <f ca="1">IFERROR(C437*D437*_xlfn.XLOOKUP(B437,TabCalc[Ticker],TabCalc[Scale]),0)</f>
        <v>-430040</v>
      </c>
      <c r="F437" s="1129" cm="1">
        <f t="array" aca="1" ref="F437" ca="1">IF(A437=A436,0,SUM(_xlfn._xlws.FILTER(E437:E447,A437:A447=A437)))</f>
        <v>-665290</v>
      </c>
      <c r="G437" s="1130">
        <f ca="1">IF(F437&lt;&gt;0,SUM($F$43:F437),0)</f>
        <v>-5373131.1325730002</v>
      </c>
      <c r="H437" s="1130" cm="1">
        <f t="array" aca="1" ref="H437" ca="1">IFERROR(IF(A437=A436,0,SUM(_xlfn._xlws.FILTER(E437:E447,(A437:A447=A437)*(E437:E447&gt;0)))),0)</f>
        <v>0</v>
      </c>
      <c r="I437" s="1130" cm="1">
        <f t="array" aca="1" ref="I437" ca="1">IFERROR(IF(A437=A436,0,SUM(_xlfn._xlws.FILTER(E437:E447,(A437:A447=A437)*(F437&lt;0)))),0)</f>
        <v>-665290</v>
      </c>
      <c r="J437"/>
      <c r="K437"/>
      <c r="L437"/>
      <c r="M437"/>
      <c r="N437"/>
    </row>
    <row r="438" spans="1:14" hidden="1">
      <c r="A438" s="466">
        <v>45870</v>
      </c>
      <c r="B438" s="448" t="s">
        <v>43</v>
      </c>
      <c r="C438" s="468">
        <v>1000</v>
      </c>
      <c r="D438" s="650">
        <v>-235.25</v>
      </c>
      <c r="E438" s="1128">
        <f ca="1">IFERROR(C438*D438*_xlfn.XLOOKUP(B438,TabCalc[Ticker],TabCalc[Scale]),0)</f>
        <v>-235250</v>
      </c>
      <c r="F438" s="1129" cm="1">
        <f t="array" ref="F438">IF(A438=A437,0,SUM(_xlfn._xlws.FILTER(E438:E448,A438:A448=A438)))</f>
        <v>0</v>
      </c>
      <c r="G438" s="1130">
        <f>IF(F438&lt;&gt;0,SUM($F$43:F438),0)</f>
        <v>0</v>
      </c>
      <c r="H438" s="1130" cm="1">
        <f t="array" ref="H438">IFERROR(IF(A438=A437,0,SUM(_xlfn._xlws.FILTER(E438:E448,(A438:A448=A438)*(E438:E448&gt;0)))),0)</f>
        <v>0</v>
      </c>
      <c r="I438" s="1130" cm="1">
        <f t="array" ref="I438">IFERROR(IF(A438=A437,0,SUM(_xlfn._xlws.FILTER(E438:E448,(A438:A448=A438)*(F438&lt;0)))),0)</f>
        <v>0</v>
      </c>
      <c r="J438"/>
      <c r="K438"/>
      <c r="L438"/>
      <c r="M438"/>
      <c r="N438"/>
    </row>
    <row r="439" spans="1:14" hidden="1">
      <c r="A439" s="452">
        <v>45874</v>
      </c>
      <c r="B439" s="465" t="s">
        <v>32</v>
      </c>
      <c r="C439" s="454">
        <v>500</v>
      </c>
      <c r="D439" s="651">
        <v>-599.29999999999995</v>
      </c>
      <c r="E439" s="1128">
        <f ca="1">IFERROR(C439*D439*_xlfn.XLOOKUP(B439,TabCalc[Ticker],TabCalc[Scale]),0)</f>
        <v>-299650</v>
      </c>
      <c r="F439" s="1129" cm="1">
        <f t="array" aca="1" ref="F439" ca="1">IF(A439=A438,0,SUM(_xlfn._xlws.FILTER(E439:E449,A439:A449=A439)))</f>
        <v>-417850</v>
      </c>
      <c r="G439" s="1130">
        <f ca="1">IF(F439&lt;&gt;0,SUM($F$43:F439),0)</f>
        <v>-5790981.1325730002</v>
      </c>
      <c r="H439" s="1130" cm="1">
        <f t="array" aca="1" ref="H439" ca="1">IFERROR(IF(A439=A438,0,SUM(_xlfn._xlws.FILTER(E439:E449,(A439:A449=A439)*(E439:E449&gt;0)))),0)</f>
        <v>0</v>
      </c>
      <c r="I439" s="1130" cm="1">
        <f t="array" aca="1" ref="I439" ca="1">IFERROR(IF(A439=A438,0,SUM(_xlfn._xlws.FILTER(E439:E449,(A439:A449=A439)*(F439&lt;0)))),0)</f>
        <v>-417850</v>
      </c>
      <c r="J439"/>
      <c r="K439"/>
      <c r="L439"/>
      <c r="M439"/>
      <c r="N439"/>
    </row>
    <row r="440" spans="1:14" hidden="1">
      <c r="A440" s="452">
        <v>45874</v>
      </c>
      <c r="B440" s="465" t="s">
        <v>48</v>
      </c>
      <c r="C440" s="454">
        <v>2000</v>
      </c>
      <c r="D440" s="651">
        <v>-59.1</v>
      </c>
      <c r="E440" s="1128">
        <f ca="1">IFERROR(C440*D440*_xlfn.XLOOKUP(B440,TabCalc[Ticker],TabCalc[Scale]),0)</f>
        <v>-118200</v>
      </c>
      <c r="F440" s="1129" cm="1">
        <f t="array" ref="F440">IF(A440=A439,0,SUM(_xlfn._xlws.FILTER(E440:E450,A440:A450=A440)))</f>
        <v>0</v>
      </c>
      <c r="G440" s="1130">
        <f>IF(F440&lt;&gt;0,SUM($F$43:F440),0)</f>
        <v>0</v>
      </c>
      <c r="H440" s="1130" cm="1">
        <f t="array" ref="H440">IFERROR(IF(A440=A439,0,SUM(_xlfn._xlws.FILTER(E440:E450,(A440:A450=A440)*(E440:E450&gt;0)))),0)</f>
        <v>0</v>
      </c>
      <c r="I440" s="1130" cm="1">
        <f t="array" ref="I440">IFERROR(IF(A440=A439,0,SUM(_xlfn._xlws.FILTER(E440:E450,(A440:A450=A440)*(F440&lt;0)))),0)</f>
        <v>0</v>
      </c>
      <c r="J440"/>
      <c r="K440"/>
      <c r="L440"/>
      <c r="M440"/>
      <c r="N440"/>
    </row>
    <row r="441" spans="1:14" hidden="1">
      <c r="A441" s="466">
        <v>45877</v>
      </c>
      <c r="B441" s="448" t="s">
        <v>16</v>
      </c>
      <c r="C441" s="468">
        <v>5000</v>
      </c>
      <c r="D441" s="650">
        <v>16.510000000000002</v>
      </c>
      <c r="E441" s="1128">
        <f ca="1">IFERROR(C441*D441*_xlfn.XLOOKUP(B441,TabCalc[Ticker],TabCalc[Scale]),0)</f>
        <v>82550.000000000015</v>
      </c>
      <c r="F441" s="1129" cm="1">
        <f t="array" aca="1" ref="F441" ca="1">IF(A441=A440,0,SUM(_xlfn._xlws.FILTER(E441:E451,A441:A451=A441)))</f>
        <v>82550.000000000015</v>
      </c>
      <c r="G441" s="1130">
        <f ca="1">IF(F441&lt;&gt;0,SUM($F$43:F441),0)</f>
        <v>-5708431.1325730002</v>
      </c>
      <c r="H441" s="1130" cm="1">
        <f t="array" aca="1" ref="H441" ca="1">IFERROR(IF(A441=A440,0,SUM(_xlfn._xlws.FILTER(E441:E451,(A441:A451=A441)*(E441:E451&gt;0)))),0)</f>
        <v>82550.000000000015</v>
      </c>
      <c r="I441" s="1130" cm="1">
        <f t="array" aca="1" ref="I441" ca="1">IFERROR(IF(A441=A440,0,SUM(_xlfn._xlws.FILTER(E441:E451,(A441:A451=A441)*(F441&lt;0)))),0)</f>
        <v>0</v>
      </c>
      <c r="J441"/>
      <c r="K441"/>
      <c r="L441"/>
      <c r="M441"/>
      <c r="N441"/>
    </row>
    <row r="442" spans="1:14" hidden="1">
      <c r="A442" s="452">
        <v>45880</v>
      </c>
      <c r="B442" s="465" t="s">
        <v>35</v>
      </c>
      <c r="C442" s="454">
        <v>2000</v>
      </c>
      <c r="D442" s="651">
        <v>31.7</v>
      </c>
      <c r="E442" s="1128">
        <f ca="1">IFERROR(C442*D442*_xlfn.XLOOKUP(B442,TabCalc[Ticker],TabCalc[Scale]),0)</f>
        <v>63400</v>
      </c>
      <c r="F442" s="1129" cm="1">
        <f t="array" aca="1" ref="F442" ca="1">IF(A442=A441,0,SUM(_xlfn._xlws.FILTER(E442:E452,A442:A452=A442)))</f>
        <v>63400</v>
      </c>
      <c r="G442" s="1130">
        <f ca="1">IF(F442&lt;&gt;0,SUM($F$43:F442),0)</f>
        <v>-5645031.1325730002</v>
      </c>
      <c r="H442" s="1130" cm="1">
        <f t="array" aca="1" ref="H442" ca="1">IFERROR(IF(A442=A441,0,SUM(_xlfn._xlws.FILTER(E442:E452,(A442:A452=A442)*(E442:E452&gt;0)))),0)</f>
        <v>63400</v>
      </c>
      <c r="I442" s="1130" cm="1">
        <f t="array" aca="1" ref="I442" ca="1">IFERROR(IF(A442=A441,0,SUM(_xlfn._xlws.FILTER(E442:E452,(A442:A452=A442)*(F442&lt;0)))),0)</f>
        <v>0</v>
      </c>
      <c r="J442"/>
      <c r="K442"/>
      <c r="L442"/>
      <c r="M442"/>
      <c r="N442"/>
    </row>
    <row r="443" spans="1:14" hidden="1">
      <c r="A443" s="466">
        <v>45881</v>
      </c>
      <c r="B443" s="448" t="s">
        <v>38</v>
      </c>
      <c r="C443" s="468">
        <v>499</v>
      </c>
      <c r="D443" s="650">
        <v>-232.45</v>
      </c>
      <c r="E443" s="1128">
        <f ca="1">IFERROR(C443*D443*_xlfn.XLOOKUP(B443,TabCalc[Ticker],TabCalc[Scale]),0)</f>
        <v>-115992.54999999999</v>
      </c>
      <c r="F443" s="1129" cm="1">
        <f t="array" aca="1" ref="F443" ca="1">IF(A443=A442,0,SUM(_xlfn._xlws.FILTER(E443:E453,A443:A453=A443)))</f>
        <v>-115992.54999999999</v>
      </c>
      <c r="G443" s="1130">
        <f ca="1">IF(F443&lt;&gt;0,SUM($F$43:F443),0)</f>
        <v>-5761023.682573</v>
      </c>
      <c r="H443" s="1130" cm="1">
        <f t="array" aca="1" ref="H443" ca="1">IFERROR(IF(A443=A442,0,SUM(_xlfn._xlws.FILTER(E443:E453,(A443:A453=A443)*(E443:E453&gt;0)))),0)</f>
        <v>0</v>
      </c>
      <c r="I443" s="1130" cm="1">
        <f t="array" aca="1" ref="I443" ca="1">IFERROR(IF(A443=A442,0,SUM(_xlfn._xlws.FILTER(E443:E453,(A443:A453=A443)*(F443&lt;0)))),0)</f>
        <v>-115992.54999999999</v>
      </c>
      <c r="J443"/>
      <c r="K443"/>
      <c r="L443"/>
      <c r="M443"/>
      <c r="N443"/>
    </row>
    <row r="444" spans="1:14" hidden="1">
      <c r="A444" s="452">
        <v>45882</v>
      </c>
      <c r="B444" s="465" t="s">
        <v>53</v>
      </c>
      <c r="C444" s="454">
        <v>70000</v>
      </c>
      <c r="D444" s="651">
        <v>-0.54500000000000004</v>
      </c>
      <c r="E444" s="1128">
        <f ca="1">IFERROR(C444*D444*_xlfn.XLOOKUP(B444,TabCalc[Ticker],TabCalc[Scale]),0)</f>
        <v>-38150</v>
      </c>
      <c r="F444" s="1129" cm="1">
        <f t="array" aca="1" ref="F444" ca="1">IF(A444=A443,0,SUM(_xlfn._xlws.FILTER(E444:E454,A444:A454=A444)))</f>
        <v>36090</v>
      </c>
      <c r="G444" s="1130">
        <f ca="1">IF(F444&lt;&gt;0,SUM($F$43:F444),0)</f>
        <v>-5724933.682573</v>
      </c>
      <c r="H444" s="1130" cm="1">
        <f t="array" aca="1" ref="H444" ca="1">IFERROR(IF(A444=A443,0,SUM(_xlfn._xlws.FILTER(E444:E454,(A444:A454=A444)*(E444:E454&gt;0)))),0)</f>
        <v>74240</v>
      </c>
      <c r="I444" s="1130" cm="1">
        <f t="array" aca="1" ref="I444" ca="1">IFERROR(IF(A444=A443,0,SUM(_xlfn._xlws.FILTER(E444:E454,(A444:A454=A444)*(F444&lt;0)))),0)</f>
        <v>0</v>
      </c>
      <c r="J444"/>
      <c r="K444"/>
      <c r="L444"/>
      <c r="M444"/>
      <c r="N444"/>
    </row>
    <row r="445" spans="1:14" hidden="1">
      <c r="A445" s="452">
        <v>45882</v>
      </c>
      <c r="B445" s="465" t="s">
        <v>35</v>
      </c>
      <c r="C445" s="454">
        <v>2000</v>
      </c>
      <c r="D445" s="651">
        <v>37.119999999999997</v>
      </c>
      <c r="E445" s="1128">
        <f ca="1">IFERROR(C445*D445*_xlfn.XLOOKUP(B445,TabCalc[Ticker],TabCalc[Scale]),0)</f>
        <v>74240</v>
      </c>
      <c r="F445" s="1129" cm="1">
        <f t="array" ref="F445">IF(A445=A444,0,SUM(_xlfn._xlws.FILTER(E445:E455,A445:A455=A445)))</f>
        <v>0</v>
      </c>
      <c r="G445" s="1130">
        <f>IF(F445&lt;&gt;0,SUM($F$43:F445),0)</f>
        <v>0</v>
      </c>
      <c r="H445" s="1130" cm="1">
        <f t="array" ref="H445">IFERROR(IF(A445=A444,0,SUM(_xlfn._xlws.FILTER(E445:E455,(A445:A455=A445)*(E445:E455&gt;0)))),0)</f>
        <v>0</v>
      </c>
      <c r="I445" s="1130" cm="1">
        <f t="array" ref="I445">IFERROR(IF(A445=A444,0,SUM(_xlfn._xlws.FILTER(E445:E455,(A445:A455=A445)*(F445&lt;0)))),0)</f>
        <v>0</v>
      </c>
      <c r="J445"/>
      <c r="K445"/>
      <c r="L445"/>
      <c r="M445"/>
      <c r="N445"/>
    </row>
    <row r="446" spans="1:14" hidden="1">
      <c r="A446" s="466">
        <v>45883</v>
      </c>
      <c r="B446" s="448" t="s">
        <v>13</v>
      </c>
      <c r="C446" s="468">
        <v>2000</v>
      </c>
      <c r="D446" s="650">
        <v>-26.64</v>
      </c>
      <c r="E446" s="1128">
        <f ca="1">IFERROR(C446*D446*_xlfn.XLOOKUP(B446,TabCalc[Ticker],TabCalc[Scale]),0)</f>
        <v>-53280</v>
      </c>
      <c r="F446" s="1129" cm="1">
        <f t="array" aca="1" ref="F446" ca="1">IF(A446=A445,0,SUM(_xlfn._xlws.FILTER(E446:E456,A446:A456=A446)))</f>
        <v>-53280</v>
      </c>
      <c r="G446" s="1130">
        <f ca="1">IF(F446&lt;&gt;0,SUM($F$43:F446),0)</f>
        <v>-5778213.682573</v>
      </c>
      <c r="H446" s="1130" cm="1">
        <f t="array" aca="1" ref="H446" ca="1">IFERROR(IF(A446=A445,0,SUM(_xlfn._xlws.FILTER(E446:E456,(A446:A456=A446)*(E446:E456&gt;0)))),0)</f>
        <v>0</v>
      </c>
      <c r="I446" s="1130" cm="1">
        <f t="array" aca="1" ref="I446" ca="1">IFERROR(IF(A446=A445,0,SUM(_xlfn._xlws.FILTER(E446:E456,(A446:A456=A446)*(F446&lt;0)))),0)</f>
        <v>-53280</v>
      </c>
      <c r="J446"/>
      <c r="K446"/>
      <c r="L446"/>
      <c r="M446"/>
      <c r="N446"/>
    </row>
    <row r="447" spans="1:14" hidden="1">
      <c r="A447" s="452">
        <v>45884</v>
      </c>
      <c r="B447" s="465" t="s">
        <v>60</v>
      </c>
      <c r="C447" s="454">
        <v>1990</v>
      </c>
      <c r="D447" s="651">
        <v>-59.09</v>
      </c>
      <c r="E447" s="1128">
        <f ca="1">IFERROR(C447*D447*_xlfn.XLOOKUP(B447,TabCalc[Ticker],TabCalc[Scale]),0)</f>
        <v>-117589.1</v>
      </c>
      <c r="F447" s="1129" cm="1">
        <f t="array" aca="1" ref="F447" ca="1">IF(A447=A446,0,SUM(_xlfn._xlws.FILTER(E447:E457,A447:A457=A447)))</f>
        <v>-160639.1</v>
      </c>
      <c r="G447" s="1130">
        <f ca="1">IF(F447&lt;&gt;0,SUM($F$43:F447),0)</f>
        <v>-5938852.7825729996</v>
      </c>
      <c r="H447" s="1130" cm="1">
        <f t="array" aca="1" ref="H447" ca="1">IFERROR(IF(A447=A446,0,SUM(_xlfn._xlws.FILTER(E447:E457,(A447:A457=A447)*(E447:E457&gt;0)))),0)</f>
        <v>0</v>
      </c>
      <c r="I447" s="1130" cm="1">
        <f t="array" aca="1" ref="I447" ca="1">IFERROR(IF(A447=A446,0,SUM(_xlfn._xlws.FILTER(E447:E457,(A447:A457=A447)*(F447&lt;0)))),0)</f>
        <v>-160639.1</v>
      </c>
      <c r="J447"/>
      <c r="K447"/>
      <c r="L447"/>
      <c r="M447"/>
      <c r="N447"/>
    </row>
    <row r="448" spans="1:14" hidden="1">
      <c r="A448" s="452">
        <v>45884</v>
      </c>
      <c r="B448" s="465" t="s">
        <v>42</v>
      </c>
      <c r="C448" s="454">
        <v>3000</v>
      </c>
      <c r="D448" s="651">
        <v>-14.35</v>
      </c>
      <c r="E448" s="1128">
        <f ca="1">IFERROR(C448*D448*_xlfn.XLOOKUP(B448,TabCalc[Ticker],TabCalc[Scale]),0)</f>
        <v>-43050</v>
      </c>
      <c r="F448" s="1129" cm="1">
        <f t="array" ref="F448">IF(A448=A447,0,SUM(_xlfn._xlws.FILTER(E448:E458,A448:A458=A448)))</f>
        <v>0</v>
      </c>
      <c r="G448" s="1130">
        <f>IF(F448&lt;&gt;0,SUM($F$43:F448),0)</f>
        <v>0</v>
      </c>
      <c r="H448" s="1130" cm="1">
        <f t="array" ref="H448">IFERROR(IF(A448=A447,0,SUM(_xlfn._xlws.FILTER(E448:E458,(A448:A458=A448)*(E448:E458&gt;0)))),0)</f>
        <v>0</v>
      </c>
      <c r="I448" s="1130" cm="1">
        <f t="array" ref="I448">IFERROR(IF(A448=A447,0,SUM(_xlfn._xlws.FILTER(E448:E458,(A448:A458=A448)*(F448&lt;0)))),0)</f>
        <v>0</v>
      </c>
      <c r="J448"/>
      <c r="K448"/>
      <c r="L448"/>
      <c r="M448"/>
      <c r="N448"/>
    </row>
    <row r="449" spans="1:14" hidden="1">
      <c r="A449" s="466">
        <v>45888</v>
      </c>
      <c r="B449" s="448" t="s">
        <v>21</v>
      </c>
      <c r="C449" s="468">
        <v>4000</v>
      </c>
      <c r="D449" s="650">
        <v>27.08</v>
      </c>
      <c r="E449" s="1128">
        <f ca="1">IFERROR(C449*D449*_xlfn.XLOOKUP(B449,TabCalc[Ticker],TabCalc[Scale]),0)</f>
        <v>108320</v>
      </c>
      <c r="F449" s="1129" cm="1">
        <f t="array" aca="1" ref="F449" ca="1">IF(A449=A448,0,SUM(_xlfn._xlws.FILTER(E449:E459,A449:A459=A449)))</f>
        <v>677730</v>
      </c>
      <c r="G449" s="1130">
        <f ca="1">IF(F449&lt;&gt;0,SUM($F$43:F449),0)</f>
        <v>-5261122.7825729996</v>
      </c>
      <c r="H449" s="1130" cm="1">
        <f t="array" aca="1" ref="H449" ca="1">IFERROR(IF(A449=A448,0,SUM(_xlfn._xlws.FILTER(E449:E459,(A449:A459=A449)*(E449:E459&gt;0)))),0)</f>
        <v>677730</v>
      </c>
      <c r="I449" s="1130" cm="1">
        <f t="array" aca="1" ref="I449" ca="1">IFERROR(IF(A449=A448,0,SUM(_xlfn._xlws.FILTER(E449:E459,(A449:A459=A449)*(F449&lt;0)))),0)</f>
        <v>0</v>
      </c>
      <c r="J449"/>
      <c r="K449"/>
      <c r="L449"/>
      <c r="M449"/>
      <c r="N449"/>
    </row>
    <row r="450" spans="1:14" hidden="1">
      <c r="A450" s="466">
        <v>45888</v>
      </c>
      <c r="B450" s="448" t="s">
        <v>31</v>
      </c>
      <c r="C450" s="468">
        <v>3000</v>
      </c>
      <c r="D450" s="650">
        <v>30.68</v>
      </c>
      <c r="E450" s="1128">
        <f ca="1">IFERROR(C450*D450*_xlfn.XLOOKUP(B450,TabCalc[Ticker],TabCalc[Scale]),0)</f>
        <v>92040</v>
      </c>
      <c r="F450" s="1129" cm="1">
        <f t="array" ref="F450">IF(A450=A449,0,SUM(_xlfn._xlws.FILTER(E450:E460,A450:A460=A450)))</f>
        <v>0</v>
      </c>
      <c r="G450" s="1130">
        <f>IF(F450&lt;&gt;0,SUM($F$43:F450),0)</f>
        <v>0</v>
      </c>
      <c r="H450" s="1130" cm="1">
        <f t="array" ref="H450">IFERROR(IF(A450=A449,0,SUM(_xlfn._xlws.FILTER(E450:E460,(A450:A460=A450)*(E450:E460&gt;0)))),0)</f>
        <v>0</v>
      </c>
      <c r="I450" s="1130" cm="1">
        <f t="array" ref="I450">IFERROR(IF(A450=A449,0,SUM(_xlfn._xlws.FILTER(E450:E460,(A450:A460=A450)*(F450&lt;0)))),0)</f>
        <v>0</v>
      </c>
      <c r="J450"/>
      <c r="K450"/>
      <c r="L450"/>
      <c r="M450"/>
      <c r="N450"/>
    </row>
    <row r="451" spans="1:14" hidden="1">
      <c r="A451" s="466">
        <v>45888</v>
      </c>
      <c r="B451" s="448" t="s">
        <v>5</v>
      </c>
      <c r="C451" s="468">
        <v>2000</v>
      </c>
      <c r="D451" s="650">
        <v>79.510000000000005</v>
      </c>
      <c r="E451" s="1128">
        <f ca="1">IFERROR(C451*D451*_xlfn.XLOOKUP(B451,TabCalc[Ticker],TabCalc[Scale]),0)</f>
        <v>159020</v>
      </c>
      <c r="F451" s="1129" cm="1">
        <f t="array" ref="F451">IF(A451=A450,0,SUM(_xlfn._xlws.FILTER(E451:E461,A451:A461=A451)))</f>
        <v>0</v>
      </c>
      <c r="G451" s="1130">
        <f>IF(F451&lt;&gt;0,SUM($F$43:F451),0)</f>
        <v>0</v>
      </c>
      <c r="H451" s="1130" cm="1">
        <f t="array" ref="H451">IFERROR(IF(A451=A450,0,SUM(_xlfn._xlws.FILTER(E451:E461,(A451:A461=A451)*(E451:E461&gt;0)))),0)</f>
        <v>0</v>
      </c>
      <c r="I451" s="1130" cm="1">
        <f t="array" ref="I451">IFERROR(IF(A451=A450,0,SUM(_xlfn._xlws.FILTER(E451:E461,(A451:A461=A451)*(F451&lt;0)))),0)</f>
        <v>0</v>
      </c>
      <c r="J451"/>
      <c r="K451"/>
      <c r="L451"/>
      <c r="M451"/>
      <c r="N451"/>
    </row>
    <row r="452" spans="1:14" hidden="1">
      <c r="A452" s="466">
        <v>45888</v>
      </c>
      <c r="B452" s="448" t="s">
        <v>32</v>
      </c>
      <c r="C452" s="468">
        <v>500</v>
      </c>
      <c r="D452" s="650">
        <v>636.70000000000005</v>
      </c>
      <c r="E452" s="1128">
        <f ca="1">IFERROR(C452*D452*_xlfn.XLOOKUP(B452,TabCalc[Ticker],TabCalc[Scale]),0)</f>
        <v>318350</v>
      </c>
      <c r="F452" s="1129" cm="1">
        <f t="array" ref="F452">IF(A452=A451,0,SUM(_xlfn._xlws.FILTER(E452:E462,A452:A462=A452)))</f>
        <v>0</v>
      </c>
      <c r="G452" s="1130">
        <f>IF(F452&lt;&gt;0,SUM($F$43:F452),0)</f>
        <v>0</v>
      </c>
      <c r="H452" s="1130" cm="1">
        <f t="array" ref="H452">IFERROR(IF(A452=A451,0,SUM(_xlfn._xlws.FILTER(E452:E462,(A452:A462=A452)*(E452:E462&gt;0)))),0)</f>
        <v>0</v>
      </c>
      <c r="I452" s="1130" cm="1">
        <f t="array" ref="I452">IFERROR(IF(A452=A451,0,SUM(_xlfn._xlws.FILTER(E452:E462,(A452:A462=A452)*(F452&lt;0)))),0)</f>
        <v>0</v>
      </c>
      <c r="J452"/>
      <c r="K452"/>
      <c r="L452"/>
      <c r="M452"/>
      <c r="N452"/>
    </row>
    <row r="453" spans="1:14" hidden="1">
      <c r="A453" s="452">
        <v>45891</v>
      </c>
      <c r="B453" s="465" t="s">
        <v>32</v>
      </c>
      <c r="C453" s="454">
        <v>500</v>
      </c>
      <c r="D453" s="651">
        <v>646.20000000000005</v>
      </c>
      <c r="E453" s="1128">
        <f ca="1">IFERROR(C453*D453*_xlfn.XLOOKUP(B453,TabCalc[Ticker],TabCalc[Scale]),0)</f>
        <v>323100</v>
      </c>
      <c r="F453" s="1129" cm="1">
        <f t="array" aca="1" ref="F453" ca="1">IF(A453=A452,0,SUM(_xlfn._xlws.FILTER(E453:E463,A453:A463=A453)))</f>
        <v>808100</v>
      </c>
      <c r="G453" s="1130">
        <f ca="1">IF(F453&lt;&gt;0,SUM($F$43:F453),0)</f>
        <v>-4453022.7825729996</v>
      </c>
      <c r="H453" s="1130" cm="1">
        <f t="array" aca="1" ref="H453" ca="1">IFERROR(IF(A453=A452,0,SUM(_xlfn._xlws.FILTER(E453:E463,(A453:A463=A453)*(E453:E463&gt;0)))),0)</f>
        <v>808100</v>
      </c>
      <c r="I453" s="1130" cm="1">
        <f t="array" aca="1" ref="I453" ca="1">IFERROR(IF(A453=A452,0,SUM(_xlfn._xlws.FILTER(E453:E463,(A453:A463=A453)*(F453&lt;0)))),0)</f>
        <v>0</v>
      </c>
      <c r="J453"/>
      <c r="K453"/>
      <c r="L453"/>
      <c r="M453"/>
      <c r="N453"/>
    </row>
    <row r="454" spans="1:14" hidden="1">
      <c r="A454" s="452">
        <v>45891</v>
      </c>
      <c r="B454" s="452" t="s">
        <v>29</v>
      </c>
      <c r="C454" s="454">
        <v>2000</v>
      </c>
      <c r="D454" s="465">
        <v>70.12</v>
      </c>
      <c r="E454" s="1128">
        <f ca="1">IFERROR(C454*D454*_xlfn.XLOOKUP(B454,TabCalc[Ticker],TabCalc[Scale]),0)</f>
        <v>140240</v>
      </c>
      <c r="F454" s="1129" cm="1">
        <f t="array" ref="F454">IF(A454=A453,0,SUM(_xlfn._xlws.FILTER(E454:E464,A454:A464=A454)))</f>
        <v>0</v>
      </c>
      <c r="G454" s="1130">
        <f>IF(F454&lt;&gt;0,SUM($F$43:F454),0)</f>
        <v>0</v>
      </c>
      <c r="H454" s="1130" cm="1">
        <f t="array" ref="H454">IFERROR(IF(A454=A453,0,SUM(_xlfn._xlws.FILTER(E454:E464,(A454:A464=A454)*(E454:E464&gt;0)))),0)</f>
        <v>0</v>
      </c>
      <c r="I454" s="1130" cm="1">
        <f t="array" ref="I454">IFERROR(IF(A454=A453,0,SUM(_xlfn._xlws.FILTER(E454:E464,(A454:A464=A454)*(F454&lt;0)))),0)</f>
        <v>0</v>
      </c>
      <c r="J454"/>
      <c r="K454"/>
      <c r="L454"/>
      <c r="M454"/>
      <c r="N454"/>
    </row>
    <row r="455" spans="1:14" hidden="1">
      <c r="A455" s="452">
        <v>45891</v>
      </c>
      <c r="B455" s="452" t="s">
        <v>31</v>
      </c>
      <c r="C455" s="454">
        <v>1000</v>
      </c>
      <c r="D455" s="465">
        <v>32.03</v>
      </c>
      <c r="E455" s="1128">
        <f ca="1">IFERROR(C455*D455*_xlfn.XLOOKUP(B455,TabCalc[Ticker],TabCalc[Scale]),0)</f>
        <v>32030</v>
      </c>
      <c r="F455" s="1129" cm="1">
        <f t="array" ref="F455">IF(A455=A454,0,SUM(_xlfn._xlws.FILTER(E455:E465,A455:A465=A455)))</f>
        <v>0</v>
      </c>
      <c r="G455" s="1130">
        <f>IF(F455&lt;&gt;0,SUM($F$43:F455),0)</f>
        <v>0</v>
      </c>
      <c r="H455" s="1130" cm="1">
        <f t="array" ref="H455">IFERROR(IF(A455=A454,0,SUM(_xlfn._xlws.FILTER(E455:E465,(A455:A465=A455)*(E455:E465&gt;0)))),0)</f>
        <v>0</v>
      </c>
      <c r="I455" s="1130" cm="1">
        <f t="array" ref="I455">IFERROR(IF(A455=A454,0,SUM(_xlfn._xlws.FILTER(E455:E465,(A455:A465=A455)*(F455&lt;0)))),0)</f>
        <v>0</v>
      </c>
      <c r="J455"/>
      <c r="K455"/>
      <c r="L455"/>
      <c r="M455"/>
      <c r="N455"/>
    </row>
    <row r="456" spans="1:14" hidden="1">
      <c r="A456" s="452">
        <v>45891</v>
      </c>
      <c r="B456" s="452" t="s">
        <v>28</v>
      </c>
      <c r="C456" s="454">
        <v>3000</v>
      </c>
      <c r="D456" s="465">
        <v>76.209999999999994</v>
      </c>
      <c r="E456" s="1128">
        <f ca="1">IFERROR(C456*D456*_xlfn.XLOOKUP(B456,TabCalc[Ticker],TabCalc[Scale]),0)</f>
        <v>228629.99999999997</v>
      </c>
      <c r="F456" s="1129" cm="1">
        <f t="array" ref="F456">IF(A456=A455,0,SUM(_xlfn._xlws.FILTER(E456:E466,A456:A466=A456)))</f>
        <v>0</v>
      </c>
      <c r="G456" s="1130">
        <f>IF(F456&lt;&gt;0,SUM($F$43:F456),0)</f>
        <v>0</v>
      </c>
      <c r="H456" s="1130" cm="1">
        <f t="array" ref="H456">IFERROR(IF(A456=A455,0,SUM(_xlfn._xlws.FILTER(E456:E466,(A456:A466=A456)*(E456:E466&gt;0)))),0)</f>
        <v>0</v>
      </c>
      <c r="I456" s="1130" cm="1">
        <f t="array" ref="I456">IFERROR(IF(A456=A455,0,SUM(_xlfn._xlws.FILTER(E456:E466,(A456:A466=A456)*(F456&lt;0)))),0)</f>
        <v>0</v>
      </c>
      <c r="J456"/>
      <c r="K456"/>
      <c r="L456"/>
      <c r="M456"/>
      <c r="N456"/>
    </row>
    <row r="457" spans="1:14" hidden="1">
      <c r="A457" s="452">
        <v>45891</v>
      </c>
      <c r="B457" s="452" t="s">
        <v>35</v>
      </c>
      <c r="C457" s="454">
        <v>2000</v>
      </c>
      <c r="D457" s="465">
        <v>42.05</v>
      </c>
      <c r="E457" s="1128">
        <f ca="1">IFERROR(C457*D457*_xlfn.XLOOKUP(B457,TabCalc[Ticker],TabCalc[Scale]),0)</f>
        <v>84100</v>
      </c>
      <c r="F457" s="1129" cm="1">
        <f t="array" ref="F457">IF(A457=A456,0,SUM(_xlfn._xlws.FILTER(E457:E467,A457:A467=A457)))</f>
        <v>0</v>
      </c>
      <c r="G457" s="1130">
        <f>IF(F457&lt;&gt;0,SUM($F$43:F457),0)</f>
        <v>0</v>
      </c>
      <c r="H457" s="1130" cm="1">
        <f t="array" ref="H457">IFERROR(IF(A457=A456,0,SUM(_xlfn._xlws.FILTER(E457:E467,(A457:A467=A457)*(E457:E467&gt;0)))),0)</f>
        <v>0</v>
      </c>
      <c r="I457" s="1130" cm="1">
        <f t="array" ref="I457">IFERROR(IF(A457=A456,0,SUM(_xlfn._xlws.FILTER(E457:E467,(A457:A467=A457)*(F457&lt;0)))),0)</f>
        <v>0</v>
      </c>
      <c r="J457"/>
      <c r="K457"/>
      <c r="L457"/>
      <c r="M457"/>
      <c r="N457"/>
    </row>
    <row r="458" spans="1:14" hidden="1">
      <c r="A458" s="466">
        <v>45894</v>
      </c>
      <c r="B458" s="448" t="s">
        <v>35</v>
      </c>
      <c r="C458" s="468">
        <v>1000</v>
      </c>
      <c r="D458" s="650">
        <v>41.42</v>
      </c>
      <c r="E458" s="1128">
        <f ca="1">IFERROR(C458*D458*_xlfn.XLOOKUP(B458,TabCalc[Ticker],TabCalc[Scale]),0)</f>
        <v>41420</v>
      </c>
      <c r="F458" s="1129" cm="1">
        <f t="array" aca="1" ref="F458" ca="1">IF(A458=A457,0,SUM(_xlfn._xlws.FILTER(E458:E468,A458:A468=A458)))</f>
        <v>384380</v>
      </c>
      <c r="G458" s="1130">
        <f ca="1">IF(F458&lt;&gt;0,SUM($F$43:F458),0)</f>
        <v>-4068642.7825729996</v>
      </c>
      <c r="H458" s="1130" cm="1">
        <f t="array" aca="1" ref="H458" ca="1">IFERROR(IF(A458=A457,0,SUM(_xlfn._xlws.FILTER(E458:E468,(A458:A468=A458)*(E458:E468&gt;0)))),0)</f>
        <v>384380</v>
      </c>
      <c r="I458" s="1130" cm="1">
        <f t="array" aca="1" ref="I458" ca="1">IFERROR(IF(A458=A457,0,SUM(_xlfn._xlws.FILTER(E458:E468,(A458:A468=A458)*(F458&lt;0)))),0)</f>
        <v>0</v>
      </c>
      <c r="J458"/>
      <c r="K458"/>
      <c r="L458"/>
      <c r="M458"/>
      <c r="N458"/>
    </row>
    <row r="459" spans="1:14" hidden="1">
      <c r="A459" s="466">
        <v>45894</v>
      </c>
      <c r="B459" s="448" t="s">
        <v>28</v>
      </c>
      <c r="C459" s="468">
        <v>1000</v>
      </c>
      <c r="D459" s="650">
        <v>75.42</v>
      </c>
      <c r="E459" s="1128">
        <f ca="1">IFERROR(C459*D459*_xlfn.XLOOKUP(B459,TabCalc[Ticker],TabCalc[Scale]),0)</f>
        <v>75420</v>
      </c>
      <c r="F459" s="1129" cm="1">
        <f t="array" ref="F459">IF(A459=A458,0,SUM(_xlfn._xlws.FILTER(E459:E469,A459:A469=A459)))</f>
        <v>0</v>
      </c>
      <c r="G459" s="1130">
        <f>IF(F459&lt;&gt;0,SUM($F$43:F459),0)</f>
        <v>0</v>
      </c>
      <c r="H459" s="1130" cm="1">
        <f t="array" ref="H459">IFERROR(IF(A459=A458,0,SUM(_xlfn._xlws.FILTER(E459:E469,(A459:A469=A459)*(E459:E469&gt;0)))),0)</f>
        <v>0</v>
      </c>
      <c r="I459" s="1130" cm="1">
        <f t="array" ref="I459">IFERROR(IF(A459=A458,0,SUM(_xlfn._xlws.FILTER(E459:E469,(A459:A469=A459)*(F459&lt;0)))),0)</f>
        <v>0</v>
      </c>
      <c r="J459"/>
      <c r="K459"/>
      <c r="L459"/>
      <c r="M459"/>
      <c r="N459"/>
    </row>
    <row r="460" spans="1:14" hidden="1">
      <c r="A460" s="466">
        <v>45894</v>
      </c>
      <c r="B460" s="448" t="s">
        <v>20</v>
      </c>
      <c r="C460" s="468">
        <v>2000</v>
      </c>
      <c r="D460" s="650">
        <v>22.45</v>
      </c>
      <c r="E460" s="1128">
        <f ca="1">IFERROR(C460*D460*_xlfn.XLOOKUP(B460,TabCalc[Ticker],TabCalc[Scale]),0)</f>
        <v>44900</v>
      </c>
      <c r="F460" s="1129" cm="1">
        <f t="array" ref="F460">IF(A460=A459,0,SUM(_xlfn._xlws.FILTER(E460:E470,A460:A470=A460)))</f>
        <v>0</v>
      </c>
      <c r="G460" s="1130">
        <f>IF(F460&lt;&gt;0,SUM($F$43:F460),0)</f>
        <v>0</v>
      </c>
      <c r="H460" s="1130" cm="1">
        <f t="array" ref="H460">IFERROR(IF(A460=A459,0,SUM(_xlfn._xlws.FILTER(E460:E470,(A460:A470=A460)*(E460:E470&gt;0)))),0)</f>
        <v>0</v>
      </c>
      <c r="I460" s="1130" cm="1">
        <f t="array" ref="I460">IFERROR(IF(A460=A459,0,SUM(_xlfn._xlws.FILTER(E460:E470,(A460:A470=A460)*(F460&lt;0)))),0)</f>
        <v>0</v>
      </c>
      <c r="J460"/>
      <c r="K460"/>
      <c r="L460"/>
      <c r="M460"/>
      <c r="N460"/>
    </row>
    <row r="461" spans="1:14" hidden="1">
      <c r="A461" s="466">
        <v>45894</v>
      </c>
      <c r="B461" s="448" t="s">
        <v>49</v>
      </c>
      <c r="C461" s="468">
        <v>5000</v>
      </c>
      <c r="D461" s="650">
        <v>10.58</v>
      </c>
      <c r="E461" s="1128">
        <f ca="1">IFERROR(C461*D461*_xlfn.XLOOKUP(B461,TabCalc[Ticker],TabCalc[Scale]),0)</f>
        <v>52900</v>
      </c>
      <c r="F461" s="1129" cm="1">
        <f t="array" ref="F461">IF(A461=A460,0,SUM(_xlfn._xlws.FILTER(E461:E471,A461:A471=A461)))</f>
        <v>0</v>
      </c>
      <c r="G461" s="1130">
        <f>IF(F461&lt;&gt;0,SUM($F$43:F461),0)</f>
        <v>0</v>
      </c>
      <c r="H461" s="1130" cm="1">
        <f t="array" ref="H461">IFERROR(IF(A461=A460,0,SUM(_xlfn._xlws.FILTER(E461:E471,(A461:A471=A461)*(E461:E471&gt;0)))),0)</f>
        <v>0</v>
      </c>
      <c r="I461" s="1130" cm="1">
        <f t="array" ref="I461">IFERROR(IF(A461=A460,0,SUM(_xlfn._xlws.FILTER(E461:E471,(A461:A471=A461)*(F461&lt;0)))),0)</f>
        <v>0</v>
      </c>
      <c r="J461"/>
      <c r="K461"/>
      <c r="L461"/>
      <c r="M461"/>
      <c r="N461"/>
    </row>
    <row r="462" spans="1:14" hidden="1">
      <c r="A462" s="452">
        <v>45896</v>
      </c>
      <c r="B462" s="465" t="s">
        <v>53</v>
      </c>
      <c r="C462" s="454">
        <v>30000</v>
      </c>
      <c r="D462" s="651">
        <v>-0.45</v>
      </c>
      <c r="E462" s="1128">
        <f ca="1">IFERROR(C462*D462*_xlfn.XLOOKUP(B462,TabCalc[Ticker],TabCalc[Scale]),0)</f>
        <v>-13500</v>
      </c>
      <c r="F462" s="1129" cm="1">
        <f t="array" aca="1" ref="F462" ca="1">IF(A462=A461,0,SUM(_xlfn._xlws.FILTER(E462:E472,A462:A472=A462)))</f>
        <v>261732</v>
      </c>
      <c r="G462" s="1130">
        <f ca="1">IF(F462&lt;&gt;0,SUM($F$43:F462),0)</f>
        <v>-3806910.7825729996</v>
      </c>
      <c r="H462" s="1130" cm="1">
        <f t="array" aca="1" ref="H462" ca="1">IFERROR(IF(A462=A461,0,SUM(_xlfn._xlws.FILTER(E462:E472,(A462:A472=A462)*(E462:E472&gt;0)))),0)</f>
        <v>288732</v>
      </c>
      <c r="I462" s="1130" cm="1">
        <f t="array" aca="1" ref="I462" ca="1">IFERROR(IF(A462=A461,0,SUM(_xlfn._xlws.FILTER(E462:E472,(A462:A472=A462)*(F462&lt;0)))),0)</f>
        <v>0</v>
      </c>
      <c r="J462"/>
      <c r="K462"/>
      <c r="L462"/>
      <c r="M462"/>
      <c r="N462"/>
    </row>
    <row r="463" spans="1:14" hidden="1">
      <c r="A463" s="452">
        <v>45896</v>
      </c>
      <c r="B463" s="465" t="s">
        <v>80</v>
      </c>
      <c r="C463" s="454">
        <v>600</v>
      </c>
      <c r="D463" s="651">
        <v>189.91</v>
      </c>
      <c r="E463" s="1128">
        <f ca="1">IFERROR(C463*D463*_xlfn.XLOOKUP(B463,TabCalc[Ticker],TabCalc[Scale]),0)</f>
        <v>113946</v>
      </c>
      <c r="F463" s="1129" cm="1">
        <f t="array" ref="F463">IF(A463=A462,0,SUM(_xlfn._xlws.FILTER(E463:E473,A463:A473=A463)))</f>
        <v>0</v>
      </c>
      <c r="G463" s="1130">
        <f>IF(F463&lt;&gt;0,SUM($F$43:F463),0)</f>
        <v>0</v>
      </c>
      <c r="H463" s="1130" cm="1">
        <f t="array" ref="H463">IFERROR(IF(A463=A462,0,SUM(_xlfn._xlws.FILTER(E463:E473,(A463:A473=A463)*(E463:E473&gt;0)))),0)</f>
        <v>0</v>
      </c>
      <c r="I463" s="1130" cm="1">
        <f t="array" ref="I463">IFERROR(IF(A463=A462,0,SUM(_xlfn._xlws.FILTER(E463:E473,(A463:A473=A463)*(F463&lt;0)))),0)</f>
        <v>0</v>
      </c>
      <c r="J463"/>
      <c r="K463"/>
      <c r="L463"/>
      <c r="M463"/>
      <c r="N463"/>
    </row>
    <row r="464" spans="1:14" hidden="1">
      <c r="A464" s="452">
        <v>45896</v>
      </c>
      <c r="B464" s="465" t="s">
        <v>74</v>
      </c>
      <c r="C464" s="454">
        <v>2000</v>
      </c>
      <c r="D464" s="651">
        <v>15.21</v>
      </c>
      <c r="E464" s="1128">
        <f ca="1">IFERROR(C464*D464*_xlfn.XLOOKUP(B464,TabCalc[Ticker],TabCalc[Scale]),0)</f>
        <v>30420</v>
      </c>
      <c r="F464" s="1129" cm="1">
        <f t="array" ref="F464">IF(A464=A463,0,SUM(_xlfn._xlws.FILTER(E464:E474,A464:A474=A464)))</f>
        <v>0</v>
      </c>
      <c r="G464" s="1130">
        <f>IF(F464&lt;&gt;0,SUM($F$43:F464),0)</f>
        <v>0</v>
      </c>
      <c r="H464" s="1130" cm="1">
        <f t="array" ref="H464">IFERROR(IF(A464=A463,0,SUM(_xlfn._xlws.FILTER(E464:E474,(A464:A474=A464)*(E464:E474&gt;0)))),0)</f>
        <v>0</v>
      </c>
      <c r="I464" s="1130" cm="1">
        <f t="array" ref="I464">IFERROR(IF(A464=A463,0,SUM(_xlfn._xlws.FILTER(E464:E474,(A464:A474=A464)*(F464&lt;0)))),0)</f>
        <v>0</v>
      </c>
      <c r="J464"/>
      <c r="K464"/>
      <c r="L464"/>
      <c r="M464"/>
      <c r="N464"/>
    </row>
    <row r="465" spans="1:14" hidden="1">
      <c r="A465" s="466">
        <v>45897</v>
      </c>
      <c r="B465" s="448" t="s">
        <v>20</v>
      </c>
      <c r="C465" s="468">
        <v>1500</v>
      </c>
      <c r="D465" s="650">
        <v>23.24</v>
      </c>
      <c r="E465" s="1128">
        <f ca="1">IFERROR(C465*D465*_xlfn.XLOOKUP(B465,TabCalc[Ticker],TabCalc[Scale]),0)</f>
        <v>34860</v>
      </c>
      <c r="F465" s="1129" cm="1">
        <f t="array" aca="1" ref="F465" ca="1">IF(A465=A464,0,SUM(_xlfn._xlws.FILTER(E465:E475,A465:A475=A465)))</f>
        <v>69720</v>
      </c>
      <c r="G465" s="1130">
        <f ca="1">IF(F465&lt;&gt;0,SUM($F$43:F465),0)</f>
        <v>-3737190.7825729996</v>
      </c>
      <c r="H465" s="1130" cm="1">
        <f t="array" aca="1" ref="H465" ca="1">IFERROR(IF(A465=A464,0,SUM(_xlfn._xlws.FILTER(E465:E475,(A465:A475=A465)*(E465:E475&gt;0)))),0)</f>
        <v>69720</v>
      </c>
      <c r="I465" s="1130" cm="1">
        <f t="array" aca="1" ref="I465" ca="1">IFERROR(IF(A465=A464,0,SUM(_xlfn._xlws.FILTER(E465:E475,(A465:A475=A465)*(F465&lt;0)))),0)</f>
        <v>0</v>
      </c>
      <c r="J465"/>
      <c r="K465"/>
      <c r="L465"/>
      <c r="M465"/>
      <c r="N465"/>
    </row>
    <row r="466" spans="1:14" hidden="1">
      <c r="A466" s="466">
        <v>45894</v>
      </c>
      <c r="B466" s="448" t="s">
        <v>35</v>
      </c>
      <c r="C466" s="468">
        <v>1000</v>
      </c>
      <c r="D466" s="650">
        <v>41.42</v>
      </c>
      <c r="E466" s="1128">
        <f ca="1">IFERROR(C466*D466*_xlfn.XLOOKUP(B466,TabCalc[Ticker],TabCalc[Scale]),0)</f>
        <v>41420</v>
      </c>
      <c r="F466" s="1129" cm="1">
        <f t="array" aca="1" ref="F466" ca="1">IF(A466=A465,0,SUM(_xlfn._xlws.FILTER(E466:E476,A466:A476=A466)))</f>
        <v>169740</v>
      </c>
      <c r="G466" s="1130">
        <f ca="1">IF(F466&lt;&gt;0,SUM($F$43:F466),0)</f>
        <v>-3567450.7825729996</v>
      </c>
      <c r="H466" s="1130" cm="1">
        <f t="array" aca="1" ref="H466" ca="1">IFERROR(IF(A466=A465,0,SUM(_xlfn._xlws.FILTER(E466:E476,(A466:A476=A466)*(E466:E476&gt;0)))),0)</f>
        <v>169740</v>
      </c>
      <c r="I466" s="1130" cm="1">
        <f t="array" aca="1" ref="I466" ca="1">IFERROR(IF(A466=A465,0,SUM(_xlfn._xlws.FILTER(E466:E476,(A466:A476=A466)*(F466&lt;0)))),0)</f>
        <v>0</v>
      </c>
      <c r="J466"/>
      <c r="K466"/>
      <c r="L466"/>
      <c r="M466"/>
      <c r="N466"/>
    </row>
    <row r="467" spans="1:14" hidden="1">
      <c r="A467" s="466">
        <v>45894</v>
      </c>
      <c r="B467" s="448" t="s">
        <v>28</v>
      </c>
      <c r="C467" s="468">
        <v>1000</v>
      </c>
      <c r="D467" s="650">
        <v>75.42</v>
      </c>
      <c r="E467" s="1128">
        <f ca="1">IFERROR(C467*D467*_xlfn.XLOOKUP(B467,TabCalc[Ticker],TabCalc[Scale]),0)</f>
        <v>75420</v>
      </c>
      <c r="F467" s="1129" cm="1">
        <f t="array" ref="F467">IF(A467=A466,0,SUM(_xlfn._xlws.FILTER(E467:E477,A467:A477=A467)))</f>
        <v>0</v>
      </c>
      <c r="G467" s="1130">
        <f>IF(F467&lt;&gt;0,SUM($F$43:F467),0)</f>
        <v>0</v>
      </c>
      <c r="H467" s="1130" cm="1">
        <f t="array" ref="H467">IFERROR(IF(A467=A466,0,SUM(_xlfn._xlws.FILTER(E467:E477,(A467:A477=A467)*(E467:E477&gt;0)))),0)</f>
        <v>0</v>
      </c>
      <c r="I467" s="1130" cm="1">
        <f t="array" ref="I467">IFERROR(IF(A467=A466,0,SUM(_xlfn._xlws.FILTER(E467:E477,(A467:A477=A467)*(F467&lt;0)))),0)</f>
        <v>0</v>
      </c>
      <c r="J467"/>
      <c r="K467"/>
      <c r="L467"/>
      <c r="M467"/>
      <c r="N467"/>
    </row>
    <row r="468" spans="1:14" hidden="1">
      <c r="A468" s="466">
        <v>45894</v>
      </c>
      <c r="B468" s="448" t="s">
        <v>49</v>
      </c>
      <c r="C468" s="468">
        <v>5000</v>
      </c>
      <c r="D468" s="650">
        <v>10.58</v>
      </c>
      <c r="E468" s="1128">
        <f ca="1">IFERROR(C468*D468*_xlfn.XLOOKUP(B468,TabCalc[Ticker],TabCalc[Scale]),0)</f>
        <v>52900</v>
      </c>
      <c r="F468" s="1129" cm="1">
        <f t="array" ref="F468">IF(A468=A467,0,SUM(_xlfn._xlws.FILTER(E468:E478,A468:A478=A468)))</f>
        <v>0</v>
      </c>
      <c r="G468" s="1130">
        <f>IF(F468&lt;&gt;0,SUM($F$43:F468),0)</f>
        <v>0</v>
      </c>
      <c r="H468" s="1130" cm="1">
        <f t="array" ref="H468">IFERROR(IF(A468=A467,0,SUM(_xlfn._xlws.FILTER(E468:E478,(A468:A478=A468)*(E468:E478&gt;0)))),0)</f>
        <v>0</v>
      </c>
      <c r="I468" s="1130" cm="1">
        <f t="array" ref="I468">IFERROR(IF(A468=A467,0,SUM(_xlfn._xlws.FILTER(E468:E478,(A468:A478=A468)*(F468&lt;0)))),0)</f>
        <v>0</v>
      </c>
      <c r="J468"/>
      <c r="K468"/>
      <c r="L468"/>
      <c r="M468"/>
      <c r="N468"/>
    </row>
    <row r="469" spans="1:14" hidden="1">
      <c r="A469" s="452">
        <v>45896</v>
      </c>
      <c r="B469" s="465" t="s">
        <v>53</v>
      </c>
      <c r="C469" s="454">
        <v>30000</v>
      </c>
      <c r="D469" s="651">
        <v>-0.45</v>
      </c>
      <c r="E469" s="1128">
        <f ca="1">IFERROR(C469*D469*_xlfn.XLOOKUP(B469,TabCalc[Ticker],TabCalc[Scale]),0)</f>
        <v>-13500</v>
      </c>
      <c r="F469" s="1129" cm="1">
        <f t="array" aca="1" ref="F469" ca="1">IF(A469=A468,0,SUM(_xlfn._xlws.FILTER(E469:E479,A469:A479=A469)))</f>
        <v>130866</v>
      </c>
      <c r="G469" s="1130">
        <f ca="1">IF(F469&lt;&gt;0,SUM($F$43:F469),0)</f>
        <v>-3436584.7825729996</v>
      </c>
      <c r="H469" s="1130" cm="1">
        <f t="array" aca="1" ref="H469" ca="1">IFERROR(IF(A469=A468,0,SUM(_xlfn._xlws.FILTER(E469:E479,(A469:A479=A469)*(E469:E479&gt;0)))),0)</f>
        <v>144366</v>
      </c>
      <c r="I469" s="1130" cm="1">
        <f t="array" aca="1" ref="I469" ca="1">IFERROR(IF(A469=A468,0,SUM(_xlfn._xlws.FILTER(E469:E479,(A469:A479=A469)*(F469&lt;0)))),0)</f>
        <v>0</v>
      </c>
      <c r="J469"/>
      <c r="K469"/>
      <c r="L469"/>
      <c r="M469"/>
      <c r="N469"/>
    </row>
    <row r="470" spans="1:14" hidden="1">
      <c r="A470" s="452">
        <v>45896</v>
      </c>
      <c r="B470" s="465" t="s">
        <v>80</v>
      </c>
      <c r="C470" s="454">
        <v>600</v>
      </c>
      <c r="D470" s="651">
        <v>189.91</v>
      </c>
      <c r="E470" s="1128">
        <f ca="1">IFERROR(C470*D470*_xlfn.XLOOKUP(B470,TabCalc[Ticker],TabCalc[Scale]),0)</f>
        <v>113946</v>
      </c>
      <c r="F470" s="1129" cm="1">
        <f t="array" ref="F470">IF(A470=A469,0,SUM(_xlfn._xlws.FILTER(E470:E480,A470:A480=A470)))</f>
        <v>0</v>
      </c>
      <c r="G470" s="1130">
        <f>IF(F470&lt;&gt;0,SUM($F$43:F470),0)</f>
        <v>0</v>
      </c>
      <c r="H470" s="1130" cm="1">
        <f t="array" ref="H470">IFERROR(IF(A470=A469,0,SUM(_xlfn._xlws.FILTER(E470:E480,(A470:A480=A470)*(E470:E480&gt;0)))),0)</f>
        <v>0</v>
      </c>
      <c r="I470" s="1130" cm="1">
        <f t="array" ref="I470">IFERROR(IF(A470=A469,0,SUM(_xlfn._xlws.FILTER(E470:E480,(A470:A480=A470)*(F470&lt;0)))),0)</f>
        <v>0</v>
      </c>
      <c r="J470"/>
      <c r="K470"/>
      <c r="L470"/>
      <c r="M470"/>
      <c r="N470"/>
    </row>
    <row r="471" spans="1:14" hidden="1">
      <c r="A471" s="452">
        <v>45896</v>
      </c>
      <c r="B471" s="465" t="s">
        <v>74</v>
      </c>
      <c r="C471" s="454">
        <v>2000</v>
      </c>
      <c r="D471" s="651">
        <v>15.21</v>
      </c>
      <c r="E471" s="1128">
        <f ca="1">IFERROR(C471*D471*_xlfn.XLOOKUP(B471,TabCalc[Ticker],TabCalc[Scale]),0)</f>
        <v>30420</v>
      </c>
      <c r="F471" s="1129" cm="1">
        <f t="array" ref="F471">IF(A471=A470,0,SUM(_xlfn._xlws.FILTER(E471:E481,A471:A481=A471)))</f>
        <v>0</v>
      </c>
      <c r="G471" s="1130">
        <f>IF(F471&lt;&gt;0,SUM($F$43:F471),0)</f>
        <v>0</v>
      </c>
      <c r="H471" s="1130" cm="1">
        <f t="array" ref="H471">IFERROR(IF(A471=A470,0,SUM(_xlfn._xlws.FILTER(E471:E481,(A471:A481=A471)*(E471:E481&gt;0)))),0)</f>
        <v>0</v>
      </c>
      <c r="I471" s="1130" cm="1">
        <f t="array" ref="I471">IFERROR(IF(A471=A470,0,SUM(_xlfn._xlws.FILTER(E471:E481,(A471:A481=A471)*(F471&lt;0)))),0)</f>
        <v>0</v>
      </c>
      <c r="J471"/>
      <c r="K471"/>
      <c r="L471"/>
      <c r="M471"/>
      <c r="N471"/>
    </row>
    <row r="472" spans="1:14" hidden="1">
      <c r="A472" s="466">
        <v>45897</v>
      </c>
      <c r="B472" s="448" t="s">
        <v>20</v>
      </c>
      <c r="C472" s="468">
        <v>1500</v>
      </c>
      <c r="D472" s="650">
        <v>23.24</v>
      </c>
      <c r="E472" s="1128">
        <f ca="1">IFERROR(C472*D472*_xlfn.XLOOKUP(B472,TabCalc[Ticker],TabCalc[Scale]),0)</f>
        <v>34860</v>
      </c>
      <c r="F472" s="1129" cm="1">
        <f t="array" aca="1" ref="F472" ca="1">IF(A472=A471,0,SUM(_xlfn._xlws.FILTER(E472:E482,A472:A482=A472)))</f>
        <v>34860</v>
      </c>
      <c r="G472" s="1130">
        <f ca="1">IF(F472&lt;&gt;0,SUM($F$43:F472),0)</f>
        <v>-3401724.7825729996</v>
      </c>
      <c r="H472" s="1130" cm="1">
        <f t="array" aca="1" ref="H472" ca="1">IFERROR(IF(A472=A471,0,SUM(_xlfn._xlws.FILTER(E472:E482,(A472:A482=A472)*(E472:E482&gt;0)))),0)</f>
        <v>34860</v>
      </c>
      <c r="I472" s="1130" cm="1">
        <f t="array" aca="1" ref="I472" ca="1">IFERROR(IF(A472=A471,0,SUM(_xlfn._xlws.FILTER(E472:E482,(A472:A482=A472)*(F472&lt;0)))),0)</f>
        <v>0</v>
      </c>
      <c r="J472"/>
      <c r="K472"/>
      <c r="L472"/>
      <c r="M472"/>
      <c r="N472"/>
    </row>
    <row r="473" spans="1:14" hidden="1">
      <c r="A473" s="452">
        <v>45898</v>
      </c>
      <c r="B473" s="465" t="s">
        <v>23</v>
      </c>
      <c r="C473" s="454">
        <v>660</v>
      </c>
      <c r="D473" s="651">
        <v>-67.180000000000007</v>
      </c>
      <c r="E473" s="1128">
        <f ca="1">IFERROR(C473*D473*_xlfn.XLOOKUP(B473,TabCalc[Ticker],TabCalc[Scale]),0)</f>
        <v>-44338.8</v>
      </c>
      <c r="F473" s="1129" cm="1">
        <f t="array" aca="1" ref="F473" ca="1">IF(A473=A472,0,SUM(_xlfn._xlws.FILTER(E473:E483,A473:A483=A473)))</f>
        <v>-5618.8000000000029</v>
      </c>
      <c r="G473" s="1130">
        <f ca="1">IF(F473&lt;&gt;0,SUM($F$43:F473),0)</f>
        <v>-3407343.5825729994</v>
      </c>
      <c r="H473" s="1130" cm="1">
        <f t="array" aca="1" ref="H473" ca="1">IFERROR(IF(A473=A472,0,SUM(_xlfn._xlws.FILTER(E473:E483,(A473:A483=A473)*(E473:E483&gt;0)))),0)</f>
        <v>38720</v>
      </c>
      <c r="I473" s="1130" cm="1">
        <f t="array" aca="1" ref="I473" ca="1">IFERROR(IF(A473=A472,0,SUM(_xlfn._xlws.FILTER(E473:E483,(A473:A483=A473)*(F473&lt;0)))),0)</f>
        <v>-5618.8000000000029</v>
      </c>
      <c r="J473"/>
      <c r="K473"/>
      <c r="L473"/>
      <c r="M473"/>
      <c r="N473"/>
    </row>
    <row r="474" spans="1:14" hidden="1">
      <c r="A474" s="452">
        <v>45898</v>
      </c>
      <c r="B474" s="465" t="s">
        <v>35</v>
      </c>
      <c r="C474" s="454">
        <v>1000</v>
      </c>
      <c r="D474" s="651">
        <v>38.72</v>
      </c>
      <c r="E474" s="1128">
        <f ca="1">IFERROR(C474*D474*_xlfn.XLOOKUP(B474,TabCalc[Ticker],TabCalc[Scale]),0)</f>
        <v>38720</v>
      </c>
      <c r="F474" s="1129" cm="1">
        <f t="array" ref="F474">IF(A474=A473,0,SUM(_xlfn._xlws.FILTER(E474:E484,A474:A484=A474)))</f>
        <v>0</v>
      </c>
      <c r="G474" s="1130">
        <f>IF(F474&lt;&gt;0,SUM($F$43:F474),0)</f>
        <v>0</v>
      </c>
      <c r="H474" s="1130" cm="1">
        <f t="array" ref="H474">IFERROR(IF(A474=A473,0,SUM(_xlfn._xlws.FILTER(E474:E484,(A474:A484=A474)*(E474:E484&gt;0)))),0)</f>
        <v>0</v>
      </c>
      <c r="I474" s="1130" cm="1">
        <f t="array" ref="I474">IFERROR(IF(A474=A473,0,SUM(_xlfn._xlws.FILTER(E474:E484,(A474:A484=A474)*(F474&lt;0)))),0)</f>
        <v>0</v>
      </c>
      <c r="J474"/>
      <c r="K474"/>
      <c r="L474"/>
      <c r="M474"/>
      <c r="N474"/>
    </row>
    <row r="475" spans="1:14" hidden="1">
      <c r="A475" s="466">
        <v>45902</v>
      </c>
      <c r="B475" s="448" t="s">
        <v>18</v>
      </c>
      <c r="C475" s="468">
        <v>5000</v>
      </c>
      <c r="D475" s="650">
        <v>-14.82</v>
      </c>
      <c r="E475" s="1128">
        <f ca="1">IFERROR(C475*D475*_xlfn.XLOOKUP(B475,TabCalc[Ticker],TabCalc[Scale]),0)</f>
        <v>-74100</v>
      </c>
      <c r="F475" s="1129" cm="1">
        <f t="array" aca="1" ref="F475" ca="1">IF(A475=A474,0,SUM(_xlfn._xlws.FILTER(E475:E485,A475:A485=A475)))</f>
        <v>-507190</v>
      </c>
      <c r="G475" s="1130">
        <f ca="1">IF(F475&lt;&gt;0,SUM($F$43:F475),0)</f>
        <v>-3914533.5825729994</v>
      </c>
      <c r="H475" s="1130" cm="1">
        <f t="array" aca="1" ref="H475" ca="1">IFERROR(IF(A475=A474,0,SUM(_xlfn._xlws.FILTER(E475:E485,(A475:A485=A475)*(E475:E485&gt;0)))),0)</f>
        <v>0</v>
      </c>
      <c r="I475" s="1130" cm="1">
        <f t="array" aca="1" ref="I475" ca="1">IFERROR(IF(A475=A474,0,SUM(_xlfn._xlws.FILTER(E475:E485,(A475:A485=A475)*(F475&lt;0)))),0)</f>
        <v>-507190</v>
      </c>
      <c r="J475" s="295" t="str">
        <f ca="1">IFERROR(_xlfn.XLOOKUP(B475,TabCalc[Ticker],TabCalc[Cur]),"")</f>
        <v>EUR</v>
      </c>
      <c r="K475" s="1129" cm="1">
        <f t="array" aca="1" ref="K475" ca="1">IFERROR(IF($A475=$A474,0,SUM(_xlfn._xlws.FILTER($E475:$E485,($A475:$A485=$A475)*($J475:$J485=K$42)))),0)</f>
        <v>-459100</v>
      </c>
      <c r="L475" s="1129" cm="1">
        <f t="array" aca="1" ref="L475" ca="1">IFERROR(IF($A475=$A474,0,SUM(_xlfn._xlws.FILTER($E475:$E485,($A475:$A485=$A475)*($J475:$J485=L$42)))),0)</f>
        <v>0</v>
      </c>
      <c r="M475" s="1129" cm="1">
        <f t="array" aca="1" ref="M475" ca="1">IFERROR(IF($A475=$A474,0,SUM(_xlfn._xlws.FILTER($E475:$E485,($A475:$A485=$A475)*($J475:$J485=M$42)))),0)</f>
        <v>-48090</v>
      </c>
      <c r="N475" s="1129" cm="1">
        <f t="array" aca="1" ref="N475" ca="1">IFERROR(IF($A475=$A474,0,SUM(_xlfn._xlws.FILTER($E475:$E485,($A475:$A485=$A475)*($J475:$J485=N$42)))),0)</f>
        <v>0</v>
      </c>
    </row>
    <row r="476" spans="1:14" hidden="1">
      <c r="A476" s="466">
        <v>45902</v>
      </c>
      <c r="B476" s="448" t="s">
        <v>77</v>
      </c>
      <c r="C476" s="468">
        <v>10000</v>
      </c>
      <c r="D476" s="650">
        <v>-480.9</v>
      </c>
      <c r="E476" s="1128">
        <f ca="1">IFERROR(C476*D476*_xlfn.XLOOKUP(B476,TabCalc[Ticker],TabCalc[Scale]),0)</f>
        <v>-48090</v>
      </c>
      <c r="F476" s="1129" cm="1">
        <f t="array" ref="F476">IF(A476=A475,0,SUM(_xlfn._xlws.FILTER(E476:E486,A476:A486=A476)))</f>
        <v>0</v>
      </c>
      <c r="G476" s="1130">
        <f>IF(F476&lt;&gt;0,SUM($F$43:F476),0)</f>
        <v>0</v>
      </c>
      <c r="H476" s="1130" cm="1">
        <f t="array" ref="H476">IFERROR(IF(A476=A475,0,SUM(_xlfn._xlws.FILTER(E476:E486,(A476:A486=A476)*(E476:E486&gt;0)))),0)</f>
        <v>0</v>
      </c>
      <c r="I476" s="1130" cm="1">
        <f t="array" ref="I476">IFERROR(IF(A476=A475,0,SUM(_xlfn._xlws.FILTER(E476:E486,(A476:A486=A476)*(F476&lt;0)))),0)</f>
        <v>0</v>
      </c>
      <c r="J476" s="295" t="str">
        <f ca="1">IFERROR(_xlfn.XLOOKUP(B476,TabCalc[Ticker],TabCalc[Cur]),"")</f>
        <v>GBp</v>
      </c>
      <c r="K476" s="1129" cm="1">
        <f t="array" ref="K476">IFERROR(IF($A476=$A475,0,SUM(_xlfn._xlws.FILTER($E476:$E486,($A476:$A486=$A476)*($J476:$J486=K$42)))),0)</f>
        <v>0</v>
      </c>
      <c r="L476" s="1129" cm="1">
        <f t="array" ref="L476">IFERROR(IF($A476=$A475,0,SUM(_xlfn._xlws.FILTER($E476:$E486,($A476:$A486=$A476)*($J476:$J486=L$42)))),0)</f>
        <v>0</v>
      </c>
      <c r="M476" s="1129" cm="1">
        <f t="array" ref="M476">IFERROR(IF($A476=$A475,0,SUM(_xlfn._xlws.FILTER($E476:$E486,($A476:$A486=$A476)*($J476:$J486=M$42)))),0)</f>
        <v>0</v>
      </c>
      <c r="N476" s="1129" cm="1">
        <f t="array" ref="N476">IFERROR(IF($A476=$A475,0,SUM(_xlfn._xlws.FILTER($E476:$E486,($A476:$A486=$A476)*($J476:$J486=N$42)))),0)</f>
        <v>0</v>
      </c>
    </row>
    <row r="477" spans="1:14" hidden="1">
      <c r="A477" s="466">
        <v>45902</v>
      </c>
      <c r="B477" s="448" t="s">
        <v>16</v>
      </c>
      <c r="C477" s="468">
        <v>5000</v>
      </c>
      <c r="D477" s="650">
        <v>-14.78</v>
      </c>
      <c r="E477" s="1128">
        <f ca="1">IFERROR(C477*D477*_xlfn.XLOOKUP(B477,TabCalc[Ticker],TabCalc[Scale]),0)</f>
        <v>-73900</v>
      </c>
      <c r="F477" s="1129" cm="1">
        <f t="array" ref="F477">IF(A477=A476,0,SUM(_xlfn._xlws.FILTER(E477:E487,A477:A487=A477)))</f>
        <v>0</v>
      </c>
      <c r="G477" s="1130">
        <f>IF(F477&lt;&gt;0,SUM($F$43:F477),0)</f>
        <v>0</v>
      </c>
      <c r="H477" s="1130" cm="1">
        <f t="array" ref="H477">IFERROR(IF(A477=A476,0,SUM(_xlfn._xlws.FILTER(E477:E487,(A477:A487=A477)*(E477:E487&gt;0)))),0)</f>
        <v>0</v>
      </c>
      <c r="I477" s="1130" cm="1">
        <f t="array" ref="I477">IFERROR(IF(A477=A476,0,SUM(_xlfn._xlws.FILTER(E477:E487,(A477:A487=A477)*(F477&lt;0)))),0)</f>
        <v>0</v>
      </c>
      <c r="J477" s="295" t="str">
        <f ca="1">IFERROR(_xlfn.XLOOKUP(B477,TabCalc[Ticker],TabCalc[Cur]),"")</f>
        <v>EUR</v>
      </c>
      <c r="K477" s="1129" cm="1">
        <f t="array" ref="K477">IFERROR(IF($A477=$A476,0,SUM(_xlfn._xlws.FILTER($E477:$E487,($A477:$A487=$A477)*($J477:$J487=K$42)))),0)</f>
        <v>0</v>
      </c>
      <c r="L477" s="1129" cm="1">
        <f t="array" ref="L477">IFERROR(IF($A477=$A476,0,SUM(_xlfn._xlws.FILTER($E477:$E487,($A477:$A487=$A477)*($J477:$J487=L$42)))),0)</f>
        <v>0</v>
      </c>
      <c r="M477" s="1129" cm="1">
        <f t="array" ref="M477">IFERROR(IF($A477=$A476,0,SUM(_xlfn._xlws.FILTER($E477:$E487,($A477:$A487=$A477)*($J477:$J487=M$42)))),0)</f>
        <v>0</v>
      </c>
      <c r="N477" s="1129" cm="1">
        <f t="array" ref="N477">IFERROR(IF($A477=$A476,0,SUM(_xlfn._xlws.FILTER($E477:$E487,($A477:$A487=$A477)*($J477:$J487=N$42)))),0)</f>
        <v>0</v>
      </c>
    </row>
    <row r="478" spans="1:14" hidden="1">
      <c r="A478" s="466">
        <v>45902</v>
      </c>
      <c r="B478" s="448" t="s">
        <v>32</v>
      </c>
      <c r="C478" s="468">
        <v>500</v>
      </c>
      <c r="D478" s="650">
        <v>-622.20000000000005</v>
      </c>
      <c r="E478" s="1128">
        <f ca="1">IFERROR(C478*D478*_xlfn.XLOOKUP(B478,TabCalc[Ticker],TabCalc[Scale]),0)</f>
        <v>-311100</v>
      </c>
      <c r="F478" s="1129" cm="1">
        <f t="array" ref="F478">IF(A478=A477,0,SUM(_xlfn._xlws.FILTER(E478:E488,A478:A488=A478)))</f>
        <v>0</v>
      </c>
      <c r="G478" s="1130">
        <f>IF(F478&lt;&gt;0,SUM($F$43:F478),0)</f>
        <v>0</v>
      </c>
      <c r="H478" s="1130" cm="1">
        <f t="array" ref="H478">IFERROR(IF(A478=A477,0,SUM(_xlfn._xlws.FILTER(E478:E488,(A478:A488=A478)*(E478:E488&gt;0)))),0)</f>
        <v>0</v>
      </c>
      <c r="I478" s="1130" cm="1">
        <f t="array" ref="I478">IFERROR(IF(A478=A477,0,SUM(_xlfn._xlws.FILTER(E478:E488,(A478:A488=A478)*(F478&lt;0)))),0)</f>
        <v>0</v>
      </c>
      <c r="J478" s="295" t="str">
        <f ca="1">IFERROR(_xlfn.XLOOKUP(B478,TabCalc[Ticker],TabCalc[Cur]),"")</f>
        <v>EUR</v>
      </c>
      <c r="K478" s="1129" cm="1">
        <f t="array" ref="K478">IFERROR(IF($A478=$A477,0,SUM(_xlfn._xlws.FILTER($E478:$E488,($A478:$A488=$A478)*($J478:$J488=K$42)))),0)</f>
        <v>0</v>
      </c>
      <c r="L478" s="1129" cm="1">
        <f t="array" ref="L478">IFERROR(IF($A478=$A477,0,SUM(_xlfn._xlws.FILTER($E478:$E488,($A478:$A488=$A478)*($J478:$J488=L$42)))),0)</f>
        <v>0</v>
      </c>
      <c r="M478" s="1129" cm="1">
        <f t="array" ref="M478">IFERROR(IF($A478=$A477,0,SUM(_xlfn._xlws.FILTER($E478:$E488,($A478:$A488=$A478)*($J478:$J488=M$42)))),0)</f>
        <v>0</v>
      </c>
      <c r="N478" s="1129" cm="1">
        <f t="array" ref="N478">IFERROR(IF($A478=$A477,0,SUM(_xlfn._xlws.FILTER($E478:$E488,($A478:$A488=$A478)*($J478:$J488=N$42)))),0)</f>
        <v>0</v>
      </c>
    </row>
    <row r="479" spans="1:14" hidden="1">
      <c r="A479" s="466">
        <v>45904</v>
      </c>
      <c r="B479" s="448" t="s">
        <v>48</v>
      </c>
      <c r="C479" s="468">
        <v>1010</v>
      </c>
      <c r="D479" s="650">
        <v>61.8</v>
      </c>
      <c r="E479" s="1128">
        <f ca="1">IFERROR(C479*D479*_xlfn.XLOOKUP(B479,TabCalc[Ticker],TabCalc[Scale]),0)</f>
        <v>62418</v>
      </c>
      <c r="F479" s="1129" cm="1">
        <f t="array" aca="1" ref="F479" ca="1">IF(A479=A478,0,SUM(_xlfn._xlws.FILTER(E479:E489,A479:A489=A479)))</f>
        <v>62418</v>
      </c>
      <c r="G479" s="1130">
        <f ca="1">IF(F479&lt;&gt;0,SUM($F$43:F479),0)</f>
        <v>-3852115.5825729994</v>
      </c>
      <c r="H479" s="1130" cm="1">
        <f t="array" aca="1" ref="H479" ca="1">IFERROR(IF(A479=A478,0,SUM(_xlfn._xlws.FILTER(E479:E489,(A479:A489=A479)*(E479:E489&gt;0)))),0)</f>
        <v>62418</v>
      </c>
      <c r="I479" s="1130" cm="1">
        <f t="array" aca="1" ref="I479" ca="1">IFERROR(IF(A479=A478,0,SUM(_xlfn._xlws.FILTER(E479:E489,(A479:A489=A479)*(F479&lt;0)))),0)</f>
        <v>0</v>
      </c>
      <c r="J479" s="295" t="str">
        <f ca="1">IFERROR(_xlfn.XLOOKUP(B479,TabCalc[Ticker],TabCalc[Cur]),"")</f>
        <v>CHF</v>
      </c>
      <c r="K479" s="1129" cm="1">
        <f t="array" aca="1" ref="K479" ca="1">IFERROR(IF($A479=$A478,0,SUM(_xlfn._xlws.FILTER($E479:$E489,($A479:$A489=$A479)*($J479:$J489=K$42)))),0)</f>
        <v>0</v>
      </c>
      <c r="L479" s="1129" cm="1">
        <f t="array" aca="1" ref="L479" ca="1">IFERROR(IF($A479=$A478,0,SUM(_xlfn._xlws.FILTER($E479:$E489,($A479:$A489=$A479)*($J479:$J489=L$42)))),0)</f>
        <v>0</v>
      </c>
      <c r="M479" s="1129" cm="1">
        <f t="array" aca="1" ref="M479" ca="1">IFERROR(IF($A479=$A478,0,SUM(_xlfn._xlws.FILTER($E479:$E489,($A479:$A489=$A479)*($J479:$J489=M$42)))),0)</f>
        <v>0</v>
      </c>
      <c r="N479" s="1129" cm="1">
        <f t="array" aca="1" ref="N479" ca="1">IFERROR(IF($A479=$A478,0,SUM(_xlfn._xlws.FILTER($E479:$E489,($A479:$A489=$A479)*($J479:$J489=N$42)))),0)</f>
        <v>62418</v>
      </c>
    </row>
    <row r="480" spans="1:14" ht="23" hidden="1" thickBot="1">
      <c r="A480" s="968">
        <v>45905</v>
      </c>
      <c r="B480" s="449" t="s">
        <v>73</v>
      </c>
      <c r="C480" s="1003">
        <v>54</v>
      </c>
      <c r="D480" s="969">
        <v>660.2</v>
      </c>
      <c r="E480" s="1128">
        <f ca="1">IFERROR(C480*D480*_xlfn.XLOOKUP(B480,TabCalc[Ticker],TabCalc[Scale]),0)</f>
        <v>35650.800000000003</v>
      </c>
      <c r="F480" s="1129" cm="1">
        <f t="array" aca="1" ref="F480" ca="1">IF(A480=A479,0,SUM(_xlfn._xlws.FILTER(E480:E490,A480:A490=A480)))</f>
        <v>35650.800000000003</v>
      </c>
      <c r="G480" s="1130">
        <f ca="1">IF(F480&lt;&gt;0,SUM($F$43:F480),0)</f>
        <v>-3816464.7825729996</v>
      </c>
      <c r="H480" s="1130" cm="1">
        <f t="array" aca="1" ref="H480" ca="1">IFERROR(IF(A480=A479,0,SUM(_xlfn._xlws.FILTER(E480:E490,(A480:A490=A480)*(E480:E490&gt;0)))),0)</f>
        <v>35650.800000000003</v>
      </c>
      <c r="I480" s="1130" cm="1">
        <f t="array" aca="1" ref="I480" ca="1">IFERROR(IF(A480=A479,0,SUM(_xlfn._xlws.FILTER(E480:E490,(A480:A490=A480)*(F480&lt;0)))),0)</f>
        <v>0</v>
      </c>
      <c r="J480" s="295" t="str">
        <f ca="1">IFERROR(_xlfn.XLOOKUP(B480,TabCalc[Ticker],TabCalc[Cur]),"")</f>
        <v>EUR</v>
      </c>
      <c r="K480" s="1129" cm="1">
        <f t="array" aca="1" ref="K480" ca="1">IFERROR(IF($A480=$A479,0,SUM(_xlfn._xlws.FILTER($E480:$E490,($A480:$A490=$A480)*($J480:$J490=K$42)))),0)</f>
        <v>35650.800000000003</v>
      </c>
      <c r="L480" s="1129" cm="1">
        <f t="array" aca="1" ref="L480" ca="1">IFERROR(IF($A480=$A479,0,SUM(_xlfn._xlws.FILTER($E480:$E490,($A480:$A490=$A480)*($J480:$J490=L$42)))),0)</f>
        <v>0</v>
      </c>
      <c r="M480" s="1129" cm="1">
        <f t="array" aca="1" ref="M480" ca="1">IFERROR(IF($A480=$A479,0,SUM(_xlfn._xlws.FILTER($E480:$E490,($A480:$A490=$A480)*($J480:$J490=M$42)))),0)</f>
        <v>0</v>
      </c>
      <c r="N480" s="1129" cm="1">
        <f t="array" aca="1" ref="N480" ca="1">IFERROR(IF($A480=$A479,0,SUM(_xlfn._xlws.FILTER($E480:$E490,($A480:$A490=$A480)*($J480:$J490=N$42)))),0)</f>
        <v>0</v>
      </c>
    </row>
    <row r="481" spans="1:14" hidden="1">
      <c r="A481" s="466">
        <v>45908</v>
      </c>
      <c r="B481" s="448" t="s">
        <v>32</v>
      </c>
      <c r="C481" s="448">
        <v>200</v>
      </c>
      <c r="D481" s="650">
        <v>667.2</v>
      </c>
      <c r="E481" s="1128">
        <f ca="1">IFERROR(C481*D481*_xlfn.XLOOKUP(B481,TabCalc[Ticker],TabCalc[Scale]),0)</f>
        <v>133440</v>
      </c>
      <c r="F481" s="1129" cm="1">
        <f t="array" aca="1" ref="F481" ca="1">IF(A481=A480,0,SUM(_xlfn._xlws.FILTER(E481:E491,A481:A491=A481)))</f>
        <v>133440</v>
      </c>
      <c r="G481" s="1130">
        <f ca="1">IF(F481&lt;&gt;0,SUM($F$43:F481),0)</f>
        <v>-3683024.7825729996</v>
      </c>
      <c r="H481" s="1130" cm="1">
        <f t="array" aca="1" ref="H481" ca="1">IFERROR(IF(A481=A480,0,SUM(_xlfn._xlws.FILTER(E481:E491,(A481:A491=A481)*(E481:E491&gt;0)))),0)</f>
        <v>133440</v>
      </c>
      <c r="I481" s="1130" cm="1">
        <f t="array" aca="1" ref="I481" ca="1">IFERROR(IF(A481=A480,0,SUM(_xlfn._xlws.FILTER(E481:E491,(A481:A491=A481)*(F481&lt;0)))),0)</f>
        <v>0</v>
      </c>
      <c r="J481" s="295" t="str">
        <f ca="1">IFERROR(_xlfn.XLOOKUP(B481,TabCalc[Ticker],TabCalc[Cur]),"")</f>
        <v>EUR</v>
      </c>
      <c r="K481" s="1129" cm="1">
        <f t="array" aca="1" ref="K481" ca="1">IFERROR(IF($A481=$A480,0,SUM(_xlfn._xlws.FILTER($E481:$E491,($A481:$A491=$A481)*($J481:$J491=K$42)))),0)</f>
        <v>133440</v>
      </c>
      <c r="L481" s="1129" cm="1">
        <f t="array" aca="1" ref="L481" ca="1">IFERROR(IF($A481=$A480,0,SUM(_xlfn._xlws.FILTER($E481:$E491,($A481:$A491=$A481)*($J481:$J491=L$42)))),0)</f>
        <v>0</v>
      </c>
      <c r="M481" s="1129" cm="1">
        <f t="array" aca="1" ref="M481" ca="1">IFERROR(IF($A481=$A480,0,SUM(_xlfn._xlws.FILTER($E481:$E491,($A481:$A491=$A481)*($J481:$J491=M$42)))),0)</f>
        <v>0</v>
      </c>
      <c r="N481" s="1129" cm="1">
        <f t="array" aca="1" ref="N481" ca="1">IFERROR(IF($A481=$A480,0,SUM(_xlfn._xlws.FILTER($E481:$E491,($A481:$A491=$A481)*($J481:$J491=N$42)))),0)</f>
        <v>0</v>
      </c>
    </row>
    <row r="482" spans="1:14" ht="23" hidden="1" thickBot="1">
      <c r="A482" s="968">
        <v>45909</v>
      </c>
      <c r="B482" s="449" t="s">
        <v>88</v>
      </c>
      <c r="C482" s="1003">
        <v>250</v>
      </c>
      <c r="D482" s="969">
        <v>194.28</v>
      </c>
      <c r="E482" s="1128">
        <f ca="1">IFERROR(C482*D482*_xlfn.XLOOKUP(B482,TabCalc[Ticker],TabCalc[Scale]),0)</f>
        <v>48570</v>
      </c>
      <c r="F482" s="1129" cm="1">
        <f t="array" aca="1" ref="F482" ca="1">IF(A482=A481,0,SUM(_xlfn._xlws.FILTER(E482:E492,A482:A492=A482)))</f>
        <v>48570</v>
      </c>
      <c r="G482" s="1130">
        <f ca="1">IF(F482&lt;&gt;0,SUM($F$43:F482),0)</f>
        <v>-3634454.7825729996</v>
      </c>
      <c r="H482" s="1130" cm="1">
        <f t="array" aca="1" ref="H482" ca="1">IFERROR(IF(A482=A481,0,SUM(_xlfn._xlws.FILTER(E482:E492,(A482:A492=A482)*(E482:E492&gt;0)))),0)</f>
        <v>48570</v>
      </c>
      <c r="I482" s="1130" cm="1">
        <f t="array" aca="1" ref="I482" ca="1">IFERROR(IF(A482=A481,0,SUM(_xlfn._xlws.FILTER(E482:E492,(A482:A492=A482)*(F482&lt;0)))),0)</f>
        <v>0</v>
      </c>
      <c r="J482" s="295" t="str">
        <f ca="1">IFERROR(_xlfn.XLOOKUP(B482,TabCalc[Ticker],TabCalc[Cur]),"")</f>
        <v>USD</v>
      </c>
      <c r="K482" s="1129" cm="1">
        <f t="array" aca="1" ref="K482" ca="1">IFERROR(IF($A482=$A481,0,SUM(_xlfn._xlws.FILTER($E482:$E492,($A482:$A492=$A482)*($J482:$J492=K$42)))),0)</f>
        <v>0</v>
      </c>
      <c r="L482" s="1129" cm="1">
        <f t="array" aca="1" ref="L482" ca="1">IFERROR(IF($A482=$A481,0,SUM(_xlfn._xlws.FILTER($E482:$E492,($A482:$A492=$A482)*($J482:$J492=L$42)))),0)</f>
        <v>48570</v>
      </c>
      <c r="M482" s="1129" cm="1">
        <f t="array" aca="1" ref="M482" ca="1">IFERROR(IF($A482=$A481,0,SUM(_xlfn._xlws.FILTER($E482:$E492,($A482:$A492=$A482)*($J482:$J492=M$42)))),0)</f>
        <v>0</v>
      </c>
      <c r="N482" s="1129" cm="1">
        <f t="array" aca="1" ref="N482" ca="1">IFERROR(IF($A482=$A481,0,SUM(_xlfn._xlws.FILTER($E482:$E492,($A482:$A492=$A482)*($J482:$J492=N$42)))),0)</f>
        <v>0</v>
      </c>
    </row>
    <row r="483" spans="1:14" hidden="1">
      <c r="A483" s="466">
        <v>45910</v>
      </c>
      <c r="B483" s="448" t="s">
        <v>79</v>
      </c>
      <c r="C483" s="448">
        <v>2000</v>
      </c>
      <c r="D483" s="650">
        <v>11.41</v>
      </c>
      <c r="E483" s="1128">
        <f ca="1">IFERROR(C483*D483*_xlfn.XLOOKUP(B483,TabCalc[Ticker],TabCalc[Scale]),0)</f>
        <v>22820</v>
      </c>
      <c r="F483" s="1129" cm="1">
        <f t="array" aca="1" ref="F483" ca="1">IF(A483=A482,0,SUM(_xlfn._xlws.FILTER(E483:E493,A483:A493=A483)))</f>
        <v>-344649.147</v>
      </c>
      <c r="G483" s="1130">
        <f ca="1">IF(F483&lt;&gt;0,SUM($F$43:F483),0)</f>
        <v>-3979103.9295729995</v>
      </c>
      <c r="H483" s="1130" cm="1">
        <f t="array" aca="1" ref="H483" ca="1">IFERROR(IF(A483=A482,0,SUM(_xlfn._xlws.FILTER(E483:E493,(A483:A493=A483)*(E483:E493&gt;0)))),0)</f>
        <v>32070.625</v>
      </c>
      <c r="I483" s="1130" cm="1">
        <f t="array" aca="1" ref="I483" ca="1">IFERROR(IF(A483=A482,0,SUM(_xlfn._xlws.FILTER(E483:E493,(A483:A493=A483)*(F483&lt;0)))),0)</f>
        <v>-344649.147</v>
      </c>
      <c r="J483" s="295" t="str">
        <f ca="1">IFERROR(_xlfn.XLOOKUP(B483,TabCalc[Ticker],TabCalc[Cur]),"")</f>
        <v>USD</v>
      </c>
      <c r="K483" s="1129" cm="1">
        <f t="array" aca="1" ref="K483" ca="1">IFERROR(IF($A483=$A482,0,SUM(_xlfn._xlws.FILTER($E483:$E493,($A483:$A493=$A483)*($J483:$J493=K$42)))),0)</f>
        <v>0</v>
      </c>
      <c r="L483" s="1129" cm="1">
        <f t="array" aca="1" ref="L483" ca="1">IFERROR(IF($A483=$A482,0,SUM(_xlfn._xlws.FILTER($E483:$E493,($A483:$A493=$A483)*($J483:$J493=L$42)))),0)</f>
        <v>-344649.147</v>
      </c>
      <c r="M483" s="1129" cm="1">
        <f t="array" aca="1" ref="M483" ca="1">IFERROR(IF($A483=$A482,0,SUM(_xlfn._xlws.FILTER($E483:$E493,($A483:$A493=$A483)*($J483:$J493=M$42)))),0)</f>
        <v>0</v>
      </c>
      <c r="N483" s="1129" cm="1">
        <f t="array" aca="1" ref="N483" ca="1">IFERROR(IF($A483=$A482,0,SUM(_xlfn._xlws.FILTER($E483:$E493,($A483:$A493=$A483)*($J483:$J493=N$42)))),0)</f>
        <v>0</v>
      </c>
    </row>
    <row r="484" spans="1:14" hidden="1">
      <c r="A484" s="466">
        <v>45910</v>
      </c>
      <c r="B484" s="448" t="s">
        <v>8</v>
      </c>
      <c r="C484" s="448">
        <v>95</v>
      </c>
      <c r="D484" s="650">
        <v>97.375</v>
      </c>
      <c r="E484" s="1128">
        <f ca="1">IFERROR(C484*D484*_xlfn.XLOOKUP(B484,TabCalc[Ticker],TabCalc[Scale]),0)</f>
        <v>9250.625</v>
      </c>
      <c r="F484" s="1129" cm="1">
        <f t="array" ref="F484">IF(A484=A483,0,SUM(_xlfn._xlws.FILTER(E484:E494,A484:A494=A484)))</f>
        <v>0</v>
      </c>
      <c r="G484" s="1130">
        <f>IF(F484&lt;&gt;0,SUM($F$43:F484),0)</f>
        <v>0</v>
      </c>
      <c r="H484" s="1130" cm="1">
        <f t="array" ref="H484">IFERROR(IF(A484=A483,0,SUM(_xlfn._xlws.FILTER(E484:E494,(A484:A494=A484)*(E484:E494&gt;0)))),0)</f>
        <v>0</v>
      </c>
      <c r="I484" s="1130" cm="1">
        <f t="array" ref="I484">IFERROR(IF(A484=A483,0,SUM(_xlfn._xlws.FILTER(E484:E494,(A484:A494=A484)*(F484&lt;0)))),0)</f>
        <v>0</v>
      </c>
      <c r="J484" s="295" t="str">
        <f ca="1">IFERROR(_xlfn.XLOOKUP(B484,TabCalc[Ticker],TabCalc[Cur]),"")</f>
        <v>USD</v>
      </c>
      <c r="K484" s="1129" cm="1">
        <f t="array" ref="K484">IFERROR(IF($A484=$A483,0,SUM(_xlfn._xlws.FILTER($E484:$E494,($A484:$A494=$A484)*($J484:$J494=K$42)))),0)</f>
        <v>0</v>
      </c>
      <c r="L484" s="1129" cm="1">
        <f t="array" ref="L484">IFERROR(IF($A484=$A483,0,SUM(_xlfn._xlws.FILTER($E484:$E494,($A484:$A494=$A484)*($J484:$J494=L$42)))),0)</f>
        <v>0</v>
      </c>
      <c r="M484" s="1129" cm="1">
        <f t="array" ref="M484">IFERROR(IF($A484=$A483,0,SUM(_xlfn._xlws.FILTER($E484:$E494,($A484:$A494=$A484)*($J484:$J494=M$42)))),0)</f>
        <v>0</v>
      </c>
      <c r="N484" s="1129" cm="1">
        <f t="array" ref="N484">IFERROR(IF($A484=$A483,0,SUM(_xlfn._xlws.FILTER($E484:$E494,($A484:$A494=$A484)*($J484:$J494=N$42)))),0)</f>
        <v>0</v>
      </c>
    </row>
    <row r="485" spans="1:14" hidden="1">
      <c r="A485" s="466">
        <v>45910</v>
      </c>
      <c r="B485" s="448" t="s">
        <v>28</v>
      </c>
      <c r="C485" s="448">
        <v>4000</v>
      </c>
      <c r="D485" s="650">
        <v>-71.000443000000004</v>
      </c>
      <c r="E485" s="1128">
        <f ca="1">IFERROR(C485*D485*_xlfn.XLOOKUP(B485,TabCalc[Ticker],TabCalc[Scale]),0)</f>
        <v>-284001.772</v>
      </c>
      <c r="F485" s="1129" cm="1">
        <f t="array" ref="F485">IF(A485=A484,0,SUM(_xlfn._xlws.FILTER(E485:E495,A485:A495=A485)))</f>
        <v>0</v>
      </c>
      <c r="G485" s="1130">
        <f>IF(F485&lt;&gt;0,SUM($F$43:F485),0)</f>
        <v>0</v>
      </c>
      <c r="H485" s="1130" cm="1">
        <f t="array" ref="H485">IFERROR(IF(A485=A484,0,SUM(_xlfn._xlws.FILTER(E485:E495,(A485:A495=A485)*(E485:E495&gt;0)))),0)</f>
        <v>0</v>
      </c>
      <c r="I485" s="1130" cm="1">
        <f t="array" ref="I485">IFERROR(IF(A485=A484,0,SUM(_xlfn._xlws.FILTER(E485:E495,(A485:A495=A485)*(F485&lt;0)))),0)</f>
        <v>0</v>
      </c>
      <c r="J485" s="295" t="str">
        <f ca="1">IFERROR(_xlfn.XLOOKUP(B485,TabCalc[Ticker],TabCalc[Cur]),"")</f>
        <v>USD</v>
      </c>
      <c r="K485" s="1129" cm="1">
        <f t="array" ref="K485">IFERROR(IF($A485=$A484,0,SUM(_xlfn._xlws.FILTER($E485:$E495,($A485:$A495=$A485)*($J485:$J495=K$42)))),0)</f>
        <v>0</v>
      </c>
      <c r="L485" s="1129" cm="1">
        <f t="array" ref="L485">IFERROR(IF($A485=$A484,0,SUM(_xlfn._xlws.FILTER($E485:$E495,($A485:$A495=$A485)*($J485:$J495=L$42)))),0)</f>
        <v>0</v>
      </c>
      <c r="M485" s="1129" cm="1">
        <f t="array" ref="M485">IFERROR(IF($A485=$A484,0,SUM(_xlfn._xlws.FILTER($E485:$E495,($A485:$A495=$A485)*($J485:$J495=M$42)))),0)</f>
        <v>0</v>
      </c>
      <c r="N485" s="1129" cm="1">
        <f t="array" ref="N485">IFERROR(IF($A485=$A484,0,SUM(_xlfn._xlws.FILTER($E485:$E495,($A485:$A495=$A485)*($J485:$J495=N$42)))),0)</f>
        <v>0</v>
      </c>
    </row>
    <row r="486" spans="1:14" hidden="1">
      <c r="A486" s="466">
        <v>45910</v>
      </c>
      <c r="B486" s="448" t="s">
        <v>12</v>
      </c>
      <c r="C486" s="448">
        <v>800</v>
      </c>
      <c r="D486" s="650">
        <v>-115.89749999999999</v>
      </c>
      <c r="E486" s="1128">
        <f ca="1">IFERROR(C486*D486*_xlfn.XLOOKUP(B486,TabCalc[Ticker],TabCalc[Scale]),0)</f>
        <v>-92718</v>
      </c>
      <c r="F486" s="1129" cm="1">
        <f t="array" ref="F486">IF(A486=A485,0,SUM(_xlfn._xlws.FILTER(E486:E496,A486:A496=A486)))</f>
        <v>0</v>
      </c>
      <c r="G486" s="1130">
        <f>IF(F486&lt;&gt;0,SUM($F$43:F486),0)</f>
        <v>0</v>
      </c>
      <c r="H486" s="1130" cm="1">
        <f t="array" ref="H486">IFERROR(IF(A486=A485,0,SUM(_xlfn._xlws.FILTER(E486:E496,(A486:A496=A486)*(E486:E496&gt;0)))),0)</f>
        <v>0</v>
      </c>
      <c r="I486" s="1130" cm="1">
        <f t="array" ref="I486">IFERROR(IF(A486=A485,0,SUM(_xlfn._xlws.FILTER(E486:E496,(A486:A496=A486)*(F486&lt;0)))),0)</f>
        <v>0</v>
      </c>
      <c r="J486" s="295" t="str">
        <f ca="1">IFERROR(_xlfn.XLOOKUP(B486,TabCalc[Ticker],TabCalc[Cur]),"")</f>
        <v>USD</v>
      </c>
      <c r="K486" s="1129" cm="1">
        <f t="array" ref="K486">IFERROR(IF($A486=$A485,0,SUM(_xlfn._xlws.FILTER($E486:$E496,($A486:$A496=$A486)*($J486:$J496=K$42)))),0)</f>
        <v>0</v>
      </c>
      <c r="L486" s="1129" cm="1">
        <f t="array" ref="L486">IFERROR(IF($A486=$A485,0,SUM(_xlfn._xlws.FILTER($E486:$E496,($A486:$A496=$A486)*($J486:$J496=L$42)))),0)</f>
        <v>0</v>
      </c>
      <c r="M486" s="1129" cm="1">
        <f t="array" ref="M486">IFERROR(IF($A486=$A485,0,SUM(_xlfn._xlws.FILTER($E486:$E496,($A486:$A496=$A486)*($J486:$J496=M$42)))),0)</f>
        <v>0</v>
      </c>
      <c r="N486" s="1129" cm="1">
        <f t="array" ref="N486">IFERROR(IF($A486=$A485,0,SUM(_xlfn._xlws.FILTER($E486:$E496,($A486:$A496=$A486)*($J486:$J496=N$42)))),0)</f>
        <v>0</v>
      </c>
    </row>
    <row r="487" spans="1:14" hidden="1">
      <c r="A487" s="466">
        <v>45911</v>
      </c>
      <c r="B487" s="448" t="s">
        <v>0</v>
      </c>
      <c r="C487" s="448">
        <v>300</v>
      </c>
      <c r="D487" s="650">
        <v>230.35</v>
      </c>
      <c r="E487" s="1128">
        <f ca="1">IFERROR(C487*D487*_xlfn.XLOOKUP(B487,TabCalc[Ticker],TabCalc[Scale]),0)</f>
        <v>69105</v>
      </c>
      <c r="F487" s="1129" cm="1">
        <f t="array" aca="1" ref="F487" ca="1">IF(A487=A486,0,SUM(_xlfn._xlws.FILTER(E487:E497,A487:A497=A487)))</f>
        <v>138168</v>
      </c>
      <c r="G487" s="1130">
        <f ca="1">IF(F487&lt;&gt;0,SUM($F$43:F487),0)</f>
        <v>-3840935.9295729995</v>
      </c>
      <c r="H487" s="1130" cm="1">
        <f t="array" aca="1" ref="H487" ca="1">IFERROR(IF(A487=A486,0,SUM(_xlfn._xlws.FILTER(E487:E497,(A487:A497=A487)*(E487:E497&gt;0)))),0)</f>
        <v>138168</v>
      </c>
      <c r="I487" s="1130" cm="1">
        <f t="array" aca="1" ref="I487" ca="1">IFERROR(IF(A487=A486,0,SUM(_xlfn._xlws.FILTER(E487:E497,(A487:A497=A487)*(F487&lt;0)))),0)</f>
        <v>0</v>
      </c>
      <c r="J487" s="295" t="str">
        <f ca="1">IFERROR(_xlfn.XLOOKUP(B487,TabCalc[Ticker],TabCalc[Cur]),"")</f>
        <v>USD</v>
      </c>
      <c r="K487" s="1129" cm="1">
        <f t="array" aca="1" ref="K487" ca="1">IFERROR(IF($A487=$A486,0,SUM(_xlfn._xlws.FILTER($E487:$E497,($A487:$A497=$A487)*($J487:$J497=K$42)))),0)</f>
        <v>0</v>
      </c>
      <c r="L487" s="1129" cm="1">
        <f t="array" aca="1" ref="L487" ca="1">IFERROR(IF($A487=$A486,0,SUM(_xlfn._xlws.FILTER($E487:$E497,($A487:$A497=$A487)*($J487:$J497=L$42)))),0)</f>
        <v>138168</v>
      </c>
      <c r="M487" s="1129" cm="1">
        <f t="array" aca="1" ref="M487" ca="1">IFERROR(IF($A487=$A486,0,SUM(_xlfn._xlws.FILTER($E487:$E497,($A487:$A497=$A487)*($J487:$J497=M$42)))),0)</f>
        <v>0</v>
      </c>
      <c r="N487" s="1129" cm="1">
        <f t="array" aca="1" ref="N487" ca="1">IFERROR(IF($A487=$A486,0,SUM(_xlfn._xlws.FILTER($E487:$E497,($A487:$A497=$A487)*($J487:$J497=N$42)))),0)</f>
        <v>0</v>
      </c>
    </row>
    <row r="488" spans="1:14" ht="23" hidden="1" thickBot="1">
      <c r="A488" s="968">
        <v>45911</v>
      </c>
      <c r="B488" s="449" t="s">
        <v>66</v>
      </c>
      <c r="C488" s="1003">
        <v>300</v>
      </c>
      <c r="D488" s="969">
        <v>230.21</v>
      </c>
      <c r="E488" s="1128">
        <f ca="1">IFERROR(C488*D488*_xlfn.XLOOKUP(B488,TabCalc[Ticker],TabCalc[Scale]),0)</f>
        <v>69063</v>
      </c>
      <c r="F488" s="1129" cm="1">
        <f t="array" ref="F488">IF(A488=A487,0,SUM(_xlfn._xlws.FILTER(E488:E498,A488:A498=A488)))</f>
        <v>0</v>
      </c>
      <c r="G488" s="1130">
        <f>IF(F488&lt;&gt;0,SUM($F$43:F488),0)</f>
        <v>0</v>
      </c>
      <c r="H488" s="1130" cm="1">
        <f t="array" ref="H488">IFERROR(IF(A488=A487,0,SUM(_xlfn._xlws.FILTER(E488:E498,(A488:A498=A488)*(E488:E498&gt;0)))),0)</f>
        <v>0</v>
      </c>
      <c r="I488" s="1130" cm="1">
        <f t="array" ref="I488">IFERROR(IF(A488=A487,0,SUM(_xlfn._xlws.FILTER(E488:E498,(A488:A498=A488)*(F488&lt;0)))),0)</f>
        <v>0</v>
      </c>
      <c r="J488" s="295" t="str">
        <f ca="1">IFERROR(_xlfn.XLOOKUP(B488,TabCalc[Ticker],TabCalc[Cur]),"")</f>
        <v>USD</v>
      </c>
      <c r="K488" s="1129" cm="1">
        <f t="array" ref="K488">IFERROR(IF($A488=$A487,0,SUM(_xlfn._xlws.FILTER($E488:$E498,($A488:$A498=$A488)*($J488:$J498=K$42)))),0)</f>
        <v>0</v>
      </c>
      <c r="L488" s="1129" cm="1">
        <f t="array" ref="L488">IFERROR(IF($A488=$A487,0,SUM(_xlfn._xlws.FILTER($E488:$E498,($A488:$A498=$A488)*($J488:$J498=L$42)))),0)</f>
        <v>0</v>
      </c>
      <c r="M488" s="1129" cm="1">
        <f t="array" ref="M488">IFERROR(IF($A488=$A487,0,SUM(_xlfn._xlws.FILTER($E488:$E498,($A488:$A498=$A488)*($J488:$J498=M$42)))),0)</f>
        <v>0</v>
      </c>
      <c r="N488" s="1129" cm="1">
        <f t="array" ref="N488">IFERROR(IF($A488=$A487,0,SUM(_xlfn._xlws.FILTER($E488:$E498,($A488:$A498=$A488)*($J488:$J498=N$42)))),0)</f>
        <v>0</v>
      </c>
    </row>
    <row r="489" spans="1:14" hidden="1">
      <c r="A489" s="466">
        <v>45912</v>
      </c>
      <c r="B489" s="448" t="s">
        <v>16</v>
      </c>
      <c r="C489" s="448">
        <v>3750</v>
      </c>
      <c r="D489" s="650">
        <v>15.53</v>
      </c>
      <c r="E489" s="1128">
        <f ca="1">IFERROR(C489*D489*_xlfn.XLOOKUP(B489,TabCalc[Ticker],TabCalc[Scale]),0)</f>
        <v>58237.5</v>
      </c>
      <c r="F489" s="1129" cm="1">
        <f t="array" aca="1" ref="F489" ca="1">IF(A489=A488,0,SUM(_xlfn._xlws.FILTER(E489:E499,A489:A499=A489)))</f>
        <v>216757.5</v>
      </c>
      <c r="G489" s="1130">
        <f ca="1">IF(F489&lt;&gt;0,SUM($F$43:F489),0)</f>
        <v>-3624178.4295729995</v>
      </c>
      <c r="H489" s="1130" cm="1">
        <f t="array" aca="1" ref="H489" ca="1">IFERROR(IF(A489=A488,0,SUM(_xlfn._xlws.FILTER(E489:E499,(A489:A499=A489)*(E489:E499&gt;0)))),0)</f>
        <v>216757.5</v>
      </c>
      <c r="I489" s="1130" cm="1">
        <f t="array" aca="1" ref="I489" ca="1">IFERROR(IF(A489=A488,0,SUM(_xlfn._xlws.FILTER(E489:E499,(A489:A499=A489)*(F489&lt;0)))),0)</f>
        <v>0</v>
      </c>
      <c r="J489" s="295" t="str">
        <f ca="1">IFERROR(_xlfn.XLOOKUP(B489,TabCalc[Ticker],TabCalc[Cur]),"")</f>
        <v>EUR</v>
      </c>
      <c r="K489" s="1129" cm="1">
        <f t="array" aca="1" ref="K489" ca="1">IFERROR(IF($A489=$A488,0,SUM(_xlfn._xlws.FILTER($E489:$E499,($A489:$A499=$A489)*($J489:$J499=K$42)))),0)</f>
        <v>58237.5</v>
      </c>
      <c r="L489" s="1129" cm="1">
        <f t="array" aca="1" ref="L489" ca="1">IFERROR(IF($A489=$A488,0,SUM(_xlfn._xlws.FILTER($E489:$E499,($A489:$A499=$A489)*($J489:$J499=L$42)))),0)</f>
        <v>158520</v>
      </c>
      <c r="M489" s="1129" cm="1">
        <f t="array" aca="1" ref="M489" ca="1">IFERROR(IF($A489=$A488,0,SUM(_xlfn._xlws.FILTER($E489:$E499,($A489:$A499=$A489)*($J489:$J499=M$42)))),0)</f>
        <v>0</v>
      </c>
      <c r="N489" s="1129" cm="1">
        <f t="array" aca="1" ref="N489" ca="1">IFERROR(IF($A489=$A488,0,SUM(_xlfn._xlws.FILTER($E489:$E499,($A489:$A499=$A489)*($J489:$J499=N$42)))),0)</f>
        <v>0</v>
      </c>
    </row>
    <row r="490" spans="1:14" hidden="1">
      <c r="A490" s="466">
        <v>45912</v>
      </c>
      <c r="B490" s="448" t="s">
        <v>29</v>
      </c>
      <c r="C490" s="448">
        <v>2000</v>
      </c>
      <c r="D490" s="650">
        <v>79.260000000000005</v>
      </c>
      <c r="E490" s="1128">
        <f ca="1">IFERROR(C490*D490*_xlfn.XLOOKUP(B490,TabCalc[Ticker],TabCalc[Scale]),0)</f>
        <v>158520</v>
      </c>
      <c r="F490" s="1129" cm="1">
        <f t="array" ref="F490">IF(A490=A489,0,SUM(_xlfn._xlws.FILTER(E490:E500,A490:A500=A490)))</f>
        <v>0</v>
      </c>
      <c r="G490" s="1130">
        <f>IF(F490&lt;&gt;0,SUM($F$43:F490),0)</f>
        <v>0</v>
      </c>
      <c r="H490" s="1130" cm="1">
        <f t="array" ref="H490">IFERROR(IF(A490=A489,0,SUM(_xlfn._xlws.FILTER(E490:E500,(A490:A500=A490)*(E490:E500&gt;0)))),0)</f>
        <v>0</v>
      </c>
      <c r="I490" s="1130" cm="1">
        <f t="array" ref="I490">IFERROR(IF(A490=A489,0,SUM(_xlfn._xlws.FILTER(E490:E500,(A490:A500=A490)*(F490&lt;0)))),0)</f>
        <v>0</v>
      </c>
      <c r="J490" s="295" t="str">
        <f ca="1">IFERROR(_xlfn.XLOOKUP(B490,TabCalc[Ticker],TabCalc[Cur]),"")</f>
        <v>USD</v>
      </c>
      <c r="K490" s="1129" cm="1">
        <f t="array" ref="K490">IFERROR(IF($A490=$A489,0,SUM(_xlfn._xlws.FILTER($E490:$E500,($A490:$A500=$A490)*($J490:$J500=K$42)))),0)</f>
        <v>0</v>
      </c>
      <c r="L490" s="1129" cm="1">
        <f t="array" ref="L490">IFERROR(IF($A490=$A489,0,SUM(_xlfn._xlws.FILTER($E490:$E500,($A490:$A500=$A490)*($J490:$J500=L$42)))),0)</f>
        <v>0</v>
      </c>
      <c r="M490" s="1129" cm="1">
        <f t="array" ref="M490">IFERROR(IF($A490=$A489,0,SUM(_xlfn._xlws.FILTER($E490:$E500,($A490:$A500=$A490)*($J490:$J500=M$42)))),0)</f>
        <v>0</v>
      </c>
      <c r="N490" s="1129" cm="1">
        <f t="array" ref="N490">IFERROR(IF($A490=$A489,0,SUM(_xlfn._xlws.FILTER($E490:$E500,($A490:$A500=$A490)*($J490:$J500=N$42)))),0)</f>
        <v>0</v>
      </c>
    </row>
    <row r="491" spans="1:14" ht="23" hidden="1" thickBot="1">
      <c r="A491" s="968">
        <v>45915</v>
      </c>
      <c r="B491" s="449" t="s">
        <v>18</v>
      </c>
      <c r="C491" s="1003">
        <v>5000</v>
      </c>
      <c r="D491" s="969">
        <v>15.63</v>
      </c>
      <c r="E491" s="1128">
        <f ca="1">IFERROR(C491*D491*_xlfn.XLOOKUP(B491,TabCalc[Ticker],TabCalc[Scale]),0)</f>
        <v>78150</v>
      </c>
      <c r="F491" s="1129" cm="1">
        <f t="array" aca="1" ref="F491" ca="1">IF(A491=A490,0,SUM(_xlfn._xlws.FILTER(E491:E501,A491:A501=A491)))</f>
        <v>224336</v>
      </c>
      <c r="G491" s="1130">
        <f ca="1">IF(F491&lt;&gt;0,SUM($F$43:F491),0)</f>
        <v>-3399842.4295729995</v>
      </c>
      <c r="H491" s="1130" cm="1">
        <f t="array" aca="1" ref="H491" ca="1">IFERROR(IF(A491=A490,0,SUM(_xlfn._xlws.FILTER(E491:E501,(A491:A501=A491)*(E491:E501&gt;0)))),0)</f>
        <v>336170</v>
      </c>
      <c r="I491" s="1130" cm="1">
        <f t="array" aca="1" ref="I491" ca="1">IFERROR(IF(A491=A490,0,SUM(_xlfn._xlws.FILTER(E491:E501,(A491:A501=A491)*(F491&lt;0)))),0)</f>
        <v>0</v>
      </c>
      <c r="J491" s="295" t="str">
        <f ca="1">IFERROR(_xlfn.XLOOKUP(B491,TabCalc[Ticker],TabCalc[Cur]),"")</f>
        <v>EUR</v>
      </c>
      <c r="K491" s="1129" cm="1">
        <f t="array" aca="1" ref="K491" ca="1">IFERROR(IF($A491=$A490,0,SUM(_xlfn._xlws.FILTER($E491:$E501,($A491:$A501=$A491)*($J491:$J501=K$42)))),0)</f>
        <v>336170</v>
      </c>
      <c r="L491" s="1129" cm="1">
        <f t="array" aca="1" ref="L491" ca="1">IFERROR(IF($A491=$A490,0,SUM(_xlfn._xlws.FILTER($E491:$E501,($A491:$A501=$A491)*($J491:$J501=L$42)))),0)</f>
        <v>-111833.99999999999</v>
      </c>
      <c r="M491" s="1129" cm="1">
        <f t="array" aca="1" ref="M491" ca="1">IFERROR(IF($A491=$A490,0,SUM(_xlfn._xlws.FILTER($E491:$E501,($A491:$A501=$A491)*($J491:$J501=M$42)))),0)</f>
        <v>0</v>
      </c>
      <c r="N491" s="1129" cm="1">
        <f t="array" aca="1" ref="N491" ca="1">IFERROR(IF($A491=$A490,0,SUM(_xlfn._xlws.FILTER($E491:$E501,($A491:$A501=$A491)*($J491:$J501=N$42)))),0)</f>
        <v>0</v>
      </c>
    </row>
    <row r="492" spans="1:14" ht="23" hidden="1" thickBot="1">
      <c r="A492" s="968">
        <v>45915</v>
      </c>
      <c r="B492" s="449" t="s">
        <v>16</v>
      </c>
      <c r="C492" s="1003">
        <v>2500</v>
      </c>
      <c r="D492" s="969">
        <v>15.8</v>
      </c>
      <c r="E492" s="1128">
        <f ca="1">IFERROR(C492*D492*_xlfn.XLOOKUP(B492,TabCalc[Ticker],TabCalc[Scale]),0)</f>
        <v>39500</v>
      </c>
      <c r="F492" s="1129" cm="1">
        <f t="array" ref="F492">IF(A492=A491,0,SUM(_xlfn._xlws.FILTER(E492:E502,A492:A502=A492)))</f>
        <v>0</v>
      </c>
      <c r="G492" s="1130">
        <f>IF(F492&lt;&gt;0,SUM($F$43:F492),0)</f>
        <v>0</v>
      </c>
      <c r="H492" s="1130" cm="1">
        <f t="array" ref="H492">IFERROR(IF(A492=A491,0,SUM(_xlfn._xlws.FILTER(E492:E502,(A492:A502=A492)*(E492:E502&gt;0)))),0)</f>
        <v>0</v>
      </c>
      <c r="I492" s="1130" cm="1">
        <f t="array" ref="I492">IFERROR(IF(A492=A491,0,SUM(_xlfn._xlws.FILTER(E492:E502,(A492:A502=A492)*(F492&lt;0)))),0)</f>
        <v>0</v>
      </c>
      <c r="J492" s="295" t="str">
        <f ca="1">IFERROR(_xlfn.XLOOKUP(B492,TabCalc[Ticker],TabCalc[Cur]),"")</f>
        <v>EUR</v>
      </c>
      <c r="K492" s="1129" cm="1">
        <f t="array" ref="K492">IFERROR(IF($A492=$A491,0,SUM(_xlfn._xlws.FILTER($E492:$E502,($A492:$A502=$A492)*($J492:$J502=K$42)))),0)</f>
        <v>0</v>
      </c>
      <c r="L492" s="1129" cm="1">
        <f t="array" ref="L492">IFERROR(IF($A492=$A491,0,SUM(_xlfn._xlws.FILTER($E492:$E502,($A492:$A502=$A492)*($J492:$J502=L$42)))),0)</f>
        <v>0</v>
      </c>
      <c r="M492" s="1129" cm="1">
        <f t="array" ref="M492">IFERROR(IF($A492=$A491,0,SUM(_xlfn._xlws.FILTER($E492:$E502,($A492:$A502=$A492)*($J492:$J502=M$42)))),0)</f>
        <v>0</v>
      </c>
      <c r="N492" s="1129" cm="1">
        <f t="array" ref="N492">IFERROR(IF($A492=$A491,0,SUM(_xlfn._xlws.FILTER($E492:$E502,($A492:$A502=$A492)*($J492:$J502=N$42)))),0)</f>
        <v>0</v>
      </c>
    </row>
    <row r="493" spans="1:14" ht="23" hidden="1" thickBot="1">
      <c r="A493" s="968">
        <v>45915</v>
      </c>
      <c r="B493" s="449" t="s">
        <v>32</v>
      </c>
      <c r="C493" s="1003">
        <v>300</v>
      </c>
      <c r="D493" s="969">
        <v>728.4</v>
      </c>
      <c r="E493" s="1128">
        <f ca="1">IFERROR(C493*D493*_xlfn.XLOOKUP(B493,TabCalc[Ticker],TabCalc[Scale]),0)</f>
        <v>218520</v>
      </c>
      <c r="F493" s="1129" cm="1">
        <f t="array" ref="F493">IF(A493=A492,0,SUM(_xlfn._xlws.FILTER(E493:E503,A493:A503=A493)))</f>
        <v>0</v>
      </c>
      <c r="G493" s="1130">
        <f>IF(F493&lt;&gt;0,SUM($F$43:F493),0)</f>
        <v>0</v>
      </c>
      <c r="H493" s="1130" cm="1">
        <f t="array" ref="H493">IFERROR(IF(A493=A492,0,SUM(_xlfn._xlws.FILTER(E493:E503,(A493:A503=A493)*(E493:E503&gt;0)))),0)</f>
        <v>0</v>
      </c>
      <c r="I493" s="1130" cm="1">
        <f t="array" ref="I493">IFERROR(IF(A493=A492,0,SUM(_xlfn._xlws.FILTER(E493:E503,(A493:A503=A493)*(F493&lt;0)))),0)</f>
        <v>0</v>
      </c>
      <c r="J493" s="295" t="str">
        <f ca="1">IFERROR(_xlfn.XLOOKUP(B493,TabCalc[Ticker],TabCalc[Cur]),"")</f>
        <v>EUR</v>
      </c>
      <c r="K493" s="1129" cm="1">
        <f t="array" ref="K493">IFERROR(IF($A493=$A492,0,SUM(_xlfn._xlws.FILTER($E493:$E503,($A493:$A503=$A493)*($J493:$J503=K$42)))),0)</f>
        <v>0</v>
      </c>
      <c r="L493" s="1129" cm="1">
        <f t="array" ref="L493">IFERROR(IF($A493=$A492,0,SUM(_xlfn._xlws.FILTER($E493:$E503,($A493:$A503=$A493)*($J493:$J503=L$42)))),0)</f>
        <v>0</v>
      </c>
      <c r="M493" s="1129" cm="1">
        <f t="array" ref="M493">IFERROR(IF($A493=$A492,0,SUM(_xlfn._xlws.FILTER($E493:$E503,($A493:$A503=$A493)*($J493:$J503=M$42)))),0)</f>
        <v>0</v>
      </c>
      <c r="N493" s="1129" cm="1">
        <f t="array" ref="N493">IFERROR(IF($A493=$A492,0,SUM(_xlfn._xlws.FILTER($E493:$E503,($A493:$A503=$A493)*($J493:$J503=N$42)))),0)</f>
        <v>0</v>
      </c>
    </row>
    <row r="494" spans="1:14" ht="23" hidden="1" thickBot="1">
      <c r="A494" s="968">
        <v>45915</v>
      </c>
      <c r="B494" s="449" t="s">
        <v>80</v>
      </c>
      <c r="C494" s="1003">
        <v>600</v>
      </c>
      <c r="D494" s="969">
        <v>-186.39</v>
      </c>
      <c r="E494" s="1128">
        <f ca="1">IFERROR(C494*D494*_xlfn.XLOOKUP(B494,TabCalc[Ticker],TabCalc[Scale]),0)</f>
        <v>-111833.99999999999</v>
      </c>
      <c r="F494" s="1129" cm="1">
        <f t="array" ref="F494">IF(A494=A493,0,SUM(_xlfn._xlws.FILTER(E494:E504,A494:A504=A494)))</f>
        <v>0</v>
      </c>
      <c r="G494" s="1130">
        <f>IF(F494&lt;&gt;0,SUM($F$43:F494),0)</f>
        <v>0</v>
      </c>
      <c r="H494" s="1130" cm="1">
        <f t="array" ref="H494">IFERROR(IF(A494=A493,0,SUM(_xlfn._xlws.FILTER(E494:E504,(A494:A504=A494)*(E494:E504&gt;0)))),0)</f>
        <v>0</v>
      </c>
      <c r="I494" s="1130" cm="1">
        <f t="array" ref="I494">IFERROR(IF(A494=A493,0,SUM(_xlfn._xlws.FILTER(E494:E504,(A494:A504=A494)*(F494&lt;0)))),0)</f>
        <v>0</v>
      </c>
      <c r="J494" s="295" t="str">
        <f ca="1">IFERROR(_xlfn.XLOOKUP(B494,TabCalc[Ticker],TabCalc[Cur]),"")</f>
        <v>USD</v>
      </c>
      <c r="K494" s="1129" cm="1">
        <f t="array" ref="K494">IFERROR(IF($A494=$A493,0,SUM(_xlfn._xlws.FILTER($E494:$E504,($A494:$A504=$A494)*($J494:$J504=K$42)))),0)</f>
        <v>0</v>
      </c>
      <c r="L494" s="1129" cm="1">
        <f t="array" ref="L494">IFERROR(IF($A494=$A493,0,SUM(_xlfn._xlws.FILTER($E494:$E504,($A494:$A504=$A494)*($J494:$J504=L$42)))),0)</f>
        <v>0</v>
      </c>
      <c r="M494" s="1129" cm="1">
        <f t="array" ref="M494">IFERROR(IF($A494=$A493,0,SUM(_xlfn._xlws.FILTER($E494:$E504,($A494:$A504=$A494)*($J494:$J504=M$42)))),0)</f>
        <v>0</v>
      </c>
      <c r="N494" s="1129" cm="1">
        <f t="array" ref="N494">IFERROR(IF($A494=$A493,0,SUM(_xlfn._xlws.FILTER($E494:$E504,($A494:$A504=$A494)*($J494:$J504=N$42)))),0)</f>
        <v>0</v>
      </c>
    </row>
    <row r="495" spans="1:14" hidden="1">
      <c r="A495" s="466">
        <v>45916</v>
      </c>
      <c r="B495" s="448" t="s">
        <v>20</v>
      </c>
      <c r="C495" s="448">
        <v>2000</v>
      </c>
      <c r="D495" s="650">
        <v>24.46</v>
      </c>
      <c r="E495" s="1128">
        <f ca="1">IFERROR(C495*D495*_xlfn.XLOOKUP(B495,TabCalc[Ticker],TabCalc[Scale]),0)</f>
        <v>48920</v>
      </c>
      <c r="F495" s="1129" cm="1">
        <f t="array" aca="1" ref="F495" ca="1">IF(A495=A494,0,SUM(_xlfn._xlws.FILTER(E495:E505,A495:A505=A495)))</f>
        <v>90770</v>
      </c>
      <c r="G495" s="1130">
        <f ca="1">IF(F495&lt;&gt;0,SUM($F$43:F495),0)</f>
        <v>-3309072.4295729995</v>
      </c>
      <c r="H495" s="1130" cm="1">
        <f t="array" aca="1" ref="H495" ca="1">IFERROR(IF(A495=A494,0,SUM(_xlfn._xlws.FILTER(E495:E505,(A495:A505=A495)*(E495:E505&gt;0)))),0)</f>
        <v>90770</v>
      </c>
      <c r="I495" s="1130" cm="1">
        <f t="array" aca="1" ref="I495" ca="1">IFERROR(IF(A495=A494,0,SUM(_xlfn._xlws.FILTER(E495:E505,(A495:A505=A495)*(F495&lt;0)))),0)</f>
        <v>0</v>
      </c>
      <c r="J495" s="295" t="str">
        <f ca="1">IFERROR(_xlfn.XLOOKUP(B495,TabCalc[Ticker],TabCalc[Cur]),"")</f>
        <v>USD</v>
      </c>
      <c r="K495" s="1129" cm="1">
        <f t="array" aca="1" ref="K495" ca="1">IFERROR(IF($A495=$A494,0,SUM(_xlfn._xlws.FILTER($E495:$E505,($A495:$A505=$A495)*($J495:$J505=K$42)))),0)</f>
        <v>0</v>
      </c>
      <c r="L495" s="1129" cm="1">
        <f t="array" aca="1" ref="L495" ca="1">IFERROR(IF($A495=$A494,0,SUM(_xlfn._xlws.FILTER($E495:$E505,($A495:$A505=$A495)*($J495:$J505=L$42)))),0)</f>
        <v>90770</v>
      </c>
      <c r="M495" s="1129" cm="1">
        <f t="array" aca="1" ref="M495" ca="1">IFERROR(IF($A495=$A494,0,SUM(_xlfn._xlws.FILTER($E495:$E505,($A495:$A505=$A495)*($J495:$J505=M$42)))),0)</f>
        <v>0</v>
      </c>
      <c r="N495" s="1129" cm="1">
        <f t="array" aca="1" ref="N495" ca="1">IFERROR(IF($A495=$A494,0,SUM(_xlfn._xlws.FILTER($E495:$E505,($A495:$A505=$A495)*($J495:$J505=N$42)))),0)</f>
        <v>0</v>
      </c>
    </row>
    <row r="496" spans="1:14" hidden="1">
      <c r="A496" s="466">
        <v>45916</v>
      </c>
      <c r="B496" s="448" t="s">
        <v>25</v>
      </c>
      <c r="C496" s="448">
        <v>1000</v>
      </c>
      <c r="D496" s="650">
        <v>5.56</v>
      </c>
      <c r="E496" s="1128">
        <f ca="1">IFERROR(C496*D496*_xlfn.XLOOKUP(B496,TabCalc[Ticker],TabCalc[Scale]),0)</f>
        <v>5560</v>
      </c>
      <c r="F496" s="1129" cm="1">
        <f t="array" ref="F496">IF(A496=A495,0,SUM(_xlfn._xlws.FILTER(E496:E506,A496:A506=A496)))</f>
        <v>0</v>
      </c>
      <c r="G496" s="1130">
        <f>IF(F496&lt;&gt;0,SUM($F$43:F496),0)</f>
        <v>0</v>
      </c>
      <c r="H496" s="1130" cm="1">
        <f t="array" ref="H496">IFERROR(IF(A496=A495,0,SUM(_xlfn._xlws.FILTER(E496:E506,(A496:A506=A496)*(E496:E506&gt;0)))),0)</f>
        <v>0</v>
      </c>
      <c r="I496" s="1130" cm="1">
        <f t="array" ref="I496">IFERROR(IF(A496=A495,0,SUM(_xlfn._xlws.FILTER(E496:E506,(A496:A506=A496)*(F496&lt;0)))),0)</f>
        <v>0</v>
      </c>
      <c r="J496" s="295" t="str">
        <f ca="1">IFERROR(_xlfn.XLOOKUP(B496,TabCalc[Ticker],TabCalc[Cur]),"")</f>
        <v>USD</v>
      </c>
      <c r="K496" s="1129" cm="1">
        <f t="array" ref="K496">IFERROR(IF($A496=$A495,0,SUM(_xlfn._xlws.FILTER($E496:$E506,($A496:$A506=$A496)*($J496:$J506=K$42)))),0)</f>
        <v>0</v>
      </c>
      <c r="L496" s="1129" cm="1">
        <f t="array" ref="L496">IFERROR(IF($A496=$A495,0,SUM(_xlfn._xlws.FILTER($E496:$E506,($A496:$A506=$A496)*($J496:$J506=L$42)))),0)</f>
        <v>0</v>
      </c>
      <c r="M496" s="1129" cm="1">
        <f t="array" ref="M496">IFERROR(IF($A496=$A495,0,SUM(_xlfn._xlws.FILTER($E496:$E506,($A496:$A506=$A496)*($J496:$J506=M$42)))),0)</f>
        <v>0</v>
      </c>
      <c r="N496" s="1129" cm="1">
        <f t="array" ref="N496">IFERROR(IF($A496=$A495,0,SUM(_xlfn._xlws.FILTER($E496:$E506,($A496:$A506=$A496)*($J496:$J506=N$42)))),0)</f>
        <v>0</v>
      </c>
    </row>
    <row r="497" spans="1:14" hidden="1">
      <c r="A497" s="466">
        <v>45916</v>
      </c>
      <c r="B497" s="448" t="s">
        <v>31</v>
      </c>
      <c r="C497" s="448">
        <v>1000</v>
      </c>
      <c r="D497" s="650">
        <v>36.29</v>
      </c>
      <c r="E497" s="1128">
        <f ca="1">IFERROR(C497*D497*_xlfn.XLOOKUP(B497,TabCalc[Ticker],TabCalc[Scale]),0)</f>
        <v>36290</v>
      </c>
      <c r="F497" s="1129" cm="1">
        <f t="array" ref="F497">IF(A497=A496,0,SUM(_xlfn._xlws.FILTER(E497:E507,A497:A507=A497)))</f>
        <v>0</v>
      </c>
      <c r="G497" s="1130">
        <f>IF(F497&lt;&gt;0,SUM($F$43:F497),0)</f>
        <v>0</v>
      </c>
      <c r="H497" s="1130" cm="1">
        <f t="array" ref="H497">IFERROR(IF(A497=A496,0,SUM(_xlfn._xlws.FILTER(E497:E507,(A497:A507=A497)*(E497:E507&gt;0)))),0)</f>
        <v>0</v>
      </c>
      <c r="I497" s="1130" cm="1">
        <f t="array" ref="I497">IFERROR(IF(A497=A496,0,SUM(_xlfn._xlws.FILTER(E497:E507,(A497:A507=A497)*(F497&lt;0)))),0)</f>
        <v>0</v>
      </c>
      <c r="J497" s="295" t="str">
        <f ca="1">IFERROR(_xlfn.XLOOKUP(B497,TabCalc[Ticker],TabCalc[Cur]),"")</f>
        <v>USD</v>
      </c>
      <c r="K497" s="1129" cm="1">
        <f t="array" ref="K497">IFERROR(IF($A497=$A496,0,SUM(_xlfn._xlws.FILTER($E497:$E507,($A497:$A507=$A497)*($J497:$J507=K$42)))),0)</f>
        <v>0</v>
      </c>
      <c r="L497" s="1129" cm="1">
        <f t="array" ref="L497">IFERROR(IF($A497=$A496,0,SUM(_xlfn._xlws.FILTER($E497:$E507,($A497:$A507=$A497)*($J497:$J507=L$42)))),0)</f>
        <v>0</v>
      </c>
      <c r="M497" s="1129" cm="1">
        <f t="array" ref="M497">IFERROR(IF($A497=$A496,0,SUM(_xlfn._xlws.FILTER($E497:$E507,($A497:$A507=$A497)*($J497:$J507=M$42)))),0)</f>
        <v>0</v>
      </c>
      <c r="N497" s="1129" cm="1">
        <f t="array" ref="N497">IFERROR(IF($A497=$A496,0,SUM(_xlfn._xlws.FILTER($E497:$E507,($A497:$A507=$A497)*($J497:$J507=N$42)))),0)</f>
        <v>0</v>
      </c>
    </row>
    <row r="498" spans="1:14" ht="23" hidden="1" thickBot="1">
      <c r="A498" s="968">
        <v>45917</v>
      </c>
      <c r="B498" s="449" t="s">
        <v>48</v>
      </c>
      <c r="C498" s="1003">
        <v>1000</v>
      </c>
      <c r="D498" s="969">
        <v>-60.1</v>
      </c>
      <c r="E498" s="1128">
        <f ca="1">IFERROR(C498*D498*_xlfn.XLOOKUP(B498,TabCalc[Ticker],TabCalc[Scale]),0)</f>
        <v>-60100</v>
      </c>
      <c r="F498" s="1129" cm="1">
        <f t="array" aca="1" ref="F498" ca="1">IF(A498=A497,0,SUM(_xlfn._xlws.FILTER(E498:E508,A498:A508=A498)))</f>
        <v>-60100</v>
      </c>
      <c r="G498" s="1130">
        <f ca="1">IF(F498&lt;&gt;0,SUM($F$43:F498),0)</f>
        <v>-3369172.4295729995</v>
      </c>
      <c r="H498" s="1130" cm="1">
        <f t="array" aca="1" ref="H498" ca="1">IFERROR(IF(A498=A497,0,SUM(_xlfn._xlws.FILTER(E498:E508,(A498:A508=A498)*(E498:E508&gt;0)))),0)</f>
        <v>0</v>
      </c>
      <c r="I498" s="1130" cm="1">
        <f t="array" aca="1" ref="I498" ca="1">IFERROR(IF(A498=A497,0,SUM(_xlfn._xlws.FILTER(E498:E508,(A498:A508=A498)*(F498&lt;0)))),0)</f>
        <v>-60100</v>
      </c>
      <c r="J498" s="295" t="str">
        <f ca="1">IFERROR(_xlfn.XLOOKUP(B498,TabCalc[Ticker],TabCalc[Cur]),"")</f>
        <v>CHF</v>
      </c>
      <c r="K498" s="1129" cm="1">
        <f t="array" aca="1" ref="K498" ca="1">IFERROR(IF($A498=$A497,0,SUM(_xlfn._xlws.FILTER($E498:$E508,($A498:$A508=$A498)*($J498:$J508=K$42)))),0)</f>
        <v>0</v>
      </c>
      <c r="L498" s="1129" cm="1">
        <f t="array" aca="1" ref="L498" ca="1">IFERROR(IF($A498=$A497,0,SUM(_xlfn._xlws.FILTER($E498:$E508,($A498:$A508=$A498)*($J498:$J508=L$42)))),0)</f>
        <v>0</v>
      </c>
      <c r="M498" s="1129" cm="1">
        <f t="array" aca="1" ref="M498" ca="1">IFERROR(IF($A498=$A497,0,SUM(_xlfn._xlws.FILTER($E498:$E508,($A498:$A508=$A498)*($J498:$J508=M$42)))),0)</f>
        <v>0</v>
      </c>
      <c r="N498" s="1129" cm="1">
        <f t="array" aca="1" ref="N498" ca="1">IFERROR(IF($A498=$A497,0,SUM(_xlfn._xlws.FILTER($E498:$E508,($A498:$A508=$A498)*($J498:$J508=N$42)))),0)</f>
        <v>-60100</v>
      </c>
    </row>
    <row r="499" spans="1:14" ht="23" hidden="1" thickTop="1">
      <c r="A499" s="466">
        <v>45918</v>
      </c>
      <c r="B499" s="448" t="s">
        <v>32</v>
      </c>
      <c r="C499" s="448">
        <v>100</v>
      </c>
      <c r="D499" s="650">
        <v>772.4</v>
      </c>
      <c r="E499" s="1128">
        <f ca="1">IFERROR(C499*D499*_xlfn.XLOOKUP(B499,TabCalc[Ticker],TabCalc[Scale]),0)</f>
        <v>77240</v>
      </c>
      <c r="F499" s="1129" cm="1">
        <f t="array" aca="1" ref="F499" ca="1">IF(A499=A498,0,SUM(_xlfn._xlws.FILTER(E499:E509,A499:A509=A499)))</f>
        <v>345830</v>
      </c>
      <c r="G499" s="1130">
        <f ca="1">IF(F499&lt;&gt;0,SUM($F$43:F499),0)</f>
        <v>-3023342.4295729995</v>
      </c>
      <c r="H499" s="1130" cm="1">
        <f t="array" aca="1" ref="H499" ca="1">IFERROR(IF(A499=A498,0,SUM(_xlfn._xlws.FILTER(E499:E509,(A499:A509=A499)*(E499:E509&gt;0)))),0)</f>
        <v>345830</v>
      </c>
      <c r="I499" s="1130" cm="1">
        <f t="array" aca="1" ref="I499" ca="1">IFERROR(IF(A499=A498,0,SUM(_xlfn._xlws.FILTER(E499:E509,(A499:A509=A499)*(F499&lt;0)))),0)</f>
        <v>0</v>
      </c>
      <c r="J499" s="295" t="str">
        <f ca="1">IFERROR(_xlfn.XLOOKUP(B499,TabCalc[Ticker],TabCalc[Cur]),"")</f>
        <v>EUR</v>
      </c>
      <c r="K499" s="1129" cm="1">
        <f t="array" aca="1" ref="K499" ca="1">IFERROR(IF($A499=$A498,0,SUM(_xlfn._xlws.FILTER($E499:$E509,($A499:$A509=$A499)*($J499:$J509=K$42)))),0)</f>
        <v>77240</v>
      </c>
      <c r="L499" s="1129" cm="1">
        <f t="array" aca="1" ref="L499" ca="1">IFERROR(IF($A499=$A498,0,SUM(_xlfn._xlws.FILTER($E499:$E509,($A499:$A509=$A499)*($J499:$J509=L$42)))),0)</f>
        <v>268590</v>
      </c>
      <c r="M499" s="1129" cm="1">
        <f t="array" aca="1" ref="M499" ca="1">IFERROR(IF($A499=$A498,0,SUM(_xlfn._xlws.FILTER($E499:$E509,($A499:$A509=$A499)*($J499:$J509=M$42)))),0)</f>
        <v>0</v>
      </c>
      <c r="N499" s="1129" cm="1">
        <f t="array" aca="1" ref="N499" ca="1">IFERROR(IF($A499=$A498,0,SUM(_xlfn._xlws.FILTER($E499:$E509,($A499:$A509=$A499)*($J499:$J509=N$42)))),0)</f>
        <v>0</v>
      </c>
    </row>
    <row r="500" spans="1:14" hidden="1">
      <c r="A500" s="466">
        <v>45918</v>
      </c>
      <c r="B500" s="448" t="s">
        <v>43</v>
      </c>
      <c r="C500" s="448">
        <v>1000</v>
      </c>
      <c r="D500" s="650">
        <v>268.58999999999997</v>
      </c>
      <c r="E500" s="1128">
        <f ca="1">IFERROR(C500*D500*_xlfn.XLOOKUP(B500,TabCalc[Ticker],TabCalc[Scale]),0)</f>
        <v>268590</v>
      </c>
      <c r="F500" s="1129" cm="1">
        <f t="array" ref="F500">IF(A500=A499,0,SUM(_xlfn._xlws.FILTER(E500:E510,A500:A510=A500)))</f>
        <v>0</v>
      </c>
      <c r="G500" s="1130">
        <f>IF(F500&lt;&gt;0,SUM($F$43:F500),0)</f>
        <v>0</v>
      </c>
      <c r="H500" s="1130" cm="1">
        <f t="array" ref="H500">IFERROR(IF(A500=A499,0,SUM(_xlfn._xlws.FILTER(E500:E510,(A500:A510=A500)*(E500:E510&gt;0)))),0)</f>
        <v>0</v>
      </c>
      <c r="I500" s="1130" cm="1">
        <f t="array" ref="I500">IFERROR(IF(A500=A499,0,SUM(_xlfn._xlws.FILTER(E500:E510,(A500:A510=A500)*(F500&lt;0)))),0)</f>
        <v>0</v>
      </c>
      <c r="J500" s="295" t="str">
        <f ca="1">IFERROR(_xlfn.XLOOKUP(B500,TabCalc[Ticker],TabCalc[Cur]),"")</f>
        <v>USD</v>
      </c>
      <c r="K500" s="1129" cm="1">
        <f t="array" ref="K500">IFERROR(IF($A500=$A499,0,SUM(_xlfn._xlws.FILTER($E500:$E510,($A500:$A510=$A500)*($J500:$J510=K$42)))),0)</f>
        <v>0</v>
      </c>
      <c r="L500" s="1129" cm="1">
        <f t="array" ref="L500">IFERROR(IF($A500=$A499,0,SUM(_xlfn._xlws.FILTER($E500:$E510,($A500:$A510=$A500)*($J500:$J510=L$42)))),0)</f>
        <v>0</v>
      </c>
      <c r="M500" s="1129" cm="1">
        <f t="array" ref="M500">IFERROR(IF($A500=$A499,0,SUM(_xlfn._xlws.FILTER($E500:$E510,($A500:$A510=$A500)*($J500:$J510=M$42)))),0)</f>
        <v>0</v>
      </c>
      <c r="N500" s="1129" cm="1">
        <f t="array" ref="N500">IFERROR(IF($A500=$A499,0,SUM(_xlfn._xlws.FILTER($E500:$E510,($A500:$A510=$A500)*($J500:$J510=N$42)))),0)</f>
        <v>0</v>
      </c>
    </row>
    <row r="501" spans="1:14" hidden="1">
      <c r="A501" s="452">
        <v>45919</v>
      </c>
      <c r="B501" s="465" t="s">
        <v>74</v>
      </c>
      <c r="C501" s="454">
        <v>9990</v>
      </c>
      <c r="D501" s="455">
        <v>-14.92</v>
      </c>
      <c r="E501" s="1128">
        <f ca="1">IFERROR(C501*D501*_xlfn.XLOOKUP(B501,TabCalc[Ticker],TabCalc[Scale]),0)</f>
        <v>-149050.79999999999</v>
      </c>
      <c r="F501" s="1129" cm="1">
        <f t="array" aca="1" ref="F501" ca="1">IF(A501=A500,0,SUM(_xlfn._xlws.FILTER(E501:E511,A501:A511=A501)))</f>
        <v>-433371.815</v>
      </c>
      <c r="G501" s="1130">
        <f ca="1">IF(F501&lt;&gt;0,SUM($F$43:F501),0)</f>
        <v>-3456714.2445729994</v>
      </c>
      <c r="H501" s="1130" cm="1">
        <f t="array" aca="1" ref="H501" ca="1">IFERROR(IF(A501=A500,0,SUM(_xlfn._xlws.FILTER(E501:E511,(A501:A511=A501)*(E501:E511&gt;0)))),0)</f>
        <v>228443.685</v>
      </c>
      <c r="I501" s="1130" cm="1">
        <f t="array" aca="1" ref="I501" ca="1">IFERROR(IF(A501=A500,0,SUM(_xlfn._xlws.FILTER(E501:E511,(A501:A511=A501)*(F501&lt;0)))),0)</f>
        <v>-433371.815</v>
      </c>
      <c r="J501" s="295" t="str">
        <f ca="1">IFERROR(_xlfn.XLOOKUP(B501,TabCalc[Ticker],TabCalc[Cur]),"")</f>
        <v>EUR</v>
      </c>
      <c r="K501" s="1129" cm="1">
        <f t="array" aca="1" ref="K501" ca="1">IFERROR(IF($A501=$A500,0,SUM(_xlfn._xlws.FILTER($E501:$E511,($A501:$A511=$A501)*($J501:$J511=K$42)))),0)</f>
        <v>-202372.3</v>
      </c>
      <c r="L501" s="1129" cm="1">
        <f t="array" aca="1" ref="L501" ca="1">IFERROR(IF($A501=$A500,0,SUM(_xlfn._xlws.FILTER($E501:$E511,($A501:$A511=$A501)*($J501:$J511=L$42)))),0)</f>
        <v>86752.484999999986</v>
      </c>
      <c r="M501" s="1129" cm="1">
        <f t="array" aca="1" ref="M501" ca="1">IFERROR(IF($A501=$A500,0,SUM(_xlfn._xlws.FILTER($E501:$E511,($A501:$A511=$A501)*($J501:$J511=M$42)))),0)</f>
        <v>-90202</v>
      </c>
      <c r="N501" s="1129" cm="1">
        <f t="array" aca="1" ref="N501" ca="1">IFERROR(IF($A501=$A500,0,SUM(_xlfn._xlws.FILTER($E501:$E511,($A501:$A511=$A501)*($J501:$J511=N$42)))),0)</f>
        <v>0</v>
      </c>
    </row>
    <row r="502" spans="1:14" hidden="1">
      <c r="A502" s="452">
        <v>45919</v>
      </c>
      <c r="B502" s="465" t="s">
        <v>74</v>
      </c>
      <c r="C502" s="454">
        <v>10010</v>
      </c>
      <c r="D502" s="455">
        <v>-14.87</v>
      </c>
      <c r="E502" s="1128">
        <f ca="1">IFERROR(C502*D502*_xlfn.XLOOKUP(B502,TabCalc[Ticker],TabCalc[Scale]),0)</f>
        <v>-148848.69999999998</v>
      </c>
      <c r="F502" s="1129" cm="1">
        <f t="array" ref="F502">IF(A502=A501,0,SUM(_xlfn._xlws.FILTER(E502:E512,A502:A512=A502)))</f>
        <v>0</v>
      </c>
      <c r="G502" s="1130">
        <f>IF(F502&lt;&gt;0,SUM($F$43:F502),0)</f>
        <v>0</v>
      </c>
      <c r="H502" s="1130" cm="1">
        <f t="array" ref="H502">IFERROR(IF(A502=A501,0,SUM(_xlfn._xlws.FILTER(E502:E512,(A502:A512=A502)*(E502:E512&gt;0)))),0)</f>
        <v>0</v>
      </c>
      <c r="I502" s="1130" cm="1">
        <f t="array" ref="I502">IFERROR(IF(A502=A501,0,SUM(_xlfn._xlws.FILTER(E502:E512,(A502:A512=A502)*(F502&lt;0)))),0)</f>
        <v>0</v>
      </c>
      <c r="J502" s="295" t="str">
        <f ca="1">IFERROR(_xlfn.XLOOKUP(B502,TabCalc[Ticker],TabCalc[Cur]),"")</f>
        <v>EUR</v>
      </c>
      <c r="K502" s="1129" cm="1">
        <f t="array" ref="K502">IFERROR(IF($A502=$A501,0,SUM(_xlfn._xlws.FILTER($E502:$E512,($A502:$A512=$A502)*($J502:$J512=K$42)))),0)</f>
        <v>0</v>
      </c>
      <c r="L502" s="1129" cm="1">
        <f t="array" ref="L502">IFERROR(IF($A502=$A501,0,SUM(_xlfn._xlws.FILTER($E502:$E512,($A502:$A512=$A502)*($J502:$J512=L$42)))),0)</f>
        <v>0</v>
      </c>
      <c r="M502" s="1129" cm="1">
        <f t="array" ref="M502">IFERROR(IF($A502=$A501,0,SUM(_xlfn._xlws.FILTER($E502:$E512,($A502:$A512=$A502)*($J502:$J512=M$42)))),0)</f>
        <v>0</v>
      </c>
      <c r="N502" s="1129" cm="1">
        <f t="array" ref="N502">IFERROR(IF($A502=$A501,0,SUM(_xlfn._xlws.FILTER($E502:$E512,($A502:$A512=$A502)*($J502:$J512=N$42)))),0)</f>
        <v>0</v>
      </c>
    </row>
    <row r="503" spans="1:14" hidden="1">
      <c r="A503" s="452">
        <v>45919</v>
      </c>
      <c r="B503" s="465" t="s">
        <v>77</v>
      </c>
      <c r="C503" s="454">
        <v>20000</v>
      </c>
      <c r="D503" s="455">
        <v>-451.01</v>
      </c>
      <c r="E503" s="1128">
        <f ca="1">IFERROR(C503*D503*_xlfn.XLOOKUP(B503,TabCalc[Ticker],TabCalc[Scale]),0)</f>
        <v>-90202</v>
      </c>
      <c r="F503" s="1129" cm="1">
        <f t="array" ref="F503">IF(A503=A502,0,SUM(_xlfn._xlws.FILTER(E503:E513,A503:A513=A503)))</f>
        <v>0</v>
      </c>
      <c r="G503" s="1130">
        <f>IF(F503&lt;&gt;0,SUM($F$43:F503),0)</f>
        <v>0</v>
      </c>
      <c r="H503" s="1130" cm="1">
        <f t="array" ref="H503">IFERROR(IF(A503=A502,0,SUM(_xlfn._xlws.FILTER(E503:E513,(A503:A513=A503)*(E503:E513&gt;0)))),0)</f>
        <v>0</v>
      </c>
      <c r="I503" s="1130" cm="1">
        <f t="array" ref="I503">IFERROR(IF(A503=A502,0,SUM(_xlfn._xlws.FILTER(E503:E513,(A503:A513=A503)*(F503&lt;0)))),0)</f>
        <v>0</v>
      </c>
      <c r="J503" s="295" t="str">
        <f ca="1">IFERROR(_xlfn.XLOOKUP(B503,TabCalc[Ticker],TabCalc[Cur]),"")</f>
        <v>GBp</v>
      </c>
      <c r="K503" s="1129" cm="1">
        <f t="array" ref="K503">IFERROR(IF($A503=$A502,0,SUM(_xlfn._xlws.FILTER($E503:$E513,($A503:$A513=$A503)*($J503:$J513=K$42)))),0)</f>
        <v>0</v>
      </c>
      <c r="L503" s="1129" cm="1">
        <f t="array" ref="L503">IFERROR(IF($A503=$A502,0,SUM(_xlfn._xlws.FILTER($E503:$E513,($A503:$A513=$A503)*($J503:$J513=L$42)))),0)</f>
        <v>0</v>
      </c>
      <c r="M503" s="1129" cm="1">
        <f t="array" ref="M503">IFERROR(IF($A503=$A502,0,SUM(_xlfn._xlws.FILTER($E503:$E513,($A503:$A513=$A503)*($J503:$J513=M$42)))),0)</f>
        <v>0</v>
      </c>
      <c r="N503" s="1129" cm="1">
        <f t="array" ref="N503">IFERROR(IF($A503=$A502,0,SUM(_xlfn._xlws.FILTER($E503:$E513,($A503:$A513=$A503)*($J503:$J513=N$42)))),0)</f>
        <v>0</v>
      </c>
    </row>
    <row r="504" spans="1:14" hidden="1">
      <c r="A504" s="452">
        <v>45919</v>
      </c>
      <c r="B504" s="465" t="s">
        <v>42</v>
      </c>
      <c r="C504" s="454">
        <v>1200</v>
      </c>
      <c r="D504" s="455">
        <v>13.744999999999999</v>
      </c>
      <c r="E504" s="1128">
        <f ca="1">IFERROR(C504*D504*_xlfn.XLOOKUP(B504,TabCalc[Ticker],TabCalc[Scale]),0)</f>
        <v>16494</v>
      </c>
      <c r="F504" s="1129" cm="1">
        <f t="array" ref="F504">IF(A504=A503,0,SUM(_xlfn._xlws.FILTER(E504:E514,A504:A514=A504)))</f>
        <v>0</v>
      </c>
      <c r="G504" s="1130">
        <f>IF(F504&lt;&gt;0,SUM($F$43:F504),0)</f>
        <v>0</v>
      </c>
      <c r="H504" s="1130" cm="1">
        <f t="array" ref="H504">IFERROR(IF(A504=A503,0,SUM(_xlfn._xlws.FILTER(E504:E514,(A504:A514=A504)*(E504:E514&gt;0)))),0)</f>
        <v>0</v>
      </c>
      <c r="I504" s="1130" cm="1">
        <f t="array" ref="I504">IFERROR(IF(A504=A503,0,SUM(_xlfn._xlws.FILTER(E504:E514,(A504:A514=A504)*(F504&lt;0)))),0)</f>
        <v>0</v>
      </c>
      <c r="J504" s="295" t="str">
        <f ca="1">IFERROR(_xlfn.XLOOKUP(B504,TabCalc[Ticker],TabCalc[Cur]),"")</f>
        <v>EUR</v>
      </c>
      <c r="K504" s="1129" cm="1">
        <f t="array" ref="K504">IFERROR(IF($A504=$A503,0,SUM(_xlfn._xlws.FILTER($E504:$E514,($A504:$A514=$A504)*($J504:$J514=K$42)))),0)</f>
        <v>0</v>
      </c>
      <c r="L504" s="1129" cm="1">
        <f t="array" ref="L504">IFERROR(IF($A504=$A503,0,SUM(_xlfn._xlws.FILTER($E504:$E514,($A504:$A514=$A504)*($J504:$J514=L$42)))),0)</f>
        <v>0</v>
      </c>
      <c r="M504" s="1129" cm="1">
        <f t="array" ref="M504">IFERROR(IF($A504=$A503,0,SUM(_xlfn._xlws.FILTER($E504:$E514,($A504:$A514=$A504)*($J504:$J514=M$42)))),0)</f>
        <v>0</v>
      </c>
      <c r="N504" s="1129" cm="1">
        <f t="array" ref="N504">IFERROR(IF($A504=$A503,0,SUM(_xlfn._xlws.FILTER($E504:$E514,($A504:$A514=$A504)*($J504:$J514=N$42)))),0)</f>
        <v>0</v>
      </c>
    </row>
    <row r="505" spans="1:14" hidden="1">
      <c r="A505" s="452">
        <v>45919</v>
      </c>
      <c r="B505" s="465" t="s">
        <v>32</v>
      </c>
      <c r="C505" s="454">
        <v>100</v>
      </c>
      <c r="D505" s="455">
        <v>790.33199999999999</v>
      </c>
      <c r="E505" s="1128">
        <f ca="1">IFERROR(C505*D505*_xlfn.XLOOKUP(B505,TabCalc[Ticker],TabCalc[Scale]),0)</f>
        <v>79033.2</v>
      </c>
      <c r="F505" s="1129" cm="1">
        <f t="array" ref="F505">IF(A505=A504,0,SUM(_xlfn._xlws.FILTER(E505:E515,A505:A515=A505)))</f>
        <v>0</v>
      </c>
      <c r="G505" s="1130">
        <f>IF(F505&lt;&gt;0,SUM($F$43:F505),0)</f>
        <v>0</v>
      </c>
      <c r="H505" s="1130" cm="1">
        <f t="array" ref="H505">IFERROR(IF(A505=A504,0,SUM(_xlfn._xlws.FILTER(E505:E515,(A505:A515=A505)*(E505:E515&gt;0)))),0)</f>
        <v>0</v>
      </c>
      <c r="I505" s="1130" cm="1">
        <f t="array" ref="I505">IFERROR(IF(A505=A504,0,SUM(_xlfn._xlws.FILTER(E505:E515,(A505:A515=A505)*(F505&lt;0)))),0)</f>
        <v>0</v>
      </c>
      <c r="J505" s="295" t="str">
        <f ca="1">IFERROR(_xlfn.XLOOKUP(B505,TabCalc[Ticker],TabCalc[Cur]),"")</f>
        <v>EUR</v>
      </c>
      <c r="K505" s="1129" cm="1">
        <f t="array" ref="K505">IFERROR(IF($A505=$A504,0,SUM(_xlfn._xlws.FILTER($E505:$E515,($A505:$A515=$A505)*($J505:$J515=K$42)))),0)</f>
        <v>0</v>
      </c>
      <c r="L505" s="1129" cm="1">
        <f t="array" ref="L505">IFERROR(IF($A505=$A504,0,SUM(_xlfn._xlws.FILTER($E505:$E515,($A505:$A515=$A505)*($J505:$J515=L$42)))),0)</f>
        <v>0</v>
      </c>
      <c r="M505" s="1129" cm="1">
        <f t="array" ref="M505">IFERROR(IF($A505=$A504,0,SUM(_xlfn._xlws.FILTER($E505:$E515,($A505:$A515=$A505)*($J505:$J515=M$42)))),0)</f>
        <v>0</v>
      </c>
      <c r="N505" s="1129" cm="1">
        <f t="array" ref="N505">IFERROR(IF($A505=$A504,0,SUM(_xlfn._xlws.FILTER($E505:$E515,($A505:$A515=$A505)*($J505:$J515=N$42)))),0)</f>
        <v>0</v>
      </c>
    </row>
    <row r="506" spans="1:14" hidden="1">
      <c r="A506" s="452">
        <v>45919</v>
      </c>
      <c r="B506" s="465" t="s">
        <v>666</v>
      </c>
      <c r="C506" s="454">
        <v>600</v>
      </c>
      <c r="D506" s="455">
        <v>-76.94</v>
      </c>
      <c r="E506" s="1128">
        <f ca="1">IFERROR(C506*D506*_xlfn.XLOOKUP(B506,TabCalc[Ticker],TabCalc[Scale]),0)</f>
        <v>-46164</v>
      </c>
      <c r="F506" s="1129" cm="1">
        <f t="array" ref="F506">IF(A506=A505,0,SUM(_xlfn._xlws.FILTER(E506:E516,A506:A516=A506)))</f>
        <v>0</v>
      </c>
      <c r="G506" s="1130">
        <f>IF(F506&lt;&gt;0,SUM($F$43:F506),0)</f>
        <v>0</v>
      </c>
      <c r="H506" s="1130" cm="1">
        <f t="array" ref="H506">IFERROR(IF(A506=A505,0,SUM(_xlfn._xlws.FILTER(E506:E516,(A506:A516=A506)*(E506:E516&gt;0)))),0)</f>
        <v>0</v>
      </c>
      <c r="I506" s="1130" cm="1">
        <f t="array" ref="I506">IFERROR(IF(A506=A505,0,SUM(_xlfn._xlws.FILTER(E506:E516,(A506:A516=A506)*(F506&lt;0)))),0)</f>
        <v>0</v>
      </c>
      <c r="J506" s="295" t="str">
        <f ca="1">IFERROR(_xlfn.XLOOKUP(B506,TabCalc[Ticker],TabCalc[Cur]),"")</f>
        <v>USD</v>
      </c>
      <c r="K506" s="1129" cm="1">
        <f t="array" ref="K506">IFERROR(IF($A506=$A505,0,SUM(_xlfn._xlws.FILTER($E506:$E516,($A506:$A516=$A506)*($J506:$J516=K$42)))),0)</f>
        <v>0</v>
      </c>
      <c r="L506" s="1129" cm="1">
        <f t="array" ref="L506">IFERROR(IF($A506=$A505,0,SUM(_xlfn._xlws.FILTER($E506:$E516,($A506:$A516=$A506)*($J506:$J516=L$42)))),0)</f>
        <v>0</v>
      </c>
      <c r="M506" s="1129" cm="1">
        <f t="array" ref="M506">IFERROR(IF($A506=$A505,0,SUM(_xlfn._xlws.FILTER($E506:$E516,($A506:$A516=$A506)*($J506:$J516=M$42)))),0)</f>
        <v>0</v>
      </c>
      <c r="N506" s="1129" cm="1">
        <f t="array" ref="N506">IFERROR(IF($A506=$A505,0,SUM(_xlfn._xlws.FILTER($E506:$E516,($A506:$A516=$A506)*($J506:$J516=N$42)))),0)</f>
        <v>0</v>
      </c>
    </row>
    <row r="507" spans="1:14" hidden="1">
      <c r="A507" s="452">
        <v>45919</v>
      </c>
      <c r="B507" s="465" t="s">
        <v>82</v>
      </c>
      <c r="C507" s="454">
        <v>100</v>
      </c>
      <c r="D507" s="455">
        <v>592.67999999999995</v>
      </c>
      <c r="E507" s="1128">
        <f ca="1">IFERROR(C507*D507*_xlfn.XLOOKUP(B507,TabCalc[Ticker],TabCalc[Scale]),0)</f>
        <v>59267.999999999993</v>
      </c>
      <c r="F507" s="1129" cm="1">
        <f t="array" ref="F507">IF(A507=A506,0,SUM(_xlfn._xlws.FILTER(E507:E517,A507:A517=A507)))</f>
        <v>0</v>
      </c>
      <c r="G507" s="1130">
        <f>IF(F507&lt;&gt;0,SUM($F$43:F507),0)</f>
        <v>0</v>
      </c>
      <c r="H507" s="1130" cm="1">
        <f t="array" ref="H507">IFERROR(IF(A507=A506,0,SUM(_xlfn._xlws.FILTER(E507:E517,(A507:A517=A507)*(E507:E517&gt;0)))),0)</f>
        <v>0</v>
      </c>
      <c r="I507" s="1130" cm="1">
        <f t="array" ref="I507">IFERROR(IF(A507=A506,0,SUM(_xlfn._xlws.FILTER(E507:E517,(A507:A517=A507)*(F507&lt;0)))),0)</f>
        <v>0</v>
      </c>
      <c r="J507" s="295" t="str">
        <f ca="1">IFERROR(_xlfn.XLOOKUP(B507,TabCalc[Ticker],TabCalc[Cur]),"")</f>
        <v>USD</v>
      </c>
      <c r="K507" s="1129" cm="1">
        <f t="array" ref="K507">IFERROR(IF($A507=$A506,0,SUM(_xlfn._xlws.FILTER($E507:$E517,($A507:$A517=$A507)*($J507:$J517=K$42)))),0)</f>
        <v>0</v>
      </c>
      <c r="L507" s="1129" cm="1">
        <f t="array" ref="L507">IFERROR(IF($A507=$A506,0,SUM(_xlfn._xlws.FILTER($E507:$E517,($A507:$A517=$A507)*($J507:$J517=L$42)))),0)</f>
        <v>0</v>
      </c>
      <c r="M507" s="1129" cm="1">
        <f t="array" ref="M507">IFERROR(IF($A507=$A506,0,SUM(_xlfn._xlws.FILTER($E507:$E517,($A507:$A517=$A507)*($J507:$J517=M$42)))),0)</f>
        <v>0</v>
      </c>
      <c r="N507" s="1129" cm="1">
        <f t="array" ref="N507">IFERROR(IF($A507=$A506,0,SUM(_xlfn._xlws.FILTER($E507:$E517,($A507:$A517=$A507)*($J507:$J517=N$42)))),0)</f>
        <v>0</v>
      </c>
    </row>
    <row r="508" spans="1:14" hidden="1">
      <c r="A508" s="452">
        <v>45919</v>
      </c>
      <c r="B508" s="465" t="s">
        <v>0</v>
      </c>
      <c r="C508" s="454">
        <v>300</v>
      </c>
      <c r="D508" s="455">
        <v>245.49494999999999</v>
      </c>
      <c r="E508" s="1128">
        <f ca="1">IFERROR(C508*D508*_xlfn.XLOOKUP(B508,TabCalc[Ticker],TabCalc[Scale]),0)</f>
        <v>73648.485000000001</v>
      </c>
      <c r="F508" s="1129" cm="1">
        <f t="array" ref="F508">IF(A508=A507,0,SUM(_xlfn._xlws.FILTER(E508:E518,A508:A518=A508)))</f>
        <v>0</v>
      </c>
      <c r="G508" s="1130">
        <f>IF(F508&lt;&gt;0,SUM($F$43:F508),0)</f>
        <v>0</v>
      </c>
      <c r="H508" s="1130" cm="1">
        <f t="array" ref="H508">IFERROR(IF(A508=A507,0,SUM(_xlfn._xlws.FILTER(E508:E518,(A508:A518=A508)*(E508:E518&gt;0)))),0)</f>
        <v>0</v>
      </c>
      <c r="I508" s="1130" cm="1">
        <f t="array" ref="I508">IFERROR(IF(A508=A507,0,SUM(_xlfn._xlws.FILTER(E508:E518,(A508:A518=A508)*(F508&lt;0)))),0)</f>
        <v>0</v>
      </c>
      <c r="J508" s="295" t="str">
        <f ca="1">IFERROR(_xlfn.XLOOKUP(B508,TabCalc[Ticker],TabCalc[Cur]),"")</f>
        <v>USD</v>
      </c>
      <c r="K508" s="1129" cm="1">
        <f t="array" ref="K508">IFERROR(IF($A508=$A507,0,SUM(_xlfn._xlws.FILTER($E508:$E518,($A508:$A518=$A508)*($J508:$J518=K$42)))),0)</f>
        <v>0</v>
      </c>
      <c r="L508" s="1129" cm="1">
        <f t="array" ref="L508">IFERROR(IF($A508=$A507,0,SUM(_xlfn._xlws.FILTER($E508:$E518,($A508:$A518=$A508)*($J508:$J518=L$42)))),0)</f>
        <v>0</v>
      </c>
      <c r="M508" s="1129" cm="1">
        <f t="array" ref="M508">IFERROR(IF($A508=$A507,0,SUM(_xlfn._xlws.FILTER($E508:$E518,($A508:$A518=$A508)*($J508:$J518=M$42)))),0)</f>
        <v>0</v>
      </c>
      <c r="N508" s="1129" cm="1">
        <f t="array" ref="N508">IFERROR(IF($A508=$A507,0,SUM(_xlfn._xlws.FILTER($E508:$E518,($A508:$A518=$A508)*($J508:$J518=N$42)))),0)</f>
        <v>0</v>
      </c>
    </row>
    <row r="509" spans="1:14" hidden="1">
      <c r="A509" s="452">
        <v>45919</v>
      </c>
      <c r="B509" s="465" t="s">
        <v>38</v>
      </c>
      <c r="C509" s="454">
        <v>1000</v>
      </c>
      <c r="D509" s="455">
        <v>-227.55</v>
      </c>
      <c r="E509" s="1128">
        <f ca="1">IFERROR(C509*D509*_xlfn.XLOOKUP(B509,TabCalc[Ticker],TabCalc[Scale]),0)</f>
        <v>-227550</v>
      </c>
      <c r="F509" s="1129" cm="1">
        <f t="array" ref="F509">IF(A509=A508,0,SUM(_xlfn._xlws.FILTER(E509:E519,A509:A519=A509)))</f>
        <v>0</v>
      </c>
      <c r="G509" s="1130">
        <f>IF(F509&lt;&gt;0,SUM($F$43:F509),0)</f>
        <v>0</v>
      </c>
      <c r="H509" s="1130" cm="1">
        <f t="array" ref="H509">IFERROR(IF(A509=A508,0,SUM(_xlfn._xlws.FILTER(E509:E519,(A509:A519=A509)*(E509:E519&gt;0)))),0)</f>
        <v>0</v>
      </c>
      <c r="I509" s="1130" cm="1">
        <f t="array" ref="I509">IFERROR(IF(A509=A508,0,SUM(_xlfn._xlws.FILTER(E509:E519,(A509:A519=A509)*(F509&lt;0)))),0)</f>
        <v>0</v>
      </c>
      <c r="J509" s="295" t="str">
        <f ca="1">IFERROR(_xlfn.XLOOKUP(C509,TabCalc[Ticker],TabCalc[Cur]),"")</f>
        <v/>
      </c>
      <c r="K509" s="1129" cm="1">
        <f t="array" ref="K509">IFERROR(IF($A509=$A508,0,SUM(_xlfn._xlws.FILTER($E509:$E519,($A509:$A519=$A509)*($J509:$J519=K$42)))),0)</f>
        <v>0</v>
      </c>
      <c r="L509" s="1129" cm="1">
        <f t="array" ref="L509">IFERROR(IF($A509=$A508,0,SUM(_xlfn._xlws.FILTER($E509:$E519,($A509:$A519=$A509)*($J509:$J519=L$42)))),0)</f>
        <v>0</v>
      </c>
      <c r="M509" s="1129" cm="1">
        <f t="array" ref="M509">IFERROR(IF($A509=$A508,0,SUM(_xlfn._xlws.FILTER($E509:$E519,($A509:$A519=$A509)*($J509:$J519=M$42)))),0)</f>
        <v>0</v>
      </c>
      <c r="N509" s="1129" cm="1">
        <f t="array" ref="N509">IFERROR(IF($A509=$A508,0,SUM(_xlfn._xlws.FILTER($E509:$E519,($A509:$A519=$A509)*($J509:$J519=N$42)))),0)</f>
        <v>0</v>
      </c>
    </row>
    <row r="510" spans="1:14" hidden="1">
      <c r="A510" s="466">
        <v>45922</v>
      </c>
      <c r="B510" s="448" t="s">
        <v>32</v>
      </c>
      <c r="C510" s="448">
        <v>100</v>
      </c>
      <c r="D510" s="650">
        <v>814.2</v>
      </c>
      <c r="E510" s="1128">
        <f ca="1">IFERROR(C510*D510*_xlfn.XLOOKUP(B510,TabCalc[Ticker],TabCalc[Scale]),0)</f>
        <v>81420</v>
      </c>
      <c r="F510" s="1129" cm="1">
        <f t="array" aca="1" ref="F510" ca="1">IF(A510=A509,0,SUM(_xlfn._xlws.FILTER(E510:E520,A510:A520=A510)))</f>
        <v>54340</v>
      </c>
      <c r="G510" s="1130">
        <f ca="1">IF(F510&lt;&gt;0,SUM($F$43:F510),0)</f>
        <v>-3402374.2445729994</v>
      </c>
      <c r="H510" s="1130" cm="1">
        <f t="array" aca="1" ref="H510" ca="1">IFERROR(IF(A510=A509,0,SUM(_xlfn._xlws.FILTER(E510:E520,(A510:A520=A510)*(E510:E520&gt;0)))),0)</f>
        <v>98280</v>
      </c>
      <c r="I510" s="1130" cm="1">
        <f t="array" aca="1" ref="I510" ca="1">IFERROR(IF(A510=A509,0,SUM(_xlfn._xlws.FILTER(E510:E520,(A510:A520=A510)*(F510&lt;0)))),0)</f>
        <v>0</v>
      </c>
      <c r="J510" s="295" t="str">
        <f ca="1">IFERROR(_xlfn.XLOOKUP(B510,TabCalc[Ticker],TabCalc[Cur]),"")</f>
        <v>EUR</v>
      </c>
      <c r="K510" s="1129" cm="1">
        <f t="array" aca="1" ref="K510" ca="1">IFERROR(IF($A510=$A509,0,SUM(_xlfn._xlws.FILTER($E510:$E520,($A510:$A520=$A510)*($J510:$J520=K$42)))),0)</f>
        <v>81420</v>
      </c>
      <c r="L510" s="1129" cm="1">
        <f t="array" aca="1" ref="L510" ca="1">IFERROR(IF($A510=$A509,0,SUM(_xlfn._xlws.FILTER($E510:$E520,($A510:$A520=$A510)*($J510:$J520=L$42)))),0)</f>
        <v>-27080</v>
      </c>
      <c r="M510" s="1129" cm="1">
        <f t="array" aca="1" ref="M510" ca="1">IFERROR(IF($A510=$A509,0,SUM(_xlfn._xlws.FILTER($E510:$E520,($A510:$A520=$A510)*($J510:$J520=M$42)))),0)</f>
        <v>0</v>
      </c>
      <c r="N510" s="1129" cm="1">
        <f t="array" aca="1" ref="N510" ca="1">IFERROR(IF($A510=$A509,0,SUM(_xlfn._xlws.FILTER($E510:$E520,($A510:$A520=$A510)*($J510:$J520=N$42)))),0)</f>
        <v>0</v>
      </c>
    </row>
    <row r="511" spans="1:14" hidden="1">
      <c r="A511" s="466">
        <v>45922</v>
      </c>
      <c r="B511" s="448" t="s">
        <v>1</v>
      </c>
      <c r="C511" s="448">
        <v>1000</v>
      </c>
      <c r="D511" s="650">
        <v>16.86</v>
      </c>
      <c r="E511" s="1128">
        <f ca="1">IFERROR(C511*D511*_xlfn.XLOOKUP(B511,TabCalc[Ticker],TabCalc[Scale]),0)</f>
        <v>16860</v>
      </c>
      <c r="F511" s="1129" cm="1">
        <f t="array" ref="F511">IF(A511=A510,0,SUM(_xlfn._xlws.FILTER(E511:E521,A511:A521=A511)))</f>
        <v>0</v>
      </c>
      <c r="G511" s="1130">
        <f>IF(F511&lt;&gt;0,SUM($F$43:F511),0)</f>
        <v>0</v>
      </c>
      <c r="H511" s="1130" cm="1">
        <f t="array" ref="H511">IFERROR(IF(A511=A510,0,SUM(_xlfn._xlws.FILTER(E511:E521,(A511:A521=A511)*(E511:E521&gt;0)))),0)</f>
        <v>0</v>
      </c>
      <c r="I511" s="1130" cm="1">
        <f t="array" ref="I511">IFERROR(IF(A511=A510,0,SUM(_xlfn._xlws.FILTER(E511:E521,(A511:A521=A511)*(F511&lt;0)))),0)</f>
        <v>0</v>
      </c>
      <c r="J511" s="295" t="str">
        <f ca="1">IFERROR(_xlfn.XLOOKUP(B511,TabCalc[Ticker],TabCalc[Cur]),"")</f>
        <v>USD</v>
      </c>
      <c r="K511" s="1129" cm="1">
        <f t="array" ref="K511">IFERROR(IF($A511=$A510,0,SUM(_xlfn._xlws.FILTER($E511:$E521,($A511:$A521=$A511)*($J511:$J521=K$42)))),0)</f>
        <v>0</v>
      </c>
      <c r="L511" s="1129" cm="1">
        <f t="array" ref="L511">IFERROR(IF($A511=$A510,0,SUM(_xlfn._xlws.FILTER($E511:$E521,($A511:$A521=$A511)*($J511:$J521=L$42)))),0)</f>
        <v>0</v>
      </c>
      <c r="M511" s="1129" cm="1">
        <f t="array" ref="M511">IFERROR(IF($A511=$A510,0,SUM(_xlfn._xlws.FILTER($E511:$E521,($A511:$A521=$A511)*($J511:$J521=M$42)))),0)</f>
        <v>0</v>
      </c>
      <c r="N511" s="1129" cm="1">
        <f t="array" ref="N511">IFERROR(IF($A511=$A510,0,SUM(_xlfn._xlws.FILTER($E511:$E521,($A511:$A521=$A511)*($J511:$J521=N$42)))),0)</f>
        <v>0</v>
      </c>
    </row>
    <row r="512" spans="1:14" hidden="1">
      <c r="A512" s="466">
        <v>45922</v>
      </c>
      <c r="B512" s="448" t="s">
        <v>71</v>
      </c>
      <c r="C512" s="448">
        <v>13000</v>
      </c>
      <c r="D512" s="650">
        <v>-3.38</v>
      </c>
      <c r="E512" s="1128">
        <f ca="1">IFERROR(C512*D512*_xlfn.XLOOKUP(B512,TabCalc[Ticker],TabCalc[Scale]),0)</f>
        <v>-43940</v>
      </c>
      <c r="F512" s="1129" cm="1">
        <f t="array" ref="F512">IF(A512=A511,0,SUM(_xlfn._xlws.FILTER(E512:E522,A512:A522=A512)))</f>
        <v>0</v>
      </c>
      <c r="G512" s="1130">
        <f>IF(F512&lt;&gt;0,SUM($F$43:F512),0)</f>
        <v>0</v>
      </c>
      <c r="H512" s="1130" cm="1">
        <f t="array" ref="H512">IFERROR(IF(A512=A511,0,SUM(_xlfn._xlws.FILTER(E512:E522,(A512:A522=A512)*(E512:E522&gt;0)))),0)</f>
        <v>0</v>
      </c>
      <c r="I512" s="1130" cm="1">
        <f t="array" ref="I512">IFERROR(IF(A512=A511,0,SUM(_xlfn._xlws.FILTER(E512:E522,(A512:A522=A512)*(F512&lt;0)))),0)</f>
        <v>0</v>
      </c>
      <c r="J512" s="295" t="str">
        <f ca="1">IFERROR(_xlfn.XLOOKUP(B512,TabCalc[Ticker],TabCalc[Cur]),"")</f>
        <v>USD</v>
      </c>
      <c r="K512" s="1129" cm="1">
        <f t="array" ref="K512">IFERROR(IF($A512=$A511,0,SUM(_xlfn._xlws.FILTER($E512:$E522,($A512:$A522=$A512)*($J512:$J522=K$42)))),0)</f>
        <v>0</v>
      </c>
      <c r="L512" s="1129" cm="1">
        <f t="array" ref="L512">IFERROR(IF($A512=$A511,0,SUM(_xlfn._xlws.FILTER($E512:$E522,($A512:$A522=$A512)*($J512:$J522=L$42)))),0)</f>
        <v>0</v>
      </c>
      <c r="M512" s="1129" cm="1">
        <f t="array" ref="M512">IFERROR(IF($A512=$A511,0,SUM(_xlfn._xlws.FILTER($E512:$E522,($A512:$A522=$A512)*($J512:$J522=M$42)))),0)</f>
        <v>0</v>
      </c>
      <c r="N512" s="1129" cm="1">
        <f t="array" ref="N512">IFERROR(IF($A512=$A511,0,SUM(_xlfn._xlws.FILTER($E512:$E522,($A512:$A522=$A512)*($J512:$J522=N$42)))),0)</f>
        <v>0</v>
      </c>
    </row>
    <row r="513" spans="1:14" hidden="1">
      <c r="A513" s="452">
        <v>45923</v>
      </c>
      <c r="B513" s="465" t="s">
        <v>32</v>
      </c>
      <c r="C513" s="454">
        <v>100</v>
      </c>
      <c r="D513" s="455">
        <v>821.4</v>
      </c>
      <c r="E513" s="1128">
        <f ca="1">IFERROR(C513*D513*_xlfn.XLOOKUP(B513,TabCalc[Ticker],TabCalc[Scale]),0)</f>
        <v>82140</v>
      </c>
      <c r="F513" s="1129" cm="1">
        <f t="array" aca="1" ref="F513" ca="1">IF(A513=A512,0,SUM(_xlfn._xlws.FILTER(E513:E523,A513:A523=A513)))</f>
        <v>138184</v>
      </c>
      <c r="G513" s="1130">
        <f ca="1">IF(F513&lt;&gt;0,SUM($F$43:F513),0)</f>
        <v>-3264190.2445729994</v>
      </c>
      <c r="H513" s="1130" cm="1">
        <f t="array" aca="1" ref="H513" ca="1">IFERROR(IF(A513=A512,0,SUM(_xlfn._xlws.FILTER(E513:E523,(A513:A523=A513)*(E513:E523&gt;0)))),0)</f>
        <v>171524</v>
      </c>
      <c r="I513" s="1130" cm="1">
        <f t="array" aca="1" ref="I513" ca="1">IFERROR(IF(A513=A512,0,SUM(_xlfn._xlws.FILTER(E513:E523,(A513:A523=A513)*(F513&lt;0)))),0)</f>
        <v>0</v>
      </c>
      <c r="J513" s="295" t="str">
        <f ca="1">IFERROR(_xlfn.XLOOKUP(B513,TabCalc[Ticker],TabCalc[Cur]),"")</f>
        <v>EUR</v>
      </c>
      <c r="K513" s="1129" cm="1">
        <f t="array" aca="1" ref="K513" ca="1">IFERROR(IF($A513=$A512,0,SUM(_xlfn._xlws.FILTER($E513:$E523,($A513:$A523=$A513)*($J513:$J523=K$42)))),0)</f>
        <v>82140</v>
      </c>
      <c r="L513" s="1129" cm="1">
        <f t="array" aca="1" ref="L513" ca="1">IFERROR(IF($A513=$A512,0,SUM(_xlfn._xlws.FILTER($E513:$E523,($A513:$A523=$A513)*($J513:$J523=L$42)))),0)</f>
        <v>56044</v>
      </c>
      <c r="M513" s="1129" cm="1">
        <f t="array" aca="1" ref="M513" ca="1">IFERROR(IF($A513=$A512,0,SUM(_xlfn._xlws.FILTER($E513:$E523,($A513:$A523=$A513)*($J513:$J523=M$42)))),0)</f>
        <v>0</v>
      </c>
      <c r="N513" s="1129" cm="1">
        <f t="array" aca="1" ref="N513" ca="1">IFERROR(IF($A513=$A512,0,SUM(_xlfn._xlws.FILTER($E513:$E523,($A513:$A523=$A513)*($J513:$J523=N$42)))),0)</f>
        <v>0</v>
      </c>
    </row>
    <row r="514" spans="1:14" hidden="1">
      <c r="A514" s="452">
        <v>45923</v>
      </c>
      <c r="B514" s="465" t="s">
        <v>29</v>
      </c>
      <c r="C514" s="454">
        <v>200</v>
      </c>
      <c r="D514" s="455">
        <v>85.32</v>
      </c>
      <c r="E514" s="1128">
        <f ca="1">IFERROR(C514*D514*_xlfn.XLOOKUP(B514,TabCalc[Ticker],TabCalc[Scale]),0)</f>
        <v>17064</v>
      </c>
      <c r="F514" s="1129" cm="1">
        <f t="array" ref="F514">IF(A514=A513,0,SUM(_xlfn._xlws.FILTER(E514:E524,A514:A524=A514)))</f>
        <v>0</v>
      </c>
      <c r="G514" s="1130">
        <f>IF(F514&lt;&gt;0,SUM($F$43:F514),0)</f>
        <v>0</v>
      </c>
      <c r="H514" s="1130" cm="1">
        <f t="array" ref="H514">IFERROR(IF(A514=A513,0,SUM(_xlfn._xlws.FILTER(E514:E524,(A514:A524=A514)*(E514:E524&gt;0)))),0)</f>
        <v>0</v>
      </c>
      <c r="I514" s="1130" cm="1">
        <f t="array" ref="I514">IFERROR(IF(A514=A513,0,SUM(_xlfn._xlws.FILTER(E514:E524,(A514:A524=A514)*(F514&lt;0)))),0)</f>
        <v>0</v>
      </c>
      <c r="J514" s="295" t="str">
        <f ca="1">IFERROR(_xlfn.XLOOKUP(B514,TabCalc[Ticker],TabCalc[Cur]),"")</f>
        <v>USD</v>
      </c>
      <c r="K514" s="1129" cm="1">
        <f t="array" ref="K514">IFERROR(IF($A514=$A513,0,SUM(_xlfn._xlws.FILTER($E514:$E524,($A514:$A524=$A514)*($J514:$J524=K$42)))),0)</f>
        <v>0</v>
      </c>
      <c r="L514" s="1129" cm="1">
        <f t="array" ref="L514">IFERROR(IF($A514=$A513,0,SUM(_xlfn._xlws.FILTER($E514:$E524,($A514:$A524=$A514)*($J514:$J524=L$42)))),0)</f>
        <v>0</v>
      </c>
      <c r="M514" s="1129" cm="1">
        <f t="array" ref="M514">IFERROR(IF($A514=$A513,0,SUM(_xlfn._xlws.FILTER($E514:$E524,($A514:$A524=$A514)*($J514:$J524=M$42)))),0)</f>
        <v>0</v>
      </c>
      <c r="N514" s="1129" cm="1">
        <f t="array" ref="N514">IFERROR(IF($A514=$A513,0,SUM(_xlfn._xlws.FILTER($E514:$E524,($A514:$A524=$A514)*($J514:$J524=N$42)))),0)</f>
        <v>0</v>
      </c>
    </row>
    <row r="515" spans="1:14" hidden="1">
      <c r="A515" s="452">
        <v>45923</v>
      </c>
      <c r="B515" s="465" t="s">
        <v>80</v>
      </c>
      <c r="C515" s="454">
        <v>200</v>
      </c>
      <c r="D515" s="455">
        <v>-166.7</v>
      </c>
      <c r="E515" s="1128">
        <f ca="1">IFERROR(C515*D515*_xlfn.XLOOKUP(B515,TabCalc[Ticker],TabCalc[Scale]),0)</f>
        <v>-33340</v>
      </c>
      <c r="F515" s="1129" cm="1">
        <f t="array" ref="F515">IF(A515=A514,0,SUM(_xlfn._xlws.FILTER(E515:E525,A515:A525=A515)))</f>
        <v>0</v>
      </c>
      <c r="G515" s="1130">
        <f>IF(F515&lt;&gt;0,SUM($F$43:F515),0)</f>
        <v>0</v>
      </c>
      <c r="H515" s="1130" cm="1">
        <f t="array" ref="H515">IFERROR(IF(A515=A514,0,SUM(_xlfn._xlws.FILTER(E515:E525,(A515:A525=A515)*(E515:E525&gt;0)))),0)</f>
        <v>0</v>
      </c>
      <c r="I515" s="1130" cm="1">
        <f t="array" ref="I515">IFERROR(IF(A515=A514,0,SUM(_xlfn._xlws.FILTER(E515:E525,(A515:A525=A515)*(F515&lt;0)))),0)</f>
        <v>0</v>
      </c>
      <c r="J515" s="295" t="str">
        <f ca="1">IFERROR(_xlfn.XLOOKUP(B515,TabCalc[Ticker],TabCalc[Cur]),"")</f>
        <v>USD</v>
      </c>
      <c r="K515" s="1129" cm="1">
        <f t="array" ref="K515">IFERROR(IF($A515=$A514,0,SUM(_xlfn._xlws.FILTER($E515:$E525,($A515:$A525=$A515)*($J515:$J525=K$42)))),0)</f>
        <v>0</v>
      </c>
      <c r="L515" s="1129" cm="1">
        <f t="array" ref="L515">IFERROR(IF($A515=$A514,0,SUM(_xlfn._xlws.FILTER($E515:$E525,($A515:$A525=$A515)*($J515:$J525=L$42)))),0)</f>
        <v>0</v>
      </c>
      <c r="M515" s="1129" cm="1">
        <f t="array" ref="M515">IFERROR(IF($A515=$A514,0,SUM(_xlfn._xlws.FILTER($E515:$E525,($A515:$A525=$A515)*($J515:$J525=M$42)))),0)</f>
        <v>0</v>
      </c>
      <c r="N515" s="1129" cm="1">
        <f t="array" ref="N515">IFERROR(IF($A515=$A514,0,SUM(_xlfn._xlws.FILTER($E515:$E525,($A515:$A525=$A515)*($J515:$J525=N$42)))),0)</f>
        <v>0</v>
      </c>
    </row>
    <row r="516" spans="1:14" hidden="1">
      <c r="A516" s="452">
        <v>45923</v>
      </c>
      <c r="B516" s="465" t="s">
        <v>28</v>
      </c>
      <c r="C516" s="454">
        <v>1000</v>
      </c>
      <c r="D516" s="455">
        <v>72.319999999999993</v>
      </c>
      <c r="E516" s="1128">
        <f ca="1">IFERROR(C516*D516*_xlfn.XLOOKUP(B516,TabCalc[Ticker],TabCalc[Scale]),0)</f>
        <v>72320</v>
      </c>
      <c r="F516" s="1129" cm="1">
        <f t="array" ref="F516">IF(A516=A515,0,SUM(_xlfn._xlws.FILTER(E516:E526,A516:A526=A516)))</f>
        <v>0</v>
      </c>
      <c r="G516" s="1130">
        <f>IF(F516&lt;&gt;0,SUM($F$43:F516),0)</f>
        <v>0</v>
      </c>
      <c r="H516" s="1130" cm="1">
        <f t="array" ref="H516">IFERROR(IF(A516=A515,0,SUM(_xlfn._xlws.FILTER(E516:E526,(A516:A526=A516)*(E516:E526&gt;0)))),0)</f>
        <v>0</v>
      </c>
      <c r="I516" s="1130" cm="1">
        <f t="array" ref="I516">IFERROR(IF(A516=A515,0,SUM(_xlfn._xlws.FILTER(E516:E526,(A516:A526=A516)*(F516&lt;0)))),0)</f>
        <v>0</v>
      </c>
      <c r="J516" s="295" t="str">
        <f ca="1">IFERROR(_xlfn.XLOOKUP(B516,TabCalc[Ticker],TabCalc[Cur]),"")</f>
        <v>USD</v>
      </c>
      <c r="K516" s="1129" cm="1">
        <f t="array" ref="K516">IFERROR(IF($A516=$A515,0,SUM(_xlfn._xlws.FILTER($E516:$E526,($A516:$A526=$A516)*($J516:$J526=K$42)))),0)</f>
        <v>0</v>
      </c>
      <c r="L516" s="1129" cm="1">
        <f t="array" ref="L516">IFERROR(IF($A516=$A515,0,SUM(_xlfn._xlws.FILTER($E516:$E526,($A516:$A526=$A516)*($J516:$J526=L$42)))),0)</f>
        <v>0</v>
      </c>
      <c r="M516" s="1129" cm="1">
        <f t="array" ref="M516">IFERROR(IF($A516=$A515,0,SUM(_xlfn._xlws.FILTER($E516:$E526,($A516:$A526=$A516)*($J516:$J526=M$42)))),0)</f>
        <v>0</v>
      </c>
      <c r="N516" s="1129" cm="1">
        <f t="array" ref="N516">IFERROR(IF($A516=$A515,0,SUM(_xlfn._xlws.FILTER($E516:$E526,($A516:$A526=$A516)*($J516:$J526=N$42)))),0)</f>
        <v>0</v>
      </c>
    </row>
    <row r="517" spans="1:14" hidden="1">
      <c r="A517" s="466">
        <v>45924</v>
      </c>
      <c r="B517" s="448" t="s">
        <v>32</v>
      </c>
      <c r="C517" s="448">
        <v>200</v>
      </c>
      <c r="D517" s="448">
        <v>824.25</v>
      </c>
      <c r="E517" s="1128">
        <f ca="1">IFERROR(C517*D517*_xlfn.XLOOKUP(B517,TabCalc[Ticker],TabCalc[Scale]),0)</f>
        <v>164850</v>
      </c>
      <c r="F517" s="1129" cm="1">
        <f t="array" aca="1" ref="F517" ca="1">IF(A517=A516,0,SUM(_xlfn._xlws.FILTER(E517:E527,A517:A527=A517)))</f>
        <v>87501</v>
      </c>
      <c r="G517" s="1130">
        <f ca="1">IF(F517&lt;&gt;0,SUM($F$43:F517),0)</f>
        <v>-3176689.2445729994</v>
      </c>
      <c r="H517" s="1130" cm="1">
        <f t="array" aca="1" ref="H517" ca="1">IFERROR(IF(A517=A516,0,SUM(_xlfn._xlws.FILTER(E517:E527,(A517:A527=A517)*(E517:E527&gt;0)))),0)</f>
        <v>164850</v>
      </c>
      <c r="I517" s="1130" cm="1">
        <f t="array" aca="1" ref="I517" ca="1">IFERROR(IF(A517=A516,0,SUM(_xlfn._xlws.FILTER(E517:E527,(A517:A527=A517)*(F517&lt;0)))),0)</f>
        <v>0</v>
      </c>
      <c r="J517" s="295" t="str">
        <f ca="1">IFERROR(_xlfn.XLOOKUP(B517,TabCalc[Ticker],TabCalc[Cur]),"")</f>
        <v>EUR</v>
      </c>
      <c r="K517" s="1129" cm="1">
        <f t="array" aca="1" ref="K517" ca="1">IFERROR(IF($A517=$A516,0,SUM(_xlfn._xlws.FILTER($E517:$E527,($A517:$A527=$A517)*($J517:$J527=K$42)))),0)</f>
        <v>164850</v>
      </c>
      <c r="L517" s="1129" cm="1">
        <f t="array" aca="1" ref="L517" ca="1">IFERROR(IF($A517=$A516,0,SUM(_xlfn._xlws.FILTER($E517:$E527,($A517:$A527=$A517)*($J517:$J527=L$42)))),0)</f>
        <v>-77349</v>
      </c>
      <c r="M517" s="1129" cm="1">
        <f t="array" aca="1" ref="M517" ca="1">IFERROR(IF($A517=$A516,0,SUM(_xlfn._xlws.FILTER($E517:$E527,($A517:$A527=$A517)*($J517:$J527=M$42)))),0)</f>
        <v>0</v>
      </c>
      <c r="N517" s="1129" cm="1">
        <f t="array" aca="1" ref="N517" ca="1">IFERROR(IF($A517=$A516,0,SUM(_xlfn._xlws.FILTER($E517:$E527,($A517:$A527=$A517)*($J517:$J527=N$42)))),0)</f>
        <v>0</v>
      </c>
    </row>
    <row r="518" spans="1:14" hidden="1">
      <c r="A518" s="466">
        <v>45924</v>
      </c>
      <c r="B518" s="448" t="s">
        <v>33</v>
      </c>
      <c r="C518" s="448">
        <v>4000</v>
      </c>
      <c r="D518" s="650">
        <v>-5.19</v>
      </c>
      <c r="E518" s="1128">
        <f ca="1">IFERROR(C518*D518*_xlfn.XLOOKUP(B518,TabCalc[Ticker],TabCalc[Scale]),0)</f>
        <v>-20760</v>
      </c>
      <c r="F518" s="1129" cm="1">
        <f t="array" ref="F518">IF(A518=A517,0,SUM(_xlfn._xlws.FILTER(E518:E528,A518:A528=A518)))</f>
        <v>0</v>
      </c>
      <c r="G518" s="1130">
        <f>IF(F518&lt;&gt;0,SUM($F$43:F518),0)</f>
        <v>0</v>
      </c>
      <c r="H518" s="1130" cm="1">
        <f t="array" ref="H518">IFERROR(IF(A518=A517,0,SUM(_xlfn._xlws.FILTER(E518:E528,(A518:A528=A518)*(E518:E528&gt;0)))),0)</f>
        <v>0</v>
      </c>
      <c r="I518" s="1130" cm="1">
        <f t="array" ref="I518">IFERROR(IF(A518=A517,0,SUM(_xlfn._xlws.FILTER(E518:E528,(A518:A528=A518)*(F518&lt;0)))),0)</f>
        <v>0</v>
      </c>
      <c r="J518" s="295" t="str">
        <f ca="1">IFERROR(_xlfn.XLOOKUP(B518,TabCalc[Ticker],TabCalc[Cur]),"")</f>
        <v>USD</v>
      </c>
      <c r="K518" s="1129" cm="1">
        <f t="array" ref="K518">IFERROR(IF($A518=$A517,0,SUM(_xlfn._xlws.FILTER($E518:$E528,($A518:$A528=$A518)*($J518:$J528=K$42)))),0)</f>
        <v>0</v>
      </c>
      <c r="L518" s="1129" cm="1">
        <f t="array" ref="L518">IFERROR(IF($A518=$A517,0,SUM(_xlfn._xlws.FILTER($E518:$E528,($A518:$A528=$A518)*($J518:$J528=L$42)))),0)</f>
        <v>0</v>
      </c>
      <c r="M518" s="1129" cm="1">
        <f t="array" ref="M518">IFERROR(IF($A518=$A517,0,SUM(_xlfn._xlws.FILTER($E518:$E528,($A518:$A528=$A518)*($J518:$J528=M$42)))),0)</f>
        <v>0</v>
      </c>
      <c r="N518" s="1129" cm="1">
        <f t="array" ref="N518">IFERROR(IF($A518=$A517,0,SUM(_xlfn._xlws.FILTER($E518:$E528,($A518:$A528=$A518)*($J518:$J528=N$42)))),0)</f>
        <v>0</v>
      </c>
    </row>
    <row r="519" spans="1:14" hidden="1">
      <c r="A519" s="466">
        <v>45924</v>
      </c>
      <c r="B519" s="448" t="s">
        <v>82</v>
      </c>
      <c r="C519" s="448">
        <v>100</v>
      </c>
      <c r="D519" s="448">
        <v>-565.89</v>
      </c>
      <c r="E519" s="1128">
        <f ca="1">IFERROR(C519*D519*_xlfn.XLOOKUP(B519,TabCalc[Ticker],TabCalc[Scale]),0)</f>
        <v>-56589</v>
      </c>
      <c r="F519" s="1129" cm="1">
        <f t="array" ref="F519">IF(A519=A518,0,SUM(_xlfn._xlws.FILTER(E519:E529,A519:A529=A519)))</f>
        <v>0</v>
      </c>
      <c r="G519" s="1130">
        <f>IF(F519&lt;&gt;0,SUM($F$43:F519),0)</f>
        <v>0</v>
      </c>
      <c r="H519" s="1130" cm="1">
        <f t="array" ref="H519">IFERROR(IF(A519=A518,0,SUM(_xlfn._xlws.FILTER(E519:E529,(A519:A529=A519)*(E519:E529&gt;0)))),0)</f>
        <v>0</v>
      </c>
      <c r="I519" s="1130" cm="1">
        <f t="array" ref="I519">IFERROR(IF(A519=A518,0,SUM(_xlfn._xlws.FILTER(E519:E529,(A519:A529=A519)*(F519&lt;0)))),0)</f>
        <v>0</v>
      </c>
      <c r="J519" s="295" t="str">
        <f ca="1">IFERROR(_xlfn.XLOOKUP(B519,TabCalc[Ticker],TabCalc[Cur]),"")</f>
        <v>USD</v>
      </c>
      <c r="K519" s="1129" cm="1">
        <f t="array" ref="K519">IFERROR(IF($A519=$A518,0,SUM(_xlfn._xlws.FILTER($E519:$E529,($A519:$A529=$A519)*($J519:$J529=K$42)))),0)</f>
        <v>0</v>
      </c>
      <c r="L519" s="1129" cm="1">
        <f t="array" ref="L519">IFERROR(IF($A519=$A518,0,SUM(_xlfn._xlws.FILTER($E519:$E529,($A519:$A529=$A519)*($J519:$J529=L$42)))),0)</f>
        <v>0</v>
      </c>
      <c r="M519" s="1129" cm="1">
        <f t="array" ref="M519">IFERROR(IF($A519=$A518,0,SUM(_xlfn._xlws.FILTER($E519:$E529,($A519:$A529=$A519)*($J519:$J529=M$42)))),0)</f>
        <v>0</v>
      </c>
      <c r="N519" s="1129" cm="1">
        <f t="array" ref="N519">IFERROR(IF($A519=$A518,0,SUM(_xlfn._xlws.FILTER($E519:$E529,($A519:$A529=$A519)*($J519:$J529=N$42)))),0)</f>
        <v>0</v>
      </c>
    </row>
    <row r="520" spans="1:14" hidden="1">
      <c r="A520" s="452">
        <v>45925</v>
      </c>
      <c r="B520" s="465" t="s">
        <v>32</v>
      </c>
      <c r="C520" s="454">
        <v>200</v>
      </c>
      <c r="D520" s="455">
        <v>-804.9</v>
      </c>
      <c r="E520" s="1128">
        <f ca="1">IFERROR(C520*D520*_xlfn.XLOOKUP(B520,TabCalc[Ticker],TabCalc[Scale]),0)</f>
        <v>-160980</v>
      </c>
      <c r="F520" s="1129" cm="1">
        <f t="array" aca="1" ref="F520" ca="1">IF(A520=A519,0,SUM(_xlfn._xlws.FILTER(E520:E530,A520:A530=A520)))</f>
        <v>716.56499999999505</v>
      </c>
      <c r="G520" s="1130">
        <f ca="1">IF(F520&lt;&gt;0,SUM($F$43:F520),0)</f>
        <v>-3175972.6795729995</v>
      </c>
      <c r="H520" s="1130" cm="1">
        <f t="array" aca="1" ref="H520" ca="1">IFERROR(IF(A520=A519,0,SUM(_xlfn._xlws.FILTER(E520:E530,(A520:A530=A520)*(E520:E530&gt;0)))),0)</f>
        <v>327396.565</v>
      </c>
      <c r="I520" s="1130" cm="1">
        <f t="array" aca="1" ref="I520" ca="1">IFERROR(IF(A520=A519,0,SUM(_xlfn._xlws.FILTER(E520:E530,(A520:A530=A520)*(F520&lt;0)))),0)</f>
        <v>0</v>
      </c>
      <c r="J520" s="295" t="str">
        <f ca="1">IFERROR(_xlfn.XLOOKUP(B520,TabCalc[Ticker],TabCalc[Cur]),"")</f>
        <v>EUR</v>
      </c>
      <c r="K520" s="1129" cm="1">
        <f t="array" aca="1" ref="K520" ca="1">IFERROR(IF($A520=$A519,0,SUM(_xlfn._xlws.FILTER($E520:$E530,($A520:$A530=$A520)*($J520:$J530=K$42)))),0)</f>
        <v>30540</v>
      </c>
      <c r="L520" s="1129" cm="1">
        <f t="array" aca="1" ref="L520" ca="1">IFERROR(IF($A520=$A519,0,SUM(_xlfn._xlws.FILTER($E520:$E530,($A520:$A530=$A520)*($J520:$J530=L$42)))),0)</f>
        <v>88576.565000000002</v>
      </c>
      <c r="M520" s="1129" cm="1">
        <f t="array" aca="1" ref="M520" ca="1">IFERROR(IF($A520=$A519,0,SUM(_xlfn._xlws.FILTER($E520:$E530,($A520:$A530=$A520)*($J520:$J530=M$42)))),0)</f>
        <v>0</v>
      </c>
      <c r="N520" s="1129" cm="1">
        <f t="array" aca="1" ref="N520" ca="1">IFERROR(IF($A520=$A519,0,SUM(_xlfn._xlws.FILTER($E520:$E530,($A520:$A530=$A520)*($J520:$J530=N$42)))),0)</f>
        <v>-118400</v>
      </c>
    </row>
    <row r="521" spans="1:14" hidden="1">
      <c r="A521" s="452">
        <v>45925</v>
      </c>
      <c r="B521" s="465" t="s">
        <v>48</v>
      </c>
      <c r="C521" s="454">
        <v>2000</v>
      </c>
      <c r="D521" s="455">
        <v>-59.2</v>
      </c>
      <c r="E521" s="1128">
        <f ca="1">IFERROR(C521*D521*_xlfn.XLOOKUP(B521,TabCalc[Ticker],TabCalc[Scale]),0)</f>
        <v>-118400</v>
      </c>
      <c r="F521" s="1129" cm="1">
        <f t="array" ref="F521">IF(A521=A520,0,SUM(_xlfn._xlws.FILTER(E521:E531,A521:A531=A521)))</f>
        <v>0</v>
      </c>
      <c r="G521" s="1130">
        <f>IF(F521&lt;&gt;0,SUM($F$43:F521),0)</f>
        <v>0</v>
      </c>
      <c r="H521" s="1130" cm="1">
        <f t="array" ref="H521">IFERROR(IF(A521=A520,0,SUM(_xlfn._xlws.FILTER(E521:E531,(A521:A531=A521)*(E521:E531&gt;0)))),0)</f>
        <v>0</v>
      </c>
      <c r="I521" s="1130" cm="1">
        <f t="array" ref="I521">IFERROR(IF(A521=A520,0,SUM(_xlfn._xlws.FILTER(E521:E531,(A521:A531=A521)*(F521&lt;0)))),0)</f>
        <v>0</v>
      </c>
      <c r="J521" s="295" t="str">
        <f ca="1">IFERROR(_xlfn.XLOOKUP(B521,TabCalc[Ticker],TabCalc[Cur]),"")</f>
        <v>CHF</v>
      </c>
      <c r="K521" s="1129" cm="1">
        <f t="array" ref="K521">IFERROR(IF($A521=$A520,0,SUM(_xlfn._xlws.FILTER($E521:$E531,($A521:$A531=$A521)*($J521:$J531=K$42)))),0)</f>
        <v>0</v>
      </c>
      <c r="L521" s="1129" cm="1">
        <f t="array" ref="L521">IFERROR(IF($A521=$A520,0,SUM(_xlfn._xlws.FILTER($E521:$E531,($A521:$A531=$A521)*($J521:$J531=L$42)))),0)</f>
        <v>0</v>
      </c>
      <c r="M521" s="1129" cm="1">
        <f t="array" ref="M521">IFERROR(IF($A521=$A520,0,SUM(_xlfn._xlws.FILTER($E521:$E531,($A521:$A531=$A521)*($J521:$J531=M$42)))),0)</f>
        <v>0</v>
      </c>
      <c r="N521" s="1129" cm="1">
        <f t="array" ref="N521">IFERROR(IF($A521=$A520,0,SUM(_xlfn._xlws.FILTER($E521:$E531,($A521:$A531=$A521)*($J521:$J531=N$42)))),0)</f>
        <v>0</v>
      </c>
    </row>
    <row r="522" spans="1:14" hidden="1">
      <c r="A522" s="452">
        <v>45925</v>
      </c>
      <c r="B522" s="465" t="s">
        <v>18</v>
      </c>
      <c r="C522" s="454">
        <v>12000</v>
      </c>
      <c r="D522" s="455">
        <v>15.96</v>
      </c>
      <c r="E522" s="1128">
        <f ca="1">IFERROR(C522*D522*_xlfn.XLOOKUP(B522,TabCalc[Ticker],TabCalc[Scale]),0)</f>
        <v>191520</v>
      </c>
      <c r="F522" s="1129" cm="1">
        <f t="array" ref="F522">IF(A522=A521,0,SUM(_xlfn._xlws.FILTER(E522:E532,A522:A532=A522)))</f>
        <v>0</v>
      </c>
      <c r="G522" s="1130">
        <f>IF(F522&lt;&gt;0,SUM($F$43:F522),0)</f>
        <v>0</v>
      </c>
      <c r="H522" s="1130" cm="1">
        <f t="array" ref="H522">IFERROR(IF(A522=A521,0,SUM(_xlfn._xlws.FILTER(E522:E532,(A522:A532=A522)*(E522:E532&gt;0)))),0)</f>
        <v>0</v>
      </c>
      <c r="I522" s="1130" cm="1">
        <f t="array" ref="I522">IFERROR(IF(A522=A521,0,SUM(_xlfn._xlws.FILTER(E522:E532,(A522:A532=A522)*(F522&lt;0)))),0)</f>
        <v>0</v>
      </c>
      <c r="J522" s="295" t="str">
        <f ca="1">IFERROR(_xlfn.XLOOKUP(B522,TabCalc[Ticker],TabCalc[Cur]),"")</f>
        <v>EUR</v>
      </c>
      <c r="K522" s="1129" cm="1">
        <f t="array" ref="K522">IFERROR(IF($A522=$A521,0,SUM(_xlfn._xlws.FILTER($E522:$E532,($A522:$A532=$A522)*($J522:$J532=K$42)))),0)</f>
        <v>0</v>
      </c>
      <c r="L522" s="1129" cm="1">
        <f t="array" ref="L522">IFERROR(IF($A522=$A521,0,SUM(_xlfn._xlws.FILTER($E522:$E532,($A522:$A532=$A522)*($J522:$J532=L$42)))),0)</f>
        <v>0</v>
      </c>
      <c r="M522" s="1129" cm="1">
        <f t="array" ref="M522">IFERROR(IF($A522=$A521,0,SUM(_xlfn._xlws.FILTER($E522:$E532,($A522:$A532=$A522)*($J522:$J532=M$42)))),0)</f>
        <v>0</v>
      </c>
      <c r="N522" s="1129" cm="1">
        <f t="array" ref="N522">IFERROR(IF($A522=$A521,0,SUM(_xlfn._xlws.FILTER($E522:$E532,($A522:$A532=$A522)*($J522:$J532=N$42)))),0)</f>
        <v>0</v>
      </c>
    </row>
    <row r="523" spans="1:14" hidden="1">
      <c r="A523" s="452">
        <v>45925</v>
      </c>
      <c r="B523" s="465" t="s">
        <v>10</v>
      </c>
      <c r="C523" s="454">
        <v>249</v>
      </c>
      <c r="D523" s="455">
        <v>74.685000000000002</v>
      </c>
      <c r="E523" s="1128">
        <f ca="1">IFERROR(C523*D523*_xlfn.XLOOKUP(B523,TabCalc[Ticker],TabCalc[Scale]),0)</f>
        <v>18596.565000000002</v>
      </c>
      <c r="F523" s="1129" cm="1">
        <f t="array" ref="F523">IF(A523=A522,0,SUM(_xlfn._xlws.FILTER(E523:E533,A523:A533=A523)))</f>
        <v>0</v>
      </c>
      <c r="G523" s="1130">
        <f>IF(F523&lt;&gt;0,SUM($F$43:F523),0)</f>
        <v>0</v>
      </c>
      <c r="H523" s="1130" cm="1">
        <f t="array" ref="H523">IFERROR(IF(A523=A522,0,SUM(_xlfn._xlws.FILTER(E523:E533,(A523:A533=A523)*(E523:E533&gt;0)))),0)</f>
        <v>0</v>
      </c>
      <c r="I523" s="1130" cm="1">
        <f t="array" ref="I523">IFERROR(IF(A523=A522,0,SUM(_xlfn._xlws.FILTER(E523:E533,(A523:A533=A523)*(F523&lt;0)))),0)</f>
        <v>0</v>
      </c>
      <c r="J523" s="295" t="str">
        <f ca="1">IFERROR(_xlfn.XLOOKUP(B523,TabCalc[Ticker],TabCalc[Cur]),"")</f>
        <v>USD</v>
      </c>
      <c r="K523" s="1129" cm="1">
        <f t="array" ref="K523">IFERROR(IF($A523=$A522,0,SUM(_xlfn._xlws.FILTER($E523:$E533,($A523:$A533=$A523)*($J523:$J533=K$42)))),0)</f>
        <v>0</v>
      </c>
      <c r="L523" s="1129" cm="1">
        <f t="array" ref="L523">IFERROR(IF($A523=$A522,0,SUM(_xlfn._xlws.FILTER($E523:$E533,($A523:$A533=$A523)*($J523:$J533=L$42)))),0)</f>
        <v>0</v>
      </c>
      <c r="M523" s="1129" cm="1">
        <f t="array" ref="M523">IFERROR(IF($A523=$A522,0,SUM(_xlfn._xlws.FILTER($E523:$E533,($A523:$A533=$A523)*($J523:$J533=M$42)))),0)</f>
        <v>0</v>
      </c>
      <c r="N523" s="1129" cm="1">
        <f t="array" ref="N523">IFERROR(IF($A523=$A522,0,SUM(_xlfn._xlws.FILTER($E523:$E533,($A523:$A533=$A523)*($J523:$J533=N$42)))),0)</f>
        <v>0</v>
      </c>
    </row>
    <row r="524" spans="1:14" hidden="1">
      <c r="A524" s="452">
        <v>45925</v>
      </c>
      <c r="B524" s="465" t="s">
        <v>78</v>
      </c>
      <c r="C524" s="454">
        <v>28000</v>
      </c>
      <c r="D524" s="455">
        <v>1.52</v>
      </c>
      <c r="E524" s="1128">
        <f ca="1">IFERROR(C524*D524*_xlfn.XLOOKUP(B524,TabCalc[Ticker],TabCalc[Scale]),0)</f>
        <v>42560</v>
      </c>
      <c r="F524" s="1129" cm="1">
        <f t="array" ref="F524">IF(A524=A523,0,SUM(_xlfn._xlws.FILTER(E524:E534,A524:A534=A524)))</f>
        <v>0</v>
      </c>
      <c r="G524" s="1130">
        <f>IF(F524&lt;&gt;0,SUM($F$43:F524),0)</f>
        <v>0</v>
      </c>
      <c r="H524" s="1130" cm="1">
        <f t="array" ref="H524">IFERROR(IF(A524=A523,0,SUM(_xlfn._xlws.FILTER(E524:E534,(A524:A534=A524)*(E524:E534&gt;0)))),0)</f>
        <v>0</v>
      </c>
      <c r="I524" s="1130" cm="1">
        <f t="array" ref="I524">IFERROR(IF(A524=A523,0,SUM(_xlfn._xlws.FILTER(E524:E534,(A524:A534=A524)*(F524&lt;0)))),0)</f>
        <v>0</v>
      </c>
      <c r="J524" s="295" t="str">
        <f ca="1">IFERROR(_xlfn.XLOOKUP(B524,TabCalc[Ticker],TabCalc[Cur]),"")</f>
        <v>USD</v>
      </c>
      <c r="K524" s="1129" cm="1">
        <f t="array" ref="K524">IFERROR(IF($A524=$A523,0,SUM(_xlfn._xlws.FILTER($E524:$E534,($A524:$A534=$A524)*($J524:$J534=K$42)))),0)</f>
        <v>0</v>
      </c>
      <c r="L524" s="1129" cm="1">
        <f t="array" ref="L524">IFERROR(IF($A524=$A523,0,SUM(_xlfn._xlws.FILTER($E524:$E534,($A524:$A534=$A524)*($J524:$J534=L$42)))),0)</f>
        <v>0</v>
      </c>
      <c r="M524" s="1129" cm="1">
        <f t="array" ref="M524">IFERROR(IF($A524=$A523,0,SUM(_xlfn._xlws.FILTER($E524:$E534,($A524:$A534=$A524)*($J524:$J534=M$42)))),0)</f>
        <v>0</v>
      </c>
      <c r="N524" s="1129" cm="1">
        <f t="array" ref="N524">IFERROR(IF($A524=$A523,0,SUM(_xlfn._xlws.FILTER($E524:$E534,($A524:$A534=$A524)*($J524:$J534=N$42)))),0)</f>
        <v>0</v>
      </c>
    </row>
    <row r="525" spans="1:14" hidden="1">
      <c r="A525" s="452">
        <v>45925</v>
      </c>
      <c r="B525" s="465" t="s">
        <v>28</v>
      </c>
      <c r="C525" s="454">
        <v>1000</v>
      </c>
      <c r="D525" s="455">
        <v>74.72</v>
      </c>
      <c r="E525" s="1128">
        <f ca="1">IFERROR(C525*D525*_xlfn.XLOOKUP(B525,TabCalc[Ticker],TabCalc[Scale]),0)</f>
        <v>74720</v>
      </c>
      <c r="F525" s="1129" cm="1">
        <f t="array" ref="F525">IF(A525=A524,0,SUM(_xlfn._xlws.FILTER(E525:E535,A525:A535=A525)))</f>
        <v>0</v>
      </c>
      <c r="G525" s="1130">
        <f>IF(F525&lt;&gt;0,SUM($F$43:F525),0)</f>
        <v>0</v>
      </c>
      <c r="H525" s="1130" cm="1">
        <f t="array" ref="H525">IFERROR(IF(A525=A524,0,SUM(_xlfn._xlws.FILTER(E525:E535,(A525:A535=A525)*(E525:E535&gt;0)))),0)</f>
        <v>0</v>
      </c>
      <c r="I525" s="1130" cm="1">
        <f t="array" ref="I525">IFERROR(IF(A525=A524,0,SUM(_xlfn._xlws.FILTER(E525:E535,(A525:A535=A525)*(F525&lt;0)))),0)</f>
        <v>0</v>
      </c>
      <c r="J525" s="295" t="str">
        <f ca="1">IFERROR(_xlfn.XLOOKUP(B525,TabCalc[Ticker],TabCalc[Cur]),"")</f>
        <v>USD</v>
      </c>
      <c r="K525" s="1129" cm="1">
        <f t="array" ref="K525">IFERROR(IF($A525=$A524,0,SUM(_xlfn._xlws.FILTER($E525:$E535,($A525:$A535=$A525)*($J525:$J535=K$42)))),0)</f>
        <v>0</v>
      </c>
      <c r="L525" s="1129" cm="1">
        <f t="array" ref="L525">IFERROR(IF($A525=$A524,0,SUM(_xlfn._xlws.FILTER($E525:$E535,($A525:$A535=$A525)*($J525:$J535=L$42)))),0)</f>
        <v>0</v>
      </c>
      <c r="M525" s="1129" cm="1">
        <f t="array" ref="M525">IFERROR(IF($A525=$A524,0,SUM(_xlfn._xlws.FILTER($E525:$E535,($A525:$A535=$A525)*($J525:$J535=M$42)))),0)</f>
        <v>0</v>
      </c>
      <c r="N525" s="1129" cm="1">
        <f t="array" ref="N525">IFERROR(IF($A525=$A524,0,SUM(_xlfn._xlws.FILTER($E525:$E535,($A525:$A535=$A525)*($J525:$J535=N$42)))),0)</f>
        <v>0</v>
      </c>
    </row>
    <row r="526" spans="1:14" hidden="1">
      <c r="A526" s="452">
        <v>45925</v>
      </c>
      <c r="B526" s="465" t="s">
        <v>49</v>
      </c>
      <c r="C526" s="454">
        <v>5000</v>
      </c>
      <c r="D526" s="455">
        <v>-9.4600000000000009</v>
      </c>
      <c r="E526" s="1128">
        <f ca="1">IFERROR(C526*D526*_xlfn.XLOOKUP(B526,TabCalc[Ticker],TabCalc[Scale]),0)</f>
        <v>-47300.000000000007</v>
      </c>
      <c r="F526" s="1129" cm="1">
        <f t="array" ref="F526">IF(A526=A525,0,SUM(_xlfn._xlws.FILTER(E526:E536,A526:A536=A526)))</f>
        <v>0</v>
      </c>
      <c r="G526" s="1130">
        <f>IF(F526&lt;&gt;0,SUM($F$43:F526),0)</f>
        <v>0</v>
      </c>
      <c r="H526" s="1130" cm="1">
        <f t="array" ref="H526">IFERROR(IF(A526=A525,0,SUM(_xlfn._xlws.FILTER(E526:E536,(A526:A536=A526)*(E526:E536&gt;0)))),0)</f>
        <v>0</v>
      </c>
      <c r="I526" s="1130" cm="1">
        <f t="array" ref="I526">IFERROR(IF(A526=A525,0,SUM(_xlfn._xlws.FILTER(E526:E536,(A526:A536=A526)*(F526&lt;0)))),0)</f>
        <v>0</v>
      </c>
      <c r="J526" s="295" t="str">
        <f ca="1">IFERROR(_xlfn.XLOOKUP(B526,TabCalc[Ticker],TabCalc[Cur]),"")</f>
        <v>USD</v>
      </c>
      <c r="K526" s="1129" cm="1">
        <f t="array" ref="K526">IFERROR(IF($A526=$A525,0,SUM(_xlfn._xlws.FILTER($E526:$E536,($A526:$A536=$A526)*($J526:$J536=K$42)))),0)</f>
        <v>0</v>
      </c>
      <c r="L526" s="1129" cm="1">
        <f t="array" ref="L526">IFERROR(IF($A526=$A525,0,SUM(_xlfn._xlws.FILTER($E526:$E536,($A526:$A536=$A526)*($J526:$J536=L$42)))),0)</f>
        <v>0</v>
      </c>
      <c r="M526" s="1129" cm="1">
        <f t="array" ref="M526">IFERROR(IF($A526=$A525,0,SUM(_xlfn._xlws.FILTER($E526:$E536,($A526:$A536=$A526)*($J526:$J536=M$42)))),0)</f>
        <v>0</v>
      </c>
      <c r="N526" s="1129" cm="1">
        <f t="array" ref="N526">IFERROR(IF($A526=$A525,0,SUM(_xlfn._xlws.FILTER($E526:$E536,($A526:$A536=$A526)*($J526:$J536=N$42)))),0)</f>
        <v>0</v>
      </c>
    </row>
    <row r="527" spans="1:14" hidden="1">
      <c r="A527" s="466">
        <v>45926</v>
      </c>
      <c r="B527" s="448" t="s">
        <v>9</v>
      </c>
      <c r="C527" s="1188">
        <v>1000</v>
      </c>
      <c r="D527" s="650">
        <v>-67.2</v>
      </c>
      <c r="E527" s="1128">
        <f ca="1">IFERROR(C527*D527*_xlfn.XLOOKUP(B527,TabCalc[Ticker],TabCalc[Scale]),0)</f>
        <v>-67200</v>
      </c>
      <c r="F527" s="1129" cm="1">
        <f t="array" aca="1" ref="F527" ca="1">IF(A527=A526,0,SUM(_xlfn._xlws.FILTER(E527:E537,A527:A537=A527)))</f>
        <v>19473.509999999995</v>
      </c>
      <c r="G527" s="1130">
        <f ca="1">IF(F527&lt;&gt;0,SUM($F$43:F527),0)</f>
        <v>-3156499.1695729997</v>
      </c>
      <c r="H527" s="1130" cm="1">
        <f t="array" aca="1" ref="H527" ca="1">IFERROR(IF(A527=A526,0,SUM(_xlfn._xlws.FILTER(E527:E537,(A527:A537=A527)*(E527:E537&gt;0)))),0)</f>
        <v>179011</v>
      </c>
      <c r="I527" s="1130" cm="1">
        <f t="array" aca="1" ref="I527" ca="1">IFERROR(IF(A527=A526,0,SUM(_xlfn._xlws.FILTER(E527:E537,(A527:A537=A527)*(F527&lt;0)))),0)</f>
        <v>0</v>
      </c>
      <c r="J527" s="295" t="str">
        <f ca="1">IFERROR(_xlfn.XLOOKUP(B527,TabCalc[Ticker],TabCalc[Cur]),"")</f>
        <v>USD</v>
      </c>
      <c r="K527" s="1129" cm="1">
        <f t="array" aca="1" ref="K527" ca="1">IFERROR(IF($A527=$A526,0,SUM(_xlfn._xlws.FILTER($E527:$E537,($A527:$A537=$A527)*($J527:$J537=K$42)))),0)</f>
        <v>0</v>
      </c>
      <c r="L527" s="1129" cm="1">
        <f t="array" aca="1" ref="L527" ca="1">IFERROR(IF($A527=$A526,0,SUM(_xlfn._xlws.FILTER($E527:$E537,($A527:$A537=$A527)*($J527:$J537=L$42)))),0)</f>
        <v>19473.509999999995</v>
      </c>
      <c r="M527" s="1129" cm="1">
        <f t="array" aca="1" ref="M527" ca="1">IFERROR(IF($A527=$A526,0,SUM(_xlfn._xlws.FILTER($E527:$E537,($A527:$A537=$A527)*($J527:$J537=M$42)))),0)</f>
        <v>0</v>
      </c>
      <c r="N527" s="1129" cm="1">
        <f t="array" aca="1" ref="N527" ca="1">IFERROR(IF($A527=$A526,0,SUM(_xlfn._xlws.FILTER($E527:$E537,($A527:$A537=$A527)*($J527:$J537=N$42)))),0)</f>
        <v>0</v>
      </c>
    </row>
    <row r="528" spans="1:14" hidden="1">
      <c r="A528" s="466">
        <v>45926</v>
      </c>
      <c r="B528" s="448" t="s">
        <v>51</v>
      </c>
      <c r="C528" s="1188">
        <v>300</v>
      </c>
      <c r="D528" s="650">
        <v>-117.49</v>
      </c>
      <c r="E528" s="1128">
        <f ca="1">IFERROR(C528*D528*_xlfn.XLOOKUP(B528,TabCalc[Ticker],TabCalc[Scale]),0)</f>
        <v>-35247</v>
      </c>
      <c r="F528" s="1129" cm="1">
        <f t="array" ref="F528">IF(A528=A527,0,SUM(_xlfn._xlws.FILTER(E528:E538,A528:A538=A528)))</f>
        <v>0</v>
      </c>
      <c r="G528" s="1130">
        <f>IF(F528&lt;&gt;0,SUM($F$43:F528),0)</f>
        <v>0</v>
      </c>
      <c r="H528" s="1130" cm="1">
        <f t="array" ref="H528">IFERROR(IF(A528=A527,0,SUM(_xlfn._xlws.FILTER(E528:E538,(A528:A538=A528)*(E528:E538&gt;0)))),0)</f>
        <v>0</v>
      </c>
      <c r="I528" s="1130" cm="1">
        <f t="array" ref="I528">IFERROR(IF(A528=A527,0,SUM(_xlfn._xlws.FILTER(E528:E538,(A528:A538=A528)*(F528&lt;0)))),0)</f>
        <v>0</v>
      </c>
      <c r="J528" s="295" t="str">
        <f ca="1">IFERROR(_xlfn.XLOOKUP(B528,TabCalc[Ticker],TabCalc[Cur]),"")</f>
        <v>USD</v>
      </c>
      <c r="K528" s="1129" cm="1">
        <f t="array" ref="K528">IFERROR(IF($A528=$A527,0,SUM(_xlfn._xlws.FILTER($E528:$E538,($A528:$A538=$A528)*($J528:$J538=K$42)))),0)</f>
        <v>0</v>
      </c>
      <c r="L528" s="1129" cm="1">
        <f t="array" ref="L528">IFERROR(IF($A528=$A527,0,SUM(_xlfn._xlws.FILTER($E528:$E538,($A528:$A538=$A528)*($J528:$J538=L$42)))),0)</f>
        <v>0</v>
      </c>
      <c r="M528" s="1129" cm="1">
        <f t="array" ref="M528">IFERROR(IF($A528=$A527,0,SUM(_xlfn._xlws.FILTER($E528:$E538,($A528:$A538=$A528)*($J528:$J538=M$42)))),0)</f>
        <v>0</v>
      </c>
      <c r="N528" s="1129" cm="1">
        <f t="array" ref="N528">IFERROR(IF($A528=$A527,0,SUM(_xlfn._xlws.FILTER($E528:$E538,($A528:$A538=$A528)*($J528:$J538=N$42)))),0)</f>
        <v>0</v>
      </c>
    </row>
    <row r="529" spans="1:14" hidden="1">
      <c r="A529" s="466">
        <v>45926</v>
      </c>
      <c r="B529" s="448" t="s">
        <v>27</v>
      </c>
      <c r="C529" s="1188">
        <v>200</v>
      </c>
      <c r="D529" s="650">
        <v>511.495</v>
      </c>
      <c r="E529" s="1128">
        <f ca="1">IFERROR(C529*D529*_xlfn.XLOOKUP(B529,TabCalc[Ticker],TabCalc[Scale]),0)</f>
        <v>102299</v>
      </c>
      <c r="F529" s="1129" cm="1">
        <f t="array" ref="F529">IF(A529=A528,0,SUM(_xlfn._xlws.FILTER(E529:E539,A529:A539=A529)))</f>
        <v>0</v>
      </c>
      <c r="G529" s="1130">
        <f>IF(F529&lt;&gt;0,SUM($F$43:F529),0)</f>
        <v>0</v>
      </c>
      <c r="H529" s="1130" cm="1">
        <f t="array" ref="H529">IFERROR(IF(A529=A528,0,SUM(_xlfn._xlws.FILTER(E529:E539,(A529:A539=A529)*(E529:E539&gt;0)))),0)</f>
        <v>0</v>
      </c>
      <c r="I529" s="1130" cm="1">
        <f t="array" ref="I529">IFERROR(IF(A529=A528,0,SUM(_xlfn._xlws.FILTER(E529:E539,(A529:A539=A529)*(F529&lt;0)))),0)</f>
        <v>0</v>
      </c>
      <c r="J529" s="295" t="str">
        <f ca="1">IFERROR(_xlfn.XLOOKUP(B529,TabCalc[Ticker],TabCalc[Cur]),"")</f>
        <v>USD</v>
      </c>
      <c r="K529" s="1129" cm="1">
        <f t="array" ref="K529">IFERROR(IF($A529=$A528,0,SUM(_xlfn._xlws.FILTER($E529:$E539,($A529:$A539=$A529)*($J529:$J539=K$42)))),0)</f>
        <v>0</v>
      </c>
      <c r="L529" s="1129" cm="1">
        <f t="array" ref="L529">IFERROR(IF($A529=$A528,0,SUM(_xlfn._xlws.FILTER($E529:$E539,($A529:$A539=$A529)*($J529:$J539=L$42)))),0)</f>
        <v>0</v>
      </c>
      <c r="M529" s="1129" cm="1">
        <f t="array" ref="M529">IFERROR(IF($A529=$A528,0,SUM(_xlfn._xlws.FILTER($E529:$E539,($A529:$A539=$A529)*($J529:$J539=M$42)))),0)</f>
        <v>0</v>
      </c>
      <c r="N529" s="1129" cm="1">
        <f t="array" ref="N529">IFERROR(IF($A529=$A528,0,SUM(_xlfn._xlws.FILTER($E529:$E539,($A529:$A539=$A529)*($J529:$J539=N$42)))),0)</f>
        <v>0</v>
      </c>
    </row>
    <row r="530" spans="1:14" hidden="1">
      <c r="A530" s="466">
        <v>45926</v>
      </c>
      <c r="B530" s="448" t="s">
        <v>28</v>
      </c>
      <c r="C530" s="1188">
        <v>1000</v>
      </c>
      <c r="D530" s="448">
        <v>76.712000000000003</v>
      </c>
      <c r="E530" s="1128">
        <f ca="1">IFERROR(C530*D530*_xlfn.XLOOKUP(B530,TabCalc[Ticker],TabCalc[Scale]),0)</f>
        <v>76712</v>
      </c>
      <c r="F530" s="1129" cm="1">
        <f t="array" ref="F530">IF(A530=A529,0,SUM(_xlfn._xlws.FILTER(E530:E540,A530:A540=A530)))</f>
        <v>0</v>
      </c>
      <c r="G530" s="1130">
        <f>IF(F530&lt;&gt;0,SUM($F$43:F530),0)</f>
        <v>0</v>
      </c>
      <c r="H530" s="1130" cm="1">
        <f t="array" ref="H530">IFERROR(IF(A530=A529,0,SUM(_xlfn._xlws.FILTER(E530:E540,(A530:A540=A530)*(E530:E540&gt;0)))),0)</f>
        <v>0</v>
      </c>
      <c r="I530" s="1130" cm="1">
        <f t="array" ref="I530">IFERROR(IF(A530=A529,0,SUM(_xlfn._xlws.FILTER(E530:E540,(A530:A540=A530)*(F530&lt;0)))),0)</f>
        <v>0</v>
      </c>
      <c r="J530" s="295" t="str">
        <f ca="1">IFERROR(_xlfn.XLOOKUP(B530,TabCalc[Ticker],TabCalc[Cur]),"")</f>
        <v>USD</v>
      </c>
      <c r="K530" s="1129" cm="1">
        <f t="array" ref="K530">IFERROR(IF($A530=$A529,0,SUM(_xlfn._xlws.FILTER($E530:$E540,($A530:$A540=$A530)*($J530:$J540=K$42)))),0)</f>
        <v>0</v>
      </c>
      <c r="L530" s="1129" cm="1">
        <f t="array" ref="L530">IFERROR(IF($A530=$A529,0,SUM(_xlfn._xlws.FILTER($E530:$E540,($A530:$A540=$A530)*($J530:$J540=L$42)))),0)</f>
        <v>0</v>
      </c>
      <c r="M530" s="1129" cm="1">
        <f t="array" ref="M530">IFERROR(IF($A530=$A529,0,SUM(_xlfn._xlws.FILTER($E530:$E540,($A530:$A540=$A530)*($J530:$J540=M$42)))),0)</f>
        <v>0</v>
      </c>
      <c r="N530" s="1129" cm="1">
        <f t="array" ref="N530">IFERROR(IF($A530=$A529,0,SUM(_xlfn._xlws.FILTER($E530:$E540,($A530:$A540=$A530)*($J530:$J540=N$42)))),0)</f>
        <v>0</v>
      </c>
    </row>
    <row r="531" spans="1:14">
      <c r="A531" s="466">
        <v>45926</v>
      </c>
      <c r="B531" s="448" t="s">
        <v>35</v>
      </c>
      <c r="C531" s="1188">
        <v>2000</v>
      </c>
      <c r="D531" s="448">
        <v>-28.545245000000001</v>
      </c>
      <c r="E531" s="1128">
        <f ca="1">IFERROR(C531*D531*_xlfn.XLOOKUP(B531,TabCalc[Ticker],TabCalc[Scale]),0)</f>
        <v>-57090.490000000005</v>
      </c>
      <c r="F531" s="1129" cm="1">
        <f t="array" ref="F531">IF(A531=A530,0,SUM(_xlfn._xlws.FILTER(E531:E541,A531:A541=A531)))</f>
        <v>0</v>
      </c>
      <c r="G531" s="1130">
        <f>IF(F531&lt;&gt;0,SUM($F$43:F531),0)</f>
        <v>0</v>
      </c>
      <c r="H531" s="1130" cm="1">
        <f t="array" ref="H531">IFERROR(IF(A531=A530,0,SUM(_xlfn._xlws.FILTER(E531:E541,(A531:A541=A531)*(E531:E541&gt;0)))),0)</f>
        <v>0</v>
      </c>
      <c r="I531" s="1130" cm="1">
        <f t="array" ref="I531">IFERROR(IF(A531=A530,0,SUM(_xlfn._xlws.FILTER(E531:E541,(A531:A541=A531)*(F531&lt;0)))),0)</f>
        <v>0</v>
      </c>
      <c r="J531" s="295" t="str">
        <f ca="1">IFERROR(_xlfn.XLOOKUP(B531,TabCalc[Ticker],TabCalc[Cur]),"")</f>
        <v>USD</v>
      </c>
      <c r="K531" s="1129" cm="1">
        <f t="array" ref="K531">IFERROR(IF($A531=$A530,0,SUM(_xlfn._xlws.FILTER($E531:$E541,($A531:$A541=$A531)*($J531:$J541=K$42)))),0)</f>
        <v>0</v>
      </c>
      <c r="L531" s="1129" cm="1">
        <f t="array" ref="L531">IFERROR(IF($A531=$A530,0,SUM(_xlfn._xlws.FILTER($E531:$E541,($A531:$A541=$A531)*($J531:$J541=L$42)))),0)</f>
        <v>0</v>
      </c>
      <c r="M531" s="1129" cm="1">
        <f t="array" ref="M531">IFERROR(IF($A531=$A530,0,SUM(_xlfn._xlws.FILTER($E531:$E541,($A531:$A541=$A531)*($J531:$J541=M$42)))),0)</f>
        <v>0</v>
      </c>
      <c r="N531" s="1129" cm="1">
        <f t="array" ref="N531">IFERROR(IF($A531=$A530,0,SUM(_xlfn._xlws.FILTER($E531:$E541,($A531:$A541=$A531)*($J531:$J541=N$42)))),0)</f>
        <v>0</v>
      </c>
    </row>
    <row r="532" spans="1:14">
      <c r="A532" s="452">
        <v>45929</v>
      </c>
      <c r="B532" s="465" t="s">
        <v>2572</v>
      </c>
      <c r="C532" s="454">
        <v>300</v>
      </c>
      <c r="D532" s="455">
        <v>828.2</v>
      </c>
      <c r="E532" s="1128">
        <f ca="1">IFERROR(C532*D532*_xlfn.XLOOKUP(B532,TabCalc[Ticker],TabCalc[Scale]),0)</f>
        <v>0</v>
      </c>
      <c r="F532" s="1129" cm="1">
        <f t="array" aca="1" ref="F532" ca="1">IF(A532=A531,0,SUM(_xlfn._xlws.FILTER(E532:E542,A532:A542=A532)))</f>
        <v>167002.25</v>
      </c>
      <c r="G532" s="1130">
        <f ca="1">IF(F532&lt;&gt;0,SUM($F$43:F532),0)</f>
        <v>-2989496.9195729997</v>
      </c>
      <c r="H532" s="1130" cm="1">
        <f t="array" aca="1" ref="H532" ca="1">IFERROR(IF(A532=A531,0,SUM(_xlfn._xlws.FILTER(E532:E542,(A532:A542=A532)*(E532:E542&gt;0)))),0)</f>
        <v>167002.25</v>
      </c>
      <c r="I532" s="1130" cm="1">
        <f t="array" aca="1" ref="I532" ca="1">IFERROR(IF(A532=A531,0,SUM(_xlfn._xlws.FILTER(E532:E542,(A532:A542=A532)*(F532&lt;0)))),0)</f>
        <v>0</v>
      </c>
      <c r="J532" s="295" t="str">
        <f ca="1">IFERROR(_xlfn.XLOOKUP(B532,TabCalc[Ticker],TabCalc[Cur]),"")</f>
        <v/>
      </c>
      <c r="K532" s="1129" cm="1">
        <f t="array" aca="1" ref="K532" ca="1">IFERROR(IF($A532=$A531,0,SUM(_xlfn._xlws.FILTER($E532:$E542,($A532:$A542=$A532)*($J532:$J542=K$42)))),0)</f>
        <v>0</v>
      </c>
      <c r="L532" s="1129" cm="1">
        <f t="array" aca="1" ref="L532" ca="1">IFERROR(IF($A532=$A531,0,SUM(_xlfn._xlws.FILTER($E532:$E542,($A532:$A542=$A532)*($J532:$J542=L$42)))),0)</f>
        <v>167002.25</v>
      </c>
      <c r="M532" s="1129" cm="1">
        <f t="array" aca="1" ref="M532" ca="1">IFERROR(IF($A532=$A531,0,SUM(_xlfn._xlws.FILTER($E532:$E542,($A532:$A542=$A532)*($J532:$J542=M$42)))),0)</f>
        <v>0</v>
      </c>
      <c r="N532" s="1129" cm="1">
        <f t="array" aca="1" ref="N532" ca="1">IFERROR(IF($A532=$A531,0,SUM(_xlfn._xlws.FILTER($E532:$E542,($A532:$A542=$A532)*($J532:$J542=N$42)))),0)</f>
        <v>0</v>
      </c>
    </row>
    <row r="533" spans="1:14">
      <c r="A533" s="452">
        <v>45929</v>
      </c>
      <c r="B533" s="465" t="s">
        <v>3</v>
      </c>
      <c r="C533" s="454">
        <v>200</v>
      </c>
      <c r="D533" s="455">
        <v>221.51499999999999</v>
      </c>
      <c r="E533" s="1128">
        <f ca="1">IFERROR(C533*D533*_xlfn.XLOOKUP(B533,TabCalc[Ticker],TabCalc[Scale]),0)</f>
        <v>44303</v>
      </c>
      <c r="F533" s="1129" cm="1">
        <f t="array" ref="F533">IF(A533=A532,0,SUM(_xlfn._xlws.FILTER(E533:E543,A533:A543=A533)))</f>
        <v>0</v>
      </c>
      <c r="G533" s="1130">
        <f>IF(F533&lt;&gt;0,SUM($F$43:F533),0)</f>
        <v>0</v>
      </c>
      <c r="H533" s="1130" cm="1">
        <f t="array" ref="H533">IFERROR(IF(A533=A532,0,SUM(_xlfn._xlws.FILTER(E533:E543,(A533:A543=A533)*(E533:E543&gt;0)))),0)</f>
        <v>0</v>
      </c>
      <c r="I533" s="1130" cm="1">
        <f t="array" ref="I533">IFERROR(IF(A533=A532,0,SUM(_xlfn._xlws.FILTER(E533:E543,(A533:A543=A533)*(F533&lt;0)))),0)</f>
        <v>0</v>
      </c>
      <c r="J533" s="295" t="str">
        <f ca="1">IFERROR(_xlfn.XLOOKUP(B533,TabCalc[Ticker],TabCalc[Cur]),"")</f>
        <v>USD</v>
      </c>
      <c r="K533" s="1129" cm="1">
        <f t="array" ref="K533">IFERROR(IF($A533=$A532,0,SUM(_xlfn._xlws.FILTER($E533:$E543,($A533:$A543=$A533)*($J533:$J543=K$42)))),0)</f>
        <v>0</v>
      </c>
      <c r="L533" s="1129" cm="1">
        <f t="array" ref="L533">IFERROR(IF($A533=$A532,0,SUM(_xlfn._xlws.FILTER($E533:$E543,($A533:$A543=$A533)*($J533:$J543=L$42)))),0)</f>
        <v>0</v>
      </c>
      <c r="M533" s="1129" cm="1">
        <f t="array" ref="M533">IFERROR(IF($A533=$A532,0,SUM(_xlfn._xlws.FILTER($E533:$E543,($A533:$A543=$A533)*($J533:$J543=M$42)))),0)</f>
        <v>0</v>
      </c>
      <c r="N533" s="1129" cm="1">
        <f t="array" ref="N533">IFERROR(IF($A533=$A532,0,SUM(_xlfn._xlws.FILTER($E533:$E543,($A533:$A543=$A533)*($J533:$J543=N$42)))),0)</f>
        <v>0</v>
      </c>
    </row>
    <row r="534" spans="1:14">
      <c r="A534" s="452">
        <v>45929</v>
      </c>
      <c r="B534" s="465" t="s">
        <v>27</v>
      </c>
      <c r="C534" s="454">
        <v>200</v>
      </c>
      <c r="D534" s="455">
        <v>515.245</v>
      </c>
      <c r="E534" s="1128">
        <f ca="1">IFERROR(C534*D534*_xlfn.XLOOKUP(B534,TabCalc[Ticker],TabCalc[Scale]),0)</f>
        <v>103049</v>
      </c>
      <c r="F534" s="1129" cm="1">
        <f t="array" ref="F534">IF(A534=A533,0,SUM(_xlfn._xlws.FILTER(E534:E544,A534:A544=A534)))</f>
        <v>0</v>
      </c>
      <c r="G534" s="1130">
        <f>IF(F534&lt;&gt;0,SUM($F$43:F534),0)</f>
        <v>0</v>
      </c>
      <c r="H534" s="1130" cm="1">
        <f t="array" ref="H534">IFERROR(IF(A534=A533,0,SUM(_xlfn._xlws.FILTER(E534:E544,(A534:A544=A534)*(E534:E544&gt;0)))),0)</f>
        <v>0</v>
      </c>
      <c r="I534" s="1130" cm="1">
        <f t="array" ref="I534">IFERROR(IF(A534=A533,0,SUM(_xlfn._xlws.FILTER(E534:E544,(A534:A544=A534)*(F534&lt;0)))),0)</f>
        <v>0</v>
      </c>
      <c r="J534" s="295" t="str">
        <f ca="1">IFERROR(_xlfn.XLOOKUP(B534,TabCalc[Ticker],TabCalc[Cur]),"")</f>
        <v>USD</v>
      </c>
      <c r="K534" s="1129" cm="1">
        <f t="array" ref="K534">IFERROR(IF($A534=$A533,0,SUM(_xlfn._xlws.FILTER($E534:$E544,($A534:$A544=$A534)*($J534:$J544=K$42)))),0)</f>
        <v>0</v>
      </c>
      <c r="L534" s="1129" cm="1">
        <f t="array" ref="L534">IFERROR(IF($A534=$A533,0,SUM(_xlfn._xlws.FILTER($E534:$E544,($A534:$A544=$A534)*($J534:$J544=L$42)))),0)</f>
        <v>0</v>
      </c>
      <c r="M534" s="1129" cm="1">
        <f t="array" ref="M534">IFERROR(IF($A534=$A533,0,SUM(_xlfn._xlws.FILTER($E534:$E544,($A534:$A544=$A534)*($J534:$J544=M$42)))),0)</f>
        <v>0</v>
      </c>
      <c r="N534" s="1129" cm="1">
        <f t="array" ref="N534">IFERROR(IF($A534=$A533,0,SUM(_xlfn._xlws.FILTER($E534:$E544,($A534:$A544=$A534)*($J534:$J544=N$42)))),0)</f>
        <v>0</v>
      </c>
    </row>
    <row r="535" spans="1:14">
      <c r="A535" s="452">
        <v>45929</v>
      </c>
      <c r="B535" s="465" t="s">
        <v>31</v>
      </c>
      <c r="C535" s="454">
        <v>500</v>
      </c>
      <c r="D535" s="455">
        <v>39.3005</v>
      </c>
      <c r="E535" s="1128">
        <f ca="1">IFERROR(C535*D535*_xlfn.XLOOKUP(B535,TabCalc[Ticker],TabCalc[Scale]),0)</f>
        <v>19650.25</v>
      </c>
      <c r="F535" s="1129" cm="1">
        <f t="array" ref="F535">IF(A535=A534,0,SUM(_xlfn._xlws.FILTER(E535:E545,A535:A545=A535)))</f>
        <v>0</v>
      </c>
      <c r="G535" s="1130">
        <f>IF(F535&lt;&gt;0,SUM($F$43:F535),0)</f>
        <v>0</v>
      </c>
      <c r="H535" s="1130" cm="1">
        <f t="array" ref="H535">IFERROR(IF(A535=A534,0,SUM(_xlfn._xlws.FILTER(E535:E545,(A535:A545=A535)*(E535:E545&gt;0)))),0)</f>
        <v>0</v>
      </c>
      <c r="I535" s="1130" cm="1">
        <f t="array" ref="I535">IFERROR(IF(A535=A534,0,SUM(_xlfn._xlws.FILTER(E535:E545,(A535:A545=A535)*(F535&lt;0)))),0)</f>
        <v>0</v>
      </c>
      <c r="J535" s="295" t="str">
        <f ca="1">IFERROR(_xlfn.XLOOKUP(B535,TabCalc[Ticker],TabCalc[Cur]),"")</f>
        <v>USD</v>
      </c>
      <c r="K535" s="1129" cm="1">
        <f t="array" ref="K535">IFERROR(IF($A535=$A534,0,SUM(_xlfn._xlws.FILTER($E535:$E545,($A535:$A545=$A535)*($J535:$J545=K$42)))),0)</f>
        <v>0</v>
      </c>
      <c r="L535" s="1129" cm="1">
        <f t="array" ref="L535">IFERROR(IF($A535=$A534,0,SUM(_xlfn._xlws.FILTER($E535:$E545,($A535:$A545=$A535)*($J535:$J545=L$42)))),0)</f>
        <v>0</v>
      </c>
      <c r="M535" s="1129" cm="1">
        <f t="array" ref="M535">IFERROR(IF($A535=$A534,0,SUM(_xlfn._xlws.FILTER($E535:$E545,($A535:$A545=$A535)*($J535:$J545=M$42)))),0)</f>
        <v>0</v>
      </c>
      <c r="N535" s="1129" cm="1">
        <f t="array" ref="N535">IFERROR(IF($A535=$A534,0,SUM(_xlfn._xlws.FILTER($E535:$E545,($A535:$A545=$A535)*($J535:$J545=N$42)))),0)</f>
        <v>0</v>
      </c>
    </row>
    <row r="536" spans="1:14">
      <c r="A536" s="466">
        <v>45931</v>
      </c>
      <c r="B536" s="448" t="s">
        <v>20</v>
      </c>
      <c r="C536" s="448">
        <v>800</v>
      </c>
      <c r="D536" s="448">
        <v>24.82</v>
      </c>
      <c r="E536" s="1128">
        <f ca="1">IFERROR(C536*D536*_xlfn.XLOOKUP(B536,TabCalc[Ticker],TabCalc[Scale]),0)</f>
        <v>19856</v>
      </c>
      <c r="F536" s="1129" cm="1">
        <f t="array" aca="1" ref="F536" ca="1">IF(A536=A535,0,SUM(_xlfn._xlws.FILTER(E536:E546,A536:A546=A536)))</f>
        <v>19856</v>
      </c>
      <c r="G536" s="1130">
        <f ca="1">IF(F536&lt;&gt;0,SUM($F$43:F536),0)</f>
        <v>-2969640.9195729997</v>
      </c>
      <c r="H536" s="1130" cm="1">
        <f t="array" aca="1" ref="H536" ca="1">IFERROR(IF(A536=A535,0,SUM(_xlfn._xlws.FILTER(E536:E546,(A536:A546=A536)*(E536:E546&gt;0)))),0)</f>
        <v>19856</v>
      </c>
      <c r="I536" s="1130" cm="1">
        <f t="array" aca="1" ref="I536" ca="1">IFERROR(IF(A536=A535,0,SUM(_xlfn._xlws.FILTER(E536:E546,(A536:A546=A536)*(F536&lt;0)))),0)</f>
        <v>0</v>
      </c>
      <c r="J536" s="295" t="str">
        <f ca="1">IFERROR(_xlfn.XLOOKUP(B536,TabCalc[Ticker],TabCalc[Cur]),"")</f>
        <v>USD</v>
      </c>
      <c r="K536" s="1129" cm="1">
        <f t="array" aca="1" ref="K536" ca="1">IFERROR(IF($A536=$A535,0,SUM(_xlfn._xlws.FILTER($E536:$E546,($A536:$A546=$A536)*($J536:$J546=K$42)))),0)</f>
        <v>0</v>
      </c>
      <c r="L536" s="1129" cm="1">
        <f t="array" aca="1" ref="L536" ca="1">IFERROR(IF($A536=$A535,0,SUM(_xlfn._xlws.FILTER($E536:$E546,($A536:$A546=$A536)*($J536:$J546=L$42)))),0)</f>
        <v>19856</v>
      </c>
      <c r="M536" s="1129" cm="1">
        <f t="array" aca="1" ref="M536" ca="1">IFERROR(IF($A536=$A535,0,SUM(_xlfn._xlws.FILTER($E536:$E546,($A536:$A546=$A536)*($J536:$J546=M$42)))),0)</f>
        <v>0</v>
      </c>
      <c r="N536" s="1129" cm="1">
        <f t="array" aca="1" ref="N536" ca="1">IFERROR(IF($A536=$A535,0,SUM(_xlfn._xlws.FILTER($E536:$E546,($A536:$A546=$A536)*($J536:$J546=N$42)))),0)</f>
        <v>0</v>
      </c>
    </row>
    <row r="537" spans="1:14">
      <c r="A537" s="452">
        <v>45932</v>
      </c>
      <c r="B537" s="465" t="s">
        <v>32</v>
      </c>
      <c r="C537" s="454">
        <v>200</v>
      </c>
      <c r="D537" s="455">
        <v>880.6</v>
      </c>
      <c r="E537" s="1128">
        <f ca="1">IFERROR(C537*D537*_xlfn.XLOOKUP(B537,TabCalc[Ticker],TabCalc[Scale]),0)</f>
        <v>176120</v>
      </c>
      <c r="F537" s="1129" cm="1">
        <f t="array" aca="1" ref="F537" ca="1">IF(A537=A536,0,SUM(_xlfn._xlws.FILTER(E537:E547,A537:A547=A537)))</f>
        <v>59945</v>
      </c>
      <c r="G537" s="1130">
        <f ca="1">IF(F537&lt;&gt;0,SUM($F$43:F537),0)</f>
        <v>-2909695.9195729997</v>
      </c>
      <c r="H537" s="1130" cm="1">
        <f t="array" aca="1" ref="H537" ca="1">IFERROR(IF(A537=A536,0,SUM(_xlfn._xlws.FILTER(E537:E547,(A537:A547=A537)*(E537:E547&gt;0)))),0)</f>
        <v>176120</v>
      </c>
      <c r="I537" s="1130" cm="1">
        <f t="array" aca="1" ref="I537" ca="1">IFERROR(IF(A537=A536,0,SUM(_xlfn._xlws.FILTER(E537:E547,(A537:A547=A537)*(F537&lt;0)))),0)</f>
        <v>0</v>
      </c>
      <c r="J537" s="295" t="str">
        <f ca="1">IFERROR(_xlfn.XLOOKUP(B537,TabCalc[Ticker],TabCalc[Cur]),"")</f>
        <v>EUR</v>
      </c>
      <c r="K537" s="1129" cm="1">
        <f t="array" aca="1" ref="K537" ca="1">IFERROR(IF($A537=$A536,0,SUM(_xlfn._xlws.FILTER($E537:$E547,($A537:$A547=$A537)*($J537:$J547=K$42)))),0)</f>
        <v>59945</v>
      </c>
      <c r="L537" s="1129" cm="1">
        <f t="array" aca="1" ref="L537" ca="1">IFERROR(IF($A537=$A536,0,SUM(_xlfn._xlws.FILTER($E537:$E547,($A537:$A547=$A537)*($J537:$J547=L$42)))),0)</f>
        <v>0</v>
      </c>
      <c r="M537" s="1129" cm="1">
        <f t="array" aca="1" ref="M537" ca="1">IFERROR(IF($A537=$A536,0,SUM(_xlfn._xlws.FILTER($E537:$E547,($A537:$A547=$A537)*($J537:$J547=M$42)))),0)</f>
        <v>0</v>
      </c>
      <c r="N537" s="1129" cm="1">
        <f t="array" aca="1" ref="N537" ca="1">IFERROR(IF($A537=$A536,0,SUM(_xlfn._xlws.FILTER($E537:$E547,($A537:$A547=$A537)*($J537:$J547=N$42)))),0)</f>
        <v>0</v>
      </c>
    </row>
    <row r="538" spans="1:14">
      <c r="A538" s="452">
        <v>45932</v>
      </c>
      <c r="B538" s="465" t="s">
        <v>38</v>
      </c>
      <c r="C538" s="454">
        <v>500</v>
      </c>
      <c r="D538" s="455">
        <v>-232.35</v>
      </c>
      <c r="E538" s="1128">
        <f ca="1">IFERROR(C538*D538*_xlfn.XLOOKUP(B538,TabCalc[Ticker],TabCalc[Scale]),0)</f>
        <v>-116175</v>
      </c>
      <c r="F538" s="1129" cm="1">
        <f t="array" ref="F538">IF(A538=A537,0,SUM(_xlfn._xlws.FILTER(E538:E548,A538:A548=A538)))</f>
        <v>0</v>
      </c>
      <c r="G538" s="1130">
        <f>IF(F538&lt;&gt;0,SUM($F$43:F538),0)</f>
        <v>0</v>
      </c>
      <c r="H538" s="1130" cm="1">
        <f t="array" ref="H538">IFERROR(IF(A538=A537,0,SUM(_xlfn._xlws.FILTER(E538:E548,(A538:A548=A538)*(E538:E548&gt;0)))),0)</f>
        <v>0</v>
      </c>
      <c r="I538" s="1130" cm="1">
        <f t="array" ref="I538">IFERROR(IF(A538=A537,0,SUM(_xlfn._xlws.FILTER(E538:E548,(A538:A548=A538)*(F538&lt;0)))),0)</f>
        <v>0</v>
      </c>
      <c r="J538" s="295" t="str">
        <f ca="1">IFERROR(_xlfn.XLOOKUP(B538,TabCalc[Ticker],TabCalc[Cur]),"")</f>
        <v>EUR</v>
      </c>
      <c r="K538" s="1129" cm="1">
        <f t="array" ref="K538">IFERROR(IF($A538=$A537,0,SUM(_xlfn._xlws.FILTER($E538:$E548,($A538:$A548=$A538)*($J538:$J548=K$42)))),0)</f>
        <v>0</v>
      </c>
      <c r="L538" s="1129" cm="1">
        <f t="array" ref="L538">IFERROR(IF($A538=$A537,0,SUM(_xlfn._xlws.FILTER($E538:$E548,($A538:$A548=$A538)*($J538:$J548=L$42)))),0)</f>
        <v>0</v>
      </c>
      <c r="M538" s="1129" cm="1">
        <f t="array" ref="M538">IFERROR(IF($A538=$A537,0,SUM(_xlfn._xlws.FILTER($E538:$E548,($A538:$A548=$A538)*($J538:$J548=M$42)))),0)</f>
        <v>0</v>
      </c>
      <c r="N538" s="1129" cm="1">
        <f t="array" ref="N538">IFERROR(IF($A538=$A537,0,SUM(_xlfn._xlws.FILTER($E538:$E548,($A538:$A548=$A538)*($J538:$J548=N$42)))),0)</f>
        <v>0</v>
      </c>
    </row>
    <row r="539" spans="1:14">
      <c r="A539" s="466">
        <v>45933</v>
      </c>
      <c r="B539" s="448" t="s">
        <v>48</v>
      </c>
      <c r="C539" s="448">
        <v>1000</v>
      </c>
      <c r="D539" s="448">
        <v>60.2</v>
      </c>
      <c r="E539" s="1128">
        <f ca="1">IFERROR(C539*D539*_xlfn.XLOOKUP(B539,TabCalc[Ticker],TabCalc[Scale]),0)</f>
        <v>60200</v>
      </c>
      <c r="F539" s="1129" cm="1">
        <f t="array" aca="1" ref="F539" ca="1">IF(A539=A538,0,SUM(_xlfn._xlws.FILTER(E539:E549,A539:A549=A539)))</f>
        <v>98660</v>
      </c>
      <c r="G539" s="1130">
        <f ca="1">IF(F539&lt;&gt;0,SUM($F$43:F539),0)</f>
        <v>-2811035.9195729997</v>
      </c>
      <c r="H539" s="1130" cm="1">
        <f t="array" aca="1" ref="H539" ca="1">IFERROR(IF(A539=A538,0,SUM(_xlfn._xlws.FILTER(E539:E549,(A539:A549=A539)*(E539:E549&gt;0)))),0)</f>
        <v>98660</v>
      </c>
      <c r="I539" s="1130" cm="1">
        <f t="array" aca="1" ref="I539" ca="1">IFERROR(IF(A539=A538,0,SUM(_xlfn._xlws.FILTER(E539:E549,(A539:A549=A539)*(F539&lt;0)))),0)</f>
        <v>0</v>
      </c>
      <c r="J539" s="295" t="str">
        <f ca="1">IFERROR(_xlfn.XLOOKUP(B539,TabCalc[Ticker],TabCalc[Cur]),"")</f>
        <v>CHF</v>
      </c>
      <c r="K539" s="1129" cm="1">
        <f t="array" aca="1" ref="K539" ca="1">IFERROR(IF($A539=$A538,0,SUM(_xlfn._xlws.FILTER($E539:$E549,($A539:$A549=$A539)*($J539:$J549=K$42)))),0)</f>
        <v>0</v>
      </c>
      <c r="L539" s="1129" cm="1">
        <f t="array" aca="1" ref="L539" ca="1">IFERROR(IF($A539=$A538,0,SUM(_xlfn._xlws.FILTER($E539:$E549,($A539:$A549=$A539)*($J539:$J549=L$42)))),0)</f>
        <v>0</v>
      </c>
      <c r="M539" s="1129" cm="1">
        <f t="array" aca="1" ref="M539" ca="1">IFERROR(IF($A539=$A538,0,SUM(_xlfn._xlws.FILTER($E539:$E549,($A539:$A549=$A539)*($J539:$J549=M$42)))),0)</f>
        <v>38460</v>
      </c>
      <c r="N539" s="1129" cm="1">
        <f t="array" aca="1" ref="N539" ca="1">IFERROR(IF($A539=$A538,0,SUM(_xlfn._xlws.FILTER($E539:$E549,($A539:$A549=$A539)*($J539:$J549=N$42)))),0)</f>
        <v>60200</v>
      </c>
    </row>
    <row r="540" spans="1:14">
      <c r="A540" s="466">
        <v>45933</v>
      </c>
      <c r="B540" s="448" t="s">
        <v>22</v>
      </c>
      <c r="C540" s="448">
        <v>10000</v>
      </c>
      <c r="D540" s="448">
        <v>384.6</v>
      </c>
      <c r="E540" s="1128">
        <f ca="1">IFERROR(C540*D540*_xlfn.XLOOKUP(B540,TabCalc[Ticker],TabCalc[Scale]),0)</f>
        <v>38460</v>
      </c>
      <c r="F540" s="1129" cm="1">
        <f t="array" ref="F540">IF(A540=A539,0,SUM(_xlfn._xlws.FILTER(E540:E550,A540:A550=A540)))</f>
        <v>0</v>
      </c>
      <c r="G540" s="1130">
        <f>IF(F540&lt;&gt;0,SUM($F$43:F540),0)</f>
        <v>0</v>
      </c>
      <c r="H540" s="1130" cm="1">
        <f t="array" ref="H540">IFERROR(IF(A540=A539,0,SUM(_xlfn._xlws.FILTER(E540:E550,(A540:A550=A540)*(E540:E550&gt;0)))),0)</f>
        <v>0</v>
      </c>
      <c r="I540" s="1130" cm="1">
        <f t="array" ref="I540">IFERROR(IF(A540=A539,0,SUM(_xlfn._xlws.FILTER(E540:E550,(A540:A550=A540)*(F540&lt;0)))),0)</f>
        <v>0</v>
      </c>
      <c r="J540" s="295" t="str">
        <f ca="1">IFERROR(_xlfn.XLOOKUP(B540,TabCalc[Ticker],TabCalc[Cur]),"")</f>
        <v>GBp</v>
      </c>
      <c r="K540" s="1129" cm="1">
        <f t="array" ref="K540">IFERROR(IF($A540=$A539,0,SUM(_xlfn._xlws.FILTER($E540:$E550,($A540:$A550=$A540)*($J540:$J550=K$42)))),0)</f>
        <v>0</v>
      </c>
      <c r="L540" s="1129" cm="1">
        <f t="array" ref="L540">IFERROR(IF($A540=$A539,0,SUM(_xlfn._xlws.FILTER($E540:$E550,($A540:$A550=$A540)*($J540:$J550=L$42)))),0)</f>
        <v>0</v>
      </c>
      <c r="M540" s="1129" cm="1">
        <f t="array" ref="M540">IFERROR(IF($A540=$A539,0,SUM(_xlfn._xlws.FILTER($E540:$E550,($A540:$A550=$A540)*($J540:$J550=M$42)))),0)</f>
        <v>0</v>
      </c>
      <c r="N540" s="1129" cm="1">
        <f t="array" ref="N540">IFERROR(IF($A540=$A539,0,SUM(_xlfn._xlws.FILTER($E540:$E550,($A540:$A550=$A540)*($J540:$J550=N$42)))),0)</f>
        <v>0</v>
      </c>
    </row>
    <row r="541" spans="1:14">
      <c r="A541" s="452">
        <v>45936</v>
      </c>
      <c r="B541" s="465" t="s">
        <v>16</v>
      </c>
      <c r="C541" s="454">
        <v>3200</v>
      </c>
      <c r="D541" s="455">
        <v>16.12</v>
      </c>
      <c r="E541" s="1128">
        <f ca="1">IFERROR(C541*D541*_xlfn.XLOOKUP(B541,TabCalc[Ticker],TabCalc[Scale]),0)</f>
        <v>51584</v>
      </c>
      <c r="F541" s="1129" cm="1">
        <f t="array" aca="1" ref="F541" ca="1">IF(A541=A540,0,SUM(_xlfn._xlws.FILTER(E541:E551,A541:A551=A541)))</f>
        <v>49406.600000000006</v>
      </c>
      <c r="G541" s="1130">
        <f ca="1">IF(F541&lt;&gt;0,SUM($F$43:F541),0)</f>
        <v>-2761629.3195729996</v>
      </c>
      <c r="H541" s="1130" cm="1">
        <f t="array" aca="1" ref="H541" ca="1">IFERROR(IF(A541=A540,0,SUM(_xlfn._xlws.FILTER(E541:E551,(A541:A551=A541)*(E541:E551&gt;0)))),0)</f>
        <v>341624</v>
      </c>
      <c r="I541" s="1130" cm="1">
        <f t="array" aca="1" ref="I541" ca="1">IFERROR(IF(A541=A540,0,SUM(_xlfn._xlws.FILTER(E541:E551,(A541:A551=A541)*(F541&lt;0)))),0)</f>
        <v>0</v>
      </c>
      <c r="J541" s="295" t="str">
        <f ca="1">IFERROR(_xlfn.XLOOKUP(B541,TabCalc[Ticker],TabCalc[Cur]),"")</f>
        <v>EUR</v>
      </c>
      <c r="K541" s="1129" cm="1">
        <f t="array" aca="1" ref="K541" ca="1">IFERROR(IF($A541=$A540,0,SUM(_xlfn._xlws.FILTER($E541:$E551,($A541:$A551=$A541)*($J541:$J551=K$42)))),0)</f>
        <v>250544</v>
      </c>
      <c r="L541" s="1129" cm="1">
        <f t="array" aca="1" ref="L541" ca="1">IFERROR(IF($A541=$A540,0,SUM(_xlfn._xlws.FILTER($E541:$E551,($A541:$A551=$A541)*($J541:$J551=L$42)))),0)</f>
        <v>-201137.4</v>
      </c>
      <c r="M541" s="1129" cm="1">
        <f t="array" aca="1" ref="M541" ca="1">IFERROR(IF($A541=$A540,0,SUM(_xlfn._xlws.FILTER($E541:$E551,($A541:$A551=$A541)*($J541:$J551=M$42)))),0)</f>
        <v>0</v>
      </c>
      <c r="N541" s="1129" cm="1">
        <f t="array" aca="1" ref="N541" ca="1">IFERROR(IF($A541=$A540,0,SUM(_xlfn._xlws.FILTER($E541:$E551,($A541:$A551=$A541)*($J541:$J551=N$42)))),0)</f>
        <v>0</v>
      </c>
    </row>
    <row r="542" spans="1:14">
      <c r="A542" s="452">
        <v>45936</v>
      </c>
      <c r="B542" s="465" t="s">
        <v>58</v>
      </c>
      <c r="C542" s="454">
        <v>4000</v>
      </c>
      <c r="D542" s="455">
        <v>15.12</v>
      </c>
      <c r="E542" s="1128">
        <f ca="1">IFERROR(C542*D542*_xlfn.XLOOKUP(B542,TabCalc[Ticker],TabCalc[Scale]),0)</f>
        <v>60480</v>
      </c>
      <c r="F542" s="1129" cm="1">
        <f t="array" ref="F542">IF(A542=A541,0,SUM(_xlfn._xlws.FILTER(E542:E552,A542:A552=A542)))</f>
        <v>0</v>
      </c>
      <c r="G542" s="1130">
        <f>IF(F542&lt;&gt;0,SUM($F$43:F542),0)</f>
        <v>0</v>
      </c>
      <c r="H542" s="1130" cm="1">
        <f t="array" ref="H542">IFERROR(IF(A542=A541,0,SUM(_xlfn._xlws.FILTER(E542:E552,(A542:A552=A542)*(E542:E552&gt;0)))),0)</f>
        <v>0</v>
      </c>
      <c r="I542" s="1130" cm="1">
        <f t="array" ref="I542">IFERROR(IF(A542=A541,0,SUM(_xlfn._xlws.FILTER(E542:E552,(A542:A552=A542)*(F542&lt;0)))),0)</f>
        <v>0</v>
      </c>
      <c r="J542" s="295" t="str">
        <f ca="1">IFERROR(_xlfn.XLOOKUP(B542,TabCalc[Ticker],TabCalc[Cur]),"")</f>
        <v>EUR</v>
      </c>
      <c r="K542" s="1129" cm="1">
        <f t="array" ref="K542">IFERROR(IF($A542=$A541,0,SUM(_xlfn._xlws.FILTER($E542:$E552,($A542:$A552=$A542)*($J542:$J552=K$42)))),0)</f>
        <v>0</v>
      </c>
      <c r="L542" s="1129" cm="1">
        <f t="array" ref="L542">IFERROR(IF($A542=$A541,0,SUM(_xlfn._xlws.FILTER($E542:$E552,($A542:$A552=$A542)*($J542:$J552=L$42)))),0)</f>
        <v>0</v>
      </c>
      <c r="M542" s="1129" cm="1">
        <f t="array" ref="M542">IFERROR(IF($A542=$A541,0,SUM(_xlfn._xlws.FILTER($E542:$E552,($A542:$A552=$A542)*($J542:$J552=M$42)))),0)</f>
        <v>0</v>
      </c>
      <c r="N542" s="1129" cm="1">
        <f t="array" ref="N542">IFERROR(IF($A542=$A541,0,SUM(_xlfn._xlws.FILTER($E542:$E552,($A542:$A552=$A542)*($J542:$J552=N$42)))),0)</f>
        <v>0</v>
      </c>
    </row>
    <row r="543" spans="1:14">
      <c r="A543" s="452">
        <v>45936</v>
      </c>
      <c r="B543" s="465" t="s">
        <v>32</v>
      </c>
      <c r="C543" s="454">
        <v>100</v>
      </c>
      <c r="D543" s="455">
        <v>901.2</v>
      </c>
      <c r="E543" s="1128">
        <f ca="1">IFERROR(C543*D543*_xlfn.XLOOKUP(B543,TabCalc[Ticker],TabCalc[Scale]),0)</f>
        <v>90120</v>
      </c>
      <c r="F543" s="1129" cm="1">
        <f t="array" ref="F543">IF(A543=A542,0,SUM(_xlfn._xlws.FILTER(E543:E553,A543:A553=A543)))</f>
        <v>0</v>
      </c>
      <c r="G543" s="1130">
        <f>IF(F543&lt;&gt;0,SUM($F$43:F543),0)</f>
        <v>0</v>
      </c>
      <c r="H543" s="1130" cm="1">
        <f t="array" ref="H543">IFERROR(IF(A543=A542,0,SUM(_xlfn._xlws.FILTER(E543:E553,(A543:A553=A543)*(E543:E553&gt;0)))),0)</f>
        <v>0</v>
      </c>
      <c r="I543" s="1130" cm="1">
        <f t="array" ref="I543">IFERROR(IF(A543=A542,0,SUM(_xlfn._xlws.FILTER(E543:E553,(A543:A553=A543)*(F543&lt;0)))),0)</f>
        <v>0</v>
      </c>
      <c r="J543" s="295" t="str">
        <f ca="1">IFERROR(_xlfn.XLOOKUP(B543,TabCalc[Ticker],TabCalc[Cur]),"")</f>
        <v>EUR</v>
      </c>
      <c r="K543" s="1129" cm="1">
        <f t="array" ref="K543">IFERROR(IF($A543=$A542,0,SUM(_xlfn._xlws.FILTER($E543:$E553,($A543:$A553=$A543)*($J543:$J553=K$42)))),0)</f>
        <v>0</v>
      </c>
      <c r="L543" s="1129" cm="1">
        <f t="array" ref="L543">IFERROR(IF($A543=$A542,0,SUM(_xlfn._xlws.FILTER($E543:$E553,($A543:$A553=$A543)*($J543:$J553=L$42)))),0)</f>
        <v>0</v>
      </c>
      <c r="M543" s="1129" cm="1">
        <f t="array" ref="M543">IFERROR(IF($A543=$A542,0,SUM(_xlfn._xlws.FILTER($E543:$E553,($A543:$A553=$A543)*($J543:$J553=M$42)))),0)</f>
        <v>0</v>
      </c>
      <c r="N543" s="1129" cm="1">
        <f t="array" ref="N543">IFERROR(IF($A543=$A542,0,SUM(_xlfn._xlws.FILTER($E543:$E553,($A543:$A553=$A543)*($J543:$J553=N$42)))),0)</f>
        <v>0</v>
      </c>
    </row>
    <row r="544" spans="1:14">
      <c r="A544" s="452">
        <v>45936</v>
      </c>
      <c r="B544" s="465" t="s">
        <v>18</v>
      </c>
      <c r="C544" s="454">
        <v>3000</v>
      </c>
      <c r="D544" s="455">
        <v>16.12</v>
      </c>
      <c r="E544" s="1128">
        <f ca="1">IFERROR(C544*D544*_xlfn.XLOOKUP(B544,TabCalc[Ticker],TabCalc[Scale]),0)</f>
        <v>48360</v>
      </c>
      <c r="F544" s="1129" cm="1">
        <f t="array" ref="F544">IF(A544=A543,0,SUM(_xlfn._xlws.FILTER(E544:E554,A544:A554=A544)))</f>
        <v>0</v>
      </c>
      <c r="G544" s="1130">
        <f>IF(F544&lt;&gt;0,SUM($F$43:F544),0)</f>
        <v>0</v>
      </c>
      <c r="H544" s="1130" cm="1">
        <f t="array" ref="H544">IFERROR(IF(A544=A543,0,SUM(_xlfn._xlws.FILTER(E544:E554,(A544:A554=A544)*(E544:E554&gt;0)))),0)</f>
        <v>0</v>
      </c>
      <c r="I544" s="1130" cm="1">
        <f t="array" ref="I544">IFERROR(IF(A544=A543,0,SUM(_xlfn._xlws.FILTER(E544:E554,(A544:A554=A544)*(F544&lt;0)))),0)</f>
        <v>0</v>
      </c>
      <c r="J544" s="295" t="str">
        <f ca="1">IFERROR(_xlfn.XLOOKUP(B544,TabCalc[Ticker],TabCalc[Cur]),"")</f>
        <v>EUR</v>
      </c>
      <c r="K544" s="1129" cm="1">
        <f t="array" ref="K544">IFERROR(IF($A544=$A543,0,SUM(_xlfn._xlws.FILTER($E544:$E554,($A544:$A554=$A544)*($J544:$J554=K$42)))),0)</f>
        <v>0</v>
      </c>
      <c r="L544" s="1129" cm="1">
        <f t="array" ref="L544">IFERROR(IF($A544=$A543,0,SUM(_xlfn._xlws.FILTER($E544:$E554,($A544:$A554=$A544)*($J544:$J554=L$42)))),0)</f>
        <v>0</v>
      </c>
      <c r="M544" s="1129" cm="1">
        <f t="array" ref="M544">IFERROR(IF($A544=$A543,0,SUM(_xlfn._xlws.FILTER($E544:$E554,($A544:$A554=$A544)*($J544:$J554=M$42)))),0)</f>
        <v>0</v>
      </c>
      <c r="N544" s="1129" cm="1">
        <f t="array" ref="N544">IFERROR(IF($A544=$A543,0,SUM(_xlfn._xlws.FILTER($E544:$E554,($A544:$A554=$A544)*($J544:$J554=N$42)))),0)</f>
        <v>0</v>
      </c>
    </row>
    <row r="545" spans="1:14">
      <c r="A545" s="452">
        <v>45936</v>
      </c>
      <c r="B545" s="465" t="s">
        <v>28</v>
      </c>
      <c r="C545" s="454">
        <v>500</v>
      </c>
      <c r="D545" s="455">
        <v>81.84</v>
      </c>
      <c r="E545" s="1128">
        <f ca="1">IFERROR(C545*D545*_xlfn.XLOOKUP(B545,TabCalc[Ticker],TabCalc[Scale]),0)</f>
        <v>40920</v>
      </c>
      <c r="F545" s="1129" cm="1">
        <f t="array" ref="F545">IF(A545=A544,0,SUM(_xlfn._xlws.FILTER(E545:E555,A545:A555=A545)))</f>
        <v>0</v>
      </c>
      <c r="G545" s="1130">
        <f>IF(F545&lt;&gt;0,SUM($F$43:F545),0)</f>
        <v>0</v>
      </c>
      <c r="H545" s="1130" cm="1">
        <f t="array" ref="H545">IFERROR(IF(A545=A544,0,SUM(_xlfn._xlws.FILTER(E545:E555,(A545:A555=A545)*(E545:E555&gt;0)))),0)</f>
        <v>0</v>
      </c>
      <c r="I545" s="1130" cm="1">
        <f t="array" ref="I545">IFERROR(IF(A545=A544,0,SUM(_xlfn._xlws.FILTER(E545:E555,(A545:A555=A545)*(F545&lt;0)))),0)</f>
        <v>0</v>
      </c>
      <c r="J545" s="295" t="str">
        <f ca="1">IFERROR(_xlfn.XLOOKUP(B545,TabCalc[Ticker],TabCalc[Cur]),"")</f>
        <v>USD</v>
      </c>
      <c r="K545" s="1129" cm="1">
        <f t="array" ref="K545">IFERROR(IF($A545=$A544,0,SUM(_xlfn._xlws.FILTER($E545:$E555,($A545:$A555=$A545)*($J545:$J555=K$42)))),0)</f>
        <v>0</v>
      </c>
      <c r="L545" s="1129" cm="1">
        <f t="array" ref="L545">IFERROR(IF($A545=$A544,0,SUM(_xlfn._xlws.FILTER($E545:$E555,($A545:$A555=$A545)*($J545:$J555=L$42)))),0)</f>
        <v>0</v>
      </c>
      <c r="M545" s="1129" cm="1">
        <f t="array" ref="M545">IFERROR(IF($A545=$A544,0,SUM(_xlfn._xlws.FILTER($E545:$E555,($A545:$A555=$A545)*($J545:$J555=M$42)))),0)</f>
        <v>0</v>
      </c>
      <c r="N545" s="1129" cm="1">
        <f t="array" ref="N545">IFERROR(IF($A545=$A544,0,SUM(_xlfn._xlws.FILTER($E545:$E555,($A545:$A555=$A545)*($J545:$J555=N$42)))),0)</f>
        <v>0</v>
      </c>
    </row>
    <row r="546" spans="1:14">
      <c r="A546" s="452">
        <v>45936</v>
      </c>
      <c r="B546" s="465" t="s">
        <v>2631</v>
      </c>
      <c r="C546" s="454">
        <v>5000</v>
      </c>
      <c r="D546" s="455">
        <v>3.08</v>
      </c>
      <c r="E546" s="1128">
        <f ca="1">IFERROR(C546*D546*_xlfn.XLOOKUP(B546,TabCalc[Ticker],TabCalc[Scale]),0)</f>
        <v>15400</v>
      </c>
      <c r="F546" s="1129" cm="1">
        <f t="array" ref="F546">IF(A546=A545,0,SUM(_xlfn._xlws.FILTER(E546:E556,A546:A556=A546)))</f>
        <v>0</v>
      </c>
      <c r="G546" s="1130">
        <f>IF(F546&lt;&gt;0,SUM($F$43:F546),0)</f>
        <v>0</v>
      </c>
      <c r="H546" s="1130" cm="1">
        <f t="array" ref="H546">IFERROR(IF(A546=A545,0,SUM(_xlfn._xlws.FILTER(E546:E556,(A546:A556=A546)*(E546:E556&gt;0)))),0)</f>
        <v>0</v>
      </c>
      <c r="I546" s="1130" cm="1">
        <f t="array" ref="I546">IFERROR(IF(A546=A545,0,SUM(_xlfn._xlws.FILTER(E546:E556,(A546:A556=A546)*(F546&lt;0)))),0)</f>
        <v>0</v>
      </c>
      <c r="J546" s="295" t="str">
        <f ca="1">IFERROR(_xlfn.XLOOKUP(B546,TabCalc[Ticker],TabCalc[Cur]),"")</f>
        <v>USD</v>
      </c>
      <c r="K546" s="1129" cm="1">
        <f t="array" ref="K546">IFERROR(IF($A546=$A545,0,SUM(_xlfn._xlws.FILTER($E546:$E556,($A546:$A556=$A546)*($J546:$J556=K$42)))),0)</f>
        <v>0</v>
      </c>
      <c r="L546" s="1129" cm="1">
        <f t="array" ref="L546">IFERROR(IF($A546=$A545,0,SUM(_xlfn._xlws.FILTER($E546:$E556,($A546:$A556=$A546)*($J546:$J556=L$42)))),0)</f>
        <v>0</v>
      </c>
      <c r="M546" s="1129" cm="1">
        <f t="array" ref="M546">IFERROR(IF($A546=$A545,0,SUM(_xlfn._xlws.FILTER($E546:$E556,($A546:$A556=$A546)*($J546:$J556=M$42)))),0)</f>
        <v>0</v>
      </c>
      <c r="N546" s="1129" cm="1">
        <f t="array" ref="N546">IFERROR(IF($A546=$A545,0,SUM(_xlfn._xlws.FILTER($E546:$E556,($A546:$A556=$A546)*($J546:$J556=N$42)))),0)</f>
        <v>0</v>
      </c>
    </row>
    <row r="547" spans="1:14">
      <c r="A547" s="452">
        <v>45936</v>
      </c>
      <c r="B547" s="465" t="s">
        <v>2632</v>
      </c>
      <c r="C547" s="454">
        <v>530</v>
      </c>
      <c r="D547" s="455">
        <v>-112.98</v>
      </c>
      <c r="E547" s="1128">
        <f ca="1">IFERROR(C547*D547*_xlfn.XLOOKUP(B547,TabCalc[Ticker],TabCalc[Scale]),0)</f>
        <v>-59879.4</v>
      </c>
      <c r="F547" s="1129" cm="1">
        <f t="array" ref="F547">IF(A547=A546,0,SUM(_xlfn._xlws.FILTER(E547:E557,A547:A557=A547)))</f>
        <v>0</v>
      </c>
      <c r="G547" s="1130">
        <f>IF(F547&lt;&gt;0,SUM($F$43:F547),0)</f>
        <v>0</v>
      </c>
      <c r="H547" s="1130" cm="1">
        <f t="array" ref="H547">IFERROR(IF(A547=A546,0,SUM(_xlfn._xlws.FILTER(E547:E557,(A547:A557=A547)*(E547:E557&gt;0)))),0)</f>
        <v>0</v>
      </c>
      <c r="I547" s="1130" cm="1">
        <f t="array" ref="I547">IFERROR(IF(A547=A546,0,SUM(_xlfn._xlws.FILTER(E547:E557,(A547:A557=A547)*(F547&lt;0)))),0)</f>
        <v>0</v>
      </c>
      <c r="J547" s="295" t="str">
        <f ca="1">IFERROR(_xlfn.XLOOKUP(B547,TabCalc[Ticker],TabCalc[Cur]),"")</f>
        <v>USD</v>
      </c>
      <c r="K547" s="1129" cm="1">
        <f t="array" ref="K547">IFERROR(IF($A547=$A546,0,SUM(_xlfn._xlws.FILTER($E547:$E557,($A547:$A557=$A547)*($J547:$J557=K$42)))),0)</f>
        <v>0</v>
      </c>
      <c r="L547" s="1129" cm="1">
        <f t="array" ref="L547">IFERROR(IF($A547=$A546,0,SUM(_xlfn._xlws.FILTER($E547:$E557,($A547:$A557=$A547)*($J547:$J557=L$42)))),0)</f>
        <v>0</v>
      </c>
      <c r="M547" s="1129" cm="1">
        <f t="array" ref="M547">IFERROR(IF($A547=$A546,0,SUM(_xlfn._xlws.FILTER($E547:$E557,($A547:$A557=$A547)*($J547:$J557=M$42)))),0)</f>
        <v>0</v>
      </c>
      <c r="N547" s="1129" cm="1">
        <f t="array" ref="N547">IFERROR(IF($A547=$A546,0,SUM(_xlfn._xlws.FILTER($E547:$E557,($A547:$A557=$A547)*($J547:$J557=N$42)))),0)</f>
        <v>0</v>
      </c>
    </row>
    <row r="548" spans="1:14">
      <c r="A548" s="452">
        <v>45936</v>
      </c>
      <c r="B548" s="465" t="s">
        <v>2634</v>
      </c>
      <c r="C548" s="454">
        <v>200</v>
      </c>
      <c r="D548" s="455">
        <v>-1161.69</v>
      </c>
      <c r="E548" s="1128">
        <f ca="1">IFERROR(C548*D548*_xlfn.XLOOKUP(B548,TabCalc[Ticker],TabCalc[Scale]),0)</f>
        <v>-232338</v>
      </c>
      <c r="F548" s="1129" cm="1">
        <f t="array" ref="F548">IF(A548=A547,0,SUM(_xlfn._xlws.FILTER(E548:E558,A548:A558=A548)))</f>
        <v>0</v>
      </c>
      <c r="G548" s="1130">
        <f>IF(F548&lt;&gt;0,SUM($F$43:F548),0)</f>
        <v>0</v>
      </c>
      <c r="H548" s="1130" cm="1">
        <f t="array" ref="H548">IFERROR(IF(A548=A547,0,SUM(_xlfn._xlws.FILTER(E548:E558,(A548:A558=A548)*(E548:E558&gt;0)))),0)</f>
        <v>0</v>
      </c>
      <c r="I548" s="1130" cm="1">
        <f t="array" ref="I548">IFERROR(IF(A548=A547,0,SUM(_xlfn._xlws.FILTER(E548:E558,(A548:A558=A548)*(F548&lt;0)))),0)</f>
        <v>0</v>
      </c>
      <c r="J548" s="295" t="str">
        <f ca="1">IFERROR(_xlfn.XLOOKUP(B548,TabCalc[Ticker],TabCalc[Cur]),"")</f>
        <v>USD</v>
      </c>
      <c r="K548" s="1129" cm="1">
        <f t="array" ref="K548">IFERROR(IF($A548=$A547,0,SUM(_xlfn._xlws.FILTER($E548:$E558,($A548:$A558=$A548)*($J548:$J558=K$42)))),0)</f>
        <v>0</v>
      </c>
      <c r="L548" s="1129" cm="1">
        <f t="array" ref="L548">IFERROR(IF($A548=$A547,0,SUM(_xlfn._xlws.FILTER($E548:$E558,($A548:$A558=$A548)*($J548:$J558=L$42)))),0)</f>
        <v>0</v>
      </c>
      <c r="M548" s="1129" cm="1">
        <f t="array" ref="M548">IFERROR(IF($A548=$A547,0,SUM(_xlfn._xlws.FILTER($E548:$E558,($A548:$A558=$A548)*($J548:$J558=M$42)))),0)</f>
        <v>0</v>
      </c>
      <c r="N548" s="1129" cm="1">
        <f t="array" ref="N548">IFERROR(IF($A548=$A547,0,SUM(_xlfn._xlws.FILTER($E548:$E558,($A548:$A558=$A548)*($J548:$J558=N$42)))),0)</f>
        <v>0</v>
      </c>
    </row>
    <row r="549" spans="1:14">
      <c r="A549" s="452">
        <v>45936</v>
      </c>
      <c r="B549" s="465" t="s">
        <v>2636</v>
      </c>
      <c r="C549" s="454">
        <v>11000</v>
      </c>
      <c r="D549" s="455">
        <v>3.16</v>
      </c>
      <c r="E549" s="1128">
        <f ca="1">IFERROR(C549*D549*_xlfn.XLOOKUP(B549,TabCalc[Ticker],TabCalc[Scale]),0)</f>
        <v>34760</v>
      </c>
      <c r="F549" s="1129" cm="1">
        <f t="array" ref="F549">IF(A549=A548,0,SUM(_xlfn._xlws.FILTER(E549:E559,A549:A559=A549)))</f>
        <v>0</v>
      </c>
      <c r="G549" s="1130">
        <f>IF(F549&lt;&gt;0,SUM($F$43:F549),0)</f>
        <v>0</v>
      </c>
      <c r="H549" s="1130" cm="1">
        <f t="array" ref="H549">IFERROR(IF(A549=A548,0,SUM(_xlfn._xlws.FILTER(E549:E559,(A549:A559=A549)*(E549:E559&gt;0)))),0)</f>
        <v>0</v>
      </c>
      <c r="I549" s="1130" cm="1">
        <f t="array" ref="I549">IFERROR(IF(A549=A548,0,SUM(_xlfn._xlws.FILTER(E549:E559,(A549:A559=A549)*(F549&lt;0)))),0)</f>
        <v>0</v>
      </c>
      <c r="J549" s="295" t="str">
        <f ca="1">IFERROR(_xlfn.XLOOKUP(B549,TabCalc[Ticker],TabCalc[Cur]),"")</f>
        <v>USD</v>
      </c>
      <c r="K549" s="1129" cm="1">
        <f t="array" ref="K549">IFERROR(IF($A549=$A548,0,SUM(_xlfn._xlws.FILTER($E549:$E559,($A549:$A559=$A549)*($J549:$J559=K$42)))),0)</f>
        <v>0</v>
      </c>
      <c r="L549" s="1129" cm="1">
        <f t="array" ref="L549">IFERROR(IF($A549=$A548,0,SUM(_xlfn._xlws.FILTER($E549:$E559,($A549:$A559=$A549)*($J549:$J559=L$42)))),0)</f>
        <v>0</v>
      </c>
      <c r="M549" s="1129" cm="1">
        <f t="array" ref="M549">IFERROR(IF($A549=$A548,0,SUM(_xlfn._xlws.FILTER($E549:$E559,($A549:$A559=$A549)*($J549:$J559=M$42)))),0)</f>
        <v>0</v>
      </c>
      <c r="N549" s="1129" cm="1">
        <f t="array" ref="N549">IFERROR(IF($A549=$A548,0,SUM(_xlfn._xlws.FILTER($E549:$E559,($A549:$A559=$A549)*($J549:$J559=N$42)))),0)</f>
        <v>0</v>
      </c>
    </row>
    <row r="550" spans="1:14">
      <c r="A550" s="466">
        <v>45937</v>
      </c>
      <c r="B550" s="448" t="s">
        <v>1089</v>
      </c>
      <c r="C550" s="448">
        <v>2500</v>
      </c>
      <c r="D550" s="448">
        <v>7.4</v>
      </c>
      <c r="E550" s="1128">
        <f ca="1">IFERROR(C550*D550*_xlfn.XLOOKUP(B550,TabCalc[Ticker],TabCalc[Scale]),0)</f>
        <v>18500</v>
      </c>
      <c r="F550" s="1129" cm="1">
        <f t="array" aca="1" ref="F550" ca="1">IF(A550=A549,0,SUM(_xlfn._xlws.FILTER(E550:E560,A550:A560=A550)))</f>
        <v>372128</v>
      </c>
      <c r="G550" s="1130">
        <f ca="1">IF(F550&lt;&gt;0,SUM($F$43:F550),0)</f>
        <v>-2389501.3195729996</v>
      </c>
      <c r="H550" s="1130" cm="1">
        <f t="array" aca="1" ref="H550" ca="1">IFERROR(IF(A550=A549,0,SUM(_xlfn._xlws.FILTER(E550:E560,(A550:A560=A550)*(E550:E560&gt;0)))),0)</f>
        <v>372128</v>
      </c>
      <c r="I550" s="1130" cm="1">
        <f t="array" aca="1" ref="I550" ca="1">IFERROR(IF(A550=A549,0,SUM(_xlfn._xlws.FILTER(E550:E560,(A550:A560=A550)*(F550&lt;0)))),0)</f>
        <v>0</v>
      </c>
      <c r="J550" s="295" t="str">
        <f ca="1">IFERROR(_xlfn.XLOOKUP(B550,TabCalc[Ticker],TabCalc[Cur]),"")</f>
        <v>USD</v>
      </c>
      <c r="K550" s="1129" cm="1">
        <f t="array" aca="1" ref="K550" ca="1">IFERROR(IF($A550=$A549,0,SUM(_xlfn._xlws.FILTER($E550:$E560,($A550:$A560=$A550)*($J550:$J560=K$42)))),0)</f>
        <v>0</v>
      </c>
      <c r="L550" s="1129" cm="1">
        <f t="array" aca="1" ref="L550" ca="1">IFERROR(IF($A550=$A549,0,SUM(_xlfn._xlws.FILTER($E550:$E560,($A550:$A560=$A550)*($J550:$J560=L$42)))),0)</f>
        <v>372128</v>
      </c>
      <c r="M550" s="1129" cm="1">
        <f t="array" aca="1" ref="M550" ca="1">IFERROR(IF($A550=$A549,0,SUM(_xlfn._xlws.FILTER($E550:$E560,($A550:$A560=$A550)*($J550:$J560=M$42)))),0)</f>
        <v>0</v>
      </c>
      <c r="N550" s="1129" cm="1">
        <f t="array" aca="1" ref="N550" ca="1">IFERROR(IF($A550=$A549,0,SUM(_xlfn._xlws.FILTER($E550:$E560,($A550:$A560=$A550)*($J550:$J560=N$42)))),0)</f>
        <v>0</v>
      </c>
    </row>
    <row r="551" spans="1:14">
      <c r="A551" s="466">
        <v>45937</v>
      </c>
      <c r="B551" s="448" t="s">
        <v>66</v>
      </c>
      <c r="C551" s="448">
        <v>150</v>
      </c>
      <c r="D551" s="448">
        <v>260</v>
      </c>
      <c r="E551" s="1128">
        <f ca="1">IFERROR(C551*D551*_xlfn.XLOOKUP(B551,TabCalc[Ticker],TabCalc[Scale]),0)</f>
        <v>39000</v>
      </c>
      <c r="F551" s="1129" cm="1">
        <f t="array" ref="F551">IF(A551=A550,0,SUM(_xlfn._xlws.FILTER(E551:E561,A551:A561=A551)))</f>
        <v>0</v>
      </c>
      <c r="G551" s="1130">
        <f>IF(F551&lt;&gt;0,SUM($F$43:F551),0)</f>
        <v>0</v>
      </c>
      <c r="H551" s="1130" cm="1">
        <f t="array" ref="H551">IFERROR(IF(A551=A550,0,SUM(_xlfn._xlws.FILTER(E551:E561,(A551:A561=A551)*(E551:E561&gt;0)))),0)</f>
        <v>0</v>
      </c>
      <c r="I551" s="1130" cm="1">
        <f t="array" ref="I551">IFERROR(IF(A551=A550,0,SUM(_xlfn._xlws.FILTER(E551:E561,(A551:A561=A551)*(F551&lt;0)))),0)</f>
        <v>0</v>
      </c>
      <c r="J551" s="295" t="str">
        <f ca="1">IFERROR(_xlfn.XLOOKUP(B551,TabCalc[Ticker],TabCalc[Cur]),"")</f>
        <v>USD</v>
      </c>
      <c r="K551" s="1129" cm="1">
        <f t="array" ref="K551">IFERROR(IF($A551=$A550,0,SUM(_xlfn._xlws.FILTER($E551:$E561,($A551:$A561=$A551)*($J551:$J561=K$42)))),0)</f>
        <v>0</v>
      </c>
      <c r="L551" s="1129" cm="1">
        <f t="array" ref="L551">IFERROR(IF($A551=$A550,0,SUM(_xlfn._xlws.FILTER($E551:$E561,($A551:$A561=$A551)*($J551:$J561=L$42)))),0)</f>
        <v>0</v>
      </c>
      <c r="M551" s="1129" cm="1">
        <f t="array" ref="M551">IFERROR(IF($A551=$A550,0,SUM(_xlfn._xlws.FILTER($E551:$E561,($A551:$A561=$A551)*($J551:$J561=M$42)))),0)</f>
        <v>0</v>
      </c>
      <c r="N551" s="1129" cm="1">
        <f t="array" ref="N551">IFERROR(IF($A551=$A550,0,SUM(_xlfn._xlws.FILTER($E551:$E561,($A551:$A561=$A551)*($J551:$J561=N$42)))),0)</f>
        <v>0</v>
      </c>
    </row>
    <row r="552" spans="1:14">
      <c r="A552" s="466">
        <v>45937</v>
      </c>
      <c r="B552" s="448" t="s">
        <v>27</v>
      </c>
      <c r="C552" s="448">
        <v>150</v>
      </c>
      <c r="D552" s="448">
        <v>523.91999999999996</v>
      </c>
      <c r="E552" s="1128">
        <f ca="1">IFERROR(C552*D552*_xlfn.XLOOKUP(B552,TabCalc[Ticker],TabCalc[Scale]),0)</f>
        <v>78588</v>
      </c>
      <c r="F552" s="1129" cm="1">
        <f t="array" ref="F552">IF(A552=A551,0,SUM(_xlfn._xlws.FILTER(E552:E562,A552:A562=A552)))</f>
        <v>0</v>
      </c>
      <c r="G552" s="1130">
        <f>IF(F552&lt;&gt;0,SUM($F$43:F552),0)</f>
        <v>0</v>
      </c>
      <c r="H552" s="1130" cm="1">
        <f t="array" ref="H552">IFERROR(IF(A552=A551,0,SUM(_xlfn._xlws.FILTER(E552:E562,(A552:A562=A552)*(E552:E562&gt;0)))),0)</f>
        <v>0</v>
      </c>
      <c r="I552" s="1130" cm="1">
        <f t="array" ref="I552">IFERROR(IF(A552=A551,0,SUM(_xlfn._xlws.FILTER(E552:E562,(A552:A562=A552)*(F552&lt;0)))),0)</f>
        <v>0</v>
      </c>
      <c r="J552" s="295" t="str">
        <f ca="1">IFERROR(_xlfn.XLOOKUP(B552,TabCalc[Ticker],TabCalc[Cur]),"")</f>
        <v>USD</v>
      </c>
      <c r="K552" s="1129" cm="1">
        <f t="array" ref="K552">IFERROR(IF($A552=$A551,0,SUM(_xlfn._xlws.FILTER($E552:$E562,($A552:$A562=$A552)*($J552:$J562=K$42)))),0)</f>
        <v>0</v>
      </c>
      <c r="L552" s="1129" cm="1">
        <f t="array" ref="L552">IFERROR(IF($A552=$A551,0,SUM(_xlfn._xlws.FILTER($E552:$E562,($A552:$A562=$A552)*($J552:$J562=L$42)))),0)</f>
        <v>0</v>
      </c>
      <c r="M552" s="1129" cm="1">
        <f t="array" ref="M552">IFERROR(IF($A552=$A551,0,SUM(_xlfn._xlws.FILTER($E552:$E562,($A552:$A562=$A552)*($J552:$J562=M$42)))),0)</f>
        <v>0</v>
      </c>
      <c r="N552" s="1129" cm="1">
        <f t="array" ref="N552">IFERROR(IF($A552=$A551,0,SUM(_xlfn._xlws.FILTER($E552:$E562,($A552:$A562=$A552)*($J552:$J562=N$42)))),0)</f>
        <v>0</v>
      </c>
    </row>
    <row r="553" spans="1:14">
      <c r="A553" s="466">
        <v>45937</v>
      </c>
      <c r="B553" s="448" t="s">
        <v>88</v>
      </c>
      <c r="C553" s="448">
        <v>1000</v>
      </c>
      <c r="D553" s="448">
        <v>204.54</v>
      </c>
      <c r="E553" s="1128">
        <f ca="1">IFERROR(C553*D553*_xlfn.XLOOKUP(B553,TabCalc[Ticker],TabCalc[Scale]),0)</f>
        <v>204540</v>
      </c>
      <c r="F553" s="1129" cm="1">
        <f t="array" ref="F553">IF(A553=A552,0,SUM(_xlfn._xlws.FILTER(E553:E563,A553:A563=A553)))</f>
        <v>0</v>
      </c>
      <c r="G553" s="1130">
        <f>IF(F553&lt;&gt;0,SUM($F$43:F553),0)</f>
        <v>0</v>
      </c>
      <c r="H553" s="1130" cm="1">
        <f t="array" ref="H553">IFERROR(IF(A553=A552,0,SUM(_xlfn._xlws.FILTER(E553:E563,(A553:A563=A553)*(E553:E563&gt;0)))),0)</f>
        <v>0</v>
      </c>
      <c r="I553" s="1130" cm="1">
        <f t="array" ref="I553">IFERROR(IF(A553=A552,0,SUM(_xlfn._xlws.FILTER(E553:E563,(A553:A563=A553)*(F553&lt;0)))),0)</f>
        <v>0</v>
      </c>
      <c r="J553" s="295" t="str">
        <f ca="1">IFERROR(_xlfn.XLOOKUP(B553,TabCalc[Ticker],TabCalc[Cur]),"")</f>
        <v>USD</v>
      </c>
      <c r="K553" s="1129" cm="1">
        <f t="array" ref="K553">IFERROR(IF($A553=$A552,0,SUM(_xlfn._xlws.FILTER($E553:$E563,($A553:$A563=$A553)*($J553:$J563=K$42)))),0)</f>
        <v>0</v>
      </c>
      <c r="L553" s="1129" cm="1">
        <f t="array" ref="L553">IFERROR(IF($A553=$A552,0,SUM(_xlfn._xlws.FILTER($E553:$E563,($A553:$A563=$A553)*($J553:$J563=L$42)))),0)</f>
        <v>0</v>
      </c>
      <c r="M553" s="1129" cm="1">
        <f t="array" ref="M553">IFERROR(IF($A553=$A552,0,SUM(_xlfn._xlws.FILTER($E553:$E563,($A553:$A563=$A553)*($J553:$J563=M$42)))),0)</f>
        <v>0</v>
      </c>
      <c r="N553" s="1129" cm="1">
        <f t="array" ref="N553">IFERROR(IF($A553=$A552,0,SUM(_xlfn._xlws.FILTER($E553:$E563,($A553:$A563=$A553)*($J553:$J563=N$42)))),0)</f>
        <v>0</v>
      </c>
    </row>
    <row r="554" spans="1:14">
      <c r="A554" s="466">
        <v>45937</v>
      </c>
      <c r="B554" s="448" t="s">
        <v>11</v>
      </c>
      <c r="C554" s="448">
        <v>10000</v>
      </c>
      <c r="D554" s="448">
        <v>3.15</v>
      </c>
      <c r="E554" s="1128">
        <f ca="1">IFERROR(C554*D554*_xlfn.XLOOKUP(B554,TabCalc[Ticker],TabCalc[Scale]),0)</f>
        <v>31500</v>
      </c>
      <c r="F554" s="1129" cm="1">
        <f t="array" ref="F554">IF(A554=A553,0,SUM(_xlfn._xlws.FILTER(E554:E564,A554:A564=A554)))</f>
        <v>0</v>
      </c>
      <c r="G554" s="1130">
        <f>IF(F554&lt;&gt;0,SUM($F$43:F554),0)</f>
        <v>0</v>
      </c>
      <c r="H554" s="1130" cm="1">
        <f t="array" ref="H554">IFERROR(IF(A554=A553,0,SUM(_xlfn._xlws.FILTER(E554:E564,(A554:A564=A554)*(E554:E564&gt;0)))),0)</f>
        <v>0</v>
      </c>
      <c r="I554" s="1130" cm="1">
        <f t="array" ref="I554">IFERROR(IF(A554=A553,0,SUM(_xlfn._xlws.FILTER(E554:E564,(A554:A564=A554)*(F554&lt;0)))),0)</f>
        <v>0</v>
      </c>
      <c r="J554" s="295" t="str">
        <f ca="1">IFERROR(_xlfn.XLOOKUP(B554,TabCalc[Ticker],TabCalc[Cur]),"")</f>
        <v>USD</v>
      </c>
      <c r="K554" s="1129" cm="1">
        <f t="array" ref="K554">IFERROR(IF($A554=$A553,0,SUM(_xlfn._xlws.FILTER($E554:$E564,($A554:$A564=$A554)*($J554:$J564=K$42)))),0)</f>
        <v>0</v>
      </c>
      <c r="L554" s="1129" cm="1">
        <f t="array" ref="L554">IFERROR(IF($A554=$A553,0,SUM(_xlfn._xlws.FILTER($E554:$E564,($A554:$A564=$A554)*($J554:$J564=L$42)))),0)</f>
        <v>0</v>
      </c>
      <c r="M554" s="1129" cm="1">
        <f t="array" ref="M554">IFERROR(IF($A554=$A553,0,SUM(_xlfn._xlws.FILTER($E554:$E564,($A554:$A564=$A554)*($J554:$J564=M$42)))),0)</f>
        <v>0</v>
      </c>
      <c r="N554" s="1129" cm="1">
        <f t="array" ref="N554">IFERROR(IF($A554=$A553,0,SUM(_xlfn._xlws.FILTER($E554:$E564,($A554:$A564=$A554)*($J554:$J564=N$42)))),0)</f>
        <v>0</v>
      </c>
    </row>
    <row r="555" spans="1:14">
      <c r="A555" s="452">
        <v>45938</v>
      </c>
      <c r="B555" s="465" t="s">
        <v>22</v>
      </c>
      <c r="C555" s="454">
        <v>10000</v>
      </c>
      <c r="D555" s="455">
        <v>397.01</v>
      </c>
      <c r="E555" s="1128">
        <f ca="1">IFERROR(C555*D555*_xlfn.XLOOKUP(B555,TabCalc[Ticker],TabCalc[Scale]),0)</f>
        <v>39701</v>
      </c>
      <c r="F555" s="1129" cm="1">
        <f t="array" aca="1" ref="F555" ca="1">IF(A555=A554,0,SUM(_xlfn._xlws.FILTER(E555:E565,A555:A565=A555)))</f>
        <v>-16692</v>
      </c>
      <c r="G555" s="1130">
        <f ca="1">IF(F555&lt;&gt;0,SUM($F$43:F555),0)</f>
        <v>-2406193.3195729996</v>
      </c>
      <c r="H555" s="1130" cm="1">
        <f t="array" aca="1" ref="H555" ca="1">IFERROR(IF(A555=A554,0,SUM(_xlfn._xlws.FILTER(E555:E565,(A555:A565=A555)*(E555:E565&gt;0)))),0)</f>
        <v>151940</v>
      </c>
      <c r="I555" s="1130" cm="1">
        <f t="array" aca="1" ref="I555" ca="1">IFERROR(IF(A555=A554,0,SUM(_xlfn._xlws.FILTER(E555:E565,(A555:A565=A555)*(F555&lt;0)))),0)</f>
        <v>-16692</v>
      </c>
      <c r="J555" s="295" t="str">
        <f ca="1">IFERROR(_xlfn.XLOOKUP(B555,TabCalc[Ticker],TabCalc[Cur]),"")</f>
        <v>GBp</v>
      </c>
      <c r="K555" s="1129" cm="1">
        <f t="array" aca="1" ref="K555" ca="1">IFERROR(IF($A555=$A554,0,SUM(_xlfn._xlws.FILTER($E555:$E565,($A555:$A565=$A555)*($J555:$J565=K$42)))),0)</f>
        <v>-49980</v>
      </c>
      <c r="L555" s="1129" cm="1">
        <f t="array" aca="1" ref="L555" ca="1">IFERROR(IF($A555=$A554,0,SUM(_xlfn._xlws.FILTER($E555:$E565,($A555:$A565=$A555)*($J555:$J565=L$42)))),0)</f>
        <v>-6413</v>
      </c>
      <c r="M555" s="1129" cm="1">
        <f t="array" aca="1" ref="M555" ca="1">IFERROR(IF($A555=$A554,0,SUM(_xlfn._xlws.FILTER($E555:$E565,($A555:$A565=$A555)*($J555:$J565=M$42)))),0)</f>
        <v>39701</v>
      </c>
      <c r="N555" s="1129" cm="1">
        <f t="array" aca="1" ref="N555" ca="1">IFERROR(IF($A555=$A554,0,SUM(_xlfn._xlws.FILTER($E555:$E565,($A555:$A565=$A555)*($J555:$J565=N$42)))),0)</f>
        <v>0</v>
      </c>
    </row>
    <row r="556" spans="1:14">
      <c r="A556" s="452">
        <v>45938</v>
      </c>
      <c r="B556" s="465" t="s">
        <v>60</v>
      </c>
      <c r="C556" s="454">
        <v>2000</v>
      </c>
      <c r="D556" s="455">
        <v>-54.13</v>
      </c>
      <c r="E556" s="1128">
        <f ca="1">IFERROR(C556*D556*_xlfn.XLOOKUP(B556,TabCalc[Ticker],TabCalc[Scale]),0)</f>
        <v>-108260</v>
      </c>
      <c r="F556" s="1129" cm="1">
        <f t="array" ref="F556">IF(A556=A555,0,SUM(_xlfn._xlws.FILTER(E556:E566,A556:A566=A556)))</f>
        <v>0</v>
      </c>
      <c r="G556" s="1130">
        <f>IF(F556&lt;&gt;0,SUM($F$43:F556),0)</f>
        <v>0</v>
      </c>
      <c r="H556" s="1130" cm="1">
        <f t="array" ref="H556">IFERROR(IF(A556=A555,0,SUM(_xlfn._xlws.FILTER(E556:E566,(A556:A566=A556)*(E556:E566&gt;0)))),0)</f>
        <v>0</v>
      </c>
      <c r="I556" s="1130" cm="1">
        <f t="array" ref="I556">IFERROR(IF(A556=A555,0,SUM(_xlfn._xlws.FILTER(E556:E566,(A556:A566=A556)*(F556&lt;0)))),0)</f>
        <v>0</v>
      </c>
      <c r="J556" s="295" t="str">
        <f ca="1">IFERROR(_xlfn.XLOOKUP(B556,TabCalc[Ticker],TabCalc[Cur]),"")</f>
        <v>EUR</v>
      </c>
      <c r="K556" s="1129" cm="1">
        <f t="array" ref="K556">IFERROR(IF($A556=$A555,0,SUM(_xlfn._xlws.FILTER($E556:$E566,($A556:$A566=$A556)*($J556:$J566=K$42)))),0)</f>
        <v>0</v>
      </c>
      <c r="L556" s="1129" cm="1">
        <f t="array" ref="L556">IFERROR(IF($A556=$A555,0,SUM(_xlfn._xlws.FILTER($E556:$E566,($A556:$A566=$A556)*($J556:$J566=L$42)))),0)</f>
        <v>0</v>
      </c>
      <c r="M556" s="1129" cm="1">
        <f t="array" ref="M556">IFERROR(IF($A556=$A555,0,SUM(_xlfn._xlws.FILTER($E556:$E566,($A556:$A566=$A556)*($J556:$J566=M$42)))),0)</f>
        <v>0</v>
      </c>
      <c r="N556" s="1129" cm="1">
        <f t="array" ref="N556">IFERROR(IF($A556=$A555,0,SUM(_xlfn._xlws.FILTER($E556:$E566,($A556:$A566=$A556)*($J556:$J566=N$42)))),0)</f>
        <v>0</v>
      </c>
    </row>
    <row r="557" spans="1:14">
      <c r="A557" s="452">
        <v>45938</v>
      </c>
      <c r="B557" s="465" t="s">
        <v>13</v>
      </c>
      <c r="C557" s="454">
        <v>2000</v>
      </c>
      <c r="D557" s="455">
        <v>29.14</v>
      </c>
      <c r="E557" s="1128">
        <f ca="1">IFERROR(C557*D557*_xlfn.XLOOKUP(B557,TabCalc[Ticker],TabCalc[Scale]),0)</f>
        <v>58280</v>
      </c>
      <c r="F557" s="1129" cm="1">
        <f t="array" ref="F557">IF(A557=A556,0,SUM(_xlfn._xlws.FILTER(E557:E567,A557:A567=A557)))</f>
        <v>0</v>
      </c>
      <c r="G557" s="1130">
        <f>IF(F557&lt;&gt;0,SUM($F$43:F557),0)</f>
        <v>0</v>
      </c>
      <c r="H557" s="1130" cm="1">
        <f t="array" ref="H557">IFERROR(IF(A557=A556,0,SUM(_xlfn._xlws.FILTER(E557:E567,(A557:A567=A557)*(E557:E567&gt;0)))),0)</f>
        <v>0</v>
      </c>
      <c r="I557" s="1130" cm="1">
        <f t="array" ref="I557">IFERROR(IF(A557=A556,0,SUM(_xlfn._xlws.FILTER(E557:E567,(A557:A567=A557)*(F557&lt;0)))),0)</f>
        <v>0</v>
      </c>
      <c r="J557" s="295" t="str">
        <f ca="1">IFERROR(_xlfn.XLOOKUP(B557,TabCalc[Ticker],TabCalc[Cur]),"")</f>
        <v>EUR</v>
      </c>
      <c r="K557" s="1129" cm="1">
        <f t="array" ref="K557">IFERROR(IF($A557=$A556,0,SUM(_xlfn._xlws.FILTER($E557:$E567,($A557:$A567=$A557)*($J557:$J567=K$42)))),0)</f>
        <v>0</v>
      </c>
      <c r="L557" s="1129" cm="1">
        <f t="array" ref="L557">IFERROR(IF($A557=$A556,0,SUM(_xlfn._xlws.FILTER($E557:$E567,($A557:$A567=$A557)*($J557:$J567=L$42)))),0)</f>
        <v>0</v>
      </c>
      <c r="M557" s="1129" cm="1">
        <f t="array" ref="M557">IFERROR(IF($A557=$A556,0,SUM(_xlfn._xlws.FILTER($E557:$E567,($A557:$A567=$A557)*($J557:$J567=M$42)))),0)</f>
        <v>0</v>
      </c>
      <c r="N557" s="1129" cm="1">
        <f t="array" ref="N557">IFERROR(IF($A557=$A556,0,SUM(_xlfn._xlws.FILTER($E557:$E567,($A557:$A567=$A557)*($J557:$J567=N$42)))),0)</f>
        <v>0</v>
      </c>
    </row>
    <row r="558" spans="1:14">
      <c r="A558" s="452">
        <v>45938</v>
      </c>
      <c r="B558" s="465" t="s">
        <v>88</v>
      </c>
      <c r="C558" s="454">
        <v>300</v>
      </c>
      <c r="D558" s="455">
        <v>-201.24</v>
      </c>
      <c r="E558" s="1128">
        <f ca="1">IFERROR(C558*D558*_xlfn.XLOOKUP(B558,TabCalc[Ticker],TabCalc[Scale]),0)</f>
        <v>-60372</v>
      </c>
      <c r="F558" s="1129" cm="1">
        <f t="array" ref="F558">IF(A558=A557,0,SUM(_xlfn._xlws.FILTER(E558:E568,A558:A568=A558)))</f>
        <v>0</v>
      </c>
      <c r="G558" s="1130">
        <f>IF(F558&lt;&gt;0,SUM($F$43:F558),0)</f>
        <v>0</v>
      </c>
      <c r="H558" s="1130" cm="1">
        <f t="array" ref="H558">IFERROR(IF(A558=A557,0,SUM(_xlfn._xlws.FILTER(E558:E568,(A558:A568=A558)*(E558:E568&gt;0)))),0)</f>
        <v>0</v>
      </c>
      <c r="I558" s="1130" cm="1">
        <f t="array" ref="I558">IFERROR(IF(A558=A557,0,SUM(_xlfn._xlws.FILTER(E558:E568,(A558:A568=A558)*(F558&lt;0)))),0)</f>
        <v>0</v>
      </c>
      <c r="J558" s="295" t="str">
        <f ca="1">IFERROR(_xlfn.XLOOKUP(B558,TabCalc[Ticker],TabCalc[Cur]),"")</f>
        <v>USD</v>
      </c>
      <c r="K558" s="1129" cm="1">
        <f t="array" ref="K558">IFERROR(IF($A558=$A557,0,SUM(_xlfn._xlws.FILTER($E558:$E568,($A558:$A568=$A558)*($J558:$J568=K$42)))),0)</f>
        <v>0</v>
      </c>
      <c r="L558" s="1129" cm="1">
        <f t="array" ref="L558">IFERROR(IF($A558=$A557,0,SUM(_xlfn._xlws.FILTER($E558:$E568,($A558:$A568=$A558)*($J558:$J568=L$42)))),0)</f>
        <v>0</v>
      </c>
      <c r="M558" s="1129" cm="1">
        <f t="array" ref="M558">IFERROR(IF($A558=$A557,0,SUM(_xlfn._xlws.FILTER($E558:$E568,($A558:$A568=$A558)*($J558:$J568=M$42)))),0)</f>
        <v>0</v>
      </c>
      <c r="N558" s="1129" cm="1">
        <f t="array" ref="N558">IFERROR(IF($A558=$A557,0,SUM(_xlfn._xlws.FILTER($E558:$E568,($A558:$A568=$A558)*($J558:$J568=N$42)))),0)</f>
        <v>0</v>
      </c>
    </row>
    <row r="559" spans="1:14">
      <c r="A559" s="452">
        <v>45938</v>
      </c>
      <c r="B559" s="465" t="s">
        <v>20</v>
      </c>
      <c r="C559" s="454">
        <v>1200</v>
      </c>
      <c r="D559" s="455">
        <v>26.07</v>
      </c>
      <c r="E559" s="1128">
        <f ca="1">IFERROR(C559*D559*_xlfn.XLOOKUP(B559,TabCalc[Ticker],TabCalc[Scale]),0)</f>
        <v>31284</v>
      </c>
      <c r="F559" s="1129" cm="1">
        <f t="array" ref="F559">IF(A559=A558,0,SUM(_xlfn._xlws.FILTER(E559:E569,A559:A569=A559)))</f>
        <v>0</v>
      </c>
      <c r="G559" s="1130">
        <f>IF(F559&lt;&gt;0,SUM($F$43:F559),0)</f>
        <v>0</v>
      </c>
      <c r="H559" s="1130" cm="1">
        <f t="array" ref="H559">IFERROR(IF(A559=A558,0,SUM(_xlfn._xlws.FILTER(E559:E569,(A559:A569=A559)*(E559:E569&gt;0)))),0)</f>
        <v>0</v>
      </c>
      <c r="I559" s="1130" cm="1">
        <f t="array" ref="I559">IFERROR(IF(A559=A558,0,SUM(_xlfn._xlws.FILTER(E559:E569,(A559:A569=A559)*(F559&lt;0)))),0)</f>
        <v>0</v>
      </c>
      <c r="J559" s="295" t="str">
        <f ca="1">IFERROR(_xlfn.XLOOKUP(B559,TabCalc[Ticker],TabCalc[Cur]),"")</f>
        <v>USD</v>
      </c>
      <c r="K559" s="1129" cm="1">
        <f t="array" ref="K559">IFERROR(IF($A559=$A558,0,SUM(_xlfn._xlws.FILTER($E559:$E569,($A559:$A569=$A559)*($J559:$J569=K$42)))),0)</f>
        <v>0</v>
      </c>
      <c r="L559" s="1129" cm="1">
        <f t="array" ref="L559">IFERROR(IF($A559=$A558,0,SUM(_xlfn._xlws.FILTER($E559:$E569,($A559:$A569=$A559)*($J559:$J569=L$42)))),0)</f>
        <v>0</v>
      </c>
      <c r="M559" s="1129" cm="1">
        <f t="array" ref="M559">IFERROR(IF($A559=$A558,0,SUM(_xlfn._xlws.FILTER($E559:$E569,($A559:$A569=$A559)*($J559:$J569=M$42)))),0)</f>
        <v>0</v>
      </c>
      <c r="N559" s="1129" cm="1">
        <f t="array" ref="N559">IFERROR(IF($A559=$A558,0,SUM(_xlfn._xlws.FILTER($E559:$E569,($A559:$A569=$A559)*($J559:$J569=N$42)))),0)</f>
        <v>0</v>
      </c>
    </row>
    <row r="560" spans="1:14">
      <c r="A560" s="452">
        <v>45938</v>
      </c>
      <c r="B560" s="452" t="s">
        <v>1089</v>
      </c>
      <c r="C560" s="465">
        <v>2500</v>
      </c>
      <c r="D560" s="454">
        <v>9.07</v>
      </c>
      <c r="E560" s="455">
        <f ca="1">IFERROR(C560*D560*_xlfn.XLOOKUP(B560,TabCalc[Ticker],TabCalc[Scale]),0)</f>
        <v>22675</v>
      </c>
      <c r="F560" s="1129" cm="1">
        <f t="array" ref="F560">IF(A560=A559,0,SUM(_xlfn._xlws.FILTER(E560:E570,A560:A570=A560)))</f>
        <v>0</v>
      </c>
      <c r="G560" s="1130">
        <f>IF(F560&lt;&gt;0,SUM($F$43:F560),0)</f>
        <v>0</v>
      </c>
      <c r="H560" s="1130" cm="1">
        <f t="array" ref="H560">IFERROR(IF(A560=A559,0,SUM(_xlfn._xlws.FILTER(E560:E570,(A560:A570=A560)*(E560:E570&gt;0)))),0)</f>
        <v>0</v>
      </c>
      <c r="I560" s="1130" cm="1">
        <f t="array" ref="I560">IFERROR(IF(A560=A559,0,SUM(_xlfn._xlws.FILTER(E560:E570,(A560:A570=A560)*(F560&lt;0)))),0)</f>
        <v>0</v>
      </c>
      <c r="J560" s="295" t="str">
        <f ca="1">IFERROR(_xlfn.XLOOKUP(B560,TabCalc[Ticker],TabCalc[Cur]),"")</f>
        <v>USD</v>
      </c>
      <c r="K560" s="1129" cm="1">
        <f t="array" ref="K560">IFERROR(IF($A560=$A559,0,SUM(_xlfn._xlws.FILTER($E560:$E570,($A560:$A570=$A560)*($J560:$J570=K$42)))),0)</f>
        <v>0</v>
      </c>
      <c r="L560" s="1129" cm="1">
        <f t="array" ref="L560">IFERROR(IF($A560=$A559,0,SUM(_xlfn._xlws.FILTER($E560:$E570,($A560:$A570=$A560)*($J560:$J570=L$42)))),0)</f>
        <v>0</v>
      </c>
      <c r="M560" s="1129" cm="1">
        <f t="array" ref="M560">IFERROR(IF($A560=$A559,0,SUM(_xlfn._xlws.FILTER($E560:$E570,($A560:$A570=$A560)*($J560:$J570=M$42)))),0)</f>
        <v>0</v>
      </c>
      <c r="N560" s="1129" cm="1">
        <f t="array" ref="N560">IFERROR(IF($A560=$A559,0,SUM(_xlfn._xlws.FILTER($E560:$E570,($A560:$A570=$A560)*($J560:$J570=N$42)))),0)</f>
        <v>0</v>
      </c>
    </row>
    <row r="561" spans="1:14">
      <c r="A561" s="466">
        <v>45939</v>
      </c>
      <c r="B561" s="448" t="s">
        <v>60</v>
      </c>
      <c r="C561" s="448">
        <v>2000</v>
      </c>
      <c r="D561" s="467">
        <v>-54.68</v>
      </c>
      <c r="E561" s="1128">
        <f ca="1">IFERROR(C561*D561*_xlfn.XLOOKUP(B561,TabCalc[Ticker],TabCalc[Scale]),0)</f>
        <v>-109360</v>
      </c>
      <c r="F561" s="1129" cm="1">
        <f t="array" aca="1" ref="F561" ca="1">IF(A561=A560,0,SUM(_xlfn._xlws.FILTER(E561:E571,A561:A571=A561)))</f>
        <v>180047.40000000002</v>
      </c>
      <c r="G561" s="1130">
        <f ca="1">IF(F561&lt;&gt;0,SUM($F$43:F561),0)</f>
        <v>-2226145.9195729997</v>
      </c>
      <c r="H561" s="1130" cm="1">
        <f t="array" aca="1" ref="H561" ca="1">IFERROR(IF(A561=A560,0,SUM(_xlfn._xlws.FILTER(E561:E571,(A561:A571=A561)*(E561:E571&gt;0)))),0)</f>
        <v>382743.4</v>
      </c>
      <c r="I561" s="1130" cm="1">
        <f t="array" aca="1" ref="I561" ca="1">IFERROR(IF(A561=A560,0,SUM(_xlfn._xlws.FILTER(E561:E571,(A561:A571=A561)*(F561&lt;0)))),0)</f>
        <v>0</v>
      </c>
      <c r="J561" s="295" t="str">
        <f ca="1">IFERROR(_xlfn.XLOOKUP(B561,TabCalc[Ticker],TabCalc[Cur]),"")</f>
        <v>EUR</v>
      </c>
      <c r="K561" s="1129" cm="1">
        <f t="array" aca="1" ref="K561" ca="1">IFERROR(IF($A561=$A560,0,SUM(_xlfn._xlws.FILTER($E561:$E571,($A561:$A571=$A561)*($J561:$J571=K$42)))),0)</f>
        <v>-109360</v>
      </c>
      <c r="L561" s="1129" cm="1">
        <f t="array" aca="1" ref="L561" ca="1">IFERROR(IF($A561=$A560,0,SUM(_xlfn._xlws.FILTER($E561:$E571,($A561:$A571=$A561)*($J561:$J571=L$42)))),0)</f>
        <v>195337.40000000002</v>
      </c>
      <c r="M561" s="1129" cm="1">
        <f t="array" aca="1" ref="M561" ca="1">IFERROR(IF($A561=$A560,0,SUM(_xlfn._xlws.FILTER($E561:$E571,($A561:$A571=$A561)*($J561:$J571=M$42)))),0)</f>
        <v>32270</v>
      </c>
      <c r="N561" s="1129" cm="1">
        <f t="array" aca="1" ref="N561" ca="1">IFERROR(IF($A561=$A560,0,SUM(_xlfn._xlws.FILTER($E561:$E571,($A561:$A571=$A561)*($J561:$J571=N$42)))),0)</f>
        <v>61800</v>
      </c>
    </row>
    <row r="562" spans="1:14">
      <c r="A562" s="466">
        <v>45939</v>
      </c>
      <c r="B562" s="448" t="s">
        <v>48</v>
      </c>
      <c r="C562" s="448">
        <v>1000</v>
      </c>
      <c r="D562" s="467">
        <v>61.8</v>
      </c>
      <c r="E562" s="1128">
        <f ca="1">IFERROR(C562*D562*_xlfn.XLOOKUP(B562,TabCalc[Ticker],TabCalc[Scale]),0)</f>
        <v>61800</v>
      </c>
      <c r="F562" s="1129" cm="1">
        <f t="array" ref="F562">IF(A562=A561,0,SUM(_xlfn._xlws.FILTER(E562:E572,A562:A572=A562)))</f>
        <v>0</v>
      </c>
      <c r="G562" s="1130">
        <f>IF(F562&lt;&gt;0,SUM($F$43:F562),0)</f>
        <v>0</v>
      </c>
      <c r="H562" s="1130" cm="1">
        <f t="array" ref="H562">IFERROR(IF(A562=A561,0,SUM(_xlfn._xlws.FILTER(E562:E572,(A562:A572=A562)*(E562:E572&gt;0)))),0)</f>
        <v>0</v>
      </c>
      <c r="I562" s="1130" cm="1">
        <f t="array" ref="I562">IFERROR(IF(A562=A561,0,SUM(_xlfn._xlws.FILTER(E562:E572,(A562:A572=A562)*(F562&lt;0)))),0)</f>
        <v>0</v>
      </c>
      <c r="J562" s="295" t="str">
        <f ca="1">IFERROR(_xlfn.XLOOKUP(B562,TabCalc[Ticker],TabCalc[Cur]),"")</f>
        <v>CHF</v>
      </c>
      <c r="K562" s="1129" cm="1">
        <f t="array" ref="K562">IFERROR(IF($A562=$A561,0,SUM(_xlfn._xlws.FILTER($E562:$E572,($A562:$A572=$A562)*($J562:$J572=K$42)))),0)</f>
        <v>0</v>
      </c>
      <c r="L562" s="1129" cm="1">
        <f t="array" ref="L562">IFERROR(IF($A562=$A561,0,SUM(_xlfn._xlws.FILTER($E562:$E572,($A562:$A572=$A562)*($J562:$J572=L$42)))),0)</f>
        <v>0</v>
      </c>
      <c r="M562" s="1129" cm="1">
        <f t="array" ref="M562">IFERROR(IF($A562=$A561,0,SUM(_xlfn._xlws.FILTER($E562:$E572,($A562:$A572=$A562)*($J562:$J572=M$42)))),0)</f>
        <v>0</v>
      </c>
      <c r="N562" s="1129" cm="1">
        <f t="array" ref="N562">IFERROR(IF($A562=$A561,0,SUM(_xlfn._xlws.FILTER($E562:$E572,($A562:$A572=$A562)*($J562:$J572=N$42)))),0)</f>
        <v>0</v>
      </c>
    </row>
    <row r="563" spans="1:14">
      <c r="A563" s="466">
        <v>45939</v>
      </c>
      <c r="B563" s="448" t="s">
        <v>22</v>
      </c>
      <c r="C563" s="448">
        <v>10000</v>
      </c>
      <c r="D563" s="467">
        <v>414.7</v>
      </c>
      <c r="E563" s="1128">
        <f ca="1">IFERROR(C563*D563*_xlfn.XLOOKUP(B563,TabCalc[Ticker],TabCalc[Scale]),0)</f>
        <v>41470</v>
      </c>
      <c r="F563" s="1129" cm="1">
        <f t="array" ref="F563">IF(A563=A562,0,SUM(_xlfn._xlws.FILTER(E563:E573,A563:A573=A563)))</f>
        <v>0</v>
      </c>
      <c r="G563" s="1130">
        <f>IF(F563&lt;&gt;0,SUM($F$43:F563),0)</f>
        <v>0</v>
      </c>
      <c r="H563" s="1130" cm="1">
        <f t="array" ref="H563">IFERROR(IF(A563=A562,0,SUM(_xlfn._xlws.FILTER(E563:E573,(A563:A573=A563)*(E563:E573&gt;0)))),0)</f>
        <v>0</v>
      </c>
      <c r="I563" s="1130" cm="1">
        <f t="array" ref="I563">IFERROR(IF(A563=A562,0,SUM(_xlfn._xlws.FILTER(E563:E573,(A563:A573=A563)*(F563&lt;0)))),0)</f>
        <v>0</v>
      </c>
      <c r="J563" s="295" t="str">
        <f ca="1">IFERROR(_xlfn.XLOOKUP(B563,TabCalc[Ticker],TabCalc[Cur]),"")</f>
        <v>GBp</v>
      </c>
      <c r="K563" s="1129" cm="1">
        <f t="array" ref="K563">IFERROR(IF($A563=$A562,0,SUM(_xlfn._xlws.FILTER($E563:$E573,($A563:$A573=$A563)*($J563:$J573=K$42)))),0)</f>
        <v>0</v>
      </c>
      <c r="L563" s="1129" cm="1">
        <f t="array" ref="L563">IFERROR(IF($A563=$A562,0,SUM(_xlfn._xlws.FILTER($E563:$E573,($A563:$A573=$A563)*($J563:$J573=L$42)))),0)</f>
        <v>0</v>
      </c>
      <c r="M563" s="1129" cm="1">
        <f t="array" ref="M563">IFERROR(IF($A563=$A562,0,SUM(_xlfn._xlws.FILTER($E563:$E573,($A563:$A573=$A563)*($J563:$J573=M$42)))),0)</f>
        <v>0</v>
      </c>
      <c r="N563" s="1129" cm="1">
        <f t="array" ref="N563">IFERROR(IF($A563=$A562,0,SUM(_xlfn._xlws.FILTER($E563:$E573,($A563:$A573=$A563)*($J563:$J573=N$42)))),0)</f>
        <v>0</v>
      </c>
    </row>
    <row r="564" spans="1:14">
      <c r="A564" s="466">
        <v>45939</v>
      </c>
      <c r="B564" s="448" t="s">
        <v>46</v>
      </c>
      <c r="C564" s="448">
        <v>160</v>
      </c>
      <c r="D564" s="467">
        <v>346.09</v>
      </c>
      <c r="E564" s="1128">
        <f ca="1">IFERROR(C564*D564*_xlfn.XLOOKUP(B564,TabCalc[Ticker],TabCalc[Scale]),0)</f>
        <v>55374.399999999994</v>
      </c>
      <c r="F564" s="1129" cm="1">
        <f t="array" ref="F564">IF(A564=A563,0,SUM(_xlfn._xlws.FILTER(E564:E574,A564:A574=A564)))</f>
        <v>0</v>
      </c>
      <c r="G564" s="1130">
        <f>IF(F564&lt;&gt;0,SUM($F$43:F564),0)</f>
        <v>0</v>
      </c>
      <c r="H564" s="1130" cm="1">
        <f t="array" ref="H564">IFERROR(IF(A564=A563,0,SUM(_xlfn._xlws.FILTER(E564:E574,(A564:A574=A564)*(E564:E574&gt;0)))),0)</f>
        <v>0</v>
      </c>
      <c r="I564" s="1130" cm="1">
        <f t="array" ref="I564">IFERROR(IF(A564=A563,0,SUM(_xlfn._xlws.FILTER(E564:E574,(A564:A574=A564)*(F564&lt;0)))),0)</f>
        <v>0</v>
      </c>
      <c r="J564" s="295" t="str">
        <f ca="1">IFERROR(_xlfn.XLOOKUP(B564,TabCalc[Ticker],TabCalc[Cur]),"")</f>
        <v>USD</v>
      </c>
      <c r="K564" s="1129" cm="1">
        <f t="array" ref="K564">IFERROR(IF($A564=$A563,0,SUM(_xlfn._xlws.FILTER($E564:$E574,($A564:$A574=$A564)*($J564:$J574=K$42)))),0)</f>
        <v>0</v>
      </c>
      <c r="L564" s="1129" cm="1">
        <f t="array" ref="L564">IFERROR(IF($A564=$A563,0,SUM(_xlfn._xlws.FILTER($E564:$E574,($A564:$A574=$A564)*($J564:$J574=L$42)))),0)</f>
        <v>0</v>
      </c>
      <c r="M564" s="1129" cm="1">
        <f t="array" ref="M564">IFERROR(IF($A564=$A563,0,SUM(_xlfn._xlws.FILTER($E564:$E574,($A564:$A574=$A564)*($J564:$J574=M$42)))),0)</f>
        <v>0</v>
      </c>
      <c r="N564" s="1129" cm="1">
        <f t="array" ref="N564">IFERROR(IF($A564=$A563,0,SUM(_xlfn._xlws.FILTER($E564:$E574,($A564:$A574=$A564)*($J564:$J574=N$42)))),0)</f>
        <v>0</v>
      </c>
    </row>
    <row r="565" spans="1:14">
      <c r="A565" s="466">
        <v>45939</v>
      </c>
      <c r="B565" s="448" t="s">
        <v>2</v>
      </c>
      <c r="C565" s="448">
        <v>20000</v>
      </c>
      <c r="D565" s="467">
        <v>-46</v>
      </c>
      <c r="E565" s="1128">
        <f ca="1">IFERROR(C565*D565*_xlfn.XLOOKUP(B565,TabCalc[Ticker],TabCalc[Scale]),0)</f>
        <v>-9200</v>
      </c>
      <c r="F565" s="1129" cm="1">
        <f t="array" ref="F565">IF(A565=A564,0,SUM(_xlfn._xlws.FILTER(E565:E575,A565:A575=A565)))</f>
        <v>0</v>
      </c>
      <c r="G565" s="1130">
        <f>IF(F565&lt;&gt;0,SUM($F$43:F565),0)</f>
        <v>0</v>
      </c>
      <c r="H565" s="1130" cm="1">
        <f t="array" ref="H565">IFERROR(IF(A565=A564,0,SUM(_xlfn._xlws.FILTER(E565:E575,(A565:A575=A565)*(E565:E575&gt;0)))),0)</f>
        <v>0</v>
      </c>
      <c r="I565" s="1130" cm="1">
        <f t="array" ref="I565">IFERROR(IF(A565=A564,0,SUM(_xlfn._xlws.FILTER(E565:E575,(A565:A575=A565)*(F565&lt;0)))),0)</f>
        <v>0</v>
      </c>
      <c r="J565" s="295" t="str">
        <f ca="1">IFERROR(_xlfn.XLOOKUP(B565,TabCalc[Ticker],TabCalc[Cur]),"")</f>
        <v>GBp</v>
      </c>
      <c r="K565" s="1129" cm="1">
        <f t="array" ref="K565">IFERROR(IF($A565=$A564,0,SUM(_xlfn._xlws.FILTER($E565:$E575,($A565:$A575=$A565)*($J565:$J575=K$42)))),0)</f>
        <v>0</v>
      </c>
      <c r="L565" s="1129" cm="1">
        <f t="array" ref="L565">IFERROR(IF($A565=$A564,0,SUM(_xlfn._xlws.FILTER($E565:$E575,($A565:$A575=$A565)*($J565:$J575=L$42)))),0)</f>
        <v>0</v>
      </c>
      <c r="M565" s="1129" cm="1">
        <f t="array" ref="M565">IFERROR(IF($A565=$A564,0,SUM(_xlfn._xlws.FILTER($E565:$E575,($A565:$A575=$A565)*($J565:$J575=M$42)))),0)</f>
        <v>0</v>
      </c>
      <c r="N565" s="1129" cm="1">
        <f t="array" ref="N565">IFERROR(IF($A565=$A564,0,SUM(_xlfn._xlws.FILTER($E565:$E575,($A565:$A575=$A565)*($J565:$J575=N$42)))),0)</f>
        <v>0</v>
      </c>
    </row>
    <row r="566" spans="1:14">
      <c r="A566" s="466">
        <v>45939</v>
      </c>
      <c r="B566" s="448" t="s">
        <v>5</v>
      </c>
      <c r="C566" s="448">
        <v>500</v>
      </c>
      <c r="D566" s="448">
        <v>86.22</v>
      </c>
      <c r="E566" s="1128">
        <f ca="1">IFERROR(C566*D566*_xlfn.XLOOKUP(B566,TabCalc[Ticker],TabCalc[Scale]),0)</f>
        <v>43110</v>
      </c>
      <c r="F566" s="1129" cm="1">
        <f t="array" ref="F566">IF(A566=A565,0,SUM(_xlfn._xlws.FILTER(E566:E576,A566:A576=A566)))</f>
        <v>0</v>
      </c>
      <c r="G566" s="1130">
        <f>IF(F566&lt;&gt;0,SUM($F$43:F566),0)</f>
        <v>0</v>
      </c>
      <c r="H566" s="1130" cm="1">
        <f t="array" ref="H566">IFERROR(IF(A566=A565,0,SUM(_xlfn._xlws.FILTER(E566:E576,(A566:A576=A566)*(E566:E576&gt;0)))),0)</f>
        <v>0</v>
      </c>
      <c r="I566" s="1130" cm="1">
        <f t="array" ref="I566">IFERROR(IF(A566=A565,0,SUM(_xlfn._xlws.FILTER(E566:E576,(A566:A576=A566)*(F566&lt;0)))),0)</f>
        <v>0</v>
      </c>
      <c r="J566" s="295" t="str">
        <f ca="1">IFERROR(_xlfn.XLOOKUP(B566,TabCalc[Ticker],TabCalc[Cur]),"")</f>
        <v>USD</v>
      </c>
      <c r="K566" s="1129" cm="1">
        <f t="array" ref="K566">IFERROR(IF($A566=$A565,0,SUM(_xlfn._xlws.FILTER($E566:$E576,($A566:$A576=$A566)*($J566:$J576=K$42)))),0)</f>
        <v>0</v>
      </c>
      <c r="L566" s="1129" cm="1">
        <f t="array" ref="L566">IFERROR(IF($A566=$A565,0,SUM(_xlfn._xlws.FILTER($E566:$E576,($A566:$A576=$A566)*($J566:$J576=L$42)))),0)</f>
        <v>0</v>
      </c>
      <c r="M566" s="1129" cm="1">
        <f t="array" ref="M566">IFERROR(IF($A566=$A565,0,SUM(_xlfn._xlws.FILTER($E566:$E576,($A566:$A576=$A566)*($J566:$J576=M$42)))),0)</f>
        <v>0</v>
      </c>
      <c r="N566" s="1129" cm="1">
        <f t="array" ref="N566">IFERROR(IF($A566=$A565,0,SUM(_xlfn._xlws.FILTER($E566:$E576,($A566:$A576=$A566)*($J566:$J576=N$42)))),0)</f>
        <v>0</v>
      </c>
    </row>
    <row r="567" spans="1:14">
      <c r="A567" s="466">
        <v>45939</v>
      </c>
      <c r="B567" s="448" t="s">
        <v>0</v>
      </c>
      <c r="C567" s="448">
        <v>200</v>
      </c>
      <c r="D567" s="448">
        <v>253.62</v>
      </c>
      <c r="E567" s="1128">
        <f ca="1">IFERROR(C567*D567*_xlfn.XLOOKUP(B567,TabCalc[Ticker],TabCalc[Scale]),0)</f>
        <v>50724</v>
      </c>
      <c r="F567" s="1129" cm="1">
        <f t="array" ref="F567">IF(A567=A566,0,SUM(_xlfn._xlws.FILTER(E567:E577,A567:A577=A567)))</f>
        <v>0</v>
      </c>
      <c r="G567" s="1130">
        <f>IF(F567&lt;&gt;0,SUM($F$43:F567),0)</f>
        <v>0</v>
      </c>
      <c r="H567" s="1130" cm="1">
        <f t="array" ref="H567">IFERROR(IF(A567=A566,0,SUM(_xlfn._xlws.FILTER(E567:E577,(A567:A577=A567)*(E567:E577&gt;0)))),0)</f>
        <v>0</v>
      </c>
      <c r="I567" s="1130" cm="1">
        <f t="array" ref="I567">IFERROR(IF(A567=A566,0,SUM(_xlfn._xlws.FILTER(E567:E577,(A567:A577=A567)*(F567&lt;0)))),0)</f>
        <v>0</v>
      </c>
      <c r="J567" s="295" t="str">
        <f ca="1">IFERROR(_xlfn.XLOOKUP(B567,TabCalc[Ticker],TabCalc[Cur]),"")</f>
        <v>USD</v>
      </c>
      <c r="K567" s="1129" cm="1">
        <f t="array" ref="K567">IFERROR(IF($A567=$A566,0,SUM(_xlfn._xlws.FILTER($E567:$E577,($A567:$A577=$A567)*($J567:$J577=K$42)))),0)</f>
        <v>0</v>
      </c>
      <c r="L567" s="1129" cm="1">
        <f t="array" ref="L567">IFERROR(IF($A567=$A566,0,SUM(_xlfn._xlws.FILTER($E567:$E577,($A567:$A577=$A567)*($J567:$J577=L$42)))),0)</f>
        <v>0</v>
      </c>
      <c r="M567" s="1129" cm="1">
        <f t="array" ref="M567">IFERROR(IF($A567=$A566,0,SUM(_xlfn._xlws.FILTER($E567:$E577,($A567:$A577=$A567)*($J567:$J577=M$42)))),0)</f>
        <v>0</v>
      </c>
      <c r="N567" s="1129" cm="1">
        <f t="array" ref="N567">IFERROR(IF($A567=$A566,0,SUM(_xlfn._xlws.FILTER($E567:$E577,($A567:$A577=$A567)*($J567:$J577=N$42)))),0)</f>
        <v>0</v>
      </c>
    </row>
    <row r="568" spans="1:14">
      <c r="A568" s="466">
        <v>45939</v>
      </c>
      <c r="B568" s="448" t="s">
        <v>30</v>
      </c>
      <c r="C568" s="448">
        <v>100</v>
      </c>
      <c r="D568" s="467">
        <v>1235.33</v>
      </c>
      <c r="E568" s="1128">
        <f ca="1">IFERROR(C568*D568*_xlfn.XLOOKUP(B568,TabCalc[Ticker],TabCalc[Scale]),0)</f>
        <v>123533</v>
      </c>
      <c r="F568" s="1129" cm="1">
        <f t="array" ref="F568">IF(A568=A567,0,SUM(_xlfn._xlws.FILTER(E568:E578,A568:A578=A568)))</f>
        <v>0</v>
      </c>
      <c r="G568" s="1130">
        <f>IF(F568&lt;&gt;0,SUM($F$43:F568),0)</f>
        <v>0</v>
      </c>
      <c r="H568" s="1130" cm="1">
        <f t="array" ref="H568">IFERROR(IF(A568=A567,0,SUM(_xlfn._xlws.FILTER(E568:E578,(A568:A578=A568)*(E568:E578&gt;0)))),0)</f>
        <v>0</v>
      </c>
      <c r="I568" s="1130" cm="1">
        <f t="array" ref="I568">IFERROR(IF(A568=A567,0,SUM(_xlfn._xlws.FILTER(E568:E578,(A568:A578=A568)*(F568&lt;0)))),0)</f>
        <v>0</v>
      </c>
      <c r="J568" s="295" t="str">
        <f ca="1">IFERROR(_xlfn.XLOOKUP(B568,TabCalc[Ticker],TabCalc[Cur]),"")</f>
        <v>USD</v>
      </c>
      <c r="K568" s="1129" cm="1">
        <f t="array" ref="K568">IFERROR(IF($A568=$A567,0,SUM(_xlfn._xlws.FILTER($E568:$E578,($A568:$A578=$A568)*($J568:$J578=K$42)))),0)</f>
        <v>0</v>
      </c>
      <c r="L568" s="1129" cm="1">
        <f t="array" ref="L568">IFERROR(IF($A568=$A567,0,SUM(_xlfn._xlws.FILTER($E568:$E578,($A568:$A578=$A568)*($J568:$J578=L$42)))),0)</f>
        <v>0</v>
      </c>
      <c r="M568" s="1129" cm="1">
        <f t="array" ref="M568">IFERROR(IF($A568=$A567,0,SUM(_xlfn._xlws.FILTER($E568:$E578,($A568:$A578=$A568)*($J568:$J578=M$42)))),0)</f>
        <v>0</v>
      </c>
      <c r="N568" s="1129" cm="1">
        <f t="array" ref="N568">IFERROR(IF($A568=$A567,0,SUM(_xlfn._xlws.FILTER($E568:$E578,($A568:$A578=$A568)*($J568:$J578=N$42)))),0)</f>
        <v>0</v>
      </c>
    </row>
    <row r="569" spans="1:14">
      <c r="A569" s="466">
        <v>45939</v>
      </c>
      <c r="B569" s="448" t="s">
        <v>25</v>
      </c>
      <c r="C569" s="448">
        <v>990</v>
      </c>
      <c r="D569" s="467">
        <v>6.8</v>
      </c>
      <c r="E569" s="1128">
        <f ca="1">IFERROR(C569*D569*_xlfn.XLOOKUP(B569,TabCalc[Ticker],TabCalc[Scale]),0)</f>
        <v>6732</v>
      </c>
      <c r="F569" s="1129" cm="1">
        <f t="array" ref="F569">IF(A569=A568,0,SUM(_xlfn._xlws.FILTER(E569:E579,A569:A579=A569)))</f>
        <v>0</v>
      </c>
      <c r="G569" s="1130">
        <f>IF(F569&lt;&gt;0,SUM($F$43:F569),0)</f>
        <v>0</v>
      </c>
      <c r="H569" s="1130" cm="1">
        <f t="array" ref="H569">IFERROR(IF(A569=A568,0,SUM(_xlfn._xlws.FILTER(E569:E579,(A569:A579=A569)*(E569:E579&gt;0)))),0)</f>
        <v>0</v>
      </c>
      <c r="I569" s="1130" cm="1">
        <f t="array" ref="I569">IFERROR(IF(A569=A568,0,SUM(_xlfn._xlws.FILTER(E569:E579,(A569:A579=A569)*(F569&lt;0)))),0)</f>
        <v>0</v>
      </c>
      <c r="J569" s="295" t="str">
        <f ca="1">IFERROR(_xlfn.XLOOKUP(B569,TabCalc[Ticker],TabCalc[Cur]),"")</f>
        <v>USD</v>
      </c>
      <c r="K569" s="1129" cm="1">
        <f t="array" ref="K569">IFERROR(IF($A569=$A568,0,SUM(_xlfn._xlws.FILTER($E569:$E579,($A569:$A579=$A569)*($J569:$J579=K$42)))),0)</f>
        <v>0</v>
      </c>
      <c r="L569" s="1129" cm="1">
        <f t="array" ref="L569">IFERROR(IF($A569=$A568,0,SUM(_xlfn._xlws.FILTER($E569:$E579,($A569:$A579=$A569)*($J569:$J579=L$42)))),0)</f>
        <v>0</v>
      </c>
      <c r="M569" s="1129" cm="1">
        <f t="array" ref="M569">IFERROR(IF($A569=$A568,0,SUM(_xlfn._xlws.FILTER($E569:$E579,($A569:$A579=$A569)*($J569:$J579=M$42)))),0)</f>
        <v>0</v>
      </c>
      <c r="N569" s="1129" cm="1">
        <f t="array" ref="N569">IFERROR(IF($A569=$A568,0,SUM(_xlfn._xlws.FILTER($E569:$E579,($A569:$A579=$A569)*($J569:$J579=N$42)))),0)</f>
        <v>0</v>
      </c>
    </row>
    <row r="570" spans="1:14">
      <c r="A570" s="466">
        <v>45939</v>
      </c>
      <c r="B570" s="448" t="s">
        <v>14</v>
      </c>
      <c r="C570" s="448">
        <v>400</v>
      </c>
      <c r="D570" s="467">
        <v>-127.09</v>
      </c>
      <c r="E570" s="1128">
        <f ca="1">IFERROR(C570*D570*_xlfn.XLOOKUP(B570,TabCalc[Ticker],TabCalc[Scale]),0)</f>
        <v>-50836</v>
      </c>
      <c r="F570" s="1129" cm="1">
        <f t="array" ref="F570">IF(A570=A569,0,SUM(_xlfn._xlws.FILTER(E570:E580,A570:A580=A570)))</f>
        <v>0</v>
      </c>
      <c r="G570" s="1130">
        <f>IF(F570&lt;&gt;0,SUM($F$43:F570),0)</f>
        <v>0</v>
      </c>
      <c r="H570" s="1130" cm="1">
        <f t="array" ref="H570">IFERROR(IF(A570=A569,0,SUM(_xlfn._xlws.FILTER(E570:E580,(A570:A580=A570)*(E570:E580&gt;0)))),0)</f>
        <v>0</v>
      </c>
      <c r="I570" s="1130" cm="1">
        <f t="array" ref="I570">IFERROR(IF(A570=A569,0,SUM(_xlfn._xlws.FILTER(E570:E580,(A570:A580=A570)*(F570&lt;0)))),0)</f>
        <v>0</v>
      </c>
      <c r="J570" s="295" t="str">
        <f ca="1">IFERROR(_xlfn.XLOOKUP(B570,TabCalc[Ticker],TabCalc[Cur]),"")</f>
        <v>USD</v>
      </c>
      <c r="K570" s="1129" cm="1">
        <f t="array" ref="K570">IFERROR(IF($A570=$A569,0,SUM(_xlfn._xlws.FILTER($E570:$E580,($A570:$A580=$A570)*($J570:$J580=K$42)))),0)</f>
        <v>0</v>
      </c>
      <c r="L570" s="1129" cm="1">
        <f t="array" ref="L570">IFERROR(IF($A570=$A569,0,SUM(_xlfn._xlws.FILTER($E570:$E580,($A570:$A580=$A570)*($J570:$J580=L$42)))),0)</f>
        <v>0</v>
      </c>
      <c r="M570" s="1129" cm="1">
        <f t="array" ref="M570">IFERROR(IF($A570=$A569,0,SUM(_xlfn._xlws.FILTER($E570:$E580,($A570:$A580=$A570)*($J570:$J580=M$42)))),0)</f>
        <v>0</v>
      </c>
      <c r="N570" s="1129" cm="1">
        <f t="array" ref="N570">IFERROR(IF($A570=$A569,0,SUM(_xlfn._xlws.FILTER($E570:$E580,($A570:$A580=$A570)*($J570:$J580=N$42)))),0)</f>
        <v>0</v>
      </c>
    </row>
    <row r="571" spans="1:14">
      <c r="A571" s="466">
        <v>45939</v>
      </c>
      <c r="B571" s="448" t="s">
        <v>52</v>
      </c>
      <c r="C571" s="448">
        <v>5000</v>
      </c>
      <c r="D571" s="467">
        <v>-6.66</v>
      </c>
      <c r="E571" s="1128">
        <f ca="1">IFERROR(C571*D571*_xlfn.XLOOKUP(B571,TabCalc[Ticker],TabCalc[Scale]),0)</f>
        <v>-33300</v>
      </c>
      <c r="F571" s="1129" cm="1">
        <f t="array" ref="F571">IF(A571=A570,0,SUM(_xlfn._xlws.FILTER(E571:E581,A571:A581=A571)))</f>
        <v>0</v>
      </c>
      <c r="G571" s="1130">
        <f>IF(F571&lt;&gt;0,SUM($F$43:F571),0)</f>
        <v>0</v>
      </c>
      <c r="H571" s="1130" cm="1">
        <f t="array" ref="H571">IFERROR(IF(A571=A570,0,SUM(_xlfn._xlws.FILTER(E571:E581,(A571:A581=A571)*(E571:E581&gt;0)))),0)</f>
        <v>0</v>
      </c>
      <c r="I571" s="1130" cm="1">
        <f t="array" ref="I571">IFERROR(IF(A571=A570,0,SUM(_xlfn._xlws.FILTER(E571:E581,(A571:A581=A571)*(F571&lt;0)))),0)</f>
        <v>0</v>
      </c>
      <c r="J571" s="295" t="str">
        <f ca="1">IFERROR(_xlfn.XLOOKUP(B571,TabCalc[Ticker],TabCalc[Cur]),"")</f>
        <v>USD</v>
      </c>
      <c r="K571" s="1129" cm="1">
        <f t="array" ref="K571">IFERROR(IF($A571=$A570,0,SUM(_xlfn._xlws.FILTER($E571:$E581,($A571:$A581=$A571)*($J571:$J581=K$42)))),0)</f>
        <v>0</v>
      </c>
      <c r="L571" s="1129" cm="1">
        <f t="array" ref="L571">IFERROR(IF($A571=$A570,0,SUM(_xlfn._xlws.FILTER($E571:$E581,($A571:$A581=$A571)*($J571:$J581=L$42)))),0)</f>
        <v>0</v>
      </c>
      <c r="M571" s="1129" cm="1">
        <f t="array" ref="M571">IFERROR(IF($A571=$A570,0,SUM(_xlfn._xlws.FILTER($E571:$E581,($A571:$A581=$A571)*($J571:$J581=M$42)))),0)</f>
        <v>0</v>
      </c>
      <c r="N571" s="1129" cm="1">
        <f t="array" ref="N571">IFERROR(IF($A571=$A570,0,SUM(_xlfn._xlws.FILTER($E571:$E581,($A571:$A581=$A571)*($J571:$J581=N$42)))),0)</f>
        <v>0</v>
      </c>
    </row>
    <row r="572" spans="1:14">
      <c r="A572" s="452">
        <v>45940</v>
      </c>
      <c r="B572" s="452" t="s">
        <v>38</v>
      </c>
      <c r="C572" s="465">
        <v>200</v>
      </c>
      <c r="D572" s="455">
        <v>237.8</v>
      </c>
      <c r="E572" s="1128">
        <f ca="1">IFERROR(C572*D572*_xlfn.XLOOKUP(B572,TabCalc[Ticker],TabCalc[Scale]),0)</f>
        <v>47560</v>
      </c>
      <c r="F572" s="1129" cm="1">
        <f t="array" aca="1" ref="F572" ca="1">IF(A572=A571,0,SUM(_xlfn._xlws.FILTER(E572:E582,A572:A582=A572)))</f>
        <v>-272301.7</v>
      </c>
      <c r="G572" s="1130">
        <f ca="1">IF(F572&lt;&gt;0,SUM($F$43:F572),0)</f>
        <v>-2498447.6195729999</v>
      </c>
      <c r="H572" s="1130" cm="1">
        <f t="array" aca="1" ref="H572" ca="1">IFERROR(IF(A572=A571,0,SUM(_xlfn._xlws.FILTER(E572:E582,(A572:A582=A572)*(E572:E582&gt;0)))),0)</f>
        <v>67660.600000000006</v>
      </c>
      <c r="I572" s="1130" cm="1">
        <f t="array" aca="1" ref="I572" ca="1">IFERROR(IF(A572=A571,0,SUM(_xlfn._xlws.FILTER(E572:E582,(A572:A582=A572)*(F572&lt;0)))),0)</f>
        <v>-272301.7</v>
      </c>
      <c r="J572" s="295" t="str">
        <f ca="1">IFERROR(_xlfn.XLOOKUP(B572,TabCalc[Ticker],TabCalc[Cur]),"")</f>
        <v>EUR</v>
      </c>
      <c r="K572" s="1129" cm="1">
        <f t="array" aca="1" ref="K572" ca="1">IFERROR(IF($A572=$A571,0,SUM(_xlfn._xlws.FILTER($E572:$E582,($A572:$A582=$A572)*($J572:$J582=K$42)))),0)</f>
        <v>-115220</v>
      </c>
      <c r="L572" s="1129" cm="1">
        <f t="array" aca="1" ref="L572" ca="1">IFERROR(IF($A572=$A571,0,SUM(_xlfn._xlws.FILTER($E572:$E582,($A572:$A582=$A572)*($J572:$J582=L$42)))),0)</f>
        <v>-152501.69999999998</v>
      </c>
      <c r="M572" s="1129" cm="1">
        <f t="array" aca="1" ref="M572" ca="1">IFERROR(IF($A572=$A571,0,SUM(_xlfn._xlws.FILTER($E572:$E582,($A572:$A582=$A572)*($J572:$J582=M$42)))),0)</f>
        <v>-4580</v>
      </c>
      <c r="N572" s="1129" cm="1">
        <f t="array" aca="1" ref="N572" ca="1">IFERROR(IF($A572=$A571,0,SUM(_xlfn._xlws.FILTER($E572:$E582,($A572:$A582=$A572)*($J572:$J582=N$42)))),0)</f>
        <v>0</v>
      </c>
    </row>
    <row r="573" spans="1:14">
      <c r="A573" s="452">
        <v>45940</v>
      </c>
      <c r="B573" s="452" t="s">
        <v>2</v>
      </c>
      <c r="C573" s="465">
        <v>10000</v>
      </c>
      <c r="D573" s="455">
        <v>-45.8</v>
      </c>
      <c r="E573" s="1128">
        <f ca="1">IFERROR(C573*D573*_xlfn.XLOOKUP(B573,TabCalc[Ticker],TabCalc[Scale]),0)</f>
        <v>-4580</v>
      </c>
      <c r="F573" s="1129" cm="1">
        <f t="array" ref="F573">IF(A573=A572,0,SUM(_xlfn._xlws.FILTER(E573:E583,A573:A583=A573)))</f>
        <v>0</v>
      </c>
      <c r="G573" s="1130">
        <f>IF(F573&lt;&gt;0,SUM($F$43:F573),0)</f>
        <v>0</v>
      </c>
      <c r="H573" s="1130" cm="1">
        <f t="array" ref="H573">IFERROR(IF(A573=A572,0,SUM(_xlfn._xlws.FILTER(E573:E583,(A573:A583=A573)*(E573:E583&gt;0)))),0)</f>
        <v>0</v>
      </c>
      <c r="I573" s="1130" cm="1">
        <f t="array" ref="I573">IFERROR(IF(A573=A572,0,SUM(_xlfn._xlws.FILTER(E573:E583,(A573:A583=A573)*(F573&lt;0)))),0)</f>
        <v>0</v>
      </c>
      <c r="J573" s="295" t="str">
        <f ca="1">IFERROR(_xlfn.XLOOKUP(B573,TabCalc[Ticker],TabCalc[Cur]),"")</f>
        <v>GBp</v>
      </c>
      <c r="K573" s="1129" cm="1">
        <f t="array" ref="K573">IFERROR(IF($A573=$A572,0,SUM(_xlfn._xlws.FILTER($E573:$E583,($A573:$A583=$A573)*($J573:$J583=K$42)))),0)</f>
        <v>0</v>
      </c>
      <c r="L573" s="1129" cm="1">
        <f t="array" ref="L573">IFERROR(IF($A573=$A572,0,SUM(_xlfn._xlws.FILTER($E573:$E583,($A573:$A583=$A573)*($J573:$J583=L$42)))),0)</f>
        <v>0</v>
      </c>
      <c r="M573" s="1129" cm="1">
        <f t="array" ref="M573">IFERROR(IF($A573=$A572,0,SUM(_xlfn._xlws.FILTER($E573:$E583,($A573:$A583=$A573)*($J573:$J583=M$42)))),0)</f>
        <v>0</v>
      </c>
      <c r="N573" s="1129" cm="1">
        <f t="array" ref="N573">IFERROR(IF($A573=$A572,0,SUM(_xlfn._xlws.FILTER($E573:$E583,($A573:$A583=$A573)*($J573:$J583=N$42)))),0)</f>
        <v>0</v>
      </c>
    </row>
    <row r="574" spans="1:14">
      <c r="A574" s="452">
        <v>45941</v>
      </c>
      <c r="B574" s="452" t="s">
        <v>2</v>
      </c>
      <c r="C574" s="465">
        <v>10000</v>
      </c>
      <c r="D574" s="455">
        <v>-45.6</v>
      </c>
      <c r="E574" s="1128">
        <f ca="1">IFERROR(C574*D574*_xlfn.XLOOKUP(B574,TabCalc[Ticker],TabCalc[Scale]),0)</f>
        <v>-4560</v>
      </c>
      <c r="F574" s="1129"/>
      <c r="G574" s="1130"/>
      <c r="H574" s="1130"/>
      <c r="I574" s="1130"/>
      <c r="J574" s="295" t="str">
        <f ca="1">IFERROR(_xlfn.XLOOKUP(B574,TabCalc[Ticker],TabCalc[Cur]),"")</f>
        <v>GBp</v>
      </c>
      <c r="K574" s="1129"/>
      <c r="L574" s="1129"/>
      <c r="M574" s="1129"/>
      <c r="N574" s="1129" cm="1">
        <f t="array" aca="1" ref="N574" ca="1">IFERROR(IF($A574=$A573,0,SUM(_xlfn._xlws.FILTER($E574:$E584,($A574:$A584=$A574)*($J574:$J584=N$42)))),0)</f>
        <v>0</v>
      </c>
    </row>
    <row r="575" spans="1:14">
      <c r="A575" s="452">
        <v>45940</v>
      </c>
      <c r="B575" s="452" t="s">
        <v>21</v>
      </c>
      <c r="C575" s="465">
        <v>4000</v>
      </c>
      <c r="D575" s="455">
        <v>-25.74</v>
      </c>
      <c r="E575" s="1128">
        <f ca="1">IFERROR(C575*D575*_xlfn.XLOOKUP(B575,TabCalc[Ticker],TabCalc[Scale]),0)</f>
        <v>-102960</v>
      </c>
      <c r="F575" s="1129"/>
      <c r="G575" s="1130"/>
      <c r="H575" s="1130"/>
      <c r="I575" s="1130"/>
      <c r="J575" s="295" t="str">
        <f ca="1">IFERROR(_xlfn.XLOOKUP(B575,TabCalc[Ticker],TabCalc[Cur]),"")</f>
        <v>USD</v>
      </c>
      <c r="K575" s="1129"/>
      <c r="L575" s="1129"/>
      <c r="M575" s="1129"/>
      <c r="N575" s="1129" cm="1">
        <f t="array" aca="1" ref="N575" ca="1">IFERROR(IF($A575=$A574,0,SUM(_xlfn._xlws.FILTER($E575:$E585,($A575:$A585=$A575)*($J575:$J585=N$42)))),0)</f>
        <v>0</v>
      </c>
    </row>
    <row r="576" spans="1:14">
      <c r="A576" s="452">
        <v>45940</v>
      </c>
      <c r="B576" s="452" t="s">
        <v>46</v>
      </c>
      <c r="C576" s="465">
        <v>210</v>
      </c>
      <c r="D576" s="455">
        <v>-331.63</v>
      </c>
      <c r="E576" s="1128">
        <f ca="1">IFERROR(C576*D576*_xlfn.XLOOKUP(B576,TabCalc[Ticker],TabCalc[Scale]),0)</f>
        <v>-69642.3</v>
      </c>
      <c r="F576" s="1129" cm="1">
        <f t="array" ref="F576">IF(A576=A575,0,SUM(_xlfn._xlws.FILTER(E576:E586,A576:A586=A576)))</f>
        <v>0</v>
      </c>
      <c r="G576" s="1130">
        <f>IF(F576&lt;&gt;0,SUM($F$43:F576),0)</f>
        <v>0</v>
      </c>
      <c r="H576" s="1130" cm="1">
        <f t="array" ref="H576">IFERROR(IF(A576=A575,0,SUM(_xlfn._xlws.FILTER(E576:E586,(A576:A586=A576)*(E576:E586&gt;0)))),0)</f>
        <v>0</v>
      </c>
      <c r="I576" s="1130" cm="1">
        <f t="array" ref="I576">IFERROR(IF(A576=A575,0,SUM(_xlfn._xlws.FILTER(E576:E586,(A576:A586=A576)*(F576&lt;0)))),0)</f>
        <v>0</v>
      </c>
      <c r="J576" s="295" t="str">
        <f ca="1">IFERROR(_xlfn.XLOOKUP(B576,TabCalc[Ticker],TabCalc[Cur]),"")</f>
        <v>USD</v>
      </c>
      <c r="K576" s="1129" cm="1">
        <f t="array" ref="K576">IFERROR(IF($A576=$A575,0,SUM(_xlfn._xlws.FILTER($E576:$E586,($A576:$A586=$A576)*($J576:$J586=K$42)))),0)</f>
        <v>0</v>
      </c>
      <c r="L576" s="1129" cm="1">
        <f t="array" ref="L576">IFERROR(IF($A576=$A575,0,SUM(_xlfn._xlws.FILTER($E576:$E586,($A576:$A586=$A576)*($J576:$J586=L$42)))),0)</f>
        <v>0</v>
      </c>
      <c r="M576" s="1129" cm="1">
        <f t="array" ref="M576">IFERROR(IF($A576=$A575,0,SUM(_xlfn._xlws.FILTER($E576:$E586,($A576:$A586=$A576)*($J576:$J586=M$42)))),0)</f>
        <v>0</v>
      </c>
      <c r="N576" s="1129" cm="1">
        <f t="array" ref="N576">IFERROR(IF($A576=$A575,0,SUM(_xlfn._xlws.FILTER($E576:$E586,($A576:$A586=$A576)*($J576:$J586=N$42)))),0)</f>
        <v>0</v>
      </c>
    </row>
    <row r="577" spans="1:14">
      <c r="A577" s="452">
        <v>45940</v>
      </c>
      <c r="B577" s="452" t="s">
        <v>6</v>
      </c>
      <c r="C577" s="465">
        <v>6000</v>
      </c>
      <c r="D577" s="455">
        <v>3.3500999999999999</v>
      </c>
      <c r="E577" s="1128">
        <f ca="1">IFERROR(C577*D577*_xlfn.XLOOKUP(B577,TabCalc[Ticker],TabCalc[Scale]),0)</f>
        <v>20100.599999999999</v>
      </c>
      <c r="F577" s="1129" cm="1">
        <f t="array" ref="F577">IF(A577=A576,0,SUM(_xlfn._xlws.FILTER(E577:E587,A577:A587=A577)))</f>
        <v>0</v>
      </c>
      <c r="G577" s="1130">
        <f>IF(F577&lt;&gt;0,SUM($F$43:F577),0)</f>
        <v>0</v>
      </c>
      <c r="H577" s="1130" cm="1">
        <f t="array" ref="H577">IFERROR(IF(A577=A576,0,SUM(_xlfn._xlws.FILTER(E577:E587,(A577:A587=A577)*(E577:E587&gt;0)))),0)</f>
        <v>0</v>
      </c>
      <c r="I577" s="1130" cm="1">
        <f t="array" ref="I577">IFERROR(IF(A577=A576,0,SUM(_xlfn._xlws.FILTER(E577:E587,(A577:A587=A577)*(F577&lt;0)))),0)</f>
        <v>0</v>
      </c>
      <c r="J577" s="295" t="str">
        <f ca="1">IFERROR(_xlfn.XLOOKUP(B577,TabCalc[Ticker],TabCalc[Cur]),"")</f>
        <v>USD</v>
      </c>
      <c r="K577" s="1129" cm="1">
        <f t="array" ref="K577">IFERROR(IF($A577=$A576,0,SUM(_xlfn._xlws.FILTER($E577:$E587,($A577:$A587=$A577)*($J577:$J587=K$42)))),0)</f>
        <v>0</v>
      </c>
      <c r="L577" s="1129" cm="1">
        <f t="array" ref="L577">IFERROR(IF($A577=$A576,0,SUM(_xlfn._xlws.FILTER($E577:$E587,($A577:$A587=$A577)*($J577:$J587=L$42)))),0)</f>
        <v>0</v>
      </c>
      <c r="M577" s="1129" cm="1">
        <f t="array" ref="M577">IFERROR(IF($A577=$A576,0,SUM(_xlfn._xlws.FILTER($E577:$E587,($A577:$A587=$A577)*($J577:$J587=M$42)))),0)</f>
        <v>0</v>
      </c>
      <c r="N577" s="1129" cm="1">
        <f t="array" ref="N577">IFERROR(IF($A577=$A576,0,SUM(_xlfn._xlws.FILTER($E577:$E587,($A577:$A587=$A577)*($J577:$J587=N$42)))),0)</f>
        <v>0</v>
      </c>
    </row>
    <row r="578" spans="1:14">
      <c r="A578" s="452">
        <v>45940</v>
      </c>
      <c r="B578" s="452" t="s">
        <v>32</v>
      </c>
      <c r="C578" s="465">
        <v>200</v>
      </c>
      <c r="D578" s="455">
        <v>-813.9</v>
      </c>
      <c r="E578" s="1128">
        <f ca="1">IFERROR(C578*D578*_xlfn.XLOOKUP(B578,TabCalc[Ticker],TabCalc[Scale]),0)</f>
        <v>-162780</v>
      </c>
      <c r="F578" s="1129" cm="1">
        <f t="array" ref="F578">IF(A578=A577,0,SUM(_xlfn._xlws.FILTER(E578:E588,A578:A588=A578)))</f>
        <v>0</v>
      </c>
      <c r="G578" s="1130">
        <f>IF(F578&lt;&gt;0,SUM($F$43:F578),0)</f>
        <v>0</v>
      </c>
      <c r="H578" s="1130" cm="1">
        <f t="array" ref="H578">IFERROR(IF(A578=A577,0,SUM(_xlfn._xlws.FILTER(E578:E588,(A578:A588=A578)*(E578:E588&gt;0)))),0)</f>
        <v>0</v>
      </c>
      <c r="I578" s="1130" cm="1">
        <f t="array" ref="I578">IFERROR(IF(A578=A577,0,SUM(_xlfn._xlws.FILTER(E578:E588,(A578:A588=A578)*(F578&lt;0)))),0)</f>
        <v>0</v>
      </c>
      <c r="J578" s="295" t="str">
        <f ca="1">IFERROR(_xlfn.XLOOKUP(B578,TabCalc[Ticker],TabCalc[Cur]),"")</f>
        <v>EUR</v>
      </c>
      <c r="K578" s="1129" cm="1">
        <f t="array" ref="K578">IFERROR(IF($A578=$A577,0,SUM(_xlfn._xlws.FILTER($E578:$E588,($A578:$A588=$A578)*($J578:$J588=K$42)))),0)</f>
        <v>0</v>
      </c>
      <c r="L578" s="1129" cm="1">
        <f t="array" ref="L578">IFERROR(IF($A578=$A577,0,SUM(_xlfn._xlws.FILTER($E578:$E588,($A578:$A588=$A578)*($J578:$J588=L$42)))),0)</f>
        <v>0</v>
      </c>
      <c r="M578" s="1129" cm="1">
        <f t="array" ref="M578">IFERROR(IF($A578=$A577,0,SUM(_xlfn._xlws.FILTER($E578:$E588,($A578:$A588=$A578)*($J578:$J588=M$42)))),0)</f>
        <v>0</v>
      </c>
      <c r="N578" s="1129" cm="1">
        <f t="array" ref="N578">IFERROR(IF($A578=$A577,0,SUM(_xlfn._xlws.FILTER($E578:$E588,($A578:$A588=$A578)*($J578:$J588=N$42)))),0)</f>
        <v>0</v>
      </c>
    </row>
    <row r="579" spans="1:14">
      <c r="A579" s="466">
        <v>45943</v>
      </c>
      <c r="B579" s="448" t="s">
        <v>0</v>
      </c>
      <c r="C579" s="448">
        <v>200</v>
      </c>
      <c r="D579" s="467">
        <v>-248.52</v>
      </c>
      <c r="E579" s="1128">
        <f ca="1">IFERROR(C579*D579*_xlfn.XLOOKUP(B579,TabCalc[Ticker],TabCalc[Scale]),0)</f>
        <v>-49704</v>
      </c>
      <c r="F579" s="1129" cm="1">
        <f t="array" aca="1" ref="F579" ca="1">IF(A579=A578,0,SUM(_xlfn._xlws.FILTER(E579:E589,A579:A589=A579)))</f>
        <v>-126693.795</v>
      </c>
      <c r="G579" s="1130">
        <f ca="1">IF(F579&lt;&gt;0,SUM($F$43:F579),0)</f>
        <v>-2625141.4145729998</v>
      </c>
      <c r="H579" s="1130" cm="1">
        <f t="array" aca="1" ref="H579" ca="1">IFERROR(IF(A579=A578,0,SUM(_xlfn._xlws.FILTER(E579:E589,(A579:A589=A579)*(E579:E589&gt;0)))),0)</f>
        <v>84.704999999999998</v>
      </c>
      <c r="I579" s="1130" cm="1">
        <f t="array" aca="1" ref="I579" ca="1">IFERROR(IF(A579=A578,0,SUM(_xlfn._xlws.FILTER(E579:E589,(A579:A589=A579)*(F579&lt;0)))),0)</f>
        <v>-126693.795</v>
      </c>
      <c r="J579" s="295" t="str">
        <f ca="1">IFERROR(_xlfn.XLOOKUP(B579,TabCalc[Ticker],TabCalc[Cur]),"")</f>
        <v>USD</v>
      </c>
      <c r="K579" s="1129" cm="1">
        <f t="array" aca="1" ref="K579" ca="1">IFERROR(IF($A579=$A578,0,SUM(_xlfn._xlws.FILTER($E579:$E589,($A579:$A589=$A579)*($J579:$J589=K$42)))),0)</f>
        <v>0</v>
      </c>
      <c r="L579" s="1129" cm="1">
        <f t="array" aca="1" ref="L579" ca="1">IFERROR(IF($A579=$A578,0,SUM(_xlfn._xlws.FILTER($E579:$E589,($A579:$A589=$A579)*($J579:$J589=L$42)))),0)</f>
        <v>-126693.795</v>
      </c>
      <c r="M579" s="1129" cm="1">
        <f t="array" aca="1" ref="M579" ca="1">IFERROR(IF($A579=$A578,0,SUM(_xlfn._xlws.FILTER($E579:$E589,($A579:$A589=$A579)*($J579:$J589=M$42)))),0)</f>
        <v>0</v>
      </c>
      <c r="N579" s="1129" cm="1">
        <f t="array" aca="1" ref="N579" ca="1">IFERROR(IF($A579=$A578,0,SUM(_xlfn._xlws.FILTER($E579:$E589,($A579:$A589=$A579)*($J579:$J589=N$42)))),0)</f>
        <v>0</v>
      </c>
    </row>
    <row r="580" spans="1:14">
      <c r="A580" s="466">
        <v>45943</v>
      </c>
      <c r="B580" s="448" t="s">
        <v>27</v>
      </c>
      <c r="C580" s="448">
        <v>150</v>
      </c>
      <c r="D580" s="467">
        <v>-513.83000000000004</v>
      </c>
      <c r="E580" s="1128">
        <f ca="1">IFERROR(C580*D580*_xlfn.XLOOKUP(B580,TabCalc[Ticker],TabCalc[Scale]),0)</f>
        <v>-77074.5</v>
      </c>
      <c r="F580" s="1129" cm="1">
        <f t="array" ref="F580">IF(A580=A579,0,SUM(_xlfn._xlws.FILTER(E580:E590,A580:A590=A580)))</f>
        <v>0</v>
      </c>
      <c r="G580" s="1130">
        <f>IF(F580&lt;&gt;0,SUM($F$43:F580),0)</f>
        <v>0</v>
      </c>
      <c r="H580" s="1130" cm="1">
        <f t="array" ref="H580">IFERROR(IF(A580=A579,0,SUM(_xlfn._xlws.FILTER(E580:E590,(A580:A590=A580)*(E580:E590&gt;0)))),0)</f>
        <v>0</v>
      </c>
      <c r="I580" s="1130" cm="1">
        <f t="array" ref="I580">IFERROR(IF(A580=A579,0,SUM(_xlfn._xlws.FILTER(E580:E590,(A580:A590=A580)*(F580&lt;0)))),0)</f>
        <v>0</v>
      </c>
      <c r="J580" s="295" t="str">
        <f ca="1">IFERROR(_xlfn.XLOOKUP(B580,TabCalc[Ticker],TabCalc[Cur]),"")</f>
        <v>USD</v>
      </c>
      <c r="K580" s="1129" cm="1">
        <f t="array" ref="K580">IFERROR(IF($A580=$A579,0,SUM(_xlfn._xlws.FILTER($E580:$E590,($A580:$A590=$A580)*($J580:$J590=K$42)))),0)</f>
        <v>0</v>
      </c>
      <c r="L580" s="1129" cm="1">
        <f t="array" ref="L580">IFERROR(IF($A580=$A579,0,SUM(_xlfn._xlws.FILTER($E580:$E590,($A580:$A590=$A580)*($J580:$J590=L$42)))),0)</f>
        <v>0</v>
      </c>
      <c r="M580" s="1129" cm="1">
        <f t="array" ref="M580">IFERROR(IF($A580=$A579,0,SUM(_xlfn._xlws.FILTER($E580:$E590,($A580:$A590=$A580)*($J580:$J590=M$42)))),0)</f>
        <v>0</v>
      </c>
      <c r="N580" s="1129" cm="1">
        <f t="array" ref="N580">IFERROR(IF($A580=$A579,0,SUM(_xlfn._xlws.FILTER($E580:$E590,($A580:$A590=$A580)*($J580:$J590=N$42)))),0)</f>
        <v>0</v>
      </c>
    </row>
    <row r="581" spans="1:14">
      <c r="A581" s="466">
        <v>45943</v>
      </c>
      <c r="B581" s="448" t="s">
        <v>20</v>
      </c>
      <c r="C581" s="448">
        <v>1200</v>
      </c>
      <c r="D581" s="467">
        <v>-24.92</v>
      </c>
      <c r="E581" s="1128">
        <v>84.704999999999998</v>
      </c>
      <c r="F581" s="1129" cm="1">
        <f t="array" ref="F581">IF(A581=A580,0,SUM(_xlfn._xlws.FILTER(E581:E591,A581:A591=A581)))</f>
        <v>0</v>
      </c>
      <c r="G581" s="1130">
        <f>IF(F581&lt;&gt;0,SUM($F$43:F581),0)</f>
        <v>0</v>
      </c>
      <c r="H581" s="1130" cm="1">
        <f t="array" ref="H581">IFERROR(IF(A581=A580,0,SUM(_xlfn._xlws.FILTER(E581:E591,(A581:A591=A581)*(E581:E591&gt;0)))),0)</f>
        <v>0</v>
      </c>
      <c r="I581" s="1130" cm="1">
        <f t="array" ref="I581">IFERROR(IF(A581=A580,0,SUM(_xlfn._xlws.FILTER(E581:E591,(A581:A591=A581)*(F581&lt;0)))),0)</f>
        <v>0</v>
      </c>
      <c r="J581" s="295" t="str">
        <f ca="1">IFERROR(_xlfn.XLOOKUP(B581,TabCalc[Ticker],TabCalc[Cur]),"")</f>
        <v>USD</v>
      </c>
      <c r="K581" s="1129" cm="1">
        <f t="array" ref="K581">IFERROR(IF($A581=$A580,0,SUM(_xlfn._xlws.FILTER($E581:$E591,($A581:$A591=$A581)*($J581:$J591=K$42)))),0)</f>
        <v>0</v>
      </c>
      <c r="L581" s="1129" cm="1">
        <f t="array" ref="L581">IFERROR(IF($A581=$A580,0,SUM(_xlfn._xlws.FILTER($E581:$E591,($A581:$A591=$A581)*($J581:$J591=L$42)))),0)</f>
        <v>0</v>
      </c>
      <c r="M581" s="1129" cm="1">
        <f t="array" ref="M581">IFERROR(IF($A581=$A580,0,SUM(_xlfn._xlws.FILTER($E581:$E591,($A581:$A591=$A581)*($J581:$J591=M$42)))),0)</f>
        <v>0</v>
      </c>
      <c r="N581" s="1129" cm="1">
        <f t="array" ref="N581">IFERROR(IF($A581=$A580,0,SUM(_xlfn._xlws.FILTER($E581:$E591,($A581:$A591=$A581)*($J581:$J591=N$42)))),0)</f>
        <v>0</v>
      </c>
    </row>
    <row r="582" spans="1:14">
      <c r="A582" s="452">
        <v>45944</v>
      </c>
      <c r="B582" s="452" t="s">
        <v>28</v>
      </c>
      <c r="C582" s="465">
        <v>300</v>
      </c>
      <c r="D582" s="455">
        <v>84.704999999999998</v>
      </c>
      <c r="E582" s="1128">
        <f ca="1">IFERROR(C582*D582*_xlfn.XLOOKUP(B582,TabCalc[Ticker],TabCalc[Scale]),0)</f>
        <v>25411.5</v>
      </c>
      <c r="F582" s="1129" cm="1">
        <f t="array" aca="1" ref="F582" ca="1">IF(A582=A581,0,SUM(_xlfn._xlws.FILTER(E582:E592,A582:A592=A582)))</f>
        <v>29259.360000000001</v>
      </c>
      <c r="G582" s="1130">
        <f ca="1">IF(F582&lt;&gt;0,SUM($F$43:F582),0)</f>
        <v>-2595882.0545729999</v>
      </c>
      <c r="H582" s="1130" cm="1">
        <f t="array" aca="1" ref="H582" ca="1">IFERROR(IF(A582=A581,0,SUM(_xlfn._xlws.FILTER(E582:E592,(A582:A592=A582)*(E582:E592&gt;0)))),0)</f>
        <v>29259.360000000001</v>
      </c>
      <c r="I582" s="1130" cm="1">
        <f t="array" aca="1" ref="I582" ca="1">IFERROR(IF(A582=A581,0,SUM(_xlfn._xlws.FILTER(E582:E592,(A582:A592=A582)*(F582&lt;0)))),0)</f>
        <v>0</v>
      </c>
      <c r="J582" s="295" t="str">
        <f ca="1">IFERROR(_xlfn.XLOOKUP(B582,TabCalc[Ticker],TabCalc[Cur]),"")</f>
        <v>USD</v>
      </c>
      <c r="K582" s="1129" cm="1">
        <f t="array" aca="1" ref="K582" ca="1">IFERROR(IF($A582=$A581,0,SUM(_xlfn._xlws.FILTER($E582:$E592,($A582:$A592=$A582)*($J582:$J592=K$42)))),0)</f>
        <v>0</v>
      </c>
      <c r="L582" s="1129" cm="1">
        <f t="array" aca="1" ref="L582" ca="1">IFERROR(IF($A582=$A581,0,SUM(_xlfn._xlws.FILTER($E582:$E592,($A582:$A592=$A582)*($J582:$J592=L$42)))),0)</f>
        <v>29259.360000000001</v>
      </c>
      <c r="M582" s="1129" cm="1">
        <f t="array" aca="1" ref="M582" ca="1">IFERROR(IF($A582=$A581,0,SUM(_xlfn._xlws.FILTER($E582:$E592,($A582:$A592=$A582)*($J582:$J592=M$42)))),0)</f>
        <v>0</v>
      </c>
      <c r="N582" s="1129" cm="1">
        <f t="array" aca="1" ref="N582" ca="1">IFERROR(IF($A582=$A581,0,SUM(_xlfn._xlws.FILTER($E582:$E592,($A582:$A592=$A582)*($J582:$J592=N$42)))),0)</f>
        <v>0</v>
      </c>
    </row>
    <row r="583" spans="1:14">
      <c r="A583" s="452">
        <v>45944</v>
      </c>
      <c r="B583" s="452" t="s">
        <v>36</v>
      </c>
      <c r="C583" s="465">
        <v>9</v>
      </c>
      <c r="D583" s="455">
        <v>427.54</v>
      </c>
      <c r="E583" s="1128">
        <f ca="1">IFERROR(C583*D583*_xlfn.XLOOKUP(B583,TabCalc[Ticker],TabCalc[Scale]),0)</f>
        <v>3847.86</v>
      </c>
      <c r="F583" s="1129" cm="1">
        <f t="array" ref="F583">IF(A583=A582,0,SUM(_xlfn._xlws.FILTER(E583:E593,A583:A593=A583)))</f>
        <v>0</v>
      </c>
      <c r="G583" s="1130">
        <f>IF(F583&lt;&gt;0,SUM($F$43:F583),0)</f>
        <v>0</v>
      </c>
      <c r="H583" s="1130" cm="1">
        <f t="array" ref="H583">IFERROR(IF(A583=A582,0,SUM(_xlfn._xlws.FILTER(E583:E593,(A583:A593=A583)*(E583:E593&gt;0)))),0)</f>
        <v>0</v>
      </c>
      <c r="I583" s="1130" cm="1">
        <f t="array" ref="I583">IFERROR(IF(A583=A582,0,SUM(_xlfn._xlws.FILTER(E583:E593,(A583:A593=A583)*(F583&lt;0)))),0)</f>
        <v>0</v>
      </c>
      <c r="J583" s="295" t="str">
        <f ca="1">IFERROR(_xlfn.XLOOKUP(B583,TabCalc[Ticker],TabCalc[Cur]),"")</f>
        <v>USD</v>
      </c>
      <c r="K583" s="1129" cm="1">
        <f t="array" ref="K583">IFERROR(IF($A583=$A582,0,SUM(_xlfn._xlws.FILTER($E583:$E593,($A583:$A593=$A583)*($J583:$J593=K$42)))),0)</f>
        <v>0</v>
      </c>
      <c r="L583" s="1129" cm="1">
        <f t="array" ref="L583">IFERROR(IF($A583=$A582,0,SUM(_xlfn._xlws.FILTER($E583:$E593,($A583:$A593=$A583)*($J583:$J593=L$42)))),0)</f>
        <v>0</v>
      </c>
      <c r="M583" s="1129" cm="1">
        <f t="array" ref="M583">IFERROR(IF($A583=$A582,0,SUM(_xlfn._xlws.FILTER($E583:$E593,($A583:$A593=$A583)*($J583:$J593=M$42)))),0)</f>
        <v>0</v>
      </c>
      <c r="N583" s="1129" cm="1">
        <f t="array" ref="N583">IFERROR(IF($A583=$A582,0,SUM(_xlfn._xlws.FILTER($E583:$E593,($A583:$A593=$A583)*($J583:$J593=N$42)))),0)</f>
        <v>0</v>
      </c>
    </row>
    <row r="584" spans="1:14">
      <c r="A584" s="466">
        <v>45945</v>
      </c>
      <c r="B584" s="448" t="s">
        <v>21</v>
      </c>
      <c r="C584" s="448">
        <v>1000</v>
      </c>
      <c r="D584" s="448">
        <v>28.94</v>
      </c>
      <c r="E584" s="1128">
        <f ca="1">IFERROR(C584*D584*_xlfn.XLOOKUP(B584,TabCalc[Ticker],TabCalc[Scale]),0)</f>
        <v>28940</v>
      </c>
      <c r="F584" s="1129" cm="1">
        <f t="array" aca="1" ref="F584" ca="1">IF(A584=A583,0,SUM(_xlfn._xlws.FILTER(E584:E594,A584:A594=A584)))</f>
        <v>150366.46000000002</v>
      </c>
      <c r="G584" s="1130">
        <f ca="1">IF(F584&lt;&gt;0,SUM($F$43:F584),0)</f>
        <v>-2445515.594573</v>
      </c>
      <c r="H584" s="1130" cm="1">
        <f t="array" aca="1" ref="H584" ca="1">IFERROR(IF(A584=A583,0,SUM(_xlfn._xlws.FILTER(E584:E594,(A584:A594=A584)*(E584:E594&gt;0)))),0)</f>
        <v>150366.46000000002</v>
      </c>
      <c r="I584" s="1130" cm="1">
        <f t="array" aca="1" ref="I584" ca="1">IFERROR(IF(A584=A583,0,SUM(_xlfn._xlws.FILTER(E584:E594,(A584:A594=A584)*(F584&lt;0)))),0)</f>
        <v>0</v>
      </c>
      <c r="J584" s="295" t="str">
        <f ca="1">IFERROR(_xlfn.XLOOKUP(B584,TabCalc[Ticker],TabCalc[Cur]),"")</f>
        <v>USD</v>
      </c>
      <c r="K584" s="1129" cm="1">
        <f t="array" aca="1" ref="K584" ca="1">IFERROR(IF($A584=$A583,0,SUM(_xlfn._xlws.FILTER($E584:$E594,($A584:$A594=$A584)*($J584:$J594=K$42)))),0)</f>
        <v>0</v>
      </c>
      <c r="L584" s="1129" cm="1">
        <f t="array" aca="1" ref="L584" ca="1">IFERROR(IF($A584=$A583,0,SUM(_xlfn._xlws.FILTER($E584:$E594,($A584:$A594=$A584)*($J584:$J594=L$42)))),0)</f>
        <v>150366.46000000002</v>
      </c>
      <c r="M584" s="1129" cm="1">
        <f t="array" aca="1" ref="M584" ca="1">IFERROR(IF($A584=$A583,0,SUM(_xlfn._xlws.FILTER($E584:$E594,($A584:$A594=$A584)*($J584:$J594=M$42)))),0)</f>
        <v>0</v>
      </c>
      <c r="N584" s="1129" cm="1">
        <f t="array" aca="1" ref="N584" ca="1">IFERROR(IF($A584=$A583,0,SUM(_xlfn._xlws.FILTER($E584:$E594,($A584:$A594=$A584)*($J584:$J594=N$42)))),0)</f>
        <v>0</v>
      </c>
    </row>
    <row r="585" spans="1:14">
      <c r="A585" s="466">
        <v>45945</v>
      </c>
      <c r="B585" s="448" t="s">
        <v>33</v>
      </c>
      <c r="C585" s="448">
        <v>2000</v>
      </c>
      <c r="D585" s="448">
        <v>5.61</v>
      </c>
      <c r="E585" s="1128">
        <f ca="1">IFERROR(C585*D585*_xlfn.XLOOKUP(B585,TabCalc[Ticker],TabCalc[Scale]),0)</f>
        <v>11220</v>
      </c>
      <c r="F585" s="1129" cm="1">
        <f t="array" ref="F585">IF(A585=A584,0,SUM(_xlfn._xlws.FILTER(E585:E595,A585:A595=A585)))</f>
        <v>0</v>
      </c>
      <c r="G585" s="1130">
        <f>IF(F585&lt;&gt;0,SUM($F$43:F585),0)</f>
        <v>0</v>
      </c>
      <c r="H585" s="1130" cm="1">
        <f t="array" ref="H585">IFERROR(IF(A585=A584,0,SUM(_xlfn._xlws.FILTER(E585:E595,(A585:A595=A585)*(E585:E595&gt;0)))),0)</f>
        <v>0</v>
      </c>
      <c r="I585" s="1130" cm="1">
        <f t="array" ref="I585">IFERROR(IF(A585=A584,0,SUM(_xlfn._xlws.FILTER(E585:E595,(A585:A595=A585)*(F585&lt;0)))),0)</f>
        <v>0</v>
      </c>
      <c r="J585" s="295" t="str">
        <f ca="1">IFERROR(_xlfn.XLOOKUP(B585,TabCalc[Ticker],TabCalc[Cur]),"")</f>
        <v>USD</v>
      </c>
      <c r="K585" s="1129" cm="1">
        <f t="array" ref="K585">IFERROR(IF($A585=$A584,0,SUM(_xlfn._xlws.FILTER($E585:$E595,($A585:$A595=$A585)*($J585:$J595=K$42)))),0)</f>
        <v>0</v>
      </c>
      <c r="L585" s="1129" cm="1">
        <f t="array" ref="L585">IFERROR(IF($A585=$A584,0,SUM(_xlfn._xlws.FILTER($E585:$E595,($A585:$A595=$A585)*($J585:$J595=L$42)))),0)</f>
        <v>0</v>
      </c>
      <c r="M585" s="1129" cm="1">
        <f t="array" ref="M585">IFERROR(IF($A585=$A584,0,SUM(_xlfn._xlws.FILTER($E585:$E595,($A585:$A595=$A585)*($J585:$J595=M$42)))),0)</f>
        <v>0</v>
      </c>
      <c r="N585" s="1129" cm="1">
        <f t="array" ref="N585">IFERROR(IF($A585=$A584,0,SUM(_xlfn._xlws.FILTER($E585:$E595,($A585:$A595=$A585)*($J585:$J595=N$42)))),0)</f>
        <v>0</v>
      </c>
    </row>
    <row r="586" spans="1:14">
      <c r="A586" s="466">
        <v>45945</v>
      </c>
      <c r="B586" s="448" t="s">
        <v>9</v>
      </c>
      <c r="C586" s="448">
        <v>1000</v>
      </c>
      <c r="D586" s="448">
        <v>69.34</v>
      </c>
      <c r="E586" s="1128">
        <f ca="1">IFERROR(C586*D586*_xlfn.XLOOKUP(B586,TabCalc[Ticker],TabCalc[Scale]),0)</f>
        <v>69340</v>
      </c>
      <c r="F586" s="1129" cm="1">
        <f t="array" ref="F586">IF(A586=A585,0,SUM(_xlfn._xlws.FILTER(E586:E596,A586:A596=A586)))</f>
        <v>0</v>
      </c>
      <c r="G586" s="1130">
        <f>IF(F586&lt;&gt;0,SUM($F$43:F586),0)</f>
        <v>0</v>
      </c>
      <c r="H586" s="1130" cm="1">
        <f t="array" ref="H586">IFERROR(IF(A586=A585,0,SUM(_xlfn._xlws.FILTER(E586:E596,(A586:A596=A586)*(E586:E596&gt;0)))),0)</f>
        <v>0</v>
      </c>
      <c r="I586" s="1130" cm="1">
        <f t="array" ref="I586">IFERROR(IF(A586=A585,0,SUM(_xlfn._xlws.FILTER(E586:E596,(A586:A596=A586)*(F586&lt;0)))),0)</f>
        <v>0</v>
      </c>
      <c r="J586" s="295" t="str">
        <f ca="1">IFERROR(_xlfn.XLOOKUP(B586,TabCalc[Ticker],TabCalc[Cur]),"")</f>
        <v>USD</v>
      </c>
      <c r="K586" s="1129" cm="1">
        <f t="array" ref="K586">IFERROR(IF($A586=$A585,0,SUM(_xlfn._xlws.FILTER($E586:$E596,($A586:$A596=$A586)*($J586:$J596=K$42)))),0)</f>
        <v>0</v>
      </c>
      <c r="L586" s="1129" cm="1">
        <f t="array" ref="L586">IFERROR(IF($A586=$A585,0,SUM(_xlfn._xlws.FILTER($E586:$E596,($A586:$A596=$A586)*($J586:$J596=L$42)))),0)</f>
        <v>0</v>
      </c>
      <c r="M586" s="1129" cm="1">
        <f t="array" ref="M586">IFERROR(IF($A586=$A585,0,SUM(_xlfn._xlws.FILTER($E586:$E596,($A586:$A596=$A586)*($J586:$J596=M$42)))),0)</f>
        <v>0</v>
      </c>
      <c r="N586" s="1129" cm="1">
        <f t="array" ref="N586">IFERROR(IF($A586=$A585,0,SUM(_xlfn._xlws.FILTER($E586:$E596,($A586:$A596=$A586)*($J586:$J596=N$42)))),0)</f>
        <v>0</v>
      </c>
    </row>
    <row r="587" spans="1:14">
      <c r="A587" s="466">
        <v>45945</v>
      </c>
      <c r="B587" s="448" t="s">
        <v>39</v>
      </c>
      <c r="C587" s="448">
        <v>149</v>
      </c>
      <c r="D587" s="448">
        <v>16.54</v>
      </c>
      <c r="E587" s="1128">
        <f ca="1">IFERROR(C587*D587*_xlfn.XLOOKUP(B587,TabCalc[Ticker],TabCalc[Scale]),0)</f>
        <v>2464.46</v>
      </c>
      <c r="F587" s="1129" cm="1">
        <f t="array" ref="F587">IF(A587=A586,0,SUM(_xlfn._xlws.FILTER(E587:E597,A587:A597=A587)))</f>
        <v>0</v>
      </c>
      <c r="G587" s="1130">
        <f>IF(F587&lt;&gt;0,SUM($F$43:F587),0)</f>
        <v>0</v>
      </c>
      <c r="H587" s="1130" cm="1">
        <f t="array" ref="H587">IFERROR(IF(A587=A586,0,SUM(_xlfn._xlws.FILTER(E587:E597,(A587:A597=A587)*(E587:E597&gt;0)))),0)</f>
        <v>0</v>
      </c>
      <c r="I587" s="1130" cm="1">
        <f t="array" ref="I587">IFERROR(IF(A587=A586,0,SUM(_xlfn._xlws.FILTER(E587:E597,(A587:A597=A587)*(F587&lt;0)))),0)</f>
        <v>0</v>
      </c>
      <c r="J587" s="295" t="str">
        <f ca="1">IFERROR(_xlfn.XLOOKUP(B587,TabCalc[Ticker],TabCalc[Cur]),"")</f>
        <v>USD</v>
      </c>
      <c r="K587" s="1129" cm="1">
        <f t="array" ref="K587">IFERROR(IF($A587=$A586,0,SUM(_xlfn._xlws.FILTER($E587:$E597,($A587:$A597=$A587)*($J587:$J597=K$42)))),0)</f>
        <v>0</v>
      </c>
      <c r="L587" s="1129" cm="1">
        <f t="array" ref="L587">IFERROR(IF($A587=$A586,0,SUM(_xlfn._xlws.FILTER($E587:$E597,($A587:$A597=$A587)*($J587:$J597=L$42)))),0)</f>
        <v>0</v>
      </c>
      <c r="M587" s="1129" cm="1">
        <f t="array" ref="M587">IFERROR(IF($A587=$A586,0,SUM(_xlfn._xlws.FILTER($E587:$E597,($A587:$A597=$A587)*($J587:$J597=M$42)))),0)</f>
        <v>0</v>
      </c>
      <c r="N587" s="1129" cm="1">
        <f t="array" ref="N587">IFERROR(IF($A587=$A586,0,SUM(_xlfn._xlws.FILTER($E587:$E597,($A587:$A597=$A587)*($J587:$J597=N$42)))),0)</f>
        <v>0</v>
      </c>
    </row>
    <row r="588" spans="1:14">
      <c r="A588" s="466">
        <v>45945</v>
      </c>
      <c r="B588" s="448" t="s">
        <v>80</v>
      </c>
      <c r="C588" s="448">
        <v>200</v>
      </c>
      <c r="D588" s="448">
        <v>192.01</v>
      </c>
      <c r="E588" s="1128">
        <f ca="1">IFERROR(C588*D588*_xlfn.XLOOKUP(B588,TabCalc[Ticker],TabCalc[Scale]),0)</f>
        <v>38402</v>
      </c>
      <c r="F588" s="1129" cm="1">
        <f t="array" ref="F588">IF(A588=A587,0,SUM(_xlfn._xlws.FILTER(E588:E598,A588:A598=A588)))</f>
        <v>0</v>
      </c>
      <c r="G588" s="1130">
        <f>IF(F588&lt;&gt;0,SUM($F$43:F588),0)</f>
        <v>0</v>
      </c>
      <c r="H588" s="1130" cm="1">
        <f t="array" ref="H588">IFERROR(IF(A588=A587,0,SUM(_xlfn._xlws.FILTER(E588:E598,(A588:A598=A588)*(E588:E598&gt;0)))),0)</f>
        <v>0</v>
      </c>
      <c r="I588" s="1130" cm="1">
        <f t="array" ref="I588">IFERROR(IF(A588=A587,0,SUM(_xlfn._xlws.FILTER(E588:E598,(A588:A598=A588)*(F588&lt;0)))),0)</f>
        <v>0</v>
      </c>
      <c r="J588" s="295" t="str">
        <f ca="1">IFERROR(_xlfn.XLOOKUP(B588,TabCalc[Ticker],TabCalc[Cur]),"")</f>
        <v>USD</v>
      </c>
      <c r="K588" s="1129" cm="1">
        <f t="array" ref="K588">IFERROR(IF($A588=$A587,0,SUM(_xlfn._xlws.FILTER($E588:$E598,($A588:$A598=$A588)*($J588:$J598=K$42)))),0)</f>
        <v>0</v>
      </c>
      <c r="L588" s="1129" cm="1">
        <f t="array" ref="L588">IFERROR(IF($A588=$A587,0,SUM(_xlfn._xlws.FILTER($E588:$E598,($A588:$A598=$A588)*($J588:$J598=L$42)))),0)</f>
        <v>0</v>
      </c>
      <c r="M588" s="1129" cm="1">
        <f t="array" ref="M588">IFERROR(IF($A588=$A587,0,SUM(_xlfn._xlws.FILTER($E588:$E598,($A588:$A598=$A588)*($J588:$J598=M$42)))),0)</f>
        <v>0</v>
      </c>
      <c r="N588" s="1129" cm="1">
        <f t="array" ref="N588">IFERROR(IF($A588=$A587,0,SUM(_xlfn._xlws.FILTER($E588:$E598,($A588:$A598=$A588)*($J588:$J598=N$42)))),0)</f>
        <v>0</v>
      </c>
    </row>
    <row r="589" spans="1:14">
      <c r="A589" s="452">
        <v>45946</v>
      </c>
      <c r="B589" s="452" t="s">
        <v>32</v>
      </c>
      <c r="C589" s="465">
        <v>100</v>
      </c>
      <c r="D589" s="455">
        <v>893.2</v>
      </c>
      <c r="E589" s="1128">
        <f ca="1">IFERROR(C589*D589*_xlfn.XLOOKUP(B589,TabCalc[Ticker],TabCalc[Scale]),0)</f>
        <v>89320</v>
      </c>
      <c r="F589" s="1129" cm="1">
        <f t="array" aca="1" ref="F589" ca="1">IF(A589=A588,0,SUM(_xlfn._xlws.FILTER(E589:E599,A589:A599=A589)))</f>
        <v>-42706.000000000015</v>
      </c>
      <c r="G589" s="1130">
        <f ca="1">IF(F589&lt;&gt;0,SUM($F$43:F589),0)</f>
        <v>-2488221.594573</v>
      </c>
      <c r="H589" s="1130" cm="1">
        <f t="array" aca="1" ref="H589" ca="1">IFERROR(IF(A589=A588,0,SUM(_xlfn._xlws.FILTER(E589:E599,(A589:A599=A589)*(E589:E599&gt;0)))),0)</f>
        <v>162590</v>
      </c>
      <c r="I589" s="1130" cm="1">
        <f t="array" aca="1" ref="I589" ca="1">IFERROR(IF(A589=A588,0,SUM(_xlfn._xlws.FILTER(E589:E599,(A589:A599=A589)*(F589&lt;0)))),0)</f>
        <v>-42706.000000000015</v>
      </c>
      <c r="J589" s="295" t="str">
        <f ca="1">IFERROR(_xlfn.XLOOKUP(B589,TabCalc[Ticker],TabCalc[Cur]),"")</f>
        <v>EUR</v>
      </c>
      <c r="K589" s="1129" cm="1">
        <f t="array" aca="1" ref="K589" ca="1">IFERROR(IF($A589=$A588,0,SUM(_xlfn._xlws.FILTER($E589:$E599,($A589:$A599=$A589)*($J589:$J599=K$42)))),0)</f>
        <v>89320</v>
      </c>
      <c r="L589" s="1129" cm="1">
        <f t="array" aca="1" ref="L589" ca="1">IFERROR(IF($A589=$A588,0,SUM(_xlfn._xlws.FILTER($E589:$E599,($A589:$A599=$A589)*($J589:$J599=L$42)))),0)</f>
        <v>-72226</v>
      </c>
      <c r="M589" s="1129" cm="1">
        <f t="array" aca="1" ref="M589" ca="1">IFERROR(IF($A589=$A588,0,SUM(_xlfn._xlws.FILTER($E589:$E599,($A589:$A599=$A589)*($J589:$J599=M$42)))),0)</f>
        <v>0</v>
      </c>
      <c r="N589" s="1129" cm="1">
        <f t="array" aca="1" ref="N589" ca="1">IFERROR(IF($A589=$A588,0,SUM(_xlfn._xlws.FILTER($E589:$E599,($A589:$A599=$A589)*($J589:$J599=N$42)))),0)</f>
        <v>-59800</v>
      </c>
    </row>
    <row r="590" spans="1:14">
      <c r="A590" s="452">
        <v>45946</v>
      </c>
      <c r="B590" s="452" t="s">
        <v>48</v>
      </c>
      <c r="C590" s="465">
        <v>1000</v>
      </c>
      <c r="D590" s="455">
        <v>-59.8</v>
      </c>
      <c r="E590" s="1128">
        <f ca="1">IFERROR(C590*D590*_xlfn.XLOOKUP(B590,TabCalc[Ticker],TabCalc[Scale]),0)</f>
        <v>-59800</v>
      </c>
      <c r="F590" s="1129" cm="1">
        <f t="array" ref="F590">IF(A590=A589,0,SUM(_xlfn._xlws.FILTER(E590:E600,A590:A600=A590)))</f>
        <v>0</v>
      </c>
      <c r="G590" s="1130">
        <f>IF(F590&lt;&gt;0,SUM($F$43:F590),0)</f>
        <v>0</v>
      </c>
      <c r="H590" s="1130" cm="1">
        <f t="array" ref="H590">IFERROR(IF(A590=A589,0,SUM(_xlfn._xlws.FILTER(E590:E600,(A590:A600=A590)*(E590:E600&gt;0)))),0)</f>
        <v>0</v>
      </c>
      <c r="I590" s="1130" cm="1">
        <f t="array" ref="I590">IFERROR(IF(A590=A589,0,SUM(_xlfn._xlws.FILTER(E590:E600,(A590:A600=A590)*(F590&lt;0)))),0)</f>
        <v>0</v>
      </c>
      <c r="J590" s="295" t="str">
        <f ca="1">IFERROR(_xlfn.XLOOKUP(B590,TabCalc[Ticker],TabCalc[Cur]),"")</f>
        <v>CHF</v>
      </c>
      <c r="K590" s="1129" cm="1">
        <f t="array" ref="K590">IFERROR(IF($A590=$A589,0,SUM(_xlfn._xlws.FILTER($E590:$E600,($A590:$A600=$A590)*($J590:$J600=K$42)))),0)</f>
        <v>0</v>
      </c>
      <c r="L590" s="1129" cm="1">
        <f t="array" ref="L590">IFERROR(IF($A590=$A589,0,SUM(_xlfn._xlws.FILTER($E590:$E600,($A590:$A600=$A590)*($J590:$J600=L$42)))),0)</f>
        <v>0</v>
      </c>
      <c r="M590" s="1129" cm="1">
        <f t="array" ref="M590">IFERROR(IF($A590=$A589,0,SUM(_xlfn._xlws.FILTER($E590:$E600,($A590:$A600=$A590)*($J590:$J600=M$42)))),0)</f>
        <v>0</v>
      </c>
      <c r="N590" s="1129" cm="1">
        <f t="array" ref="N590">IFERROR(IF($A590=$A589,0,SUM(_xlfn._xlws.FILTER($E590:$E600,($A590:$A600=$A590)*($J590:$J600=N$42)))),0)</f>
        <v>0</v>
      </c>
    </row>
    <row r="591" spans="1:14">
      <c r="A591" s="452">
        <v>45946</v>
      </c>
      <c r="B591" s="452" t="s">
        <v>21</v>
      </c>
      <c r="C591" s="465">
        <v>1000</v>
      </c>
      <c r="D591" s="455">
        <v>-27.53</v>
      </c>
      <c r="E591" s="1128">
        <f ca="1">IFERROR(C591*D591*_xlfn.XLOOKUP(B591,TabCalc[Ticker],TabCalc[Scale]),0)</f>
        <v>-27530</v>
      </c>
      <c r="F591" s="1129" cm="1">
        <f t="array" ref="F591">IF(A591=A590,0,SUM(_xlfn._xlws.FILTER(E591:E601,A591:A601=A591)))</f>
        <v>0</v>
      </c>
      <c r="G591" s="1130">
        <f>IF(F591&lt;&gt;0,SUM($F$43:F591),0)</f>
        <v>0</v>
      </c>
      <c r="H591" s="1130" cm="1">
        <f t="array" ref="H591">IFERROR(IF(A591=A590,0,SUM(_xlfn._xlws.FILTER(E591:E601,(A591:A601=A591)*(E591:E601&gt;0)))),0)</f>
        <v>0</v>
      </c>
      <c r="I591" s="1130" cm="1">
        <f t="array" ref="I591">IFERROR(IF(A591=A590,0,SUM(_xlfn._xlws.FILTER(E591:E601,(A591:A601=A591)*(F591&lt;0)))),0)</f>
        <v>0</v>
      </c>
      <c r="J591" s="295" t="str">
        <f ca="1">IFERROR(_xlfn.XLOOKUP(B591,TabCalc[Ticker],TabCalc[Cur]),"")</f>
        <v>USD</v>
      </c>
      <c r="K591" s="1129" cm="1">
        <f t="array" ref="K591">IFERROR(IF($A591=$A590,0,SUM(_xlfn._xlws.FILTER($E591:$E601,($A591:$A601=$A591)*($J591:$J601=K$42)))),0)</f>
        <v>0</v>
      </c>
      <c r="L591" s="1129" cm="1">
        <f t="array" ref="L591">IFERROR(IF($A591=$A590,0,SUM(_xlfn._xlws.FILTER($E591:$E601,($A591:$A601=$A591)*($J591:$J601=L$42)))),0)</f>
        <v>0</v>
      </c>
      <c r="M591" s="1129" cm="1">
        <f t="array" ref="M591">IFERROR(IF($A591=$A590,0,SUM(_xlfn._xlws.FILTER($E591:$E601,($A591:$A601=$A591)*($J591:$J601=M$42)))),0)</f>
        <v>0</v>
      </c>
      <c r="N591" s="1129" cm="1">
        <f t="array" ref="N591">IFERROR(IF($A591=$A590,0,SUM(_xlfn._xlws.FILTER($E591:$E601,($A591:$A601=$A591)*($J591:$J601=N$42)))),0)</f>
        <v>0</v>
      </c>
    </row>
    <row r="592" spans="1:14">
      <c r="A592" s="452">
        <v>45946</v>
      </c>
      <c r="B592" s="452" t="s">
        <v>30</v>
      </c>
      <c r="C592" s="465">
        <v>100</v>
      </c>
      <c r="D592" s="455">
        <v>-1179.6600000000001</v>
      </c>
      <c r="E592" s="1128">
        <f ca="1">IFERROR(C592*D592*_xlfn.XLOOKUP(B592,TabCalc[Ticker],TabCalc[Scale]),0)</f>
        <v>-117966.00000000001</v>
      </c>
      <c r="F592" s="1129" cm="1">
        <f t="array" ref="F592">IF(A592=A591,0,SUM(_xlfn._xlws.FILTER(E592:E602,A592:A602=A592)))</f>
        <v>0</v>
      </c>
      <c r="G592" s="1130">
        <f>IF(F592&lt;&gt;0,SUM($F$43:F592),0)</f>
        <v>0</v>
      </c>
      <c r="H592" s="1130" cm="1">
        <f t="array" ref="H592">IFERROR(IF(A592=A591,0,SUM(_xlfn._xlws.FILTER(E592:E602,(A592:A602=A592)*(E592:E602&gt;0)))),0)</f>
        <v>0</v>
      </c>
      <c r="I592" s="1130" cm="1">
        <f t="array" ref="I592">IFERROR(IF(A592=A591,0,SUM(_xlfn._xlws.FILTER(E592:E602,(A592:A602=A592)*(F592&lt;0)))),0)</f>
        <v>0</v>
      </c>
      <c r="J592" s="295" t="str">
        <f ca="1">IFERROR(_xlfn.XLOOKUP(B592,TabCalc[Ticker],TabCalc[Cur]),"")</f>
        <v>USD</v>
      </c>
      <c r="K592" s="1129" cm="1">
        <f t="array" ref="K592">IFERROR(IF($A592=$A591,0,SUM(_xlfn._xlws.FILTER($E592:$E602,($A592:$A602=$A592)*($J592:$J602=K$42)))),0)</f>
        <v>0</v>
      </c>
      <c r="L592" s="1129" cm="1">
        <f t="array" ref="L592">IFERROR(IF($A592=$A591,0,SUM(_xlfn._xlws.FILTER($E592:$E602,($A592:$A602=$A592)*($J592:$J602=L$42)))),0)</f>
        <v>0</v>
      </c>
      <c r="M592" s="1129" cm="1">
        <f t="array" ref="M592">IFERROR(IF($A592=$A591,0,SUM(_xlfn._xlws.FILTER($E592:$E602,($A592:$A602=$A592)*($J592:$J602=M$42)))),0)</f>
        <v>0</v>
      </c>
      <c r="N592" s="1129" cm="1">
        <f t="array" ref="N592">IFERROR(IF($A592=$A591,0,SUM(_xlfn._xlws.FILTER($E592:$E602,($A592:$A602=$A592)*($J592:$J602=N$42)))),0)</f>
        <v>0</v>
      </c>
    </row>
    <row r="593" spans="1:14">
      <c r="A593" s="452">
        <v>45946</v>
      </c>
      <c r="B593" s="452" t="s">
        <v>78</v>
      </c>
      <c r="C593" s="465">
        <v>12000</v>
      </c>
      <c r="D593" s="455">
        <v>1.91</v>
      </c>
      <c r="E593" s="1128">
        <f ca="1">IFERROR(C593*D593*_xlfn.XLOOKUP(B593,TabCalc[Ticker],TabCalc[Scale]),0)</f>
        <v>22920</v>
      </c>
      <c r="F593" s="1129" cm="1">
        <f t="array" ref="F593">IF(A593=A592,0,SUM(_xlfn._xlws.FILTER(E593:E603,A593:A603=A593)))</f>
        <v>0</v>
      </c>
      <c r="G593" s="1130">
        <f>IF(F593&lt;&gt;0,SUM($F$43:F593),0)</f>
        <v>0</v>
      </c>
      <c r="H593" s="1130" cm="1">
        <f t="array" ref="H593">IFERROR(IF(A593=A592,0,SUM(_xlfn._xlws.FILTER(E593:E603,(A593:A603=A593)*(E593:E603&gt;0)))),0)</f>
        <v>0</v>
      </c>
      <c r="I593" s="1130" cm="1">
        <f t="array" ref="I593">IFERROR(IF(A593=A592,0,SUM(_xlfn._xlws.FILTER(E593:E603,(A593:A603=A593)*(F593&lt;0)))),0)</f>
        <v>0</v>
      </c>
      <c r="J593" s="295" t="str">
        <f ca="1">IFERROR(_xlfn.XLOOKUP(B593,TabCalc[Ticker],TabCalc[Cur]),"")</f>
        <v>USD</v>
      </c>
      <c r="K593" s="1129" cm="1">
        <f t="array" ref="K593">IFERROR(IF($A593=$A592,0,SUM(_xlfn._xlws.FILTER($E593:$E603,($A593:$A603=$A593)*($J593:$J603=K$42)))),0)</f>
        <v>0</v>
      </c>
      <c r="L593" s="1129" cm="1">
        <f t="array" ref="L593">IFERROR(IF($A593=$A592,0,SUM(_xlfn._xlws.FILTER($E593:$E603,($A593:$A603=$A593)*($J593:$J603=L$42)))),0)</f>
        <v>0</v>
      </c>
      <c r="M593" s="1129" cm="1">
        <f t="array" ref="M593">IFERROR(IF($A593=$A592,0,SUM(_xlfn._xlws.FILTER($E593:$E603,($A593:$A603=$A593)*($J593:$J603=M$42)))),0)</f>
        <v>0</v>
      </c>
      <c r="N593" s="1129" cm="1">
        <f t="array" ref="N593">IFERROR(IF($A593=$A592,0,SUM(_xlfn._xlws.FILTER($E593:$E603,($A593:$A603=$A593)*($J593:$J603=N$42)))),0)</f>
        <v>0</v>
      </c>
    </row>
    <row r="594" spans="1:14">
      <c r="A594" s="452">
        <v>45946</v>
      </c>
      <c r="B594" s="452" t="s">
        <v>49</v>
      </c>
      <c r="C594" s="465">
        <v>5000</v>
      </c>
      <c r="D594" s="455">
        <v>10.07</v>
      </c>
      <c r="E594" s="1128">
        <f ca="1">IFERROR(C594*D594*_xlfn.XLOOKUP(B594,TabCalc[Ticker],TabCalc[Scale]),0)</f>
        <v>50350</v>
      </c>
      <c r="F594" s="1129" cm="1">
        <f t="array" ref="F594">IF(A594=A593,0,SUM(_xlfn._xlws.FILTER(E594:E604,A594:A604=A594)))</f>
        <v>0</v>
      </c>
      <c r="G594" s="1130">
        <f>IF(F594&lt;&gt;0,SUM($F$43:F594),0)</f>
        <v>0</v>
      </c>
      <c r="H594" s="1130" cm="1">
        <f t="array" ref="H594">IFERROR(IF(A594=A593,0,SUM(_xlfn._xlws.FILTER(E594:E604,(A594:A604=A594)*(E594:E604&gt;0)))),0)</f>
        <v>0</v>
      </c>
      <c r="I594" s="1130" cm="1">
        <f t="array" ref="I594">IFERROR(IF(A594=A593,0,SUM(_xlfn._xlws.FILTER(E594:E604,(A594:A604=A594)*(F594&lt;0)))),0)</f>
        <v>0</v>
      </c>
      <c r="J594" s="295" t="str">
        <f ca="1">IFERROR(_xlfn.XLOOKUP(B594,TabCalc[Ticker],TabCalc[Cur]),"")</f>
        <v>USD</v>
      </c>
      <c r="K594" s="1129" cm="1">
        <f t="array" ref="K594">IFERROR(IF($A594=$A593,0,SUM(_xlfn._xlws.FILTER($E594:$E604,($A594:$A604=$A594)*($J594:$J604=K$42)))),0)</f>
        <v>0</v>
      </c>
      <c r="L594" s="1129" cm="1">
        <f t="array" ref="L594">IFERROR(IF($A594=$A593,0,SUM(_xlfn._xlws.FILTER($E594:$E604,($A594:$A604=$A594)*($J594:$J604=L$42)))),0)</f>
        <v>0</v>
      </c>
      <c r="M594" s="1129" cm="1">
        <f t="array" ref="M594">IFERROR(IF($A594=$A593,0,SUM(_xlfn._xlws.FILTER($E594:$E604,($A594:$A604=$A594)*($J594:$J604=M$42)))),0)</f>
        <v>0</v>
      </c>
      <c r="N594" s="1129" cm="1">
        <f t="array" ref="N594">IFERROR(IF($A594=$A593,0,SUM(_xlfn._xlws.FILTER($E594:$E604,($A594:$A604=$A594)*($J594:$J604=N$42)))),0)</f>
        <v>0</v>
      </c>
    </row>
    <row r="595" spans="1:14">
      <c r="A595" s="466">
        <v>45947</v>
      </c>
      <c r="B595" s="448" t="s">
        <v>48</v>
      </c>
      <c r="C595" s="448">
        <v>1000</v>
      </c>
      <c r="D595" s="467">
        <v>-58.89</v>
      </c>
      <c r="E595" s="1128">
        <f ca="1">IFERROR(C595*D595*_xlfn.XLOOKUP(B595,TabCalc[Ticker],TabCalc[Scale]),0)</f>
        <v>-58890</v>
      </c>
      <c r="F595" s="1129" cm="1">
        <f t="array" aca="1" ref="F595" ca="1">IF(A595=A594,0,SUM(_xlfn._xlws.FILTER(E595:E605,A595:A605=A595)))</f>
        <v>121550.1</v>
      </c>
      <c r="G595" s="1130">
        <f ca="1">IF(F595&lt;&gt;0,SUM($F$43:F595),0)</f>
        <v>-2366671.4945729999</v>
      </c>
      <c r="H595" s="1130" cm="1">
        <f t="array" aca="1" ref="H595" ca="1">IFERROR(IF(A595=A594,0,SUM(_xlfn._xlws.FILTER(E595:E605,(A595:A605=A595)*(E595:E605&gt;0)))),0)</f>
        <v>234460.1</v>
      </c>
      <c r="I595" s="1130" cm="1">
        <f t="array" aca="1" ref="I595" ca="1">IFERROR(IF(A595=A594,0,SUM(_xlfn._xlws.FILTER(E595:E605,(A595:A605=A595)*(F595&lt;0)))),0)</f>
        <v>0</v>
      </c>
      <c r="J595" s="295" t="str">
        <f ca="1">IFERROR(_xlfn.XLOOKUP(B595,TabCalc[Ticker],TabCalc[Cur]),"")</f>
        <v>CHF</v>
      </c>
      <c r="K595" s="1129" cm="1">
        <f t="array" aca="1" ref="K595" ca="1">IFERROR(IF($A595=$A594,0,SUM(_xlfn._xlws.FILTER($E595:$E605,($A595:$A605=$A595)*($J595:$J605=K$42)))),0)</f>
        <v>32240.100000000006</v>
      </c>
      <c r="L595" s="1129" cm="1">
        <f t="array" aca="1" ref="L595" ca="1">IFERROR(IF($A595=$A594,0,SUM(_xlfn._xlws.FILTER($E595:$E605,($A595:$A605=$A595)*($J595:$J605=L$42)))),0)</f>
        <v>148200</v>
      </c>
      <c r="M595" s="1129" cm="1">
        <f t="array" aca="1" ref="M595" ca="1">IFERROR(IF($A595=$A594,0,SUM(_xlfn._xlws.FILTER($E595:$E605,($A595:$A605=$A595)*($J595:$J605=M$42)))),0)</f>
        <v>0</v>
      </c>
      <c r="N595" s="1129" cm="1">
        <f t="array" aca="1" ref="N595" ca="1">IFERROR(IF($A595=$A594,0,SUM(_xlfn._xlws.FILTER($E595:$E605,($A595:$A605=$A595)*($J595:$J605=N$42)))),0)</f>
        <v>-58890</v>
      </c>
    </row>
    <row r="596" spans="1:14">
      <c r="A596" s="466">
        <v>45947</v>
      </c>
      <c r="B596" s="448" t="s">
        <v>60</v>
      </c>
      <c r="C596" s="448">
        <v>1000</v>
      </c>
      <c r="D596" s="467">
        <v>-54.02</v>
      </c>
      <c r="E596" s="1128">
        <f ca="1">IFERROR(C596*D596*_xlfn.XLOOKUP(B596,TabCalc[Ticker],TabCalc[Scale]),0)</f>
        <v>-54020</v>
      </c>
      <c r="F596" s="1129" cm="1">
        <f t="array" ref="F596">IF(A596=A595,0,SUM(_xlfn._xlws.FILTER(E596:E606,A596:A606=A596)))</f>
        <v>0</v>
      </c>
      <c r="G596" s="1130">
        <f>IF(F596&lt;&gt;0,SUM($F$43:F596),0)</f>
        <v>0</v>
      </c>
      <c r="H596" s="1130" cm="1">
        <f t="array" ref="H596">IFERROR(IF(A596=A595,0,SUM(_xlfn._xlws.FILTER(E596:E606,(A596:A606=A596)*(E596:E606&gt;0)))),0)</f>
        <v>0</v>
      </c>
      <c r="I596" s="1130" cm="1">
        <f t="array" ref="I596">IFERROR(IF(A596=A595,0,SUM(_xlfn._xlws.FILTER(E596:E606,(A596:A606=A596)*(F596&lt;0)))),0)</f>
        <v>0</v>
      </c>
      <c r="J596" s="295" t="str">
        <f ca="1">IFERROR(_xlfn.XLOOKUP(B596,TabCalc[Ticker],TabCalc[Cur]),"")</f>
        <v>EUR</v>
      </c>
      <c r="K596" s="1129" cm="1">
        <f t="array" ref="K596">IFERROR(IF($A596=$A595,0,SUM(_xlfn._xlws.FILTER($E596:$E606,($A596:$A606=$A596)*($J596:$J606=K$42)))),0)</f>
        <v>0</v>
      </c>
      <c r="L596" s="1129" cm="1">
        <f t="array" ref="L596">IFERROR(IF($A596=$A595,0,SUM(_xlfn._xlws.FILTER($E596:$E606,($A596:$A606=$A596)*($J596:$J606=L$42)))),0)</f>
        <v>0</v>
      </c>
      <c r="M596" s="1129" cm="1">
        <f t="array" ref="M596">IFERROR(IF($A596=$A595,0,SUM(_xlfn._xlws.FILTER($E596:$E606,($A596:$A606=$A596)*($J596:$J606=M$42)))),0)</f>
        <v>0</v>
      </c>
      <c r="N596" s="1129" cm="1">
        <f t="array" ref="N596">IFERROR(IF($A596=$A595,0,SUM(_xlfn._xlws.FILTER($E596:$E606,($A596:$A606=$A596)*($J596:$J606=N$42)))),0)</f>
        <v>0</v>
      </c>
    </row>
    <row r="597" spans="1:14">
      <c r="A597" s="466">
        <v>45947</v>
      </c>
      <c r="B597" s="448" t="s">
        <v>32</v>
      </c>
      <c r="C597" s="448">
        <v>100</v>
      </c>
      <c r="D597" s="467">
        <v>862.601</v>
      </c>
      <c r="E597" s="1128">
        <f ca="1">IFERROR(C597*D597*_xlfn.XLOOKUP(B597,TabCalc[Ticker],TabCalc[Scale]),0)</f>
        <v>86260.1</v>
      </c>
      <c r="F597" s="1129" cm="1">
        <f t="array" ref="F597">IF(A597=A596,0,SUM(_xlfn._xlws.FILTER(E597:E607,A597:A607=A597)))</f>
        <v>0</v>
      </c>
      <c r="G597" s="1130">
        <f>IF(F597&lt;&gt;0,SUM($F$43:F597),0)</f>
        <v>0</v>
      </c>
      <c r="H597" s="1130" cm="1">
        <f t="array" ref="H597">IFERROR(IF(A597=A596,0,SUM(_xlfn._xlws.FILTER(E597:E607,(A597:A607=A597)*(E597:E607&gt;0)))),0)</f>
        <v>0</v>
      </c>
      <c r="I597" s="1130" cm="1">
        <f t="array" ref="I597">IFERROR(IF(A597=A596,0,SUM(_xlfn._xlws.FILTER(E597:E607,(A597:A607=A597)*(F597&lt;0)))),0)</f>
        <v>0</v>
      </c>
      <c r="J597" s="295" t="str">
        <f ca="1">IFERROR(_xlfn.XLOOKUP(B597,TabCalc[Ticker],TabCalc[Cur]),"")</f>
        <v>EUR</v>
      </c>
      <c r="K597" s="1129" cm="1">
        <f t="array" ref="K597">IFERROR(IF($A597=$A596,0,SUM(_xlfn._xlws.FILTER($E597:$E607,($A597:$A607=$A597)*($J597:$J607=K$42)))),0)</f>
        <v>0</v>
      </c>
      <c r="L597" s="1129" cm="1">
        <f t="array" ref="L597">IFERROR(IF($A597=$A596,0,SUM(_xlfn._xlws.FILTER($E597:$E607,($A597:$A607=$A597)*($J597:$J607=L$42)))),0)</f>
        <v>0</v>
      </c>
      <c r="M597" s="1129" cm="1">
        <f t="array" ref="M597">IFERROR(IF($A597=$A596,0,SUM(_xlfn._xlws.FILTER($E597:$E607,($A597:$A607=$A597)*($J597:$J607=M$42)))),0)</f>
        <v>0</v>
      </c>
      <c r="N597" s="1129" cm="1">
        <f t="array" ref="N597">IFERROR(IF($A597=$A596,0,SUM(_xlfn._xlws.FILTER($E597:$E607,($A597:$A607=$A597)*($J597:$J607=N$42)))),0)</f>
        <v>0</v>
      </c>
    </row>
    <row r="598" spans="1:14">
      <c r="A598" s="466">
        <v>45947</v>
      </c>
      <c r="B598" s="448" t="s">
        <v>43</v>
      </c>
      <c r="C598" s="448">
        <v>500</v>
      </c>
      <c r="D598" s="467">
        <v>296.39999999999998</v>
      </c>
      <c r="E598" s="1128">
        <f ca="1">IFERROR(C598*D598*_xlfn.XLOOKUP(B598,TabCalc[Ticker],TabCalc[Scale]),0)</f>
        <v>148200</v>
      </c>
      <c r="F598" s="1129" cm="1">
        <f t="array" ref="F598">IF(A598=A597,0,SUM(_xlfn._xlws.FILTER(E598:E608,A598:A608=A598)))</f>
        <v>0</v>
      </c>
      <c r="G598" s="1130">
        <f>IF(F598&lt;&gt;0,SUM($F$43:F598),0)</f>
        <v>0</v>
      </c>
      <c r="H598" s="1130" cm="1">
        <f t="array" ref="H598">IFERROR(IF(A598=A597,0,SUM(_xlfn._xlws.FILTER(E598:E608,(A598:A608=A598)*(E598:E608&gt;0)))),0)</f>
        <v>0</v>
      </c>
      <c r="I598" s="1130" cm="1">
        <f t="array" ref="I598">IFERROR(IF(A598=A597,0,SUM(_xlfn._xlws.FILTER(E598:E608,(A598:A608=A598)*(F598&lt;0)))),0)</f>
        <v>0</v>
      </c>
      <c r="J598" s="295" t="str">
        <f ca="1">IFERROR(_xlfn.XLOOKUP(B598,TabCalc[Ticker],TabCalc[Cur]),"")</f>
        <v>USD</v>
      </c>
      <c r="K598" s="1129" cm="1">
        <f t="array" ref="K598">IFERROR(IF($A598=$A597,0,SUM(_xlfn._xlws.FILTER($E598:$E608,($A598:$A608=$A598)*($J598:$J608=K$42)))),0)</f>
        <v>0</v>
      </c>
      <c r="L598" s="1129" cm="1">
        <f t="array" ref="L598">IFERROR(IF($A598=$A597,0,SUM(_xlfn._xlws.FILTER($E598:$E608,($A598:$A608=$A598)*($J598:$J608=L$42)))),0)</f>
        <v>0</v>
      </c>
      <c r="M598" s="1129" cm="1">
        <f t="array" ref="M598">IFERROR(IF($A598=$A597,0,SUM(_xlfn._xlws.FILTER($E598:$E608,($A598:$A608=$A598)*($J598:$J608=M$42)))),0)</f>
        <v>0</v>
      </c>
      <c r="N598" s="1129" cm="1">
        <f t="array" ref="N598">IFERROR(IF($A598=$A597,0,SUM(_xlfn._xlws.FILTER($E598:$E608,($A598:$A608=$A598)*($J598:$J608=N$42)))),0)</f>
        <v>0</v>
      </c>
    </row>
    <row r="599" spans="1:14">
      <c r="A599" s="452">
        <v>45950</v>
      </c>
      <c r="B599" s="452" t="s">
        <v>30</v>
      </c>
      <c r="C599" s="465">
        <v>100</v>
      </c>
      <c r="D599" s="455">
        <v>1233.56</v>
      </c>
      <c r="E599" s="1128">
        <f ca="1">IFERROR(C599*D599*_xlfn.XLOOKUP(B599,TabCalc[Ticker],TabCalc[Scale]),0)</f>
        <v>123356</v>
      </c>
      <c r="F599" s="1129" cm="1">
        <f t="array" aca="1" ref="F599" ca="1">IF(A599=A598,0,SUM(_xlfn._xlws.FILTER(E599:E800,A599:A800=A599)))</f>
        <v>120468.79999999999</v>
      </c>
      <c r="G599" s="1130">
        <f ca="1">IF(F599&lt;&gt;0,SUM($F$43:F599),0)</f>
        <v>-2246202.6945730001</v>
      </c>
      <c r="H599" s="1130" cm="1">
        <f t="array" aca="1" ref="H599" ca="1">IFERROR(IF(A599=A598,0,SUM(_xlfn._xlws.FILTER(E599:E609,(A599:A609=A599)*(E599:E609&gt;0)))),0)</f>
        <v>253636</v>
      </c>
      <c r="I599" s="1130" cm="1">
        <f t="array" aca="1" ref="I599" ca="1">IFERROR(IF(A599=A598,0,SUM(_xlfn._xlws.FILTER(E599:E609,(A599:A609=A599)*(F599&lt;0)))),0)</f>
        <v>0</v>
      </c>
      <c r="J599" s="295" t="str">
        <f ca="1">IFERROR(_xlfn.XLOOKUP(B599,TabCalc[Ticker],TabCalc[Cur]),"")</f>
        <v>USD</v>
      </c>
      <c r="K599" s="1129" cm="1">
        <f t="array" aca="1" ref="K599" ca="1">IFERROR(IF($A599=$A598,0,SUM(_xlfn._xlws.FILTER($E599:$E609,($A599:$A609=$A599)*($J599:$J609=K$42)))),0)</f>
        <v>0</v>
      </c>
      <c r="L599" s="1129" cm="1">
        <f t="array" aca="1" ref="L599" ca="1">IFERROR(IF($A599=$A598,0,SUM(_xlfn._xlws.FILTER($E599:$E609,($A599:$A609=$A599)*($J599:$J609=L$42)))),0)</f>
        <v>120468.79999999999</v>
      </c>
      <c r="M599" s="1129" cm="1">
        <f t="array" aca="1" ref="M599" ca="1">IFERROR(IF($A599=$A598,0,SUM(_xlfn._xlws.FILTER($E599:$E609,($A599:$A609=$A599)*($J599:$J609=M$42)))),0)</f>
        <v>0</v>
      </c>
      <c r="N599" s="1129" cm="1">
        <f t="array" aca="1" ref="N599" ca="1">IFERROR(IF($A599=$A598,0,SUM(_xlfn._xlws.FILTER($E599:$E609,($A599:$A609=$A599)*($J599:$J609=N$42)))),0)</f>
        <v>0</v>
      </c>
    </row>
    <row r="600" spans="1:14">
      <c r="A600" s="452">
        <v>45950</v>
      </c>
      <c r="B600" s="452" t="s">
        <v>79</v>
      </c>
      <c r="C600" s="465">
        <v>3000</v>
      </c>
      <c r="D600" s="455">
        <v>12.02</v>
      </c>
      <c r="E600" s="1128">
        <f ca="1">IFERROR(C600*D600*_xlfn.XLOOKUP(B600,TabCalc[Ticker],TabCalc[Scale]),0)</f>
        <v>36060</v>
      </c>
      <c r="F600" s="1324" cm="1">
        <f t="array" ref="F600">IF(A600=A599,0,SUM(_xlfn._xlws.FILTER(E600:E610,A600:A610=A600)))</f>
        <v>0</v>
      </c>
      <c r="G600" s="1325">
        <f>IF(F600&lt;&gt;0,SUM($F$43:F600),0)</f>
        <v>0</v>
      </c>
      <c r="H600" s="1325" cm="1">
        <f t="array" ref="H600">IFERROR(IF(A600=A599,0,SUM(_xlfn._xlws.FILTER(E600:E610,(A600:A610=A600)*(E600:E610&gt;0)))),0)</f>
        <v>0</v>
      </c>
      <c r="I600" s="1325" cm="1">
        <f t="array" ref="I600">IFERROR(IF(A600=A599,0,SUM(_xlfn._xlws.FILTER(E600:E610,(A600:A610=A600)*(F600&lt;0)))),0)</f>
        <v>0</v>
      </c>
      <c r="J600" s="295" t="str">
        <f ca="1">IFERROR(_xlfn.XLOOKUP(B600,TabCalc[Ticker],TabCalc[Cur]),"")</f>
        <v>USD</v>
      </c>
      <c r="K600" s="1129" cm="1">
        <f t="array" ref="K600">IFERROR(IF($A600=$A599,0,SUM(_xlfn._xlws.FILTER($E600:$E610,($A600:$A610=$A600)*($J600:$J610=K$42)))),0)</f>
        <v>0</v>
      </c>
      <c r="L600" s="1129" cm="1">
        <f t="array" ref="L600">IFERROR(IF($A600=$A599,0,SUM(_xlfn._xlws.FILTER($E600:$E610,($A600:$A610=$A600)*($J600:$J610=L$42)))),0)</f>
        <v>0</v>
      </c>
      <c r="M600" s="1129" cm="1">
        <f t="array" ref="M600">IFERROR(IF($A600=$A599,0,SUM(_xlfn._xlws.FILTER($E600:$E610,($A600:$A610=$A600)*($J600:$J610=M$42)))),0)</f>
        <v>0</v>
      </c>
      <c r="N600" s="1129" cm="1">
        <f t="array" ref="N600">IFERROR(IF($A600=$A599,0,SUM(_xlfn._xlws.FILTER($E600:$E610,($A600:$A610=$A600)*($J600:$J610=N$42)))),0)</f>
        <v>0</v>
      </c>
    </row>
    <row r="601" spans="1:14">
      <c r="A601" s="452">
        <v>45950</v>
      </c>
      <c r="B601" s="452" t="s">
        <v>20</v>
      </c>
      <c r="C601" s="465">
        <v>1800</v>
      </c>
      <c r="D601" s="455">
        <v>-22.63</v>
      </c>
      <c r="E601" s="1128">
        <f ca="1">IFERROR(C601*D601*_xlfn.XLOOKUP(B601,TabCalc[Ticker],TabCalc[Scale]),0)</f>
        <v>-40734</v>
      </c>
      <c r="F601" s="1129" cm="1">
        <f t="array" ref="F601">IF(A601=A600,0,SUM(_xlfn._xlws.FILTER(E601:E611,A601:A611=A601)))</f>
        <v>0</v>
      </c>
      <c r="G601" s="1130">
        <f>IF(F601&lt;&gt;0,SUM($F$43:F601),0)</f>
        <v>0</v>
      </c>
      <c r="H601" s="1130" cm="1">
        <f t="array" ref="H601">IFERROR(IF(A601=A600,0,SUM(_xlfn._xlws.FILTER(E601:E611,(A601:A611=A601)*(E601:E611&gt;0)))),0)</f>
        <v>0</v>
      </c>
      <c r="I601" s="1130" cm="1">
        <f t="array" ref="I601">IFERROR(IF(A601=A600,0,SUM(_xlfn._xlws.FILTER(E601:E611,(A601:A611=A601)*(F601&lt;0)))),0)</f>
        <v>0</v>
      </c>
      <c r="J601" s="295" t="str">
        <f ca="1">IFERROR(_xlfn.XLOOKUP(B601,TabCalc[Ticker],TabCalc[Cur]),"")</f>
        <v>USD</v>
      </c>
      <c r="K601" s="1129" cm="1">
        <f t="array" ref="K601">IFERROR(IF($A601=$A600,0,SUM(_xlfn._xlws.FILTER($E601:$E611,($A601:$A611=$A601)*($J601:$J611=K$42)))),0)</f>
        <v>0</v>
      </c>
      <c r="L601" s="1129" cm="1">
        <f t="array" ref="L601">IFERROR(IF($A601=$A600,0,SUM(_xlfn._xlws.FILTER($E601:$E611,($A601:$A611=$A601)*($J601:$J611=L$42)))),0)</f>
        <v>0</v>
      </c>
      <c r="M601" s="1129" cm="1">
        <f t="array" ref="M601">IFERROR(IF($A601=$A600,0,SUM(_xlfn._xlws.FILTER($E601:$E611,($A601:$A611=$A601)*($J601:$J611=M$42)))),0)</f>
        <v>0</v>
      </c>
      <c r="N601" s="1129" cm="1">
        <f t="array" ref="N601">IFERROR(IF($A601=$A600,0,SUM(_xlfn._xlws.FILTER($E601:$E611,($A601:$A611=$A601)*($J601:$J611=N$42)))),0)</f>
        <v>0</v>
      </c>
    </row>
    <row r="602" spans="1:14">
      <c r="A602" s="452">
        <v>45950</v>
      </c>
      <c r="B602" s="452" t="s">
        <v>23</v>
      </c>
      <c r="C602" s="465">
        <v>1340</v>
      </c>
      <c r="D602" s="455">
        <v>-68.98</v>
      </c>
      <c r="E602" s="1128">
        <f ca="1">IFERROR(C602*D602*_xlfn.XLOOKUP(B602,TabCalc[Ticker],TabCalc[Scale]),0)</f>
        <v>-92433.200000000012</v>
      </c>
      <c r="F602" s="1129" cm="1">
        <f t="array" ref="F602">IF(A602=A601,0,SUM(_xlfn._xlws.FILTER(E602:E612,A602:A612=A602)))</f>
        <v>0</v>
      </c>
      <c r="G602" s="1130">
        <f>IF(F602&lt;&gt;0,SUM($F$43:F602),0)</f>
        <v>0</v>
      </c>
      <c r="H602" s="1130" cm="1">
        <f t="array" ref="H602">IFERROR(IF(A602=A601,0,SUM(_xlfn._xlws.FILTER(E602:E612,(A602:A612=A602)*(E602:E612&gt;0)))),0)</f>
        <v>0</v>
      </c>
      <c r="I602" s="1130" cm="1">
        <f t="array" ref="I602">IFERROR(IF(A602=A601,0,SUM(_xlfn._xlws.FILTER(E602:E612,(A602:A612=A602)*(F602&lt;0)))),0)</f>
        <v>0</v>
      </c>
      <c r="J602" s="295" t="str">
        <f ca="1">IFERROR(_xlfn.XLOOKUP(B602,TabCalc[Ticker],TabCalc[Cur]),"")</f>
        <v>USD</v>
      </c>
      <c r="K602" s="1129" cm="1">
        <f t="array" ref="K602">IFERROR(IF($A602=$A601,0,SUM(_xlfn._xlws.FILTER($E602:$E612,($A602:$A612=$A602)*($J602:$J612=K$42)))),0)</f>
        <v>0</v>
      </c>
      <c r="L602" s="1129" cm="1">
        <f t="array" ref="L602">IFERROR(IF($A602=$A601,0,SUM(_xlfn._xlws.FILTER($E602:$E612,($A602:$A612=$A602)*($J602:$J612=L$42)))),0)</f>
        <v>0</v>
      </c>
      <c r="M602" s="1129" cm="1">
        <f t="array" ref="M602">IFERROR(IF($A602=$A601,0,SUM(_xlfn._xlws.FILTER($E602:$E612,($A602:$A612=$A602)*($J602:$J612=M$42)))),0)</f>
        <v>0</v>
      </c>
      <c r="N602" s="1129" cm="1">
        <f t="array" ref="N602">IFERROR(IF($A602=$A601,0,SUM(_xlfn._xlws.FILTER($E602:$E612,($A602:$A612=$A602)*($J602:$J612=N$42)))),0)</f>
        <v>0</v>
      </c>
    </row>
    <row r="603" spans="1:14">
      <c r="A603" s="452">
        <v>45950</v>
      </c>
      <c r="B603" s="452" t="s">
        <v>29</v>
      </c>
      <c r="C603" s="465">
        <v>1000</v>
      </c>
      <c r="D603" s="455">
        <v>94.22</v>
      </c>
      <c r="E603" s="1128">
        <f ca="1">IFERROR(C603*D603*_xlfn.XLOOKUP(B603,TabCalc[Ticker],TabCalc[Scale]),0)</f>
        <v>94220</v>
      </c>
      <c r="F603" s="1129" cm="1">
        <f t="array" ref="F603">IF(A603=A602,0,SUM(_xlfn._xlws.FILTER(E603:E613,A603:A613=A603)))</f>
        <v>0</v>
      </c>
      <c r="G603" s="1130">
        <f>IF(F603&lt;&gt;0,SUM($F$43:F603),0)</f>
        <v>0</v>
      </c>
      <c r="H603" s="1130" cm="1">
        <f t="array" ref="H603">IFERROR(IF(A603=A602,0,SUM(_xlfn._xlws.FILTER(E603:E613,(A603:A613=A603)*(E603:E613&gt;0)))),0)</f>
        <v>0</v>
      </c>
      <c r="I603" s="1130" cm="1">
        <f t="array" ref="I603">IFERROR(IF(A603=A602,0,SUM(_xlfn._xlws.FILTER(E603:E613,(A603:A613=A603)*(F603&lt;0)))),0)</f>
        <v>0</v>
      </c>
      <c r="J603" s="295" t="str">
        <f ca="1">IFERROR(_xlfn.XLOOKUP(B603,TabCalc[Ticker],TabCalc[Cur]),"")</f>
        <v>USD</v>
      </c>
      <c r="K603" s="1129" cm="1">
        <f t="array" ref="K603">IFERROR(IF($A603=$A602,0,SUM(_xlfn._xlws.FILTER($E603:$E613,($A603:$A613=$A603)*($J603:$J613=K$42)))),0)</f>
        <v>0</v>
      </c>
      <c r="L603" s="1129" cm="1">
        <f t="array" ref="L603">IFERROR(IF($A603=$A602,0,SUM(_xlfn._xlws.FILTER($E603:$E613,($A603:$A613=$A603)*($J603:$J613=L$42)))),0)</f>
        <v>0</v>
      </c>
      <c r="M603" s="1129" cm="1">
        <f t="array" ref="M603">IFERROR(IF($A603=$A602,0,SUM(_xlfn._xlws.FILTER($E603:$E613,($A603:$A613=$A603)*($J603:$J613=M$42)))),0)</f>
        <v>0</v>
      </c>
      <c r="N603" s="1129" cm="1">
        <f t="array" ref="N603">IFERROR(IF($A603=$A602,0,SUM(_xlfn._xlws.FILTER($E603:$E613,($A603:$A613=$A603)*($J603:$J613=N$42)))),0)</f>
        <v>0</v>
      </c>
    </row>
    <row r="604" spans="1:14">
      <c r="A604" s="466">
        <v>45951</v>
      </c>
      <c r="B604" s="448" t="s">
        <v>0</v>
      </c>
      <c r="C604" s="448">
        <v>500</v>
      </c>
      <c r="D604" s="467">
        <v>263.58</v>
      </c>
      <c r="E604" s="1128">
        <f ca="1">IFERROR(C604*D604*_xlfn.XLOOKUP(B604,TabCalc[Ticker],TabCalc[Scale]),0)</f>
        <v>131790</v>
      </c>
      <c r="F604" s="1129" cm="1">
        <f t="array" aca="1" ref="F604" ca="1">IF(A604=A603,0,SUM(_xlfn._xlws.FILTER(E604:E614,A604:A614=A604)))</f>
        <v>76055</v>
      </c>
      <c r="G604" s="1130">
        <f ca="1">IF(F604&lt;&gt;0,SUM($F$43:F604),0)</f>
        <v>-2170147.6945730001</v>
      </c>
      <c r="H604" s="1130" cm="1">
        <f t="array" aca="1" ref="H604" ca="1">IFERROR(IF(A604=A603,0,SUM(_xlfn._xlws.FILTER(E604:E614,(A604:A614=A604)*(E604:E614&gt;0)))),0)</f>
        <v>302455</v>
      </c>
      <c r="I604" s="1130" cm="1">
        <f t="array" aca="1" ref="I604" ca="1">IFERROR(IF(A604=A603,0,SUM(_xlfn._xlws.FILTER(E604:E614,(A604:A614=A604)*(F604&lt;0)))),0)</f>
        <v>0</v>
      </c>
      <c r="J604" s="295" t="str">
        <f ca="1">IFERROR(_xlfn.XLOOKUP(B604,TabCalc[Ticker],TabCalc[Cur]),"")</f>
        <v>USD</v>
      </c>
      <c r="K604" s="1129" cm="1">
        <f t="array" aca="1" ref="K604" ca="1">IFERROR(IF($A604=$A603,0,SUM(_xlfn._xlws.FILTER($E604:$E614,($A604:$A614=$A604)*($J604:$J614=K$42)))),0)</f>
        <v>0</v>
      </c>
      <c r="L604" s="1129" cm="1">
        <f t="array" aca="1" ref="L604" ca="1">IFERROR(IF($A604=$A603,0,SUM(_xlfn._xlws.FILTER($E604:$E614,($A604:$A614=$A604)*($J604:$J614=L$42)))),0)</f>
        <v>76055</v>
      </c>
      <c r="M604" s="1129" cm="1">
        <f t="array" aca="1" ref="M604" ca="1">IFERROR(IF($A604=$A603,0,SUM(_xlfn._xlws.FILTER($E604:$E614,($A604:$A614=$A604)*($J604:$J614=M$42)))),0)</f>
        <v>0</v>
      </c>
      <c r="N604" s="1129" cm="1">
        <f t="array" aca="1" ref="N604" ca="1">IFERROR(IF($A604=$A603,0,SUM(_xlfn._xlws.FILTER($E604:$E614,($A604:$A614=$A604)*($J604:$J614=N$42)))),0)</f>
        <v>0</v>
      </c>
    </row>
    <row r="605" spans="1:14">
      <c r="A605" s="466">
        <v>45951</v>
      </c>
      <c r="B605" s="448" t="s">
        <v>65</v>
      </c>
      <c r="C605" s="448">
        <v>500</v>
      </c>
      <c r="D605" s="467">
        <v>221.65</v>
      </c>
      <c r="E605" s="1128">
        <f ca="1">IFERROR(C605*D605*_xlfn.XLOOKUP(B605,TabCalc[Ticker],TabCalc[Scale]),0)</f>
        <v>110825</v>
      </c>
      <c r="F605" s="1129" cm="1">
        <f t="array" ref="F605">IF(A605=A604,0,SUM(_xlfn._xlws.FILTER(E605:E615,A605:A615=A605)))</f>
        <v>0</v>
      </c>
      <c r="G605" s="1130">
        <f>IF(F605&lt;&gt;0,SUM($F$43:F605),0)</f>
        <v>0</v>
      </c>
      <c r="H605" s="1130" cm="1">
        <f t="array" ref="H605">IFERROR(IF(A605=A604,0,SUM(_xlfn._xlws.FILTER(E605:E615,(A605:A615=A605)*(E605:E615&gt;0)))),0)</f>
        <v>0</v>
      </c>
      <c r="I605" s="1130" cm="1">
        <f t="array" ref="I605">IFERROR(IF(A605=A604,0,SUM(_xlfn._xlws.FILTER(E605:E615,(A605:A615=A605)*(F605&lt;0)))),0)</f>
        <v>0</v>
      </c>
      <c r="J605" s="295" t="str">
        <f ca="1">IFERROR(_xlfn.XLOOKUP(B605,TabCalc[Ticker],TabCalc[Cur]),"")</f>
        <v>USD</v>
      </c>
      <c r="K605" s="1129" cm="1">
        <f t="array" ref="K605">IFERROR(IF($A605=$A604,0,SUM(_xlfn._xlws.FILTER($E605:$E615,($A605:$A615=$A605)*($J605:$J615=K$42)))),0)</f>
        <v>0</v>
      </c>
      <c r="L605" s="1129" cm="1">
        <f t="array" ref="L605">IFERROR(IF($A605=$A604,0,SUM(_xlfn._xlws.FILTER($E605:$E615,($A605:$A615=$A605)*($J605:$J615=L$42)))),0)</f>
        <v>0</v>
      </c>
      <c r="M605" s="1129" cm="1">
        <f t="array" ref="M605">IFERROR(IF($A605=$A604,0,SUM(_xlfn._xlws.FILTER($E605:$E615,($A605:$A615=$A605)*($J605:$J615=M$42)))),0)</f>
        <v>0</v>
      </c>
      <c r="N605" s="1129" cm="1">
        <f t="array" ref="N605">IFERROR(IF($A605=$A604,0,SUM(_xlfn._xlws.FILTER($E605:$E615,($A605:$A615=$A605)*($J605:$J615=N$42)))),0)</f>
        <v>0</v>
      </c>
    </row>
    <row r="606" spans="1:14">
      <c r="A606" s="466">
        <v>45951</v>
      </c>
      <c r="B606" s="448" t="s">
        <v>29</v>
      </c>
      <c r="C606" s="448">
        <v>2000</v>
      </c>
      <c r="D606" s="467">
        <v>-86.41</v>
      </c>
      <c r="E606" s="1128">
        <f ca="1">IFERROR(C606*D606*_xlfn.XLOOKUP(B606,TabCalc[Ticker],TabCalc[Scale]),0)</f>
        <v>-172820</v>
      </c>
      <c r="F606" s="1129" cm="1">
        <f t="array" ref="F606">IF(A606=A605,0,SUM(_xlfn._xlws.FILTER(E606:E616,A606:A616=A606)))</f>
        <v>0</v>
      </c>
      <c r="G606" s="1130">
        <f>IF(F606&lt;&gt;0,SUM($F$43:F606),0)</f>
        <v>0</v>
      </c>
      <c r="H606" s="1130" cm="1">
        <f t="array" ref="H606">IFERROR(IF(A606=A605,0,SUM(_xlfn._xlws.FILTER(E606:E616,(A606:A616=A606)*(E606:E616&gt;0)))),0)</f>
        <v>0</v>
      </c>
      <c r="I606" s="1130" cm="1">
        <f t="array" ref="I606">IFERROR(IF(A606=A605,0,SUM(_xlfn._xlws.FILTER(E606:E616,(A606:A616=A606)*(F606&lt;0)))),0)</f>
        <v>0</v>
      </c>
      <c r="J606" s="295" t="str">
        <f ca="1">IFERROR(_xlfn.XLOOKUP(B606,TabCalc[Ticker],TabCalc[Cur]),"")</f>
        <v>USD</v>
      </c>
      <c r="K606" s="1129" cm="1">
        <f t="array" ref="K606">IFERROR(IF($A606=$A605,0,SUM(_xlfn._xlws.FILTER($E606:$E616,($A606:$A616=$A606)*($J606:$J616=K$42)))),0)</f>
        <v>0</v>
      </c>
      <c r="L606" s="1129" cm="1">
        <f t="array" ref="L606">IFERROR(IF($A606=$A605,0,SUM(_xlfn._xlws.FILTER($E606:$E616,($A606:$A616=$A606)*($J606:$J616=L$42)))),0)</f>
        <v>0</v>
      </c>
      <c r="M606" s="1129" cm="1">
        <f t="array" ref="M606">IFERROR(IF($A606=$A605,0,SUM(_xlfn._xlws.FILTER($E606:$E616,($A606:$A616=$A606)*($J606:$J616=M$42)))),0)</f>
        <v>0</v>
      </c>
      <c r="N606" s="1129" cm="1">
        <f t="array" ref="N606">IFERROR(IF($A606=$A605,0,SUM(_xlfn._xlws.FILTER($E606:$E616,($A606:$A616=$A606)*($J606:$J616=N$42)))),0)</f>
        <v>0</v>
      </c>
    </row>
    <row r="607" spans="1:14">
      <c r="A607" s="466">
        <v>45951</v>
      </c>
      <c r="B607" s="448" t="s">
        <v>31</v>
      </c>
      <c r="C607" s="448">
        <v>1500</v>
      </c>
      <c r="D607" s="467">
        <v>-35.72</v>
      </c>
      <c r="E607" s="1128">
        <f ca="1">IFERROR(C607*D607*_xlfn.XLOOKUP(B607,TabCalc[Ticker],TabCalc[Scale]),0)</f>
        <v>-53580</v>
      </c>
      <c r="F607" s="1129" cm="1">
        <f t="array" ref="F607">IF(A607=A606,0,SUM(_xlfn._xlws.FILTER(E607:E617,A607:A617=A607)))</f>
        <v>0</v>
      </c>
      <c r="G607" s="1130">
        <f>IF(F607&lt;&gt;0,SUM($F$43:F607),0)</f>
        <v>0</v>
      </c>
      <c r="H607" s="1130" cm="1">
        <f t="array" ref="H607">IFERROR(IF(A607=A606,0,SUM(_xlfn._xlws.FILTER(E607:E617,(A607:A617=A607)*(E607:E617&gt;0)))),0)</f>
        <v>0</v>
      </c>
      <c r="I607" s="1130" cm="1">
        <f t="array" ref="I607">IFERROR(IF(A607=A606,0,SUM(_xlfn._xlws.FILTER(E607:E617,(A607:A617=A607)*(F607&lt;0)))),0)</f>
        <v>0</v>
      </c>
      <c r="J607" s="295" t="str">
        <f ca="1">IFERROR(_xlfn.XLOOKUP(B607,TabCalc[Ticker],TabCalc[Cur]),"")</f>
        <v>USD</v>
      </c>
      <c r="K607" s="1129" cm="1">
        <f t="array" ref="K607">IFERROR(IF($A607=$A606,0,SUM(_xlfn._xlws.FILTER($E607:$E617,($A607:$A617=$A607)*($J607:$J617=K$42)))),0)</f>
        <v>0</v>
      </c>
      <c r="L607" s="1129" cm="1">
        <f t="array" ref="L607">IFERROR(IF($A607=$A606,0,SUM(_xlfn._xlws.FILTER($E607:$E617,($A607:$A617=$A607)*($J607:$J617=L$42)))),0)</f>
        <v>0</v>
      </c>
      <c r="M607" s="1129" cm="1">
        <f t="array" ref="M607">IFERROR(IF($A607=$A606,0,SUM(_xlfn._xlws.FILTER($E607:$E617,($A607:$A617=$A607)*($J607:$J617=M$42)))),0)</f>
        <v>0</v>
      </c>
      <c r="N607" s="1129" cm="1">
        <f t="array" ref="N607">IFERROR(IF($A607=$A606,0,SUM(_xlfn._xlws.FILTER($E607:$E617,($A607:$A617=$A607)*($J607:$J617=N$42)))),0)</f>
        <v>0</v>
      </c>
    </row>
    <row r="608" spans="1:14">
      <c r="A608" s="466">
        <v>45951</v>
      </c>
      <c r="B608" s="448" t="s">
        <v>35</v>
      </c>
      <c r="C608" s="448">
        <v>2000</v>
      </c>
      <c r="D608" s="467">
        <v>29.92</v>
      </c>
      <c r="E608" s="1128">
        <f ca="1">IFERROR(C608*D608*_xlfn.XLOOKUP(B608,TabCalc[Ticker],TabCalc[Scale]),0)</f>
        <v>59840</v>
      </c>
      <c r="F608" s="1129" cm="1">
        <f t="array" ref="F608">IF(A608=A607,0,SUM(_xlfn._xlws.FILTER(E608:E618,A608:A618=A608)))</f>
        <v>0</v>
      </c>
      <c r="G608" s="1130">
        <f>IF(F608&lt;&gt;0,SUM($F$43:F608),0)</f>
        <v>0</v>
      </c>
      <c r="H608" s="1130" cm="1">
        <f t="array" ref="H608">IFERROR(IF(A608=A607,0,SUM(_xlfn._xlws.FILTER(E608:E618,(A608:A618=A608)*(E608:E618&gt;0)))),0)</f>
        <v>0</v>
      </c>
      <c r="I608" s="1130" cm="1">
        <f t="array" ref="I608">IFERROR(IF(A608=A607,0,SUM(_xlfn._xlws.FILTER(E608:E618,(A608:A618=A608)*(F608&lt;0)))),0)</f>
        <v>0</v>
      </c>
      <c r="J608" s="295" t="str">
        <f ca="1">IFERROR(_xlfn.XLOOKUP(B608,TabCalc[Ticker],TabCalc[Cur]),"")</f>
        <v>USD</v>
      </c>
      <c r="K608" s="1129" cm="1">
        <f t="array" ref="K608">IFERROR(IF($A608=$A607,0,SUM(_xlfn._xlws.FILTER($E608:$E618,($A608:$A618=$A608)*($J608:$J618=K$42)))),0)</f>
        <v>0</v>
      </c>
      <c r="L608" s="1129" cm="1">
        <f t="array" ref="L608">IFERROR(IF($A608=$A607,0,SUM(_xlfn._xlws.FILTER($E608:$E618,($A608:$A618=$A608)*($J608:$J618=L$42)))),0)</f>
        <v>0</v>
      </c>
      <c r="M608" s="1129" cm="1">
        <f t="array" ref="M608">IFERROR(IF($A608=$A607,0,SUM(_xlfn._xlws.FILTER($E608:$E618,($A608:$A618=$A608)*($J608:$J618=M$42)))),0)</f>
        <v>0</v>
      </c>
      <c r="N608" s="1129" cm="1">
        <f t="array" ref="N608">IFERROR(IF($A608=$A607,0,SUM(_xlfn._xlws.FILTER($E608:$E618,($A608:$A618=$A608)*($J608:$J618=N$42)))),0)</f>
        <v>0</v>
      </c>
    </row>
    <row r="609" spans="1:14">
      <c r="A609" s="452">
        <v>45952</v>
      </c>
      <c r="B609" s="452" t="s">
        <v>80</v>
      </c>
      <c r="C609" s="465">
        <v>300</v>
      </c>
      <c r="D609" s="455">
        <v>-183.16</v>
      </c>
      <c r="E609" s="1128">
        <f ca="1">IFERROR(C609*D609*_xlfn.XLOOKUP(B609,TabCalc[Ticker],TabCalc[Scale]),0)</f>
        <v>-54948</v>
      </c>
      <c r="F609" s="1129" cm="1">
        <f t="array" aca="1" ref="F609" ca="1">IF(A609=A608,0,SUM(_xlfn._xlws.FILTER(E609:E619,A609:A619=A609)))</f>
        <v>-1646915</v>
      </c>
      <c r="G609" s="1130">
        <f ca="1">IF(F609&lt;&gt;0,SUM($F$43:F609),0)</f>
        <v>-3817062.6945730001</v>
      </c>
      <c r="H609" s="1130" cm="1">
        <f t="array" aca="1" ref="H609" ca="1">IFERROR(IF(A609=A608,0,SUM(_xlfn._xlws.FILTER(E609:E619,(A609:A619=A609)*(E609:E619&gt;0)))),0)</f>
        <v>89840</v>
      </c>
      <c r="I609" s="1130" cm="1">
        <f t="array" aca="1" ref="I609" ca="1">IFERROR(IF(A609=A608,0,SUM(_xlfn._xlws.FILTER(E609:E619,(A609:A619=A609)*(F609&lt;0)))),0)</f>
        <v>-1646915</v>
      </c>
      <c r="J609" s="295" t="str">
        <f ca="1">IFERROR(_xlfn.XLOOKUP(B609,TabCalc[Ticker],TabCalc[Cur]),"")</f>
        <v>USD</v>
      </c>
      <c r="K609" s="1129" cm="1">
        <f t="array" aca="1" ref="K609" ca="1">IFERROR(IF($A609=$A608,0,SUM(_xlfn._xlws.FILTER($E609:$E619,($A609:$A619=$A609)*($J609:$J619=K$42)))),0)</f>
        <v>0</v>
      </c>
      <c r="L609" s="1129" cm="1">
        <f t="array" aca="1" ref="L609" ca="1">IFERROR(IF($A609=$A608,0,SUM(_xlfn._xlws.FILTER($E609:$E619,($A609:$A619=$A609)*($J609:$J619=L$42)))),0)</f>
        <v>-1736755</v>
      </c>
      <c r="M609" s="1129" cm="1">
        <f t="array" aca="1" ref="M609" ca="1">IFERROR(IF($A609=$A608,0,SUM(_xlfn._xlws.FILTER($E609:$E619,($A609:$A619=$A609)*($J609:$J619=M$42)))),0)</f>
        <v>89840</v>
      </c>
      <c r="N609" s="1129" cm="1">
        <f t="array" aca="1" ref="N609" ca="1">IFERROR(IF($A609=$A608,0,SUM(_xlfn._xlws.FILTER($E609:$E619,($A609:$A619=$A609)*($J609:$J619=N$42)))),0)</f>
        <v>0</v>
      </c>
    </row>
    <row r="610" spans="1:14">
      <c r="A610" s="452">
        <v>45952</v>
      </c>
      <c r="B610" s="452" t="s">
        <v>22</v>
      </c>
      <c r="C610" s="465">
        <v>10000</v>
      </c>
      <c r="D610" s="455">
        <v>402.8</v>
      </c>
      <c r="E610" s="1128">
        <f ca="1">IFERROR(C610*D610*_xlfn.XLOOKUP(B610,TabCalc[Ticker],TabCalc[Scale]),0)</f>
        <v>40280</v>
      </c>
      <c r="F610" s="1129" cm="1">
        <f t="array" ref="F610">IF(A610=A609,0,SUM(_xlfn._xlws.FILTER(E610:E620,A610:A620=A610)))</f>
        <v>0</v>
      </c>
      <c r="G610" s="1130">
        <f>IF(F610&lt;&gt;0,SUM($F$43:F610),0)</f>
        <v>0</v>
      </c>
      <c r="H610" s="1130" cm="1">
        <f t="array" ref="H610">IFERROR(IF(A610=A609,0,SUM(_xlfn._xlws.FILTER(E610:E620,(A610:A620=A610)*(E610:E620&gt;0)))),0)</f>
        <v>0</v>
      </c>
      <c r="I610" s="1130" cm="1">
        <f t="array" ref="I610">IFERROR(IF(A610=A609,0,SUM(_xlfn._xlws.FILTER(E610:E620,(A610:A620=A610)*(F610&lt;0)))),0)</f>
        <v>0</v>
      </c>
      <c r="J610" s="295" t="str">
        <f ca="1">IFERROR(_xlfn.XLOOKUP(B610,TabCalc[Ticker],TabCalc[Cur]),"")</f>
        <v>GBp</v>
      </c>
      <c r="K610" s="1129" cm="1">
        <f t="array" ref="K610">IFERROR(IF($A610=$A609,0,SUM(_xlfn._xlws.FILTER($E610:$E620,($A610:$A620=$A610)*($J610:$J620=K$42)))),0)</f>
        <v>0</v>
      </c>
      <c r="L610" s="1129" cm="1">
        <f t="array" ref="L610">IFERROR(IF($A610=$A609,0,SUM(_xlfn._xlws.FILTER($E610:$E620,($A610:$A620=$A610)*($J610:$J620=L$42)))),0)</f>
        <v>0</v>
      </c>
      <c r="M610" s="1129" cm="1">
        <f t="array" ref="M610">IFERROR(IF($A610=$A609,0,SUM(_xlfn._xlws.FILTER($E610:$E620,($A610:$A620=$A610)*($J610:$J620=M$42)))),0)</f>
        <v>0</v>
      </c>
      <c r="N610" s="1129" cm="1">
        <f t="array" ref="N610">IFERROR(IF($A610=$A609,0,SUM(_xlfn._xlws.FILTER($E610:$E620,($A610:$A620=$A610)*($J610:$J620=N$42)))),0)</f>
        <v>0</v>
      </c>
    </row>
    <row r="611" spans="1:14">
      <c r="A611" s="452">
        <v>45952</v>
      </c>
      <c r="B611" s="452" t="s">
        <v>77</v>
      </c>
      <c r="C611" s="465">
        <v>10000</v>
      </c>
      <c r="D611" s="455">
        <v>495.6</v>
      </c>
      <c r="E611" s="1128">
        <f ca="1">IFERROR(C611*D611*_xlfn.XLOOKUP(B611,TabCalc[Ticker],TabCalc[Scale]),0)</f>
        <v>49560</v>
      </c>
      <c r="F611" s="1129" cm="1">
        <f t="array" ref="F611">IF(A611=A610,0,SUM(_xlfn._xlws.FILTER(E611:E621,A611:A621=A611)))</f>
        <v>0</v>
      </c>
      <c r="G611" s="1130">
        <f>IF(F611&lt;&gt;0,SUM($F$43:F611),0)</f>
        <v>0</v>
      </c>
      <c r="H611" s="1130" cm="1">
        <f t="array" ref="H611">IFERROR(IF(A611=A610,0,SUM(_xlfn._xlws.FILTER(E611:E621,(A611:A621=A611)*(E611:E621&gt;0)))),0)</f>
        <v>0</v>
      </c>
      <c r="I611" s="1130" cm="1">
        <f t="array" ref="I611">IFERROR(IF(A611=A610,0,SUM(_xlfn._xlws.FILTER(E611:E621,(A611:A621=A611)*(F611&lt;0)))),0)</f>
        <v>0</v>
      </c>
      <c r="J611" s="295" t="str">
        <f ca="1">IFERROR(_xlfn.XLOOKUP(B611,TabCalc[Ticker],TabCalc[Cur]),"")</f>
        <v>GBp</v>
      </c>
      <c r="K611" s="1129" cm="1">
        <f t="array" ref="K611">IFERROR(IF($A611=$A610,0,SUM(_xlfn._xlws.FILTER($E611:$E621,($A611:$A621=$A611)*($J611:$J621=K$42)))),0)</f>
        <v>0</v>
      </c>
      <c r="L611" s="1129" cm="1">
        <f t="array" ref="L611">IFERROR(IF($A611=$A610,0,SUM(_xlfn._xlws.FILTER($E611:$E621,($A611:$A621=$A611)*($J611:$J621=L$42)))),0)</f>
        <v>0</v>
      </c>
      <c r="M611" s="1129" cm="1">
        <f t="array" ref="M611">IFERROR(IF($A611=$A610,0,SUM(_xlfn._xlws.FILTER($E611:$E621,($A611:$A621=$A611)*($J611:$J621=M$42)))),0)</f>
        <v>0</v>
      </c>
      <c r="N611" s="1129" cm="1">
        <f t="array" ref="N611">IFERROR(IF($A611=$A610,0,SUM(_xlfn._xlws.FILTER($E611:$E621,($A611:$A621=$A611)*($J611:$J621=N$42)))),0)</f>
        <v>0</v>
      </c>
    </row>
    <row r="612" spans="1:14">
      <c r="A612" s="452">
        <v>45952</v>
      </c>
      <c r="B612" s="452" t="s">
        <v>30</v>
      </c>
      <c r="C612" s="465">
        <v>1300</v>
      </c>
      <c r="D612" s="455">
        <v>-1117.45</v>
      </c>
      <c r="E612" s="1128">
        <f ca="1">IFERROR(C612*D612*_xlfn.XLOOKUP(B612,TabCalc[Ticker],TabCalc[Scale]),0)</f>
        <v>-1452685</v>
      </c>
      <c r="F612" s="1129" cm="1">
        <f t="array" ref="F612">IF(A612=A611,0,SUM(_xlfn._xlws.FILTER(E612:E622,A612:A622=A612)))</f>
        <v>0</v>
      </c>
      <c r="G612" s="1130">
        <f>IF(F612&lt;&gt;0,SUM($F$43:F612),0)</f>
        <v>0</v>
      </c>
      <c r="H612" s="1130" cm="1">
        <f t="array" ref="H612">IFERROR(IF(A612=A611,0,SUM(_xlfn._xlws.FILTER(E612:E622,(A612:A622=A612)*(E612:E622&gt;0)))),0)</f>
        <v>0</v>
      </c>
      <c r="I612" s="1130" cm="1">
        <f t="array" ref="I612">IFERROR(IF(A612=A611,0,SUM(_xlfn._xlws.FILTER(E612:E622,(A612:A622=A612)*(F612&lt;0)))),0)</f>
        <v>0</v>
      </c>
      <c r="J612" s="295" t="str">
        <f ca="1">IFERROR(_xlfn.XLOOKUP(B612,TabCalc[Ticker],TabCalc[Cur]),"")</f>
        <v>USD</v>
      </c>
      <c r="K612" s="1129" cm="1">
        <f t="array" ref="K612">IFERROR(IF($A612=$A611,0,SUM(_xlfn._xlws.FILTER($E612:$E622,($A612:$A622=$A612)*($J612:$J622=K$42)))),0)</f>
        <v>0</v>
      </c>
      <c r="L612" s="1129" cm="1">
        <f t="array" ref="L612">IFERROR(IF($A612=$A611,0,SUM(_xlfn._xlws.FILTER($E612:$E622,($A612:$A622=$A612)*($J612:$J622=L$42)))),0)</f>
        <v>0</v>
      </c>
      <c r="M612" s="1129" cm="1">
        <f t="array" ref="M612">IFERROR(IF($A612=$A611,0,SUM(_xlfn._xlws.FILTER($E612:$E622,($A612:$A622=$A612)*($J612:$J622=M$42)))),0)</f>
        <v>0</v>
      </c>
      <c r="N612" s="1129" cm="1">
        <f t="array" ref="N612">IFERROR(IF($A612=$A611,0,SUM(_xlfn._xlws.FILTER($E612:$E622,($A612:$A622=$A612)*($J612:$J622=N$42)))),0)</f>
        <v>0</v>
      </c>
    </row>
    <row r="613" spans="1:14">
      <c r="A613" s="452">
        <v>45952</v>
      </c>
      <c r="B613" s="452" t="s">
        <v>43</v>
      </c>
      <c r="C613" s="465">
        <v>800</v>
      </c>
      <c r="D613" s="455">
        <v>-286.40249999999997</v>
      </c>
      <c r="E613" s="1128">
        <f ca="1">IFERROR(C613*D613*_xlfn.XLOOKUP(B613,TabCalc[Ticker],TabCalc[Scale]),0)</f>
        <v>-229121.99999999997</v>
      </c>
      <c r="F613" s="1129" cm="1">
        <f t="array" ref="F613">IF(A613=A612,0,SUM(_xlfn._xlws.FILTER(E613:E623,A613:A623=A613)))</f>
        <v>0</v>
      </c>
      <c r="G613" s="1130">
        <f>IF(F613&lt;&gt;0,SUM($F$43:F613),0)</f>
        <v>0</v>
      </c>
      <c r="H613" s="1130" cm="1">
        <f t="array" ref="H613">IFERROR(IF(A613=A612,0,SUM(_xlfn._xlws.FILTER(E613:E623,(A613:A623=A613)*(E613:E623&gt;0)))),0)</f>
        <v>0</v>
      </c>
      <c r="I613" s="1130" cm="1">
        <f t="array" ref="I613">IFERROR(IF(A613=A612,0,SUM(_xlfn._xlws.FILTER(E613:E623,(A613:A623=A613)*(F613&lt;0)))),0)</f>
        <v>0</v>
      </c>
      <c r="J613" s="295" t="str">
        <f ca="1">IFERROR(_xlfn.XLOOKUP(B613,TabCalc[Ticker],TabCalc[Cur]),"")</f>
        <v>USD</v>
      </c>
      <c r="K613" s="1129" cm="1">
        <f t="array" ref="K613">IFERROR(IF($A613=$A612,0,SUM(_xlfn._xlws.FILTER($E613:$E623,($A613:$A623=$A613)*($J613:$J623=K$42)))),0)</f>
        <v>0</v>
      </c>
      <c r="L613" s="1129" cm="1">
        <f t="array" ref="L613">IFERROR(IF($A613=$A612,0,SUM(_xlfn._xlws.FILTER($E613:$E623,($A613:$A623=$A613)*($J613:$J623=L$42)))),0)</f>
        <v>0</v>
      </c>
      <c r="M613" s="1129" cm="1">
        <f t="array" ref="M613">IFERROR(IF($A613=$A612,0,SUM(_xlfn._xlws.FILTER($E613:$E623,($A613:$A623=$A613)*($J613:$J623=M$42)))),0)</f>
        <v>0</v>
      </c>
      <c r="N613" s="1129" cm="1">
        <f t="array" ref="N613">IFERROR(IF($A613=$A612,0,SUM(_xlfn._xlws.FILTER($E613:$E623,($A613:$A623=$A613)*($J613:$J623=N$42)))),0)</f>
        <v>0</v>
      </c>
    </row>
    <row r="614" spans="1:14">
      <c r="A614" s="466">
        <v>45953</v>
      </c>
      <c r="B614" s="448" t="s">
        <v>22</v>
      </c>
      <c r="C614" s="448">
        <v>10000</v>
      </c>
      <c r="D614" s="467">
        <v>405.01</v>
      </c>
      <c r="E614" s="1128">
        <f ca="1">IFERROR(C614*D614*_xlfn.XLOOKUP(B614,TabCalc[Ticker],TabCalc[Scale]),0)</f>
        <v>40501</v>
      </c>
      <c r="F614" s="1129" cm="1">
        <f t="array" aca="1" ref="F614" ca="1">IF(A614=A613,0,SUM(_xlfn._xlws.FILTER(E614:E624,A614:A624=A614)))</f>
        <v>-511279</v>
      </c>
      <c r="G614" s="1130">
        <f ca="1">IF(F614&lt;&gt;0,SUM($F$43:F614),0)</f>
        <v>-4328341.6945730001</v>
      </c>
      <c r="H614" s="1130" cm="1">
        <f t="array" aca="1" ref="H614" ca="1">IFERROR(IF(A614=A613,0,SUM(_xlfn._xlws.FILTER(E614:E624,(A614:A624=A614)*(E614:E624&gt;0)))),0)</f>
        <v>40501</v>
      </c>
      <c r="I614" s="1130" cm="1">
        <f t="array" aca="1" ref="I614" ca="1">IFERROR(IF(A614=A613,0,SUM(_xlfn._xlws.FILTER(E614:E624,(A614:A624=A614)*(F614&lt;0)))),0)</f>
        <v>-511279</v>
      </c>
      <c r="J614" s="295" t="str">
        <f ca="1">IFERROR(_xlfn.XLOOKUP(B614,TabCalc[Ticker],TabCalc[Cur]),"")</f>
        <v>GBp</v>
      </c>
      <c r="K614" s="1129" cm="1">
        <f t="array" aca="1" ref="K614" ca="1">IFERROR(IF($A614=$A613,0,SUM(_xlfn._xlws.FILTER($E614:$E624,($A614:$A624=$A614)*($J614:$J624=K$42)))),0)</f>
        <v>0</v>
      </c>
      <c r="L614" s="1129" cm="1">
        <f t="array" aca="1" ref="L614" ca="1">IFERROR(IF($A614=$A613,0,SUM(_xlfn._xlws.FILTER($E614:$E624,($A614:$A624=$A614)*($J614:$J624=L$42)))),0)</f>
        <v>-551780</v>
      </c>
      <c r="M614" s="1129" cm="1">
        <f t="array" aca="1" ref="M614" ca="1">IFERROR(IF($A614=$A613,0,SUM(_xlfn._xlws.FILTER($E614:$E624,($A614:$A624=$A614)*($J614:$J624=M$42)))),0)</f>
        <v>40501</v>
      </c>
      <c r="N614" s="1129" cm="1">
        <f t="array" aca="1" ref="N614" ca="1">IFERROR(IF($A614=$A613,0,SUM(_xlfn._xlws.FILTER($E614:$E624,($A614:$A624=$A614)*($J614:$J624=N$42)))),0)</f>
        <v>0</v>
      </c>
    </row>
    <row r="615" spans="1:14">
      <c r="A615" s="466">
        <v>45953</v>
      </c>
      <c r="B615" s="448" t="s">
        <v>30</v>
      </c>
      <c r="C615" s="448">
        <v>500</v>
      </c>
      <c r="D615" s="467">
        <v>-1103.56</v>
      </c>
      <c r="E615" s="1128">
        <f ca="1">IFERROR(C615*D615*_xlfn.XLOOKUP(B615,TabCalc[Ticker],TabCalc[Scale]),0)</f>
        <v>-551780</v>
      </c>
      <c r="F615" s="1129" cm="1">
        <f t="array" ref="F615">IF(A615=A614,0,SUM(_xlfn._xlws.FILTER(E615:E625,A615:A625=A615)))</f>
        <v>0</v>
      </c>
      <c r="G615" s="1130">
        <f>IF(F615&lt;&gt;0,SUM($F$43:F615),0)</f>
        <v>0</v>
      </c>
      <c r="H615" s="1130" cm="1">
        <f t="array" ref="H615">IFERROR(IF(A615=A614,0,SUM(_xlfn._xlws.FILTER(E615:E625,(A615:A625=A615)*(E615:E625&gt;0)))),0)</f>
        <v>0</v>
      </c>
      <c r="I615" s="1130" cm="1">
        <f t="array" ref="I615">IFERROR(IF(A615=A614,0,SUM(_xlfn._xlws.FILTER(E615:E625,(A615:A625=A615)*(F615&lt;0)))),0)</f>
        <v>0</v>
      </c>
      <c r="J615" s="295" t="str">
        <f ca="1">IFERROR(_xlfn.XLOOKUP(B615,TabCalc[Ticker],TabCalc[Cur]),"")</f>
        <v>USD</v>
      </c>
      <c r="K615" s="1129" cm="1">
        <f t="array" ref="K615">IFERROR(IF($A615=$A614,0,SUM(_xlfn._xlws.FILTER($E615:$E625,($A615:$A625=$A615)*($J615:$J625=K$42)))),0)</f>
        <v>0</v>
      </c>
      <c r="L615" s="1129" cm="1">
        <f t="array" ref="L615">IFERROR(IF($A615=$A614,0,SUM(_xlfn._xlws.FILTER($E615:$E625,($A615:$A625=$A615)*($J615:$J625=L$42)))),0)</f>
        <v>0</v>
      </c>
      <c r="M615" s="1129" cm="1">
        <f t="array" ref="M615">IFERROR(IF($A615=$A614,0,SUM(_xlfn._xlws.FILTER($E615:$E625,($A615:$A625=$A615)*($J615:$J625=M$42)))),0)</f>
        <v>0</v>
      </c>
      <c r="N615" s="1129" cm="1">
        <f t="array" ref="N615">IFERROR(IF($A615=$A614,0,SUM(_xlfn._xlws.FILTER($E615:$E625,($A615:$A625=$A615)*($J615:$J625=N$42)))),0)</f>
        <v>0</v>
      </c>
    </row>
    <row r="616" spans="1:14">
      <c r="A616" s="452">
        <v>45954</v>
      </c>
      <c r="B616" s="452" t="s">
        <v>32</v>
      </c>
      <c r="C616" s="465">
        <v>100</v>
      </c>
      <c r="D616" s="455">
        <v>894.75</v>
      </c>
      <c r="E616" s="1128">
        <f ca="1">IFERROR(C616*D616*_xlfn.XLOOKUP(B616,TabCalc[Ticker],TabCalc[Scale]),0)</f>
        <v>89475</v>
      </c>
      <c r="F616" s="1129" cm="1">
        <f t="array" aca="1" ref="F616" ca="1">IF(A616=A615,0,SUM(_xlfn._xlws.FILTER(E616:E626,A616:A626=A616)))</f>
        <v>-611723.34</v>
      </c>
      <c r="G616" s="1130">
        <f ca="1">IF(F616&lt;&gt;0,SUM($F$43:F616),0)</f>
        <v>-4940065.0345729999</v>
      </c>
      <c r="H616" s="1130" cm="1">
        <f t="array" aca="1" ref="H616" ca="1">IFERROR(IF(A616=A615,0,SUM(_xlfn._xlws.FILTER(E616:E626,(A616:A626=A616)*(E616:E626&gt;0)))),0)</f>
        <v>170715</v>
      </c>
      <c r="I616" s="1130" cm="1">
        <f t="array" aca="1" ref="I616" ca="1">IFERROR(IF(A616=A615,0,SUM(_xlfn._xlws.FILTER(E616:E626,(A616:A626=A616)*(F616&lt;0)))),0)</f>
        <v>-611723.34</v>
      </c>
      <c r="J616" s="295" t="str">
        <f ca="1">IFERROR(_xlfn.XLOOKUP(B616,TabCalc[Ticker],TabCalc[Cur]),"")</f>
        <v>EUR</v>
      </c>
      <c r="K616" s="1129" cm="1">
        <f t="array" aca="1" ref="K616" ca="1">IFERROR(IF($A616=$A615,0,SUM(_xlfn._xlws.FILTER($E616:$E626,($A616:$A626=$A616)*($J616:$J626=K$42)))),0)</f>
        <v>89475</v>
      </c>
      <c r="L616" s="1129" cm="1">
        <f t="array" aca="1" ref="L616" ca="1">IFERROR(IF($A616=$A615,0,SUM(_xlfn._xlws.FILTER($E616:$E626,($A616:$A626=$A616)*($J616:$J626=L$42)))),0)</f>
        <v>-782438.34</v>
      </c>
      <c r="M616" s="1129" cm="1">
        <f t="array" aca="1" ref="M616" ca="1">IFERROR(IF($A616=$A615,0,SUM(_xlfn._xlws.FILTER($E616:$E626,($A616:$A626=$A616)*($J616:$J626=M$42)))),0)</f>
        <v>81240</v>
      </c>
      <c r="N616" s="1129" cm="1">
        <f t="array" aca="1" ref="N616" ca="1">IFERROR(IF($A616=$A615,0,SUM(_xlfn._xlws.FILTER($E616:$E626,($A616:$A626=$A616)*($J616:$J626=N$42)))),0)</f>
        <v>0</v>
      </c>
    </row>
    <row r="617" spans="1:14">
      <c r="A617" s="452">
        <v>45954</v>
      </c>
      <c r="B617" s="452" t="s">
        <v>22</v>
      </c>
      <c r="C617" s="465">
        <v>20000</v>
      </c>
      <c r="D617" s="455">
        <v>406.2</v>
      </c>
      <c r="E617" s="1128">
        <f ca="1">IFERROR(C617*D617*_xlfn.XLOOKUP(B617,TabCalc[Ticker],TabCalc[Scale]),0)</f>
        <v>81240</v>
      </c>
      <c r="F617" s="1129" cm="1">
        <f t="array" ref="F617">IF(A617=A616,0,SUM(_xlfn._xlws.FILTER(E617:E627,A617:A627=A617)))</f>
        <v>0</v>
      </c>
      <c r="G617" s="1130">
        <f>IF(F617&lt;&gt;0,SUM($F$43:F617),0)</f>
        <v>0</v>
      </c>
      <c r="H617" s="1130" cm="1">
        <f t="array" ref="H617">IFERROR(IF(A617=A616,0,SUM(_xlfn._xlws.FILTER(E617:E627,(A617:A627=A617)*(E617:E627&gt;0)))),0)</f>
        <v>0</v>
      </c>
      <c r="I617" s="1130" cm="1">
        <f t="array" ref="I617">IFERROR(IF(A617=A616,0,SUM(_xlfn._xlws.FILTER(E617:E627,(A617:A627=A617)*(F617&lt;0)))),0)</f>
        <v>0</v>
      </c>
      <c r="J617" s="295" t="str">
        <f ca="1">IFERROR(_xlfn.XLOOKUP(B617,TabCalc[Ticker],TabCalc[Cur]),"")</f>
        <v>GBp</v>
      </c>
      <c r="K617" s="1129" cm="1">
        <f t="array" ref="K617">IFERROR(IF($A617=$A616,0,SUM(_xlfn._xlws.FILTER($E617:$E627,($A617:$A627=$A617)*($J617:$J627=K$42)))),0)</f>
        <v>0</v>
      </c>
      <c r="L617" s="1129" cm="1">
        <f t="array" ref="L617">IFERROR(IF($A617=$A616,0,SUM(_xlfn._xlws.FILTER($E617:$E627,($A617:$A627=$A617)*($J617:$J627=L$42)))),0)</f>
        <v>0</v>
      </c>
      <c r="M617" s="1129" cm="1">
        <f t="array" ref="M617">IFERROR(IF($A617=$A616,0,SUM(_xlfn._xlws.FILTER($E617:$E627,($A617:$A627=$A617)*($J617:$J627=M$42)))),0)</f>
        <v>0</v>
      </c>
      <c r="N617" s="1129" cm="1">
        <f t="array" ref="N617">IFERROR(IF($A617=$A616,0,SUM(_xlfn._xlws.FILTER($E617:$E627,($A617:$A627=$A617)*($J617:$J627=N$42)))),0)</f>
        <v>0</v>
      </c>
    </row>
    <row r="618" spans="1:14">
      <c r="A618" s="452">
        <v>45954</v>
      </c>
      <c r="B618" s="452" t="s">
        <v>23</v>
      </c>
      <c r="C618" s="465">
        <v>1000</v>
      </c>
      <c r="D618" s="455">
        <v>-66.995000000000005</v>
      </c>
      <c r="E618" s="1128">
        <f ca="1">IFERROR(C618*D618*_xlfn.XLOOKUP(B618,TabCalc[Ticker],TabCalc[Scale]),0)</f>
        <v>-66995</v>
      </c>
      <c r="F618" s="1129" cm="1">
        <f t="array" ref="F618">IF(A618=A617,0,SUM(_xlfn._xlws.FILTER(E618:E628,A618:A628=A618)))</f>
        <v>0</v>
      </c>
      <c r="G618" s="1130">
        <f>IF(F618&lt;&gt;0,SUM($F$43:F618),0)</f>
        <v>0</v>
      </c>
      <c r="H618" s="1130" cm="1">
        <f t="array" ref="H618">IFERROR(IF(A618=A617,0,SUM(_xlfn._xlws.FILTER(E618:E628,(A618:A628=A618)*(E618:E628&gt;0)))),0)</f>
        <v>0</v>
      </c>
      <c r="I618" s="1130" cm="1">
        <f t="array" ref="I618">IFERROR(IF(A618=A617,0,SUM(_xlfn._xlws.FILTER(E618:E628,(A618:A628=A618)*(F618&lt;0)))),0)</f>
        <v>0</v>
      </c>
      <c r="J618" s="295" t="str">
        <f ca="1">IFERROR(_xlfn.XLOOKUP(B618,TabCalc[Ticker],TabCalc[Cur]),"")</f>
        <v>USD</v>
      </c>
      <c r="K618" s="1129" cm="1">
        <f t="array" ref="K618">IFERROR(IF($A618=$A617,0,SUM(_xlfn._xlws.FILTER($E618:$E628,($A618:$A628=$A618)*($J618:$J628=K$42)))),0)</f>
        <v>0</v>
      </c>
      <c r="L618" s="1129" cm="1">
        <f t="array" ref="L618">IFERROR(IF($A618=$A617,0,SUM(_xlfn._xlws.FILTER($E618:$E628,($A618:$A628=$A618)*($J618:$J628=L$42)))),0)</f>
        <v>0</v>
      </c>
      <c r="M618" s="1129" cm="1">
        <f t="array" ref="M618">IFERROR(IF($A618=$A617,0,SUM(_xlfn._xlws.FILTER($E618:$E628,($A618:$A628=$A618)*($J618:$J628=M$42)))),0)</f>
        <v>0</v>
      </c>
      <c r="N618" s="1129" cm="1">
        <f t="array" ref="N618">IFERROR(IF($A618=$A617,0,SUM(_xlfn._xlws.FILTER($E618:$E628,($A618:$A628=$A618)*($J618:$J628=N$42)))),0)</f>
        <v>0</v>
      </c>
    </row>
    <row r="619" spans="1:14">
      <c r="A619" s="452">
        <v>45954</v>
      </c>
      <c r="B619" s="452" t="s">
        <v>29</v>
      </c>
      <c r="C619" s="465">
        <v>2000</v>
      </c>
      <c r="D619" s="455">
        <v>-83.501670000000004</v>
      </c>
      <c r="E619" s="1128">
        <f ca="1">IFERROR(C619*D619*_xlfn.XLOOKUP(B619,TabCalc[Ticker],TabCalc[Scale]),0)</f>
        <v>-167003.34</v>
      </c>
      <c r="F619" s="1129" cm="1">
        <f t="array" ref="F619">IF(A619=A618,0,SUM(_xlfn._xlws.FILTER(E619:E629,A619:A629=A619)))</f>
        <v>0</v>
      </c>
      <c r="G619" s="1130">
        <f>IF(F619&lt;&gt;0,SUM($F$43:F619),0)</f>
        <v>0</v>
      </c>
      <c r="H619" s="1130" cm="1">
        <f t="array" ref="H619">IFERROR(IF(A619=A618,0,SUM(_xlfn._xlws.FILTER(E619:E629,(A619:A629=A619)*(E619:E629&gt;0)))),0)</f>
        <v>0</v>
      </c>
      <c r="I619" s="1130" cm="1">
        <f t="array" ref="I619">IFERROR(IF(A619=A618,0,SUM(_xlfn._xlws.FILTER(E619:E629,(A619:A629=A619)*(F619&lt;0)))),0)</f>
        <v>0</v>
      </c>
      <c r="J619" s="295" t="str">
        <f ca="1">IFERROR(_xlfn.XLOOKUP(B619,TabCalc[Ticker],TabCalc[Cur]),"")</f>
        <v>USD</v>
      </c>
      <c r="K619" s="1129" cm="1">
        <f t="array" ref="K619">IFERROR(IF($A619=$A618,0,SUM(_xlfn._xlws.FILTER($E619:$E629,($A619:$A629=$A619)*($J619:$J629=K$42)))),0)</f>
        <v>0</v>
      </c>
      <c r="L619" s="1129" cm="1">
        <f t="array" ref="L619">IFERROR(IF($A619=$A618,0,SUM(_xlfn._xlws.FILTER($E619:$E629,($A619:$A629=$A619)*($J619:$J629=L$42)))),0)</f>
        <v>0</v>
      </c>
      <c r="M619" s="1129" cm="1">
        <f t="array" ref="M619">IFERROR(IF($A619=$A618,0,SUM(_xlfn._xlws.FILTER($E619:$E629,($A619:$A629=$A619)*($J619:$J629=M$42)))),0)</f>
        <v>0</v>
      </c>
      <c r="N619" s="1129" cm="1">
        <f t="array" ref="N619">IFERROR(IF($A619=$A618,0,SUM(_xlfn._xlws.FILTER($E619:$E629,($A619:$A629=$A619)*($J619:$J629=N$42)))),0)</f>
        <v>0</v>
      </c>
    </row>
    <row r="620" spans="1:14">
      <c r="A620" s="452">
        <v>45954</v>
      </c>
      <c r="B620" s="452" t="s">
        <v>30</v>
      </c>
      <c r="C620" s="465">
        <v>500</v>
      </c>
      <c r="D620" s="455">
        <v>-1096.8800000000001</v>
      </c>
      <c r="E620" s="1128">
        <f ca="1">IFERROR(C620*D620*_xlfn.XLOOKUP(B620,TabCalc[Ticker],TabCalc[Scale]),0)</f>
        <v>-548440</v>
      </c>
      <c r="F620" s="1129" cm="1">
        <f t="array" ref="F620">IF(A620=A619,0,SUM(_xlfn._xlws.FILTER(E620:E630,A620:A630=A620)))</f>
        <v>0</v>
      </c>
      <c r="G620" s="1130">
        <f>IF(F620&lt;&gt;0,SUM($F$43:F620),0)</f>
        <v>0</v>
      </c>
      <c r="H620" s="1130" cm="1">
        <f t="array" ref="H620">IFERROR(IF(A620=A619,0,SUM(_xlfn._xlws.FILTER(E620:E630,(A620:A630=A620)*(E620:E630&gt;0)))),0)</f>
        <v>0</v>
      </c>
      <c r="I620" s="1130" cm="1">
        <f t="array" ref="I620">IFERROR(IF(A620=A619,0,SUM(_xlfn._xlws.FILTER(E620:E630,(A620:A630=A620)*(F620&lt;0)))),0)</f>
        <v>0</v>
      </c>
      <c r="J620" s="295" t="str">
        <f ca="1">IFERROR(_xlfn.XLOOKUP(B620,TabCalc[Ticker],TabCalc[Cur]),"")</f>
        <v>USD</v>
      </c>
      <c r="K620" s="1129" cm="1">
        <f t="array" ref="K620">IFERROR(IF($A620=$A619,0,SUM(_xlfn._xlws.FILTER($E620:$E630,($A620:$A630=$A620)*($J620:$J630=K$42)))),0)</f>
        <v>0</v>
      </c>
      <c r="L620" s="1129" cm="1">
        <f t="array" ref="L620">IFERROR(IF($A620=$A619,0,SUM(_xlfn._xlws.FILTER($E620:$E630,($A620:$A630=$A620)*($J620:$J630=L$42)))),0)</f>
        <v>0</v>
      </c>
      <c r="M620" s="1129" cm="1">
        <f t="array" ref="M620">IFERROR(IF($A620=$A619,0,SUM(_xlfn._xlws.FILTER($E620:$E630,($A620:$A630=$A620)*($J620:$J630=M$42)))),0)</f>
        <v>0</v>
      </c>
      <c r="N620" s="1129" cm="1">
        <f t="array" ref="N620">IFERROR(IF($A620=$A619,0,SUM(_xlfn._xlws.FILTER($E620:$E630,($A620:$A630=$A620)*($J620:$J630=N$42)))),0)</f>
        <v>0</v>
      </c>
    </row>
    <row r="621" spans="1:14">
      <c r="E621" s="1128">
        <f ca="1">IFERROR(C621*D621*_xlfn.XLOOKUP(B621,TabCalc[Ticker],TabCalc[Scale]),0)</f>
        <v>0</v>
      </c>
      <c r="F621" s="1129" cm="1">
        <f t="array" aca="1" ref="F621" ca="1">IF(A621=A620,0,SUM(_xlfn._xlws.FILTER(E621:E631,A621:A631=A621)))</f>
        <v>0</v>
      </c>
      <c r="G621" s="1130">
        <f ca="1">IF(F621&lt;&gt;0,SUM($F$43:F621),0)</f>
        <v>0</v>
      </c>
      <c r="H621" s="1130" cm="1">
        <f t="array" aca="1" ref="H621" ca="1">IFERROR(IF(A621=A620,0,SUM(_xlfn._xlws.FILTER(E621:E631,(A621:A631=A621)*(E621:E631&gt;0)))),0)</f>
        <v>0</v>
      </c>
      <c r="I621" s="1130" cm="1">
        <f t="array" aca="1" ref="I621" ca="1">IFERROR(IF(A621=A620,0,SUM(_xlfn._xlws.FILTER(E621:E631,(A621:A631=A621)*(F621&lt;0)))),0)</f>
        <v>0</v>
      </c>
      <c r="J621" s="295" t="str">
        <f ca="1">IFERROR(_xlfn.XLOOKUP(B621,TabCalc[Ticker],TabCalc[Cur]),"")</f>
        <v/>
      </c>
      <c r="K621" s="1129" cm="1">
        <f t="array" aca="1" ref="K621" ca="1">IFERROR(IF($A621=$A620,0,SUM(_xlfn._xlws.FILTER($E621:$E631,($A621:$A631=$A621)*($J621:$J631=K$42)))),0)</f>
        <v>0</v>
      </c>
      <c r="L621" s="1129" cm="1">
        <f t="array" aca="1" ref="L621" ca="1">IFERROR(IF($A621=$A620,0,SUM(_xlfn._xlws.FILTER($E621:$E631,($A621:$A631=$A621)*($J621:$J631=L$42)))),0)</f>
        <v>0</v>
      </c>
      <c r="M621" s="1129" cm="1">
        <f t="array" aca="1" ref="M621" ca="1">IFERROR(IF($A621=$A620,0,SUM(_xlfn._xlws.FILTER($E621:$E631,($A621:$A631=$A621)*($J621:$J631=M$42)))),0)</f>
        <v>0</v>
      </c>
      <c r="N621" s="1129" cm="1">
        <f t="array" aca="1" ref="N621" ca="1">IFERROR(IF($A621=$A620,0,SUM(_xlfn._xlws.FILTER($E621:$E631,($A621:$A631=$A621)*($J621:$J631=N$42)))),0)</f>
        <v>0</v>
      </c>
    </row>
    <row r="622" spans="1:14">
      <c r="E622" s="1128">
        <f ca="1">IFERROR(C622*D622*_xlfn.XLOOKUP(B622,TabCalc[Ticker],TabCalc[Scale]),0)</f>
        <v>0</v>
      </c>
      <c r="F622" s="1129" cm="1">
        <f t="array" ref="F622">IF(A622=A621,0,SUM(_xlfn._xlws.FILTER(E622:E632,A622:A632=A622)))</f>
        <v>0</v>
      </c>
      <c r="G622" s="1130">
        <f>IF(F622&lt;&gt;0,SUM($F$43:F622),0)</f>
        <v>0</v>
      </c>
      <c r="H622" s="1130" cm="1">
        <f t="array" ref="H622">IFERROR(IF(A622=A621,0,SUM(_xlfn._xlws.FILTER(E622:E632,(A622:A632=A622)*(E622:E632&gt;0)))),0)</f>
        <v>0</v>
      </c>
      <c r="I622" s="1130" cm="1">
        <f t="array" ref="I622">IFERROR(IF(A622=A621,0,SUM(_xlfn._xlws.FILTER(E622:E632,(A622:A632=A622)*(F622&lt;0)))),0)</f>
        <v>0</v>
      </c>
      <c r="J622" s="295" t="str">
        <f ca="1">IFERROR(_xlfn.XLOOKUP(B622,TabCalc[Ticker],TabCalc[Cur]),"")</f>
        <v/>
      </c>
      <c r="K622" s="1129" cm="1">
        <f t="array" ref="K622">IFERROR(IF($A622=$A621,0,SUM(_xlfn._xlws.FILTER($E622:$E632,($A622:$A632=$A622)*($J622:$J632=K$42)))),0)</f>
        <v>0</v>
      </c>
      <c r="L622" s="1129" cm="1">
        <f t="array" ref="L622">IFERROR(IF($A622=$A621,0,SUM(_xlfn._xlws.FILTER($E622:$E632,($A622:$A632=$A622)*($J622:$J632=L$42)))),0)</f>
        <v>0</v>
      </c>
      <c r="M622" s="1129" cm="1">
        <f t="array" ref="M622">IFERROR(IF($A622=$A621,0,SUM(_xlfn._xlws.FILTER($E622:$E632,($A622:$A632=$A622)*($J622:$J632=M$42)))),0)</f>
        <v>0</v>
      </c>
      <c r="N622" s="1129" cm="1">
        <f t="array" ref="N622">IFERROR(IF($A622=$A621,0,SUM(_xlfn._xlws.FILTER($E622:$E632,($A622:$A632=$A622)*($J622:$J632=N$42)))),0)</f>
        <v>0</v>
      </c>
    </row>
    <row r="623" spans="1:14">
      <c r="E623" s="1128">
        <f ca="1">IFERROR(C623*D623*_xlfn.XLOOKUP(B623,TabCalc[Ticker],TabCalc[Scale]),0)</f>
        <v>0</v>
      </c>
      <c r="F623" s="1129" cm="1">
        <f t="array" ref="F623">IF(A623=A622,0,SUM(_xlfn._xlws.FILTER(E623:E633,A623:A633=A623)))</f>
        <v>0</v>
      </c>
      <c r="G623" s="1130">
        <f>IF(F623&lt;&gt;0,SUM($F$43:F623),0)</f>
        <v>0</v>
      </c>
      <c r="H623" s="1130" cm="1">
        <f t="array" ref="H623">IFERROR(IF(A623=A622,0,SUM(_xlfn._xlws.FILTER(E623:E633,(A623:A633=A623)*(E623:E633&gt;0)))),0)</f>
        <v>0</v>
      </c>
      <c r="I623" s="1130" cm="1">
        <f t="array" ref="I623">IFERROR(IF(A623=A622,0,SUM(_xlfn._xlws.FILTER(E623:E633,(A623:A633=A623)*(F623&lt;0)))),0)</f>
        <v>0</v>
      </c>
      <c r="J623" s="295" t="str">
        <f ca="1">IFERROR(_xlfn.XLOOKUP(B623,TabCalc[Ticker],TabCalc[Cur]),"")</f>
        <v/>
      </c>
      <c r="K623" s="1129" cm="1">
        <f t="array" ref="K623">IFERROR(IF($A623=$A622,0,SUM(_xlfn._xlws.FILTER($E623:$E633,($A623:$A633=$A623)*($J623:$J633=K$42)))),0)</f>
        <v>0</v>
      </c>
      <c r="L623" s="1129" cm="1">
        <f t="array" ref="L623">IFERROR(IF($A623=$A622,0,SUM(_xlfn._xlws.FILTER($E623:$E633,($A623:$A633=$A623)*($J623:$J633=L$42)))),0)</f>
        <v>0</v>
      </c>
      <c r="M623" s="1129" cm="1">
        <f t="array" ref="M623">IFERROR(IF($A623=$A622,0,SUM(_xlfn._xlws.FILTER($E623:$E633,($A623:$A633=$A623)*($J623:$J633=M$42)))),0)</f>
        <v>0</v>
      </c>
      <c r="N623" s="1129" cm="1">
        <f t="array" ref="N623">IFERROR(IF($A623=$A622,0,SUM(_xlfn._xlws.FILTER($E623:$E633,($A623:$A633=$A623)*($J623:$J633=N$42)))),0)</f>
        <v>0</v>
      </c>
    </row>
    <row r="624" spans="1:14">
      <c r="E624" s="1128">
        <f ca="1">IFERROR(C624*D624*_xlfn.XLOOKUP(B624,TabCalc[Ticker],TabCalc[Scale]),0)</f>
        <v>0</v>
      </c>
      <c r="F624" s="1129" cm="1">
        <f t="array" ref="F624">IF(A624=A623,0,SUM(_xlfn._xlws.FILTER(E624:E634,A624:A634=A624)))</f>
        <v>0</v>
      </c>
      <c r="G624" s="1130">
        <f>IF(F624&lt;&gt;0,SUM($F$43:F624),0)</f>
        <v>0</v>
      </c>
      <c r="H624" s="1130" cm="1">
        <f t="array" ref="H624">IFERROR(IF(A624=A623,0,SUM(_xlfn._xlws.FILTER(E624:E634,(A624:A634=A624)*(E624:E634&gt;0)))),0)</f>
        <v>0</v>
      </c>
      <c r="I624" s="1130" cm="1">
        <f t="array" ref="I624">IFERROR(IF(A624=A623,0,SUM(_xlfn._xlws.FILTER(E624:E634,(A624:A634=A624)*(F624&lt;0)))),0)</f>
        <v>0</v>
      </c>
      <c r="J624" s="295" t="str">
        <f ca="1">IFERROR(_xlfn.XLOOKUP(B624,TabCalc[Ticker],TabCalc[Cur]),"")</f>
        <v/>
      </c>
      <c r="K624" s="1129" cm="1">
        <f t="array" ref="K624">IFERROR(IF($A624=$A623,0,SUM(_xlfn._xlws.FILTER($E624:$E634,($A624:$A634=$A624)*($J624:$J634=K$42)))),0)</f>
        <v>0</v>
      </c>
      <c r="L624" s="1129" cm="1">
        <f t="array" ref="L624">IFERROR(IF($A624=$A623,0,SUM(_xlfn._xlws.FILTER($E624:$E634,($A624:$A634=$A624)*($J624:$J634=L$42)))),0)</f>
        <v>0</v>
      </c>
      <c r="M624" s="1129" cm="1">
        <f t="array" ref="M624">IFERROR(IF($A624=$A623,0,SUM(_xlfn._xlws.FILTER($E624:$E634,($A624:$A634=$A624)*($J624:$J634=M$42)))),0)</f>
        <v>0</v>
      </c>
      <c r="N624" s="1129" cm="1">
        <f t="array" ref="N624">IFERROR(IF($A624=$A623,0,SUM(_xlfn._xlws.FILTER($E624:$E634,($A624:$A634=$A624)*($J624:$J634=N$42)))),0)</f>
        <v>0</v>
      </c>
    </row>
    <row r="625" spans="5:14">
      <c r="E625" s="1128">
        <f ca="1">IFERROR(C625*D625*_xlfn.XLOOKUP(B625,TabCalc[Ticker],TabCalc[Scale]),0)</f>
        <v>0</v>
      </c>
      <c r="F625" s="1129" cm="1">
        <f t="array" ref="F625">IF(A625=A624,0,SUM(_xlfn._xlws.FILTER(E625:E635,A625:A635=A625)))</f>
        <v>0</v>
      </c>
      <c r="G625" s="1130">
        <f>IF(F625&lt;&gt;0,SUM($F$43:F625),0)</f>
        <v>0</v>
      </c>
      <c r="H625" s="1130" cm="1">
        <f t="array" ref="H625">IFERROR(IF(A625=A624,0,SUM(_xlfn._xlws.FILTER(E625:E635,(A625:A635=A625)*(E625:E635&gt;0)))),0)</f>
        <v>0</v>
      </c>
      <c r="I625" s="1130" cm="1">
        <f t="array" ref="I625">IFERROR(IF(A625=A624,0,SUM(_xlfn._xlws.FILTER(E625:E635,(A625:A635=A625)*(F625&lt;0)))),0)</f>
        <v>0</v>
      </c>
      <c r="J625" s="295" t="str">
        <f ca="1">IFERROR(_xlfn.XLOOKUP(B625,TabCalc[Ticker],TabCalc[Cur]),"")</f>
        <v/>
      </c>
      <c r="K625" s="1129" cm="1">
        <f t="array" ref="K625">IFERROR(IF($A625=$A624,0,SUM(_xlfn._xlws.FILTER($E625:$E635,($A625:$A635=$A625)*($J625:$J635=K$42)))),0)</f>
        <v>0</v>
      </c>
      <c r="L625" s="1129" cm="1">
        <f t="array" ref="L625">IFERROR(IF($A625=$A624,0,SUM(_xlfn._xlws.FILTER($E625:$E635,($A625:$A635=$A625)*($J625:$J635=L$42)))),0)</f>
        <v>0</v>
      </c>
      <c r="M625" s="1129" cm="1">
        <f t="array" ref="M625">IFERROR(IF($A625=$A624,0,SUM(_xlfn._xlws.FILTER($E625:$E635,($A625:$A635=$A625)*($J625:$J635=M$42)))),0)</f>
        <v>0</v>
      </c>
      <c r="N625" s="1129" cm="1">
        <f t="array" ref="N625">IFERROR(IF($A625=$A624,0,SUM(_xlfn._xlws.FILTER($E625:$E635,($A625:$A635=$A625)*($J625:$J635=N$42)))),0)</f>
        <v>0</v>
      </c>
    </row>
    <row r="626" spans="5:14">
      <c r="E626" s="1128">
        <f ca="1">IFERROR(C626*D626*_xlfn.XLOOKUP(B626,TabCalc[Ticker],TabCalc[Scale]),0)</f>
        <v>0</v>
      </c>
      <c r="F626" s="1129" cm="1">
        <f t="array" ref="F626">IF(A626=A625,0,SUM(_xlfn._xlws.FILTER(E626:E636,A626:A636=A626)))</f>
        <v>0</v>
      </c>
      <c r="G626" s="1130">
        <f>IF(F626&lt;&gt;0,SUM($F$43:F626),0)</f>
        <v>0</v>
      </c>
      <c r="H626" s="1130" cm="1">
        <f t="array" ref="H626">IFERROR(IF(A626=A625,0,SUM(_xlfn._xlws.FILTER(E626:E636,(A626:A636=A626)*(E626:E636&gt;0)))),0)</f>
        <v>0</v>
      </c>
      <c r="I626" s="1130" cm="1">
        <f t="array" ref="I626">IFERROR(IF(A626=A625,0,SUM(_xlfn._xlws.FILTER(E626:E636,(A626:A636=A626)*(F626&lt;0)))),0)</f>
        <v>0</v>
      </c>
      <c r="J626" s="295" t="str">
        <f ca="1">IFERROR(_xlfn.XLOOKUP(B626,TabCalc[Ticker],TabCalc[Cur]),"")</f>
        <v/>
      </c>
      <c r="K626" s="1129" cm="1">
        <f t="array" ref="K626">IFERROR(IF($A626=$A625,0,SUM(_xlfn._xlws.FILTER($E626:$E636,($A626:$A636=$A626)*($J626:$J636=K$42)))),0)</f>
        <v>0</v>
      </c>
      <c r="L626" s="1129" cm="1">
        <f t="array" ref="L626">IFERROR(IF($A626=$A625,0,SUM(_xlfn._xlws.FILTER($E626:$E636,($A626:$A636=$A626)*($J626:$J636=L$42)))),0)</f>
        <v>0</v>
      </c>
      <c r="M626" s="1129" cm="1">
        <f t="array" ref="M626">IFERROR(IF($A626=$A625,0,SUM(_xlfn._xlws.FILTER($E626:$E636,($A626:$A636=$A626)*($J626:$J636=M$42)))),0)</f>
        <v>0</v>
      </c>
      <c r="N626" s="1129" cm="1">
        <f t="array" ref="N626">IFERROR(IF($A626=$A625,0,SUM(_xlfn._xlws.FILTER($E626:$E636,($A626:$A636=$A626)*($J626:$J636=N$42)))),0)</f>
        <v>0</v>
      </c>
    </row>
    <row r="627" spans="5:14">
      <c r="E627" s="1128">
        <f ca="1">IFERROR(C627*D627*_xlfn.XLOOKUP(B627,TabCalc[Ticker],TabCalc[Scale]),0)</f>
        <v>0</v>
      </c>
      <c r="F627" s="1129" cm="1">
        <f t="array" ref="F627">IF(A627=A626,0,SUM(_xlfn._xlws.FILTER(E627:E637,A627:A637=A627)))</f>
        <v>0</v>
      </c>
      <c r="G627" s="1130">
        <f>IF(F627&lt;&gt;0,SUM($F$43:F627),0)</f>
        <v>0</v>
      </c>
      <c r="H627" s="1130" cm="1">
        <f t="array" ref="H627">IFERROR(IF(A627=A626,0,SUM(_xlfn._xlws.FILTER(E627:E637,(A627:A637=A627)*(E627:E637&gt;0)))),0)</f>
        <v>0</v>
      </c>
      <c r="I627" s="1130" cm="1">
        <f t="array" ref="I627">IFERROR(IF(A627=A626,0,SUM(_xlfn._xlws.FILTER(E627:E637,(A627:A637=A627)*(F627&lt;0)))),0)</f>
        <v>0</v>
      </c>
      <c r="J627" s="295" t="str">
        <f ca="1">IFERROR(_xlfn.XLOOKUP(B627,TabCalc[Ticker],TabCalc[Cur]),"")</f>
        <v/>
      </c>
      <c r="K627" s="1129" cm="1">
        <f t="array" ref="K627">IFERROR(IF($A627=$A626,0,SUM(_xlfn._xlws.FILTER($E627:$E637,($A627:$A637=$A627)*($J627:$J637=K$42)))),0)</f>
        <v>0</v>
      </c>
      <c r="L627" s="1129" cm="1">
        <f t="array" ref="L627">IFERROR(IF($A627=$A626,0,SUM(_xlfn._xlws.FILTER($E627:$E637,($A627:$A637=$A627)*($J627:$J637=L$42)))),0)</f>
        <v>0</v>
      </c>
      <c r="M627" s="1129" cm="1">
        <f t="array" ref="M627">IFERROR(IF($A627=$A626,0,SUM(_xlfn._xlws.FILTER($E627:$E637,($A627:$A637=$A627)*($J627:$J637=M$42)))),0)</f>
        <v>0</v>
      </c>
      <c r="N627" s="1129" cm="1">
        <f t="array" ref="N627">IFERROR(IF($A627=$A626,0,SUM(_xlfn._xlws.FILTER($E627:$E637,($A627:$A637=$A627)*($J627:$J637=N$42)))),0)</f>
        <v>0</v>
      </c>
    </row>
    <row r="628" spans="5:14">
      <c r="E628" s="1128">
        <f ca="1">IFERROR(C628*D628*_xlfn.XLOOKUP(B628,TabCalc[Ticker],TabCalc[Scale]),0)</f>
        <v>0</v>
      </c>
      <c r="F628" s="1129" cm="1">
        <f t="array" ref="F628">IF(A628=A627,0,SUM(_xlfn._xlws.FILTER(E628:E638,A628:A638=A628)))</f>
        <v>0</v>
      </c>
      <c r="G628" s="1130">
        <f>IF(F628&lt;&gt;0,SUM($F$43:F628),0)</f>
        <v>0</v>
      </c>
      <c r="H628" s="1130" cm="1">
        <f t="array" ref="H628">IFERROR(IF(A628=A627,0,SUM(_xlfn._xlws.FILTER(E628:E638,(A628:A638=A628)*(E628:E638&gt;0)))),0)</f>
        <v>0</v>
      </c>
      <c r="I628" s="1130" cm="1">
        <f t="array" ref="I628">IFERROR(IF(A628=A627,0,SUM(_xlfn._xlws.FILTER(E628:E638,(A628:A638=A628)*(F628&lt;0)))),0)</f>
        <v>0</v>
      </c>
      <c r="J628" s="295" t="str">
        <f ca="1">IFERROR(_xlfn.XLOOKUP(B628,TabCalc[Ticker],TabCalc[Cur]),"")</f>
        <v/>
      </c>
      <c r="K628" s="1129" cm="1">
        <f t="array" ref="K628">IFERROR(IF($A628=$A627,0,SUM(_xlfn._xlws.FILTER($E628:$E638,($A628:$A638=$A628)*($J628:$J638=K$42)))),0)</f>
        <v>0</v>
      </c>
      <c r="L628" s="1129" cm="1">
        <f t="array" ref="L628">IFERROR(IF($A628=$A627,0,SUM(_xlfn._xlws.FILTER($E628:$E638,($A628:$A638=$A628)*($J628:$J638=L$42)))),0)</f>
        <v>0</v>
      </c>
      <c r="M628" s="1129" cm="1">
        <f t="array" ref="M628">IFERROR(IF($A628=$A627,0,SUM(_xlfn._xlws.FILTER($E628:$E638,($A628:$A638=$A628)*($J628:$J638=M$42)))),0)</f>
        <v>0</v>
      </c>
      <c r="N628" s="1129" cm="1">
        <f t="array" ref="N628">IFERROR(IF($A628=$A627,0,SUM(_xlfn._xlws.FILTER($E628:$E638,($A628:$A638=$A628)*($J628:$J638=N$42)))),0)</f>
        <v>0</v>
      </c>
    </row>
    <row r="629" spans="5:14">
      <c r="E629" s="1128">
        <f ca="1">IFERROR(C629*D629*_xlfn.XLOOKUP(B629,TabCalc[Ticker],TabCalc[Scale]),0)</f>
        <v>0</v>
      </c>
      <c r="F629" s="1129" cm="1">
        <f t="array" ref="F629">IF(A629=A628,0,SUM(_xlfn._xlws.FILTER(E629:E639,A629:A639=A629)))</f>
        <v>0</v>
      </c>
      <c r="G629" s="1130">
        <f>IF(F629&lt;&gt;0,SUM($F$43:F629),0)</f>
        <v>0</v>
      </c>
      <c r="H629" s="1130" cm="1">
        <f t="array" ref="H629">IFERROR(IF(A629=A628,0,SUM(_xlfn._xlws.FILTER(E629:E639,(A629:A639=A629)*(E629:E639&gt;0)))),0)</f>
        <v>0</v>
      </c>
      <c r="I629" s="1130" cm="1">
        <f t="array" ref="I629">IFERROR(IF(A629=A628,0,SUM(_xlfn._xlws.FILTER(E629:E639,(A629:A639=A629)*(F629&lt;0)))),0)</f>
        <v>0</v>
      </c>
      <c r="J629" s="295" t="str">
        <f ca="1">IFERROR(_xlfn.XLOOKUP(B629,TabCalc[Ticker],TabCalc[Cur]),"")</f>
        <v/>
      </c>
      <c r="K629" s="1129" cm="1">
        <f t="array" ref="K629">IFERROR(IF($A629=$A628,0,SUM(_xlfn._xlws.FILTER($E629:$E639,($A629:$A639=$A629)*($J629:$J639=K$42)))),0)</f>
        <v>0</v>
      </c>
      <c r="L629" s="1129" cm="1">
        <f t="array" ref="L629">IFERROR(IF($A629=$A628,0,SUM(_xlfn._xlws.FILTER($E629:$E639,($A629:$A639=$A629)*($J629:$J639=L$42)))),0)</f>
        <v>0</v>
      </c>
      <c r="M629" s="1129" cm="1">
        <f t="array" ref="M629">IFERROR(IF($A629=$A628,0,SUM(_xlfn._xlws.FILTER($E629:$E639,($A629:$A639=$A629)*($J629:$J639=M$42)))),0)</f>
        <v>0</v>
      </c>
      <c r="N629" s="1129" cm="1">
        <f t="array" ref="N629">IFERROR(IF($A629=$A628,0,SUM(_xlfn._xlws.FILTER($E629:$E639,($A629:$A639=$A629)*($J629:$J639=N$42)))),0)</f>
        <v>0</v>
      </c>
    </row>
    <row r="630" spans="5:14">
      <c r="E630" s="1128">
        <f ca="1">IFERROR(C630*D630*_xlfn.XLOOKUP(B630,TabCalc[Ticker],TabCalc[Scale]),0)</f>
        <v>0</v>
      </c>
      <c r="F630" s="1129" cm="1">
        <f t="array" ref="F630">IF(A630=A629,0,SUM(_xlfn._xlws.FILTER(E630:E640,A630:A640=A630)))</f>
        <v>0</v>
      </c>
      <c r="G630" s="1130">
        <f>IF(F630&lt;&gt;0,SUM($F$43:F630),0)</f>
        <v>0</v>
      </c>
      <c r="H630" s="1130" cm="1">
        <f t="array" ref="H630">IFERROR(IF(A630=A629,0,SUM(_xlfn._xlws.FILTER(E630:E640,(A630:A640=A630)*(E630:E640&gt;0)))),0)</f>
        <v>0</v>
      </c>
      <c r="I630" s="1130" cm="1">
        <f t="array" ref="I630">IFERROR(IF(A630=A629,0,SUM(_xlfn._xlws.FILTER(E630:E640,(A630:A640=A630)*(F630&lt;0)))),0)</f>
        <v>0</v>
      </c>
      <c r="J630" s="295" t="str">
        <f ca="1">IFERROR(_xlfn.XLOOKUP(B630,TabCalc[Ticker],TabCalc[Cur]),"")</f>
        <v/>
      </c>
      <c r="K630" s="1129" cm="1">
        <f t="array" ref="K630">IFERROR(IF($A630=$A629,0,SUM(_xlfn._xlws.FILTER($E630:$E640,($A630:$A640=$A630)*($J630:$J640=K$42)))),0)</f>
        <v>0</v>
      </c>
      <c r="L630" s="1129" cm="1">
        <f t="array" ref="L630">IFERROR(IF($A630=$A629,0,SUM(_xlfn._xlws.FILTER($E630:$E640,($A630:$A640=$A630)*($J630:$J640=L$42)))),0)</f>
        <v>0</v>
      </c>
      <c r="M630" s="1129" cm="1">
        <f t="array" ref="M630">IFERROR(IF($A630=$A629,0,SUM(_xlfn._xlws.FILTER($E630:$E640,($A630:$A640=$A630)*($J630:$J640=M$42)))),0)</f>
        <v>0</v>
      </c>
      <c r="N630" s="1129" cm="1">
        <f t="array" ref="N630">IFERROR(IF($A630=$A629,0,SUM(_xlfn._xlws.FILTER($E630:$E640,($A630:$A640=$A630)*($J630:$J640=N$42)))),0)</f>
        <v>0</v>
      </c>
    </row>
    <row r="631" spans="5:14">
      <c r="E631" s="1128">
        <f ca="1">IFERROR(C631*D631*_xlfn.XLOOKUP(B631,TabCalc[Ticker],TabCalc[Scale]),0)</f>
        <v>0</v>
      </c>
      <c r="F631" s="1129" cm="1">
        <f t="array" ref="F631">IF(A631=A630,0,SUM(_xlfn._xlws.FILTER(E631:E641,A631:A641=A631)))</f>
        <v>0</v>
      </c>
      <c r="G631" s="1130">
        <f>IF(F631&lt;&gt;0,SUM($F$43:F631),0)</f>
        <v>0</v>
      </c>
      <c r="H631" s="1130" cm="1">
        <f t="array" ref="H631">IFERROR(IF(A631=A630,0,SUM(_xlfn._xlws.FILTER(E631:E641,(A631:A641=A631)*(E631:E641&gt;0)))),0)</f>
        <v>0</v>
      </c>
      <c r="I631" s="1130" cm="1">
        <f t="array" ref="I631">IFERROR(IF(A631=A630,0,SUM(_xlfn._xlws.FILTER(E631:E641,(A631:A641=A631)*(F631&lt;0)))),0)</f>
        <v>0</v>
      </c>
      <c r="J631" s="295" t="str">
        <f ca="1">IFERROR(_xlfn.XLOOKUP(B631,TabCalc[Ticker],TabCalc[Cur]),"")</f>
        <v/>
      </c>
      <c r="K631" s="1129" cm="1">
        <f t="array" ref="K631">IFERROR(IF($A631=$A630,0,SUM(_xlfn._xlws.FILTER($E631:$E641,($A631:$A641=$A631)*($J631:$J641=K$42)))),0)</f>
        <v>0</v>
      </c>
      <c r="L631" s="1129" cm="1">
        <f t="array" ref="L631">IFERROR(IF($A631=$A630,0,SUM(_xlfn._xlws.FILTER($E631:$E641,($A631:$A641=$A631)*($J631:$J641=L$42)))),0)</f>
        <v>0</v>
      </c>
      <c r="M631" s="1129" cm="1">
        <f t="array" ref="M631">IFERROR(IF($A631=$A630,0,SUM(_xlfn._xlws.FILTER($E631:$E641,($A631:$A641=$A631)*($J631:$J641=M$42)))),0)</f>
        <v>0</v>
      </c>
      <c r="N631" s="1129" cm="1">
        <f t="array" ref="N631">IFERROR(IF($A631=$A630,0,SUM(_xlfn._xlws.FILTER($E631:$E641,($A631:$A641=$A631)*($J631:$J641=N$42)))),0)</f>
        <v>0</v>
      </c>
    </row>
    <row r="632" spans="5:14">
      <c r="E632" s="1128">
        <f ca="1">IFERROR(C632*D632*_xlfn.XLOOKUP(B632,TabCalc[Ticker],TabCalc[Scale]),0)</f>
        <v>0</v>
      </c>
      <c r="F632" s="1129" cm="1">
        <f t="array" ref="F632">IF(A632=A631,0,SUM(_xlfn._xlws.FILTER(E632:E642,A632:A642=A632)))</f>
        <v>0</v>
      </c>
      <c r="G632" s="1130">
        <f>IF(F632&lt;&gt;0,SUM($F$43:F632),0)</f>
        <v>0</v>
      </c>
      <c r="H632" s="1130" cm="1">
        <f t="array" ref="H632">IFERROR(IF(A632=A631,0,SUM(_xlfn._xlws.FILTER(E632:E642,(A632:A642=A632)*(E632:E642&gt;0)))),0)</f>
        <v>0</v>
      </c>
      <c r="I632" s="1130" cm="1">
        <f t="array" ref="I632">IFERROR(IF(A632=A631,0,SUM(_xlfn._xlws.FILTER(E632:E642,(A632:A642=A632)*(F632&lt;0)))),0)</f>
        <v>0</v>
      </c>
      <c r="J632" s="295" t="str">
        <f ca="1">IFERROR(_xlfn.XLOOKUP(B632,TabCalc[Ticker],TabCalc[Cur]),"")</f>
        <v/>
      </c>
      <c r="K632" s="1129" cm="1">
        <f t="array" ref="K632">IFERROR(IF($A632=$A631,0,SUM(_xlfn._xlws.FILTER($E632:$E642,($A632:$A642=$A632)*($J632:$J642=K$42)))),0)</f>
        <v>0</v>
      </c>
      <c r="L632" s="1129" cm="1">
        <f t="array" ref="L632">IFERROR(IF($A632=$A631,0,SUM(_xlfn._xlws.FILTER($E632:$E642,($A632:$A642=$A632)*($J632:$J642=L$42)))),0)</f>
        <v>0</v>
      </c>
      <c r="M632" s="1129" cm="1">
        <f t="array" ref="M632">IFERROR(IF($A632=$A631,0,SUM(_xlfn._xlws.FILTER($E632:$E642,($A632:$A642=$A632)*($J632:$J642=M$42)))),0)</f>
        <v>0</v>
      </c>
      <c r="N632" s="1129" cm="1">
        <f t="array" ref="N632">IFERROR(IF($A632=$A631,0,SUM(_xlfn._xlws.FILTER($E632:$E642,($A632:$A642=$A632)*($J632:$J642=N$42)))),0)</f>
        <v>0</v>
      </c>
    </row>
    <row r="633" spans="5:14">
      <c r="E633" s="1128">
        <f ca="1">IFERROR(C633*D633*_xlfn.XLOOKUP(B633,TabCalc[Ticker],TabCalc[Scale]),0)</f>
        <v>0</v>
      </c>
      <c r="F633" s="1129" cm="1">
        <f t="array" ref="F633">IF(A633=A632,0,SUM(_xlfn._xlws.FILTER(E633:E643,A633:A643=A633)))</f>
        <v>0</v>
      </c>
      <c r="G633" s="1130">
        <f>IF(F633&lt;&gt;0,SUM($F$43:F633),0)</f>
        <v>0</v>
      </c>
      <c r="H633" s="1130" cm="1">
        <f t="array" ref="H633">IFERROR(IF(A633=A632,0,SUM(_xlfn._xlws.FILTER(E633:E643,(A633:A643=A633)*(E633:E643&gt;0)))),0)</f>
        <v>0</v>
      </c>
      <c r="I633" s="1130" cm="1">
        <f t="array" ref="I633">IFERROR(IF(A633=A632,0,SUM(_xlfn._xlws.FILTER(E633:E643,(A633:A643=A633)*(F633&lt;0)))),0)</f>
        <v>0</v>
      </c>
      <c r="J633" s="295" t="str">
        <f ca="1">IFERROR(_xlfn.XLOOKUP(B633,TabCalc[Ticker],TabCalc[Cur]),"")</f>
        <v/>
      </c>
      <c r="K633" s="1129" cm="1">
        <f t="array" ref="K633">IFERROR(IF($A633=$A632,0,SUM(_xlfn._xlws.FILTER($E633:$E643,($A633:$A643=$A633)*($J633:$J643=K$42)))),0)</f>
        <v>0</v>
      </c>
      <c r="L633" s="1129" cm="1">
        <f t="array" ref="L633">IFERROR(IF($A633=$A632,0,SUM(_xlfn._xlws.FILTER($E633:$E643,($A633:$A643=$A633)*($J633:$J643=L$42)))),0)</f>
        <v>0</v>
      </c>
      <c r="M633" s="1129" cm="1">
        <f t="array" ref="M633">IFERROR(IF($A633=$A632,0,SUM(_xlfn._xlws.FILTER($E633:$E643,($A633:$A643=$A633)*($J633:$J643=M$42)))),0)</f>
        <v>0</v>
      </c>
      <c r="N633" s="1129" cm="1">
        <f t="array" ref="N633">IFERROR(IF($A633=$A632,0,SUM(_xlfn._xlws.FILTER($E633:$E643,($A633:$A643=$A633)*($J633:$J643=N$42)))),0)</f>
        <v>0</v>
      </c>
    </row>
    <row r="634" spans="5:14">
      <c r="E634" s="1128">
        <f ca="1">IFERROR(C634*D634*_xlfn.XLOOKUP(B634,TabCalc[Ticker],TabCalc[Scale]),0)</f>
        <v>0</v>
      </c>
      <c r="F634" s="1129" cm="1">
        <f t="array" ref="F634">IF(A634=A633,0,SUM(_xlfn._xlws.FILTER(E634:E644,A634:A644=A634)))</f>
        <v>0</v>
      </c>
      <c r="G634" s="1130">
        <f>IF(F634&lt;&gt;0,SUM($F$43:F634),0)</f>
        <v>0</v>
      </c>
      <c r="H634" s="1130" cm="1">
        <f t="array" ref="H634">IFERROR(IF(A634=A633,0,SUM(_xlfn._xlws.FILTER(E634:E644,(A634:A644=A634)*(E634:E644&gt;0)))),0)</f>
        <v>0</v>
      </c>
      <c r="I634" s="1130" cm="1">
        <f t="array" ref="I634">IFERROR(IF(A634=A633,0,SUM(_xlfn._xlws.FILTER(E634:E644,(A634:A644=A634)*(F634&lt;0)))),0)</f>
        <v>0</v>
      </c>
      <c r="J634" s="295" t="str">
        <f ca="1">IFERROR(_xlfn.XLOOKUP(B634,TabCalc[Ticker],TabCalc[Cur]),"")</f>
        <v/>
      </c>
      <c r="K634" s="1129" cm="1">
        <f t="array" ref="K634">IFERROR(IF($A634=$A633,0,SUM(_xlfn._xlws.FILTER($E634:$E644,($A634:$A644=$A634)*($J634:$J644=K$42)))),0)</f>
        <v>0</v>
      </c>
      <c r="L634" s="1129" cm="1">
        <f t="array" ref="L634">IFERROR(IF($A634=$A633,0,SUM(_xlfn._xlws.FILTER($E634:$E644,($A634:$A644=$A634)*($J634:$J644=L$42)))),0)</f>
        <v>0</v>
      </c>
      <c r="M634" s="1129" cm="1">
        <f t="array" ref="M634">IFERROR(IF($A634=$A633,0,SUM(_xlfn._xlws.FILTER($E634:$E644,($A634:$A644=$A634)*($J634:$J644=M$42)))),0)</f>
        <v>0</v>
      </c>
      <c r="N634" s="1129" cm="1">
        <f t="array" ref="N634">IFERROR(IF($A634=$A633,0,SUM(_xlfn._xlws.FILTER($E634:$E644,($A634:$A644=$A634)*($J634:$J644=N$42)))),0)</f>
        <v>0</v>
      </c>
    </row>
    <row r="635" spans="5:14">
      <c r="E635" s="1128">
        <f ca="1">IFERROR(C635*D635*_xlfn.XLOOKUP(B635,TabCalc[Ticker],TabCalc[Scale]),0)</f>
        <v>0</v>
      </c>
      <c r="F635" s="1129" cm="1">
        <f t="array" ref="F635">IF(A635=A634,0,SUM(_xlfn._xlws.FILTER(E635:E645,A635:A645=A635)))</f>
        <v>0</v>
      </c>
      <c r="G635" s="1130">
        <f>IF(F635&lt;&gt;0,SUM($F$43:F635),0)</f>
        <v>0</v>
      </c>
      <c r="H635" s="1130" cm="1">
        <f t="array" ref="H635">IFERROR(IF(A635=A634,0,SUM(_xlfn._xlws.FILTER(E635:E645,(A635:A645=A635)*(E635:E645&gt;0)))),0)</f>
        <v>0</v>
      </c>
      <c r="I635" s="1130" cm="1">
        <f t="array" ref="I635">IFERROR(IF(A635=A634,0,SUM(_xlfn._xlws.FILTER(E635:E645,(A635:A645=A635)*(F635&lt;0)))),0)</f>
        <v>0</v>
      </c>
      <c r="J635" s="295" t="str">
        <f ca="1">IFERROR(_xlfn.XLOOKUP(B635,TabCalc[Ticker],TabCalc[Cur]),"")</f>
        <v/>
      </c>
      <c r="K635" s="1129" cm="1">
        <f t="array" ref="K635">IFERROR(IF($A635=$A634,0,SUM(_xlfn._xlws.FILTER($E635:$E645,($A635:$A645=$A635)*($J635:$J645=K$42)))),0)</f>
        <v>0</v>
      </c>
      <c r="L635" s="1129" cm="1">
        <f t="array" ref="L635">IFERROR(IF($A635=$A634,0,SUM(_xlfn._xlws.FILTER($E635:$E645,($A635:$A645=$A635)*($J635:$J645=L$42)))),0)</f>
        <v>0</v>
      </c>
      <c r="M635" s="1129" cm="1">
        <f t="array" ref="M635">IFERROR(IF($A635=$A634,0,SUM(_xlfn._xlws.FILTER($E635:$E645,($A635:$A645=$A635)*($J635:$J645=M$42)))),0)</f>
        <v>0</v>
      </c>
      <c r="N635" s="1129" cm="1">
        <f t="array" ref="N635">IFERROR(IF($A635=$A634,0,SUM(_xlfn._xlws.FILTER($E635:$E645,($A635:$A645=$A635)*($J635:$J645=N$42)))),0)</f>
        <v>0</v>
      </c>
    </row>
    <row r="636" spans="5:14">
      <c r="E636" s="1128">
        <f ca="1">IFERROR(C636*D636*_xlfn.XLOOKUP(B636,TabCalc[Ticker],TabCalc[Scale]),0)</f>
        <v>0</v>
      </c>
      <c r="F636" s="1129" cm="1">
        <f t="array" ref="F636">IF(A636=A635,0,SUM(_xlfn._xlws.FILTER(E636:E646,A636:A646=A636)))</f>
        <v>0</v>
      </c>
      <c r="G636" s="1130">
        <f>IF(F636&lt;&gt;0,SUM($F$43:F636),0)</f>
        <v>0</v>
      </c>
      <c r="H636" s="1130" cm="1">
        <f t="array" ref="H636">IFERROR(IF(A636=A635,0,SUM(_xlfn._xlws.FILTER(E636:E646,(A636:A646=A636)*(E636:E646&gt;0)))),0)</f>
        <v>0</v>
      </c>
      <c r="I636" s="1130" cm="1">
        <f t="array" ref="I636">IFERROR(IF(A636=A635,0,SUM(_xlfn._xlws.FILTER(E636:E646,(A636:A646=A636)*(F636&lt;0)))),0)</f>
        <v>0</v>
      </c>
      <c r="J636" s="295" t="str">
        <f ca="1">IFERROR(_xlfn.XLOOKUP(B636,TabCalc[Ticker],TabCalc[Cur]),"")</f>
        <v/>
      </c>
      <c r="K636" s="1129" cm="1">
        <f t="array" ref="K636">IFERROR(IF($A636=$A635,0,SUM(_xlfn._xlws.FILTER($E636:$E646,($A636:$A646=$A636)*($J636:$J646=K$42)))),0)</f>
        <v>0</v>
      </c>
      <c r="L636" s="1129" cm="1">
        <f t="array" ref="L636">IFERROR(IF($A636=$A635,0,SUM(_xlfn._xlws.FILTER($E636:$E646,($A636:$A646=$A636)*($J636:$J646=L$42)))),0)</f>
        <v>0</v>
      </c>
      <c r="M636" s="1129" cm="1">
        <f t="array" ref="M636">IFERROR(IF($A636=$A635,0,SUM(_xlfn._xlws.FILTER($E636:$E646,($A636:$A646=$A636)*($J636:$J646=M$42)))),0)</f>
        <v>0</v>
      </c>
      <c r="N636" s="1129" cm="1">
        <f t="array" ref="N636">IFERROR(IF($A636=$A635,0,SUM(_xlfn._xlws.FILTER($E636:$E646,($A636:$A646=$A636)*($J636:$J646=N$42)))),0)</f>
        <v>0</v>
      </c>
    </row>
    <row r="637" spans="5:14">
      <c r="E637" s="1128">
        <f ca="1">IFERROR(C637*D637*_xlfn.XLOOKUP(B637,TabCalc[Ticker],TabCalc[Scale]),0)</f>
        <v>0</v>
      </c>
      <c r="F637" s="1129" cm="1">
        <f t="array" ref="F637">IF(A637=A636,0,SUM(_xlfn._xlws.FILTER(E637:E647,A637:A647=A637)))</f>
        <v>0</v>
      </c>
      <c r="G637" s="1130">
        <f>IF(F637&lt;&gt;0,SUM($F$43:F637),0)</f>
        <v>0</v>
      </c>
      <c r="H637" s="1130" cm="1">
        <f t="array" ref="H637">IFERROR(IF(A637=A636,0,SUM(_xlfn._xlws.FILTER(E637:E647,(A637:A647=A637)*(E637:E647&gt;0)))),0)</f>
        <v>0</v>
      </c>
      <c r="I637" s="1130" cm="1">
        <f t="array" ref="I637">IFERROR(IF(A637=A636,0,SUM(_xlfn._xlws.FILTER(E637:E647,(A637:A647=A637)*(F637&lt;0)))),0)</f>
        <v>0</v>
      </c>
      <c r="J637" s="295" t="str">
        <f ca="1">IFERROR(_xlfn.XLOOKUP(B637,TabCalc[Ticker],TabCalc[Cur]),"")</f>
        <v/>
      </c>
      <c r="K637" s="1129" cm="1">
        <f t="array" ref="K637">IFERROR(IF($A637=$A636,0,SUM(_xlfn._xlws.FILTER($E637:$E647,($A637:$A647=$A637)*($J637:$J647=K$42)))),0)</f>
        <v>0</v>
      </c>
      <c r="L637" s="1129" cm="1">
        <f t="array" ref="L637">IFERROR(IF($A637=$A636,0,SUM(_xlfn._xlws.FILTER($E637:$E647,($A637:$A647=$A637)*($J637:$J647=L$42)))),0)</f>
        <v>0</v>
      </c>
      <c r="M637" s="1129" cm="1">
        <f t="array" ref="M637">IFERROR(IF($A637=$A636,0,SUM(_xlfn._xlws.FILTER($E637:$E647,($A637:$A647=$A637)*($J637:$J647=M$42)))),0)</f>
        <v>0</v>
      </c>
      <c r="N637" s="1129" cm="1">
        <f t="array" ref="N637">IFERROR(IF($A637=$A636,0,SUM(_xlfn._xlws.FILTER($E637:$E647,($A637:$A647=$A637)*($J637:$J647=N$42)))),0)</f>
        <v>0</v>
      </c>
    </row>
    <row r="638" spans="5:14">
      <c r="E638" s="1128">
        <f ca="1">IFERROR(C638*D638*_xlfn.XLOOKUP(B638,TabCalc[Ticker],TabCalc[Scale]),0)</f>
        <v>0</v>
      </c>
      <c r="F638" s="1129" cm="1">
        <f t="array" ref="F638">IF(A638=A637,0,SUM(_xlfn._xlws.FILTER(E638:E648,A638:A648=A638)))</f>
        <v>0</v>
      </c>
      <c r="G638" s="1130">
        <f>IF(F638&lt;&gt;0,SUM($F$43:F638),0)</f>
        <v>0</v>
      </c>
      <c r="H638" s="1130" cm="1">
        <f t="array" ref="H638">IFERROR(IF(A638=A637,0,SUM(_xlfn._xlws.FILTER(E638:E648,(A638:A648=A638)*(E638:E648&gt;0)))),0)</f>
        <v>0</v>
      </c>
      <c r="I638" s="1130" cm="1">
        <f t="array" ref="I638">IFERROR(IF(A638=A637,0,SUM(_xlfn._xlws.FILTER(E638:E648,(A638:A648=A638)*(F638&lt;0)))),0)</f>
        <v>0</v>
      </c>
      <c r="J638" s="295" t="str">
        <f ca="1">IFERROR(_xlfn.XLOOKUP(B638,TabCalc[Ticker],TabCalc[Cur]),"")</f>
        <v/>
      </c>
      <c r="K638" s="1129" cm="1">
        <f t="array" ref="K638">IFERROR(IF($A638=$A637,0,SUM(_xlfn._xlws.FILTER($E638:$E648,($A638:$A648=$A638)*($J638:$J648=K$42)))),0)</f>
        <v>0</v>
      </c>
      <c r="L638" s="1129" cm="1">
        <f t="array" ref="L638">IFERROR(IF($A638=$A637,0,SUM(_xlfn._xlws.FILTER($E638:$E648,($A638:$A648=$A638)*($J638:$J648=L$42)))),0)</f>
        <v>0</v>
      </c>
      <c r="M638" s="1129" cm="1">
        <f t="array" ref="M638">IFERROR(IF($A638=$A637,0,SUM(_xlfn._xlws.FILTER($E638:$E648,($A638:$A648=$A638)*($J638:$J648=M$42)))),0)</f>
        <v>0</v>
      </c>
      <c r="N638" s="1129" cm="1">
        <f t="array" ref="N638">IFERROR(IF($A638=$A637,0,SUM(_xlfn._xlws.FILTER($E638:$E648,($A638:$A648=$A638)*($J638:$J648=N$42)))),0)</f>
        <v>0</v>
      </c>
    </row>
    <row r="639" spans="5:14">
      <c r="E639" s="1128">
        <f ca="1">IFERROR(C639*D639*_xlfn.XLOOKUP(B639,TabCalc[Ticker],TabCalc[Scale]),0)</f>
        <v>0</v>
      </c>
      <c r="F639" s="1129" cm="1">
        <f t="array" ref="F639">IF(A639=A638,0,SUM(_xlfn._xlws.FILTER(E639:E649,A639:A649=A639)))</f>
        <v>0</v>
      </c>
      <c r="G639" s="1130">
        <f>IF(F639&lt;&gt;0,SUM($F$43:F639),0)</f>
        <v>0</v>
      </c>
      <c r="H639" s="1130" cm="1">
        <f t="array" ref="H639">IFERROR(IF(A639=A638,0,SUM(_xlfn._xlws.FILTER(E639:E649,(A639:A649=A639)*(E639:E649&gt;0)))),0)</f>
        <v>0</v>
      </c>
      <c r="I639" s="1130" cm="1">
        <f t="array" ref="I639">IFERROR(IF(A639=A638,0,SUM(_xlfn._xlws.FILTER(E639:E649,(A639:A649=A639)*(F639&lt;0)))),0)</f>
        <v>0</v>
      </c>
      <c r="J639" s="295" t="str">
        <f ca="1">IFERROR(_xlfn.XLOOKUP(B639,TabCalc[Ticker],TabCalc[Cur]),"")</f>
        <v/>
      </c>
      <c r="K639" s="1129" cm="1">
        <f t="array" ref="K639">IFERROR(IF($A639=$A638,0,SUM(_xlfn._xlws.FILTER($E639:$E649,($A639:$A649=$A639)*($J639:$J649=K$42)))),0)</f>
        <v>0</v>
      </c>
      <c r="L639" s="1129" cm="1">
        <f t="array" ref="L639">IFERROR(IF($A639=$A638,0,SUM(_xlfn._xlws.FILTER($E639:$E649,($A639:$A649=$A639)*($J639:$J649=L$42)))),0)</f>
        <v>0</v>
      </c>
      <c r="M639" s="1129" cm="1">
        <f t="array" ref="M639">IFERROR(IF($A639=$A638,0,SUM(_xlfn._xlws.FILTER($E639:$E649,($A639:$A649=$A639)*($J639:$J649=M$42)))),0)</f>
        <v>0</v>
      </c>
      <c r="N639" s="1129" cm="1">
        <f t="array" ref="N639">IFERROR(IF($A639=$A638,0,SUM(_xlfn._xlws.FILTER($E639:$E649,($A639:$A649=$A639)*($J639:$J649=N$42)))),0)</f>
        <v>0</v>
      </c>
    </row>
    <row r="640" spans="5:14">
      <c r="E640" s="1128">
        <f ca="1">IFERROR(C640*D640*_xlfn.XLOOKUP(B640,TabCalc[Ticker],TabCalc[Scale]),0)</f>
        <v>0</v>
      </c>
      <c r="F640" s="1129" cm="1">
        <f t="array" ref="F640">IF(A640=A639,0,SUM(_xlfn._xlws.FILTER(E640:E650,A640:A650=A640)))</f>
        <v>0</v>
      </c>
      <c r="G640" s="1130">
        <f>IF(F640&lt;&gt;0,SUM($F$43:F640),0)</f>
        <v>0</v>
      </c>
      <c r="H640" s="1130" cm="1">
        <f t="array" ref="H640">IFERROR(IF(A640=A639,0,SUM(_xlfn._xlws.FILTER(E640:E650,(A640:A650=A640)*(E640:E650&gt;0)))),0)</f>
        <v>0</v>
      </c>
      <c r="I640" s="1130" cm="1">
        <f t="array" ref="I640">IFERROR(IF(A640=A639,0,SUM(_xlfn._xlws.FILTER(E640:E650,(A640:A650=A640)*(F640&lt;0)))),0)</f>
        <v>0</v>
      </c>
      <c r="J640" s="295" t="str">
        <f ca="1">IFERROR(_xlfn.XLOOKUP(B640,TabCalc[Ticker],TabCalc[Cur]),"")</f>
        <v/>
      </c>
      <c r="K640" s="1129" cm="1">
        <f t="array" ref="K640">IFERROR(IF($A640=$A639,0,SUM(_xlfn._xlws.FILTER($E640:$E650,($A640:$A650=$A640)*($J640:$J650=K$42)))),0)</f>
        <v>0</v>
      </c>
      <c r="L640" s="1129" cm="1">
        <f t="array" ref="L640">IFERROR(IF($A640=$A639,0,SUM(_xlfn._xlws.FILTER($E640:$E650,($A640:$A650=$A640)*($J640:$J650=L$42)))),0)</f>
        <v>0</v>
      </c>
      <c r="M640" s="1129" cm="1">
        <f t="array" ref="M640">IFERROR(IF($A640=$A639,0,SUM(_xlfn._xlws.FILTER($E640:$E650,($A640:$A650=$A640)*($J640:$J650=M$42)))),0)</f>
        <v>0</v>
      </c>
      <c r="N640" s="1129" cm="1">
        <f t="array" ref="N640">IFERROR(IF($A640=$A639,0,SUM(_xlfn._xlws.FILTER($E640:$E650,($A640:$A650=$A640)*($J640:$J650=N$42)))),0)</f>
        <v>0</v>
      </c>
    </row>
    <row r="641" spans="5:14">
      <c r="E641" s="1128">
        <f ca="1">IFERROR(C641*D641*_xlfn.XLOOKUP(B641,TabCalc[Ticker],TabCalc[Scale]),0)</f>
        <v>0</v>
      </c>
      <c r="F641" s="1129" cm="1">
        <f t="array" ref="F641">IF(A641=A640,0,SUM(_xlfn._xlws.FILTER(E641:E651,A641:A651=A641)))</f>
        <v>0</v>
      </c>
      <c r="G641" s="1130">
        <f>IF(F641&lt;&gt;0,SUM($F$43:F641),0)</f>
        <v>0</v>
      </c>
      <c r="H641" s="1130" cm="1">
        <f t="array" ref="H641">IFERROR(IF(A641=A640,0,SUM(_xlfn._xlws.FILTER(E641:E651,(A641:A651=A641)*(E641:E651&gt;0)))),0)</f>
        <v>0</v>
      </c>
      <c r="I641" s="1130" cm="1">
        <f t="array" ref="I641">IFERROR(IF(A641=A640,0,SUM(_xlfn._xlws.FILTER(E641:E651,(A641:A651=A641)*(F641&lt;0)))),0)</f>
        <v>0</v>
      </c>
      <c r="J641" s="295" t="str">
        <f ca="1">IFERROR(_xlfn.XLOOKUP(B641,TabCalc[Ticker],TabCalc[Cur]),"")</f>
        <v/>
      </c>
      <c r="K641" s="1129" cm="1">
        <f t="array" ref="K641">IFERROR(IF($A641=$A640,0,SUM(_xlfn._xlws.FILTER($E641:$E651,($A641:$A651=$A641)*($J641:$J651=K$42)))),0)</f>
        <v>0</v>
      </c>
      <c r="L641" s="1129" cm="1">
        <f t="array" ref="L641">IFERROR(IF($A641=$A640,0,SUM(_xlfn._xlws.FILTER($E641:$E651,($A641:$A651=$A641)*($J641:$J651=L$42)))),0)</f>
        <v>0</v>
      </c>
      <c r="M641" s="1129" cm="1">
        <f t="array" ref="M641">IFERROR(IF($A641=$A640,0,SUM(_xlfn._xlws.FILTER($E641:$E651,($A641:$A651=$A641)*($J641:$J651=M$42)))),0)</f>
        <v>0</v>
      </c>
      <c r="N641" s="1129" cm="1">
        <f t="array" ref="N641">IFERROR(IF($A641=$A640,0,SUM(_xlfn._xlws.FILTER($E641:$E651,($A641:$A651=$A641)*($J641:$J651=N$42)))),0)</f>
        <v>0</v>
      </c>
    </row>
    <row r="642" spans="5:14">
      <c r="E642" s="1128">
        <f ca="1">IFERROR(C642*D642*_xlfn.XLOOKUP(B642,TabCalc[Ticker],TabCalc[Scale]),0)</f>
        <v>0</v>
      </c>
      <c r="F642" s="1129" cm="1">
        <f t="array" ref="F642">IF(A642=A641,0,SUM(_xlfn._xlws.FILTER(E642:E652,A642:A652=A642)))</f>
        <v>0</v>
      </c>
      <c r="G642" s="1130">
        <f>IF(F642&lt;&gt;0,SUM($F$43:F642),0)</f>
        <v>0</v>
      </c>
      <c r="H642" s="1130" cm="1">
        <f t="array" ref="H642">IFERROR(IF(A642=A641,0,SUM(_xlfn._xlws.FILTER(E642:E652,(A642:A652=A642)*(E642:E652&gt;0)))),0)</f>
        <v>0</v>
      </c>
      <c r="I642" s="1130" cm="1">
        <f t="array" ref="I642">IFERROR(IF(A642=A641,0,SUM(_xlfn._xlws.FILTER(E642:E652,(A642:A652=A642)*(F642&lt;0)))),0)</f>
        <v>0</v>
      </c>
      <c r="J642" s="295" t="str">
        <f ca="1">IFERROR(_xlfn.XLOOKUP(B642,TabCalc[Ticker],TabCalc[Cur]),"")</f>
        <v/>
      </c>
      <c r="K642" s="1129" cm="1">
        <f t="array" ref="K642">IFERROR(IF($A642=$A641,0,SUM(_xlfn._xlws.FILTER($E642:$E652,($A642:$A652=$A642)*($J642:$J652=K$42)))),0)</f>
        <v>0</v>
      </c>
      <c r="L642" s="1129" cm="1">
        <f t="array" ref="L642">IFERROR(IF($A642=$A641,0,SUM(_xlfn._xlws.FILTER($E642:$E652,($A642:$A652=$A642)*($J642:$J652=L$42)))),0)</f>
        <v>0</v>
      </c>
      <c r="M642" s="1129" cm="1">
        <f t="array" ref="M642">IFERROR(IF($A642=$A641,0,SUM(_xlfn._xlws.FILTER($E642:$E652,($A642:$A652=$A642)*($J642:$J652=M$42)))),0)</f>
        <v>0</v>
      </c>
      <c r="N642" s="1129" cm="1">
        <f t="array" ref="N642">IFERROR(IF($A642=$A641,0,SUM(_xlfn._xlws.FILTER($E642:$E652,($A642:$A652=$A642)*($J642:$J652=N$42)))),0)</f>
        <v>0</v>
      </c>
    </row>
    <row r="643" spans="5:14">
      <c r="E643" s="1128">
        <f ca="1">IFERROR(C643*D643*_xlfn.XLOOKUP(B643,TabCalc[Ticker],TabCalc[Scale]),0)</f>
        <v>0</v>
      </c>
      <c r="F643" s="1129" cm="1">
        <f t="array" ref="F643">IF(A643=A642,0,SUM(_xlfn._xlws.FILTER(E643:E653,A643:A653=A643)))</f>
        <v>0</v>
      </c>
      <c r="G643" s="1130">
        <f>IF(F643&lt;&gt;0,SUM($F$43:F643),0)</f>
        <v>0</v>
      </c>
      <c r="H643" s="1130" cm="1">
        <f t="array" ref="H643">IFERROR(IF(A643=A642,0,SUM(_xlfn._xlws.FILTER(E643:E653,(A643:A653=A643)*(E643:E653&gt;0)))),0)</f>
        <v>0</v>
      </c>
      <c r="I643" s="1130" cm="1">
        <f t="array" ref="I643">IFERROR(IF(A643=A642,0,SUM(_xlfn._xlws.FILTER(E643:E653,(A643:A653=A643)*(F643&lt;0)))),0)</f>
        <v>0</v>
      </c>
      <c r="J643" s="295" t="str">
        <f ca="1">IFERROR(_xlfn.XLOOKUP(B643,TabCalc[Ticker],TabCalc[Cur]),"")</f>
        <v/>
      </c>
      <c r="K643" s="1129" cm="1">
        <f t="array" ref="K643">IFERROR(IF($A643=$A642,0,SUM(_xlfn._xlws.FILTER($E643:$E653,($A643:$A653=$A643)*($J643:$J653=K$42)))),0)</f>
        <v>0</v>
      </c>
      <c r="L643" s="1129" cm="1">
        <f t="array" ref="L643">IFERROR(IF($A643=$A642,0,SUM(_xlfn._xlws.FILTER($E643:$E653,($A643:$A653=$A643)*($J643:$J653=L$42)))),0)</f>
        <v>0</v>
      </c>
      <c r="M643" s="1129" cm="1">
        <f t="array" ref="M643">IFERROR(IF($A643=$A642,0,SUM(_xlfn._xlws.FILTER($E643:$E653,($A643:$A653=$A643)*($J643:$J653=M$42)))),0)</f>
        <v>0</v>
      </c>
      <c r="N643" s="1129" cm="1">
        <f t="array" ref="N643">IFERROR(IF($A643=$A642,0,SUM(_xlfn._xlws.FILTER($E643:$E653,($A643:$A653=$A643)*($J643:$J653=N$42)))),0)</f>
        <v>0</v>
      </c>
    </row>
    <row r="644" spans="5:14">
      <c r="E644" s="1128">
        <f ca="1">IFERROR(C644*D644*_xlfn.XLOOKUP(B644,TabCalc[Ticker],TabCalc[Scale]),0)</f>
        <v>0</v>
      </c>
      <c r="F644" s="1129" cm="1">
        <f t="array" ref="F644">IF(A644=A643,0,SUM(_xlfn._xlws.FILTER(E644:E654,A644:A654=A644)))</f>
        <v>0</v>
      </c>
      <c r="G644" s="1130">
        <f>IF(F644&lt;&gt;0,SUM($F$43:F644),0)</f>
        <v>0</v>
      </c>
      <c r="H644" s="1130" cm="1">
        <f t="array" ref="H644">IFERROR(IF(A644=A643,0,SUM(_xlfn._xlws.FILTER(E644:E654,(A644:A654=A644)*(E644:E654&gt;0)))),0)</f>
        <v>0</v>
      </c>
      <c r="I644" s="1130" cm="1">
        <f t="array" ref="I644">IFERROR(IF(A644=A643,0,SUM(_xlfn._xlws.FILTER(E644:E654,(A644:A654=A644)*(F644&lt;0)))),0)</f>
        <v>0</v>
      </c>
      <c r="J644" s="295" t="str">
        <f ca="1">IFERROR(_xlfn.XLOOKUP(B644,TabCalc[Ticker],TabCalc[Cur]),"")</f>
        <v/>
      </c>
      <c r="K644" s="1129" cm="1">
        <f t="array" ref="K644">IFERROR(IF($A644=$A643,0,SUM(_xlfn._xlws.FILTER($E644:$E654,($A644:$A654=$A644)*($J644:$J654=K$42)))),0)</f>
        <v>0</v>
      </c>
      <c r="L644" s="1129" cm="1">
        <f t="array" ref="L644">IFERROR(IF($A644=$A643,0,SUM(_xlfn._xlws.FILTER($E644:$E654,($A644:$A654=$A644)*($J644:$J654=L$42)))),0)</f>
        <v>0</v>
      </c>
      <c r="M644" s="1129" cm="1">
        <f t="array" ref="M644">IFERROR(IF($A644=$A643,0,SUM(_xlfn._xlws.FILTER($E644:$E654,($A644:$A654=$A644)*($J644:$J654=M$42)))),0)</f>
        <v>0</v>
      </c>
      <c r="N644" s="1129" cm="1">
        <f t="array" ref="N644">IFERROR(IF($A644=$A643,0,SUM(_xlfn._xlws.FILTER($E644:$E654,($A644:$A654=$A644)*($J644:$J654=N$42)))),0)</f>
        <v>0</v>
      </c>
    </row>
    <row r="645" spans="5:14">
      <c r="E645" s="1128">
        <f ca="1">IFERROR(C645*D645*_xlfn.XLOOKUP(B645,TabCalc[Ticker],TabCalc[Scale]),0)</f>
        <v>0</v>
      </c>
      <c r="F645" s="1129" cm="1">
        <f t="array" ref="F645">IF(A645=A644,0,SUM(_xlfn._xlws.FILTER(E645:E655,A645:A655=A645)))</f>
        <v>0</v>
      </c>
      <c r="G645" s="1130">
        <f>IF(F645&lt;&gt;0,SUM($F$43:F645),0)</f>
        <v>0</v>
      </c>
      <c r="H645" s="1130" cm="1">
        <f t="array" ref="H645">IFERROR(IF(A645=A644,0,SUM(_xlfn._xlws.FILTER(E645:E655,(A645:A655=A645)*(E645:E655&gt;0)))),0)</f>
        <v>0</v>
      </c>
      <c r="I645" s="1130" cm="1">
        <f t="array" ref="I645">IFERROR(IF(A645=A644,0,SUM(_xlfn._xlws.FILTER(E645:E655,(A645:A655=A645)*(F645&lt;0)))),0)</f>
        <v>0</v>
      </c>
      <c r="J645" s="295" t="str">
        <f ca="1">IFERROR(_xlfn.XLOOKUP(B645,TabCalc[Ticker],TabCalc[Cur]),"")</f>
        <v/>
      </c>
      <c r="K645" s="1129" cm="1">
        <f t="array" ref="K645">IFERROR(IF($A645=$A644,0,SUM(_xlfn._xlws.FILTER($E645:$E655,($A645:$A655=$A645)*($J645:$J655=K$42)))),0)</f>
        <v>0</v>
      </c>
      <c r="L645" s="1129" cm="1">
        <f t="array" ref="L645">IFERROR(IF($A645=$A644,0,SUM(_xlfn._xlws.FILTER($E645:$E655,($A645:$A655=$A645)*($J645:$J655=L$42)))),0)</f>
        <v>0</v>
      </c>
      <c r="M645" s="1129" cm="1">
        <f t="array" ref="M645">IFERROR(IF($A645=$A644,0,SUM(_xlfn._xlws.FILTER($E645:$E655,($A645:$A655=$A645)*($J645:$J655=M$42)))),0)</f>
        <v>0</v>
      </c>
      <c r="N645" s="1129" cm="1">
        <f t="array" ref="N645">IFERROR(IF($A645=$A644,0,SUM(_xlfn._xlws.FILTER($E645:$E655,($A645:$A655=$A645)*($J645:$J655=N$42)))),0)</f>
        <v>0</v>
      </c>
    </row>
    <row r="646" spans="5:14">
      <c r="E646" s="1128">
        <f ca="1">IFERROR(C646*D646*_xlfn.XLOOKUP(B646,TabCalc[Ticker],TabCalc[Scale]),0)</f>
        <v>0</v>
      </c>
      <c r="F646" s="1129" cm="1">
        <f t="array" ref="F646">IF(A646=A645,0,SUM(_xlfn._xlws.FILTER(E646:E656,A646:A656=A646)))</f>
        <v>0</v>
      </c>
      <c r="G646" s="1130">
        <f>IF(F646&lt;&gt;0,SUM($F$43:F646),0)</f>
        <v>0</v>
      </c>
      <c r="H646" s="1130" cm="1">
        <f t="array" ref="H646">IFERROR(IF(A646=A645,0,SUM(_xlfn._xlws.FILTER(E646:E656,(A646:A656=A646)*(E646:E656&gt;0)))),0)</f>
        <v>0</v>
      </c>
      <c r="I646" s="1130" cm="1">
        <f t="array" ref="I646">IFERROR(IF(A646=A645,0,SUM(_xlfn._xlws.FILTER(E646:E656,(A646:A656=A646)*(F646&lt;0)))),0)</f>
        <v>0</v>
      </c>
      <c r="J646" s="295" t="str">
        <f ca="1">IFERROR(_xlfn.XLOOKUP(B646,TabCalc[Ticker],TabCalc[Cur]),"")</f>
        <v/>
      </c>
      <c r="K646" s="1129" cm="1">
        <f t="array" ref="K646">IFERROR(IF($A646=$A645,0,SUM(_xlfn._xlws.FILTER($E646:$E656,($A646:$A656=$A646)*($J646:$J656=K$42)))),0)</f>
        <v>0</v>
      </c>
      <c r="L646" s="1129" cm="1">
        <f t="array" ref="L646">IFERROR(IF($A646=$A645,0,SUM(_xlfn._xlws.FILTER($E646:$E656,($A646:$A656=$A646)*($J646:$J656=L$42)))),0)</f>
        <v>0</v>
      </c>
      <c r="M646" s="1129" cm="1">
        <f t="array" ref="M646">IFERROR(IF($A646=$A645,0,SUM(_xlfn._xlws.FILTER($E646:$E656,($A646:$A656=$A646)*($J646:$J656=M$42)))),0)</f>
        <v>0</v>
      </c>
      <c r="N646" s="1129" cm="1">
        <f t="array" ref="N646">IFERROR(IF($A646=$A645,0,SUM(_xlfn._xlws.FILTER($E646:$E656,($A646:$A656=$A646)*($J646:$J656=N$42)))),0)</f>
        <v>0</v>
      </c>
    </row>
    <row r="647" spans="5:14">
      <c r="E647" s="1128">
        <f ca="1">IFERROR(C647*D647*_xlfn.XLOOKUP(B647,TabCalc[Ticker],TabCalc[Scale]),0)</f>
        <v>0</v>
      </c>
      <c r="F647" s="1129" cm="1">
        <f t="array" ref="F647">IF(A647=A646,0,SUM(_xlfn._xlws.FILTER(E647:E657,A647:A657=A647)))</f>
        <v>0</v>
      </c>
      <c r="G647" s="1130">
        <f>IF(F647&lt;&gt;0,SUM($F$43:F647),0)</f>
        <v>0</v>
      </c>
      <c r="H647" s="1130" cm="1">
        <f t="array" ref="H647">IFERROR(IF(A647=A646,0,SUM(_xlfn._xlws.FILTER(E647:E657,(A647:A657=A647)*(E647:E657&gt;0)))),0)</f>
        <v>0</v>
      </c>
      <c r="I647" s="1130" cm="1">
        <f t="array" ref="I647">IFERROR(IF(A647=A646,0,SUM(_xlfn._xlws.FILTER(E647:E657,(A647:A657=A647)*(F647&lt;0)))),0)</f>
        <v>0</v>
      </c>
      <c r="J647" s="295" t="str">
        <f ca="1">IFERROR(_xlfn.XLOOKUP(B647,TabCalc[Ticker],TabCalc[Cur]),"")</f>
        <v/>
      </c>
      <c r="K647" s="1129" cm="1">
        <f t="array" ref="K647">IFERROR(IF($A647=$A646,0,SUM(_xlfn._xlws.FILTER($E647:$E657,($A647:$A657=$A647)*($J647:$J657=K$42)))),0)</f>
        <v>0</v>
      </c>
      <c r="L647" s="1129" cm="1">
        <f t="array" ref="L647">IFERROR(IF($A647=$A646,0,SUM(_xlfn._xlws.FILTER($E647:$E657,($A647:$A657=$A647)*($J647:$J657=L$42)))),0)</f>
        <v>0</v>
      </c>
      <c r="M647" s="1129" cm="1">
        <f t="array" ref="M647">IFERROR(IF($A647=$A646,0,SUM(_xlfn._xlws.FILTER($E647:$E657,($A647:$A657=$A647)*($J647:$J657=M$42)))),0)</f>
        <v>0</v>
      </c>
      <c r="N647" s="1129" cm="1">
        <f t="array" ref="N647">IFERROR(IF($A647=$A646,0,SUM(_xlfn._xlws.FILTER($E647:$E657,($A647:$A657=$A647)*($J647:$J657=N$42)))),0)</f>
        <v>0</v>
      </c>
    </row>
    <row r="648" spans="5:14">
      <c r="E648" s="1128">
        <f ca="1">IFERROR(C648*D648*_xlfn.XLOOKUP(B648,TabCalc[Ticker],TabCalc[Scale]),0)</f>
        <v>0</v>
      </c>
      <c r="F648" s="1129" cm="1">
        <f t="array" ref="F648">IF(A648=A647,0,SUM(_xlfn._xlws.FILTER(E648:E658,A648:A658=A648)))</f>
        <v>0</v>
      </c>
      <c r="G648" s="1130">
        <f>IF(F648&lt;&gt;0,SUM($F$43:F648),0)</f>
        <v>0</v>
      </c>
      <c r="H648" s="1130" cm="1">
        <f t="array" ref="H648">IFERROR(IF(A648=A647,0,SUM(_xlfn._xlws.FILTER(E648:E658,(A648:A658=A648)*(E648:E658&gt;0)))),0)</f>
        <v>0</v>
      </c>
      <c r="I648" s="1130" cm="1">
        <f t="array" ref="I648">IFERROR(IF(A648=A647,0,SUM(_xlfn._xlws.FILTER(E648:E658,(A648:A658=A648)*(F648&lt;0)))),0)</f>
        <v>0</v>
      </c>
      <c r="J648" s="295" t="str">
        <f ca="1">IFERROR(_xlfn.XLOOKUP(B648,TabCalc[Ticker],TabCalc[Cur]),"")</f>
        <v/>
      </c>
      <c r="K648" s="1129" cm="1">
        <f t="array" ref="K648">IFERROR(IF($A648=$A647,0,SUM(_xlfn._xlws.FILTER($E648:$E658,($A648:$A658=$A648)*($J648:$J658=K$42)))),0)</f>
        <v>0</v>
      </c>
      <c r="L648" s="1129" cm="1">
        <f t="array" ref="L648">IFERROR(IF($A648=$A647,0,SUM(_xlfn._xlws.FILTER($E648:$E658,($A648:$A658=$A648)*($J648:$J658=L$42)))),0)</f>
        <v>0</v>
      </c>
      <c r="M648" s="1129" cm="1">
        <f t="array" ref="M648">IFERROR(IF($A648=$A647,0,SUM(_xlfn._xlws.FILTER($E648:$E658,($A648:$A658=$A648)*($J648:$J658=M$42)))),0)</f>
        <v>0</v>
      </c>
      <c r="N648" s="1129" cm="1">
        <f t="array" ref="N648">IFERROR(IF($A648=$A647,0,SUM(_xlfn._xlws.FILTER($E648:$E658,($A648:$A658=$A648)*($J648:$J658=N$42)))),0)</f>
        <v>0</v>
      </c>
    </row>
    <row r="649" spans="5:14">
      <c r="E649" s="1128">
        <f ca="1">IFERROR(C649*D649*_xlfn.XLOOKUP(B649,TabCalc[Ticker],TabCalc[Scale]),0)</f>
        <v>0</v>
      </c>
      <c r="F649" s="1129" cm="1">
        <f t="array" ref="F649">IF(A649=A648,0,SUM(_xlfn._xlws.FILTER(E649:E659,A649:A659=A649)))</f>
        <v>0</v>
      </c>
      <c r="G649" s="1130">
        <f>IF(F649&lt;&gt;0,SUM($F$43:F649),0)</f>
        <v>0</v>
      </c>
      <c r="H649" s="1130" cm="1">
        <f t="array" ref="H649">IFERROR(IF(A649=A648,0,SUM(_xlfn._xlws.FILTER(E649:E659,(A649:A659=A649)*(E649:E659&gt;0)))),0)</f>
        <v>0</v>
      </c>
      <c r="I649" s="1130" cm="1">
        <f t="array" ref="I649">IFERROR(IF(A649=A648,0,SUM(_xlfn._xlws.FILTER(E649:E659,(A649:A659=A649)*(F649&lt;0)))),0)</f>
        <v>0</v>
      </c>
      <c r="J649" s="295" t="str">
        <f ca="1">IFERROR(_xlfn.XLOOKUP(B649,TabCalc[Ticker],TabCalc[Cur]),"")</f>
        <v/>
      </c>
      <c r="K649" s="1129" cm="1">
        <f t="array" ref="K649">IFERROR(IF($A649=$A648,0,SUM(_xlfn._xlws.FILTER($E649:$E659,($A649:$A659=$A649)*($J649:$J659=K$42)))),0)</f>
        <v>0</v>
      </c>
      <c r="L649" s="1129" cm="1">
        <f t="array" ref="L649">IFERROR(IF($A649=$A648,0,SUM(_xlfn._xlws.FILTER($E649:$E659,($A649:$A659=$A649)*($J649:$J659=L$42)))),0)</f>
        <v>0</v>
      </c>
      <c r="M649" s="1129" cm="1">
        <f t="array" ref="M649">IFERROR(IF($A649=$A648,0,SUM(_xlfn._xlws.FILTER($E649:$E659,($A649:$A659=$A649)*($J649:$J659=M$42)))),0)</f>
        <v>0</v>
      </c>
      <c r="N649" s="1129" cm="1">
        <f t="array" ref="N649">IFERROR(IF($A649=$A648,0,SUM(_xlfn._xlws.FILTER($E649:$E659,($A649:$A659=$A649)*($J649:$J659=N$42)))),0)</f>
        <v>0</v>
      </c>
    </row>
    <row r="650" spans="5:14">
      <c r="E650" s="1128">
        <f ca="1">IFERROR(C650*D650*_xlfn.XLOOKUP(B650,TabCalc[Ticker],TabCalc[Scale]),0)</f>
        <v>0</v>
      </c>
      <c r="F650" s="1129" cm="1">
        <f t="array" ref="F650">IF(A650=A649,0,SUM(_xlfn._xlws.FILTER(E650:E660,A650:A660=A650)))</f>
        <v>0</v>
      </c>
      <c r="G650" s="1130">
        <f>IF(F650&lt;&gt;0,SUM($F$43:F650),0)</f>
        <v>0</v>
      </c>
      <c r="H650" s="1130" cm="1">
        <f t="array" ref="H650">IFERROR(IF(A650=A649,0,SUM(_xlfn._xlws.FILTER(E650:E660,(A650:A660=A650)*(E650:E660&gt;0)))),0)</f>
        <v>0</v>
      </c>
      <c r="I650" s="1130" cm="1">
        <f t="array" ref="I650">IFERROR(IF(A650=A649,0,SUM(_xlfn._xlws.FILTER(E650:E660,(A650:A660=A650)*(F650&lt;0)))),0)</f>
        <v>0</v>
      </c>
      <c r="J650" s="295" t="str">
        <f ca="1">IFERROR(_xlfn.XLOOKUP(B650,TabCalc[Ticker],TabCalc[Cur]),"")</f>
        <v/>
      </c>
      <c r="K650" s="1129" cm="1">
        <f t="array" ref="K650">IFERROR(IF($A650=$A649,0,SUM(_xlfn._xlws.FILTER($E650:$E660,($A650:$A660=$A650)*($J650:$J660=K$42)))),0)</f>
        <v>0</v>
      </c>
      <c r="L650" s="1129" cm="1">
        <f t="array" ref="L650">IFERROR(IF($A650=$A649,0,SUM(_xlfn._xlws.FILTER($E650:$E660,($A650:$A660=$A650)*($J650:$J660=L$42)))),0)</f>
        <v>0</v>
      </c>
      <c r="M650" s="1129" cm="1">
        <f t="array" ref="M650">IFERROR(IF($A650=$A649,0,SUM(_xlfn._xlws.FILTER($E650:$E660,($A650:$A660=$A650)*($J650:$J660=M$42)))),0)</f>
        <v>0</v>
      </c>
      <c r="N650" s="1129" cm="1">
        <f t="array" ref="N650">IFERROR(IF($A650=$A649,0,SUM(_xlfn._xlws.FILTER($E650:$E660,($A650:$A660=$A650)*($J650:$J660=N$42)))),0)</f>
        <v>0</v>
      </c>
    </row>
    <row r="651" spans="5:14">
      <c r="E651" s="1128">
        <f ca="1">IFERROR(C651*D651*_xlfn.XLOOKUP(B651,TabCalc[Ticker],TabCalc[Scale]),0)</f>
        <v>0</v>
      </c>
      <c r="F651" s="1129" cm="1">
        <f t="array" ref="F651">IF(A651=A650,0,SUM(_xlfn._xlws.FILTER(E651:E661,A651:A661=A651)))</f>
        <v>0</v>
      </c>
      <c r="G651" s="1130">
        <f>IF(F651&lt;&gt;0,SUM($F$43:F651),0)</f>
        <v>0</v>
      </c>
      <c r="H651" s="1130" cm="1">
        <f t="array" ref="H651">IFERROR(IF(A651=A650,0,SUM(_xlfn._xlws.FILTER(E651:E661,(A651:A661=A651)*(E651:E661&gt;0)))),0)</f>
        <v>0</v>
      </c>
      <c r="I651" s="1130" cm="1">
        <f t="array" ref="I651">IFERROR(IF(A651=A650,0,SUM(_xlfn._xlws.FILTER(E651:E661,(A651:A661=A651)*(F651&lt;0)))),0)</f>
        <v>0</v>
      </c>
      <c r="J651" s="295" t="str">
        <f ca="1">IFERROR(_xlfn.XLOOKUP(B651,TabCalc[Ticker],TabCalc[Cur]),"")</f>
        <v/>
      </c>
      <c r="K651" s="1129" cm="1">
        <f t="array" ref="K651">IFERROR(IF($A651=$A650,0,SUM(_xlfn._xlws.FILTER($E651:$E661,($A651:$A661=$A651)*($J651:$J661=K$42)))),0)</f>
        <v>0</v>
      </c>
      <c r="L651" s="1129" cm="1">
        <f t="array" ref="L651">IFERROR(IF($A651=$A650,0,SUM(_xlfn._xlws.FILTER($E651:$E661,($A651:$A661=$A651)*($J651:$J661=L$42)))),0)</f>
        <v>0</v>
      </c>
      <c r="M651" s="1129" cm="1">
        <f t="array" ref="M651">IFERROR(IF($A651=$A650,0,SUM(_xlfn._xlws.FILTER($E651:$E661,($A651:$A661=$A651)*($J651:$J661=M$42)))),0)</f>
        <v>0</v>
      </c>
      <c r="N651" s="1129" cm="1">
        <f t="array" ref="N651">IFERROR(IF($A651=$A650,0,SUM(_xlfn._xlws.FILTER($E651:$E661,($A651:$A661=$A651)*($J651:$J661=N$42)))),0)</f>
        <v>0</v>
      </c>
    </row>
    <row r="652" spans="5:14">
      <c r="E652" s="1128">
        <f ca="1">IFERROR(C652*D652*_xlfn.XLOOKUP(B652,TabCalc[Ticker],TabCalc[Scale]),0)</f>
        <v>0</v>
      </c>
      <c r="F652" s="1129" cm="1">
        <f t="array" ref="F652">IF(A652=A651,0,SUM(_xlfn._xlws.FILTER(E652:E662,A652:A662=A652)))</f>
        <v>0</v>
      </c>
      <c r="G652" s="1130">
        <f>IF(F652&lt;&gt;0,SUM($F$43:F652),0)</f>
        <v>0</v>
      </c>
      <c r="H652" s="1130" cm="1">
        <f t="array" ref="H652">IFERROR(IF(A652=A651,0,SUM(_xlfn._xlws.FILTER(E652:E662,(A652:A662=A652)*(E652:E662&gt;0)))),0)</f>
        <v>0</v>
      </c>
      <c r="I652" s="1130" cm="1">
        <f t="array" ref="I652">IFERROR(IF(A652=A651,0,SUM(_xlfn._xlws.FILTER(E652:E662,(A652:A662=A652)*(F652&lt;0)))),0)</f>
        <v>0</v>
      </c>
      <c r="J652" s="295" t="str">
        <f ca="1">IFERROR(_xlfn.XLOOKUP(B652,TabCalc[Ticker],TabCalc[Cur]),"")</f>
        <v/>
      </c>
      <c r="K652" s="1129" cm="1">
        <f t="array" ref="K652">IFERROR(IF($A652=$A651,0,SUM(_xlfn._xlws.FILTER($E652:$E662,($A652:$A662=$A652)*($J652:$J662=K$42)))),0)</f>
        <v>0</v>
      </c>
      <c r="L652" s="1129" cm="1">
        <f t="array" ref="L652">IFERROR(IF($A652=$A651,0,SUM(_xlfn._xlws.FILTER($E652:$E662,($A652:$A662=$A652)*($J652:$J662=L$42)))),0)</f>
        <v>0</v>
      </c>
      <c r="M652" s="1129" cm="1">
        <f t="array" ref="M652">IFERROR(IF($A652=$A651,0,SUM(_xlfn._xlws.FILTER($E652:$E662,($A652:$A662=$A652)*($J652:$J662=M$42)))),0)</f>
        <v>0</v>
      </c>
      <c r="N652" s="1129" cm="1">
        <f t="array" ref="N652">IFERROR(IF($A652=$A651,0,SUM(_xlfn._xlws.FILTER($E652:$E662,($A652:$A662=$A652)*($J652:$J662=N$42)))),0)</f>
        <v>0</v>
      </c>
    </row>
    <row r="653" spans="5:14">
      <c r="E653" s="1128">
        <f ca="1">IFERROR(C653*D653*_xlfn.XLOOKUP(B653,TabCalc[Ticker],TabCalc[Scale]),0)</f>
        <v>0</v>
      </c>
      <c r="F653" s="1129" cm="1">
        <f t="array" ref="F653">IF(A653=A652,0,SUM(_xlfn._xlws.FILTER(E653:E663,A653:A663=A653)))</f>
        <v>0</v>
      </c>
      <c r="G653" s="1130">
        <f>IF(F653&lt;&gt;0,SUM($F$43:F653),0)</f>
        <v>0</v>
      </c>
      <c r="H653" s="1130" cm="1">
        <f t="array" ref="H653">IFERROR(IF(A653=A652,0,SUM(_xlfn._xlws.FILTER(E653:E663,(A653:A663=A653)*(E653:E663&gt;0)))),0)</f>
        <v>0</v>
      </c>
      <c r="I653" s="1130" cm="1">
        <f t="array" ref="I653">IFERROR(IF(A653=A652,0,SUM(_xlfn._xlws.FILTER(E653:E663,(A653:A663=A653)*(F653&lt;0)))),0)</f>
        <v>0</v>
      </c>
      <c r="J653" s="295" t="str">
        <f ca="1">IFERROR(_xlfn.XLOOKUP(B653,TabCalc[Ticker],TabCalc[Cur]),"")</f>
        <v/>
      </c>
      <c r="K653" s="1129" cm="1">
        <f t="array" ref="K653">IFERROR(IF($A653=$A652,0,SUM(_xlfn._xlws.FILTER($E653:$E663,($A653:$A663=$A653)*($J653:$J663=K$42)))),0)</f>
        <v>0</v>
      </c>
      <c r="L653" s="1129" cm="1">
        <f t="array" ref="L653">IFERROR(IF($A653=$A652,0,SUM(_xlfn._xlws.FILTER($E653:$E663,($A653:$A663=$A653)*($J653:$J663=L$42)))),0)</f>
        <v>0</v>
      </c>
      <c r="M653" s="1129" cm="1">
        <f t="array" ref="M653">IFERROR(IF($A653=$A652,0,SUM(_xlfn._xlws.FILTER($E653:$E663,($A653:$A663=$A653)*($J653:$J663=M$42)))),0)</f>
        <v>0</v>
      </c>
      <c r="N653" s="1129" cm="1">
        <f t="array" ref="N653">IFERROR(IF($A653=$A652,0,SUM(_xlfn._xlws.FILTER($E653:$E663,($A653:$A663=$A653)*($J653:$J663=N$42)))),0)</f>
        <v>0</v>
      </c>
    </row>
    <row r="654" spans="5:14">
      <c r="E654" s="1128">
        <f ca="1">IFERROR(C654*D654*_xlfn.XLOOKUP(B654,TabCalc[Ticker],TabCalc[Scale]),0)</f>
        <v>0</v>
      </c>
      <c r="F654" s="1129" cm="1">
        <f t="array" ref="F654">IF(A654=A653,0,SUM(_xlfn._xlws.FILTER(E654:E664,A654:A664=A654)))</f>
        <v>0</v>
      </c>
      <c r="G654" s="1130">
        <f>IF(F654&lt;&gt;0,SUM($F$43:F654),0)</f>
        <v>0</v>
      </c>
      <c r="H654" s="1130" cm="1">
        <f t="array" ref="H654">IFERROR(IF(A654=A653,0,SUM(_xlfn._xlws.FILTER(E654:E664,(A654:A664=A654)*(E654:E664&gt;0)))),0)</f>
        <v>0</v>
      </c>
      <c r="I654" s="1130" cm="1">
        <f t="array" ref="I654">IFERROR(IF(A654=A653,0,SUM(_xlfn._xlws.FILTER(E654:E664,(A654:A664=A654)*(F654&lt;0)))),0)</f>
        <v>0</v>
      </c>
      <c r="J654" s="295" t="str">
        <f ca="1">IFERROR(_xlfn.XLOOKUP(B654,TabCalc[Ticker],TabCalc[Cur]),"")</f>
        <v/>
      </c>
      <c r="K654" s="1129" cm="1">
        <f t="array" ref="K654">IFERROR(IF($A654=$A653,0,SUM(_xlfn._xlws.FILTER($E654:$E664,($A654:$A664=$A654)*($J654:$J664=K$42)))),0)</f>
        <v>0</v>
      </c>
      <c r="L654" s="1129" cm="1">
        <f t="array" ref="L654">IFERROR(IF($A654=$A653,0,SUM(_xlfn._xlws.FILTER($E654:$E664,($A654:$A664=$A654)*($J654:$J664=L$42)))),0)</f>
        <v>0</v>
      </c>
      <c r="M654" s="1129" cm="1">
        <f t="array" ref="M654">IFERROR(IF($A654=$A653,0,SUM(_xlfn._xlws.FILTER($E654:$E664,($A654:$A664=$A654)*($J654:$J664=M$42)))),0)</f>
        <v>0</v>
      </c>
      <c r="N654" s="1129" cm="1">
        <f t="array" ref="N654">IFERROR(IF($A654=$A653,0,SUM(_xlfn._xlws.FILTER($E654:$E664,($A654:$A664=$A654)*($J654:$J664=N$42)))),0)</f>
        <v>0</v>
      </c>
    </row>
    <row r="655" spans="5:14">
      <c r="E655" s="1128">
        <f ca="1">IFERROR(C655*D655*_xlfn.XLOOKUP(B655,TabCalc[Ticker],TabCalc[Scale]),0)</f>
        <v>0</v>
      </c>
      <c r="F655" s="1129" cm="1">
        <f t="array" ref="F655">IF(A655=A654,0,SUM(_xlfn._xlws.FILTER(E655:E665,A655:A665=A655)))</f>
        <v>0</v>
      </c>
      <c r="G655" s="1130">
        <f>IF(F655&lt;&gt;0,SUM($F$43:F655),0)</f>
        <v>0</v>
      </c>
      <c r="H655" s="1130" cm="1">
        <f t="array" ref="H655">IFERROR(IF(A655=A654,0,SUM(_xlfn._xlws.FILTER(E655:E665,(A655:A665=A655)*(E655:E665&gt;0)))),0)</f>
        <v>0</v>
      </c>
      <c r="I655" s="1130" cm="1">
        <f t="array" ref="I655">IFERROR(IF(A655=A654,0,SUM(_xlfn._xlws.FILTER(E655:E665,(A655:A665=A655)*(F655&lt;0)))),0)</f>
        <v>0</v>
      </c>
      <c r="J655" s="295" t="str">
        <f ca="1">IFERROR(_xlfn.XLOOKUP(B655,TabCalc[Ticker],TabCalc[Cur]),"")</f>
        <v/>
      </c>
      <c r="K655" s="1129" cm="1">
        <f t="array" ref="K655">IFERROR(IF($A655=$A654,0,SUM(_xlfn._xlws.FILTER($E655:$E665,($A655:$A665=$A655)*($J655:$J665=K$42)))),0)</f>
        <v>0</v>
      </c>
      <c r="L655" s="1129" cm="1">
        <f t="array" ref="L655">IFERROR(IF($A655=$A654,0,SUM(_xlfn._xlws.FILTER($E655:$E665,($A655:$A665=$A655)*($J655:$J665=L$42)))),0)</f>
        <v>0</v>
      </c>
      <c r="M655" s="1129" cm="1">
        <f t="array" ref="M655">IFERROR(IF($A655=$A654,0,SUM(_xlfn._xlws.FILTER($E655:$E665,($A655:$A665=$A655)*($J655:$J665=M$42)))),0)</f>
        <v>0</v>
      </c>
      <c r="N655" s="1129" cm="1">
        <f t="array" ref="N655">IFERROR(IF($A655=$A654,0,SUM(_xlfn._xlws.FILTER($E655:$E665,($A655:$A665=$A655)*($J655:$J665=N$42)))),0)</f>
        <v>0</v>
      </c>
    </row>
    <row r="656" spans="5:14">
      <c r="E656" s="1128">
        <f ca="1">IFERROR(C656*D656*_xlfn.XLOOKUP(B656,TabCalc[Ticker],TabCalc[Scale]),0)</f>
        <v>0</v>
      </c>
      <c r="F656" s="1129" cm="1">
        <f t="array" ref="F656">IF(A656=A655,0,SUM(_xlfn._xlws.FILTER(E656:E666,A656:A666=A656)))</f>
        <v>0</v>
      </c>
      <c r="G656" s="1130">
        <f>IF(F656&lt;&gt;0,SUM($F$43:F656),0)</f>
        <v>0</v>
      </c>
      <c r="H656" s="1130" cm="1">
        <f t="array" ref="H656">IFERROR(IF(A656=A655,0,SUM(_xlfn._xlws.FILTER(E656:E666,(A656:A666=A656)*(E656:E666&gt;0)))),0)</f>
        <v>0</v>
      </c>
      <c r="I656" s="1130" cm="1">
        <f t="array" ref="I656">IFERROR(IF(A656=A655,0,SUM(_xlfn._xlws.FILTER(E656:E666,(A656:A666=A656)*(F656&lt;0)))),0)</f>
        <v>0</v>
      </c>
      <c r="J656" s="295" t="str">
        <f ca="1">IFERROR(_xlfn.XLOOKUP(B656,TabCalc[Ticker],TabCalc[Cur]),"")</f>
        <v/>
      </c>
      <c r="K656" s="1129" cm="1">
        <f t="array" ref="K656">IFERROR(IF($A656=$A655,0,SUM(_xlfn._xlws.FILTER($E656:$E666,($A656:$A666=$A656)*($J656:$J666=K$42)))),0)</f>
        <v>0</v>
      </c>
      <c r="L656" s="1129" cm="1">
        <f t="array" ref="L656">IFERROR(IF($A656=$A655,0,SUM(_xlfn._xlws.FILTER($E656:$E666,($A656:$A666=$A656)*($J656:$J666=L$42)))),0)</f>
        <v>0</v>
      </c>
      <c r="M656" s="1129" cm="1">
        <f t="array" ref="M656">IFERROR(IF($A656=$A655,0,SUM(_xlfn._xlws.FILTER($E656:$E666,($A656:$A666=$A656)*($J656:$J666=M$42)))),0)</f>
        <v>0</v>
      </c>
      <c r="N656" s="1129" cm="1">
        <f t="array" ref="N656">IFERROR(IF($A656=$A655,0,SUM(_xlfn._xlws.FILTER($E656:$E666,($A656:$A666=$A656)*($J656:$J666=N$42)))),0)</f>
        <v>0</v>
      </c>
    </row>
    <row r="657" spans="5:14">
      <c r="E657" s="1128">
        <f ca="1">IFERROR(C657*D657*_xlfn.XLOOKUP(B657,TabCalc[Ticker],TabCalc[Scale]),0)</f>
        <v>0</v>
      </c>
      <c r="F657" s="1129" cm="1">
        <f t="array" ref="F657">IF(A657=A656,0,SUM(_xlfn._xlws.FILTER(E657:E667,A657:A667=A657)))</f>
        <v>0</v>
      </c>
      <c r="G657" s="1130">
        <f>IF(F657&lt;&gt;0,SUM($F$43:F657),0)</f>
        <v>0</v>
      </c>
      <c r="H657" s="1130" cm="1">
        <f t="array" ref="H657">IFERROR(IF(A657=A656,0,SUM(_xlfn._xlws.FILTER(E657:E667,(A657:A667=A657)*(E657:E667&gt;0)))),0)</f>
        <v>0</v>
      </c>
      <c r="I657" s="1130" cm="1">
        <f t="array" ref="I657">IFERROR(IF(A657=A656,0,SUM(_xlfn._xlws.FILTER(E657:E667,(A657:A667=A657)*(F657&lt;0)))),0)</f>
        <v>0</v>
      </c>
      <c r="J657" s="295" t="str">
        <f ca="1">IFERROR(_xlfn.XLOOKUP(B657,TabCalc[Ticker],TabCalc[Cur]),"")</f>
        <v/>
      </c>
      <c r="K657" s="1129" cm="1">
        <f t="array" ref="K657">IFERROR(IF($A657=$A656,0,SUM(_xlfn._xlws.FILTER($E657:$E667,($A657:$A667=$A657)*($J657:$J667=K$42)))),0)</f>
        <v>0</v>
      </c>
      <c r="L657" s="1129" cm="1">
        <f t="array" ref="L657">IFERROR(IF($A657=$A656,0,SUM(_xlfn._xlws.FILTER($E657:$E667,($A657:$A667=$A657)*($J657:$J667=L$42)))),0)</f>
        <v>0</v>
      </c>
      <c r="M657" s="1129" cm="1">
        <f t="array" ref="M657">IFERROR(IF($A657=$A656,0,SUM(_xlfn._xlws.FILTER($E657:$E667,($A657:$A667=$A657)*($J657:$J667=M$42)))),0)</f>
        <v>0</v>
      </c>
      <c r="N657" s="1129" cm="1">
        <f t="array" ref="N657">IFERROR(IF($A657=$A656,0,SUM(_xlfn._xlws.FILTER($E657:$E667,($A657:$A667=$A657)*($J657:$J667=N$42)))),0)</f>
        <v>0</v>
      </c>
    </row>
    <row r="658" spans="5:14">
      <c r="E658" s="1128">
        <f ca="1">IFERROR(C658*D658*_xlfn.XLOOKUP(B658,TabCalc[Ticker],TabCalc[Scale]),0)</f>
        <v>0</v>
      </c>
      <c r="F658" s="1129" cm="1">
        <f t="array" ref="F658">IF(A658=A657,0,SUM(_xlfn._xlws.FILTER(E658:E668,A658:A668=A658)))</f>
        <v>0</v>
      </c>
      <c r="G658" s="1130">
        <f>IF(F658&lt;&gt;0,SUM($F$43:F658),0)</f>
        <v>0</v>
      </c>
      <c r="H658" s="1130" cm="1">
        <f t="array" ref="H658">IFERROR(IF(A658=A657,0,SUM(_xlfn._xlws.FILTER(E658:E668,(A658:A668=A658)*(E658:E668&gt;0)))),0)</f>
        <v>0</v>
      </c>
      <c r="I658" s="1130" cm="1">
        <f t="array" ref="I658">IFERROR(IF(A658=A657,0,SUM(_xlfn._xlws.FILTER(E658:E668,(A658:A668=A658)*(F658&lt;0)))),0)</f>
        <v>0</v>
      </c>
      <c r="J658" s="295" t="str">
        <f ca="1">IFERROR(_xlfn.XLOOKUP(B658,TabCalc[Ticker],TabCalc[Cur]),"")</f>
        <v/>
      </c>
      <c r="K658" s="1129" cm="1">
        <f t="array" ref="K658">IFERROR(IF($A658=$A657,0,SUM(_xlfn._xlws.FILTER($E658:$E668,($A658:$A668=$A658)*($J658:$J668=K$42)))),0)</f>
        <v>0</v>
      </c>
      <c r="L658" s="1129" cm="1">
        <f t="array" ref="L658">IFERROR(IF($A658=$A657,0,SUM(_xlfn._xlws.FILTER($E658:$E668,($A658:$A668=$A658)*($J658:$J668=L$42)))),0)</f>
        <v>0</v>
      </c>
      <c r="M658" s="1129" cm="1">
        <f t="array" ref="M658">IFERROR(IF($A658=$A657,0,SUM(_xlfn._xlws.FILTER($E658:$E668,($A658:$A668=$A658)*($J658:$J668=M$42)))),0)</f>
        <v>0</v>
      </c>
      <c r="N658" s="1129" cm="1">
        <f t="array" ref="N658">IFERROR(IF($A658=$A657,0,SUM(_xlfn._xlws.FILTER($E658:$E668,($A658:$A668=$A658)*($J658:$J668=N$42)))),0)</f>
        <v>0</v>
      </c>
    </row>
    <row r="659" spans="5:14">
      <c r="E659" s="1128">
        <f ca="1">IFERROR(C659*D659*_xlfn.XLOOKUP(B659,TabCalc[Ticker],TabCalc[Scale]),0)</f>
        <v>0</v>
      </c>
      <c r="F659" s="1129" cm="1">
        <f t="array" ref="F659">IF(A659=A658,0,SUM(_xlfn._xlws.FILTER(E659:E669,A659:A669=A659)))</f>
        <v>0</v>
      </c>
      <c r="G659" s="1130">
        <f>IF(F659&lt;&gt;0,SUM($F$43:F659),0)</f>
        <v>0</v>
      </c>
      <c r="H659" s="1130" cm="1">
        <f t="array" ref="H659">IFERROR(IF(A659=A658,0,SUM(_xlfn._xlws.FILTER(E659:E669,(A659:A669=A659)*(E659:E669&gt;0)))),0)</f>
        <v>0</v>
      </c>
      <c r="I659" s="1130" cm="1">
        <f t="array" ref="I659">IFERROR(IF(A659=A658,0,SUM(_xlfn._xlws.FILTER(E659:E669,(A659:A669=A659)*(F659&lt;0)))),0)</f>
        <v>0</v>
      </c>
      <c r="J659" s="295" t="str">
        <f ca="1">IFERROR(_xlfn.XLOOKUP(B659,TabCalc[Ticker],TabCalc[Cur]),"")</f>
        <v/>
      </c>
      <c r="K659" s="1129" cm="1">
        <f t="array" ref="K659">IFERROR(IF($A659=$A658,0,SUM(_xlfn._xlws.FILTER($E659:$E669,($A659:$A669=$A659)*($J659:$J669=K$42)))),0)</f>
        <v>0</v>
      </c>
      <c r="L659" s="1129" cm="1">
        <f t="array" ref="L659">IFERROR(IF($A659=$A658,0,SUM(_xlfn._xlws.FILTER($E659:$E669,($A659:$A669=$A659)*($J659:$J669=L$42)))),0)</f>
        <v>0</v>
      </c>
      <c r="M659" s="1129" cm="1">
        <f t="array" ref="M659">IFERROR(IF($A659=$A658,0,SUM(_xlfn._xlws.FILTER($E659:$E669,($A659:$A669=$A659)*($J659:$J669=M$42)))),0)</f>
        <v>0</v>
      </c>
      <c r="N659" s="1129" cm="1">
        <f t="array" ref="N659">IFERROR(IF($A659=$A658,0,SUM(_xlfn._xlws.FILTER($E659:$E669,($A659:$A669=$A659)*($J659:$J669=N$42)))),0)</f>
        <v>0</v>
      </c>
    </row>
    <row r="660" spans="5:14">
      <c r="E660" s="1128">
        <f ca="1">IFERROR(C660*D660*_xlfn.XLOOKUP(B660,TabCalc[Ticker],TabCalc[Scale]),0)</f>
        <v>0</v>
      </c>
      <c r="F660" s="1129" cm="1">
        <f t="array" ref="F660">IF(A660=A659,0,SUM(_xlfn._xlws.FILTER(E660:E670,A660:A670=A660)))</f>
        <v>0</v>
      </c>
      <c r="G660" s="1130">
        <f>IF(F660&lt;&gt;0,SUM($F$43:F660),0)</f>
        <v>0</v>
      </c>
      <c r="H660" s="1130" cm="1">
        <f t="array" ref="H660">IFERROR(IF(A660=A659,0,SUM(_xlfn._xlws.FILTER(E660:E670,(A660:A670=A660)*(E660:E670&gt;0)))),0)</f>
        <v>0</v>
      </c>
      <c r="I660" s="1130" cm="1">
        <f t="array" ref="I660">IFERROR(IF(A660=A659,0,SUM(_xlfn._xlws.FILTER(E660:E670,(A660:A670=A660)*(F660&lt;0)))),0)</f>
        <v>0</v>
      </c>
      <c r="J660" s="295" t="str">
        <f ca="1">IFERROR(_xlfn.XLOOKUP(B660,TabCalc[Ticker],TabCalc[Cur]),"")</f>
        <v/>
      </c>
      <c r="K660" s="1129" cm="1">
        <f t="array" ref="K660">IFERROR(IF($A660=$A659,0,SUM(_xlfn._xlws.FILTER($E660:$E670,($A660:$A670=$A660)*($J660:$J670=K$42)))),0)</f>
        <v>0</v>
      </c>
      <c r="L660" s="1129" cm="1">
        <f t="array" ref="L660">IFERROR(IF($A660=$A659,0,SUM(_xlfn._xlws.FILTER($E660:$E670,($A660:$A670=$A660)*($J660:$J670=L$42)))),0)</f>
        <v>0</v>
      </c>
      <c r="M660" s="1129" cm="1">
        <f t="array" ref="M660">IFERROR(IF($A660=$A659,0,SUM(_xlfn._xlws.FILTER($E660:$E670,($A660:$A670=$A660)*($J660:$J670=M$42)))),0)</f>
        <v>0</v>
      </c>
      <c r="N660" s="1129" cm="1">
        <f t="array" ref="N660">IFERROR(IF($A660=$A659,0,SUM(_xlfn._xlws.FILTER($E660:$E670,($A660:$A670=$A660)*($J660:$J670=N$42)))),0)</f>
        <v>0</v>
      </c>
    </row>
    <row r="661" spans="5:14">
      <c r="E661" s="1128">
        <f ca="1">IFERROR(C661*D661*_xlfn.XLOOKUP(B661,TabCalc[Ticker],TabCalc[Scale]),0)</f>
        <v>0</v>
      </c>
      <c r="F661" s="1129" cm="1">
        <f t="array" ref="F661">IF(A661=A660,0,SUM(_xlfn._xlws.FILTER(E661:E671,A661:A671=A661)))</f>
        <v>0</v>
      </c>
      <c r="G661" s="1130">
        <f>IF(F661&lt;&gt;0,SUM($F$43:F661),0)</f>
        <v>0</v>
      </c>
      <c r="H661" s="1130" cm="1">
        <f t="array" ref="H661">IFERROR(IF(A661=A660,0,SUM(_xlfn._xlws.FILTER(E661:E671,(A661:A671=A661)*(E661:E671&gt;0)))),0)</f>
        <v>0</v>
      </c>
      <c r="I661" s="1130" cm="1">
        <f t="array" ref="I661">IFERROR(IF(A661=A660,0,SUM(_xlfn._xlws.FILTER(E661:E671,(A661:A671=A661)*(F661&lt;0)))),0)</f>
        <v>0</v>
      </c>
      <c r="J661" s="295" t="str">
        <f ca="1">IFERROR(_xlfn.XLOOKUP(B661,TabCalc[Ticker],TabCalc[Cur]),"")</f>
        <v/>
      </c>
      <c r="K661" s="1129" cm="1">
        <f t="array" ref="K661">IFERROR(IF($A661=$A660,0,SUM(_xlfn._xlws.FILTER($E661:$E671,($A661:$A671=$A661)*($J661:$J671=K$42)))),0)</f>
        <v>0</v>
      </c>
      <c r="L661" s="1129" cm="1">
        <f t="array" ref="L661">IFERROR(IF($A661=$A660,0,SUM(_xlfn._xlws.FILTER($E661:$E671,($A661:$A671=$A661)*($J661:$J671=L$42)))),0)</f>
        <v>0</v>
      </c>
      <c r="M661" s="1129" cm="1">
        <f t="array" ref="M661">IFERROR(IF($A661=$A660,0,SUM(_xlfn._xlws.FILTER($E661:$E671,($A661:$A671=$A661)*($J661:$J671=M$42)))),0)</f>
        <v>0</v>
      </c>
      <c r="N661" s="1129" cm="1">
        <f t="array" ref="N661">IFERROR(IF($A661=$A660,0,SUM(_xlfn._xlws.FILTER($E661:$E671,($A661:$A671=$A661)*($J661:$J671=N$42)))),0)</f>
        <v>0</v>
      </c>
    </row>
    <row r="662" spans="5:14">
      <c r="E662" s="1128">
        <f ca="1">IFERROR(C662*D662*_xlfn.XLOOKUP(B662,TabCalc[Ticker],TabCalc[Scale]),0)</f>
        <v>0</v>
      </c>
      <c r="F662" s="1129" cm="1">
        <f t="array" ref="F662">IF(A662=A661,0,SUM(_xlfn._xlws.FILTER(E662:E672,A662:A672=A662)))</f>
        <v>0</v>
      </c>
      <c r="G662" s="1130">
        <f>IF(F662&lt;&gt;0,SUM($F$43:F662),0)</f>
        <v>0</v>
      </c>
      <c r="H662" s="1130" cm="1">
        <f t="array" ref="H662">IFERROR(IF(A662=A661,0,SUM(_xlfn._xlws.FILTER(E662:E672,(A662:A672=A662)*(E662:E672&gt;0)))),0)</f>
        <v>0</v>
      </c>
      <c r="I662" s="1130" cm="1">
        <f t="array" ref="I662">IFERROR(IF(A662=A661,0,SUM(_xlfn._xlws.FILTER(E662:E672,(A662:A672=A662)*(F662&lt;0)))),0)</f>
        <v>0</v>
      </c>
      <c r="J662" s="295" t="str">
        <f ca="1">IFERROR(_xlfn.XLOOKUP(B662,TabCalc[Ticker],TabCalc[Cur]),"")</f>
        <v/>
      </c>
      <c r="K662" s="1129" cm="1">
        <f t="array" ref="K662">IFERROR(IF($A662=$A661,0,SUM(_xlfn._xlws.FILTER($E662:$E672,($A662:$A672=$A662)*($J662:$J672=K$42)))),0)</f>
        <v>0</v>
      </c>
      <c r="L662" s="1129" cm="1">
        <f t="array" ref="L662">IFERROR(IF($A662=$A661,0,SUM(_xlfn._xlws.FILTER($E662:$E672,($A662:$A672=$A662)*($J662:$J672=L$42)))),0)</f>
        <v>0</v>
      </c>
      <c r="M662" s="1129" cm="1">
        <f t="array" ref="M662">IFERROR(IF($A662=$A661,0,SUM(_xlfn._xlws.FILTER($E662:$E672,($A662:$A672=$A662)*($J662:$J672=M$42)))),0)</f>
        <v>0</v>
      </c>
      <c r="N662" s="1129" cm="1">
        <f t="array" ref="N662">IFERROR(IF($A662=$A661,0,SUM(_xlfn._xlws.FILTER($E662:$E672,($A662:$A672=$A662)*($J662:$J672=N$42)))),0)</f>
        <v>0</v>
      </c>
    </row>
    <row r="663" spans="5:14">
      <c r="E663" s="1128">
        <f ca="1">IFERROR(C663*D663*_xlfn.XLOOKUP(B663,TabCalc[Ticker],TabCalc[Scale]),0)</f>
        <v>0</v>
      </c>
      <c r="F663" s="1129" cm="1">
        <f t="array" ref="F663">IF(A663=A662,0,SUM(_xlfn._xlws.FILTER(E663:E673,A663:A673=A663)))</f>
        <v>0</v>
      </c>
      <c r="G663" s="1130">
        <f>IF(F663&lt;&gt;0,SUM($F$43:F663),0)</f>
        <v>0</v>
      </c>
      <c r="H663" s="1130" cm="1">
        <f t="array" ref="H663">IFERROR(IF(A663=A662,0,SUM(_xlfn._xlws.FILTER(E663:E673,(A663:A673=A663)*(E663:E673&gt;0)))),0)</f>
        <v>0</v>
      </c>
      <c r="I663" s="1130" cm="1">
        <f t="array" ref="I663">IFERROR(IF(A663=A662,0,SUM(_xlfn._xlws.FILTER(E663:E673,(A663:A673=A663)*(F663&lt;0)))),0)</f>
        <v>0</v>
      </c>
      <c r="J663" s="295" t="str">
        <f ca="1">IFERROR(_xlfn.XLOOKUP(B663,TabCalc[Ticker],TabCalc[Cur]),"")</f>
        <v/>
      </c>
      <c r="K663" s="1129" cm="1">
        <f t="array" ref="K663">IFERROR(IF($A663=$A662,0,SUM(_xlfn._xlws.FILTER($E663:$E673,($A663:$A673=$A663)*($J663:$J673=K$42)))),0)</f>
        <v>0</v>
      </c>
      <c r="L663" s="1129" cm="1">
        <f t="array" ref="L663">IFERROR(IF($A663=$A662,0,SUM(_xlfn._xlws.FILTER($E663:$E673,($A663:$A673=$A663)*($J663:$J673=L$42)))),0)</f>
        <v>0</v>
      </c>
      <c r="M663" s="1129" cm="1">
        <f t="array" ref="M663">IFERROR(IF($A663=$A662,0,SUM(_xlfn._xlws.FILTER($E663:$E673,($A663:$A673=$A663)*($J663:$J673=M$42)))),0)</f>
        <v>0</v>
      </c>
      <c r="N663" s="1129" cm="1">
        <f t="array" ref="N663">IFERROR(IF($A663=$A662,0,SUM(_xlfn._xlws.FILTER($E663:$E673,($A663:$A673=$A663)*($J663:$J673=N$42)))),0)</f>
        <v>0</v>
      </c>
    </row>
    <row r="664" spans="5:14">
      <c r="E664" s="1128">
        <f ca="1">IFERROR(C664*D664*_xlfn.XLOOKUP(B664,TabCalc[Ticker],TabCalc[Scale]),0)</f>
        <v>0</v>
      </c>
      <c r="F664" s="1129" cm="1">
        <f t="array" ref="F664">IF(A664=A663,0,SUM(_xlfn._xlws.FILTER(E664:E674,A664:A674=A664)))</f>
        <v>0</v>
      </c>
      <c r="G664" s="1130">
        <f>IF(F664&lt;&gt;0,SUM($F$43:F664),0)</f>
        <v>0</v>
      </c>
      <c r="H664" s="1130" cm="1">
        <f t="array" ref="H664">IFERROR(IF(A664=A663,0,SUM(_xlfn._xlws.FILTER(E664:E674,(A664:A674=A664)*(E664:E674&gt;0)))),0)</f>
        <v>0</v>
      </c>
      <c r="I664" s="1130" cm="1">
        <f t="array" ref="I664">IFERROR(IF(A664=A663,0,SUM(_xlfn._xlws.FILTER(E664:E674,(A664:A674=A664)*(F664&lt;0)))),0)</f>
        <v>0</v>
      </c>
      <c r="J664" s="295" t="str">
        <f ca="1">IFERROR(_xlfn.XLOOKUP(B664,TabCalc[Ticker],TabCalc[Cur]),"")</f>
        <v/>
      </c>
      <c r="K664" s="1129" cm="1">
        <f t="array" ref="K664">IFERROR(IF($A664=$A663,0,SUM(_xlfn._xlws.FILTER($E664:$E674,($A664:$A674=$A664)*($J664:$J674=K$42)))),0)</f>
        <v>0</v>
      </c>
      <c r="L664" s="1129" cm="1">
        <f t="array" ref="L664">IFERROR(IF($A664=$A663,0,SUM(_xlfn._xlws.FILTER($E664:$E674,($A664:$A674=$A664)*($J664:$J674=L$42)))),0)</f>
        <v>0</v>
      </c>
      <c r="M664" s="1129" cm="1">
        <f t="array" ref="M664">IFERROR(IF($A664=$A663,0,SUM(_xlfn._xlws.FILTER($E664:$E674,($A664:$A674=$A664)*($J664:$J674=M$42)))),0)</f>
        <v>0</v>
      </c>
      <c r="N664" s="1129" cm="1">
        <f t="array" ref="N664">IFERROR(IF($A664=$A663,0,SUM(_xlfn._xlws.FILTER($E664:$E674,($A664:$A674=$A664)*($J664:$J674=N$42)))),0)</f>
        <v>0</v>
      </c>
    </row>
    <row r="665" spans="5:14">
      <c r="E665" s="1128">
        <f ca="1">IFERROR(C665*D665*_xlfn.XLOOKUP(B665,TabCalc[Ticker],TabCalc[Scale]),0)</f>
        <v>0</v>
      </c>
      <c r="F665" s="1129" cm="1">
        <f t="array" ref="F665">IF(A665=A664,0,SUM(_xlfn._xlws.FILTER(E665:E675,A665:A675=A665)))</f>
        <v>0</v>
      </c>
      <c r="G665" s="1130">
        <f>IF(F665&lt;&gt;0,SUM($F$43:F665),0)</f>
        <v>0</v>
      </c>
      <c r="H665" s="1130" cm="1">
        <f t="array" ref="H665">IFERROR(IF(A665=A664,0,SUM(_xlfn._xlws.FILTER(E665:E675,(A665:A675=A665)*(E665:E675&gt;0)))),0)</f>
        <v>0</v>
      </c>
      <c r="I665" s="1130" cm="1">
        <f t="array" ref="I665">IFERROR(IF(A665=A664,0,SUM(_xlfn._xlws.FILTER(E665:E675,(A665:A675=A665)*(F665&lt;0)))),0)</f>
        <v>0</v>
      </c>
      <c r="J665" s="295" t="str">
        <f ca="1">IFERROR(_xlfn.XLOOKUP(B665,TabCalc[Ticker],TabCalc[Cur]),"")</f>
        <v/>
      </c>
      <c r="K665" s="1129" cm="1">
        <f t="array" ref="K665">IFERROR(IF($A665=$A664,0,SUM(_xlfn._xlws.FILTER($E665:$E675,($A665:$A675=$A665)*($J665:$J675=K$42)))),0)</f>
        <v>0</v>
      </c>
      <c r="L665" s="1129" cm="1">
        <f t="array" ref="L665">IFERROR(IF($A665=$A664,0,SUM(_xlfn._xlws.FILTER($E665:$E675,($A665:$A675=$A665)*($J665:$J675=L$42)))),0)</f>
        <v>0</v>
      </c>
      <c r="M665" s="1129" cm="1">
        <f t="array" ref="M665">IFERROR(IF($A665=$A664,0,SUM(_xlfn._xlws.FILTER($E665:$E675,($A665:$A675=$A665)*($J665:$J675=M$42)))),0)</f>
        <v>0</v>
      </c>
      <c r="N665" s="1129" cm="1">
        <f t="array" ref="N665">IFERROR(IF($A665=$A664,0,SUM(_xlfn._xlws.FILTER($E665:$E675,($A665:$A675=$A665)*($J665:$J675=N$42)))),0)</f>
        <v>0</v>
      </c>
    </row>
    <row r="666" spans="5:14">
      <c r="E666" s="1128">
        <f ca="1">IFERROR(C666*D666*_xlfn.XLOOKUP(B666,TabCalc[Ticker],TabCalc[Scale]),0)</f>
        <v>0</v>
      </c>
      <c r="F666" s="1129" cm="1">
        <f t="array" ref="F666">IF(A666=A665,0,SUM(_xlfn._xlws.FILTER(E666:E676,A666:A676=A666)))</f>
        <v>0</v>
      </c>
      <c r="G666" s="1130">
        <f>IF(F666&lt;&gt;0,SUM($F$43:F666),0)</f>
        <v>0</v>
      </c>
      <c r="H666" s="1130" cm="1">
        <f t="array" ref="H666">IFERROR(IF(A666=A665,0,SUM(_xlfn._xlws.FILTER(E666:E676,(A666:A676=A666)*(E666:E676&gt;0)))),0)</f>
        <v>0</v>
      </c>
      <c r="I666" s="1130" cm="1">
        <f t="array" ref="I666">IFERROR(IF(A666=A665,0,SUM(_xlfn._xlws.FILTER(E666:E676,(A666:A676=A666)*(F666&lt;0)))),0)</f>
        <v>0</v>
      </c>
      <c r="J666" s="295" t="str">
        <f ca="1">IFERROR(_xlfn.XLOOKUP(B666,TabCalc[Ticker],TabCalc[Cur]),"")</f>
        <v/>
      </c>
      <c r="K666" s="1129" cm="1">
        <f t="array" ref="K666">IFERROR(IF($A666=$A665,0,SUM(_xlfn._xlws.FILTER($E666:$E676,($A666:$A676=$A666)*($J666:$J676=K$42)))),0)</f>
        <v>0</v>
      </c>
      <c r="L666" s="1129" cm="1">
        <f t="array" ref="L666">IFERROR(IF($A666=$A665,0,SUM(_xlfn._xlws.FILTER($E666:$E676,($A666:$A676=$A666)*($J666:$J676=L$42)))),0)</f>
        <v>0</v>
      </c>
      <c r="M666" s="1129" cm="1">
        <f t="array" ref="M666">IFERROR(IF($A666=$A665,0,SUM(_xlfn._xlws.FILTER($E666:$E676,($A666:$A676=$A666)*($J666:$J676=M$42)))),0)</f>
        <v>0</v>
      </c>
      <c r="N666" s="1129" cm="1">
        <f t="array" ref="N666">IFERROR(IF($A666=$A665,0,SUM(_xlfn._xlws.FILTER($E666:$E676,($A666:$A676=$A666)*($J666:$J676=N$42)))),0)</f>
        <v>0</v>
      </c>
    </row>
    <row r="667" spans="5:14">
      <c r="E667" s="1128">
        <f ca="1">IFERROR(C667*D667*_xlfn.XLOOKUP(B667,TabCalc[Ticker],TabCalc[Scale]),0)</f>
        <v>0</v>
      </c>
      <c r="F667" s="1129" cm="1">
        <f t="array" ref="F667">IF(A667=A666,0,SUM(_xlfn._xlws.FILTER(E667:E677,A667:A677=A667)))</f>
        <v>0</v>
      </c>
      <c r="G667" s="1130">
        <f>IF(F667&lt;&gt;0,SUM($F$43:F667),0)</f>
        <v>0</v>
      </c>
      <c r="H667" s="1130" cm="1">
        <f t="array" ref="H667">IFERROR(IF(A667=A666,0,SUM(_xlfn._xlws.FILTER(E667:E677,(A667:A677=A667)*(E667:E677&gt;0)))),0)</f>
        <v>0</v>
      </c>
      <c r="I667" s="1130" cm="1">
        <f t="array" ref="I667">IFERROR(IF(A667=A666,0,SUM(_xlfn._xlws.FILTER(E667:E677,(A667:A677=A667)*(F667&lt;0)))),0)</f>
        <v>0</v>
      </c>
      <c r="J667" s="295" t="str">
        <f ca="1">IFERROR(_xlfn.XLOOKUP(B667,TabCalc[Ticker],TabCalc[Cur]),"")</f>
        <v/>
      </c>
      <c r="K667" s="1129" cm="1">
        <f t="array" ref="K667">IFERROR(IF($A667=$A666,0,SUM(_xlfn._xlws.FILTER($E667:$E677,($A667:$A677=$A667)*($J667:$J677=K$42)))),0)</f>
        <v>0</v>
      </c>
      <c r="L667" s="1129" cm="1">
        <f t="array" ref="L667">IFERROR(IF($A667=$A666,0,SUM(_xlfn._xlws.FILTER($E667:$E677,($A667:$A677=$A667)*($J667:$J677=L$42)))),0)</f>
        <v>0</v>
      </c>
      <c r="M667" s="1129" cm="1">
        <f t="array" ref="M667">IFERROR(IF($A667=$A666,0,SUM(_xlfn._xlws.FILTER($E667:$E677,($A667:$A677=$A667)*($J667:$J677=M$42)))),0)</f>
        <v>0</v>
      </c>
      <c r="N667" s="1129" cm="1">
        <f t="array" ref="N667">IFERROR(IF($A667=$A666,0,SUM(_xlfn._xlws.FILTER($E667:$E677,($A667:$A677=$A667)*($J667:$J677=N$42)))),0)</f>
        <v>0</v>
      </c>
    </row>
    <row r="668" spans="5:14">
      <c r="E668" s="1128">
        <f ca="1">IFERROR(C668*D668*_xlfn.XLOOKUP(B668,TabCalc[Ticker],TabCalc[Scale]),0)</f>
        <v>0</v>
      </c>
      <c r="F668" s="1129" cm="1">
        <f t="array" ref="F668">IF(A668=A667,0,SUM(_xlfn._xlws.FILTER(E668:E678,A668:A678=A668)))</f>
        <v>0</v>
      </c>
      <c r="G668" s="1130">
        <f>IF(F668&lt;&gt;0,SUM($F$43:F668),0)</f>
        <v>0</v>
      </c>
      <c r="H668" s="1130" cm="1">
        <f t="array" ref="H668">IFERROR(IF(A668=A667,0,SUM(_xlfn._xlws.FILTER(E668:E678,(A668:A678=A668)*(E668:E678&gt;0)))),0)</f>
        <v>0</v>
      </c>
      <c r="I668" s="1130" cm="1">
        <f t="array" ref="I668">IFERROR(IF(A668=A667,0,SUM(_xlfn._xlws.FILTER(E668:E678,(A668:A678=A668)*(F668&lt;0)))),0)</f>
        <v>0</v>
      </c>
      <c r="J668" s="295" t="str">
        <f ca="1">IFERROR(_xlfn.XLOOKUP(B668,TabCalc[Ticker],TabCalc[Cur]),"")</f>
        <v/>
      </c>
      <c r="K668" s="1129" cm="1">
        <f t="array" ref="K668">IFERROR(IF($A668=$A667,0,SUM(_xlfn._xlws.FILTER($E668:$E678,($A668:$A678=$A668)*($J668:$J678=K$42)))),0)</f>
        <v>0</v>
      </c>
      <c r="L668" s="1129" cm="1">
        <f t="array" ref="L668">IFERROR(IF($A668=$A667,0,SUM(_xlfn._xlws.FILTER($E668:$E678,($A668:$A678=$A668)*($J668:$J678=L$42)))),0)</f>
        <v>0</v>
      </c>
      <c r="M668" s="1129" cm="1">
        <f t="array" ref="M668">IFERROR(IF($A668=$A667,0,SUM(_xlfn._xlws.FILTER($E668:$E678,($A668:$A678=$A668)*($J668:$J678=M$42)))),0)</f>
        <v>0</v>
      </c>
      <c r="N668" s="1129" cm="1">
        <f t="array" ref="N668">IFERROR(IF($A668=$A667,0,SUM(_xlfn._xlws.FILTER($E668:$E678,($A668:$A678=$A668)*($J668:$J678=N$42)))),0)</f>
        <v>0</v>
      </c>
    </row>
    <row r="669" spans="5:14">
      <c r="E669" s="1128">
        <f ca="1">IFERROR(C669*D669*_xlfn.XLOOKUP(B669,TabCalc[Ticker],TabCalc[Scale]),0)</f>
        <v>0</v>
      </c>
      <c r="F669" s="1129" cm="1">
        <f t="array" ref="F669">IF(A669=A668,0,SUM(_xlfn._xlws.FILTER(E669:E679,A669:A679=A669)))</f>
        <v>0</v>
      </c>
      <c r="G669" s="1130">
        <f>IF(F669&lt;&gt;0,SUM($F$43:F669),0)</f>
        <v>0</v>
      </c>
      <c r="H669" s="1130" cm="1">
        <f t="array" ref="H669">IFERROR(IF(A669=A668,0,SUM(_xlfn._xlws.FILTER(E669:E679,(A669:A679=A669)*(E669:E679&gt;0)))),0)</f>
        <v>0</v>
      </c>
      <c r="I669" s="1130" cm="1">
        <f t="array" ref="I669">IFERROR(IF(A669=A668,0,SUM(_xlfn._xlws.FILTER(E669:E679,(A669:A679=A669)*(F669&lt;0)))),0)</f>
        <v>0</v>
      </c>
      <c r="J669" s="295" t="str">
        <f ca="1">IFERROR(_xlfn.XLOOKUP(B669,TabCalc[Ticker],TabCalc[Cur]),"")</f>
        <v/>
      </c>
      <c r="K669" s="1129" cm="1">
        <f t="array" ref="K669">IFERROR(IF($A669=$A668,0,SUM(_xlfn._xlws.FILTER($E669:$E679,($A669:$A679=$A669)*($J669:$J679=K$42)))),0)</f>
        <v>0</v>
      </c>
      <c r="L669" s="1129" cm="1">
        <f t="array" ref="L669">IFERROR(IF($A669=$A668,0,SUM(_xlfn._xlws.FILTER($E669:$E679,($A669:$A679=$A669)*($J669:$J679=L$42)))),0)</f>
        <v>0</v>
      </c>
      <c r="M669" s="1129" cm="1">
        <f t="array" ref="M669">IFERROR(IF($A669=$A668,0,SUM(_xlfn._xlws.FILTER($E669:$E679,($A669:$A679=$A669)*($J669:$J679=M$42)))),0)</f>
        <v>0</v>
      </c>
      <c r="N669" s="1129" cm="1">
        <f t="array" ref="N669">IFERROR(IF($A669=$A668,0,SUM(_xlfn._xlws.FILTER($E669:$E679,($A669:$A679=$A669)*($J669:$J679=N$42)))),0)</f>
        <v>0</v>
      </c>
    </row>
    <row r="670" spans="5:14">
      <c r="E670" s="1128">
        <f ca="1">IFERROR(C670*D670*_xlfn.XLOOKUP(B670,TabCalc[Ticker],TabCalc[Scale]),0)</f>
        <v>0</v>
      </c>
      <c r="F670" s="1129" cm="1">
        <f t="array" ref="F670">IF(A670=A669,0,SUM(_xlfn._xlws.FILTER(E670:E680,A670:A680=A670)))</f>
        <v>0</v>
      </c>
      <c r="G670" s="1130">
        <f>IF(F670&lt;&gt;0,SUM($F$43:F670),0)</f>
        <v>0</v>
      </c>
      <c r="H670" s="1130" cm="1">
        <f t="array" ref="H670">IFERROR(IF(A670=A669,0,SUM(_xlfn._xlws.FILTER(E670:E680,(A670:A680=A670)*(E670:E680&gt;0)))),0)</f>
        <v>0</v>
      </c>
      <c r="I670" s="1130" cm="1">
        <f t="array" ref="I670">IFERROR(IF(A670=A669,0,SUM(_xlfn._xlws.FILTER(E670:E680,(A670:A680=A670)*(F670&lt;0)))),0)</f>
        <v>0</v>
      </c>
      <c r="J670" s="295" t="str">
        <f ca="1">IFERROR(_xlfn.XLOOKUP(B670,TabCalc[Ticker],TabCalc[Cur]),"")</f>
        <v/>
      </c>
      <c r="K670" s="1129" cm="1">
        <f t="array" ref="K670">IFERROR(IF($A670=$A669,0,SUM(_xlfn._xlws.FILTER($E670:$E680,($A670:$A680=$A670)*($J670:$J680=K$42)))),0)</f>
        <v>0</v>
      </c>
      <c r="L670" s="1129" cm="1">
        <f t="array" ref="L670">IFERROR(IF($A670=$A669,0,SUM(_xlfn._xlws.FILTER($E670:$E680,($A670:$A680=$A670)*($J670:$J680=L$42)))),0)</f>
        <v>0</v>
      </c>
      <c r="M670" s="1129" cm="1">
        <f t="array" ref="M670">IFERROR(IF($A670=$A669,0,SUM(_xlfn._xlws.FILTER($E670:$E680,($A670:$A680=$A670)*($J670:$J680=M$42)))),0)</f>
        <v>0</v>
      </c>
      <c r="N670" s="1129" cm="1">
        <f t="array" ref="N670">IFERROR(IF($A670=$A669,0,SUM(_xlfn._xlws.FILTER($E670:$E680,($A670:$A680=$A670)*($J670:$J680=N$42)))),0)</f>
        <v>0</v>
      </c>
    </row>
    <row r="671" spans="5:14">
      <c r="E671" s="1128">
        <f ca="1">IFERROR(C671*D671*_xlfn.XLOOKUP(B671,TabCalc[Ticker],TabCalc[Scale]),0)</f>
        <v>0</v>
      </c>
      <c r="F671" s="1129" cm="1">
        <f t="array" ref="F671">IF(A671=A670,0,SUM(_xlfn._xlws.FILTER(E671:E681,A671:A681=A671)))</f>
        <v>0</v>
      </c>
      <c r="G671" s="1130">
        <f>IF(F671&lt;&gt;0,SUM($F$43:F671),0)</f>
        <v>0</v>
      </c>
      <c r="H671" s="1130" cm="1">
        <f t="array" ref="H671">IFERROR(IF(A671=A670,0,SUM(_xlfn._xlws.FILTER(E671:E681,(A671:A681=A671)*(E671:E681&gt;0)))),0)</f>
        <v>0</v>
      </c>
      <c r="I671" s="1130" cm="1">
        <f t="array" ref="I671">IFERROR(IF(A671=A670,0,SUM(_xlfn._xlws.FILTER(E671:E681,(A671:A681=A671)*(F671&lt;0)))),0)</f>
        <v>0</v>
      </c>
      <c r="J671" s="295" t="str">
        <f ca="1">IFERROR(_xlfn.XLOOKUP(B671,TabCalc[Ticker],TabCalc[Cur]),"")</f>
        <v/>
      </c>
      <c r="K671" s="1129" cm="1">
        <f t="array" ref="K671">IFERROR(IF($A671=$A670,0,SUM(_xlfn._xlws.FILTER($E671:$E681,($A671:$A681=$A671)*($J671:$J681=K$42)))),0)</f>
        <v>0</v>
      </c>
      <c r="L671" s="1129" cm="1">
        <f t="array" ref="L671">IFERROR(IF($A671=$A670,0,SUM(_xlfn._xlws.FILTER($E671:$E681,($A671:$A681=$A671)*($J671:$J681=L$42)))),0)</f>
        <v>0</v>
      </c>
      <c r="M671" s="1129" cm="1">
        <f t="array" ref="M671">IFERROR(IF($A671=$A670,0,SUM(_xlfn._xlws.FILTER($E671:$E681,($A671:$A681=$A671)*($J671:$J681=M$42)))),0)</f>
        <v>0</v>
      </c>
      <c r="N671" s="1129" cm="1">
        <f t="array" ref="N671">IFERROR(IF($A671=$A670,0,SUM(_xlfn._xlws.FILTER($E671:$E681,($A671:$A681=$A671)*($J671:$J681=N$42)))),0)</f>
        <v>0</v>
      </c>
    </row>
    <row r="672" spans="5:14">
      <c r="E672" s="1128">
        <f ca="1">IFERROR(C672*D672*_xlfn.XLOOKUP(B672,TabCalc[Ticker],TabCalc[Scale]),0)</f>
        <v>0</v>
      </c>
      <c r="F672" s="1129" cm="1">
        <f t="array" ref="F672">IF(A672=A671,0,SUM(_xlfn._xlws.FILTER(E672:E682,A672:A682=A672)))</f>
        <v>0</v>
      </c>
      <c r="G672" s="1130">
        <f>IF(F672&lt;&gt;0,SUM($F$43:F672),0)</f>
        <v>0</v>
      </c>
      <c r="H672" s="1130" cm="1">
        <f t="array" ref="H672">IFERROR(IF(A672=A671,0,SUM(_xlfn._xlws.FILTER(E672:E682,(A672:A682=A672)*(E672:E682&gt;0)))),0)</f>
        <v>0</v>
      </c>
      <c r="I672" s="1130" cm="1">
        <f t="array" ref="I672">IFERROR(IF(A672=A671,0,SUM(_xlfn._xlws.FILTER(E672:E682,(A672:A682=A672)*(F672&lt;0)))),0)</f>
        <v>0</v>
      </c>
      <c r="J672" s="295" t="str">
        <f ca="1">IFERROR(_xlfn.XLOOKUP(B672,TabCalc[Ticker],TabCalc[Cur]),"")</f>
        <v/>
      </c>
      <c r="K672" s="1129" cm="1">
        <f t="array" ref="K672">IFERROR(IF($A672=$A671,0,SUM(_xlfn._xlws.FILTER($E672:$E682,($A672:$A682=$A672)*($J672:$J682=K$42)))),0)</f>
        <v>0</v>
      </c>
      <c r="L672" s="1129" cm="1">
        <f t="array" ref="L672">IFERROR(IF($A672=$A671,0,SUM(_xlfn._xlws.FILTER($E672:$E682,($A672:$A682=$A672)*($J672:$J682=L$42)))),0)</f>
        <v>0</v>
      </c>
      <c r="M672" s="1129" cm="1">
        <f t="array" ref="M672">IFERROR(IF($A672=$A671,0,SUM(_xlfn._xlws.FILTER($E672:$E682,($A672:$A682=$A672)*($J672:$J682=M$42)))),0)</f>
        <v>0</v>
      </c>
      <c r="N672" s="1129" cm="1">
        <f t="array" ref="N672">IFERROR(IF($A672=$A671,0,SUM(_xlfn._xlws.FILTER($E672:$E682,($A672:$A682=$A672)*($J672:$J682=N$42)))),0)</f>
        <v>0</v>
      </c>
    </row>
    <row r="673" spans="5:14">
      <c r="E673" s="1128">
        <f ca="1">IFERROR(C673*D673*_xlfn.XLOOKUP(B673,TabCalc[Ticker],TabCalc[Scale]),0)</f>
        <v>0</v>
      </c>
      <c r="F673" s="1129" cm="1">
        <f t="array" ref="F673">IF(A673=A672,0,SUM(_xlfn._xlws.FILTER(E673:E683,A673:A683=A673)))</f>
        <v>0</v>
      </c>
      <c r="G673" s="1130">
        <f>IF(F673&lt;&gt;0,SUM($F$43:F673),0)</f>
        <v>0</v>
      </c>
      <c r="H673" s="1130" cm="1">
        <f t="array" ref="H673">IFERROR(IF(A673=A672,0,SUM(_xlfn._xlws.FILTER(E673:E683,(A673:A683=A673)*(E673:E683&gt;0)))),0)</f>
        <v>0</v>
      </c>
      <c r="I673" s="1130" cm="1">
        <f t="array" ref="I673">IFERROR(IF(A673=A672,0,SUM(_xlfn._xlws.FILTER(E673:E683,(A673:A683=A673)*(F673&lt;0)))),0)</f>
        <v>0</v>
      </c>
      <c r="J673" s="295" t="str">
        <f ca="1">IFERROR(_xlfn.XLOOKUP(B673,TabCalc[Ticker],TabCalc[Cur]),"")</f>
        <v/>
      </c>
      <c r="K673" s="1129" cm="1">
        <f t="array" ref="K673">IFERROR(IF($A673=$A672,0,SUM(_xlfn._xlws.FILTER($E673:$E683,($A673:$A683=$A673)*($J673:$J683=K$42)))),0)</f>
        <v>0</v>
      </c>
      <c r="L673" s="1129" cm="1">
        <f t="array" ref="L673">IFERROR(IF($A673=$A672,0,SUM(_xlfn._xlws.FILTER($E673:$E683,($A673:$A683=$A673)*($J673:$J683=L$42)))),0)</f>
        <v>0</v>
      </c>
      <c r="M673" s="1129" cm="1">
        <f t="array" ref="M673">IFERROR(IF($A673=$A672,0,SUM(_xlfn._xlws.FILTER($E673:$E683,($A673:$A683=$A673)*($J673:$J683=M$42)))),0)</f>
        <v>0</v>
      </c>
      <c r="N673" s="1129" cm="1">
        <f t="array" ref="N673">IFERROR(IF($A673=$A672,0,SUM(_xlfn._xlws.FILTER($E673:$E683,($A673:$A683=$A673)*($J673:$J683=N$42)))),0)</f>
        <v>0</v>
      </c>
    </row>
    <row r="674" spans="5:14">
      <c r="E674" s="1128">
        <f ca="1">IFERROR(C674*D674*_xlfn.XLOOKUP(B674,TabCalc[Ticker],TabCalc[Scale]),0)</f>
        <v>0</v>
      </c>
      <c r="F674" s="1129" cm="1">
        <f t="array" ref="F674">IF(A674=A673,0,SUM(_xlfn._xlws.FILTER(E674:E684,A674:A684=A674)))</f>
        <v>0</v>
      </c>
      <c r="G674" s="1130">
        <f>IF(F674&lt;&gt;0,SUM($F$43:F674),0)</f>
        <v>0</v>
      </c>
      <c r="H674" s="1130" cm="1">
        <f t="array" ref="H674">IFERROR(IF(A674=A673,0,SUM(_xlfn._xlws.FILTER(E674:E684,(A674:A684=A674)*(E674:E684&gt;0)))),0)</f>
        <v>0</v>
      </c>
      <c r="I674" s="1130" cm="1">
        <f t="array" ref="I674">IFERROR(IF(A674=A673,0,SUM(_xlfn._xlws.FILTER(E674:E684,(A674:A684=A674)*(F674&lt;0)))),0)</f>
        <v>0</v>
      </c>
      <c r="J674" s="295" t="str">
        <f ca="1">IFERROR(_xlfn.XLOOKUP(B674,TabCalc[Ticker],TabCalc[Cur]),"")</f>
        <v/>
      </c>
      <c r="K674" s="1129" cm="1">
        <f t="array" ref="K674">IFERROR(IF($A674=$A673,0,SUM(_xlfn._xlws.FILTER($E674:$E684,($A674:$A684=$A674)*($J674:$J684=K$42)))),0)</f>
        <v>0</v>
      </c>
      <c r="L674" s="1129" cm="1">
        <f t="array" ref="L674">IFERROR(IF($A674=$A673,0,SUM(_xlfn._xlws.FILTER($E674:$E684,($A674:$A684=$A674)*($J674:$J684=L$42)))),0)</f>
        <v>0</v>
      </c>
      <c r="M674" s="1129" cm="1">
        <f t="array" ref="M674">IFERROR(IF($A674=$A673,0,SUM(_xlfn._xlws.FILTER($E674:$E684,($A674:$A684=$A674)*($J674:$J684=M$42)))),0)</f>
        <v>0</v>
      </c>
      <c r="N674" s="1129" cm="1">
        <f t="array" ref="N674">IFERROR(IF($A674=$A673,0,SUM(_xlfn._xlws.FILTER($E674:$E684,($A674:$A684=$A674)*($J674:$J684=N$42)))),0)</f>
        <v>0</v>
      </c>
    </row>
    <row r="675" spans="5:14">
      <c r="E675" s="1128">
        <f ca="1">IFERROR(C675*D675*_xlfn.XLOOKUP(B675,TabCalc[Ticker],TabCalc[Scale]),0)</f>
        <v>0</v>
      </c>
      <c r="F675" s="1129" cm="1">
        <f t="array" ref="F675">IF(A675=A674,0,SUM(_xlfn._xlws.FILTER(E675:E685,A675:A685=A675)))</f>
        <v>0</v>
      </c>
      <c r="G675" s="1130">
        <f>IF(F675&lt;&gt;0,SUM($F$43:F675),0)</f>
        <v>0</v>
      </c>
      <c r="H675" s="1130" cm="1">
        <f t="array" ref="H675">IFERROR(IF(A675=A674,0,SUM(_xlfn._xlws.FILTER(E675:E685,(A675:A685=A675)*(E675:E685&gt;0)))),0)</f>
        <v>0</v>
      </c>
      <c r="I675" s="1130" cm="1">
        <f t="array" ref="I675">IFERROR(IF(A675=A674,0,SUM(_xlfn._xlws.FILTER(E675:E685,(A675:A685=A675)*(F675&lt;0)))),0)</f>
        <v>0</v>
      </c>
      <c r="J675" s="295" t="str">
        <f ca="1">IFERROR(_xlfn.XLOOKUP(B675,TabCalc[Ticker],TabCalc[Cur]),"")</f>
        <v/>
      </c>
      <c r="K675" s="1129" cm="1">
        <f t="array" ref="K675">IFERROR(IF($A675=$A674,0,SUM(_xlfn._xlws.FILTER($E675:$E685,($A675:$A685=$A675)*($J675:$J685=K$42)))),0)</f>
        <v>0</v>
      </c>
      <c r="L675" s="1129" cm="1">
        <f t="array" ref="L675">IFERROR(IF($A675=$A674,0,SUM(_xlfn._xlws.FILTER($E675:$E685,($A675:$A685=$A675)*($J675:$J685=L$42)))),0)</f>
        <v>0</v>
      </c>
      <c r="M675" s="1129" cm="1">
        <f t="array" ref="M675">IFERROR(IF($A675=$A674,0,SUM(_xlfn._xlws.FILTER($E675:$E685,($A675:$A685=$A675)*($J675:$J685=M$42)))),0)</f>
        <v>0</v>
      </c>
      <c r="N675" s="1129" cm="1">
        <f t="array" ref="N675">IFERROR(IF($A675=$A674,0,SUM(_xlfn._xlws.FILTER($E675:$E685,($A675:$A685=$A675)*($J675:$J685=N$42)))),0)</f>
        <v>0</v>
      </c>
    </row>
    <row r="676" spans="5:14">
      <c r="E676" s="1128">
        <f ca="1">IFERROR(C676*D676*_xlfn.XLOOKUP(B676,TabCalc[Ticker],TabCalc[Scale]),0)</f>
        <v>0</v>
      </c>
      <c r="F676" s="1129" cm="1">
        <f t="array" ref="F676">IF(A676=A675,0,SUM(_xlfn._xlws.FILTER(E676:E686,A676:A686=A676)))</f>
        <v>0</v>
      </c>
      <c r="G676" s="1130">
        <f>IF(F676&lt;&gt;0,SUM($F$43:F676),0)</f>
        <v>0</v>
      </c>
      <c r="H676" s="1130" cm="1">
        <f t="array" ref="H676">IFERROR(IF(A676=A675,0,SUM(_xlfn._xlws.FILTER(E676:E686,(A676:A686=A676)*(E676:E686&gt;0)))),0)</f>
        <v>0</v>
      </c>
      <c r="I676" s="1130" cm="1">
        <f t="array" ref="I676">IFERROR(IF(A676=A675,0,SUM(_xlfn._xlws.FILTER(E676:E686,(A676:A686=A676)*(F676&lt;0)))),0)</f>
        <v>0</v>
      </c>
      <c r="J676" s="295" t="str">
        <f ca="1">IFERROR(_xlfn.XLOOKUP(B676,TabCalc[Ticker],TabCalc[Cur]),"")</f>
        <v/>
      </c>
      <c r="K676" s="1129" cm="1">
        <f t="array" ref="K676">IFERROR(IF($A676=$A675,0,SUM(_xlfn._xlws.FILTER($E676:$E686,($A676:$A686=$A676)*($J676:$J686=K$42)))),0)</f>
        <v>0</v>
      </c>
      <c r="L676" s="1129" cm="1">
        <f t="array" ref="L676">IFERROR(IF($A676=$A675,0,SUM(_xlfn._xlws.FILTER($E676:$E686,($A676:$A686=$A676)*($J676:$J686=L$42)))),0)</f>
        <v>0</v>
      </c>
      <c r="M676" s="1129" cm="1">
        <f t="array" ref="M676">IFERROR(IF($A676=$A675,0,SUM(_xlfn._xlws.FILTER($E676:$E686,($A676:$A686=$A676)*($J676:$J686=M$42)))),0)</f>
        <v>0</v>
      </c>
      <c r="N676" s="1129" cm="1">
        <f t="array" ref="N676">IFERROR(IF($A676=$A675,0,SUM(_xlfn._xlws.FILTER($E676:$E686,($A676:$A686=$A676)*($J676:$J686=N$42)))),0)</f>
        <v>0</v>
      </c>
    </row>
    <row r="677" spans="5:14">
      <c r="E677" s="1128">
        <f ca="1">IFERROR(C677*D677*_xlfn.XLOOKUP(B677,TabCalc[Ticker],TabCalc[Scale]),0)</f>
        <v>0</v>
      </c>
      <c r="F677" s="1129" cm="1">
        <f t="array" ref="F677">IF(A677=A676,0,SUM(_xlfn._xlws.FILTER(E677:E687,A677:A687=A677)))</f>
        <v>0</v>
      </c>
      <c r="G677" s="1130">
        <f>IF(F677&lt;&gt;0,SUM($F$43:F677),0)</f>
        <v>0</v>
      </c>
      <c r="H677" s="1130" cm="1">
        <f t="array" ref="H677">IFERROR(IF(A677=A676,0,SUM(_xlfn._xlws.FILTER(E677:E687,(A677:A687=A677)*(E677:E687&gt;0)))),0)</f>
        <v>0</v>
      </c>
      <c r="I677" s="1130" cm="1">
        <f t="array" ref="I677">IFERROR(IF(A677=A676,0,SUM(_xlfn._xlws.FILTER(E677:E687,(A677:A687=A677)*(F677&lt;0)))),0)</f>
        <v>0</v>
      </c>
      <c r="J677" s="295" t="str">
        <f ca="1">IFERROR(_xlfn.XLOOKUP(B677,TabCalc[Ticker],TabCalc[Cur]),"")</f>
        <v/>
      </c>
      <c r="K677" s="1129" cm="1">
        <f t="array" ref="K677">IFERROR(IF($A677=$A676,0,SUM(_xlfn._xlws.FILTER($E677:$E687,($A677:$A687=$A677)*($J677:$J687=K$42)))),0)</f>
        <v>0</v>
      </c>
      <c r="L677" s="1129" cm="1">
        <f t="array" ref="L677">IFERROR(IF($A677=$A676,0,SUM(_xlfn._xlws.FILTER($E677:$E687,($A677:$A687=$A677)*($J677:$J687=L$42)))),0)</f>
        <v>0</v>
      </c>
      <c r="M677" s="1129" cm="1">
        <f t="array" ref="M677">IFERROR(IF($A677=$A676,0,SUM(_xlfn._xlws.FILTER($E677:$E687,($A677:$A687=$A677)*($J677:$J687=M$42)))),0)</f>
        <v>0</v>
      </c>
      <c r="N677" s="1129" cm="1">
        <f t="array" ref="N677">IFERROR(IF($A677=$A676,0,SUM(_xlfn._xlws.FILTER($E677:$E687,($A677:$A687=$A677)*($J677:$J687=N$42)))),0)</f>
        <v>0</v>
      </c>
    </row>
    <row r="678" spans="5:14">
      <c r="E678" s="1128">
        <f ca="1">IFERROR(C678*D678*_xlfn.XLOOKUP(B678,TabCalc[Ticker],TabCalc[Scale]),0)</f>
        <v>0</v>
      </c>
      <c r="F678" s="1129" cm="1">
        <f t="array" ref="F678">IF(A678=A677,0,SUM(_xlfn._xlws.FILTER(E678:E688,A678:A688=A678)))</f>
        <v>0</v>
      </c>
      <c r="G678" s="1130">
        <f>IF(F678&lt;&gt;0,SUM($F$43:F678),0)</f>
        <v>0</v>
      </c>
      <c r="H678" s="1130" cm="1">
        <f t="array" ref="H678">IFERROR(IF(A678=A677,0,SUM(_xlfn._xlws.FILTER(E678:E688,(A678:A688=A678)*(E678:E688&gt;0)))),0)</f>
        <v>0</v>
      </c>
      <c r="I678" s="1130" cm="1">
        <f t="array" ref="I678">IFERROR(IF(A678=A677,0,SUM(_xlfn._xlws.FILTER(E678:E688,(A678:A688=A678)*(F678&lt;0)))),0)</f>
        <v>0</v>
      </c>
      <c r="J678" s="295" t="str">
        <f ca="1">IFERROR(_xlfn.XLOOKUP(B678,TabCalc[Ticker],TabCalc[Cur]),"")</f>
        <v/>
      </c>
      <c r="K678" s="1129" cm="1">
        <f t="array" ref="K678">IFERROR(IF($A678=$A677,0,SUM(_xlfn._xlws.FILTER($E678:$E688,($A678:$A688=$A678)*($J678:$J688=K$42)))),0)</f>
        <v>0</v>
      </c>
      <c r="L678" s="1129" cm="1">
        <f t="array" ref="L678">IFERROR(IF($A678=$A677,0,SUM(_xlfn._xlws.FILTER($E678:$E688,($A678:$A688=$A678)*($J678:$J688=L$42)))),0)</f>
        <v>0</v>
      </c>
      <c r="M678" s="1129" cm="1">
        <f t="array" ref="M678">IFERROR(IF($A678=$A677,0,SUM(_xlfn._xlws.FILTER($E678:$E688,($A678:$A688=$A678)*($J678:$J688=M$42)))),0)</f>
        <v>0</v>
      </c>
      <c r="N678" s="1129" cm="1">
        <f t="array" ref="N678">IFERROR(IF($A678=$A677,0,SUM(_xlfn._xlws.FILTER($E678:$E688,($A678:$A688=$A678)*($J678:$J688=N$42)))),0)</f>
        <v>0</v>
      </c>
    </row>
    <row r="679" spans="5:14">
      <c r="E679" s="1128">
        <f ca="1">IFERROR(C679*D679*_xlfn.XLOOKUP(B679,TabCalc[Ticker],TabCalc[Scale]),0)</f>
        <v>0</v>
      </c>
      <c r="F679" s="1129" cm="1">
        <f t="array" ref="F679">IF(A679=A678,0,SUM(_xlfn._xlws.FILTER(E679:E689,A679:A689=A679)))</f>
        <v>0</v>
      </c>
      <c r="G679" s="1130">
        <f>IF(F679&lt;&gt;0,SUM($F$43:F679),0)</f>
        <v>0</v>
      </c>
      <c r="H679" s="1130" cm="1">
        <f t="array" ref="H679">IFERROR(IF(A679=A678,0,SUM(_xlfn._xlws.FILTER(E679:E689,(A679:A689=A679)*(E679:E689&gt;0)))),0)</f>
        <v>0</v>
      </c>
      <c r="I679" s="1130" cm="1">
        <f t="array" ref="I679">IFERROR(IF(A679=A678,0,SUM(_xlfn._xlws.FILTER(E679:E689,(A679:A689=A679)*(F679&lt;0)))),0)</f>
        <v>0</v>
      </c>
      <c r="J679" s="295" t="str">
        <f ca="1">IFERROR(_xlfn.XLOOKUP(B679,TabCalc[Ticker],TabCalc[Cur]),"")</f>
        <v/>
      </c>
      <c r="K679" s="1129" cm="1">
        <f t="array" ref="K679">IFERROR(IF($A679=$A678,0,SUM(_xlfn._xlws.FILTER($E679:$E689,($A679:$A689=$A679)*($J679:$J689=K$42)))),0)</f>
        <v>0</v>
      </c>
      <c r="L679" s="1129" cm="1">
        <f t="array" ref="L679">IFERROR(IF($A679=$A678,0,SUM(_xlfn._xlws.FILTER($E679:$E689,($A679:$A689=$A679)*($J679:$J689=L$42)))),0)</f>
        <v>0</v>
      </c>
      <c r="M679" s="1129" cm="1">
        <f t="array" ref="M679">IFERROR(IF($A679=$A678,0,SUM(_xlfn._xlws.FILTER($E679:$E689,($A679:$A689=$A679)*($J679:$J689=M$42)))),0)</f>
        <v>0</v>
      </c>
      <c r="N679" s="1129" cm="1">
        <f t="array" ref="N679">IFERROR(IF($A679=$A678,0,SUM(_xlfn._xlws.FILTER($E679:$E689,($A679:$A689=$A679)*($J679:$J689=N$42)))),0)</f>
        <v>0</v>
      </c>
    </row>
    <row r="680" spans="5:14">
      <c r="E680" s="1128">
        <f ca="1">IFERROR(C680*D680*_xlfn.XLOOKUP(B680,TabCalc[Ticker],TabCalc[Scale]),0)</f>
        <v>0</v>
      </c>
      <c r="F680" s="1129" cm="1">
        <f t="array" ref="F680">IF(A680=A679,0,SUM(_xlfn._xlws.FILTER(E680:E690,A680:A690=A680)))</f>
        <v>0</v>
      </c>
      <c r="G680" s="1130">
        <f>IF(F680&lt;&gt;0,SUM($F$43:F680),0)</f>
        <v>0</v>
      </c>
      <c r="H680" s="1130" cm="1">
        <f t="array" ref="H680">IFERROR(IF(A680=A679,0,SUM(_xlfn._xlws.FILTER(E680:E690,(A680:A690=A680)*(E680:E690&gt;0)))),0)</f>
        <v>0</v>
      </c>
      <c r="I680" s="1130" cm="1">
        <f t="array" ref="I680">IFERROR(IF(A680=A679,0,SUM(_xlfn._xlws.FILTER(E680:E690,(A680:A690=A680)*(F680&lt;0)))),0)</f>
        <v>0</v>
      </c>
      <c r="J680" s="295" t="str">
        <f ca="1">IFERROR(_xlfn.XLOOKUP(B680,TabCalc[Ticker],TabCalc[Cur]),"")</f>
        <v/>
      </c>
      <c r="K680" s="1129" cm="1">
        <f t="array" ref="K680">IFERROR(IF($A680=$A679,0,SUM(_xlfn._xlws.FILTER($E680:$E690,($A680:$A690=$A680)*($J680:$J690=K$42)))),0)</f>
        <v>0</v>
      </c>
      <c r="L680" s="1129" cm="1">
        <f t="array" ref="L680">IFERROR(IF($A680=$A679,0,SUM(_xlfn._xlws.FILTER($E680:$E690,($A680:$A690=$A680)*($J680:$J690=L$42)))),0)</f>
        <v>0</v>
      </c>
      <c r="M680" s="1129" cm="1">
        <f t="array" ref="M680">IFERROR(IF($A680=$A679,0,SUM(_xlfn._xlws.FILTER($E680:$E690,($A680:$A690=$A680)*($J680:$J690=M$42)))),0)</f>
        <v>0</v>
      </c>
      <c r="N680" s="1129" cm="1">
        <f t="array" ref="N680">IFERROR(IF($A680=$A679,0,SUM(_xlfn._xlws.FILTER($E680:$E690,($A680:$A690=$A680)*($J680:$J690=N$42)))),0)</f>
        <v>0</v>
      </c>
    </row>
    <row r="681" spans="5:14">
      <c r="E681" s="1128">
        <f ca="1">IFERROR(C681*D681*_xlfn.XLOOKUP(B681,TabCalc[Ticker],TabCalc[Scale]),0)</f>
        <v>0</v>
      </c>
      <c r="F681" s="1129" cm="1">
        <f t="array" ref="F681">IF(A681=A680,0,SUM(_xlfn._xlws.FILTER(E681:E691,A681:A691=A681)))</f>
        <v>0</v>
      </c>
      <c r="G681" s="1130">
        <f>IF(F681&lt;&gt;0,SUM($F$43:F681),0)</f>
        <v>0</v>
      </c>
      <c r="H681" s="1130" cm="1">
        <f t="array" ref="H681">IFERROR(IF(A681=A680,0,SUM(_xlfn._xlws.FILTER(E681:E691,(A681:A691=A681)*(E681:E691&gt;0)))),0)</f>
        <v>0</v>
      </c>
      <c r="I681" s="1130" cm="1">
        <f t="array" ref="I681">IFERROR(IF(A681=A680,0,SUM(_xlfn._xlws.FILTER(E681:E691,(A681:A691=A681)*(F681&lt;0)))),0)</f>
        <v>0</v>
      </c>
      <c r="J681" s="295" t="str">
        <f ca="1">IFERROR(_xlfn.XLOOKUP(B681,TabCalc[Ticker],TabCalc[Cur]),"")</f>
        <v/>
      </c>
      <c r="K681" s="1129" cm="1">
        <f t="array" ref="K681">IFERROR(IF($A681=$A680,0,SUM(_xlfn._xlws.FILTER($E681:$E691,($A681:$A691=$A681)*($J681:$J691=K$42)))),0)</f>
        <v>0</v>
      </c>
      <c r="L681" s="1129" cm="1">
        <f t="array" ref="L681">IFERROR(IF($A681=$A680,0,SUM(_xlfn._xlws.FILTER($E681:$E691,($A681:$A691=$A681)*($J681:$J691=L$42)))),0)</f>
        <v>0</v>
      </c>
      <c r="M681" s="1129" cm="1">
        <f t="array" ref="M681">IFERROR(IF($A681=$A680,0,SUM(_xlfn._xlws.FILTER($E681:$E691,($A681:$A691=$A681)*($J681:$J691=M$42)))),0)</f>
        <v>0</v>
      </c>
      <c r="N681" s="1129" cm="1">
        <f t="array" ref="N681">IFERROR(IF($A681=$A680,0,SUM(_xlfn._xlws.FILTER($E681:$E691,($A681:$A691=$A681)*($J681:$J691=N$42)))),0)</f>
        <v>0</v>
      </c>
    </row>
    <row r="682" spans="5:14">
      <c r="E682" s="1128">
        <f ca="1">IFERROR(C682*D682*_xlfn.XLOOKUP(B682,TabCalc[Ticker],TabCalc[Scale]),0)</f>
        <v>0</v>
      </c>
      <c r="F682" s="1129" cm="1">
        <f t="array" ref="F682">IF(A682=A681,0,SUM(_xlfn._xlws.FILTER(E682:E692,A682:A692=A682)))</f>
        <v>0</v>
      </c>
      <c r="G682" s="1130">
        <f>IF(F682&lt;&gt;0,SUM($F$43:F682),0)</f>
        <v>0</v>
      </c>
      <c r="H682" s="1130" cm="1">
        <f t="array" ref="H682">IFERROR(IF(A682=A681,0,SUM(_xlfn._xlws.FILTER(E682:E692,(A682:A692=A682)*(E682:E692&gt;0)))),0)</f>
        <v>0</v>
      </c>
      <c r="I682" s="1130" cm="1">
        <f t="array" ref="I682">IFERROR(IF(A682=A681,0,SUM(_xlfn._xlws.FILTER(E682:E692,(A682:A692=A682)*(F682&lt;0)))),0)</f>
        <v>0</v>
      </c>
      <c r="J682" s="295" t="str">
        <f ca="1">IFERROR(_xlfn.XLOOKUP(B682,TabCalc[Ticker],TabCalc[Cur]),"")</f>
        <v/>
      </c>
      <c r="K682" s="1129" cm="1">
        <f t="array" ref="K682">IFERROR(IF($A682=$A681,0,SUM(_xlfn._xlws.FILTER($E682:$E692,($A682:$A692=$A682)*($J682:$J692=K$42)))),0)</f>
        <v>0</v>
      </c>
      <c r="L682" s="1129" cm="1">
        <f t="array" ref="L682">IFERROR(IF($A682=$A681,0,SUM(_xlfn._xlws.FILTER($E682:$E692,($A682:$A692=$A682)*($J682:$J692=L$42)))),0)</f>
        <v>0</v>
      </c>
      <c r="M682" s="1129" cm="1">
        <f t="array" ref="M682">IFERROR(IF($A682=$A681,0,SUM(_xlfn._xlws.FILTER($E682:$E692,($A682:$A692=$A682)*($J682:$J692=M$42)))),0)</f>
        <v>0</v>
      </c>
      <c r="N682" s="1129" cm="1">
        <f t="array" ref="N682">IFERROR(IF($A682=$A681,0,SUM(_xlfn._xlws.FILTER($E682:$E692,($A682:$A692=$A682)*($J682:$J692=N$42)))),0)</f>
        <v>0</v>
      </c>
    </row>
    <row r="683" spans="5:14">
      <c r="E683" s="1128">
        <f ca="1">IFERROR(C683*D683*_xlfn.XLOOKUP(B683,TabCalc[Ticker],TabCalc[Scale]),0)</f>
        <v>0</v>
      </c>
      <c r="F683" s="1129" cm="1">
        <f t="array" ref="F683">IF(A683=A682,0,SUM(_xlfn._xlws.FILTER(E683:E693,A683:A693=A683)))</f>
        <v>0</v>
      </c>
      <c r="G683" s="1130">
        <f>IF(F683&lt;&gt;0,SUM($F$43:F683),0)</f>
        <v>0</v>
      </c>
      <c r="H683" s="1130" cm="1">
        <f t="array" ref="H683">IFERROR(IF(A683=A682,0,SUM(_xlfn._xlws.FILTER(E683:E693,(A683:A693=A683)*(E683:E693&gt;0)))),0)</f>
        <v>0</v>
      </c>
      <c r="I683" s="1130" cm="1">
        <f t="array" ref="I683">IFERROR(IF(A683=A682,0,SUM(_xlfn._xlws.FILTER(E683:E693,(A683:A693=A683)*(F683&lt;0)))),0)</f>
        <v>0</v>
      </c>
      <c r="J683" s="295" t="str">
        <f ca="1">IFERROR(_xlfn.XLOOKUP(B683,TabCalc[Ticker],TabCalc[Cur]),"")</f>
        <v/>
      </c>
      <c r="K683" s="1129" cm="1">
        <f t="array" ref="K683">IFERROR(IF($A683=$A682,0,SUM(_xlfn._xlws.FILTER($E683:$E693,($A683:$A693=$A683)*($J683:$J693=K$42)))),0)</f>
        <v>0</v>
      </c>
      <c r="L683" s="1129" cm="1">
        <f t="array" ref="L683">IFERROR(IF($A683=$A682,0,SUM(_xlfn._xlws.FILTER($E683:$E693,($A683:$A693=$A683)*($J683:$J693=L$42)))),0)</f>
        <v>0</v>
      </c>
      <c r="M683" s="1129" cm="1">
        <f t="array" ref="M683">IFERROR(IF($A683=$A682,0,SUM(_xlfn._xlws.FILTER($E683:$E693,($A683:$A693=$A683)*($J683:$J693=M$42)))),0)</f>
        <v>0</v>
      </c>
      <c r="N683" s="1129" cm="1">
        <f t="array" ref="N683">IFERROR(IF($A683=$A682,0,SUM(_xlfn._xlws.FILTER($E683:$E693,($A683:$A693=$A683)*($J683:$J693=N$42)))),0)</f>
        <v>0</v>
      </c>
    </row>
    <row r="684" spans="5:14">
      <c r="E684" s="1128">
        <f ca="1">IFERROR(C684*D684*_xlfn.XLOOKUP(B684,TabCalc[Ticker],TabCalc[Scale]),0)</f>
        <v>0</v>
      </c>
      <c r="F684" s="1129" cm="1">
        <f t="array" ref="F684">IF(A684=A683,0,SUM(_xlfn._xlws.FILTER(E684:E694,A684:A694=A684)))</f>
        <v>0</v>
      </c>
      <c r="G684" s="1130">
        <f>IF(F684&lt;&gt;0,SUM($F$43:F684),0)</f>
        <v>0</v>
      </c>
      <c r="H684" s="1130" cm="1">
        <f t="array" ref="H684">IFERROR(IF(A684=A683,0,SUM(_xlfn._xlws.FILTER(E684:E694,(A684:A694=A684)*(E684:E694&gt;0)))),0)</f>
        <v>0</v>
      </c>
      <c r="I684" s="1130" cm="1">
        <f t="array" ref="I684">IFERROR(IF(A684=A683,0,SUM(_xlfn._xlws.FILTER(E684:E694,(A684:A694=A684)*(F684&lt;0)))),0)</f>
        <v>0</v>
      </c>
      <c r="J684" s="295" t="str">
        <f ca="1">IFERROR(_xlfn.XLOOKUP(B684,TabCalc[Ticker],TabCalc[Cur]),"")</f>
        <v/>
      </c>
      <c r="K684" s="1129" cm="1">
        <f t="array" ref="K684">IFERROR(IF($A684=$A683,0,SUM(_xlfn._xlws.FILTER($E684:$E694,($A684:$A694=$A684)*($J684:$J694=K$42)))),0)</f>
        <v>0</v>
      </c>
      <c r="L684" s="1129" cm="1">
        <f t="array" ref="L684">IFERROR(IF($A684=$A683,0,SUM(_xlfn._xlws.FILTER($E684:$E694,($A684:$A694=$A684)*($J684:$J694=L$42)))),0)</f>
        <v>0</v>
      </c>
      <c r="M684" s="1129" cm="1">
        <f t="array" ref="M684">IFERROR(IF($A684=$A683,0,SUM(_xlfn._xlws.FILTER($E684:$E694,($A684:$A694=$A684)*($J684:$J694=M$42)))),0)</f>
        <v>0</v>
      </c>
      <c r="N684" s="1129" cm="1">
        <f t="array" ref="N684">IFERROR(IF($A684=$A683,0,SUM(_xlfn._xlws.FILTER($E684:$E694,($A684:$A694=$A684)*($J684:$J694=N$42)))),0)</f>
        <v>0</v>
      </c>
    </row>
    <row r="685" spans="5:14">
      <c r="E685" s="1128">
        <f ca="1">IFERROR(C685*D685*_xlfn.XLOOKUP(B685,TabCalc[Ticker],TabCalc[Scale]),0)</f>
        <v>0</v>
      </c>
      <c r="F685" s="1129" cm="1">
        <f t="array" ref="F685">IF(A685=A684,0,SUM(_xlfn._xlws.FILTER(E685:E695,A685:A695=A685)))</f>
        <v>0</v>
      </c>
      <c r="G685" s="1130">
        <f>IF(F685&lt;&gt;0,SUM($F$43:F685),0)</f>
        <v>0</v>
      </c>
      <c r="H685" s="1130" cm="1">
        <f t="array" ref="H685">IFERROR(IF(A685=A684,0,SUM(_xlfn._xlws.FILTER(E685:E695,(A685:A695=A685)*(E685:E695&gt;0)))),0)</f>
        <v>0</v>
      </c>
      <c r="I685" s="1130" cm="1">
        <f t="array" ref="I685">IFERROR(IF(A685=A684,0,SUM(_xlfn._xlws.FILTER(E685:E695,(A685:A695=A685)*(F685&lt;0)))),0)</f>
        <v>0</v>
      </c>
      <c r="J685" s="295" t="str">
        <f ca="1">IFERROR(_xlfn.XLOOKUP(B685,TabCalc[Ticker],TabCalc[Cur]),"")</f>
        <v/>
      </c>
      <c r="K685" s="1129" cm="1">
        <f t="array" ref="K685">IFERROR(IF($A685=$A684,0,SUM(_xlfn._xlws.FILTER($E685:$E695,($A685:$A695=$A685)*($J685:$J695=K$42)))),0)</f>
        <v>0</v>
      </c>
      <c r="L685" s="1129" cm="1">
        <f t="array" ref="L685">IFERROR(IF($A685=$A684,0,SUM(_xlfn._xlws.FILTER($E685:$E695,($A685:$A695=$A685)*($J685:$J695=L$42)))),0)</f>
        <v>0</v>
      </c>
      <c r="M685" s="1129" cm="1">
        <f t="array" ref="M685">IFERROR(IF($A685=$A684,0,SUM(_xlfn._xlws.FILTER($E685:$E695,($A685:$A695=$A685)*($J685:$J695=M$42)))),0)</f>
        <v>0</v>
      </c>
      <c r="N685" s="1129" cm="1">
        <f t="array" ref="N685">IFERROR(IF($A685=$A684,0,SUM(_xlfn._xlws.FILTER($E685:$E695,($A685:$A695=$A685)*($J685:$J695=N$42)))),0)</f>
        <v>0</v>
      </c>
    </row>
    <row r="686" spans="5:14">
      <c r="E686" s="1128">
        <f ca="1">IFERROR(C686*D686*_xlfn.XLOOKUP(B686,TabCalc[Ticker],TabCalc[Scale]),0)</f>
        <v>0</v>
      </c>
      <c r="F686" s="1129" cm="1">
        <f t="array" ref="F686">IF(A686=A685,0,SUM(_xlfn._xlws.FILTER(E686:E696,A686:A696=A686)))</f>
        <v>0</v>
      </c>
      <c r="G686" s="1130">
        <f>IF(F686&lt;&gt;0,SUM($F$43:F686),0)</f>
        <v>0</v>
      </c>
      <c r="H686" s="1130" cm="1">
        <f t="array" ref="H686">IFERROR(IF(A686=A685,0,SUM(_xlfn._xlws.FILTER(E686:E696,(A686:A696=A686)*(E686:E696&gt;0)))),0)</f>
        <v>0</v>
      </c>
      <c r="I686" s="1130" cm="1">
        <f t="array" ref="I686">IFERROR(IF(A686=A685,0,SUM(_xlfn._xlws.FILTER(E686:E696,(A686:A696=A686)*(F686&lt;0)))),0)</f>
        <v>0</v>
      </c>
      <c r="J686" s="295" t="str">
        <f ca="1">IFERROR(_xlfn.XLOOKUP(B686,TabCalc[Ticker],TabCalc[Cur]),"")</f>
        <v/>
      </c>
      <c r="K686" s="1129" cm="1">
        <f t="array" ref="K686">IFERROR(IF($A686=$A685,0,SUM(_xlfn._xlws.FILTER($E686:$E696,($A686:$A696=$A686)*($J686:$J696=K$42)))),0)</f>
        <v>0</v>
      </c>
      <c r="L686" s="1129" cm="1">
        <f t="array" ref="L686">IFERROR(IF($A686=$A685,0,SUM(_xlfn._xlws.FILTER($E686:$E696,($A686:$A696=$A686)*($J686:$J696=L$42)))),0)</f>
        <v>0</v>
      </c>
      <c r="M686" s="1129" cm="1">
        <f t="array" ref="M686">IFERROR(IF($A686=$A685,0,SUM(_xlfn._xlws.FILTER($E686:$E696,($A686:$A696=$A686)*($J686:$J696=M$42)))),0)</f>
        <v>0</v>
      </c>
      <c r="N686" s="1129" cm="1">
        <f t="array" ref="N686">IFERROR(IF($A686=$A685,0,SUM(_xlfn._xlws.FILTER($E686:$E696,($A686:$A696=$A686)*($J686:$J696=N$42)))),0)</f>
        <v>0</v>
      </c>
    </row>
    <row r="687" spans="5:14">
      <c r="E687" s="1128">
        <f ca="1">IFERROR(C687*D687*_xlfn.XLOOKUP(B687,TabCalc[Ticker],TabCalc[Scale]),0)</f>
        <v>0</v>
      </c>
      <c r="F687" s="1129" cm="1">
        <f t="array" ref="F687">IF(A687=A686,0,SUM(_xlfn._xlws.FILTER(E687:E697,A687:A697=A687)))</f>
        <v>0</v>
      </c>
      <c r="G687" s="1130">
        <f>IF(F687&lt;&gt;0,SUM($F$43:F687),0)</f>
        <v>0</v>
      </c>
      <c r="H687" s="1130" cm="1">
        <f t="array" ref="H687">IFERROR(IF(A687=A686,0,SUM(_xlfn._xlws.FILTER(E687:E697,(A687:A697=A687)*(E687:E697&gt;0)))),0)</f>
        <v>0</v>
      </c>
      <c r="I687" s="1130" cm="1">
        <f t="array" ref="I687">IFERROR(IF(A687=A686,0,SUM(_xlfn._xlws.FILTER(E687:E697,(A687:A697=A687)*(F687&lt;0)))),0)</f>
        <v>0</v>
      </c>
      <c r="J687" s="295" t="str">
        <f ca="1">IFERROR(_xlfn.XLOOKUP(B687,TabCalc[Ticker],TabCalc[Cur]),"")</f>
        <v/>
      </c>
      <c r="K687" s="1129" cm="1">
        <f t="array" ref="K687">IFERROR(IF($A687=$A686,0,SUM(_xlfn._xlws.FILTER($E687:$E697,($A687:$A697=$A687)*($J687:$J697=K$42)))),0)</f>
        <v>0</v>
      </c>
      <c r="L687" s="1129" cm="1">
        <f t="array" ref="L687">IFERROR(IF($A687=$A686,0,SUM(_xlfn._xlws.FILTER($E687:$E697,($A687:$A697=$A687)*($J687:$J697=L$42)))),0)</f>
        <v>0</v>
      </c>
      <c r="M687" s="1129" cm="1">
        <f t="array" ref="M687">IFERROR(IF($A687=$A686,0,SUM(_xlfn._xlws.FILTER($E687:$E697,($A687:$A697=$A687)*($J687:$J697=M$42)))),0)</f>
        <v>0</v>
      </c>
      <c r="N687" s="1129" cm="1">
        <f t="array" ref="N687">IFERROR(IF($A687=$A686,0,SUM(_xlfn._xlws.FILTER($E687:$E697,($A687:$A697=$A687)*($J687:$J697=N$42)))),0)</f>
        <v>0</v>
      </c>
    </row>
    <row r="688" spans="5:14">
      <c r="E688" s="1128">
        <f ca="1">IFERROR(C688*D688*_xlfn.XLOOKUP(B688,TabCalc[Ticker],TabCalc[Scale]),0)</f>
        <v>0</v>
      </c>
      <c r="F688" s="1129" cm="1">
        <f t="array" ref="F688">IF(A688=A687,0,SUM(_xlfn._xlws.FILTER(E688:E698,A688:A698=A688)))</f>
        <v>0</v>
      </c>
      <c r="G688" s="1130">
        <f>IF(F688&lt;&gt;0,SUM($F$43:F688),0)</f>
        <v>0</v>
      </c>
      <c r="H688" s="1130" cm="1">
        <f t="array" ref="H688">IFERROR(IF(A688=A687,0,SUM(_xlfn._xlws.FILTER(E688:E698,(A688:A698=A688)*(E688:E698&gt;0)))),0)</f>
        <v>0</v>
      </c>
      <c r="I688" s="1130" cm="1">
        <f t="array" ref="I688">IFERROR(IF(A688=A687,0,SUM(_xlfn._xlws.FILTER(E688:E698,(A688:A698=A688)*(F688&lt;0)))),0)</f>
        <v>0</v>
      </c>
      <c r="J688" s="295" t="str">
        <f ca="1">IFERROR(_xlfn.XLOOKUP(B688,TabCalc[Ticker],TabCalc[Cur]),"")</f>
        <v/>
      </c>
      <c r="K688" s="1129" cm="1">
        <f t="array" ref="K688">IFERROR(IF($A688=$A687,0,SUM(_xlfn._xlws.FILTER($E688:$E698,($A688:$A698=$A688)*($J688:$J698=K$42)))),0)</f>
        <v>0</v>
      </c>
      <c r="L688" s="1129" cm="1">
        <f t="array" ref="L688">IFERROR(IF($A688=$A687,0,SUM(_xlfn._xlws.FILTER($E688:$E698,($A688:$A698=$A688)*($J688:$J698=L$42)))),0)</f>
        <v>0</v>
      </c>
      <c r="M688" s="1129" cm="1">
        <f t="array" ref="M688">IFERROR(IF($A688=$A687,0,SUM(_xlfn._xlws.FILTER($E688:$E698,($A688:$A698=$A688)*($J688:$J698=M$42)))),0)</f>
        <v>0</v>
      </c>
      <c r="N688" s="1129" cm="1">
        <f t="array" ref="N688">IFERROR(IF($A688=$A687,0,SUM(_xlfn._xlws.FILTER($E688:$E698,($A688:$A698=$A688)*($J688:$J698=N$42)))),0)</f>
        <v>0</v>
      </c>
    </row>
    <row r="689" spans="5:14">
      <c r="E689" s="1128">
        <f ca="1">IFERROR(C689*D689*_xlfn.XLOOKUP(B689,TabCalc[Ticker],TabCalc[Scale]),0)</f>
        <v>0</v>
      </c>
      <c r="F689" s="1129" cm="1">
        <f t="array" ref="F689">IF(A689=A688,0,SUM(_xlfn._xlws.FILTER(E689:E699,A689:A699=A689)))</f>
        <v>0</v>
      </c>
      <c r="G689" s="1130">
        <f>IF(F689&lt;&gt;0,SUM($F$43:F689),0)</f>
        <v>0</v>
      </c>
      <c r="H689" s="1130" cm="1">
        <f t="array" ref="H689">IFERROR(IF(A689=A688,0,SUM(_xlfn._xlws.FILTER(E689:E699,(A689:A699=A689)*(E689:E699&gt;0)))),0)</f>
        <v>0</v>
      </c>
      <c r="I689" s="1130" cm="1">
        <f t="array" ref="I689">IFERROR(IF(A689=A688,0,SUM(_xlfn._xlws.FILTER(E689:E699,(A689:A699=A689)*(F689&lt;0)))),0)</f>
        <v>0</v>
      </c>
      <c r="J689" s="295" t="str">
        <f ca="1">IFERROR(_xlfn.XLOOKUP(B689,TabCalc[Ticker],TabCalc[Cur]),"")</f>
        <v/>
      </c>
      <c r="K689" s="1129" cm="1">
        <f t="array" ref="K689">IFERROR(IF($A689=$A688,0,SUM(_xlfn._xlws.FILTER($E689:$E699,($A689:$A699=$A689)*($J689:$J699=K$42)))),0)</f>
        <v>0</v>
      </c>
      <c r="L689" s="1129" cm="1">
        <f t="array" ref="L689">IFERROR(IF($A689=$A688,0,SUM(_xlfn._xlws.FILTER($E689:$E699,($A689:$A699=$A689)*($J689:$J699=L$42)))),0)</f>
        <v>0</v>
      </c>
      <c r="M689" s="1129" cm="1">
        <f t="array" ref="M689">IFERROR(IF($A689=$A688,0,SUM(_xlfn._xlws.FILTER($E689:$E699,($A689:$A699=$A689)*($J689:$J699=M$42)))),0)</f>
        <v>0</v>
      </c>
      <c r="N689" s="1129" cm="1">
        <f t="array" ref="N689">IFERROR(IF($A689=$A688,0,SUM(_xlfn._xlws.FILTER($E689:$E699,($A689:$A699=$A689)*($J689:$J699=N$42)))),0)</f>
        <v>0</v>
      </c>
    </row>
    <row r="690" spans="5:14">
      <c r="E690" s="1128">
        <f ca="1">IFERROR(C690*D690*_xlfn.XLOOKUP(B690,TabCalc[Ticker],TabCalc[Scale]),0)</f>
        <v>0</v>
      </c>
      <c r="F690" s="1129" cm="1">
        <f t="array" ref="F690">IF(A690=A689,0,SUM(_xlfn._xlws.FILTER(E690:E700,A690:A700=A690)))</f>
        <v>0</v>
      </c>
      <c r="G690" s="1130">
        <f>IF(F690&lt;&gt;0,SUM($F$43:F690),0)</f>
        <v>0</v>
      </c>
      <c r="H690" s="1130" cm="1">
        <f t="array" ref="H690">IFERROR(IF(A690=A689,0,SUM(_xlfn._xlws.FILTER(E690:E700,(A690:A700=A690)*(E690:E700&gt;0)))),0)</f>
        <v>0</v>
      </c>
      <c r="I690" s="1130" cm="1">
        <f t="array" ref="I690">IFERROR(IF(A690=A689,0,SUM(_xlfn._xlws.FILTER(E690:E700,(A690:A700=A690)*(F690&lt;0)))),0)</f>
        <v>0</v>
      </c>
      <c r="J690" s="295" t="str">
        <f ca="1">IFERROR(_xlfn.XLOOKUP(B690,TabCalc[Ticker],TabCalc[Cur]),"")</f>
        <v/>
      </c>
      <c r="K690" s="1129" cm="1">
        <f t="array" ref="K690">IFERROR(IF($A690=$A689,0,SUM(_xlfn._xlws.FILTER($E690:$E700,($A690:$A700=$A690)*($J690:$J700=K$42)))),0)</f>
        <v>0</v>
      </c>
      <c r="L690" s="1129" cm="1">
        <f t="array" ref="L690">IFERROR(IF($A690=$A689,0,SUM(_xlfn._xlws.FILTER($E690:$E700,($A690:$A700=$A690)*($J690:$J700=L$42)))),0)</f>
        <v>0</v>
      </c>
      <c r="M690" s="1129" cm="1">
        <f t="array" ref="M690">IFERROR(IF($A690=$A689,0,SUM(_xlfn._xlws.FILTER($E690:$E700,($A690:$A700=$A690)*($J690:$J700=M$42)))),0)</f>
        <v>0</v>
      </c>
      <c r="N690" s="1129" cm="1">
        <f t="array" ref="N690">IFERROR(IF($A690=$A689,0,SUM(_xlfn._xlws.FILTER($E690:$E700,($A690:$A700=$A690)*($J690:$J700=N$42)))),0)</f>
        <v>0</v>
      </c>
    </row>
    <row r="691" spans="5:14">
      <c r="E691" s="1128">
        <f ca="1">IFERROR(C691*D691*_xlfn.XLOOKUP(B691,TabCalc[Ticker],TabCalc[Scale]),0)</f>
        <v>0</v>
      </c>
      <c r="F691" s="1129" cm="1">
        <f t="array" ref="F691">IF(A691=A690,0,SUM(_xlfn._xlws.FILTER(E691:E701,A691:A701=A691)))</f>
        <v>0</v>
      </c>
      <c r="G691" s="1130">
        <f>IF(F691&lt;&gt;0,SUM($F$43:F691),0)</f>
        <v>0</v>
      </c>
      <c r="H691" s="1130" cm="1">
        <f t="array" ref="H691">IFERROR(IF(A691=A690,0,SUM(_xlfn._xlws.FILTER(E691:E701,(A691:A701=A691)*(E691:E701&gt;0)))),0)</f>
        <v>0</v>
      </c>
      <c r="I691" s="1130" cm="1">
        <f t="array" ref="I691">IFERROR(IF(A691=A690,0,SUM(_xlfn._xlws.FILTER(E691:E701,(A691:A701=A691)*(F691&lt;0)))),0)</f>
        <v>0</v>
      </c>
      <c r="J691" s="295" t="str">
        <f ca="1">IFERROR(_xlfn.XLOOKUP(B691,TabCalc[Ticker],TabCalc[Cur]),"")</f>
        <v/>
      </c>
      <c r="K691" s="1129" cm="1">
        <f t="array" ref="K691">IFERROR(IF($A691=$A690,0,SUM(_xlfn._xlws.FILTER($E691:$E701,($A691:$A701=$A691)*($J691:$J701=K$42)))),0)</f>
        <v>0</v>
      </c>
      <c r="L691" s="1129" cm="1">
        <f t="array" ref="L691">IFERROR(IF($A691=$A690,0,SUM(_xlfn._xlws.FILTER($E691:$E701,($A691:$A701=$A691)*($J691:$J701=L$42)))),0)</f>
        <v>0</v>
      </c>
      <c r="M691" s="1129" cm="1">
        <f t="array" ref="M691">IFERROR(IF($A691=$A690,0,SUM(_xlfn._xlws.FILTER($E691:$E701,($A691:$A701=$A691)*($J691:$J701=M$42)))),0)</f>
        <v>0</v>
      </c>
      <c r="N691" s="1129" cm="1">
        <f t="array" ref="N691">IFERROR(IF($A691=$A690,0,SUM(_xlfn._xlws.FILTER($E691:$E701,($A691:$A701=$A691)*($J691:$J701=N$42)))),0)</f>
        <v>0</v>
      </c>
    </row>
    <row r="692" spans="5:14">
      <c r="E692" s="1128">
        <f ca="1">IFERROR(C692*D692*_xlfn.XLOOKUP(B692,TabCalc[Ticker],TabCalc[Scale]),0)</f>
        <v>0</v>
      </c>
      <c r="F692" s="1129" cm="1">
        <f t="array" ref="F692">IF(A692=A691,0,SUM(_xlfn._xlws.FILTER(E692:E702,A692:A702=A692)))</f>
        <v>0</v>
      </c>
      <c r="G692" s="1130">
        <f>IF(F692&lt;&gt;0,SUM($F$43:F692),0)</f>
        <v>0</v>
      </c>
      <c r="H692" s="1130" cm="1">
        <f t="array" ref="H692">IFERROR(IF(A692=A691,0,SUM(_xlfn._xlws.FILTER(E692:E702,(A692:A702=A692)*(E692:E702&gt;0)))),0)</f>
        <v>0</v>
      </c>
      <c r="I692" s="1130" cm="1">
        <f t="array" ref="I692">IFERROR(IF(A692=A691,0,SUM(_xlfn._xlws.FILTER(E692:E702,(A692:A702=A692)*(F692&lt;0)))),0)</f>
        <v>0</v>
      </c>
      <c r="J692" s="295" t="str">
        <f ca="1">IFERROR(_xlfn.XLOOKUP(B692,TabCalc[Ticker],TabCalc[Cur]),"")</f>
        <v/>
      </c>
      <c r="K692" s="1129" cm="1">
        <f t="array" ref="K692">IFERROR(IF($A692=$A691,0,SUM(_xlfn._xlws.FILTER($E692:$E702,($A692:$A702=$A692)*($J692:$J702=K$42)))),0)</f>
        <v>0</v>
      </c>
      <c r="L692" s="1129" cm="1">
        <f t="array" ref="L692">IFERROR(IF($A692=$A691,0,SUM(_xlfn._xlws.FILTER($E692:$E702,($A692:$A702=$A692)*($J692:$J702=L$42)))),0)</f>
        <v>0</v>
      </c>
      <c r="M692" s="1129" cm="1">
        <f t="array" ref="M692">IFERROR(IF($A692=$A691,0,SUM(_xlfn._xlws.FILTER($E692:$E702,($A692:$A702=$A692)*($J692:$J702=M$42)))),0)</f>
        <v>0</v>
      </c>
      <c r="N692" s="1129" cm="1">
        <f t="array" ref="N692">IFERROR(IF($A692=$A691,0,SUM(_xlfn._xlws.FILTER($E692:$E702,($A692:$A702=$A692)*($J692:$J702=N$42)))),0)</f>
        <v>0</v>
      </c>
    </row>
    <row r="693" spans="5:14">
      <c r="E693" s="1128">
        <f ca="1">IFERROR(C693*D693*_xlfn.XLOOKUP(B693,TabCalc[Ticker],TabCalc[Scale]),0)</f>
        <v>0</v>
      </c>
      <c r="F693" s="1129" cm="1">
        <f t="array" ref="F693">IF(A693=A692,0,SUM(_xlfn._xlws.FILTER(E693:E703,A693:A703=A693)))</f>
        <v>0</v>
      </c>
      <c r="G693" s="1130">
        <f>IF(F693&lt;&gt;0,SUM($F$43:F693),0)</f>
        <v>0</v>
      </c>
      <c r="H693" s="1130" cm="1">
        <f t="array" ref="H693">IFERROR(IF(A693=A692,0,SUM(_xlfn._xlws.FILTER(E693:E703,(A693:A703=A693)*(E693:E703&gt;0)))),0)</f>
        <v>0</v>
      </c>
      <c r="I693" s="1130" cm="1">
        <f t="array" ref="I693">IFERROR(IF(A693=A692,0,SUM(_xlfn._xlws.FILTER(E693:E703,(A693:A703=A693)*(F693&lt;0)))),0)</f>
        <v>0</v>
      </c>
      <c r="J693" s="295" t="str">
        <f ca="1">IFERROR(_xlfn.XLOOKUP(B693,TabCalc[Ticker],TabCalc[Cur]),"")</f>
        <v/>
      </c>
      <c r="K693" s="1129" cm="1">
        <f t="array" ref="K693">IFERROR(IF($A693=$A692,0,SUM(_xlfn._xlws.FILTER($E693:$E703,($A693:$A703=$A693)*($J693:$J703=K$42)))),0)</f>
        <v>0</v>
      </c>
      <c r="L693" s="1129" cm="1">
        <f t="array" ref="L693">IFERROR(IF($A693=$A692,0,SUM(_xlfn._xlws.FILTER($E693:$E703,($A693:$A703=$A693)*($J693:$J703=L$42)))),0)</f>
        <v>0</v>
      </c>
      <c r="M693" s="1129" cm="1">
        <f t="array" ref="M693">IFERROR(IF($A693=$A692,0,SUM(_xlfn._xlws.FILTER($E693:$E703,($A693:$A703=$A693)*($J693:$J703=M$42)))),0)</f>
        <v>0</v>
      </c>
      <c r="N693" s="1129" cm="1">
        <f t="array" ref="N693">IFERROR(IF($A693=$A692,0,SUM(_xlfn._xlws.FILTER($E693:$E703,($A693:$A703=$A693)*($J693:$J703=N$42)))),0)</f>
        <v>0</v>
      </c>
    </row>
    <row r="694" spans="5:14">
      <c r="E694" s="1128">
        <f ca="1">IFERROR(C694*D694*_xlfn.XLOOKUP(B694,TabCalc[Ticker],TabCalc[Scale]),0)</f>
        <v>0</v>
      </c>
      <c r="F694" s="1129" cm="1">
        <f t="array" ref="F694">IF(A694=A693,0,SUM(_xlfn._xlws.FILTER(E694:E704,A694:A704=A694)))</f>
        <v>0</v>
      </c>
      <c r="G694" s="1130">
        <f>IF(F694&lt;&gt;0,SUM($F$43:F694),0)</f>
        <v>0</v>
      </c>
      <c r="H694" s="1130" cm="1">
        <f t="array" ref="H694">IFERROR(IF(A694=A693,0,SUM(_xlfn._xlws.FILTER(E694:E704,(A694:A704=A694)*(E694:E704&gt;0)))),0)</f>
        <v>0</v>
      </c>
      <c r="I694" s="1130" cm="1">
        <f t="array" ref="I694">IFERROR(IF(A694=A693,0,SUM(_xlfn._xlws.FILTER(E694:E704,(A694:A704=A694)*(F694&lt;0)))),0)</f>
        <v>0</v>
      </c>
      <c r="J694" s="295" t="str">
        <f ca="1">IFERROR(_xlfn.XLOOKUP(B694,TabCalc[Ticker],TabCalc[Cur]),"")</f>
        <v/>
      </c>
      <c r="K694" s="1129" cm="1">
        <f t="array" ref="K694">IFERROR(IF($A694=$A693,0,SUM(_xlfn._xlws.FILTER($E694:$E704,($A694:$A704=$A694)*($J694:$J704=K$42)))),0)</f>
        <v>0</v>
      </c>
      <c r="L694" s="1129" cm="1">
        <f t="array" ref="L694">IFERROR(IF($A694=$A693,0,SUM(_xlfn._xlws.FILTER($E694:$E704,($A694:$A704=$A694)*($J694:$J704=L$42)))),0)</f>
        <v>0</v>
      </c>
      <c r="M694" s="1129" cm="1">
        <f t="array" ref="M694">IFERROR(IF($A694=$A693,0,SUM(_xlfn._xlws.FILTER($E694:$E704,($A694:$A704=$A694)*($J694:$J704=M$42)))),0)</f>
        <v>0</v>
      </c>
      <c r="N694" s="1129" cm="1">
        <f t="array" ref="N694">IFERROR(IF($A694=$A693,0,SUM(_xlfn._xlws.FILTER($E694:$E704,($A694:$A704=$A694)*($J694:$J704=N$42)))),0)</f>
        <v>0</v>
      </c>
    </row>
    <row r="695" spans="5:14">
      <c r="E695" s="1128">
        <f ca="1">IFERROR(C695*D695*_xlfn.XLOOKUP(B695,TabCalc[Ticker],TabCalc[Scale]),0)</f>
        <v>0</v>
      </c>
      <c r="F695" s="1129" cm="1">
        <f t="array" ref="F695">IF(A695=A694,0,SUM(_xlfn._xlws.FILTER(E695:E705,A695:A705=A695)))</f>
        <v>0</v>
      </c>
      <c r="G695" s="1130">
        <f>IF(F695&lt;&gt;0,SUM($F$43:F695),0)</f>
        <v>0</v>
      </c>
      <c r="H695" s="1130" cm="1">
        <f t="array" ref="H695">IFERROR(IF(A695=A694,0,SUM(_xlfn._xlws.FILTER(E695:E705,(A695:A705=A695)*(E695:E705&gt;0)))),0)</f>
        <v>0</v>
      </c>
      <c r="I695" s="1130" cm="1">
        <f t="array" ref="I695">IFERROR(IF(A695=A694,0,SUM(_xlfn._xlws.FILTER(E695:E705,(A695:A705=A695)*(F695&lt;0)))),0)</f>
        <v>0</v>
      </c>
      <c r="J695" s="295" t="str">
        <f ca="1">IFERROR(_xlfn.XLOOKUP(B695,TabCalc[Ticker],TabCalc[Cur]),"")</f>
        <v/>
      </c>
      <c r="K695" s="1129" cm="1">
        <f t="array" ref="K695">IFERROR(IF($A695=$A694,0,SUM(_xlfn._xlws.FILTER($E695:$E705,($A695:$A705=$A695)*($J695:$J705=K$42)))),0)</f>
        <v>0</v>
      </c>
      <c r="L695" s="1129" cm="1">
        <f t="array" ref="L695">IFERROR(IF($A695=$A694,0,SUM(_xlfn._xlws.FILTER($E695:$E705,($A695:$A705=$A695)*($J695:$J705=L$42)))),0)</f>
        <v>0</v>
      </c>
      <c r="M695" s="1129" cm="1">
        <f t="array" ref="M695">IFERROR(IF($A695=$A694,0,SUM(_xlfn._xlws.FILTER($E695:$E705,($A695:$A705=$A695)*($J695:$J705=M$42)))),0)</f>
        <v>0</v>
      </c>
      <c r="N695" s="1129" cm="1">
        <f t="array" ref="N695">IFERROR(IF($A695=$A694,0,SUM(_xlfn._xlws.FILTER($E695:$E705,($A695:$A705=$A695)*($J695:$J705=N$42)))),0)</f>
        <v>0</v>
      </c>
    </row>
    <row r="696" spans="5:14">
      <c r="E696" s="1128">
        <f ca="1">IFERROR(C696*D696*_xlfn.XLOOKUP(B696,TabCalc[Ticker],TabCalc[Scale]),0)</f>
        <v>0</v>
      </c>
      <c r="F696" s="1129" cm="1">
        <f t="array" ref="F696">IF(A696=A695,0,SUM(_xlfn._xlws.FILTER(E696:E706,A696:A706=A696)))</f>
        <v>0</v>
      </c>
      <c r="G696" s="1130">
        <f>IF(F696&lt;&gt;0,SUM($F$43:F696),0)</f>
        <v>0</v>
      </c>
      <c r="H696" s="1130" cm="1">
        <f t="array" ref="H696">IFERROR(IF(A696=A695,0,SUM(_xlfn._xlws.FILTER(E696:E706,(A696:A706=A696)*(E696:E706&gt;0)))),0)</f>
        <v>0</v>
      </c>
      <c r="I696" s="1130" cm="1">
        <f t="array" ref="I696">IFERROR(IF(A696=A695,0,SUM(_xlfn._xlws.FILTER(E696:E706,(A696:A706=A696)*(F696&lt;0)))),0)</f>
        <v>0</v>
      </c>
      <c r="J696" s="295" t="str">
        <f ca="1">IFERROR(_xlfn.XLOOKUP(B696,TabCalc[Ticker],TabCalc[Cur]),"")</f>
        <v/>
      </c>
      <c r="K696" s="1129" cm="1">
        <f t="array" ref="K696">IFERROR(IF($A696=$A695,0,SUM(_xlfn._xlws.FILTER($E696:$E706,($A696:$A706=$A696)*($J696:$J706=K$42)))),0)</f>
        <v>0</v>
      </c>
      <c r="L696" s="1129" cm="1">
        <f t="array" ref="L696">IFERROR(IF($A696=$A695,0,SUM(_xlfn._xlws.FILTER($E696:$E706,($A696:$A706=$A696)*($J696:$J706=L$42)))),0)</f>
        <v>0</v>
      </c>
      <c r="M696" s="1129" cm="1">
        <f t="array" ref="M696">IFERROR(IF($A696=$A695,0,SUM(_xlfn._xlws.FILTER($E696:$E706,($A696:$A706=$A696)*($J696:$J706=M$42)))),0)</f>
        <v>0</v>
      </c>
      <c r="N696" s="1129" cm="1">
        <f t="array" ref="N696">IFERROR(IF($A696=$A695,0,SUM(_xlfn._xlws.FILTER($E696:$E706,($A696:$A706=$A696)*($J696:$J706=N$42)))),0)</f>
        <v>0</v>
      </c>
    </row>
    <row r="697" spans="5:14">
      <c r="E697" s="1128">
        <f ca="1">IFERROR(C697*D697*_xlfn.XLOOKUP(B697,TabCalc[Ticker],TabCalc[Scale]),0)</f>
        <v>0</v>
      </c>
      <c r="F697" s="1129" cm="1">
        <f t="array" ref="F697">IF(A697=A696,0,SUM(_xlfn._xlws.FILTER(E697:E707,A697:A707=A697)))</f>
        <v>0</v>
      </c>
      <c r="G697" s="1130">
        <f>IF(F697&lt;&gt;0,SUM($F$43:F697),0)</f>
        <v>0</v>
      </c>
      <c r="H697" s="1130" cm="1">
        <f t="array" ref="H697">IFERROR(IF(A697=A696,0,SUM(_xlfn._xlws.FILTER(E697:E707,(A697:A707=A697)*(E697:E707&gt;0)))),0)</f>
        <v>0</v>
      </c>
      <c r="I697" s="1130" cm="1">
        <f t="array" ref="I697">IFERROR(IF(A697=A696,0,SUM(_xlfn._xlws.FILTER(E697:E707,(A697:A707=A697)*(F697&lt;0)))),0)</f>
        <v>0</v>
      </c>
      <c r="J697" s="295" t="str">
        <f ca="1">IFERROR(_xlfn.XLOOKUP(B697,TabCalc[Ticker],TabCalc[Cur]),"")</f>
        <v/>
      </c>
      <c r="K697" s="1129" cm="1">
        <f t="array" ref="K697">IFERROR(IF($A697=$A696,0,SUM(_xlfn._xlws.FILTER($E697:$E707,($A697:$A707=$A697)*($J697:$J707=K$42)))),0)</f>
        <v>0</v>
      </c>
      <c r="L697" s="1129" cm="1">
        <f t="array" ref="L697">IFERROR(IF($A697=$A696,0,SUM(_xlfn._xlws.FILTER($E697:$E707,($A697:$A707=$A697)*($J697:$J707=L$42)))),0)</f>
        <v>0</v>
      </c>
      <c r="M697" s="1129" cm="1">
        <f t="array" ref="M697">IFERROR(IF($A697=$A696,0,SUM(_xlfn._xlws.FILTER($E697:$E707,($A697:$A707=$A697)*($J697:$J707=M$42)))),0)</f>
        <v>0</v>
      </c>
      <c r="N697" s="1129" cm="1">
        <f t="array" ref="N697">IFERROR(IF($A697=$A696,0,SUM(_xlfn._xlws.FILTER($E697:$E707,($A697:$A707=$A697)*($J697:$J707=N$42)))),0)</f>
        <v>0</v>
      </c>
    </row>
    <row r="698" spans="5:14">
      <c r="E698" s="1128">
        <f ca="1">IFERROR(C698*D698*_xlfn.XLOOKUP(B698,TabCalc[Ticker],TabCalc[Scale]),0)</f>
        <v>0</v>
      </c>
      <c r="F698" s="1129" cm="1">
        <f t="array" ref="F698">IF(A698=A697,0,SUM(_xlfn._xlws.FILTER(E698:E708,A698:A708=A698)))</f>
        <v>0</v>
      </c>
      <c r="G698" s="1130">
        <f>IF(F698&lt;&gt;0,SUM($F$43:F698),0)</f>
        <v>0</v>
      </c>
      <c r="H698" s="1130" cm="1">
        <f t="array" ref="H698">IFERROR(IF(A698=A697,0,SUM(_xlfn._xlws.FILTER(E698:E708,(A698:A708=A698)*(E698:E708&gt;0)))),0)</f>
        <v>0</v>
      </c>
      <c r="I698" s="1130" cm="1">
        <f t="array" ref="I698">IFERROR(IF(A698=A697,0,SUM(_xlfn._xlws.FILTER(E698:E708,(A698:A708=A698)*(F698&lt;0)))),0)</f>
        <v>0</v>
      </c>
      <c r="J698" s="295" t="str">
        <f ca="1">IFERROR(_xlfn.XLOOKUP(B698,TabCalc[Ticker],TabCalc[Cur]),"")</f>
        <v/>
      </c>
      <c r="K698" s="1129" cm="1">
        <f t="array" ref="K698">IFERROR(IF($A698=$A697,0,SUM(_xlfn._xlws.FILTER($E698:$E708,($A698:$A708=$A698)*($J698:$J708=K$42)))),0)</f>
        <v>0</v>
      </c>
      <c r="L698" s="1129" cm="1">
        <f t="array" ref="L698">IFERROR(IF($A698=$A697,0,SUM(_xlfn._xlws.FILTER($E698:$E708,($A698:$A708=$A698)*($J698:$J708=L$42)))),0)</f>
        <v>0</v>
      </c>
      <c r="M698" s="1129" cm="1">
        <f t="array" ref="M698">IFERROR(IF($A698=$A697,0,SUM(_xlfn._xlws.FILTER($E698:$E708,($A698:$A708=$A698)*($J698:$J708=M$42)))),0)</f>
        <v>0</v>
      </c>
      <c r="N698" s="1129" cm="1">
        <f t="array" ref="N698">IFERROR(IF($A698=$A697,0,SUM(_xlfn._xlws.FILTER($E698:$E708,($A698:$A708=$A698)*($J698:$J708=N$42)))),0)</f>
        <v>0</v>
      </c>
    </row>
    <row r="699" spans="5:14">
      <c r="E699" s="1128">
        <f ca="1">IFERROR(C699*D699*_xlfn.XLOOKUP(B699,TabCalc[Ticker],TabCalc[Scale]),0)</f>
        <v>0</v>
      </c>
      <c r="F699" s="1129" cm="1">
        <f t="array" ref="F699">IF(A699=A698,0,SUM(_xlfn._xlws.FILTER(E699:E709,A699:A709=A699)))</f>
        <v>0</v>
      </c>
      <c r="G699" s="1130">
        <f>IF(F699&lt;&gt;0,SUM($F$43:F699),0)</f>
        <v>0</v>
      </c>
      <c r="H699" s="1130" cm="1">
        <f t="array" ref="H699">IFERROR(IF(A699=A698,0,SUM(_xlfn._xlws.FILTER(E699:E709,(A699:A709=A699)*(E699:E709&gt;0)))),0)</f>
        <v>0</v>
      </c>
      <c r="I699" s="1130" cm="1">
        <f t="array" ref="I699">IFERROR(IF(A699=A698,0,SUM(_xlfn._xlws.FILTER(E699:E709,(A699:A709=A699)*(F699&lt;0)))),0)</f>
        <v>0</v>
      </c>
      <c r="J699" s="295" t="str">
        <f ca="1">IFERROR(_xlfn.XLOOKUP(B699,TabCalc[Ticker],TabCalc[Cur]),"")</f>
        <v/>
      </c>
      <c r="K699" s="1129" cm="1">
        <f t="array" ref="K699">IFERROR(IF($A699=$A698,0,SUM(_xlfn._xlws.FILTER($E699:$E709,($A699:$A709=$A699)*($J699:$J709=K$42)))),0)</f>
        <v>0</v>
      </c>
      <c r="L699" s="1129" cm="1">
        <f t="array" ref="L699">IFERROR(IF($A699=$A698,0,SUM(_xlfn._xlws.FILTER($E699:$E709,($A699:$A709=$A699)*($J699:$J709=L$42)))),0)</f>
        <v>0</v>
      </c>
      <c r="M699" s="1129" cm="1">
        <f t="array" ref="M699">IFERROR(IF($A699=$A698,0,SUM(_xlfn._xlws.FILTER($E699:$E709,($A699:$A709=$A699)*($J699:$J709=M$42)))),0)</f>
        <v>0</v>
      </c>
      <c r="N699" s="1129" cm="1">
        <f t="array" ref="N699">IFERROR(IF($A699=$A698,0,SUM(_xlfn._xlws.FILTER($E699:$E709,($A699:$A709=$A699)*($J699:$J709=N$42)))),0)</f>
        <v>0</v>
      </c>
    </row>
    <row r="700" spans="5:14">
      <c r="E700" s="1128">
        <f ca="1">IFERROR(C700*D700*_xlfn.XLOOKUP(B700,TabCalc[Ticker],TabCalc[Scale]),0)</f>
        <v>0</v>
      </c>
      <c r="F700" s="1129" cm="1">
        <f t="array" ref="F700">IF(A700=A699,0,SUM(_xlfn._xlws.FILTER(E700:E710,A700:A710=A700)))</f>
        <v>0</v>
      </c>
      <c r="G700" s="1130">
        <f>IF(F700&lt;&gt;0,SUM($F$43:F700),0)</f>
        <v>0</v>
      </c>
      <c r="H700" s="1130" cm="1">
        <f t="array" ref="H700">IFERROR(IF(A700=A699,0,SUM(_xlfn._xlws.FILTER(E700:E710,(A700:A710=A700)*(E700:E710&gt;0)))),0)</f>
        <v>0</v>
      </c>
      <c r="I700" s="1130" cm="1">
        <f t="array" ref="I700">IFERROR(IF(A700=A699,0,SUM(_xlfn._xlws.FILTER(E700:E710,(A700:A710=A700)*(F700&lt;0)))),0)</f>
        <v>0</v>
      </c>
      <c r="J700" s="295" t="str">
        <f ca="1">IFERROR(_xlfn.XLOOKUP(B700,TabCalc[Ticker],TabCalc[Cur]),"")</f>
        <v/>
      </c>
      <c r="K700" s="1129" cm="1">
        <f t="array" ref="K700">IFERROR(IF($A700=$A699,0,SUM(_xlfn._xlws.FILTER($E700:$E710,($A700:$A710=$A700)*($J700:$J710=K$42)))),0)</f>
        <v>0</v>
      </c>
      <c r="L700" s="1129" cm="1">
        <f t="array" ref="L700">IFERROR(IF($A700=$A699,0,SUM(_xlfn._xlws.FILTER($E700:$E710,($A700:$A710=$A700)*($J700:$J710=L$42)))),0)</f>
        <v>0</v>
      </c>
      <c r="M700" s="1129" cm="1">
        <f t="array" ref="M700">IFERROR(IF($A700=$A699,0,SUM(_xlfn._xlws.FILTER($E700:$E710,($A700:$A710=$A700)*($J700:$J710=M$42)))),0)</f>
        <v>0</v>
      </c>
      <c r="N700" s="1129" cm="1">
        <f t="array" ref="N700">IFERROR(IF($A700=$A699,0,SUM(_xlfn._xlws.FILTER($E700:$E710,($A700:$A710=$A700)*($J700:$J710=N$42)))),0)</f>
        <v>0</v>
      </c>
    </row>
    <row r="701" spans="5:14">
      <c r="E701" s="1128">
        <f ca="1">IFERROR(C701*D701*_xlfn.XLOOKUP(B701,TabCalc[Ticker],TabCalc[Scale]),0)</f>
        <v>0</v>
      </c>
      <c r="F701" s="1129" cm="1">
        <f t="array" ref="F701">IF(A701=A700,0,SUM(_xlfn._xlws.FILTER(E701:E711,A701:A711=A701)))</f>
        <v>0</v>
      </c>
      <c r="G701" s="1130">
        <f>IF(F701&lt;&gt;0,SUM($F$43:F701),0)</f>
        <v>0</v>
      </c>
      <c r="H701" s="1130" cm="1">
        <f t="array" ref="H701">IFERROR(IF(A701=A700,0,SUM(_xlfn._xlws.FILTER(E701:E711,(A701:A711=A701)*(E701:E711&gt;0)))),0)</f>
        <v>0</v>
      </c>
      <c r="I701" s="1130" cm="1">
        <f t="array" ref="I701">IFERROR(IF(A701=A700,0,SUM(_xlfn._xlws.FILTER(E701:E711,(A701:A711=A701)*(F701&lt;0)))),0)</f>
        <v>0</v>
      </c>
      <c r="J701" s="295" t="str">
        <f ca="1">IFERROR(_xlfn.XLOOKUP(B701,TabCalc[Ticker],TabCalc[Cur]),"")</f>
        <v/>
      </c>
      <c r="K701" s="1129" cm="1">
        <f t="array" ref="K701">IFERROR(IF($A701=$A700,0,SUM(_xlfn._xlws.FILTER($E701:$E711,($A701:$A711=$A701)*($J701:$J711=K$42)))),0)</f>
        <v>0</v>
      </c>
      <c r="L701" s="1129" cm="1">
        <f t="array" ref="L701">IFERROR(IF($A701=$A700,0,SUM(_xlfn._xlws.FILTER($E701:$E711,($A701:$A711=$A701)*($J701:$J711=L$42)))),0)</f>
        <v>0</v>
      </c>
      <c r="M701" s="1129" cm="1">
        <f t="array" ref="M701">IFERROR(IF($A701=$A700,0,SUM(_xlfn._xlws.FILTER($E701:$E711,($A701:$A711=$A701)*($J701:$J711=M$42)))),0)</f>
        <v>0</v>
      </c>
      <c r="N701" s="1129" cm="1">
        <f t="array" ref="N701">IFERROR(IF($A701=$A700,0,SUM(_xlfn._xlws.FILTER($E701:$E711,($A701:$A711=$A701)*($J701:$J711=N$42)))),0)</f>
        <v>0</v>
      </c>
    </row>
    <row r="702" spans="5:14">
      <c r="E702" s="1128">
        <f ca="1">IFERROR(C702*D702*_xlfn.XLOOKUP(B702,TabCalc[Ticker],TabCalc[Scale]),0)</f>
        <v>0</v>
      </c>
      <c r="F702" s="1129" cm="1">
        <f t="array" ref="F702">IF(A702=A701,0,SUM(_xlfn._xlws.FILTER(E702:E712,A702:A712=A702)))</f>
        <v>0</v>
      </c>
      <c r="G702" s="1130">
        <f>IF(F702&lt;&gt;0,SUM($F$43:F702),0)</f>
        <v>0</v>
      </c>
      <c r="H702" s="1130" cm="1">
        <f t="array" ref="H702">IFERROR(IF(A702=A701,0,SUM(_xlfn._xlws.FILTER(E702:E712,(A702:A712=A702)*(E702:E712&gt;0)))),0)</f>
        <v>0</v>
      </c>
      <c r="I702" s="1130" cm="1">
        <f t="array" ref="I702">IFERROR(IF(A702=A701,0,SUM(_xlfn._xlws.FILTER(E702:E712,(A702:A712=A702)*(F702&lt;0)))),0)</f>
        <v>0</v>
      </c>
      <c r="J702" s="295" t="str">
        <f ca="1">IFERROR(_xlfn.XLOOKUP(B702,TabCalc[Ticker],TabCalc[Cur]),"")</f>
        <v/>
      </c>
      <c r="K702" s="1129" cm="1">
        <f t="array" ref="K702">IFERROR(IF($A702=$A701,0,SUM(_xlfn._xlws.FILTER($E702:$E712,($A702:$A712=$A702)*($J702:$J712=K$42)))),0)</f>
        <v>0</v>
      </c>
      <c r="L702" s="1129" cm="1">
        <f t="array" ref="L702">IFERROR(IF($A702=$A701,0,SUM(_xlfn._xlws.FILTER($E702:$E712,($A702:$A712=$A702)*($J702:$J712=L$42)))),0)</f>
        <v>0</v>
      </c>
      <c r="M702" s="1129" cm="1">
        <f t="array" ref="M702">IFERROR(IF($A702=$A701,0,SUM(_xlfn._xlws.FILTER($E702:$E712,($A702:$A712=$A702)*($J702:$J712=M$42)))),0)</f>
        <v>0</v>
      </c>
      <c r="N702" s="1129" cm="1">
        <f t="array" ref="N702">IFERROR(IF($A702=$A701,0,SUM(_xlfn._xlws.FILTER($E702:$E712,($A702:$A712=$A702)*($J702:$J712=N$42)))),0)</f>
        <v>0</v>
      </c>
    </row>
    <row r="703" spans="5:14">
      <c r="E703" s="1128">
        <f ca="1">IFERROR(C703*D703*_xlfn.XLOOKUP(B703,TabCalc[Ticker],TabCalc[Scale]),0)</f>
        <v>0</v>
      </c>
      <c r="F703" s="1129" cm="1">
        <f t="array" ref="F703">IF(A703=A702,0,SUM(_xlfn._xlws.FILTER(E703:E713,A703:A713=A703)))</f>
        <v>0</v>
      </c>
      <c r="G703" s="1130">
        <f>IF(F703&lt;&gt;0,SUM($F$43:F703),0)</f>
        <v>0</v>
      </c>
      <c r="H703" s="1130" cm="1">
        <f t="array" ref="H703">IFERROR(IF(A703=A702,0,SUM(_xlfn._xlws.FILTER(E703:E713,(A703:A713=A703)*(E703:E713&gt;0)))),0)</f>
        <v>0</v>
      </c>
      <c r="I703" s="1130" cm="1">
        <f t="array" ref="I703">IFERROR(IF(A703=A702,0,SUM(_xlfn._xlws.FILTER(E703:E713,(A703:A713=A703)*(F703&lt;0)))),0)</f>
        <v>0</v>
      </c>
      <c r="J703" s="295" t="str">
        <f ca="1">IFERROR(_xlfn.XLOOKUP(B703,TabCalc[Ticker],TabCalc[Cur]),"")</f>
        <v/>
      </c>
      <c r="K703" s="1129" cm="1">
        <f t="array" ref="K703">IFERROR(IF($A703=$A702,0,SUM(_xlfn._xlws.FILTER($E703:$E713,($A703:$A713=$A703)*($J703:$J713=K$42)))),0)</f>
        <v>0</v>
      </c>
      <c r="L703" s="1129" cm="1">
        <f t="array" ref="L703">IFERROR(IF($A703=$A702,0,SUM(_xlfn._xlws.FILTER($E703:$E713,($A703:$A713=$A703)*($J703:$J713=L$42)))),0)</f>
        <v>0</v>
      </c>
      <c r="M703" s="1129" cm="1">
        <f t="array" ref="M703">IFERROR(IF($A703=$A702,0,SUM(_xlfn._xlws.FILTER($E703:$E713,($A703:$A713=$A703)*($J703:$J713=M$42)))),0)</f>
        <v>0</v>
      </c>
      <c r="N703" s="1129" cm="1">
        <f t="array" ref="N703">IFERROR(IF($A703=$A702,0,SUM(_xlfn._xlws.FILTER($E703:$E713,($A703:$A713=$A703)*($J703:$J713=N$42)))),0)</f>
        <v>0</v>
      </c>
    </row>
    <row r="704" spans="5:14">
      <c r="E704" s="1128">
        <f ca="1">IFERROR(C704*D704*_xlfn.XLOOKUP(B704,TabCalc[Ticker],TabCalc[Scale]),0)</f>
        <v>0</v>
      </c>
      <c r="F704" s="1129" cm="1">
        <f t="array" ref="F704">IF(A704=A703,0,SUM(_xlfn._xlws.FILTER(E704:E714,A704:A714=A704)))</f>
        <v>0</v>
      </c>
      <c r="G704" s="1130">
        <f>IF(F704&lt;&gt;0,SUM($F$43:F704),0)</f>
        <v>0</v>
      </c>
      <c r="H704" s="1130" cm="1">
        <f t="array" ref="H704">IFERROR(IF(A704=A703,0,SUM(_xlfn._xlws.FILTER(E704:E714,(A704:A714=A704)*(E704:E714&gt;0)))),0)</f>
        <v>0</v>
      </c>
      <c r="I704" s="1130" cm="1">
        <f t="array" ref="I704">IFERROR(IF(A704=A703,0,SUM(_xlfn._xlws.FILTER(E704:E714,(A704:A714=A704)*(F704&lt;0)))),0)</f>
        <v>0</v>
      </c>
      <c r="J704" s="295" t="str">
        <f ca="1">IFERROR(_xlfn.XLOOKUP(B704,TabCalc[Ticker],TabCalc[Cur]),"")</f>
        <v/>
      </c>
      <c r="K704" s="1129" cm="1">
        <f t="array" ref="K704">IFERROR(IF($A704=$A703,0,SUM(_xlfn._xlws.FILTER($E704:$E714,($A704:$A714=$A704)*($J704:$J714=K$42)))),0)</f>
        <v>0</v>
      </c>
      <c r="L704" s="1129" cm="1">
        <f t="array" ref="L704">IFERROR(IF($A704=$A703,0,SUM(_xlfn._xlws.FILTER($E704:$E714,($A704:$A714=$A704)*($J704:$J714=L$42)))),0)</f>
        <v>0</v>
      </c>
      <c r="M704" s="1129" cm="1">
        <f t="array" ref="M704">IFERROR(IF($A704=$A703,0,SUM(_xlfn._xlws.FILTER($E704:$E714,($A704:$A714=$A704)*($J704:$J714=M$42)))),0)</f>
        <v>0</v>
      </c>
      <c r="N704" s="1129" cm="1">
        <f t="array" ref="N704">IFERROR(IF($A704=$A703,0,SUM(_xlfn._xlws.FILTER($E704:$E714,($A704:$A714=$A704)*($J704:$J714=N$42)))),0)</f>
        <v>0</v>
      </c>
    </row>
    <row r="705" spans="5:14">
      <c r="E705" s="1128">
        <f ca="1">IFERROR(C705*D705*_xlfn.XLOOKUP(B705,TabCalc[Ticker],TabCalc[Scale]),0)</f>
        <v>0</v>
      </c>
      <c r="F705" s="1129" cm="1">
        <f t="array" ref="F705">IF(A705=A704,0,SUM(_xlfn._xlws.FILTER(E705:E715,A705:A715=A705)))</f>
        <v>0</v>
      </c>
      <c r="G705" s="1130">
        <f>IF(F705&lt;&gt;0,SUM($F$43:F705),0)</f>
        <v>0</v>
      </c>
      <c r="H705" s="1130" cm="1">
        <f t="array" ref="H705">IFERROR(IF(A705=A704,0,SUM(_xlfn._xlws.FILTER(E705:E715,(A705:A715=A705)*(E705:E715&gt;0)))),0)</f>
        <v>0</v>
      </c>
      <c r="I705" s="1130" cm="1">
        <f t="array" ref="I705">IFERROR(IF(A705=A704,0,SUM(_xlfn._xlws.FILTER(E705:E715,(A705:A715=A705)*(F705&lt;0)))),0)</f>
        <v>0</v>
      </c>
      <c r="J705" s="295" t="str">
        <f ca="1">IFERROR(_xlfn.XLOOKUP(B705,TabCalc[Ticker],TabCalc[Cur]),"")</f>
        <v/>
      </c>
      <c r="K705" s="1129" cm="1">
        <f t="array" ref="K705">IFERROR(IF($A705=$A704,0,SUM(_xlfn._xlws.FILTER($E705:$E715,($A705:$A715=$A705)*($J705:$J715=K$42)))),0)</f>
        <v>0</v>
      </c>
      <c r="L705" s="1129" cm="1">
        <f t="array" ref="L705">IFERROR(IF($A705=$A704,0,SUM(_xlfn._xlws.FILTER($E705:$E715,($A705:$A715=$A705)*($J705:$J715=L$42)))),0)</f>
        <v>0</v>
      </c>
      <c r="M705" s="1129" cm="1">
        <f t="array" ref="M705">IFERROR(IF($A705=$A704,0,SUM(_xlfn._xlws.FILTER($E705:$E715,($A705:$A715=$A705)*($J705:$J715=M$42)))),0)</f>
        <v>0</v>
      </c>
      <c r="N705" s="1129" cm="1">
        <f t="array" ref="N705">IFERROR(IF($A705=$A704,0,SUM(_xlfn._xlws.FILTER($E705:$E715,($A705:$A715=$A705)*($J705:$J715=N$42)))),0)</f>
        <v>0</v>
      </c>
    </row>
    <row r="706" spans="5:14">
      <c r="E706" s="1128">
        <f ca="1">IFERROR(C706*D706*_xlfn.XLOOKUP(B706,TabCalc[Ticker],TabCalc[Scale]),0)</f>
        <v>0</v>
      </c>
      <c r="F706" s="1129" cm="1">
        <f t="array" ref="F706">IF(A706=A705,0,SUM(_xlfn._xlws.FILTER(E706:E716,A706:A716=A706)))</f>
        <v>0</v>
      </c>
      <c r="G706" s="1130">
        <f>IF(F706&lt;&gt;0,SUM($F$43:F706),0)</f>
        <v>0</v>
      </c>
      <c r="H706" s="1130" cm="1">
        <f t="array" ref="H706">IFERROR(IF(A706=A705,0,SUM(_xlfn._xlws.FILTER(E706:E716,(A706:A716=A706)*(E706:E716&gt;0)))),0)</f>
        <v>0</v>
      </c>
      <c r="I706" s="1130" cm="1">
        <f t="array" ref="I706">IFERROR(IF(A706=A705,0,SUM(_xlfn._xlws.FILTER(E706:E716,(A706:A716=A706)*(F706&lt;0)))),0)</f>
        <v>0</v>
      </c>
      <c r="J706" s="295" t="str">
        <f ca="1">IFERROR(_xlfn.XLOOKUP(B706,TabCalc[Ticker],TabCalc[Cur]),"")</f>
        <v/>
      </c>
      <c r="K706" s="1129" cm="1">
        <f t="array" ref="K706">IFERROR(IF($A706=$A705,0,SUM(_xlfn._xlws.FILTER($E706:$E716,($A706:$A716=$A706)*($J706:$J716=K$42)))),0)</f>
        <v>0</v>
      </c>
      <c r="L706" s="1129" cm="1">
        <f t="array" ref="L706">IFERROR(IF($A706=$A705,0,SUM(_xlfn._xlws.FILTER($E706:$E716,($A706:$A716=$A706)*($J706:$J716=L$42)))),0)</f>
        <v>0</v>
      </c>
      <c r="M706" s="1129" cm="1">
        <f t="array" ref="M706">IFERROR(IF($A706=$A705,0,SUM(_xlfn._xlws.FILTER($E706:$E716,($A706:$A716=$A706)*($J706:$J716=M$42)))),0)</f>
        <v>0</v>
      </c>
      <c r="N706" s="1129" cm="1">
        <f t="array" ref="N706">IFERROR(IF($A706=$A705,0,SUM(_xlfn._xlws.FILTER($E706:$E716,($A706:$A716=$A706)*($J706:$J716=N$42)))),0)</f>
        <v>0</v>
      </c>
    </row>
    <row r="707" spans="5:14">
      <c r="E707" s="1128">
        <f ca="1">IFERROR(C707*D707*_xlfn.XLOOKUP(B707,TabCalc[Ticker],TabCalc[Scale]),0)</f>
        <v>0</v>
      </c>
      <c r="F707" s="1129" cm="1">
        <f t="array" ref="F707">IF(A707=A706,0,SUM(_xlfn._xlws.FILTER(E707:E717,A707:A717=A707)))</f>
        <v>0</v>
      </c>
      <c r="G707" s="1130">
        <f>IF(F707&lt;&gt;0,SUM($F$43:F707),0)</f>
        <v>0</v>
      </c>
      <c r="H707" s="1130" cm="1">
        <f t="array" ref="H707">IFERROR(IF(A707=A706,0,SUM(_xlfn._xlws.FILTER(E707:E717,(A707:A717=A707)*(E707:E717&gt;0)))),0)</f>
        <v>0</v>
      </c>
      <c r="I707" s="1130" cm="1">
        <f t="array" ref="I707">IFERROR(IF(A707=A706,0,SUM(_xlfn._xlws.FILTER(E707:E717,(A707:A717=A707)*(F707&lt;0)))),0)</f>
        <v>0</v>
      </c>
      <c r="J707" s="295" t="str">
        <f ca="1">IFERROR(_xlfn.XLOOKUP(B707,TabCalc[Ticker],TabCalc[Cur]),"")</f>
        <v/>
      </c>
      <c r="K707" s="1129" cm="1">
        <f t="array" ref="K707">IFERROR(IF($A707=$A706,0,SUM(_xlfn._xlws.FILTER($E707:$E717,($A707:$A717=$A707)*($J707:$J717=K$42)))),0)</f>
        <v>0</v>
      </c>
      <c r="L707" s="1129" cm="1">
        <f t="array" ref="L707">IFERROR(IF($A707=$A706,0,SUM(_xlfn._xlws.FILTER($E707:$E717,($A707:$A717=$A707)*($J707:$J717=L$42)))),0)</f>
        <v>0</v>
      </c>
      <c r="M707" s="1129" cm="1">
        <f t="array" ref="M707">IFERROR(IF($A707=$A706,0,SUM(_xlfn._xlws.FILTER($E707:$E717,($A707:$A717=$A707)*($J707:$J717=M$42)))),0)</f>
        <v>0</v>
      </c>
      <c r="N707" s="1129" cm="1">
        <f t="array" ref="N707">IFERROR(IF($A707=$A706,0,SUM(_xlfn._xlws.FILTER($E707:$E717,($A707:$A717=$A707)*($J707:$J717=N$42)))),0)</f>
        <v>0</v>
      </c>
    </row>
    <row r="708" spans="5:14">
      <c r="E708" s="1128">
        <f ca="1">IFERROR(C708*D708*_xlfn.XLOOKUP(B708,TabCalc[Ticker],TabCalc[Scale]),0)</f>
        <v>0</v>
      </c>
      <c r="F708" s="1129" cm="1">
        <f t="array" ref="F708">IF(A708=A707,0,SUM(_xlfn._xlws.FILTER(E708:E718,A708:A718=A708)))</f>
        <v>0</v>
      </c>
      <c r="G708" s="1130">
        <f>IF(F708&lt;&gt;0,SUM($F$43:F708),0)</f>
        <v>0</v>
      </c>
      <c r="H708" s="1130" cm="1">
        <f t="array" ref="H708">IFERROR(IF(A708=A707,0,SUM(_xlfn._xlws.FILTER(E708:E718,(A708:A718=A708)*(E708:E718&gt;0)))),0)</f>
        <v>0</v>
      </c>
      <c r="I708" s="1130" cm="1">
        <f t="array" ref="I708">IFERROR(IF(A708=A707,0,SUM(_xlfn._xlws.FILTER(E708:E718,(A708:A718=A708)*(F708&lt;0)))),0)</f>
        <v>0</v>
      </c>
      <c r="J708" s="295" t="str">
        <f ca="1">IFERROR(_xlfn.XLOOKUP(B708,TabCalc[Ticker],TabCalc[Cur]),"")</f>
        <v/>
      </c>
      <c r="K708" s="1129" cm="1">
        <f t="array" ref="K708">IFERROR(IF($A708=$A707,0,SUM(_xlfn._xlws.FILTER($E708:$E718,($A708:$A718=$A708)*($J708:$J718=K$42)))),0)</f>
        <v>0</v>
      </c>
      <c r="L708" s="1129" cm="1">
        <f t="array" ref="L708">IFERROR(IF($A708=$A707,0,SUM(_xlfn._xlws.FILTER($E708:$E718,($A708:$A718=$A708)*($J708:$J718=L$42)))),0)</f>
        <v>0</v>
      </c>
      <c r="M708" s="1129" cm="1">
        <f t="array" ref="M708">IFERROR(IF($A708=$A707,0,SUM(_xlfn._xlws.FILTER($E708:$E718,($A708:$A718=$A708)*($J708:$J718=M$42)))),0)</f>
        <v>0</v>
      </c>
      <c r="N708" s="1129" cm="1">
        <f t="array" ref="N708">IFERROR(IF($A708=$A707,0,SUM(_xlfn._xlws.FILTER($E708:$E718,($A708:$A718=$A708)*($J708:$J718=N$42)))),0)</f>
        <v>0</v>
      </c>
    </row>
    <row r="709" spans="5:14">
      <c r="E709" s="1128">
        <f ca="1">IFERROR(C709*D709*_xlfn.XLOOKUP(B709,TabCalc[Ticker],TabCalc[Scale]),0)</f>
        <v>0</v>
      </c>
      <c r="F709" s="1129" cm="1">
        <f t="array" ref="F709">IF(A709=A708,0,SUM(_xlfn._xlws.FILTER(E709:E719,A709:A719=A709)))</f>
        <v>0</v>
      </c>
      <c r="G709" s="1130">
        <f>IF(F709&lt;&gt;0,SUM($F$43:F709),0)</f>
        <v>0</v>
      </c>
      <c r="H709" s="1130" cm="1">
        <f t="array" ref="H709">IFERROR(IF(A709=A708,0,SUM(_xlfn._xlws.FILTER(E709:E719,(A709:A719=A709)*(E709:E719&gt;0)))),0)</f>
        <v>0</v>
      </c>
      <c r="I709" s="1130" cm="1">
        <f t="array" ref="I709">IFERROR(IF(A709=A708,0,SUM(_xlfn._xlws.FILTER(E709:E719,(A709:A719=A709)*(F709&lt;0)))),0)</f>
        <v>0</v>
      </c>
      <c r="J709" s="295" t="str">
        <f ca="1">IFERROR(_xlfn.XLOOKUP(B709,TabCalc[Ticker],TabCalc[Cur]),"")</f>
        <v/>
      </c>
      <c r="K709" s="1129" cm="1">
        <f t="array" ref="K709">IFERROR(IF($A709=$A708,0,SUM(_xlfn._xlws.FILTER($E709:$E719,($A709:$A719=$A709)*($J709:$J719=K$42)))),0)</f>
        <v>0</v>
      </c>
      <c r="L709" s="1129" cm="1">
        <f t="array" ref="L709">IFERROR(IF($A709=$A708,0,SUM(_xlfn._xlws.FILTER($E709:$E719,($A709:$A719=$A709)*($J709:$J719=L$42)))),0)</f>
        <v>0</v>
      </c>
      <c r="M709" s="1129" cm="1">
        <f t="array" ref="M709">IFERROR(IF($A709=$A708,0,SUM(_xlfn._xlws.FILTER($E709:$E719,($A709:$A719=$A709)*($J709:$J719=M$42)))),0)</f>
        <v>0</v>
      </c>
      <c r="N709" s="1129" cm="1">
        <f t="array" ref="N709">IFERROR(IF($A709=$A708,0,SUM(_xlfn._xlws.FILTER($E709:$E719,($A709:$A719=$A709)*($J709:$J719=N$42)))),0)</f>
        <v>0</v>
      </c>
    </row>
    <row r="710" spans="5:14">
      <c r="E710" s="1128">
        <f ca="1">IFERROR(C710*D710*_xlfn.XLOOKUP(B710,TabCalc[Ticker],TabCalc[Scale]),0)</f>
        <v>0</v>
      </c>
      <c r="F710" s="1129" cm="1">
        <f t="array" ref="F710">IF(A710=A709,0,SUM(_xlfn._xlws.FILTER(E710:E720,A710:A720=A710)))</f>
        <v>0</v>
      </c>
      <c r="G710" s="1130">
        <f>IF(F710&lt;&gt;0,SUM($F$43:F710),0)</f>
        <v>0</v>
      </c>
      <c r="H710" s="1130" cm="1">
        <f t="array" ref="H710">IFERROR(IF(A710=A709,0,SUM(_xlfn._xlws.FILTER(E710:E720,(A710:A720=A710)*(E710:E720&gt;0)))),0)</f>
        <v>0</v>
      </c>
      <c r="I710" s="1130" cm="1">
        <f t="array" ref="I710">IFERROR(IF(A710=A709,0,SUM(_xlfn._xlws.FILTER(E710:E720,(A710:A720=A710)*(F710&lt;0)))),0)</f>
        <v>0</v>
      </c>
      <c r="J710" s="295" t="str">
        <f ca="1">IFERROR(_xlfn.XLOOKUP(B710,TabCalc[Ticker],TabCalc[Cur]),"")</f>
        <v/>
      </c>
      <c r="K710" s="1129" cm="1">
        <f t="array" ref="K710">IFERROR(IF($A710=$A709,0,SUM(_xlfn._xlws.FILTER($E710:$E720,($A710:$A720=$A710)*($J710:$J720=K$42)))),0)</f>
        <v>0</v>
      </c>
      <c r="L710" s="1129" cm="1">
        <f t="array" ref="L710">IFERROR(IF($A710=$A709,0,SUM(_xlfn._xlws.FILTER($E710:$E720,($A710:$A720=$A710)*($J710:$J720=L$42)))),0)</f>
        <v>0</v>
      </c>
      <c r="M710" s="1129" cm="1">
        <f t="array" ref="M710">IFERROR(IF($A710=$A709,0,SUM(_xlfn._xlws.FILTER($E710:$E720,($A710:$A720=$A710)*($J710:$J720=M$42)))),0)</f>
        <v>0</v>
      </c>
      <c r="N710" s="1129" cm="1">
        <f t="array" ref="N710">IFERROR(IF($A710=$A709,0,SUM(_xlfn._xlws.FILTER($E710:$E720,($A710:$A720=$A710)*($J710:$J720=N$42)))),0)</f>
        <v>0</v>
      </c>
    </row>
    <row r="711" spans="5:14">
      <c r="E711" s="1128">
        <f ca="1">IFERROR(C711*D711*_xlfn.XLOOKUP(B711,TabCalc[Ticker],TabCalc[Scale]),0)</f>
        <v>0</v>
      </c>
      <c r="F711" s="1129" cm="1">
        <f t="array" ref="F711">IF(A711=A710,0,SUM(_xlfn._xlws.FILTER(E711:E721,A711:A721=A711)))</f>
        <v>0</v>
      </c>
      <c r="G711" s="1130">
        <f>IF(F711&lt;&gt;0,SUM($F$43:F711),0)</f>
        <v>0</v>
      </c>
      <c r="H711" s="1130" cm="1">
        <f t="array" ref="H711">IFERROR(IF(A711=A710,0,SUM(_xlfn._xlws.FILTER(E711:E721,(A711:A721=A711)*(E711:E721&gt;0)))),0)</f>
        <v>0</v>
      </c>
      <c r="I711" s="1130" cm="1">
        <f t="array" ref="I711">IFERROR(IF(A711=A710,0,SUM(_xlfn._xlws.FILTER(E711:E721,(A711:A721=A711)*(F711&lt;0)))),0)</f>
        <v>0</v>
      </c>
      <c r="J711" s="295" t="str">
        <f ca="1">IFERROR(_xlfn.XLOOKUP(B711,TabCalc[Ticker],TabCalc[Cur]),"")</f>
        <v/>
      </c>
      <c r="K711" s="1129" cm="1">
        <f t="array" ref="K711">IFERROR(IF($A711=$A710,0,SUM(_xlfn._xlws.FILTER($E711:$E721,($A711:$A721=$A711)*($J711:$J721=K$42)))),0)</f>
        <v>0</v>
      </c>
      <c r="L711" s="1129" cm="1">
        <f t="array" ref="L711">IFERROR(IF($A711=$A710,0,SUM(_xlfn._xlws.FILTER($E711:$E721,($A711:$A721=$A711)*($J711:$J721=L$42)))),0)</f>
        <v>0</v>
      </c>
      <c r="M711" s="1129" cm="1">
        <f t="array" ref="M711">IFERROR(IF($A711=$A710,0,SUM(_xlfn._xlws.FILTER($E711:$E721,($A711:$A721=$A711)*($J711:$J721=M$42)))),0)</f>
        <v>0</v>
      </c>
      <c r="N711" s="1129" cm="1">
        <f t="array" ref="N711">IFERROR(IF($A711=$A710,0,SUM(_xlfn._xlws.FILTER($E711:$E721,($A711:$A721=$A711)*($J711:$J721=N$42)))),0)</f>
        <v>0</v>
      </c>
    </row>
    <row r="712" spans="5:14">
      <c r="E712" s="1128">
        <f ca="1">IFERROR(C712*D712*_xlfn.XLOOKUP(B712,TabCalc[Ticker],TabCalc[Scale]),0)</f>
        <v>0</v>
      </c>
      <c r="F712" s="1129" cm="1">
        <f t="array" ref="F712">IF(A712=A711,0,SUM(_xlfn._xlws.FILTER(E712:E722,A712:A722=A712)))</f>
        <v>0</v>
      </c>
      <c r="G712" s="1130">
        <f>IF(F712&lt;&gt;0,SUM($F$43:F712),0)</f>
        <v>0</v>
      </c>
      <c r="H712" s="1130" cm="1">
        <f t="array" ref="H712">IFERROR(IF(A712=A711,0,SUM(_xlfn._xlws.FILTER(E712:E722,(A712:A722=A712)*(E712:E722&gt;0)))),0)</f>
        <v>0</v>
      </c>
      <c r="I712" s="1130" cm="1">
        <f t="array" ref="I712">IFERROR(IF(A712=A711,0,SUM(_xlfn._xlws.FILTER(E712:E722,(A712:A722=A712)*(F712&lt;0)))),0)</f>
        <v>0</v>
      </c>
      <c r="J712" s="295" t="str">
        <f ca="1">IFERROR(_xlfn.XLOOKUP(B712,TabCalc[Ticker],TabCalc[Cur]),"")</f>
        <v/>
      </c>
      <c r="K712" s="1129" cm="1">
        <f t="array" ref="K712">IFERROR(IF($A712=$A711,0,SUM(_xlfn._xlws.FILTER($E712:$E722,($A712:$A722=$A712)*($J712:$J722=K$42)))),0)</f>
        <v>0</v>
      </c>
      <c r="L712" s="1129" cm="1">
        <f t="array" ref="L712">IFERROR(IF($A712=$A711,0,SUM(_xlfn._xlws.FILTER($E712:$E722,($A712:$A722=$A712)*($J712:$J722=L$42)))),0)</f>
        <v>0</v>
      </c>
      <c r="M712" s="1129" cm="1">
        <f t="array" ref="M712">IFERROR(IF($A712=$A711,0,SUM(_xlfn._xlws.FILTER($E712:$E722,($A712:$A722=$A712)*($J712:$J722=M$42)))),0)</f>
        <v>0</v>
      </c>
      <c r="N712" s="1129" cm="1">
        <f t="array" ref="N712">IFERROR(IF($A712=$A711,0,SUM(_xlfn._xlws.FILTER($E712:$E722,($A712:$A722=$A712)*($J712:$J722=N$42)))),0)</f>
        <v>0</v>
      </c>
    </row>
    <row r="713" spans="5:14">
      <c r="E713" s="1128">
        <f ca="1">IFERROR(C713*D713*_xlfn.XLOOKUP(B713,TabCalc[Ticker],TabCalc[Scale]),0)</f>
        <v>0</v>
      </c>
      <c r="F713" s="1129" cm="1">
        <f t="array" ref="F713">IF(A713=A712,0,SUM(_xlfn._xlws.FILTER(E713:E723,A713:A723=A713)))</f>
        <v>0</v>
      </c>
      <c r="G713" s="1130">
        <f>IF(F713&lt;&gt;0,SUM($F$43:F713),0)</f>
        <v>0</v>
      </c>
      <c r="H713" s="1130" cm="1">
        <f t="array" ref="H713">IFERROR(IF(A713=A712,0,SUM(_xlfn._xlws.FILTER(E713:E723,(A713:A723=A713)*(E713:E723&gt;0)))),0)</f>
        <v>0</v>
      </c>
      <c r="I713" s="1130" cm="1">
        <f t="array" ref="I713">IFERROR(IF(A713=A712,0,SUM(_xlfn._xlws.FILTER(E713:E723,(A713:A723=A713)*(F713&lt;0)))),0)</f>
        <v>0</v>
      </c>
      <c r="J713" s="295" t="str">
        <f ca="1">IFERROR(_xlfn.XLOOKUP(B713,TabCalc[Ticker],TabCalc[Cur]),"")</f>
        <v/>
      </c>
      <c r="K713" s="1129" cm="1">
        <f t="array" ref="K713">IFERROR(IF($A713=$A712,0,SUM(_xlfn._xlws.FILTER($E713:$E723,($A713:$A723=$A713)*($J713:$J723=K$42)))),0)</f>
        <v>0</v>
      </c>
      <c r="L713" s="1129" cm="1">
        <f t="array" ref="L713">IFERROR(IF($A713=$A712,0,SUM(_xlfn._xlws.FILTER($E713:$E723,($A713:$A723=$A713)*($J713:$J723=L$42)))),0)</f>
        <v>0</v>
      </c>
      <c r="M713" s="1129" cm="1">
        <f t="array" ref="M713">IFERROR(IF($A713=$A712,0,SUM(_xlfn._xlws.FILTER($E713:$E723,($A713:$A723=$A713)*($J713:$J723=M$42)))),0)</f>
        <v>0</v>
      </c>
      <c r="N713" s="1129" cm="1">
        <f t="array" ref="N713">IFERROR(IF($A713=$A712,0,SUM(_xlfn._xlws.FILTER($E713:$E723,($A713:$A723=$A713)*($J713:$J723=N$42)))),0)</f>
        <v>0</v>
      </c>
    </row>
    <row r="714" spans="5:14">
      <c r="E714" s="1128">
        <f ca="1">IFERROR(C714*D714*_xlfn.XLOOKUP(B714,TabCalc[Ticker],TabCalc[Scale]),0)</f>
        <v>0</v>
      </c>
      <c r="F714" s="1129" cm="1">
        <f t="array" ref="F714">IF(A714=A713,0,SUM(_xlfn._xlws.FILTER(E714:E724,A714:A724=A714)))</f>
        <v>0</v>
      </c>
      <c r="G714" s="1130">
        <f>IF(F714&lt;&gt;0,SUM($F$43:F714),0)</f>
        <v>0</v>
      </c>
      <c r="H714" s="1130" cm="1">
        <f t="array" ref="H714">IFERROR(IF(A714=A713,0,SUM(_xlfn._xlws.FILTER(E714:E724,(A714:A724=A714)*(E714:E724&gt;0)))),0)</f>
        <v>0</v>
      </c>
      <c r="I714" s="1130" cm="1">
        <f t="array" ref="I714">IFERROR(IF(A714=A713,0,SUM(_xlfn._xlws.FILTER(E714:E724,(A714:A724=A714)*(F714&lt;0)))),0)</f>
        <v>0</v>
      </c>
      <c r="J714" s="295" t="str">
        <f ca="1">IFERROR(_xlfn.XLOOKUP(B714,TabCalc[Ticker],TabCalc[Cur]),"")</f>
        <v/>
      </c>
      <c r="K714" s="1129" cm="1">
        <f t="array" ref="K714">IFERROR(IF($A714=$A713,0,SUM(_xlfn._xlws.FILTER($E714:$E724,($A714:$A724=$A714)*($J714:$J724=K$42)))),0)</f>
        <v>0</v>
      </c>
      <c r="L714" s="1129" cm="1">
        <f t="array" ref="L714">IFERROR(IF($A714=$A713,0,SUM(_xlfn._xlws.FILTER($E714:$E724,($A714:$A724=$A714)*($J714:$J724=L$42)))),0)</f>
        <v>0</v>
      </c>
      <c r="M714" s="1129" cm="1">
        <f t="array" ref="M714">IFERROR(IF($A714=$A713,0,SUM(_xlfn._xlws.FILTER($E714:$E724,($A714:$A724=$A714)*($J714:$J724=M$42)))),0)</f>
        <v>0</v>
      </c>
      <c r="N714" s="1129" cm="1">
        <f t="array" ref="N714">IFERROR(IF($A714=$A713,0,SUM(_xlfn._xlws.FILTER($E714:$E724,($A714:$A724=$A714)*($J714:$J724=N$42)))),0)</f>
        <v>0</v>
      </c>
    </row>
    <row r="715" spans="5:14">
      <c r="E715" s="1128">
        <f ca="1">IFERROR(C715*D715*_xlfn.XLOOKUP(B715,TabCalc[Ticker],TabCalc[Scale]),0)</f>
        <v>0</v>
      </c>
      <c r="F715" s="1129" cm="1">
        <f t="array" ref="F715">IF(A715=A714,0,SUM(_xlfn._xlws.FILTER(E715:E725,A715:A725=A715)))</f>
        <v>0</v>
      </c>
      <c r="G715" s="1130">
        <f>IF(F715&lt;&gt;0,SUM($F$43:F715),0)</f>
        <v>0</v>
      </c>
      <c r="H715" s="1130" cm="1">
        <f t="array" ref="H715">IFERROR(IF(A715=A714,0,SUM(_xlfn._xlws.FILTER(E715:E725,(A715:A725=A715)*(E715:E725&gt;0)))),0)</f>
        <v>0</v>
      </c>
      <c r="I715" s="1130" cm="1">
        <f t="array" ref="I715">IFERROR(IF(A715=A714,0,SUM(_xlfn._xlws.FILTER(E715:E725,(A715:A725=A715)*(F715&lt;0)))),0)</f>
        <v>0</v>
      </c>
      <c r="J715" s="295" t="str">
        <f ca="1">IFERROR(_xlfn.XLOOKUP(B715,TabCalc[Ticker],TabCalc[Cur]),"")</f>
        <v/>
      </c>
      <c r="K715" s="1129" cm="1">
        <f t="array" ref="K715">IFERROR(IF($A715=$A714,0,SUM(_xlfn._xlws.FILTER($E715:$E725,($A715:$A725=$A715)*($J715:$J725=K$42)))),0)</f>
        <v>0</v>
      </c>
      <c r="L715" s="1129" cm="1">
        <f t="array" ref="L715">IFERROR(IF($A715=$A714,0,SUM(_xlfn._xlws.FILTER($E715:$E725,($A715:$A725=$A715)*($J715:$J725=L$42)))),0)</f>
        <v>0</v>
      </c>
      <c r="M715" s="1129" cm="1">
        <f t="array" ref="M715">IFERROR(IF($A715=$A714,0,SUM(_xlfn._xlws.FILTER($E715:$E725,($A715:$A725=$A715)*($J715:$J725=M$42)))),0)</f>
        <v>0</v>
      </c>
      <c r="N715" s="1129" cm="1">
        <f t="array" ref="N715">IFERROR(IF($A715=$A714,0,SUM(_xlfn._xlws.FILTER($E715:$E725,($A715:$A725=$A715)*($J715:$J725=N$42)))),0)</f>
        <v>0</v>
      </c>
    </row>
    <row r="716" spans="5:14">
      <c r="E716" s="1128">
        <f ca="1">IFERROR(C716*D716*_xlfn.XLOOKUP(B716,TabCalc[Ticker],TabCalc[Scale]),0)</f>
        <v>0</v>
      </c>
      <c r="F716" s="1129" cm="1">
        <f t="array" ref="F716">IF(A716=A715,0,SUM(_xlfn._xlws.FILTER(E716:E726,A716:A726=A716)))</f>
        <v>0</v>
      </c>
      <c r="G716" s="1130">
        <f>IF(F716&lt;&gt;0,SUM($F$43:F716),0)</f>
        <v>0</v>
      </c>
      <c r="H716" s="1130" cm="1">
        <f t="array" ref="H716">IFERROR(IF(A716=A715,0,SUM(_xlfn._xlws.FILTER(E716:E726,(A716:A726=A716)*(E716:E726&gt;0)))),0)</f>
        <v>0</v>
      </c>
      <c r="I716" s="1130" cm="1">
        <f t="array" ref="I716">IFERROR(IF(A716=A715,0,SUM(_xlfn._xlws.FILTER(E716:E726,(A716:A726=A716)*(F716&lt;0)))),0)</f>
        <v>0</v>
      </c>
      <c r="J716" s="295" t="str">
        <f ca="1">IFERROR(_xlfn.XLOOKUP(B716,TabCalc[Ticker],TabCalc[Cur]),"")</f>
        <v/>
      </c>
      <c r="K716" s="1129" cm="1">
        <f t="array" ref="K716">IFERROR(IF($A716=$A715,0,SUM(_xlfn._xlws.FILTER($E716:$E726,($A716:$A726=$A716)*($J716:$J726=K$42)))),0)</f>
        <v>0</v>
      </c>
      <c r="L716" s="1129" cm="1">
        <f t="array" ref="L716">IFERROR(IF($A716=$A715,0,SUM(_xlfn._xlws.FILTER($E716:$E726,($A716:$A726=$A716)*($J716:$J726=L$42)))),0)</f>
        <v>0</v>
      </c>
      <c r="M716" s="1129" cm="1">
        <f t="array" ref="M716">IFERROR(IF($A716=$A715,0,SUM(_xlfn._xlws.FILTER($E716:$E726,($A716:$A726=$A716)*($J716:$J726=M$42)))),0)</f>
        <v>0</v>
      </c>
      <c r="N716" s="1129" cm="1">
        <f t="array" ref="N716">IFERROR(IF($A716=$A715,0,SUM(_xlfn._xlws.FILTER($E716:$E726,($A716:$A726=$A716)*($J716:$J726=N$42)))),0)</f>
        <v>0</v>
      </c>
    </row>
    <row r="717" spans="5:14">
      <c r="E717" s="1128">
        <f ca="1">IFERROR(C717*D717*_xlfn.XLOOKUP(B717,TabCalc[Ticker],TabCalc[Scale]),0)</f>
        <v>0</v>
      </c>
      <c r="F717" s="1129" cm="1">
        <f t="array" ref="F717">IF(A717=A716,0,SUM(_xlfn._xlws.FILTER(E717:E727,A717:A727=A717)))</f>
        <v>0</v>
      </c>
      <c r="G717" s="1130">
        <f>IF(F717&lt;&gt;0,SUM($F$43:F717),0)</f>
        <v>0</v>
      </c>
      <c r="H717" s="1130" cm="1">
        <f t="array" ref="H717">IFERROR(IF(A717=A716,0,SUM(_xlfn._xlws.FILTER(E717:E727,(A717:A727=A717)*(E717:E727&gt;0)))),0)</f>
        <v>0</v>
      </c>
      <c r="I717" s="1130" cm="1">
        <f t="array" ref="I717">IFERROR(IF(A717=A716,0,SUM(_xlfn._xlws.FILTER(E717:E727,(A717:A727=A717)*(F717&lt;0)))),0)</f>
        <v>0</v>
      </c>
      <c r="J717" s="295" t="str">
        <f ca="1">IFERROR(_xlfn.XLOOKUP(B717,TabCalc[Ticker],TabCalc[Cur]),"")</f>
        <v/>
      </c>
      <c r="K717" s="1129" cm="1">
        <f t="array" ref="K717">IFERROR(IF($A717=$A716,0,SUM(_xlfn._xlws.FILTER($E717:$E727,($A717:$A727=$A717)*($J717:$J727=K$42)))),0)</f>
        <v>0</v>
      </c>
      <c r="L717" s="1129" cm="1">
        <f t="array" ref="L717">IFERROR(IF($A717=$A716,0,SUM(_xlfn._xlws.FILTER($E717:$E727,($A717:$A727=$A717)*($J717:$J727=L$42)))),0)</f>
        <v>0</v>
      </c>
      <c r="M717" s="1129" cm="1">
        <f t="array" ref="M717">IFERROR(IF($A717=$A716,0,SUM(_xlfn._xlws.FILTER($E717:$E727,($A717:$A727=$A717)*($J717:$J727=M$42)))),0)</f>
        <v>0</v>
      </c>
      <c r="N717" s="1129" cm="1">
        <f t="array" ref="N717">IFERROR(IF($A717=$A716,0,SUM(_xlfn._xlws.FILTER($E717:$E727,($A717:$A727=$A717)*($J717:$J727=N$42)))),0)</f>
        <v>0</v>
      </c>
    </row>
    <row r="718" spans="5:14">
      <c r="E718" s="1128">
        <f ca="1">IFERROR(C718*D718*_xlfn.XLOOKUP(B718,TabCalc[Ticker],TabCalc[Scale]),0)</f>
        <v>0</v>
      </c>
      <c r="F718" s="1129" cm="1">
        <f t="array" ref="F718">IF(A718=A717,0,SUM(_xlfn._xlws.FILTER(E718:E728,A718:A728=A718)))</f>
        <v>0</v>
      </c>
      <c r="G718" s="1130">
        <f>IF(F718&lt;&gt;0,SUM($F$43:F718),0)</f>
        <v>0</v>
      </c>
      <c r="H718" s="1130" cm="1">
        <f t="array" ref="H718">IFERROR(IF(A718=A717,0,SUM(_xlfn._xlws.FILTER(E718:E728,(A718:A728=A718)*(E718:E728&gt;0)))),0)</f>
        <v>0</v>
      </c>
      <c r="I718" s="1130" cm="1">
        <f t="array" ref="I718">IFERROR(IF(A718=A717,0,SUM(_xlfn._xlws.FILTER(E718:E728,(A718:A728=A718)*(F718&lt;0)))),0)</f>
        <v>0</v>
      </c>
      <c r="J718" s="295" t="str">
        <f ca="1">IFERROR(_xlfn.XLOOKUP(B718,TabCalc[Ticker],TabCalc[Cur]),"")</f>
        <v/>
      </c>
      <c r="K718" s="1129" cm="1">
        <f t="array" ref="K718">IFERROR(IF($A718=$A717,0,SUM(_xlfn._xlws.FILTER($E718:$E728,($A718:$A728=$A718)*($J718:$J728=K$42)))),0)</f>
        <v>0</v>
      </c>
      <c r="L718" s="1129" cm="1">
        <f t="array" ref="L718">IFERROR(IF($A718=$A717,0,SUM(_xlfn._xlws.FILTER($E718:$E728,($A718:$A728=$A718)*($J718:$J728=L$42)))),0)</f>
        <v>0</v>
      </c>
      <c r="M718" s="1129" cm="1">
        <f t="array" ref="M718">IFERROR(IF($A718=$A717,0,SUM(_xlfn._xlws.FILTER($E718:$E728,($A718:$A728=$A718)*($J718:$J728=M$42)))),0)</f>
        <v>0</v>
      </c>
      <c r="N718" s="1129" cm="1">
        <f t="array" ref="N718">IFERROR(IF($A718=$A717,0,SUM(_xlfn._xlws.FILTER($E718:$E728,($A718:$A728=$A718)*($J718:$J728=N$42)))),0)</f>
        <v>0</v>
      </c>
    </row>
    <row r="719" spans="5:14">
      <c r="E719" s="1128">
        <f ca="1">IFERROR(C719*D719*_xlfn.XLOOKUP(B719,TabCalc[Ticker],TabCalc[Scale]),0)</f>
        <v>0</v>
      </c>
      <c r="F719" s="1129" cm="1">
        <f t="array" ref="F719">IF(A719=A718,0,SUM(_xlfn._xlws.FILTER(E719:E729,A719:A729=A719)))</f>
        <v>0</v>
      </c>
      <c r="G719" s="1130">
        <f>IF(F719&lt;&gt;0,SUM($F$43:F719),0)</f>
        <v>0</v>
      </c>
      <c r="H719" s="1130" cm="1">
        <f t="array" ref="H719">IFERROR(IF(A719=A718,0,SUM(_xlfn._xlws.FILTER(E719:E729,(A719:A729=A719)*(E719:E729&gt;0)))),0)</f>
        <v>0</v>
      </c>
      <c r="I719" s="1130" cm="1">
        <f t="array" ref="I719">IFERROR(IF(A719=A718,0,SUM(_xlfn._xlws.FILTER(E719:E729,(A719:A729=A719)*(F719&lt;0)))),0)</f>
        <v>0</v>
      </c>
      <c r="J719" s="295" t="str">
        <f ca="1">IFERROR(_xlfn.XLOOKUP(B719,TabCalc[Ticker],TabCalc[Cur]),"")</f>
        <v/>
      </c>
      <c r="K719" s="1129" cm="1">
        <f t="array" ref="K719">IFERROR(IF($A719=$A718,0,SUM(_xlfn._xlws.FILTER($E719:$E729,($A719:$A729=$A719)*($J719:$J729=K$42)))),0)</f>
        <v>0</v>
      </c>
      <c r="L719" s="1129" cm="1">
        <f t="array" ref="L719">IFERROR(IF($A719=$A718,0,SUM(_xlfn._xlws.FILTER($E719:$E729,($A719:$A729=$A719)*($J719:$J729=L$42)))),0)</f>
        <v>0</v>
      </c>
      <c r="M719" s="1129" cm="1">
        <f t="array" ref="M719">IFERROR(IF($A719=$A718,0,SUM(_xlfn._xlws.FILTER($E719:$E729,($A719:$A729=$A719)*($J719:$J729=M$42)))),0)</f>
        <v>0</v>
      </c>
      <c r="N719" s="1129" cm="1">
        <f t="array" ref="N719">IFERROR(IF($A719=$A718,0,SUM(_xlfn._xlws.FILTER($E719:$E729,($A719:$A729=$A719)*($J719:$J729=N$42)))),0)</f>
        <v>0</v>
      </c>
    </row>
    <row r="720" spans="5:14">
      <c r="E720" s="1128">
        <f ca="1">IFERROR(C720*D720*_xlfn.XLOOKUP(B720,TabCalc[Ticker],TabCalc[Scale]),0)</f>
        <v>0</v>
      </c>
      <c r="F720" s="1129" cm="1">
        <f t="array" ref="F720">IF(A720=A719,0,SUM(_xlfn._xlws.FILTER(E720:E730,A720:A730=A720)))</f>
        <v>0</v>
      </c>
      <c r="G720" s="1130">
        <f>IF(F720&lt;&gt;0,SUM($F$43:F720),0)</f>
        <v>0</v>
      </c>
      <c r="H720" s="1130" cm="1">
        <f t="array" ref="H720">IFERROR(IF(A720=A719,0,SUM(_xlfn._xlws.FILTER(E720:E730,(A720:A730=A720)*(E720:E730&gt;0)))),0)</f>
        <v>0</v>
      </c>
      <c r="I720" s="1130" cm="1">
        <f t="array" ref="I720">IFERROR(IF(A720=A719,0,SUM(_xlfn._xlws.FILTER(E720:E730,(A720:A730=A720)*(F720&lt;0)))),0)</f>
        <v>0</v>
      </c>
      <c r="J720" s="295" t="str">
        <f ca="1">IFERROR(_xlfn.XLOOKUP(B720,TabCalc[Ticker],TabCalc[Cur]),"")</f>
        <v/>
      </c>
      <c r="K720" s="1129" cm="1">
        <f t="array" ref="K720">IFERROR(IF($A720=$A719,0,SUM(_xlfn._xlws.FILTER($E720:$E730,($A720:$A730=$A720)*($J720:$J730=K$42)))),0)</f>
        <v>0</v>
      </c>
      <c r="L720" s="1129" cm="1">
        <f t="array" ref="L720">IFERROR(IF($A720=$A719,0,SUM(_xlfn._xlws.FILTER($E720:$E730,($A720:$A730=$A720)*($J720:$J730=L$42)))),0)</f>
        <v>0</v>
      </c>
      <c r="M720" s="1129" cm="1">
        <f t="array" ref="M720">IFERROR(IF($A720=$A719,0,SUM(_xlfn._xlws.FILTER($E720:$E730,($A720:$A730=$A720)*($J720:$J730=M$42)))),0)</f>
        <v>0</v>
      </c>
      <c r="N720" s="1129" cm="1">
        <f t="array" ref="N720">IFERROR(IF($A720=$A719,0,SUM(_xlfn._xlws.FILTER($E720:$E730,($A720:$A730=$A720)*($J720:$J730=N$42)))),0)</f>
        <v>0</v>
      </c>
    </row>
    <row r="721" spans="5:14">
      <c r="E721" s="1128">
        <f ca="1">IFERROR(C721*D721*_xlfn.XLOOKUP(B721,TabCalc[Ticker],TabCalc[Scale]),0)</f>
        <v>0</v>
      </c>
      <c r="F721" s="1129" cm="1">
        <f t="array" ref="F721">IF(A721=A720,0,SUM(_xlfn._xlws.FILTER(E721:E731,A721:A731=A721)))</f>
        <v>0</v>
      </c>
      <c r="G721" s="1130">
        <f>IF(F721&lt;&gt;0,SUM($F$43:F721),0)</f>
        <v>0</v>
      </c>
      <c r="H721" s="1130" cm="1">
        <f t="array" ref="H721">IFERROR(IF(A721=A720,0,SUM(_xlfn._xlws.FILTER(E721:E731,(A721:A731=A721)*(E721:E731&gt;0)))),0)</f>
        <v>0</v>
      </c>
      <c r="I721" s="1130" cm="1">
        <f t="array" ref="I721">IFERROR(IF(A721=A720,0,SUM(_xlfn._xlws.FILTER(E721:E731,(A721:A731=A721)*(F721&lt;0)))),0)</f>
        <v>0</v>
      </c>
      <c r="J721" s="295" t="str">
        <f ca="1">IFERROR(_xlfn.XLOOKUP(B721,TabCalc[Ticker],TabCalc[Cur]),"")</f>
        <v/>
      </c>
      <c r="K721" s="1129" cm="1">
        <f t="array" ref="K721">IFERROR(IF($A721=$A720,0,SUM(_xlfn._xlws.FILTER($E721:$E731,($A721:$A731=$A721)*($J721:$J731=K$42)))),0)</f>
        <v>0</v>
      </c>
      <c r="L721" s="1129" cm="1">
        <f t="array" ref="L721">IFERROR(IF($A721=$A720,0,SUM(_xlfn._xlws.FILTER($E721:$E731,($A721:$A731=$A721)*($J721:$J731=L$42)))),0)</f>
        <v>0</v>
      </c>
      <c r="M721" s="1129" cm="1">
        <f t="array" ref="M721">IFERROR(IF($A721=$A720,0,SUM(_xlfn._xlws.FILTER($E721:$E731,($A721:$A731=$A721)*($J721:$J731=M$42)))),0)</f>
        <v>0</v>
      </c>
      <c r="N721" s="1129" cm="1">
        <f t="array" ref="N721">IFERROR(IF($A721=$A720,0,SUM(_xlfn._xlws.FILTER($E721:$E731,($A721:$A731=$A721)*($J721:$J731=N$42)))),0)</f>
        <v>0</v>
      </c>
    </row>
    <row r="722" spans="5:14">
      <c r="E722" s="1128">
        <f ca="1">IFERROR(C722*D722*_xlfn.XLOOKUP(B722,TabCalc[Ticker],TabCalc[Scale]),0)</f>
        <v>0</v>
      </c>
      <c r="F722" s="1129" cm="1">
        <f t="array" ref="F722">IF(A722=A721,0,SUM(_xlfn._xlws.FILTER(E722:E732,A722:A732=A722)))</f>
        <v>0</v>
      </c>
      <c r="G722" s="1130">
        <f>IF(F722&lt;&gt;0,SUM($F$43:F722),0)</f>
        <v>0</v>
      </c>
      <c r="H722" s="1130" cm="1">
        <f t="array" ref="H722">IFERROR(IF(A722=A721,0,SUM(_xlfn._xlws.FILTER(E722:E732,(A722:A732=A722)*(E722:E732&gt;0)))),0)</f>
        <v>0</v>
      </c>
      <c r="I722" s="1130" cm="1">
        <f t="array" ref="I722">IFERROR(IF(A722=A721,0,SUM(_xlfn._xlws.FILTER(E722:E732,(A722:A732=A722)*(F722&lt;0)))),0)</f>
        <v>0</v>
      </c>
      <c r="J722" s="295" t="str">
        <f ca="1">IFERROR(_xlfn.XLOOKUP(B722,TabCalc[Ticker],TabCalc[Cur]),"")</f>
        <v/>
      </c>
      <c r="K722" s="1129" cm="1">
        <f t="array" ref="K722">IFERROR(IF($A722=$A721,0,SUM(_xlfn._xlws.FILTER($E722:$E732,($A722:$A732=$A722)*($J722:$J732=K$42)))),0)</f>
        <v>0</v>
      </c>
      <c r="L722" s="1129" cm="1">
        <f t="array" ref="L722">IFERROR(IF($A722=$A721,0,SUM(_xlfn._xlws.FILTER($E722:$E732,($A722:$A732=$A722)*($J722:$J732=L$42)))),0)</f>
        <v>0</v>
      </c>
      <c r="M722" s="1129" cm="1">
        <f t="array" ref="M722">IFERROR(IF($A722=$A721,0,SUM(_xlfn._xlws.FILTER($E722:$E732,($A722:$A732=$A722)*($J722:$J732=M$42)))),0)</f>
        <v>0</v>
      </c>
      <c r="N722" s="1129" cm="1">
        <f t="array" ref="N722">IFERROR(IF($A722=$A721,0,SUM(_xlfn._xlws.FILTER($E722:$E732,($A722:$A732=$A722)*($J722:$J732=N$42)))),0)</f>
        <v>0</v>
      </c>
    </row>
    <row r="723" spans="5:14">
      <c r="E723" s="1128">
        <f ca="1">IFERROR(C723*D723*_xlfn.XLOOKUP(B723,TabCalc[Ticker],TabCalc[Scale]),0)</f>
        <v>0</v>
      </c>
      <c r="F723" s="1129" cm="1">
        <f t="array" ref="F723">IF(A723=A722,0,SUM(_xlfn._xlws.FILTER(E723:E733,A723:A733=A723)))</f>
        <v>0</v>
      </c>
      <c r="G723" s="1130">
        <f>IF(F723&lt;&gt;0,SUM($F$43:F723),0)</f>
        <v>0</v>
      </c>
      <c r="H723" s="1130" cm="1">
        <f t="array" ref="H723">IFERROR(IF(A723=A722,0,SUM(_xlfn._xlws.FILTER(E723:E733,(A723:A733=A723)*(E723:E733&gt;0)))),0)</f>
        <v>0</v>
      </c>
      <c r="I723" s="1130" cm="1">
        <f t="array" ref="I723">IFERROR(IF(A723=A722,0,SUM(_xlfn._xlws.FILTER(E723:E733,(A723:A733=A723)*(F723&lt;0)))),0)</f>
        <v>0</v>
      </c>
      <c r="J723" s="295" t="str">
        <f ca="1">IFERROR(_xlfn.XLOOKUP(B723,TabCalc[Ticker],TabCalc[Cur]),"")</f>
        <v/>
      </c>
      <c r="K723" s="1129" cm="1">
        <f t="array" ref="K723">IFERROR(IF($A723=$A722,0,SUM(_xlfn._xlws.FILTER($E723:$E733,($A723:$A733=$A723)*($J723:$J733=K$42)))),0)</f>
        <v>0</v>
      </c>
      <c r="L723" s="1129" cm="1">
        <f t="array" ref="L723">IFERROR(IF($A723=$A722,0,SUM(_xlfn._xlws.FILTER($E723:$E733,($A723:$A733=$A723)*($J723:$J733=L$42)))),0)</f>
        <v>0</v>
      </c>
      <c r="M723" s="1129" cm="1">
        <f t="array" ref="M723">IFERROR(IF($A723=$A722,0,SUM(_xlfn._xlws.FILTER($E723:$E733,($A723:$A733=$A723)*($J723:$J733=M$42)))),0)</f>
        <v>0</v>
      </c>
      <c r="N723" s="1129" cm="1">
        <f t="array" ref="N723">IFERROR(IF($A723=$A722,0,SUM(_xlfn._xlws.FILTER($E723:$E733,($A723:$A733=$A723)*($J723:$J733=N$42)))),0)</f>
        <v>0</v>
      </c>
    </row>
    <row r="724" spans="5:14">
      <c r="E724" s="1128">
        <f ca="1">IFERROR(C724*D724*_xlfn.XLOOKUP(B724,TabCalc[Ticker],TabCalc[Scale]),0)</f>
        <v>0</v>
      </c>
      <c r="F724" s="1129" cm="1">
        <f t="array" ref="F724">IF(A724=A723,0,SUM(_xlfn._xlws.FILTER(E724:E734,A724:A734=A724)))</f>
        <v>0</v>
      </c>
      <c r="G724" s="1130">
        <f>IF(F724&lt;&gt;0,SUM($F$43:F724),0)</f>
        <v>0</v>
      </c>
      <c r="H724" s="1130" cm="1">
        <f t="array" ref="H724">IFERROR(IF(A724=A723,0,SUM(_xlfn._xlws.FILTER(E724:E734,(A724:A734=A724)*(E724:E734&gt;0)))),0)</f>
        <v>0</v>
      </c>
      <c r="I724" s="1130" cm="1">
        <f t="array" ref="I724">IFERROR(IF(A724=A723,0,SUM(_xlfn._xlws.FILTER(E724:E734,(A724:A734=A724)*(F724&lt;0)))),0)</f>
        <v>0</v>
      </c>
      <c r="J724" s="295" t="str">
        <f ca="1">IFERROR(_xlfn.XLOOKUP(B724,TabCalc[Ticker],TabCalc[Cur]),"")</f>
        <v/>
      </c>
      <c r="K724" s="1129" cm="1">
        <f t="array" ref="K724">IFERROR(IF($A724=$A723,0,SUM(_xlfn._xlws.FILTER($E724:$E734,($A724:$A734=$A724)*($J724:$J734=K$42)))),0)</f>
        <v>0</v>
      </c>
      <c r="L724" s="1129" cm="1">
        <f t="array" ref="L724">IFERROR(IF($A724=$A723,0,SUM(_xlfn._xlws.FILTER($E724:$E734,($A724:$A734=$A724)*($J724:$J734=L$42)))),0)</f>
        <v>0</v>
      </c>
      <c r="M724" s="1129" cm="1">
        <f t="array" ref="M724">IFERROR(IF($A724=$A723,0,SUM(_xlfn._xlws.FILTER($E724:$E734,($A724:$A734=$A724)*($J724:$J734=M$42)))),0)</f>
        <v>0</v>
      </c>
      <c r="N724" s="1129" cm="1">
        <f t="array" ref="N724">IFERROR(IF($A724=$A723,0,SUM(_xlfn._xlws.FILTER($E724:$E734,($A724:$A734=$A724)*($J724:$J734=N$42)))),0)</f>
        <v>0</v>
      </c>
    </row>
    <row r="725" spans="5:14">
      <c r="E725" s="1128">
        <f ca="1">IFERROR(C725*D725*_xlfn.XLOOKUP(B725,TabCalc[Ticker],TabCalc[Scale]),0)</f>
        <v>0</v>
      </c>
      <c r="F725" s="1129" cm="1">
        <f t="array" ref="F725">IF(A725=A724,0,SUM(_xlfn._xlws.FILTER(E725:E735,A725:A735=A725)))</f>
        <v>0</v>
      </c>
      <c r="G725" s="1130">
        <f>IF(F725&lt;&gt;0,SUM($F$43:F725),0)</f>
        <v>0</v>
      </c>
      <c r="H725" s="1130" cm="1">
        <f t="array" ref="H725">IFERROR(IF(A725=A724,0,SUM(_xlfn._xlws.FILTER(E725:E735,(A725:A735=A725)*(E725:E735&gt;0)))),0)</f>
        <v>0</v>
      </c>
      <c r="I725" s="1130" cm="1">
        <f t="array" ref="I725">IFERROR(IF(A725=A724,0,SUM(_xlfn._xlws.FILTER(E725:E735,(A725:A735=A725)*(F725&lt;0)))),0)</f>
        <v>0</v>
      </c>
      <c r="J725" s="295" t="str">
        <f ca="1">IFERROR(_xlfn.XLOOKUP(B725,TabCalc[Ticker],TabCalc[Cur]),"")</f>
        <v/>
      </c>
      <c r="K725" s="1129" cm="1">
        <f t="array" ref="K725">IFERROR(IF($A725=$A724,0,SUM(_xlfn._xlws.FILTER($E725:$E735,($A725:$A735=$A725)*($J725:$J735=K$42)))),0)</f>
        <v>0</v>
      </c>
      <c r="L725" s="1129" cm="1">
        <f t="array" ref="L725">IFERROR(IF($A725=$A724,0,SUM(_xlfn._xlws.FILTER($E725:$E735,($A725:$A735=$A725)*($J725:$J735=L$42)))),0)</f>
        <v>0</v>
      </c>
      <c r="M725" s="1129" cm="1">
        <f t="array" ref="M725">IFERROR(IF($A725=$A724,0,SUM(_xlfn._xlws.FILTER($E725:$E735,($A725:$A735=$A725)*($J725:$J735=M$42)))),0)</f>
        <v>0</v>
      </c>
      <c r="N725" s="1129" cm="1">
        <f t="array" ref="N725">IFERROR(IF($A725=$A724,0,SUM(_xlfn._xlws.FILTER($E725:$E735,($A725:$A735=$A725)*($J725:$J735=N$42)))),0)</f>
        <v>0</v>
      </c>
    </row>
    <row r="726" spans="5:14">
      <c r="E726" s="1128">
        <f ca="1">IFERROR(C726*D726*_xlfn.XLOOKUP(B726,TabCalc[Ticker],TabCalc[Scale]),0)</f>
        <v>0</v>
      </c>
      <c r="F726" s="1129" cm="1">
        <f t="array" ref="F726">IF(A726=A725,0,SUM(_xlfn._xlws.FILTER(E726:E736,A726:A736=A726)))</f>
        <v>0</v>
      </c>
      <c r="G726" s="1130">
        <f>IF(F726&lt;&gt;0,SUM($F$43:F726),0)</f>
        <v>0</v>
      </c>
      <c r="H726" s="1130" cm="1">
        <f t="array" ref="H726">IFERROR(IF(A726=A725,0,SUM(_xlfn._xlws.FILTER(E726:E736,(A726:A736=A726)*(E726:E736&gt;0)))),0)</f>
        <v>0</v>
      </c>
      <c r="I726" s="1130" cm="1">
        <f t="array" ref="I726">IFERROR(IF(A726=A725,0,SUM(_xlfn._xlws.FILTER(E726:E736,(A726:A736=A726)*(F726&lt;0)))),0)</f>
        <v>0</v>
      </c>
      <c r="J726" s="295" t="str">
        <f ca="1">IFERROR(_xlfn.XLOOKUP(B726,TabCalc[Ticker],TabCalc[Cur]),"")</f>
        <v/>
      </c>
      <c r="K726" s="1129" cm="1">
        <f t="array" ref="K726">IFERROR(IF($A726=$A725,0,SUM(_xlfn._xlws.FILTER($E726:$E736,($A726:$A736=$A726)*($J726:$J736=K$42)))),0)</f>
        <v>0</v>
      </c>
      <c r="L726" s="1129" cm="1">
        <f t="array" ref="L726">IFERROR(IF($A726=$A725,0,SUM(_xlfn._xlws.FILTER($E726:$E736,($A726:$A736=$A726)*($J726:$J736=L$42)))),0)</f>
        <v>0</v>
      </c>
      <c r="M726" s="1129" cm="1">
        <f t="array" ref="M726">IFERROR(IF($A726=$A725,0,SUM(_xlfn._xlws.FILTER($E726:$E736,($A726:$A736=$A726)*($J726:$J736=M$42)))),0)</f>
        <v>0</v>
      </c>
      <c r="N726" s="1129" cm="1">
        <f t="array" ref="N726">IFERROR(IF($A726=$A725,0,SUM(_xlfn._xlws.FILTER($E726:$E736,($A726:$A736=$A726)*($J726:$J736=N$42)))),0)</f>
        <v>0</v>
      </c>
    </row>
    <row r="727" spans="5:14">
      <c r="E727" s="1128">
        <f ca="1">IFERROR(C727*D727*_xlfn.XLOOKUP(B727,TabCalc[Ticker],TabCalc[Scale]),0)</f>
        <v>0</v>
      </c>
      <c r="F727" s="1129" cm="1">
        <f t="array" ref="F727">IF(A727=A726,0,SUM(_xlfn._xlws.FILTER(E727:E737,A727:A737=A727)))</f>
        <v>0</v>
      </c>
      <c r="G727" s="1130">
        <f>IF(F727&lt;&gt;0,SUM($F$43:F727),0)</f>
        <v>0</v>
      </c>
      <c r="H727" s="1130" cm="1">
        <f t="array" ref="H727">IFERROR(IF(A727=A726,0,SUM(_xlfn._xlws.FILTER(E727:E737,(A727:A737=A727)*(E727:E737&gt;0)))),0)</f>
        <v>0</v>
      </c>
      <c r="I727" s="1130" cm="1">
        <f t="array" ref="I727">IFERROR(IF(A727=A726,0,SUM(_xlfn._xlws.FILTER(E727:E737,(A727:A737=A727)*(F727&lt;0)))),0)</f>
        <v>0</v>
      </c>
      <c r="J727" s="295" t="str">
        <f ca="1">IFERROR(_xlfn.XLOOKUP(B727,TabCalc[Ticker],TabCalc[Cur]),"")</f>
        <v/>
      </c>
      <c r="K727" s="1129" cm="1">
        <f t="array" ref="K727">IFERROR(IF($A727=$A726,0,SUM(_xlfn._xlws.FILTER($E727:$E737,($A727:$A737=$A727)*($J727:$J737=K$42)))),0)</f>
        <v>0</v>
      </c>
      <c r="L727" s="1129" cm="1">
        <f t="array" ref="L727">IFERROR(IF($A727=$A726,0,SUM(_xlfn._xlws.FILTER($E727:$E737,($A727:$A737=$A727)*($J727:$J737=L$42)))),0)</f>
        <v>0</v>
      </c>
      <c r="M727" s="1129" cm="1">
        <f t="array" ref="M727">IFERROR(IF($A727=$A726,0,SUM(_xlfn._xlws.FILTER($E727:$E737,($A727:$A737=$A727)*($J727:$J737=M$42)))),0)</f>
        <v>0</v>
      </c>
      <c r="N727" s="1129" cm="1">
        <f t="array" ref="N727">IFERROR(IF($A727=$A726,0,SUM(_xlfn._xlws.FILTER($E727:$E737,($A727:$A737=$A727)*($J727:$J737=N$42)))),0)</f>
        <v>0</v>
      </c>
    </row>
    <row r="728" spans="5:14">
      <c r="E728" s="1128">
        <f ca="1">IFERROR(C728*D728*_xlfn.XLOOKUP(B728,TabCalc[Ticker],TabCalc[Scale]),0)</f>
        <v>0</v>
      </c>
      <c r="F728" s="1129" cm="1">
        <f t="array" ref="F728">IF(A728=A727,0,SUM(_xlfn._xlws.FILTER(E728:E738,A728:A738=A728)))</f>
        <v>0</v>
      </c>
      <c r="G728" s="1130">
        <f>IF(F728&lt;&gt;0,SUM($F$43:F728),0)</f>
        <v>0</v>
      </c>
      <c r="H728" s="1130" cm="1">
        <f t="array" ref="H728">IFERROR(IF(A728=A727,0,SUM(_xlfn._xlws.FILTER(E728:E738,(A728:A738=A728)*(E728:E738&gt;0)))),0)</f>
        <v>0</v>
      </c>
      <c r="I728" s="1130" cm="1">
        <f t="array" ref="I728">IFERROR(IF(A728=A727,0,SUM(_xlfn._xlws.FILTER(E728:E738,(A728:A738=A728)*(F728&lt;0)))),0)</f>
        <v>0</v>
      </c>
      <c r="J728" s="295" t="str">
        <f ca="1">IFERROR(_xlfn.XLOOKUP(B728,TabCalc[Ticker],TabCalc[Cur]),"")</f>
        <v/>
      </c>
      <c r="K728" s="1129" cm="1">
        <f t="array" ref="K728">IFERROR(IF($A728=$A727,0,SUM(_xlfn._xlws.FILTER($E728:$E738,($A728:$A738=$A728)*($J728:$J738=K$42)))),0)</f>
        <v>0</v>
      </c>
      <c r="L728" s="1129" cm="1">
        <f t="array" ref="L728">IFERROR(IF($A728=$A727,0,SUM(_xlfn._xlws.FILTER($E728:$E738,($A728:$A738=$A728)*($J728:$J738=L$42)))),0)</f>
        <v>0</v>
      </c>
      <c r="M728" s="1129" cm="1">
        <f t="array" ref="M728">IFERROR(IF($A728=$A727,0,SUM(_xlfn._xlws.FILTER($E728:$E738,($A728:$A738=$A728)*($J728:$J738=M$42)))),0)</f>
        <v>0</v>
      </c>
      <c r="N728" s="1129" cm="1">
        <f t="array" ref="N728">IFERROR(IF($A728=$A727,0,SUM(_xlfn._xlws.FILTER($E728:$E738,($A728:$A738=$A728)*($J728:$J738=N$42)))),0)</f>
        <v>0</v>
      </c>
    </row>
    <row r="729" spans="5:14">
      <c r="E729" s="1128">
        <f ca="1">IFERROR(C729*D729*_xlfn.XLOOKUP(B729,TabCalc[Ticker],TabCalc[Scale]),0)</f>
        <v>0</v>
      </c>
      <c r="F729" s="1129" cm="1">
        <f t="array" ref="F729">IF(A729=A728,0,SUM(_xlfn._xlws.FILTER(E729:E739,A729:A739=A729)))</f>
        <v>0</v>
      </c>
      <c r="G729" s="1130">
        <f>IF(F729&lt;&gt;0,SUM($F$43:F729),0)</f>
        <v>0</v>
      </c>
      <c r="H729" s="1130" cm="1">
        <f t="array" ref="H729">IFERROR(IF(A729=A728,0,SUM(_xlfn._xlws.FILTER(E729:E739,(A729:A739=A729)*(E729:E739&gt;0)))),0)</f>
        <v>0</v>
      </c>
      <c r="I729" s="1130" cm="1">
        <f t="array" ref="I729">IFERROR(IF(A729=A728,0,SUM(_xlfn._xlws.FILTER(E729:E739,(A729:A739=A729)*(F729&lt;0)))),0)</f>
        <v>0</v>
      </c>
      <c r="J729" s="295" t="str">
        <f ca="1">IFERROR(_xlfn.XLOOKUP(B729,TabCalc[Ticker],TabCalc[Cur]),"")</f>
        <v/>
      </c>
      <c r="K729" s="1129" cm="1">
        <f t="array" ref="K729">IFERROR(IF($A729=$A728,0,SUM(_xlfn._xlws.FILTER($E729:$E739,($A729:$A739=$A729)*($J729:$J739=K$42)))),0)</f>
        <v>0</v>
      </c>
      <c r="L729" s="1129" cm="1">
        <f t="array" ref="L729">IFERROR(IF($A729=$A728,0,SUM(_xlfn._xlws.FILTER($E729:$E739,($A729:$A739=$A729)*($J729:$J739=L$42)))),0)</f>
        <v>0</v>
      </c>
      <c r="M729" s="1129" cm="1">
        <f t="array" ref="M729">IFERROR(IF($A729=$A728,0,SUM(_xlfn._xlws.FILTER($E729:$E739,($A729:$A739=$A729)*($J729:$J739=M$42)))),0)</f>
        <v>0</v>
      </c>
      <c r="N729" s="1129" cm="1">
        <f t="array" ref="N729">IFERROR(IF($A729=$A728,0,SUM(_xlfn._xlws.FILTER($E729:$E739,($A729:$A739=$A729)*($J729:$J739=N$42)))),0)</f>
        <v>0</v>
      </c>
    </row>
    <row r="730" spans="5:14">
      <c r="E730" s="1128">
        <f ca="1">IFERROR(C730*D730*_xlfn.XLOOKUP(B730,TabCalc[Ticker],TabCalc[Scale]),0)</f>
        <v>0</v>
      </c>
      <c r="F730" s="1129" cm="1">
        <f t="array" ref="F730">IF(A730=A729,0,SUM(_xlfn._xlws.FILTER(E730:E740,A730:A740=A730)))</f>
        <v>0</v>
      </c>
      <c r="G730" s="1130">
        <f>IF(F730&lt;&gt;0,SUM($F$43:F730),0)</f>
        <v>0</v>
      </c>
      <c r="H730" s="1130" cm="1">
        <f t="array" ref="H730">IFERROR(IF(A730=A729,0,SUM(_xlfn._xlws.FILTER(E730:E740,(A730:A740=A730)*(E730:E740&gt;0)))),0)</f>
        <v>0</v>
      </c>
      <c r="I730" s="1130" cm="1">
        <f t="array" ref="I730">IFERROR(IF(A730=A729,0,SUM(_xlfn._xlws.FILTER(E730:E740,(A730:A740=A730)*(F730&lt;0)))),0)</f>
        <v>0</v>
      </c>
      <c r="J730" s="295" t="str">
        <f ca="1">IFERROR(_xlfn.XLOOKUP(B730,TabCalc[Ticker],TabCalc[Cur]),"")</f>
        <v/>
      </c>
      <c r="K730" s="1129" cm="1">
        <f t="array" ref="K730">IFERROR(IF($A730=$A729,0,SUM(_xlfn._xlws.FILTER($E730:$E740,($A730:$A740=$A730)*($J730:$J740=K$42)))),0)</f>
        <v>0</v>
      </c>
      <c r="L730" s="1129" cm="1">
        <f t="array" ref="L730">IFERROR(IF($A730=$A729,0,SUM(_xlfn._xlws.FILTER($E730:$E740,($A730:$A740=$A730)*($J730:$J740=L$42)))),0)</f>
        <v>0</v>
      </c>
      <c r="M730" s="1129" cm="1">
        <f t="array" ref="M730">IFERROR(IF($A730=$A729,0,SUM(_xlfn._xlws.FILTER($E730:$E740,($A730:$A740=$A730)*($J730:$J740=M$42)))),0)</f>
        <v>0</v>
      </c>
      <c r="N730" s="1129" cm="1">
        <f t="array" ref="N730">IFERROR(IF($A730=$A729,0,SUM(_xlfn._xlws.FILTER($E730:$E740,($A730:$A740=$A730)*($J730:$J740=N$42)))),0)</f>
        <v>0</v>
      </c>
    </row>
    <row r="731" spans="5:14">
      <c r="E731" s="1128">
        <f ca="1">IFERROR(C731*D731*_xlfn.XLOOKUP(B731,TabCalc[Ticker],TabCalc[Scale]),0)</f>
        <v>0</v>
      </c>
      <c r="F731" s="1129" cm="1">
        <f t="array" ref="F731">IF(A731=A730,0,SUM(_xlfn._xlws.FILTER(E731:E741,A731:A741=A731)))</f>
        <v>0</v>
      </c>
      <c r="G731" s="1130">
        <f>IF(F731&lt;&gt;0,SUM($F$43:F731),0)</f>
        <v>0</v>
      </c>
      <c r="H731" s="1130" cm="1">
        <f t="array" ref="H731">IFERROR(IF(A731=A730,0,SUM(_xlfn._xlws.FILTER(E731:E741,(A731:A741=A731)*(E731:E741&gt;0)))),0)</f>
        <v>0</v>
      </c>
      <c r="I731" s="1130" cm="1">
        <f t="array" ref="I731">IFERROR(IF(A731=A730,0,SUM(_xlfn._xlws.FILTER(E731:E741,(A731:A741=A731)*(F731&lt;0)))),0)</f>
        <v>0</v>
      </c>
      <c r="J731" s="295" t="str">
        <f ca="1">IFERROR(_xlfn.XLOOKUP(B731,TabCalc[Ticker],TabCalc[Cur]),"")</f>
        <v/>
      </c>
      <c r="K731" s="1129" cm="1">
        <f t="array" ref="K731">IFERROR(IF($A731=$A730,0,SUM(_xlfn._xlws.FILTER($E731:$E741,($A731:$A741=$A731)*($J731:$J741=K$42)))),0)</f>
        <v>0</v>
      </c>
      <c r="L731" s="1129" cm="1">
        <f t="array" ref="L731">IFERROR(IF($A731=$A730,0,SUM(_xlfn._xlws.FILTER($E731:$E741,($A731:$A741=$A731)*($J731:$J741=L$42)))),0)</f>
        <v>0</v>
      </c>
      <c r="M731" s="1129" cm="1">
        <f t="array" ref="M731">IFERROR(IF($A731=$A730,0,SUM(_xlfn._xlws.FILTER($E731:$E741,($A731:$A741=$A731)*($J731:$J741=M$42)))),0)</f>
        <v>0</v>
      </c>
      <c r="N731" s="1129" cm="1">
        <f t="array" ref="N731">IFERROR(IF($A731=$A730,0,SUM(_xlfn._xlws.FILTER($E731:$E741,($A731:$A741=$A731)*($J731:$J741=N$42)))),0)</f>
        <v>0</v>
      </c>
    </row>
    <row r="732" spans="5:14">
      <c r="E732" s="1128">
        <f ca="1">IFERROR(C732*D732*_xlfn.XLOOKUP(B732,TabCalc[Ticker],TabCalc[Scale]),0)</f>
        <v>0</v>
      </c>
      <c r="F732" s="1129" cm="1">
        <f t="array" ref="F732">IF(A732=A731,0,SUM(_xlfn._xlws.FILTER(E732:E742,A732:A742=A732)))</f>
        <v>0</v>
      </c>
      <c r="G732" s="1130">
        <f>IF(F732&lt;&gt;0,SUM($F$43:F732),0)</f>
        <v>0</v>
      </c>
      <c r="H732" s="1130" cm="1">
        <f t="array" ref="H732">IFERROR(IF(A732=A731,0,SUM(_xlfn._xlws.FILTER(E732:E742,(A732:A742=A732)*(E732:E742&gt;0)))),0)</f>
        <v>0</v>
      </c>
      <c r="I732" s="1130" cm="1">
        <f t="array" ref="I732">IFERROR(IF(A732=A731,0,SUM(_xlfn._xlws.FILTER(E732:E742,(A732:A742=A732)*(F732&lt;0)))),0)</f>
        <v>0</v>
      </c>
      <c r="J732" s="295" t="str">
        <f ca="1">IFERROR(_xlfn.XLOOKUP(B732,TabCalc[Ticker],TabCalc[Cur]),"")</f>
        <v/>
      </c>
      <c r="K732" s="1129" cm="1">
        <f t="array" ref="K732">IFERROR(IF($A732=$A731,0,SUM(_xlfn._xlws.FILTER($E732:$E742,($A732:$A742=$A732)*($J732:$J742=K$42)))),0)</f>
        <v>0</v>
      </c>
      <c r="L732" s="1129" cm="1">
        <f t="array" ref="L732">IFERROR(IF($A732=$A731,0,SUM(_xlfn._xlws.FILTER($E732:$E742,($A732:$A742=$A732)*($J732:$J742=L$42)))),0)</f>
        <v>0</v>
      </c>
      <c r="M732" s="1129" cm="1">
        <f t="array" ref="M732">IFERROR(IF($A732=$A731,0,SUM(_xlfn._xlws.FILTER($E732:$E742,($A732:$A742=$A732)*($J732:$J742=M$42)))),0)</f>
        <v>0</v>
      </c>
      <c r="N732" s="1129" cm="1">
        <f t="array" ref="N732">IFERROR(IF($A732=$A731,0,SUM(_xlfn._xlws.FILTER($E732:$E742,($A732:$A742=$A732)*($J732:$J742=N$42)))),0)</f>
        <v>0</v>
      </c>
    </row>
    <row r="733" spans="5:14">
      <c r="E733" s="1128">
        <f ca="1">IFERROR(C733*D733*_xlfn.XLOOKUP(B733,TabCalc[Ticker],TabCalc[Scale]),0)</f>
        <v>0</v>
      </c>
      <c r="F733" s="1129" cm="1">
        <f t="array" ref="F733">IF(A733=A732,0,SUM(_xlfn._xlws.FILTER(E733:E743,A733:A743=A733)))</f>
        <v>0</v>
      </c>
      <c r="G733" s="1130">
        <f>IF(F733&lt;&gt;0,SUM($F$43:F733),0)</f>
        <v>0</v>
      </c>
      <c r="H733" s="1130" cm="1">
        <f t="array" ref="H733">IFERROR(IF(A733=A732,0,SUM(_xlfn._xlws.FILTER(E733:E743,(A733:A743=A733)*(E733:E743&gt;0)))),0)</f>
        <v>0</v>
      </c>
      <c r="I733" s="1130" cm="1">
        <f t="array" ref="I733">IFERROR(IF(A733=A732,0,SUM(_xlfn._xlws.FILTER(E733:E743,(A733:A743=A733)*(F733&lt;0)))),0)</f>
        <v>0</v>
      </c>
      <c r="J733" s="295" t="str">
        <f ca="1">IFERROR(_xlfn.XLOOKUP(B733,TabCalc[Ticker],TabCalc[Cur]),"")</f>
        <v/>
      </c>
      <c r="K733" s="1129" cm="1">
        <f t="array" ref="K733">IFERROR(IF($A733=$A732,0,SUM(_xlfn._xlws.FILTER($E733:$E743,($A733:$A743=$A733)*($J733:$J743=K$42)))),0)</f>
        <v>0</v>
      </c>
      <c r="L733" s="1129" cm="1">
        <f t="array" ref="L733">IFERROR(IF($A733=$A732,0,SUM(_xlfn._xlws.FILTER($E733:$E743,($A733:$A743=$A733)*($J733:$J743=L$42)))),0)</f>
        <v>0</v>
      </c>
      <c r="M733" s="1129" cm="1">
        <f t="array" ref="M733">IFERROR(IF($A733=$A732,0,SUM(_xlfn._xlws.FILTER($E733:$E743,($A733:$A743=$A733)*($J733:$J743=M$42)))),0)</f>
        <v>0</v>
      </c>
      <c r="N733" s="1129" cm="1">
        <f t="array" ref="N733">IFERROR(IF($A733=$A732,0,SUM(_xlfn._xlws.FILTER($E733:$E743,($A733:$A743=$A733)*($J733:$J743=N$42)))),0)</f>
        <v>0</v>
      </c>
    </row>
    <row r="734" spans="5:14">
      <c r="E734" s="1128">
        <f ca="1">IFERROR(C734*D734*_xlfn.XLOOKUP(B734,TabCalc[Ticker],TabCalc[Scale]),0)</f>
        <v>0</v>
      </c>
      <c r="F734" s="1129" cm="1">
        <f t="array" ref="F734">IF(A734=A733,0,SUM(_xlfn._xlws.FILTER(E734:E744,A734:A744=A734)))</f>
        <v>0</v>
      </c>
      <c r="G734" s="1130">
        <f>IF(F734&lt;&gt;0,SUM($F$43:F734),0)</f>
        <v>0</v>
      </c>
      <c r="H734" s="1130" cm="1">
        <f t="array" ref="H734">IFERROR(IF(A734=A733,0,SUM(_xlfn._xlws.FILTER(E734:E744,(A734:A744=A734)*(E734:E744&gt;0)))),0)</f>
        <v>0</v>
      </c>
      <c r="I734" s="1130" cm="1">
        <f t="array" ref="I734">IFERROR(IF(A734=A733,0,SUM(_xlfn._xlws.FILTER(E734:E744,(A734:A744=A734)*(F734&lt;0)))),0)</f>
        <v>0</v>
      </c>
      <c r="J734" s="295" t="str">
        <f ca="1">IFERROR(_xlfn.XLOOKUP(B734,TabCalc[Ticker],TabCalc[Cur]),"")</f>
        <v/>
      </c>
      <c r="K734" s="1129" cm="1">
        <f t="array" ref="K734">IFERROR(IF($A734=$A733,0,SUM(_xlfn._xlws.FILTER($E734:$E744,($A734:$A744=$A734)*($J734:$J744=K$42)))),0)</f>
        <v>0</v>
      </c>
      <c r="L734" s="1129" cm="1">
        <f t="array" ref="L734">IFERROR(IF($A734=$A733,0,SUM(_xlfn._xlws.FILTER($E734:$E744,($A734:$A744=$A734)*($J734:$J744=L$42)))),0)</f>
        <v>0</v>
      </c>
      <c r="M734" s="1129" cm="1">
        <f t="array" ref="M734">IFERROR(IF($A734=$A733,0,SUM(_xlfn._xlws.FILTER($E734:$E744,($A734:$A744=$A734)*($J734:$J744=M$42)))),0)</f>
        <v>0</v>
      </c>
      <c r="N734" s="1129" cm="1">
        <f t="array" ref="N734">IFERROR(IF($A734=$A733,0,SUM(_xlfn._xlws.FILTER($E734:$E744,($A734:$A744=$A734)*($J734:$J744=N$42)))),0)</f>
        <v>0</v>
      </c>
    </row>
    <row r="735" spans="5:14">
      <c r="E735" s="1128">
        <f ca="1">IFERROR(C735*D735*_xlfn.XLOOKUP(B735,TabCalc[Ticker],TabCalc[Scale]),0)</f>
        <v>0</v>
      </c>
      <c r="F735" s="1129" cm="1">
        <f t="array" ref="F735">IF(A735=A734,0,SUM(_xlfn._xlws.FILTER(E735:E745,A735:A745=A735)))</f>
        <v>0</v>
      </c>
      <c r="G735" s="1130">
        <f>IF(F735&lt;&gt;0,SUM($F$43:F735),0)</f>
        <v>0</v>
      </c>
      <c r="H735" s="1130" cm="1">
        <f t="array" ref="H735">IFERROR(IF(A735=A734,0,SUM(_xlfn._xlws.FILTER(E735:E745,(A735:A745=A735)*(E735:E745&gt;0)))),0)</f>
        <v>0</v>
      </c>
      <c r="I735" s="1130" cm="1">
        <f t="array" ref="I735">IFERROR(IF(A735=A734,0,SUM(_xlfn._xlws.FILTER(E735:E745,(A735:A745=A735)*(F735&lt;0)))),0)</f>
        <v>0</v>
      </c>
      <c r="J735" s="295" t="str">
        <f ca="1">IFERROR(_xlfn.XLOOKUP(B735,TabCalc[Ticker],TabCalc[Cur]),"")</f>
        <v/>
      </c>
      <c r="K735" s="1129" cm="1">
        <f t="array" ref="K735">IFERROR(IF($A735=$A734,0,SUM(_xlfn._xlws.FILTER($E735:$E745,($A735:$A745=$A735)*($J735:$J745=K$42)))),0)</f>
        <v>0</v>
      </c>
      <c r="L735" s="1129" cm="1">
        <f t="array" ref="L735">IFERROR(IF($A735=$A734,0,SUM(_xlfn._xlws.FILTER($E735:$E745,($A735:$A745=$A735)*($J735:$J745=L$42)))),0)</f>
        <v>0</v>
      </c>
      <c r="M735" s="1129" cm="1">
        <f t="array" ref="M735">IFERROR(IF($A735=$A734,0,SUM(_xlfn._xlws.FILTER($E735:$E745,($A735:$A745=$A735)*($J735:$J745=M$42)))),0)</f>
        <v>0</v>
      </c>
      <c r="N735" s="1129" cm="1">
        <f t="array" ref="N735">IFERROR(IF($A735=$A734,0,SUM(_xlfn._xlws.FILTER($E735:$E745,($A735:$A745=$A735)*($J735:$J745=N$42)))),0)</f>
        <v>0</v>
      </c>
    </row>
    <row r="736" spans="5:14">
      <c r="E736" s="1128">
        <f ca="1">IFERROR(C736*D736*_xlfn.XLOOKUP(B736,TabCalc[Ticker],TabCalc[Scale]),0)</f>
        <v>0</v>
      </c>
      <c r="F736" s="1129" cm="1">
        <f t="array" ref="F736">IF(A736=A735,0,SUM(_xlfn._xlws.FILTER(E736:E746,A736:A746=A736)))</f>
        <v>0</v>
      </c>
      <c r="G736" s="1130">
        <f>IF(F736&lt;&gt;0,SUM($F$43:F736),0)</f>
        <v>0</v>
      </c>
      <c r="H736" s="1130" cm="1">
        <f t="array" ref="H736">IFERROR(IF(A736=A735,0,SUM(_xlfn._xlws.FILTER(E736:E746,(A736:A746=A736)*(E736:E746&gt;0)))),0)</f>
        <v>0</v>
      </c>
      <c r="I736" s="1130" cm="1">
        <f t="array" ref="I736">IFERROR(IF(A736=A735,0,SUM(_xlfn._xlws.FILTER(E736:E746,(A736:A746=A736)*(F736&lt;0)))),0)</f>
        <v>0</v>
      </c>
      <c r="J736" s="295" t="str">
        <f ca="1">IFERROR(_xlfn.XLOOKUP(B736,TabCalc[Ticker],TabCalc[Cur]),"")</f>
        <v/>
      </c>
      <c r="K736" s="1129" cm="1">
        <f t="array" ref="K736">IFERROR(IF($A736=$A735,0,SUM(_xlfn._xlws.FILTER($E736:$E746,($A736:$A746=$A736)*($J736:$J746=K$42)))),0)</f>
        <v>0</v>
      </c>
      <c r="L736" s="1129" cm="1">
        <f t="array" ref="L736">IFERROR(IF($A736=$A735,0,SUM(_xlfn._xlws.FILTER($E736:$E746,($A736:$A746=$A736)*($J736:$J746=L$42)))),0)</f>
        <v>0</v>
      </c>
      <c r="M736" s="1129" cm="1">
        <f t="array" ref="M736">IFERROR(IF($A736=$A735,0,SUM(_xlfn._xlws.FILTER($E736:$E746,($A736:$A746=$A736)*($J736:$J746=M$42)))),0)</f>
        <v>0</v>
      </c>
      <c r="N736" s="1129" cm="1">
        <f t="array" ref="N736">IFERROR(IF($A736=$A735,0,SUM(_xlfn._xlws.FILTER($E736:$E746,($A736:$A746=$A736)*($J736:$J746=N$42)))),0)</f>
        <v>0</v>
      </c>
    </row>
    <row r="737" spans="5:14">
      <c r="E737" s="1128">
        <f ca="1">IFERROR(C737*D737*_xlfn.XLOOKUP(B737,TabCalc[Ticker],TabCalc[Scale]),0)</f>
        <v>0</v>
      </c>
      <c r="F737" s="1129" cm="1">
        <f t="array" ref="F737">IF(A737=A736,0,SUM(_xlfn._xlws.FILTER(E737:E747,A737:A747=A737)))</f>
        <v>0</v>
      </c>
      <c r="G737" s="1130">
        <f>IF(F737&lt;&gt;0,SUM($F$43:F737),0)</f>
        <v>0</v>
      </c>
      <c r="H737" s="1130" cm="1">
        <f t="array" ref="H737">IFERROR(IF(A737=A736,0,SUM(_xlfn._xlws.FILTER(E737:E747,(A737:A747=A737)*(E737:E747&gt;0)))),0)</f>
        <v>0</v>
      </c>
      <c r="I737" s="1130" cm="1">
        <f t="array" ref="I737">IFERROR(IF(A737=A736,0,SUM(_xlfn._xlws.FILTER(E737:E747,(A737:A747=A737)*(F737&lt;0)))),0)</f>
        <v>0</v>
      </c>
      <c r="J737" s="295" t="str">
        <f ca="1">IFERROR(_xlfn.XLOOKUP(B737,TabCalc[Ticker],TabCalc[Cur]),"")</f>
        <v/>
      </c>
      <c r="K737" s="1129" cm="1">
        <f t="array" ref="K737">IFERROR(IF($A737=$A736,0,SUM(_xlfn._xlws.FILTER($E737:$E747,($A737:$A747=$A737)*($J737:$J747=K$42)))),0)</f>
        <v>0</v>
      </c>
      <c r="L737" s="1129" cm="1">
        <f t="array" ref="L737">IFERROR(IF($A737=$A736,0,SUM(_xlfn._xlws.FILTER($E737:$E747,($A737:$A747=$A737)*($J737:$J747=L$42)))),0)</f>
        <v>0</v>
      </c>
      <c r="M737" s="1129" cm="1">
        <f t="array" ref="M737">IFERROR(IF($A737=$A736,0,SUM(_xlfn._xlws.FILTER($E737:$E747,($A737:$A747=$A737)*($J737:$J747=M$42)))),0)</f>
        <v>0</v>
      </c>
      <c r="N737" s="1129" cm="1">
        <f t="array" ref="N737">IFERROR(IF($A737=$A736,0,SUM(_xlfn._xlws.FILTER($E737:$E747,($A737:$A747=$A737)*($J737:$J747=N$42)))),0)</f>
        <v>0</v>
      </c>
    </row>
    <row r="738" spans="5:14">
      <c r="E738" s="1128">
        <f ca="1">IFERROR(C738*D738*_xlfn.XLOOKUP(B738,TabCalc[Ticker],TabCalc[Scale]),0)</f>
        <v>0</v>
      </c>
      <c r="F738" s="1129" cm="1">
        <f t="array" ref="F738">IF(A738=A737,0,SUM(_xlfn._xlws.FILTER(E738:E748,A738:A748=A738)))</f>
        <v>0</v>
      </c>
      <c r="G738" s="1130">
        <f>IF(F738&lt;&gt;0,SUM($F$43:F738),0)</f>
        <v>0</v>
      </c>
      <c r="H738" s="1130" cm="1">
        <f t="array" ref="H738">IFERROR(IF(A738=A737,0,SUM(_xlfn._xlws.FILTER(E738:E748,(A738:A748=A738)*(E738:E748&gt;0)))),0)</f>
        <v>0</v>
      </c>
      <c r="I738" s="1130" cm="1">
        <f t="array" ref="I738">IFERROR(IF(A738=A737,0,SUM(_xlfn._xlws.FILTER(E738:E748,(A738:A748=A738)*(F738&lt;0)))),0)</f>
        <v>0</v>
      </c>
      <c r="J738" s="295" t="str">
        <f ca="1">IFERROR(_xlfn.XLOOKUP(B738,TabCalc[Ticker],TabCalc[Cur]),"")</f>
        <v/>
      </c>
      <c r="K738" s="1129" cm="1">
        <f t="array" ref="K738">IFERROR(IF($A738=$A737,0,SUM(_xlfn._xlws.FILTER($E738:$E748,($A738:$A748=$A738)*($J738:$J748=K$42)))),0)</f>
        <v>0</v>
      </c>
      <c r="L738" s="1129" cm="1">
        <f t="array" ref="L738">IFERROR(IF($A738=$A737,0,SUM(_xlfn._xlws.FILTER($E738:$E748,($A738:$A748=$A738)*($J738:$J748=L$42)))),0)</f>
        <v>0</v>
      </c>
      <c r="M738" s="1129" cm="1">
        <f t="array" ref="M738">IFERROR(IF($A738=$A737,0,SUM(_xlfn._xlws.FILTER($E738:$E748,($A738:$A748=$A738)*($J738:$J748=M$42)))),0)</f>
        <v>0</v>
      </c>
      <c r="N738" s="1129" cm="1">
        <f t="array" ref="N738">IFERROR(IF($A738=$A737,0,SUM(_xlfn._xlws.FILTER($E738:$E748,($A738:$A748=$A738)*($J738:$J748=N$42)))),0)</f>
        <v>0</v>
      </c>
    </row>
    <row r="739" spans="5:14">
      <c r="E739" s="1128">
        <f ca="1">IFERROR(C739*D739*_xlfn.XLOOKUP(B739,TabCalc[Ticker],TabCalc[Scale]),0)</f>
        <v>0</v>
      </c>
      <c r="F739" s="1129" cm="1">
        <f t="array" ref="F739">IF(A739=A738,0,SUM(_xlfn._xlws.FILTER(E739:E749,A739:A749=A739)))</f>
        <v>0</v>
      </c>
      <c r="G739" s="1130">
        <f>IF(F739&lt;&gt;0,SUM($F$43:F739),0)</f>
        <v>0</v>
      </c>
      <c r="H739" s="1130" cm="1">
        <f t="array" ref="H739">IFERROR(IF(A739=A738,0,SUM(_xlfn._xlws.FILTER(E739:E749,(A739:A749=A739)*(E739:E749&gt;0)))),0)</f>
        <v>0</v>
      </c>
      <c r="I739" s="1130" cm="1">
        <f t="array" ref="I739">IFERROR(IF(A739=A738,0,SUM(_xlfn._xlws.FILTER(E739:E749,(A739:A749=A739)*(F739&lt;0)))),0)</f>
        <v>0</v>
      </c>
      <c r="J739" s="295" t="str">
        <f ca="1">IFERROR(_xlfn.XLOOKUP(B739,TabCalc[Ticker],TabCalc[Cur]),"")</f>
        <v/>
      </c>
      <c r="K739" s="1129" cm="1">
        <f t="array" ref="K739">IFERROR(IF($A739=$A738,0,SUM(_xlfn._xlws.FILTER($E739:$E749,($A739:$A749=$A739)*($J739:$J749=K$42)))),0)</f>
        <v>0</v>
      </c>
      <c r="L739" s="1129" cm="1">
        <f t="array" ref="L739">IFERROR(IF($A739=$A738,0,SUM(_xlfn._xlws.FILTER($E739:$E749,($A739:$A749=$A739)*($J739:$J749=L$42)))),0)</f>
        <v>0</v>
      </c>
      <c r="M739" s="1129" cm="1">
        <f t="array" ref="M739">IFERROR(IF($A739=$A738,0,SUM(_xlfn._xlws.FILTER($E739:$E749,($A739:$A749=$A739)*($J739:$J749=M$42)))),0)</f>
        <v>0</v>
      </c>
      <c r="N739" s="1129" cm="1">
        <f t="array" ref="N739">IFERROR(IF($A739=$A738,0,SUM(_xlfn._xlws.FILTER($E739:$E749,($A739:$A749=$A739)*($J739:$J749=N$42)))),0)</f>
        <v>0</v>
      </c>
    </row>
    <row r="740" spans="5:14">
      <c r="E740" s="1128">
        <f ca="1">IFERROR(C740*D740*_xlfn.XLOOKUP(B740,TabCalc[Ticker],TabCalc[Scale]),0)</f>
        <v>0</v>
      </c>
      <c r="F740" s="1129" cm="1">
        <f t="array" ref="F740">IF(A740=A739,0,SUM(_xlfn._xlws.FILTER(E740:E750,A740:A750=A740)))</f>
        <v>0</v>
      </c>
      <c r="G740" s="1130">
        <f>IF(F740&lt;&gt;0,SUM($F$43:F740),0)</f>
        <v>0</v>
      </c>
      <c r="H740" s="1130" cm="1">
        <f t="array" ref="H740">IFERROR(IF(A740=A739,0,SUM(_xlfn._xlws.FILTER(E740:E750,(A740:A750=A740)*(E740:E750&gt;0)))),0)</f>
        <v>0</v>
      </c>
      <c r="I740" s="1130" cm="1">
        <f t="array" ref="I740">IFERROR(IF(A740=A739,0,SUM(_xlfn._xlws.FILTER(E740:E750,(A740:A750=A740)*(F740&lt;0)))),0)</f>
        <v>0</v>
      </c>
      <c r="J740" s="295" t="str">
        <f ca="1">IFERROR(_xlfn.XLOOKUP(B740,TabCalc[Ticker],TabCalc[Cur]),"")</f>
        <v/>
      </c>
      <c r="K740" s="1129" cm="1">
        <f t="array" ref="K740">IFERROR(IF($A740=$A739,0,SUM(_xlfn._xlws.FILTER($E740:$E750,($A740:$A750=$A740)*($J740:$J750=K$42)))),0)</f>
        <v>0</v>
      </c>
      <c r="L740" s="1129" cm="1">
        <f t="array" ref="L740">IFERROR(IF($A740=$A739,0,SUM(_xlfn._xlws.FILTER($E740:$E750,($A740:$A750=$A740)*($J740:$J750=L$42)))),0)</f>
        <v>0</v>
      </c>
      <c r="M740" s="1129" cm="1">
        <f t="array" ref="M740">IFERROR(IF($A740=$A739,0,SUM(_xlfn._xlws.FILTER($E740:$E750,($A740:$A750=$A740)*($J740:$J750=M$42)))),0)</f>
        <v>0</v>
      </c>
      <c r="N740" s="1129" cm="1">
        <f t="array" ref="N740">IFERROR(IF($A740=$A739,0,SUM(_xlfn._xlws.FILTER($E740:$E750,($A740:$A750=$A740)*($J740:$J750=N$42)))),0)</f>
        <v>0</v>
      </c>
    </row>
    <row r="741" spans="5:14">
      <c r="E741" s="1128">
        <f ca="1">IFERROR(C741*D741*_xlfn.XLOOKUP(B741,TabCalc[Ticker],TabCalc[Scale]),0)</f>
        <v>0</v>
      </c>
      <c r="F741" s="1129" cm="1">
        <f t="array" ref="F741">IF(A741=A740,0,SUM(_xlfn._xlws.FILTER(E741:E751,A741:A751=A741)))</f>
        <v>0</v>
      </c>
      <c r="G741" s="1130">
        <f>IF(F741&lt;&gt;0,SUM($F$43:F741),0)</f>
        <v>0</v>
      </c>
      <c r="H741" s="1130" cm="1">
        <f t="array" ref="H741">IFERROR(IF(A741=A740,0,SUM(_xlfn._xlws.FILTER(E741:E751,(A741:A751=A741)*(E741:E751&gt;0)))),0)</f>
        <v>0</v>
      </c>
      <c r="I741" s="1130" cm="1">
        <f t="array" ref="I741">IFERROR(IF(A741=A740,0,SUM(_xlfn._xlws.FILTER(E741:E751,(A741:A751=A741)*(F741&lt;0)))),0)</f>
        <v>0</v>
      </c>
      <c r="J741" s="295" t="str">
        <f ca="1">IFERROR(_xlfn.XLOOKUP(B741,TabCalc[Ticker],TabCalc[Cur]),"")</f>
        <v/>
      </c>
      <c r="K741" s="1129" cm="1">
        <f t="array" ref="K741">IFERROR(IF($A741=$A740,0,SUM(_xlfn._xlws.FILTER($E741:$E751,($A741:$A751=$A741)*($J741:$J751=K$42)))),0)</f>
        <v>0</v>
      </c>
      <c r="L741" s="1129" cm="1">
        <f t="array" ref="L741">IFERROR(IF($A741=$A740,0,SUM(_xlfn._xlws.FILTER($E741:$E751,($A741:$A751=$A741)*($J741:$J751=L$42)))),0)</f>
        <v>0</v>
      </c>
      <c r="M741" s="1129" cm="1">
        <f t="array" ref="M741">IFERROR(IF($A741=$A740,0,SUM(_xlfn._xlws.FILTER($E741:$E751,($A741:$A751=$A741)*($J741:$J751=M$42)))),0)</f>
        <v>0</v>
      </c>
      <c r="N741" s="1129" cm="1">
        <f t="array" ref="N741">IFERROR(IF($A741=$A740,0,SUM(_xlfn._xlws.FILTER($E741:$E751,($A741:$A751=$A741)*($J741:$J751=N$42)))),0)</f>
        <v>0</v>
      </c>
    </row>
    <row r="742" spans="5:14">
      <c r="E742" s="1128">
        <f ca="1">IFERROR(C742*D742*_xlfn.XLOOKUP(B742,TabCalc[Ticker],TabCalc[Scale]),0)</f>
        <v>0</v>
      </c>
      <c r="F742" s="1129" cm="1">
        <f t="array" ref="F742">IF(A742=A741,0,SUM(_xlfn._xlws.FILTER(E742:E752,A742:A752=A742)))</f>
        <v>0</v>
      </c>
      <c r="G742" s="1130">
        <f>IF(F742&lt;&gt;0,SUM($F$43:F742),0)</f>
        <v>0</v>
      </c>
      <c r="H742" s="1130" cm="1">
        <f t="array" ref="H742">IFERROR(IF(A742=A741,0,SUM(_xlfn._xlws.FILTER(E742:E752,(A742:A752=A742)*(E742:E752&gt;0)))),0)</f>
        <v>0</v>
      </c>
      <c r="I742" s="1130" cm="1">
        <f t="array" ref="I742">IFERROR(IF(A742=A741,0,SUM(_xlfn._xlws.FILTER(E742:E752,(A742:A752=A742)*(F742&lt;0)))),0)</f>
        <v>0</v>
      </c>
      <c r="J742" s="295" t="str">
        <f ca="1">IFERROR(_xlfn.XLOOKUP(B742,TabCalc[Ticker],TabCalc[Cur]),"")</f>
        <v/>
      </c>
      <c r="K742" s="1129" cm="1">
        <f t="array" ref="K742">IFERROR(IF($A742=$A741,0,SUM(_xlfn._xlws.FILTER($E742:$E752,($A742:$A752=$A742)*($J742:$J752=K$42)))),0)</f>
        <v>0</v>
      </c>
      <c r="L742" s="1129" cm="1">
        <f t="array" ref="L742">IFERROR(IF($A742=$A741,0,SUM(_xlfn._xlws.FILTER($E742:$E752,($A742:$A752=$A742)*($J742:$J752=L$42)))),0)</f>
        <v>0</v>
      </c>
      <c r="M742" s="1129" cm="1">
        <f t="array" ref="M742">IFERROR(IF($A742=$A741,0,SUM(_xlfn._xlws.FILTER($E742:$E752,($A742:$A752=$A742)*($J742:$J752=M$42)))),0)</f>
        <v>0</v>
      </c>
      <c r="N742" s="1129" cm="1">
        <f t="array" ref="N742">IFERROR(IF($A742=$A741,0,SUM(_xlfn._xlws.FILTER($E742:$E752,($A742:$A752=$A742)*($J742:$J752=N$42)))),0)</f>
        <v>0</v>
      </c>
    </row>
    <row r="743" spans="5:14">
      <c r="E743" s="1128">
        <f ca="1">IFERROR(C743*D743*_xlfn.XLOOKUP(B743,TabCalc[Ticker],TabCalc[Scale]),0)</f>
        <v>0</v>
      </c>
      <c r="F743" s="1129" cm="1">
        <f t="array" ref="F743">IF(A743=A742,0,SUM(_xlfn._xlws.FILTER(E743:E753,A743:A753=A743)))</f>
        <v>0</v>
      </c>
      <c r="G743" s="1130">
        <f>IF(F743&lt;&gt;0,SUM($F$43:F743),0)</f>
        <v>0</v>
      </c>
      <c r="H743" s="1130" cm="1">
        <f t="array" ref="H743">IFERROR(IF(A743=A742,0,SUM(_xlfn._xlws.FILTER(E743:E753,(A743:A753=A743)*(E743:E753&gt;0)))),0)</f>
        <v>0</v>
      </c>
      <c r="I743" s="1130" cm="1">
        <f t="array" ref="I743">IFERROR(IF(A743=A742,0,SUM(_xlfn._xlws.FILTER(E743:E753,(A743:A753=A743)*(F743&lt;0)))),0)</f>
        <v>0</v>
      </c>
      <c r="J743" s="295" t="str">
        <f ca="1">IFERROR(_xlfn.XLOOKUP(B743,TabCalc[Ticker],TabCalc[Cur]),"")</f>
        <v/>
      </c>
      <c r="K743" s="1129" cm="1">
        <f t="array" ref="K743">IFERROR(IF($A743=$A742,0,SUM(_xlfn._xlws.FILTER($E743:$E753,($A743:$A753=$A743)*($J743:$J753=K$42)))),0)</f>
        <v>0</v>
      </c>
      <c r="L743" s="1129" cm="1">
        <f t="array" ref="L743">IFERROR(IF($A743=$A742,0,SUM(_xlfn._xlws.FILTER($E743:$E753,($A743:$A753=$A743)*($J743:$J753=L$42)))),0)</f>
        <v>0</v>
      </c>
      <c r="M743" s="1129" cm="1">
        <f t="array" ref="M743">IFERROR(IF($A743=$A742,0,SUM(_xlfn._xlws.FILTER($E743:$E753,($A743:$A753=$A743)*($J743:$J753=M$42)))),0)</f>
        <v>0</v>
      </c>
      <c r="N743" s="1129" cm="1">
        <f t="array" ref="N743">IFERROR(IF($A743=$A742,0,SUM(_xlfn._xlws.FILTER($E743:$E753,($A743:$A753=$A743)*($J743:$J753=N$42)))),0)</f>
        <v>0</v>
      </c>
    </row>
    <row r="744" spans="5:14">
      <c r="E744" s="1128">
        <f ca="1">IFERROR(C744*D744*_xlfn.XLOOKUP(B744,TabCalc[Ticker],TabCalc[Scale]),0)</f>
        <v>0</v>
      </c>
      <c r="F744" s="1129" cm="1">
        <f t="array" ref="F744">IF(A744=A743,0,SUM(_xlfn._xlws.FILTER(E744:E754,A744:A754=A744)))</f>
        <v>0</v>
      </c>
      <c r="G744" s="1130">
        <f>IF(F744&lt;&gt;0,SUM($F$43:F744),0)</f>
        <v>0</v>
      </c>
      <c r="H744" s="1130" cm="1">
        <f t="array" ref="H744">IFERROR(IF(A744=A743,0,SUM(_xlfn._xlws.FILTER(E744:E754,(A744:A754=A744)*(E744:E754&gt;0)))),0)</f>
        <v>0</v>
      </c>
      <c r="I744" s="1130" cm="1">
        <f t="array" ref="I744">IFERROR(IF(A744=A743,0,SUM(_xlfn._xlws.FILTER(E744:E754,(A744:A754=A744)*(F744&lt;0)))),0)</f>
        <v>0</v>
      </c>
      <c r="J744" s="295" t="str">
        <f ca="1">IFERROR(_xlfn.XLOOKUP(B744,TabCalc[Ticker],TabCalc[Cur]),"")</f>
        <v/>
      </c>
      <c r="K744" s="1129" cm="1">
        <f t="array" ref="K744">IFERROR(IF($A744=$A743,0,SUM(_xlfn._xlws.FILTER($E744:$E754,($A744:$A754=$A744)*($J744:$J754=K$42)))),0)</f>
        <v>0</v>
      </c>
      <c r="L744" s="1129" cm="1">
        <f t="array" ref="L744">IFERROR(IF($A744=$A743,0,SUM(_xlfn._xlws.FILTER($E744:$E754,($A744:$A754=$A744)*($J744:$J754=L$42)))),0)</f>
        <v>0</v>
      </c>
      <c r="M744" s="1129" cm="1">
        <f t="array" ref="M744">IFERROR(IF($A744=$A743,0,SUM(_xlfn._xlws.FILTER($E744:$E754,($A744:$A754=$A744)*($J744:$J754=M$42)))),0)</f>
        <v>0</v>
      </c>
      <c r="N744" s="1129" cm="1">
        <f t="array" ref="N744">IFERROR(IF($A744=$A743,0,SUM(_xlfn._xlws.FILTER($E744:$E754,($A744:$A754=$A744)*($J744:$J754=N$42)))),0)</f>
        <v>0</v>
      </c>
    </row>
    <row r="745" spans="5:14">
      <c r="E745" s="1128">
        <f ca="1">IFERROR(C745*D745*_xlfn.XLOOKUP(B745,TabCalc[Ticker],TabCalc[Scale]),0)</f>
        <v>0</v>
      </c>
      <c r="F745" s="1129" cm="1">
        <f t="array" ref="F745">IF(A745=A744,0,SUM(_xlfn._xlws.FILTER(E745:E755,A745:A755=A745)))</f>
        <v>0</v>
      </c>
      <c r="G745" s="1130">
        <f>IF(F745&lt;&gt;0,SUM($F$43:F745),0)</f>
        <v>0</v>
      </c>
      <c r="H745" s="1130" cm="1">
        <f t="array" ref="H745">IFERROR(IF(A745=A744,0,SUM(_xlfn._xlws.FILTER(E745:E755,(A745:A755=A745)*(E745:E755&gt;0)))),0)</f>
        <v>0</v>
      </c>
      <c r="I745" s="1130" cm="1">
        <f t="array" ref="I745">IFERROR(IF(A745=A744,0,SUM(_xlfn._xlws.FILTER(E745:E755,(A745:A755=A745)*(F745&lt;0)))),0)</f>
        <v>0</v>
      </c>
      <c r="J745" s="295" t="str">
        <f ca="1">IFERROR(_xlfn.XLOOKUP(B745,TabCalc[Ticker],TabCalc[Cur]),"")</f>
        <v/>
      </c>
      <c r="K745" s="1129" cm="1">
        <f t="array" ref="K745">IFERROR(IF($A745=$A744,0,SUM(_xlfn._xlws.FILTER($E745:$E755,($A745:$A755=$A745)*($J745:$J755=K$42)))),0)</f>
        <v>0</v>
      </c>
      <c r="L745" s="1129" cm="1">
        <f t="array" ref="L745">IFERROR(IF($A745=$A744,0,SUM(_xlfn._xlws.FILTER($E745:$E755,($A745:$A755=$A745)*($J745:$J755=L$42)))),0)</f>
        <v>0</v>
      </c>
      <c r="M745" s="1129" cm="1">
        <f t="array" ref="M745">IFERROR(IF($A745=$A744,0,SUM(_xlfn._xlws.FILTER($E745:$E755,($A745:$A755=$A745)*($J745:$J755=M$42)))),0)</f>
        <v>0</v>
      </c>
      <c r="N745" s="1129" cm="1">
        <f t="array" ref="N745">IFERROR(IF($A745=$A744,0,SUM(_xlfn._xlws.FILTER($E745:$E755,($A745:$A755=$A745)*($J745:$J755=N$42)))),0)</f>
        <v>0</v>
      </c>
    </row>
    <row r="746" spans="5:14">
      <c r="E746" s="1128">
        <f ca="1">IFERROR(C746*D746*_xlfn.XLOOKUP(B746,TabCalc[Ticker],TabCalc[Scale]),0)</f>
        <v>0</v>
      </c>
      <c r="F746" s="1129" cm="1">
        <f t="array" ref="F746">IF(A746=A745,0,SUM(_xlfn._xlws.FILTER(E746:E756,A746:A756=A746)))</f>
        <v>0</v>
      </c>
      <c r="G746" s="1130">
        <f>IF(F746&lt;&gt;0,SUM($F$43:F746),0)</f>
        <v>0</v>
      </c>
      <c r="H746" s="1130" cm="1">
        <f t="array" ref="H746">IFERROR(IF(A746=A745,0,SUM(_xlfn._xlws.FILTER(E746:E756,(A746:A756=A746)*(E746:E756&gt;0)))),0)</f>
        <v>0</v>
      </c>
      <c r="I746" s="1130" cm="1">
        <f t="array" ref="I746">IFERROR(IF(A746=A745,0,SUM(_xlfn._xlws.FILTER(E746:E756,(A746:A756=A746)*(F746&lt;0)))),0)</f>
        <v>0</v>
      </c>
      <c r="J746" s="295" t="str">
        <f ca="1">IFERROR(_xlfn.XLOOKUP(B746,TabCalc[Ticker],TabCalc[Cur]),"")</f>
        <v/>
      </c>
      <c r="K746" s="1129" cm="1">
        <f t="array" ref="K746">IFERROR(IF($A746=$A745,0,SUM(_xlfn._xlws.FILTER($E746:$E756,($A746:$A756=$A746)*($J746:$J756=K$42)))),0)</f>
        <v>0</v>
      </c>
      <c r="L746" s="1129" cm="1">
        <f t="array" ref="L746">IFERROR(IF($A746=$A745,0,SUM(_xlfn._xlws.FILTER($E746:$E756,($A746:$A756=$A746)*($J746:$J756=L$42)))),0)</f>
        <v>0</v>
      </c>
      <c r="M746" s="1129" cm="1">
        <f t="array" ref="M746">IFERROR(IF($A746=$A745,0,SUM(_xlfn._xlws.FILTER($E746:$E756,($A746:$A756=$A746)*($J746:$J756=M$42)))),0)</f>
        <v>0</v>
      </c>
      <c r="N746" s="1129" cm="1">
        <f t="array" ref="N746">IFERROR(IF($A746=$A745,0,SUM(_xlfn._xlws.FILTER($E746:$E756,($A746:$A756=$A746)*($J746:$J756=N$42)))),0)</f>
        <v>0</v>
      </c>
    </row>
    <row r="747" spans="5:14">
      <c r="E747" s="1128">
        <f ca="1">IFERROR(C747*D747*_xlfn.XLOOKUP(B747,TabCalc[Ticker],TabCalc[Scale]),0)</f>
        <v>0</v>
      </c>
      <c r="F747" s="1129" cm="1">
        <f t="array" ref="F747">IF(A747=A746,0,SUM(_xlfn._xlws.FILTER(E747:E757,A747:A757=A747)))</f>
        <v>0</v>
      </c>
      <c r="G747" s="1130">
        <f>IF(F747&lt;&gt;0,SUM($F$43:F747),0)</f>
        <v>0</v>
      </c>
      <c r="H747" s="1130" cm="1">
        <f t="array" ref="H747">IFERROR(IF(A747=A746,0,SUM(_xlfn._xlws.FILTER(E747:E757,(A747:A757=A747)*(E747:E757&gt;0)))),0)</f>
        <v>0</v>
      </c>
      <c r="I747" s="1130" cm="1">
        <f t="array" ref="I747">IFERROR(IF(A747=A746,0,SUM(_xlfn._xlws.FILTER(E747:E757,(A747:A757=A747)*(F747&lt;0)))),0)</f>
        <v>0</v>
      </c>
      <c r="J747" s="295" t="str">
        <f ca="1">IFERROR(_xlfn.XLOOKUP(B747,TabCalc[Ticker],TabCalc[Cur]),"")</f>
        <v/>
      </c>
      <c r="K747" s="1129" cm="1">
        <f t="array" ref="K747">IFERROR(IF($A747=$A746,0,SUM(_xlfn._xlws.FILTER($E747:$E757,($A747:$A757=$A747)*($J747:$J757=K$42)))),0)</f>
        <v>0</v>
      </c>
      <c r="L747" s="1129" cm="1">
        <f t="array" ref="L747">IFERROR(IF($A747=$A746,0,SUM(_xlfn._xlws.FILTER($E747:$E757,($A747:$A757=$A747)*($J747:$J757=L$42)))),0)</f>
        <v>0</v>
      </c>
      <c r="M747" s="1129" cm="1">
        <f t="array" ref="M747">IFERROR(IF($A747=$A746,0,SUM(_xlfn._xlws.FILTER($E747:$E757,($A747:$A757=$A747)*($J747:$J757=M$42)))),0)</f>
        <v>0</v>
      </c>
      <c r="N747" s="1129" cm="1">
        <f t="array" ref="N747">IFERROR(IF($A747=$A746,0,SUM(_xlfn._xlws.FILTER($E747:$E757,($A747:$A757=$A747)*($J747:$J757=N$42)))),0)</f>
        <v>0</v>
      </c>
    </row>
    <row r="748" spans="5:14">
      <c r="E748" s="1128">
        <f ca="1">IFERROR(C748*D748*_xlfn.XLOOKUP(B748,TabCalc[Ticker],TabCalc[Scale]),0)</f>
        <v>0</v>
      </c>
      <c r="F748" s="1129" cm="1">
        <f t="array" ref="F748">IF(A748=A747,0,SUM(_xlfn._xlws.FILTER(E748:E758,A748:A758=A748)))</f>
        <v>0</v>
      </c>
      <c r="G748" s="1130">
        <f>IF(F748&lt;&gt;0,SUM($F$43:F748),0)</f>
        <v>0</v>
      </c>
      <c r="H748" s="1130" cm="1">
        <f t="array" ref="H748">IFERROR(IF(A748=A747,0,SUM(_xlfn._xlws.FILTER(E748:E758,(A748:A758=A748)*(E748:E758&gt;0)))),0)</f>
        <v>0</v>
      </c>
      <c r="I748" s="1130" cm="1">
        <f t="array" ref="I748">IFERROR(IF(A748=A747,0,SUM(_xlfn._xlws.FILTER(E748:E758,(A748:A758=A748)*(F748&lt;0)))),0)</f>
        <v>0</v>
      </c>
      <c r="J748" s="295" t="str">
        <f ca="1">IFERROR(_xlfn.XLOOKUP(B748,TabCalc[Ticker],TabCalc[Cur]),"")</f>
        <v/>
      </c>
      <c r="K748" s="1129" cm="1">
        <f t="array" ref="K748">IFERROR(IF($A748=$A747,0,SUM(_xlfn._xlws.FILTER($E748:$E758,($A748:$A758=$A748)*($J748:$J758=K$42)))),0)</f>
        <v>0</v>
      </c>
      <c r="L748" s="1129" cm="1">
        <f t="array" ref="L748">IFERROR(IF($A748=$A747,0,SUM(_xlfn._xlws.FILTER($E748:$E758,($A748:$A758=$A748)*($J748:$J758=L$42)))),0)</f>
        <v>0</v>
      </c>
      <c r="M748" s="1129" cm="1">
        <f t="array" ref="M748">IFERROR(IF($A748=$A747,0,SUM(_xlfn._xlws.FILTER($E748:$E758,($A748:$A758=$A748)*($J748:$J758=M$42)))),0)</f>
        <v>0</v>
      </c>
      <c r="N748" s="1129" cm="1">
        <f t="array" ref="N748">IFERROR(IF($A748=$A747,0,SUM(_xlfn._xlws.FILTER($E748:$E758,($A748:$A758=$A748)*($J748:$J758=N$42)))),0)</f>
        <v>0</v>
      </c>
    </row>
    <row r="749" spans="5:14">
      <c r="E749" s="1128">
        <f ca="1">IFERROR(C749*D749*_xlfn.XLOOKUP(B749,TabCalc[Ticker],TabCalc[Scale]),0)</f>
        <v>0</v>
      </c>
      <c r="F749" s="1129" cm="1">
        <f t="array" ref="F749">IF(A749=A748,0,SUM(_xlfn._xlws.FILTER(E749:E759,A749:A759=A749)))</f>
        <v>0</v>
      </c>
      <c r="G749" s="1130">
        <f>IF(F749&lt;&gt;0,SUM($F$43:F749),0)</f>
        <v>0</v>
      </c>
      <c r="H749" s="1130" cm="1">
        <f t="array" ref="H749">IFERROR(IF(A749=A748,0,SUM(_xlfn._xlws.FILTER(E749:E759,(A749:A759=A749)*(E749:E759&gt;0)))),0)</f>
        <v>0</v>
      </c>
      <c r="I749" s="1130" cm="1">
        <f t="array" ref="I749">IFERROR(IF(A749=A748,0,SUM(_xlfn._xlws.FILTER(E749:E759,(A749:A759=A749)*(F749&lt;0)))),0)</f>
        <v>0</v>
      </c>
      <c r="J749" s="295" t="str">
        <f ca="1">IFERROR(_xlfn.XLOOKUP(B749,TabCalc[Ticker],TabCalc[Cur]),"")</f>
        <v/>
      </c>
      <c r="K749" s="1129" cm="1">
        <f t="array" ref="K749">IFERROR(IF($A749=$A748,0,SUM(_xlfn._xlws.FILTER($E749:$E759,($A749:$A759=$A749)*($J749:$J759=K$42)))),0)</f>
        <v>0</v>
      </c>
      <c r="L749" s="1129" cm="1">
        <f t="array" ref="L749">IFERROR(IF($A749=$A748,0,SUM(_xlfn._xlws.FILTER($E749:$E759,($A749:$A759=$A749)*($J749:$J759=L$42)))),0)</f>
        <v>0</v>
      </c>
      <c r="M749" s="1129" cm="1">
        <f t="array" ref="M749">IFERROR(IF($A749=$A748,0,SUM(_xlfn._xlws.FILTER($E749:$E759,($A749:$A759=$A749)*($J749:$J759=M$42)))),0)</f>
        <v>0</v>
      </c>
      <c r="N749" s="1129" cm="1">
        <f t="array" ref="N749">IFERROR(IF($A749=$A748,0,SUM(_xlfn._xlws.FILTER($E749:$E759,($A749:$A759=$A749)*($J749:$J759=N$42)))),0)</f>
        <v>0</v>
      </c>
    </row>
    <row r="750" spans="5:14">
      <c r="E750" s="1128">
        <f ca="1">IFERROR(C750*D750*_xlfn.XLOOKUP(B750,TabCalc[Ticker],TabCalc[Scale]),0)</f>
        <v>0</v>
      </c>
      <c r="F750" s="1129" cm="1">
        <f t="array" ref="F750">IF(A750=A749,0,SUM(_xlfn._xlws.FILTER(E750:E760,A750:A760=A750)))</f>
        <v>0</v>
      </c>
      <c r="G750" s="1130">
        <f>IF(F750&lt;&gt;0,SUM($F$43:F750),0)</f>
        <v>0</v>
      </c>
      <c r="H750" s="1130" cm="1">
        <f t="array" ref="H750">IFERROR(IF(A750=A749,0,SUM(_xlfn._xlws.FILTER(E750:E760,(A750:A760=A750)*(E750:E760&gt;0)))),0)</f>
        <v>0</v>
      </c>
      <c r="I750" s="1130" cm="1">
        <f t="array" ref="I750">IFERROR(IF(A750=A749,0,SUM(_xlfn._xlws.FILTER(E750:E760,(A750:A760=A750)*(F750&lt;0)))),0)</f>
        <v>0</v>
      </c>
      <c r="J750" s="295" t="str">
        <f ca="1">IFERROR(_xlfn.XLOOKUP(B750,TabCalc[Ticker],TabCalc[Cur]),"")</f>
        <v/>
      </c>
      <c r="K750" s="1129" cm="1">
        <f t="array" ref="K750">IFERROR(IF($A750=$A749,0,SUM(_xlfn._xlws.FILTER($E750:$E760,($A750:$A760=$A750)*($J750:$J760=K$42)))),0)</f>
        <v>0</v>
      </c>
      <c r="L750" s="1129" cm="1">
        <f t="array" ref="L750">IFERROR(IF($A750=$A749,0,SUM(_xlfn._xlws.FILTER($E750:$E760,($A750:$A760=$A750)*($J750:$J760=L$42)))),0)</f>
        <v>0</v>
      </c>
      <c r="M750" s="1129" cm="1">
        <f t="array" ref="M750">IFERROR(IF($A750=$A749,0,SUM(_xlfn._xlws.FILTER($E750:$E760,($A750:$A760=$A750)*($J750:$J760=M$42)))),0)</f>
        <v>0</v>
      </c>
      <c r="N750" s="1129" cm="1">
        <f t="array" ref="N750">IFERROR(IF($A750=$A749,0,SUM(_xlfn._xlws.FILTER($E750:$E760,($A750:$A760=$A750)*($J750:$J760=N$42)))),0)</f>
        <v>0</v>
      </c>
    </row>
    <row r="751" spans="5:14">
      <c r="E751" s="1128">
        <f ca="1">IFERROR(C751*D751*_xlfn.XLOOKUP(B751,TabCalc[Ticker],TabCalc[Scale]),0)</f>
        <v>0</v>
      </c>
      <c r="F751" s="1129" cm="1">
        <f t="array" ref="F751">IF(A751=A750,0,SUM(_xlfn._xlws.FILTER(E751:E761,A751:A761=A751)))</f>
        <v>0</v>
      </c>
      <c r="G751" s="1130">
        <f>IF(F751&lt;&gt;0,SUM($F$43:F751),0)</f>
        <v>0</v>
      </c>
      <c r="H751" s="1130" cm="1">
        <f t="array" ref="H751">IFERROR(IF(A751=A750,0,SUM(_xlfn._xlws.FILTER(E751:E761,(A751:A761=A751)*(E751:E761&gt;0)))),0)</f>
        <v>0</v>
      </c>
      <c r="I751" s="1130" cm="1">
        <f t="array" ref="I751">IFERROR(IF(A751=A750,0,SUM(_xlfn._xlws.FILTER(E751:E761,(A751:A761=A751)*(F751&lt;0)))),0)</f>
        <v>0</v>
      </c>
      <c r="J751" s="295" t="str">
        <f ca="1">IFERROR(_xlfn.XLOOKUP(B751,TabCalc[Ticker],TabCalc[Cur]),"")</f>
        <v/>
      </c>
      <c r="K751" s="1129" cm="1">
        <f t="array" ref="K751">IFERROR(IF($A751=$A750,0,SUM(_xlfn._xlws.FILTER($E751:$E761,($A751:$A761=$A751)*($J751:$J761=K$42)))),0)</f>
        <v>0</v>
      </c>
      <c r="L751" s="1129" cm="1">
        <f t="array" ref="L751">IFERROR(IF($A751=$A750,0,SUM(_xlfn._xlws.FILTER($E751:$E761,($A751:$A761=$A751)*($J751:$J761=L$42)))),0)</f>
        <v>0</v>
      </c>
      <c r="M751" s="1129" cm="1">
        <f t="array" ref="M751">IFERROR(IF($A751=$A750,0,SUM(_xlfn._xlws.FILTER($E751:$E761,($A751:$A761=$A751)*($J751:$J761=M$42)))),0)</f>
        <v>0</v>
      </c>
      <c r="N751" s="1129" cm="1">
        <f t="array" ref="N751">IFERROR(IF($A751=$A750,0,SUM(_xlfn._xlws.FILTER($E751:$E761,($A751:$A761=$A751)*($J751:$J761=N$42)))),0)</f>
        <v>0</v>
      </c>
    </row>
    <row r="752" spans="5:14">
      <c r="E752" s="1128">
        <f ca="1">IFERROR(C752*D752*_xlfn.XLOOKUP(B752,TabCalc[Ticker],TabCalc[Scale]),0)</f>
        <v>0</v>
      </c>
      <c r="F752" s="1129" cm="1">
        <f t="array" ref="F752">IF(A752=A751,0,SUM(_xlfn._xlws.FILTER(E752:E762,A752:A762=A752)))</f>
        <v>0</v>
      </c>
      <c r="G752" s="1130">
        <f>IF(F752&lt;&gt;0,SUM($F$43:F752),0)</f>
        <v>0</v>
      </c>
      <c r="H752" s="1130" cm="1">
        <f t="array" ref="H752">IFERROR(IF(A752=A751,0,SUM(_xlfn._xlws.FILTER(E752:E762,(A752:A762=A752)*(E752:E762&gt;0)))),0)</f>
        <v>0</v>
      </c>
      <c r="I752" s="1130" cm="1">
        <f t="array" ref="I752">IFERROR(IF(A752=A751,0,SUM(_xlfn._xlws.FILTER(E752:E762,(A752:A762=A752)*(F752&lt;0)))),0)</f>
        <v>0</v>
      </c>
      <c r="J752" s="295" t="str">
        <f ca="1">IFERROR(_xlfn.XLOOKUP(B752,TabCalc[Ticker],TabCalc[Cur]),"")</f>
        <v/>
      </c>
      <c r="K752" s="1129" cm="1">
        <f t="array" ref="K752">IFERROR(IF($A752=$A751,0,SUM(_xlfn._xlws.FILTER($E752:$E762,($A752:$A762=$A752)*($J752:$J762=K$42)))),0)</f>
        <v>0</v>
      </c>
      <c r="L752" s="1129" cm="1">
        <f t="array" ref="L752">IFERROR(IF($A752=$A751,0,SUM(_xlfn._xlws.FILTER($E752:$E762,($A752:$A762=$A752)*($J752:$J762=L$42)))),0)</f>
        <v>0</v>
      </c>
      <c r="M752" s="1129" cm="1">
        <f t="array" ref="M752">IFERROR(IF($A752=$A751,0,SUM(_xlfn._xlws.FILTER($E752:$E762,($A752:$A762=$A752)*($J752:$J762=M$42)))),0)</f>
        <v>0</v>
      </c>
      <c r="N752" s="1129" cm="1">
        <f t="array" ref="N752">IFERROR(IF($A752=$A751,0,SUM(_xlfn._xlws.FILTER($E752:$E762,($A752:$A762=$A752)*($J752:$J762=N$42)))),0)</f>
        <v>0</v>
      </c>
    </row>
    <row r="753" spans="5:14">
      <c r="E753" s="1128">
        <f ca="1">IFERROR(C753*D753*_xlfn.XLOOKUP(B753,TabCalc[Ticker],TabCalc[Scale]),0)</f>
        <v>0</v>
      </c>
      <c r="F753" s="1129" cm="1">
        <f t="array" ref="F753">IF(A753=A752,0,SUM(_xlfn._xlws.FILTER(E753:E763,A753:A763=A753)))</f>
        <v>0</v>
      </c>
      <c r="G753" s="1130">
        <f>IF(F753&lt;&gt;0,SUM($F$43:F753),0)</f>
        <v>0</v>
      </c>
      <c r="H753" s="1130" cm="1">
        <f t="array" ref="H753">IFERROR(IF(A753=A752,0,SUM(_xlfn._xlws.FILTER(E753:E763,(A753:A763=A753)*(E753:E763&gt;0)))),0)</f>
        <v>0</v>
      </c>
      <c r="I753" s="1130" cm="1">
        <f t="array" ref="I753">IFERROR(IF(A753=A752,0,SUM(_xlfn._xlws.FILTER(E753:E763,(A753:A763=A753)*(F753&lt;0)))),0)</f>
        <v>0</v>
      </c>
      <c r="J753" s="295" t="str">
        <f ca="1">IFERROR(_xlfn.XLOOKUP(B753,TabCalc[Ticker],TabCalc[Cur]),"")</f>
        <v/>
      </c>
      <c r="K753" s="1129" cm="1">
        <f t="array" ref="K753">IFERROR(IF($A753=$A752,0,SUM(_xlfn._xlws.FILTER($E753:$E763,($A753:$A763=$A753)*($J753:$J763=K$42)))),0)</f>
        <v>0</v>
      </c>
      <c r="L753" s="1129" cm="1">
        <f t="array" ref="L753">IFERROR(IF($A753=$A752,0,SUM(_xlfn._xlws.FILTER($E753:$E763,($A753:$A763=$A753)*($J753:$J763=L$42)))),0)</f>
        <v>0</v>
      </c>
      <c r="M753" s="1129" cm="1">
        <f t="array" ref="M753">IFERROR(IF($A753=$A752,0,SUM(_xlfn._xlws.FILTER($E753:$E763,($A753:$A763=$A753)*($J753:$J763=M$42)))),0)</f>
        <v>0</v>
      </c>
      <c r="N753" s="1129" cm="1">
        <f t="array" ref="N753">IFERROR(IF($A753=$A752,0,SUM(_xlfn._xlws.FILTER($E753:$E763,($A753:$A763=$A753)*($J753:$J763=N$42)))),0)</f>
        <v>0</v>
      </c>
    </row>
    <row r="754" spans="5:14">
      <c r="E754" s="1128">
        <f ca="1">IFERROR(C754*D754*_xlfn.XLOOKUP(B754,TabCalc[Ticker],TabCalc[Scale]),0)</f>
        <v>0</v>
      </c>
      <c r="F754" s="1129" cm="1">
        <f t="array" ref="F754">IF(A754=A753,0,SUM(_xlfn._xlws.FILTER(E754:E764,A754:A764=A754)))</f>
        <v>0</v>
      </c>
      <c r="G754" s="1130">
        <f>IF(F754&lt;&gt;0,SUM($F$43:F754),0)</f>
        <v>0</v>
      </c>
      <c r="H754" s="1130" cm="1">
        <f t="array" ref="H754">IFERROR(IF(A754=A753,0,SUM(_xlfn._xlws.FILTER(E754:E764,(A754:A764=A754)*(E754:E764&gt;0)))),0)</f>
        <v>0</v>
      </c>
      <c r="I754" s="1130" cm="1">
        <f t="array" ref="I754">IFERROR(IF(A754=A753,0,SUM(_xlfn._xlws.FILTER(E754:E764,(A754:A764=A754)*(F754&lt;0)))),0)</f>
        <v>0</v>
      </c>
      <c r="J754" s="295" t="str">
        <f ca="1">IFERROR(_xlfn.XLOOKUP(B754,TabCalc[Ticker],TabCalc[Cur]),"")</f>
        <v/>
      </c>
      <c r="K754" s="1129" cm="1">
        <f t="array" ref="K754">IFERROR(IF($A754=$A753,0,SUM(_xlfn._xlws.FILTER($E754:$E764,($A754:$A764=$A754)*($J754:$J764=K$42)))),0)</f>
        <v>0</v>
      </c>
      <c r="L754" s="1129" cm="1">
        <f t="array" ref="L754">IFERROR(IF($A754=$A753,0,SUM(_xlfn._xlws.FILTER($E754:$E764,($A754:$A764=$A754)*($J754:$J764=L$42)))),0)</f>
        <v>0</v>
      </c>
      <c r="M754" s="1129" cm="1">
        <f t="array" ref="M754">IFERROR(IF($A754=$A753,0,SUM(_xlfn._xlws.FILTER($E754:$E764,($A754:$A764=$A754)*($J754:$J764=M$42)))),0)</f>
        <v>0</v>
      </c>
      <c r="N754" s="1129" cm="1">
        <f t="array" ref="N754">IFERROR(IF($A754=$A753,0,SUM(_xlfn._xlws.FILTER($E754:$E764,($A754:$A764=$A754)*($J754:$J764=N$42)))),0)</f>
        <v>0</v>
      </c>
    </row>
    <row r="755" spans="5:14">
      <c r="E755" s="1128">
        <f ca="1">IFERROR(C755*D755*_xlfn.XLOOKUP(B755,TabCalc[Ticker],TabCalc[Scale]),0)</f>
        <v>0</v>
      </c>
      <c r="F755" s="1129" cm="1">
        <f t="array" ref="F755">IF(A755=A754,0,SUM(_xlfn._xlws.FILTER(E755:E765,A755:A765=A755)))</f>
        <v>0</v>
      </c>
      <c r="G755" s="1130">
        <f>IF(F755&lt;&gt;0,SUM($F$43:F755),0)</f>
        <v>0</v>
      </c>
      <c r="H755" s="1130" cm="1">
        <f t="array" ref="H755">IFERROR(IF(A755=A754,0,SUM(_xlfn._xlws.FILTER(E755:E765,(A755:A765=A755)*(E755:E765&gt;0)))),0)</f>
        <v>0</v>
      </c>
      <c r="I755" s="1130" cm="1">
        <f t="array" ref="I755">IFERROR(IF(A755=A754,0,SUM(_xlfn._xlws.FILTER(E755:E765,(A755:A765=A755)*(F755&lt;0)))),0)</f>
        <v>0</v>
      </c>
      <c r="J755" s="295" t="str">
        <f ca="1">IFERROR(_xlfn.XLOOKUP(B755,TabCalc[Ticker],TabCalc[Cur]),"")</f>
        <v/>
      </c>
      <c r="K755" s="1129" cm="1">
        <f t="array" ref="K755">IFERROR(IF($A755=$A754,0,SUM(_xlfn._xlws.FILTER($E755:$E765,($A755:$A765=$A755)*($J755:$J765=K$42)))),0)</f>
        <v>0</v>
      </c>
      <c r="L755" s="1129" cm="1">
        <f t="array" ref="L755">IFERROR(IF($A755=$A754,0,SUM(_xlfn._xlws.FILTER($E755:$E765,($A755:$A765=$A755)*($J755:$J765=L$42)))),0)</f>
        <v>0</v>
      </c>
      <c r="M755" s="1129" cm="1">
        <f t="array" ref="M755">IFERROR(IF($A755=$A754,0,SUM(_xlfn._xlws.FILTER($E755:$E765,($A755:$A765=$A755)*($J755:$J765=M$42)))),0)</f>
        <v>0</v>
      </c>
      <c r="N755" s="1129" cm="1">
        <f t="array" ref="N755">IFERROR(IF($A755=$A754,0,SUM(_xlfn._xlws.FILTER($E755:$E765,($A755:$A765=$A755)*($J755:$J765=N$42)))),0)</f>
        <v>0</v>
      </c>
    </row>
    <row r="756" spans="5:14">
      <c r="E756" s="1128">
        <f ca="1">IFERROR(C756*D756*_xlfn.XLOOKUP(B756,TabCalc[Ticker],TabCalc[Scale]),0)</f>
        <v>0</v>
      </c>
      <c r="F756" s="1129" cm="1">
        <f t="array" ref="F756">IF(A756=A755,0,SUM(_xlfn._xlws.FILTER(E756:E766,A756:A766=A756)))</f>
        <v>0</v>
      </c>
      <c r="G756" s="1130">
        <f>IF(F756&lt;&gt;0,SUM($F$43:F756),0)</f>
        <v>0</v>
      </c>
      <c r="H756" s="1130" cm="1">
        <f t="array" ref="H756">IFERROR(IF(A756=A755,0,SUM(_xlfn._xlws.FILTER(E756:E766,(A756:A766=A756)*(E756:E766&gt;0)))),0)</f>
        <v>0</v>
      </c>
      <c r="I756" s="1130" cm="1">
        <f t="array" ref="I756">IFERROR(IF(A756=A755,0,SUM(_xlfn._xlws.FILTER(E756:E766,(A756:A766=A756)*(F756&lt;0)))),0)</f>
        <v>0</v>
      </c>
      <c r="J756" s="295" t="str">
        <f ca="1">IFERROR(_xlfn.XLOOKUP(B756,TabCalc[Ticker],TabCalc[Cur]),"")</f>
        <v/>
      </c>
      <c r="K756" s="1129" cm="1">
        <f t="array" ref="K756">IFERROR(IF($A756=$A755,0,SUM(_xlfn._xlws.FILTER($E756:$E766,($A756:$A766=$A756)*($J756:$J766=K$42)))),0)</f>
        <v>0</v>
      </c>
      <c r="L756" s="1129" cm="1">
        <f t="array" ref="L756">IFERROR(IF($A756=$A755,0,SUM(_xlfn._xlws.FILTER($E756:$E766,($A756:$A766=$A756)*($J756:$J766=L$42)))),0)</f>
        <v>0</v>
      </c>
      <c r="M756" s="1129" cm="1">
        <f t="array" ref="M756">IFERROR(IF($A756=$A755,0,SUM(_xlfn._xlws.FILTER($E756:$E766,($A756:$A766=$A756)*($J756:$J766=M$42)))),0)</f>
        <v>0</v>
      </c>
      <c r="N756" s="1129" cm="1">
        <f t="array" ref="N756">IFERROR(IF($A756=$A755,0,SUM(_xlfn._xlws.FILTER($E756:$E766,($A756:$A766=$A756)*($J756:$J766=N$42)))),0)</f>
        <v>0</v>
      </c>
    </row>
    <row r="757" spans="5:14">
      <c r="E757" s="1128">
        <f ca="1">IFERROR(C757*D757*_xlfn.XLOOKUP(B757,TabCalc[Ticker],TabCalc[Scale]),0)</f>
        <v>0</v>
      </c>
      <c r="F757" s="1129" cm="1">
        <f t="array" ref="F757">IF(A757=A756,0,SUM(_xlfn._xlws.FILTER(E757:E767,A757:A767=A757)))</f>
        <v>0</v>
      </c>
      <c r="G757" s="1130">
        <f>IF(F757&lt;&gt;0,SUM($F$43:F757),0)</f>
        <v>0</v>
      </c>
      <c r="H757" s="1130" cm="1">
        <f t="array" ref="H757">IFERROR(IF(A757=A756,0,SUM(_xlfn._xlws.FILTER(E757:E767,(A757:A767=A757)*(E757:E767&gt;0)))),0)</f>
        <v>0</v>
      </c>
      <c r="I757" s="1130" cm="1">
        <f t="array" ref="I757">IFERROR(IF(A757=A756,0,SUM(_xlfn._xlws.FILTER(E757:E767,(A757:A767=A757)*(F757&lt;0)))),0)</f>
        <v>0</v>
      </c>
      <c r="J757" s="295" t="str">
        <f ca="1">IFERROR(_xlfn.XLOOKUP(B757,TabCalc[Ticker],TabCalc[Cur]),"")</f>
        <v/>
      </c>
      <c r="K757" s="1129" cm="1">
        <f t="array" ref="K757">IFERROR(IF($A757=$A756,0,SUM(_xlfn._xlws.FILTER($E757:$E767,($A757:$A767=$A757)*($J757:$J767=K$42)))),0)</f>
        <v>0</v>
      </c>
      <c r="L757" s="1129" cm="1">
        <f t="array" ref="L757">IFERROR(IF($A757=$A756,0,SUM(_xlfn._xlws.FILTER($E757:$E767,($A757:$A767=$A757)*($J757:$J767=L$42)))),0)</f>
        <v>0</v>
      </c>
      <c r="M757" s="1129" cm="1">
        <f t="array" ref="M757">IFERROR(IF($A757=$A756,0,SUM(_xlfn._xlws.FILTER($E757:$E767,($A757:$A767=$A757)*($J757:$J767=M$42)))),0)</f>
        <v>0</v>
      </c>
      <c r="N757" s="1129" cm="1">
        <f t="array" ref="N757">IFERROR(IF($A757=$A756,0,SUM(_xlfn._xlws.FILTER($E757:$E767,($A757:$A767=$A757)*($J757:$J767=N$42)))),0)</f>
        <v>0</v>
      </c>
    </row>
    <row r="758" spans="5:14">
      <c r="E758" s="1128">
        <f ca="1">IFERROR(C758*D758*_xlfn.XLOOKUP(B758,TabCalc[Ticker],TabCalc[Scale]),0)</f>
        <v>0</v>
      </c>
      <c r="F758" s="1129" cm="1">
        <f t="array" ref="F758">IF(A758=A757,0,SUM(_xlfn._xlws.FILTER(E758:E768,A758:A768=A758)))</f>
        <v>0</v>
      </c>
      <c r="G758" s="1130">
        <f>IF(F758&lt;&gt;0,SUM($F$43:F758),0)</f>
        <v>0</v>
      </c>
      <c r="H758" s="1130" cm="1">
        <f t="array" ref="H758">IFERROR(IF(A758=A757,0,SUM(_xlfn._xlws.FILTER(E758:E768,(A758:A768=A758)*(E758:E768&gt;0)))),0)</f>
        <v>0</v>
      </c>
      <c r="I758" s="1130" cm="1">
        <f t="array" ref="I758">IFERROR(IF(A758=A757,0,SUM(_xlfn._xlws.FILTER(E758:E768,(A758:A768=A758)*(F758&lt;0)))),0)</f>
        <v>0</v>
      </c>
      <c r="J758" s="295" t="str">
        <f ca="1">IFERROR(_xlfn.XLOOKUP(B758,TabCalc[Ticker],TabCalc[Cur]),"")</f>
        <v/>
      </c>
      <c r="K758" s="1129" cm="1">
        <f t="array" ref="K758">IFERROR(IF($A758=$A757,0,SUM(_xlfn._xlws.FILTER($E758:$E768,($A758:$A768=$A758)*($J758:$J768=K$42)))),0)</f>
        <v>0</v>
      </c>
      <c r="L758" s="1129" cm="1">
        <f t="array" ref="L758">IFERROR(IF($A758=$A757,0,SUM(_xlfn._xlws.FILTER($E758:$E768,($A758:$A768=$A758)*($J758:$J768=L$42)))),0)</f>
        <v>0</v>
      </c>
      <c r="M758" s="1129" cm="1">
        <f t="array" ref="M758">IFERROR(IF($A758=$A757,0,SUM(_xlfn._xlws.FILTER($E758:$E768,($A758:$A768=$A758)*($J758:$J768=M$42)))),0)</f>
        <v>0</v>
      </c>
      <c r="N758" s="1129" cm="1">
        <f t="array" ref="N758">IFERROR(IF($A758=$A757,0,SUM(_xlfn._xlws.FILTER($E758:$E768,($A758:$A768=$A758)*($J758:$J768=N$42)))),0)</f>
        <v>0</v>
      </c>
    </row>
    <row r="759" spans="5:14">
      <c r="E759" s="1128">
        <f ca="1">IFERROR(C759*D759*_xlfn.XLOOKUP(B759,TabCalc[Ticker],TabCalc[Scale]),0)</f>
        <v>0</v>
      </c>
      <c r="F759" s="1129" cm="1">
        <f t="array" ref="F759">IF(A759=A758,0,SUM(_xlfn._xlws.FILTER(E759:E769,A759:A769=A759)))</f>
        <v>0</v>
      </c>
      <c r="G759" s="1130">
        <f>IF(F759&lt;&gt;0,SUM($F$43:F759),0)</f>
        <v>0</v>
      </c>
      <c r="H759" s="1130" cm="1">
        <f t="array" ref="H759">IFERROR(IF(A759=A758,0,SUM(_xlfn._xlws.FILTER(E759:E769,(A759:A769=A759)*(E759:E769&gt;0)))),0)</f>
        <v>0</v>
      </c>
      <c r="I759" s="1130" cm="1">
        <f t="array" ref="I759">IFERROR(IF(A759=A758,0,SUM(_xlfn._xlws.FILTER(E759:E769,(A759:A769=A759)*(F759&lt;0)))),0)</f>
        <v>0</v>
      </c>
      <c r="J759" s="295" t="str">
        <f ca="1">IFERROR(_xlfn.XLOOKUP(B759,TabCalc[Ticker],TabCalc[Cur]),"")</f>
        <v/>
      </c>
      <c r="K759" s="1129" cm="1">
        <f t="array" ref="K759">IFERROR(IF($A759=$A758,0,SUM(_xlfn._xlws.FILTER($E759:$E769,($A759:$A769=$A759)*($J759:$J769=K$42)))),0)</f>
        <v>0</v>
      </c>
      <c r="L759" s="1129" cm="1">
        <f t="array" ref="L759">IFERROR(IF($A759=$A758,0,SUM(_xlfn._xlws.FILTER($E759:$E769,($A759:$A769=$A759)*($J759:$J769=L$42)))),0)</f>
        <v>0</v>
      </c>
      <c r="M759" s="1129" cm="1">
        <f t="array" ref="M759">IFERROR(IF($A759=$A758,0,SUM(_xlfn._xlws.FILTER($E759:$E769,($A759:$A769=$A759)*($J759:$J769=M$42)))),0)</f>
        <v>0</v>
      </c>
      <c r="N759" s="1129" cm="1">
        <f t="array" ref="N759">IFERROR(IF($A759=$A758,0,SUM(_xlfn._xlws.FILTER($E759:$E769,($A759:$A769=$A759)*($J759:$J769=N$42)))),0)</f>
        <v>0</v>
      </c>
    </row>
    <row r="760" spans="5:14">
      <c r="E760" s="1128">
        <f ca="1">IFERROR(C760*D760*_xlfn.XLOOKUP(B760,TabCalc[Ticker],TabCalc[Scale]),0)</f>
        <v>0</v>
      </c>
      <c r="F760" s="1129" cm="1">
        <f t="array" ref="F760">IF(A760=A759,0,SUM(_xlfn._xlws.FILTER(E760:E770,A760:A770=A760)))</f>
        <v>0</v>
      </c>
      <c r="G760" s="1130">
        <f>IF(F760&lt;&gt;0,SUM($F$43:F760),0)</f>
        <v>0</v>
      </c>
      <c r="H760" s="1130" cm="1">
        <f t="array" ref="H760">IFERROR(IF(A760=A759,0,SUM(_xlfn._xlws.FILTER(E760:E770,(A760:A770=A760)*(E760:E770&gt;0)))),0)</f>
        <v>0</v>
      </c>
      <c r="I760" s="1130" cm="1">
        <f t="array" ref="I760">IFERROR(IF(A760=A759,0,SUM(_xlfn._xlws.FILTER(E760:E770,(A760:A770=A760)*(F760&lt;0)))),0)</f>
        <v>0</v>
      </c>
      <c r="J760" s="295" t="str">
        <f ca="1">IFERROR(_xlfn.XLOOKUP(B760,TabCalc[Ticker],TabCalc[Cur]),"")</f>
        <v/>
      </c>
      <c r="K760" s="1129" cm="1">
        <f t="array" ref="K760">IFERROR(IF($A760=$A759,0,SUM(_xlfn._xlws.FILTER($E760:$E770,($A760:$A770=$A760)*($J760:$J770=K$42)))),0)</f>
        <v>0</v>
      </c>
      <c r="L760" s="1129" cm="1">
        <f t="array" ref="L760">IFERROR(IF($A760=$A759,0,SUM(_xlfn._xlws.FILTER($E760:$E770,($A760:$A770=$A760)*($J760:$J770=L$42)))),0)</f>
        <v>0</v>
      </c>
      <c r="M760" s="1129" cm="1">
        <f t="array" ref="M760">IFERROR(IF($A760=$A759,0,SUM(_xlfn._xlws.FILTER($E760:$E770,($A760:$A770=$A760)*($J760:$J770=M$42)))),0)</f>
        <v>0</v>
      </c>
      <c r="N760" s="1129" cm="1">
        <f t="array" ref="N760">IFERROR(IF($A760=$A759,0,SUM(_xlfn._xlws.FILTER($E760:$E770,($A760:$A770=$A760)*($J760:$J770=N$42)))),0)</f>
        <v>0</v>
      </c>
    </row>
    <row r="761" spans="5:14">
      <c r="E761" s="1128">
        <f ca="1">IFERROR(C761*D761*_xlfn.XLOOKUP(B761,TabCalc[Ticker],TabCalc[Scale]),0)</f>
        <v>0</v>
      </c>
      <c r="F761" s="1129" cm="1">
        <f t="array" ref="F761">IF(A761=A760,0,SUM(_xlfn._xlws.FILTER(E761:E771,A761:A771=A761)))</f>
        <v>0</v>
      </c>
      <c r="G761" s="1130">
        <f>IF(F761&lt;&gt;0,SUM($F$43:F761),0)</f>
        <v>0</v>
      </c>
      <c r="H761" s="1130" cm="1">
        <f t="array" ref="H761">IFERROR(IF(A761=A760,0,SUM(_xlfn._xlws.FILTER(E761:E771,(A761:A771=A761)*(E761:E771&gt;0)))),0)</f>
        <v>0</v>
      </c>
      <c r="I761" s="1130" cm="1">
        <f t="array" ref="I761">IFERROR(IF(A761=A760,0,SUM(_xlfn._xlws.FILTER(E761:E771,(A761:A771=A761)*(F761&lt;0)))),0)</f>
        <v>0</v>
      </c>
      <c r="J761" s="295" t="str">
        <f ca="1">IFERROR(_xlfn.XLOOKUP(B761,TabCalc[Ticker],TabCalc[Cur]),"")</f>
        <v/>
      </c>
      <c r="K761" s="1129" cm="1">
        <f t="array" ref="K761">IFERROR(IF($A761=$A760,0,SUM(_xlfn._xlws.FILTER($E761:$E771,($A761:$A771=$A761)*($J761:$J771=K$42)))),0)</f>
        <v>0</v>
      </c>
      <c r="L761" s="1129" cm="1">
        <f t="array" ref="L761">IFERROR(IF($A761=$A760,0,SUM(_xlfn._xlws.FILTER($E761:$E771,($A761:$A771=$A761)*($J761:$J771=L$42)))),0)</f>
        <v>0</v>
      </c>
      <c r="M761" s="1129" cm="1">
        <f t="array" ref="M761">IFERROR(IF($A761=$A760,0,SUM(_xlfn._xlws.FILTER($E761:$E771,($A761:$A771=$A761)*($J761:$J771=M$42)))),0)</f>
        <v>0</v>
      </c>
      <c r="N761" s="1129" cm="1">
        <f t="array" ref="N761">IFERROR(IF($A761=$A760,0,SUM(_xlfn._xlws.FILTER($E761:$E771,($A761:$A771=$A761)*($J761:$J771=N$42)))),0)</f>
        <v>0</v>
      </c>
    </row>
    <row r="762" spans="5:14">
      <c r="E762" s="1128">
        <f ca="1">IFERROR(C762*D762*_xlfn.XLOOKUP(B762,TabCalc[Ticker],TabCalc[Scale]),0)</f>
        <v>0</v>
      </c>
      <c r="F762" s="1129" cm="1">
        <f t="array" ref="F762">IF(A762=A761,0,SUM(_xlfn._xlws.FILTER(E762:E772,A762:A772=A762)))</f>
        <v>0</v>
      </c>
      <c r="G762" s="1130">
        <f>IF(F762&lt;&gt;0,SUM($F$43:F762),0)</f>
        <v>0</v>
      </c>
      <c r="H762" s="1130" cm="1">
        <f t="array" ref="H762">IFERROR(IF(A762=A761,0,SUM(_xlfn._xlws.FILTER(E762:E772,(A762:A772=A762)*(E762:E772&gt;0)))),0)</f>
        <v>0</v>
      </c>
      <c r="I762" s="1130" cm="1">
        <f t="array" ref="I762">IFERROR(IF(A762=A761,0,SUM(_xlfn._xlws.FILTER(E762:E772,(A762:A772=A762)*(F762&lt;0)))),0)</f>
        <v>0</v>
      </c>
      <c r="J762" s="295" t="str">
        <f ca="1">IFERROR(_xlfn.XLOOKUP(B762,TabCalc[Ticker],TabCalc[Cur]),"")</f>
        <v/>
      </c>
      <c r="K762" s="1129" cm="1">
        <f t="array" ref="K762">IFERROR(IF($A762=$A761,0,SUM(_xlfn._xlws.FILTER($E762:$E772,($A762:$A772=$A762)*($J762:$J772=K$42)))),0)</f>
        <v>0</v>
      </c>
      <c r="L762" s="1129" cm="1">
        <f t="array" ref="L762">IFERROR(IF($A762=$A761,0,SUM(_xlfn._xlws.FILTER($E762:$E772,($A762:$A772=$A762)*($J762:$J772=L$42)))),0)</f>
        <v>0</v>
      </c>
      <c r="M762" s="1129" cm="1">
        <f t="array" ref="M762">IFERROR(IF($A762=$A761,0,SUM(_xlfn._xlws.FILTER($E762:$E772,($A762:$A772=$A762)*($J762:$J772=M$42)))),0)</f>
        <v>0</v>
      </c>
      <c r="N762" s="1129" cm="1">
        <f t="array" ref="N762">IFERROR(IF($A762=$A761,0,SUM(_xlfn._xlws.FILTER($E762:$E772,($A762:$A772=$A762)*($J762:$J772=N$42)))),0)</f>
        <v>0</v>
      </c>
    </row>
    <row r="763" spans="5:14">
      <c r="E763" s="1128">
        <f ca="1">IFERROR(C763*D763*_xlfn.XLOOKUP(B763,TabCalc[Ticker],TabCalc[Scale]),0)</f>
        <v>0</v>
      </c>
      <c r="F763" s="1129" cm="1">
        <f t="array" ref="F763">IF(A763=A762,0,SUM(_xlfn._xlws.FILTER(E763:E773,A763:A773=A763)))</f>
        <v>0</v>
      </c>
      <c r="G763" s="1130">
        <f>IF(F763&lt;&gt;0,SUM($F$43:F763),0)</f>
        <v>0</v>
      </c>
      <c r="H763" s="1130" cm="1">
        <f t="array" ref="H763">IFERROR(IF(A763=A762,0,SUM(_xlfn._xlws.FILTER(E763:E773,(A763:A773=A763)*(E763:E773&gt;0)))),0)</f>
        <v>0</v>
      </c>
      <c r="I763" s="1130" cm="1">
        <f t="array" ref="I763">IFERROR(IF(A763=A762,0,SUM(_xlfn._xlws.FILTER(E763:E773,(A763:A773=A763)*(F763&lt;0)))),0)</f>
        <v>0</v>
      </c>
      <c r="J763" s="295" t="str">
        <f ca="1">IFERROR(_xlfn.XLOOKUP(B763,TabCalc[Ticker],TabCalc[Cur]),"")</f>
        <v/>
      </c>
      <c r="K763" s="1129" cm="1">
        <f t="array" ref="K763">IFERROR(IF($A763=$A762,0,SUM(_xlfn._xlws.FILTER($E763:$E773,($A763:$A773=$A763)*($J763:$J773=K$42)))),0)</f>
        <v>0</v>
      </c>
      <c r="L763" s="1129" cm="1">
        <f t="array" ref="L763">IFERROR(IF($A763=$A762,0,SUM(_xlfn._xlws.FILTER($E763:$E773,($A763:$A773=$A763)*($J763:$J773=L$42)))),0)</f>
        <v>0</v>
      </c>
      <c r="M763" s="1129" cm="1">
        <f t="array" ref="M763">IFERROR(IF($A763=$A762,0,SUM(_xlfn._xlws.FILTER($E763:$E773,($A763:$A773=$A763)*($J763:$J773=M$42)))),0)</f>
        <v>0</v>
      </c>
      <c r="N763" s="1129" cm="1">
        <f t="array" ref="N763">IFERROR(IF($A763=$A762,0,SUM(_xlfn._xlws.FILTER($E763:$E773,($A763:$A773=$A763)*($J763:$J773=N$42)))),0)</f>
        <v>0</v>
      </c>
    </row>
    <row r="764" spans="5:14">
      <c r="E764" s="1128">
        <f ca="1">IFERROR(C764*D764*_xlfn.XLOOKUP(B764,TabCalc[Ticker],TabCalc[Scale]),0)</f>
        <v>0</v>
      </c>
      <c r="F764" s="1129" cm="1">
        <f t="array" ref="F764">IF(A764=A763,0,SUM(_xlfn._xlws.FILTER(E764:E774,A764:A774=A764)))</f>
        <v>0</v>
      </c>
      <c r="G764" s="1130">
        <f>IF(F764&lt;&gt;0,SUM($F$43:F764),0)</f>
        <v>0</v>
      </c>
      <c r="H764" s="1130" cm="1">
        <f t="array" ref="H764">IFERROR(IF(A764=A763,0,SUM(_xlfn._xlws.FILTER(E764:E774,(A764:A774=A764)*(E764:E774&gt;0)))),0)</f>
        <v>0</v>
      </c>
      <c r="I764" s="1130" cm="1">
        <f t="array" ref="I764">IFERROR(IF(A764=A763,0,SUM(_xlfn._xlws.FILTER(E764:E774,(A764:A774=A764)*(F764&lt;0)))),0)</f>
        <v>0</v>
      </c>
      <c r="J764" s="295" t="str">
        <f ca="1">IFERROR(_xlfn.XLOOKUP(B764,TabCalc[Ticker],TabCalc[Cur]),"")</f>
        <v/>
      </c>
      <c r="K764" s="1129" cm="1">
        <f t="array" ref="K764">IFERROR(IF($A764=$A763,0,SUM(_xlfn._xlws.FILTER($E764:$E774,($A764:$A774=$A764)*($J764:$J774=K$42)))),0)</f>
        <v>0</v>
      </c>
      <c r="L764" s="1129" cm="1">
        <f t="array" ref="L764">IFERROR(IF($A764=$A763,0,SUM(_xlfn._xlws.FILTER($E764:$E774,($A764:$A774=$A764)*($J764:$J774=L$42)))),0)</f>
        <v>0</v>
      </c>
      <c r="M764" s="1129" cm="1">
        <f t="array" ref="M764">IFERROR(IF($A764=$A763,0,SUM(_xlfn._xlws.FILTER($E764:$E774,($A764:$A774=$A764)*($J764:$J774=M$42)))),0)</f>
        <v>0</v>
      </c>
      <c r="N764" s="1129" cm="1">
        <f t="array" ref="N764">IFERROR(IF($A764=$A763,0,SUM(_xlfn._xlws.FILTER($E764:$E774,($A764:$A774=$A764)*($J764:$J774=N$42)))),0)</f>
        <v>0</v>
      </c>
    </row>
    <row r="765" spans="5:14">
      <c r="E765" s="1128">
        <f ca="1">IFERROR(C765*D765*_xlfn.XLOOKUP(B765,TabCalc[Ticker],TabCalc[Scale]),0)</f>
        <v>0</v>
      </c>
      <c r="F765" s="1129" cm="1">
        <f t="array" ref="F765">IF(A765=A764,0,SUM(_xlfn._xlws.FILTER(E765:E775,A765:A775=A765)))</f>
        <v>0</v>
      </c>
      <c r="G765" s="1130">
        <f>IF(F765&lt;&gt;0,SUM($F$43:F765),0)</f>
        <v>0</v>
      </c>
      <c r="H765" s="1130" cm="1">
        <f t="array" ref="H765">IFERROR(IF(A765=A764,0,SUM(_xlfn._xlws.FILTER(E765:E775,(A765:A775=A765)*(E765:E775&gt;0)))),0)</f>
        <v>0</v>
      </c>
      <c r="I765" s="1130" cm="1">
        <f t="array" ref="I765">IFERROR(IF(A765=A764,0,SUM(_xlfn._xlws.FILTER(E765:E775,(A765:A775=A765)*(F765&lt;0)))),0)</f>
        <v>0</v>
      </c>
      <c r="J765" s="295" t="str">
        <f ca="1">IFERROR(_xlfn.XLOOKUP(B765,TabCalc[Ticker],TabCalc[Cur]),"")</f>
        <v/>
      </c>
      <c r="K765" s="1129" cm="1">
        <f t="array" ref="K765">IFERROR(IF($A765=$A764,0,SUM(_xlfn._xlws.FILTER($E765:$E775,($A765:$A775=$A765)*($J765:$J775=K$42)))),0)</f>
        <v>0</v>
      </c>
      <c r="L765" s="1129" cm="1">
        <f t="array" ref="L765">IFERROR(IF($A765=$A764,0,SUM(_xlfn._xlws.FILTER($E765:$E775,($A765:$A775=$A765)*($J765:$J775=L$42)))),0)</f>
        <v>0</v>
      </c>
      <c r="M765" s="1129" cm="1">
        <f t="array" ref="M765">IFERROR(IF($A765=$A764,0,SUM(_xlfn._xlws.FILTER($E765:$E775,($A765:$A775=$A765)*($J765:$J775=M$42)))),0)</f>
        <v>0</v>
      </c>
      <c r="N765" s="1129" cm="1">
        <f t="array" ref="N765">IFERROR(IF($A765=$A764,0,SUM(_xlfn._xlws.FILTER($E765:$E775,($A765:$A775=$A765)*($J765:$J775=N$42)))),0)</f>
        <v>0</v>
      </c>
    </row>
    <row r="766" spans="5:14">
      <c r="E766" s="1128">
        <f ca="1">IFERROR(C766*D766*_xlfn.XLOOKUP(B766,TabCalc[Ticker],TabCalc[Scale]),0)</f>
        <v>0</v>
      </c>
      <c r="F766" s="1129" cm="1">
        <f t="array" ref="F766">IF(A766=A765,0,SUM(_xlfn._xlws.FILTER(E766:E776,A766:A776=A766)))</f>
        <v>0</v>
      </c>
      <c r="G766" s="1130">
        <f>IF(F766&lt;&gt;0,SUM($F$43:F766),0)</f>
        <v>0</v>
      </c>
      <c r="H766" s="1130" cm="1">
        <f t="array" ref="H766">IFERROR(IF(A766=A765,0,SUM(_xlfn._xlws.FILTER(E766:E776,(A766:A776=A766)*(E766:E776&gt;0)))),0)</f>
        <v>0</v>
      </c>
      <c r="I766" s="1130" cm="1">
        <f t="array" ref="I766">IFERROR(IF(A766=A765,0,SUM(_xlfn._xlws.FILTER(E766:E776,(A766:A776=A766)*(F766&lt;0)))),0)</f>
        <v>0</v>
      </c>
      <c r="J766" s="295" t="str">
        <f ca="1">IFERROR(_xlfn.XLOOKUP(B766,TabCalc[Ticker],TabCalc[Cur]),"")</f>
        <v/>
      </c>
      <c r="K766" s="1129" cm="1">
        <f t="array" ref="K766">IFERROR(IF($A766=$A765,0,SUM(_xlfn._xlws.FILTER($E766:$E776,($A766:$A776=$A766)*($J766:$J776=K$42)))),0)</f>
        <v>0</v>
      </c>
      <c r="L766" s="1129" cm="1">
        <f t="array" ref="L766">IFERROR(IF($A766=$A765,0,SUM(_xlfn._xlws.FILTER($E766:$E776,($A766:$A776=$A766)*($J766:$J776=L$42)))),0)</f>
        <v>0</v>
      </c>
      <c r="M766" s="1129" cm="1">
        <f t="array" ref="M766">IFERROR(IF($A766=$A765,0,SUM(_xlfn._xlws.FILTER($E766:$E776,($A766:$A776=$A766)*($J766:$J776=M$42)))),0)</f>
        <v>0</v>
      </c>
      <c r="N766" s="1129" cm="1">
        <f t="array" ref="N766">IFERROR(IF($A766=$A765,0,SUM(_xlfn._xlws.FILTER($E766:$E776,($A766:$A776=$A766)*($J766:$J776=N$42)))),0)</f>
        <v>0</v>
      </c>
    </row>
    <row r="767" spans="5:14">
      <c r="E767" s="1128">
        <f ca="1">IFERROR(C767*D767*_xlfn.XLOOKUP(B767,TabCalc[Ticker],TabCalc[Scale]),0)</f>
        <v>0</v>
      </c>
      <c r="F767" s="1129" cm="1">
        <f t="array" ref="F767">IF(A767=A766,0,SUM(_xlfn._xlws.FILTER(E767:E777,A767:A777=A767)))</f>
        <v>0</v>
      </c>
      <c r="G767" s="1130">
        <f>IF(F767&lt;&gt;0,SUM($F$43:F767),0)</f>
        <v>0</v>
      </c>
      <c r="H767" s="1130" cm="1">
        <f t="array" ref="H767">IFERROR(IF(A767=A766,0,SUM(_xlfn._xlws.FILTER(E767:E777,(A767:A777=A767)*(E767:E777&gt;0)))),0)</f>
        <v>0</v>
      </c>
      <c r="I767" s="1130" cm="1">
        <f t="array" ref="I767">IFERROR(IF(A767=A766,0,SUM(_xlfn._xlws.FILTER(E767:E777,(A767:A777=A767)*(F767&lt;0)))),0)</f>
        <v>0</v>
      </c>
      <c r="J767" s="295" t="str">
        <f ca="1">IFERROR(_xlfn.XLOOKUP(B767,TabCalc[Ticker],TabCalc[Cur]),"")</f>
        <v/>
      </c>
      <c r="K767" s="1129" cm="1">
        <f t="array" ref="K767">IFERROR(IF($A767=$A766,0,SUM(_xlfn._xlws.FILTER($E767:$E777,($A767:$A777=$A767)*($J767:$J777=K$42)))),0)</f>
        <v>0</v>
      </c>
      <c r="L767" s="1129" cm="1">
        <f t="array" ref="L767">IFERROR(IF($A767=$A766,0,SUM(_xlfn._xlws.FILTER($E767:$E777,($A767:$A777=$A767)*($J767:$J777=L$42)))),0)</f>
        <v>0</v>
      </c>
      <c r="M767" s="1129" cm="1">
        <f t="array" ref="M767">IFERROR(IF($A767=$A766,0,SUM(_xlfn._xlws.FILTER($E767:$E777,($A767:$A777=$A767)*($J767:$J777=M$42)))),0)</f>
        <v>0</v>
      </c>
      <c r="N767" s="1129" cm="1">
        <f t="array" ref="N767">IFERROR(IF($A767=$A766,0,SUM(_xlfn._xlws.FILTER($E767:$E777,($A767:$A777=$A767)*($J767:$J777=N$42)))),0)</f>
        <v>0</v>
      </c>
    </row>
    <row r="768" spans="5:14">
      <c r="E768" s="1128">
        <f ca="1">IFERROR(C768*D768*_xlfn.XLOOKUP(B768,TabCalc[Ticker],TabCalc[Scale]),0)</f>
        <v>0</v>
      </c>
      <c r="F768" s="1129" cm="1">
        <f t="array" ref="F768">IF(A768=A767,0,SUM(_xlfn._xlws.FILTER(E768:E778,A768:A778=A768)))</f>
        <v>0</v>
      </c>
      <c r="G768" s="1130">
        <f>IF(F768&lt;&gt;0,SUM($F$43:F768),0)</f>
        <v>0</v>
      </c>
      <c r="H768" s="1130" cm="1">
        <f t="array" ref="H768">IFERROR(IF(A768=A767,0,SUM(_xlfn._xlws.FILTER(E768:E778,(A768:A778=A768)*(E768:E778&gt;0)))),0)</f>
        <v>0</v>
      </c>
      <c r="I768" s="1130" cm="1">
        <f t="array" ref="I768">IFERROR(IF(A768=A767,0,SUM(_xlfn._xlws.FILTER(E768:E778,(A768:A778=A768)*(F768&lt;0)))),0)</f>
        <v>0</v>
      </c>
      <c r="J768" s="295" t="str">
        <f ca="1">IFERROR(_xlfn.XLOOKUP(B768,TabCalc[Ticker],TabCalc[Cur]),"")</f>
        <v/>
      </c>
      <c r="K768" s="1129" cm="1">
        <f t="array" ref="K768">IFERROR(IF($A768=$A767,0,SUM(_xlfn._xlws.FILTER($E768:$E778,($A768:$A778=$A768)*($J768:$J778=K$42)))),0)</f>
        <v>0</v>
      </c>
      <c r="L768" s="1129" cm="1">
        <f t="array" ref="L768">IFERROR(IF($A768=$A767,0,SUM(_xlfn._xlws.FILTER($E768:$E778,($A768:$A778=$A768)*($J768:$J778=L$42)))),0)</f>
        <v>0</v>
      </c>
      <c r="M768" s="1129" cm="1">
        <f t="array" ref="M768">IFERROR(IF($A768=$A767,0,SUM(_xlfn._xlws.FILTER($E768:$E778,($A768:$A778=$A768)*($J768:$J778=M$42)))),0)</f>
        <v>0</v>
      </c>
      <c r="N768" s="1129" cm="1">
        <f t="array" ref="N768">IFERROR(IF($A768=$A767,0,SUM(_xlfn._xlws.FILTER($E768:$E778,($A768:$A778=$A768)*($J768:$J778=N$42)))),0)</f>
        <v>0</v>
      </c>
    </row>
    <row r="769" spans="5:14">
      <c r="E769" s="1128">
        <f ca="1">IFERROR(C769*D769*_xlfn.XLOOKUP(B769,TabCalc[Ticker],TabCalc[Scale]),0)</f>
        <v>0</v>
      </c>
      <c r="F769" s="1129" cm="1">
        <f t="array" ref="F769">IF(A769=A768,0,SUM(_xlfn._xlws.FILTER(E769:E779,A769:A779=A769)))</f>
        <v>0</v>
      </c>
      <c r="G769" s="1130">
        <f>IF(F769&lt;&gt;0,SUM($F$43:F769),0)</f>
        <v>0</v>
      </c>
      <c r="H769" s="1130" cm="1">
        <f t="array" ref="H769">IFERROR(IF(A769=A768,0,SUM(_xlfn._xlws.FILTER(E769:E779,(A769:A779=A769)*(E769:E779&gt;0)))),0)</f>
        <v>0</v>
      </c>
      <c r="I769" s="1130" cm="1">
        <f t="array" ref="I769">IFERROR(IF(A769=A768,0,SUM(_xlfn._xlws.FILTER(E769:E779,(A769:A779=A769)*(F769&lt;0)))),0)</f>
        <v>0</v>
      </c>
      <c r="J769" s="295" t="str">
        <f ca="1">IFERROR(_xlfn.XLOOKUP(B769,TabCalc[Ticker],TabCalc[Cur]),"")</f>
        <v/>
      </c>
      <c r="K769" s="1129" cm="1">
        <f t="array" ref="K769">IFERROR(IF($A769=$A768,0,SUM(_xlfn._xlws.FILTER($E769:$E779,($A769:$A779=$A769)*($J769:$J779=K$42)))),0)</f>
        <v>0</v>
      </c>
      <c r="L769" s="1129" cm="1">
        <f t="array" ref="L769">IFERROR(IF($A769=$A768,0,SUM(_xlfn._xlws.FILTER($E769:$E779,($A769:$A779=$A769)*($J769:$J779=L$42)))),0)</f>
        <v>0</v>
      </c>
      <c r="M769" s="1129" cm="1">
        <f t="array" ref="M769">IFERROR(IF($A769=$A768,0,SUM(_xlfn._xlws.FILTER($E769:$E779,($A769:$A779=$A769)*($J769:$J779=M$42)))),0)</f>
        <v>0</v>
      </c>
      <c r="N769" s="1129" cm="1">
        <f t="array" ref="N769">IFERROR(IF($A769=$A768,0,SUM(_xlfn._xlws.FILTER($E769:$E779,($A769:$A779=$A769)*($J769:$J779=N$42)))),0)</f>
        <v>0</v>
      </c>
    </row>
    <row r="770" spans="5:14">
      <c r="E770" s="1128">
        <f ca="1">IFERROR(C770*D770*_xlfn.XLOOKUP(B770,TabCalc[Ticker],TabCalc[Scale]),0)</f>
        <v>0</v>
      </c>
      <c r="F770" s="1129" cm="1">
        <f t="array" ref="F770">IF(A770=A769,0,SUM(_xlfn._xlws.FILTER(E770:E780,A770:A780=A770)))</f>
        <v>0</v>
      </c>
      <c r="G770" s="1130">
        <f>IF(F770&lt;&gt;0,SUM($F$43:F770),0)</f>
        <v>0</v>
      </c>
      <c r="H770" s="1130" cm="1">
        <f t="array" ref="H770">IFERROR(IF(A770=A769,0,SUM(_xlfn._xlws.FILTER(E770:E780,(A770:A780=A770)*(E770:E780&gt;0)))),0)</f>
        <v>0</v>
      </c>
      <c r="I770" s="1130" cm="1">
        <f t="array" ref="I770">IFERROR(IF(A770=A769,0,SUM(_xlfn._xlws.FILTER(E770:E780,(A770:A780=A770)*(F770&lt;0)))),0)</f>
        <v>0</v>
      </c>
      <c r="J770" s="295" t="str">
        <f ca="1">IFERROR(_xlfn.XLOOKUP(B770,TabCalc[Ticker],TabCalc[Cur]),"")</f>
        <v/>
      </c>
      <c r="K770" s="1129" cm="1">
        <f t="array" ref="K770">IFERROR(IF($A770=$A769,0,SUM(_xlfn._xlws.FILTER($E770:$E780,($A770:$A780=$A770)*($J770:$J780=K$42)))),0)</f>
        <v>0</v>
      </c>
      <c r="L770" s="1129" cm="1">
        <f t="array" ref="L770">IFERROR(IF($A770=$A769,0,SUM(_xlfn._xlws.FILTER($E770:$E780,($A770:$A780=$A770)*($J770:$J780=L$42)))),0)</f>
        <v>0</v>
      </c>
      <c r="M770" s="1129" cm="1">
        <f t="array" ref="M770">IFERROR(IF($A770=$A769,0,SUM(_xlfn._xlws.FILTER($E770:$E780,($A770:$A780=$A770)*($J770:$J780=M$42)))),0)</f>
        <v>0</v>
      </c>
      <c r="N770" s="1129" cm="1">
        <f t="array" ref="N770">IFERROR(IF($A770=$A769,0,SUM(_xlfn._xlws.FILTER($E770:$E780,($A770:$A780=$A770)*($J770:$J780=N$42)))),0)</f>
        <v>0</v>
      </c>
    </row>
    <row r="771" spans="5:14">
      <c r="E771" s="1128">
        <f ca="1">IFERROR(C771*D771*_xlfn.XLOOKUP(B771,TabCalc[Ticker],TabCalc[Scale]),0)</f>
        <v>0</v>
      </c>
      <c r="F771" s="1129" cm="1">
        <f t="array" ref="F771">IF(A771=A770,0,SUM(_xlfn._xlws.FILTER(E771:E781,A771:A781=A771)))</f>
        <v>0</v>
      </c>
      <c r="G771" s="1130">
        <f>IF(F771&lt;&gt;0,SUM($F$43:F771),0)</f>
        <v>0</v>
      </c>
      <c r="H771" s="1130" cm="1">
        <f t="array" ref="H771">IFERROR(IF(A771=A770,0,SUM(_xlfn._xlws.FILTER(E771:E781,(A771:A781=A771)*(E771:E781&gt;0)))),0)</f>
        <v>0</v>
      </c>
      <c r="I771" s="1130" cm="1">
        <f t="array" ref="I771">IFERROR(IF(A771=A770,0,SUM(_xlfn._xlws.FILTER(E771:E781,(A771:A781=A771)*(F771&lt;0)))),0)</f>
        <v>0</v>
      </c>
      <c r="J771" s="295" t="str">
        <f ca="1">IFERROR(_xlfn.XLOOKUP(B771,TabCalc[Ticker],TabCalc[Cur]),"")</f>
        <v/>
      </c>
      <c r="K771" s="1129" cm="1">
        <f t="array" ref="K771">IFERROR(IF($A771=$A770,0,SUM(_xlfn._xlws.FILTER($E771:$E781,($A771:$A781=$A771)*($J771:$J781=K$42)))),0)</f>
        <v>0</v>
      </c>
      <c r="L771" s="1129" cm="1">
        <f t="array" ref="L771">IFERROR(IF($A771=$A770,0,SUM(_xlfn._xlws.FILTER($E771:$E781,($A771:$A781=$A771)*($J771:$J781=L$42)))),0)</f>
        <v>0</v>
      </c>
      <c r="M771" s="1129" cm="1">
        <f t="array" ref="M771">IFERROR(IF($A771=$A770,0,SUM(_xlfn._xlws.FILTER($E771:$E781,($A771:$A781=$A771)*($J771:$J781=M$42)))),0)</f>
        <v>0</v>
      </c>
      <c r="N771" s="1129" cm="1">
        <f t="array" ref="N771">IFERROR(IF($A771=$A770,0,SUM(_xlfn._xlws.FILTER($E771:$E781,($A771:$A781=$A771)*($J771:$J781=N$42)))),0)</f>
        <v>0</v>
      </c>
    </row>
    <row r="772" spans="5:14">
      <c r="E772" s="1128">
        <f ca="1">IFERROR(C772*D772*_xlfn.XLOOKUP(B772,TabCalc[Ticker],TabCalc[Scale]),0)</f>
        <v>0</v>
      </c>
      <c r="F772" s="1129" cm="1">
        <f t="array" ref="F772">IF(A772=A771,0,SUM(_xlfn._xlws.FILTER(E772:E782,A772:A782=A772)))</f>
        <v>0</v>
      </c>
      <c r="G772" s="1130">
        <f>IF(F772&lt;&gt;0,SUM($F$43:F772),0)</f>
        <v>0</v>
      </c>
      <c r="H772" s="1130" cm="1">
        <f t="array" ref="H772">IFERROR(IF(A772=A771,0,SUM(_xlfn._xlws.FILTER(E772:E782,(A772:A782=A772)*(E772:E782&gt;0)))),0)</f>
        <v>0</v>
      </c>
      <c r="I772" s="1130" cm="1">
        <f t="array" ref="I772">IFERROR(IF(A772=A771,0,SUM(_xlfn._xlws.FILTER(E772:E782,(A772:A782=A772)*(F772&lt;0)))),0)</f>
        <v>0</v>
      </c>
      <c r="J772" s="295" t="str">
        <f ca="1">IFERROR(_xlfn.XLOOKUP(B772,TabCalc[Ticker],TabCalc[Cur]),"")</f>
        <v/>
      </c>
      <c r="K772" s="1129" cm="1">
        <f t="array" ref="K772">IFERROR(IF($A772=$A771,0,SUM(_xlfn._xlws.FILTER($E772:$E782,($A772:$A782=$A772)*($J772:$J782=K$42)))),0)</f>
        <v>0</v>
      </c>
      <c r="L772" s="1129" cm="1">
        <f t="array" ref="L772">IFERROR(IF($A772=$A771,0,SUM(_xlfn._xlws.FILTER($E772:$E782,($A772:$A782=$A772)*($J772:$J782=L$42)))),0)</f>
        <v>0</v>
      </c>
      <c r="M772" s="1129" cm="1">
        <f t="array" ref="M772">IFERROR(IF($A772=$A771,0,SUM(_xlfn._xlws.FILTER($E772:$E782,($A772:$A782=$A772)*($J772:$J782=M$42)))),0)</f>
        <v>0</v>
      </c>
      <c r="N772" s="1129" cm="1">
        <f t="array" ref="N772">IFERROR(IF($A772=$A771,0,SUM(_xlfn._xlws.FILTER($E772:$E782,($A772:$A782=$A772)*($J772:$J782=N$42)))),0)</f>
        <v>0</v>
      </c>
    </row>
    <row r="773" spans="5:14">
      <c r="E773" s="1128">
        <f ca="1">IFERROR(C773*D773*_xlfn.XLOOKUP(B773,TabCalc[Ticker],TabCalc[Scale]),0)</f>
        <v>0</v>
      </c>
      <c r="F773" s="1129" cm="1">
        <f t="array" ref="F773">IF(A773=A772,0,SUM(_xlfn._xlws.FILTER(E773:E783,A773:A783=A773)))</f>
        <v>0</v>
      </c>
      <c r="G773" s="1130">
        <f>IF(F773&lt;&gt;0,SUM($F$43:F773),0)</f>
        <v>0</v>
      </c>
      <c r="H773" s="1130" cm="1">
        <f t="array" ref="H773">IFERROR(IF(A773=A772,0,SUM(_xlfn._xlws.FILTER(E773:E783,(A773:A783=A773)*(E773:E783&gt;0)))),0)</f>
        <v>0</v>
      </c>
      <c r="I773" s="1130" cm="1">
        <f t="array" ref="I773">IFERROR(IF(A773=A772,0,SUM(_xlfn._xlws.FILTER(E773:E783,(A773:A783=A773)*(F773&lt;0)))),0)</f>
        <v>0</v>
      </c>
      <c r="J773" s="295" t="str">
        <f ca="1">IFERROR(_xlfn.XLOOKUP(B773,TabCalc[Ticker],TabCalc[Cur]),"")</f>
        <v/>
      </c>
      <c r="K773" s="1129" cm="1">
        <f t="array" ref="K773">IFERROR(IF($A773=$A772,0,SUM(_xlfn._xlws.FILTER($E773:$E783,($A773:$A783=$A773)*($J773:$J783=K$42)))),0)</f>
        <v>0</v>
      </c>
      <c r="L773" s="1129" cm="1">
        <f t="array" ref="L773">IFERROR(IF($A773=$A772,0,SUM(_xlfn._xlws.FILTER($E773:$E783,($A773:$A783=$A773)*($J773:$J783=L$42)))),0)</f>
        <v>0</v>
      </c>
      <c r="M773" s="1129" cm="1">
        <f t="array" ref="M773">IFERROR(IF($A773=$A772,0,SUM(_xlfn._xlws.FILTER($E773:$E783,($A773:$A783=$A773)*($J773:$J783=M$42)))),0)</f>
        <v>0</v>
      </c>
      <c r="N773" s="1129" cm="1">
        <f t="array" ref="N773">IFERROR(IF($A773=$A772,0,SUM(_xlfn._xlws.FILTER($E773:$E783,($A773:$A783=$A773)*($J773:$J783=N$42)))),0)</f>
        <v>0</v>
      </c>
    </row>
    <row r="774" spans="5:14">
      <c r="E774" s="1128">
        <f ca="1">IFERROR(C774*D774*_xlfn.XLOOKUP(B774,TabCalc[Ticker],TabCalc[Scale]),0)</f>
        <v>0</v>
      </c>
      <c r="F774" s="1129" cm="1">
        <f t="array" ref="F774">IF(A774=A773,0,SUM(_xlfn._xlws.FILTER(E774:E784,A774:A784=A774)))</f>
        <v>0</v>
      </c>
      <c r="G774" s="1130">
        <f>IF(F774&lt;&gt;0,SUM($F$43:F774),0)</f>
        <v>0</v>
      </c>
      <c r="H774" s="1130" cm="1">
        <f t="array" ref="H774">IFERROR(IF(A774=A773,0,SUM(_xlfn._xlws.FILTER(E774:E784,(A774:A784=A774)*(E774:E784&gt;0)))),0)</f>
        <v>0</v>
      </c>
      <c r="I774" s="1130" cm="1">
        <f t="array" ref="I774">IFERROR(IF(A774=A773,0,SUM(_xlfn._xlws.FILTER(E774:E784,(A774:A784=A774)*(F774&lt;0)))),0)</f>
        <v>0</v>
      </c>
      <c r="J774" s="295" t="str">
        <f ca="1">IFERROR(_xlfn.XLOOKUP(B774,TabCalc[Ticker],TabCalc[Cur]),"")</f>
        <v/>
      </c>
      <c r="K774" s="1129" cm="1">
        <f t="array" ref="K774">IFERROR(IF($A774=$A773,0,SUM(_xlfn._xlws.FILTER($E774:$E784,($A774:$A784=$A774)*($J774:$J784=K$42)))),0)</f>
        <v>0</v>
      </c>
      <c r="L774" s="1129" cm="1">
        <f t="array" ref="L774">IFERROR(IF($A774=$A773,0,SUM(_xlfn._xlws.FILTER($E774:$E784,($A774:$A784=$A774)*($J774:$J784=L$42)))),0)</f>
        <v>0</v>
      </c>
      <c r="M774" s="1129" cm="1">
        <f t="array" ref="M774">IFERROR(IF($A774=$A773,0,SUM(_xlfn._xlws.FILTER($E774:$E784,($A774:$A784=$A774)*($J774:$J784=M$42)))),0)</f>
        <v>0</v>
      </c>
      <c r="N774" s="1129" cm="1">
        <f t="array" ref="N774">IFERROR(IF($A774=$A773,0,SUM(_xlfn._xlws.FILTER($E774:$E784,($A774:$A784=$A774)*($J774:$J784=N$42)))),0)</f>
        <v>0</v>
      </c>
    </row>
    <row r="775" spans="5:14">
      <c r="E775" s="1128">
        <f ca="1">IFERROR(C775*D775*_xlfn.XLOOKUP(B775,TabCalc[Ticker],TabCalc[Scale]),0)</f>
        <v>0</v>
      </c>
      <c r="F775" s="1129" cm="1">
        <f t="array" ref="F775">IF(A775=A774,0,SUM(_xlfn._xlws.FILTER(E775:E785,A775:A785=A775)))</f>
        <v>0</v>
      </c>
      <c r="G775" s="1130">
        <f>IF(F775&lt;&gt;0,SUM($F$43:F775),0)</f>
        <v>0</v>
      </c>
      <c r="H775" s="1130" cm="1">
        <f t="array" ref="H775">IFERROR(IF(A775=A774,0,SUM(_xlfn._xlws.FILTER(E775:E785,(A775:A785=A775)*(E775:E785&gt;0)))),0)</f>
        <v>0</v>
      </c>
      <c r="I775" s="1130" cm="1">
        <f t="array" ref="I775">IFERROR(IF(A775=A774,0,SUM(_xlfn._xlws.FILTER(E775:E785,(A775:A785=A775)*(F775&lt;0)))),0)</f>
        <v>0</v>
      </c>
      <c r="J775" s="295" t="str">
        <f ca="1">IFERROR(_xlfn.XLOOKUP(B775,TabCalc[Ticker],TabCalc[Cur]),"")</f>
        <v/>
      </c>
      <c r="K775" s="1129" cm="1">
        <f t="array" ref="K775">IFERROR(IF($A775=$A774,0,SUM(_xlfn._xlws.FILTER($E775:$E785,($A775:$A785=$A775)*($J775:$J785=K$42)))),0)</f>
        <v>0</v>
      </c>
      <c r="L775" s="1129" cm="1">
        <f t="array" ref="L775">IFERROR(IF($A775=$A774,0,SUM(_xlfn._xlws.FILTER($E775:$E785,($A775:$A785=$A775)*($J775:$J785=L$42)))),0)</f>
        <v>0</v>
      </c>
      <c r="M775" s="1129" cm="1">
        <f t="array" ref="M775">IFERROR(IF($A775=$A774,0,SUM(_xlfn._xlws.FILTER($E775:$E785,($A775:$A785=$A775)*($J775:$J785=M$42)))),0)</f>
        <v>0</v>
      </c>
      <c r="N775" s="1129" cm="1">
        <f t="array" ref="N775">IFERROR(IF($A775=$A774,0,SUM(_xlfn._xlws.FILTER($E775:$E785,($A775:$A785=$A775)*($J775:$J785=N$42)))),0)</f>
        <v>0</v>
      </c>
    </row>
    <row r="776" spans="5:14">
      <c r="E776" s="1128">
        <f ca="1">IFERROR(C776*D776*_xlfn.XLOOKUP(B776,TabCalc[Ticker],TabCalc[Scale]),0)</f>
        <v>0</v>
      </c>
      <c r="F776" s="1129" cm="1">
        <f t="array" ref="F776">IF(A776=A775,0,SUM(_xlfn._xlws.FILTER(E776:E786,A776:A786=A776)))</f>
        <v>0</v>
      </c>
      <c r="G776" s="1130">
        <f>IF(F776&lt;&gt;0,SUM($F$43:F776),0)</f>
        <v>0</v>
      </c>
      <c r="H776" s="1130" cm="1">
        <f t="array" ref="H776">IFERROR(IF(A776=A775,0,SUM(_xlfn._xlws.FILTER(E776:E786,(A776:A786=A776)*(E776:E786&gt;0)))),0)</f>
        <v>0</v>
      </c>
      <c r="I776" s="1130" cm="1">
        <f t="array" ref="I776">IFERROR(IF(A776=A775,0,SUM(_xlfn._xlws.FILTER(E776:E786,(A776:A786=A776)*(F776&lt;0)))),0)</f>
        <v>0</v>
      </c>
      <c r="J776" s="295" t="str">
        <f ca="1">IFERROR(_xlfn.XLOOKUP(B776,TabCalc[Ticker],TabCalc[Cur]),"")</f>
        <v/>
      </c>
      <c r="K776" s="1129" cm="1">
        <f t="array" ref="K776">IFERROR(IF($A776=$A775,0,SUM(_xlfn._xlws.FILTER($E776:$E786,($A776:$A786=$A776)*($J776:$J786=K$42)))),0)</f>
        <v>0</v>
      </c>
      <c r="L776" s="1129" cm="1">
        <f t="array" ref="L776">IFERROR(IF($A776=$A775,0,SUM(_xlfn._xlws.FILTER($E776:$E786,($A776:$A786=$A776)*($J776:$J786=L$42)))),0)</f>
        <v>0</v>
      </c>
      <c r="M776" s="1129" cm="1">
        <f t="array" ref="M776">IFERROR(IF($A776=$A775,0,SUM(_xlfn._xlws.FILTER($E776:$E786,($A776:$A786=$A776)*($J776:$J786=M$42)))),0)</f>
        <v>0</v>
      </c>
      <c r="N776" s="1129" cm="1">
        <f t="array" ref="N776">IFERROR(IF($A776=$A775,0,SUM(_xlfn._xlws.FILTER($E776:$E786,($A776:$A786=$A776)*($J776:$J786=N$42)))),0)</f>
        <v>0</v>
      </c>
    </row>
    <row r="777" spans="5:14">
      <c r="E777" s="1128">
        <f ca="1">IFERROR(C777*D777*_xlfn.XLOOKUP(B777,TabCalc[Ticker],TabCalc[Scale]),0)</f>
        <v>0</v>
      </c>
      <c r="F777" s="1129" cm="1">
        <f t="array" ref="F777">IF(A777=A776,0,SUM(_xlfn._xlws.FILTER(E777:E787,A777:A787=A777)))</f>
        <v>0</v>
      </c>
      <c r="G777" s="1130">
        <f>IF(F777&lt;&gt;0,SUM($F$43:F777),0)</f>
        <v>0</v>
      </c>
      <c r="H777" s="1130" cm="1">
        <f t="array" ref="H777">IFERROR(IF(A777=A776,0,SUM(_xlfn._xlws.FILTER(E777:E787,(A777:A787=A777)*(E777:E787&gt;0)))),0)</f>
        <v>0</v>
      </c>
      <c r="I777" s="1130" cm="1">
        <f t="array" ref="I777">IFERROR(IF(A777=A776,0,SUM(_xlfn._xlws.FILTER(E777:E787,(A777:A787=A777)*(F777&lt;0)))),0)</f>
        <v>0</v>
      </c>
      <c r="J777" s="295" t="str">
        <f ca="1">IFERROR(_xlfn.XLOOKUP(B777,TabCalc[Ticker],TabCalc[Cur]),"")</f>
        <v/>
      </c>
      <c r="K777" s="1129" cm="1">
        <f t="array" ref="K777">IFERROR(IF($A777=$A776,0,SUM(_xlfn._xlws.FILTER($E777:$E787,($A777:$A787=$A777)*($J777:$J787=K$42)))),0)</f>
        <v>0</v>
      </c>
      <c r="L777" s="1129" cm="1">
        <f t="array" ref="L777">IFERROR(IF($A777=$A776,0,SUM(_xlfn._xlws.FILTER($E777:$E787,($A777:$A787=$A777)*($J777:$J787=L$42)))),0)</f>
        <v>0</v>
      </c>
      <c r="M777" s="1129" cm="1">
        <f t="array" ref="M777">IFERROR(IF($A777=$A776,0,SUM(_xlfn._xlws.FILTER($E777:$E787,($A777:$A787=$A777)*($J777:$J787=M$42)))),0)</f>
        <v>0</v>
      </c>
      <c r="N777" s="1129" cm="1">
        <f t="array" ref="N777">IFERROR(IF($A777=$A776,0,SUM(_xlfn._xlws.FILTER($E777:$E787,($A777:$A787=$A777)*($J777:$J787=N$42)))),0)</f>
        <v>0</v>
      </c>
    </row>
    <row r="778" spans="5:14">
      <c r="E778" s="1128">
        <f ca="1">IFERROR(C778*D778*_xlfn.XLOOKUP(B778,TabCalc[Ticker],TabCalc[Scale]),0)</f>
        <v>0</v>
      </c>
      <c r="F778" s="1129" cm="1">
        <f t="array" ref="F778">IF(A778=A777,0,SUM(_xlfn._xlws.FILTER(E778:E788,A778:A788=A778)))</f>
        <v>0</v>
      </c>
      <c r="G778" s="1130">
        <f>IF(F778&lt;&gt;0,SUM($F$43:F778),0)</f>
        <v>0</v>
      </c>
      <c r="H778" s="1130" cm="1">
        <f t="array" ref="H778">IFERROR(IF(A778=A777,0,SUM(_xlfn._xlws.FILTER(E778:E788,(A778:A788=A778)*(E778:E788&gt;0)))),0)</f>
        <v>0</v>
      </c>
      <c r="I778" s="1130" cm="1">
        <f t="array" ref="I778">IFERROR(IF(A778=A777,0,SUM(_xlfn._xlws.FILTER(E778:E788,(A778:A788=A778)*(F778&lt;0)))),0)</f>
        <v>0</v>
      </c>
      <c r="J778" s="295" t="str">
        <f ca="1">IFERROR(_xlfn.XLOOKUP(B778,TabCalc[Ticker],TabCalc[Cur]),"")</f>
        <v/>
      </c>
      <c r="K778" s="1129" cm="1">
        <f t="array" ref="K778">IFERROR(IF($A778=$A777,0,SUM(_xlfn._xlws.FILTER($E778:$E788,($A778:$A788=$A778)*($J778:$J788=K$42)))),0)</f>
        <v>0</v>
      </c>
      <c r="L778" s="1129" cm="1">
        <f t="array" ref="L778">IFERROR(IF($A778=$A777,0,SUM(_xlfn._xlws.FILTER($E778:$E788,($A778:$A788=$A778)*($J778:$J788=L$42)))),0)</f>
        <v>0</v>
      </c>
      <c r="M778" s="1129" cm="1">
        <f t="array" ref="M778">IFERROR(IF($A778=$A777,0,SUM(_xlfn._xlws.FILTER($E778:$E788,($A778:$A788=$A778)*($J778:$J788=M$42)))),0)</f>
        <v>0</v>
      </c>
      <c r="N778" s="1129" cm="1">
        <f t="array" ref="N778">IFERROR(IF($A778=$A777,0,SUM(_xlfn._xlws.FILTER($E778:$E788,($A778:$A788=$A778)*($J778:$J788=N$42)))),0)</f>
        <v>0</v>
      </c>
    </row>
    <row r="779" spans="5:14">
      <c r="E779" s="1128">
        <f ca="1">IFERROR(C779*D779*_xlfn.XLOOKUP(B779,TabCalc[Ticker],TabCalc[Scale]),0)</f>
        <v>0</v>
      </c>
      <c r="F779" s="1129" cm="1">
        <f t="array" ref="F779">IF(A779=A778,0,SUM(_xlfn._xlws.FILTER(E779:E789,A779:A789=A779)))</f>
        <v>0</v>
      </c>
      <c r="G779" s="1130">
        <f>IF(F779&lt;&gt;0,SUM($F$43:F779),0)</f>
        <v>0</v>
      </c>
      <c r="H779" s="1130" cm="1">
        <f t="array" ref="H779">IFERROR(IF(A779=A778,0,SUM(_xlfn._xlws.FILTER(E779:E789,(A779:A789=A779)*(E779:E789&gt;0)))),0)</f>
        <v>0</v>
      </c>
      <c r="I779" s="1130" cm="1">
        <f t="array" ref="I779">IFERROR(IF(A779=A778,0,SUM(_xlfn._xlws.FILTER(E779:E789,(A779:A789=A779)*(F779&lt;0)))),0)</f>
        <v>0</v>
      </c>
      <c r="J779" s="295" t="str">
        <f ca="1">IFERROR(_xlfn.XLOOKUP(B779,TabCalc[Ticker],TabCalc[Cur]),"")</f>
        <v/>
      </c>
      <c r="K779" s="1129" cm="1">
        <f t="array" ref="K779">IFERROR(IF($A779=$A778,0,SUM(_xlfn._xlws.FILTER($E779:$E789,($A779:$A789=$A779)*($J779:$J789=K$42)))),0)</f>
        <v>0</v>
      </c>
      <c r="L779" s="1129" cm="1">
        <f t="array" ref="L779">IFERROR(IF($A779=$A778,0,SUM(_xlfn._xlws.FILTER($E779:$E789,($A779:$A789=$A779)*($J779:$J789=L$42)))),0)</f>
        <v>0</v>
      </c>
      <c r="M779" s="1129" cm="1">
        <f t="array" ref="M779">IFERROR(IF($A779=$A778,0,SUM(_xlfn._xlws.FILTER($E779:$E789,($A779:$A789=$A779)*($J779:$J789=M$42)))),0)</f>
        <v>0</v>
      </c>
      <c r="N779" s="1129" cm="1">
        <f t="array" ref="N779">IFERROR(IF($A779=$A778,0,SUM(_xlfn._xlws.FILTER($E779:$E789,($A779:$A789=$A779)*($J779:$J789=N$42)))),0)</f>
        <v>0</v>
      </c>
    </row>
    <row r="780" spans="5:14">
      <c r="E780" s="1128">
        <f ca="1">IFERROR(C780*D780*_xlfn.XLOOKUP(B780,TabCalc[Ticker],TabCalc[Scale]),0)</f>
        <v>0</v>
      </c>
      <c r="F780" s="1129" cm="1">
        <f t="array" ref="F780">IF(A780=A779,0,SUM(_xlfn._xlws.FILTER(E780:E790,A780:A790=A780)))</f>
        <v>0</v>
      </c>
      <c r="G780" s="1130">
        <f>IF(F780&lt;&gt;0,SUM($F$43:F780),0)</f>
        <v>0</v>
      </c>
      <c r="H780" s="1130" cm="1">
        <f t="array" ref="H780">IFERROR(IF(A780=A779,0,SUM(_xlfn._xlws.FILTER(E780:E790,(A780:A790=A780)*(E780:E790&gt;0)))),0)</f>
        <v>0</v>
      </c>
      <c r="I780" s="1130" cm="1">
        <f t="array" ref="I780">IFERROR(IF(A780=A779,0,SUM(_xlfn._xlws.FILTER(E780:E790,(A780:A790=A780)*(F780&lt;0)))),0)</f>
        <v>0</v>
      </c>
      <c r="J780" s="295" t="str">
        <f ca="1">IFERROR(_xlfn.XLOOKUP(B780,TabCalc[Ticker],TabCalc[Cur]),"")</f>
        <v/>
      </c>
      <c r="K780" s="1129" cm="1">
        <f t="array" ref="K780">IFERROR(IF($A780=$A779,0,SUM(_xlfn._xlws.FILTER($E780:$E790,($A780:$A790=$A780)*($J780:$J790=K$42)))),0)</f>
        <v>0</v>
      </c>
      <c r="L780" s="1129" cm="1">
        <f t="array" ref="L780">IFERROR(IF($A780=$A779,0,SUM(_xlfn._xlws.FILTER($E780:$E790,($A780:$A790=$A780)*($J780:$J790=L$42)))),0)</f>
        <v>0</v>
      </c>
      <c r="M780" s="1129" cm="1">
        <f t="array" ref="M780">IFERROR(IF($A780=$A779,0,SUM(_xlfn._xlws.FILTER($E780:$E790,($A780:$A790=$A780)*($J780:$J790=M$42)))),0)</f>
        <v>0</v>
      </c>
      <c r="N780" s="1129" cm="1">
        <f t="array" ref="N780">IFERROR(IF($A780=$A779,0,SUM(_xlfn._xlws.FILTER($E780:$E790,($A780:$A790=$A780)*($J780:$J790=N$42)))),0)</f>
        <v>0</v>
      </c>
    </row>
    <row r="781" spans="5:14">
      <c r="E781" s="1128">
        <f ca="1">IFERROR(C781*D781*_xlfn.XLOOKUP(B781,TabCalc[Ticker],TabCalc[Scale]),0)</f>
        <v>0</v>
      </c>
      <c r="F781" s="1129" cm="1">
        <f t="array" ref="F781">IF(A781=A780,0,SUM(_xlfn._xlws.FILTER(E781:E791,A781:A791=A781)))</f>
        <v>0</v>
      </c>
      <c r="G781" s="1130">
        <f>IF(F781&lt;&gt;0,SUM($F$43:F781),0)</f>
        <v>0</v>
      </c>
      <c r="H781" s="1130" cm="1">
        <f t="array" ref="H781">IFERROR(IF(A781=A780,0,SUM(_xlfn._xlws.FILTER(E781:E791,(A781:A791=A781)*(E781:E791&gt;0)))),0)</f>
        <v>0</v>
      </c>
      <c r="I781" s="1130" cm="1">
        <f t="array" ref="I781">IFERROR(IF(A781=A780,0,SUM(_xlfn._xlws.FILTER(E781:E791,(A781:A791=A781)*(F781&lt;0)))),0)</f>
        <v>0</v>
      </c>
      <c r="J781" s="295" t="str">
        <f ca="1">IFERROR(_xlfn.XLOOKUP(B781,TabCalc[Ticker],TabCalc[Cur]),"")</f>
        <v/>
      </c>
      <c r="K781" s="1129" cm="1">
        <f t="array" ref="K781">IFERROR(IF($A781=$A780,0,SUM(_xlfn._xlws.FILTER($E781:$E791,($A781:$A791=$A781)*($J781:$J791=K$42)))),0)</f>
        <v>0</v>
      </c>
      <c r="L781" s="1129" cm="1">
        <f t="array" ref="L781">IFERROR(IF($A781=$A780,0,SUM(_xlfn._xlws.FILTER($E781:$E791,($A781:$A791=$A781)*($J781:$J791=L$42)))),0)</f>
        <v>0</v>
      </c>
      <c r="M781" s="1129" cm="1">
        <f t="array" ref="M781">IFERROR(IF($A781=$A780,0,SUM(_xlfn._xlws.FILTER($E781:$E791,($A781:$A791=$A781)*($J781:$J791=M$42)))),0)</f>
        <v>0</v>
      </c>
      <c r="N781" s="1129" cm="1">
        <f t="array" ref="N781">IFERROR(IF($A781=$A780,0,SUM(_xlfn._xlws.FILTER($E781:$E791,($A781:$A791=$A781)*($J781:$J791=N$42)))),0)</f>
        <v>0</v>
      </c>
    </row>
    <row r="782" spans="5:14">
      <c r="E782" s="1128">
        <f ca="1">IFERROR(C782*D782*_xlfn.XLOOKUP(B782,TabCalc[Ticker],TabCalc[Scale]),0)</f>
        <v>0</v>
      </c>
      <c r="F782" s="1129" cm="1">
        <f t="array" ref="F782">IF(A782=A781,0,SUM(_xlfn._xlws.FILTER(E782:E792,A782:A792=A782)))</f>
        <v>0</v>
      </c>
      <c r="G782" s="1130">
        <f>IF(F782&lt;&gt;0,SUM($F$43:F782),0)</f>
        <v>0</v>
      </c>
      <c r="H782" s="1130" cm="1">
        <f t="array" ref="H782">IFERROR(IF(A782=A781,0,SUM(_xlfn._xlws.FILTER(E782:E792,(A782:A792=A782)*(E782:E792&gt;0)))),0)</f>
        <v>0</v>
      </c>
      <c r="I782" s="1130" cm="1">
        <f t="array" ref="I782">IFERROR(IF(A782=A781,0,SUM(_xlfn._xlws.FILTER(E782:E792,(A782:A792=A782)*(F782&lt;0)))),0)</f>
        <v>0</v>
      </c>
      <c r="J782" s="295" t="str">
        <f ca="1">IFERROR(_xlfn.XLOOKUP(B782,TabCalc[Ticker],TabCalc[Cur]),"")</f>
        <v/>
      </c>
      <c r="K782" s="1129" cm="1">
        <f t="array" ref="K782">IFERROR(IF($A782=$A781,0,SUM(_xlfn._xlws.FILTER($E782:$E792,($A782:$A792=$A782)*($J782:$J792=K$42)))),0)</f>
        <v>0</v>
      </c>
      <c r="L782" s="1129" cm="1">
        <f t="array" ref="L782">IFERROR(IF($A782=$A781,0,SUM(_xlfn._xlws.FILTER($E782:$E792,($A782:$A792=$A782)*($J782:$J792=L$42)))),0)</f>
        <v>0</v>
      </c>
      <c r="M782" s="1129" cm="1">
        <f t="array" ref="M782">IFERROR(IF($A782=$A781,0,SUM(_xlfn._xlws.FILTER($E782:$E792,($A782:$A792=$A782)*($J782:$J792=M$42)))),0)</f>
        <v>0</v>
      </c>
      <c r="N782" s="1129" cm="1">
        <f t="array" ref="N782">IFERROR(IF($A782=$A781,0,SUM(_xlfn._xlws.FILTER($E782:$E792,($A782:$A792=$A782)*($J782:$J792=N$42)))),0)</f>
        <v>0</v>
      </c>
    </row>
    <row r="783" spans="5:14">
      <c r="E783" s="1128">
        <f ca="1">IFERROR(C783*D783*_xlfn.XLOOKUP(B783,TabCalc[Ticker],TabCalc[Scale]),0)</f>
        <v>0</v>
      </c>
      <c r="F783" s="1129" cm="1">
        <f t="array" ref="F783">IF(A783=A782,0,SUM(_xlfn._xlws.FILTER(E783:E793,A783:A793=A783)))</f>
        <v>0</v>
      </c>
      <c r="G783" s="1130">
        <f>IF(F783&lt;&gt;0,SUM($F$43:F783),0)</f>
        <v>0</v>
      </c>
      <c r="H783" s="1130" cm="1">
        <f t="array" ref="H783">IFERROR(IF(A783=A782,0,SUM(_xlfn._xlws.FILTER(E783:E793,(A783:A793=A783)*(E783:E793&gt;0)))),0)</f>
        <v>0</v>
      </c>
      <c r="I783" s="1130" cm="1">
        <f t="array" ref="I783">IFERROR(IF(A783=A782,0,SUM(_xlfn._xlws.FILTER(E783:E793,(A783:A793=A783)*(F783&lt;0)))),0)</f>
        <v>0</v>
      </c>
      <c r="J783" s="295" t="str">
        <f ca="1">IFERROR(_xlfn.XLOOKUP(B783,TabCalc[Ticker],TabCalc[Cur]),"")</f>
        <v/>
      </c>
      <c r="K783" s="1129" cm="1">
        <f t="array" ref="K783">IFERROR(IF($A783=$A782,0,SUM(_xlfn._xlws.FILTER($E783:$E793,($A783:$A793=$A783)*($J783:$J793=K$42)))),0)</f>
        <v>0</v>
      </c>
      <c r="L783" s="1129" cm="1">
        <f t="array" ref="L783">IFERROR(IF($A783=$A782,0,SUM(_xlfn._xlws.FILTER($E783:$E793,($A783:$A793=$A783)*($J783:$J793=L$42)))),0)</f>
        <v>0</v>
      </c>
      <c r="M783" s="1129" cm="1">
        <f t="array" ref="M783">IFERROR(IF($A783=$A782,0,SUM(_xlfn._xlws.FILTER($E783:$E793,($A783:$A793=$A783)*($J783:$J793=M$42)))),0)</f>
        <v>0</v>
      </c>
      <c r="N783" s="1129" cm="1">
        <f t="array" ref="N783">IFERROR(IF($A783=$A782,0,SUM(_xlfn._xlws.FILTER($E783:$E793,($A783:$A793=$A783)*($J783:$J793=N$42)))),0)</f>
        <v>0</v>
      </c>
    </row>
    <row r="784" spans="5:14">
      <c r="E784" s="1128">
        <f ca="1">IFERROR(C784*D784*_xlfn.XLOOKUP(B784,TabCalc[Ticker],TabCalc[Scale]),0)</f>
        <v>0</v>
      </c>
      <c r="F784" s="1129" cm="1">
        <f t="array" ref="F784">IF(A784=A783,0,SUM(_xlfn._xlws.FILTER(E784:E794,A784:A794=A784)))</f>
        <v>0</v>
      </c>
      <c r="G784" s="1130">
        <f>IF(F784&lt;&gt;0,SUM($F$43:F784),0)</f>
        <v>0</v>
      </c>
      <c r="H784" s="1130" cm="1">
        <f t="array" ref="H784">IFERROR(IF(A784=A783,0,SUM(_xlfn._xlws.FILTER(E784:E794,(A784:A794=A784)*(E784:E794&gt;0)))),0)</f>
        <v>0</v>
      </c>
      <c r="I784" s="1130" cm="1">
        <f t="array" ref="I784">IFERROR(IF(A784=A783,0,SUM(_xlfn._xlws.FILTER(E784:E794,(A784:A794=A784)*(F784&lt;0)))),0)</f>
        <v>0</v>
      </c>
      <c r="J784" s="295" t="str">
        <f ca="1">IFERROR(_xlfn.XLOOKUP(B784,TabCalc[Ticker],TabCalc[Cur]),"")</f>
        <v/>
      </c>
      <c r="K784" s="1129" cm="1">
        <f t="array" ref="K784">IFERROR(IF($A784=$A783,0,SUM(_xlfn._xlws.FILTER($E784:$E794,($A784:$A794=$A784)*($J784:$J794=K$42)))),0)</f>
        <v>0</v>
      </c>
      <c r="L784" s="1129" cm="1">
        <f t="array" ref="L784">IFERROR(IF($A784=$A783,0,SUM(_xlfn._xlws.FILTER($E784:$E794,($A784:$A794=$A784)*($J784:$J794=L$42)))),0)</f>
        <v>0</v>
      </c>
      <c r="M784" s="1129" cm="1">
        <f t="array" ref="M784">IFERROR(IF($A784=$A783,0,SUM(_xlfn._xlws.FILTER($E784:$E794,($A784:$A794=$A784)*($J784:$J794=M$42)))),0)</f>
        <v>0</v>
      </c>
      <c r="N784" s="1129" cm="1">
        <f t="array" ref="N784">IFERROR(IF($A784=$A783,0,SUM(_xlfn._xlws.FILTER($E784:$E794,($A784:$A794=$A784)*($J784:$J794=N$42)))),0)</f>
        <v>0</v>
      </c>
    </row>
    <row r="785" spans="5:14">
      <c r="E785" s="1128">
        <f ca="1">IFERROR(C785*D785*_xlfn.XLOOKUP(B785,TabCalc[Ticker],TabCalc[Scale]),0)</f>
        <v>0</v>
      </c>
      <c r="F785" s="1129" cm="1">
        <f t="array" ref="F785">IF(A785=A784,0,SUM(_xlfn._xlws.FILTER(E785:E795,A785:A795=A785)))</f>
        <v>0</v>
      </c>
      <c r="G785" s="1130">
        <f>IF(F785&lt;&gt;0,SUM($F$43:F785),0)</f>
        <v>0</v>
      </c>
      <c r="H785" s="1130" cm="1">
        <f t="array" ref="H785">IFERROR(IF(A785=A784,0,SUM(_xlfn._xlws.FILTER(E785:E795,(A785:A795=A785)*(E785:E795&gt;0)))),0)</f>
        <v>0</v>
      </c>
      <c r="I785" s="1130" cm="1">
        <f t="array" ref="I785">IFERROR(IF(A785=A784,0,SUM(_xlfn._xlws.FILTER(E785:E795,(A785:A795=A785)*(F785&lt;0)))),0)</f>
        <v>0</v>
      </c>
      <c r="J785" s="295" t="str">
        <f ca="1">IFERROR(_xlfn.XLOOKUP(B785,TabCalc[Ticker],TabCalc[Cur]),"")</f>
        <v/>
      </c>
      <c r="K785" s="1129" cm="1">
        <f t="array" ref="K785">IFERROR(IF($A785=$A784,0,SUM(_xlfn._xlws.FILTER($E785:$E795,($A785:$A795=$A785)*($J785:$J795=K$42)))),0)</f>
        <v>0</v>
      </c>
      <c r="L785" s="1129" cm="1">
        <f t="array" ref="L785">IFERROR(IF($A785=$A784,0,SUM(_xlfn._xlws.FILTER($E785:$E795,($A785:$A795=$A785)*($J785:$J795=L$42)))),0)</f>
        <v>0</v>
      </c>
      <c r="M785" s="1129" cm="1">
        <f t="array" ref="M785">IFERROR(IF($A785=$A784,0,SUM(_xlfn._xlws.FILTER($E785:$E795,($A785:$A795=$A785)*($J785:$J795=M$42)))),0)</f>
        <v>0</v>
      </c>
      <c r="N785" s="1129" cm="1">
        <f t="array" ref="N785">IFERROR(IF($A785=$A784,0,SUM(_xlfn._xlws.FILTER($E785:$E795,($A785:$A795=$A785)*($J785:$J795=N$42)))),0)</f>
        <v>0</v>
      </c>
    </row>
    <row r="786" spans="5:14">
      <c r="E786" s="1128">
        <f ca="1">IFERROR(C786*D786*_xlfn.XLOOKUP(B786,TabCalc[Ticker],TabCalc[Scale]),0)</f>
        <v>0</v>
      </c>
      <c r="F786" s="1129" cm="1">
        <f t="array" ref="F786">IF(A786=A785,0,SUM(_xlfn._xlws.FILTER(E786:E796,A786:A796=A786)))</f>
        <v>0</v>
      </c>
      <c r="G786" s="1130">
        <f>IF(F786&lt;&gt;0,SUM($F$43:F786),0)</f>
        <v>0</v>
      </c>
      <c r="H786" s="1130" cm="1">
        <f t="array" ref="H786">IFERROR(IF(A786=A785,0,SUM(_xlfn._xlws.FILTER(E786:E796,(A786:A796=A786)*(E786:E796&gt;0)))),0)</f>
        <v>0</v>
      </c>
      <c r="I786" s="1130" cm="1">
        <f t="array" ref="I786">IFERROR(IF(A786=A785,0,SUM(_xlfn._xlws.FILTER(E786:E796,(A786:A796=A786)*(F786&lt;0)))),0)</f>
        <v>0</v>
      </c>
      <c r="J786" s="295" t="str">
        <f ca="1">IFERROR(_xlfn.XLOOKUP(B786,TabCalc[Ticker],TabCalc[Cur]),"")</f>
        <v/>
      </c>
      <c r="K786" s="1129" cm="1">
        <f t="array" ref="K786">IFERROR(IF($A786=$A785,0,SUM(_xlfn._xlws.FILTER($E786:$E796,($A786:$A796=$A786)*($J786:$J796=K$42)))),0)</f>
        <v>0</v>
      </c>
      <c r="L786" s="1129" cm="1">
        <f t="array" ref="L786">IFERROR(IF($A786=$A785,0,SUM(_xlfn._xlws.FILTER($E786:$E796,($A786:$A796=$A786)*($J786:$J796=L$42)))),0)</f>
        <v>0</v>
      </c>
      <c r="M786" s="1129" cm="1">
        <f t="array" ref="M786">IFERROR(IF($A786=$A785,0,SUM(_xlfn._xlws.FILTER($E786:$E796,($A786:$A796=$A786)*($J786:$J796=M$42)))),0)</f>
        <v>0</v>
      </c>
      <c r="N786" s="1129" cm="1">
        <f t="array" ref="N786">IFERROR(IF($A786=$A785,0,SUM(_xlfn._xlws.FILTER($E786:$E796,($A786:$A796=$A786)*($J786:$J796=N$42)))),0)</f>
        <v>0</v>
      </c>
    </row>
    <row r="787" spans="5:14">
      <c r="E787" s="1128">
        <f ca="1">IFERROR(C787*D787*_xlfn.XLOOKUP(B787,TabCalc[Ticker],TabCalc[Scale]),0)</f>
        <v>0</v>
      </c>
      <c r="F787" s="1129" cm="1">
        <f t="array" ref="F787">IF(A787=A786,0,SUM(_xlfn._xlws.FILTER(E787:E797,A787:A797=A787)))</f>
        <v>0</v>
      </c>
      <c r="G787" s="1130">
        <f>IF(F787&lt;&gt;0,SUM($F$43:F787),0)</f>
        <v>0</v>
      </c>
      <c r="H787" s="1130" cm="1">
        <f t="array" ref="H787">IFERROR(IF(A787=A786,0,SUM(_xlfn._xlws.FILTER(E787:E797,(A787:A797=A787)*(E787:E797&gt;0)))),0)</f>
        <v>0</v>
      </c>
      <c r="I787" s="1130" cm="1">
        <f t="array" ref="I787">IFERROR(IF(A787=A786,0,SUM(_xlfn._xlws.FILTER(E787:E797,(A787:A797=A787)*(F787&lt;0)))),0)</f>
        <v>0</v>
      </c>
      <c r="J787" s="295" t="str">
        <f ca="1">IFERROR(_xlfn.XLOOKUP(B787,TabCalc[Ticker],TabCalc[Cur]),"")</f>
        <v/>
      </c>
      <c r="K787" s="1129" cm="1">
        <f t="array" ref="K787">IFERROR(IF($A787=$A786,0,SUM(_xlfn._xlws.FILTER($E787:$E797,($A787:$A797=$A787)*($J787:$J797=K$42)))),0)</f>
        <v>0</v>
      </c>
      <c r="L787" s="1129" cm="1">
        <f t="array" ref="L787">IFERROR(IF($A787=$A786,0,SUM(_xlfn._xlws.FILTER($E787:$E797,($A787:$A797=$A787)*($J787:$J797=L$42)))),0)</f>
        <v>0</v>
      </c>
      <c r="M787" s="1129" cm="1">
        <f t="array" ref="M787">IFERROR(IF($A787=$A786,0,SUM(_xlfn._xlws.FILTER($E787:$E797,($A787:$A797=$A787)*($J787:$J797=M$42)))),0)</f>
        <v>0</v>
      </c>
      <c r="N787" s="1129" cm="1">
        <f t="array" ref="N787">IFERROR(IF($A787=$A786,0,SUM(_xlfn._xlws.FILTER($E787:$E797,($A787:$A797=$A787)*($J787:$J797=N$42)))),0)</f>
        <v>0</v>
      </c>
    </row>
    <row r="788" spans="5:14">
      <c r="E788" s="1128">
        <f ca="1">IFERROR(C788*D788*_xlfn.XLOOKUP(B788,TabCalc[Ticker],TabCalc[Scale]),0)</f>
        <v>0</v>
      </c>
      <c r="F788" s="1129" cm="1">
        <f t="array" ref="F788">IF(A788=A787,0,SUM(_xlfn._xlws.FILTER(E788:E798,A788:A798=A788)))</f>
        <v>0</v>
      </c>
      <c r="G788" s="1130">
        <f>IF(F788&lt;&gt;0,SUM($F$43:F788),0)</f>
        <v>0</v>
      </c>
      <c r="H788" s="1130" cm="1">
        <f t="array" ref="H788">IFERROR(IF(A788=A787,0,SUM(_xlfn._xlws.FILTER(E788:E798,(A788:A798=A788)*(E788:E798&gt;0)))),0)</f>
        <v>0</v>
      </c>
      <c r="I788" s="1130" cm="1">
        <f t="array" ref="I788">IFERROR(IF(A788=A787,0,SUM(_xlfn._xlws.FILTER(E788:E798,(A788:A798=A788)*(F788&lt;0)))),0)</f>
        <v>0</v>
      </c>
      <c r="J788" s="295" t="str">
        <f ca="1">IFERROR(_xlfn.XLOOKUP(B788,TabCalc[Ticker],TabCalc[Cur]),"")</f>
        <v/>
      </c>
      <c r="K788" s="1129" cm="1">
        <f t="array" ref="K788">IFERROR(IF($A788=$A787,0,SUM(_xlfn._xlws.FILTER($E788:$E798,($A788:$A798=$A788)*($J788:$J798=K$42)))),0)</f>
        <v>0</v>
      </c>
      <c r="L788" s="1129" cm="1">
        <f t="array" ref="L788">IFERROR(IF($A788=$A787,0,SUM(_xlfn._xlws.FILTER($E788:$E798,($A788:$A798=$A788)*($J788:$J798=L$42)))),0)</f>
        <v>0</v>
      </c>
      <c r="M788" s="1129" cm="1">
        <f t="array" ref="M788">IFERROR(IF($A788=$A787,0,SUM(_xlfn._xlws.FILTER($E788:$E798,($A788:$A798=$A788)*($J788:$J798=M$42)))),0)</f>
        <v>0</v>
      </c>
      <c r="N788" s="1129" cm="1">
        <f t="array" ref="N788">IFERROR(IF($A788=$A787,0,SUM(_xlfn._xlws.FILTER($E788:$E798,($A788:$A798=$A788)*($J788:$J798=N$42)))),0)</f>
        <v>0</v>
      </c>
    </row>
    <row r="789" spans="5:14">
      <c r="E789" s="1128">
        <f ca="1">IFERROR(C789*D789*_xlfn.XLOOKUP(B789,TabCalc[Ticker],TabCalc[Scale]),0)</f>
        <v>0</v>
      </c>
      <c r="F789" s="1129" cm="1">
        <f t="array" ref="F789">IF(A789=A788,0,SUM(_xlfn._xlws.FILTER(E789:E799,A789:A799=A789)))</f>
        <v>0</v>
      </c>
      <c r="G789" s="1130">
        <f>IF(F789&lt;&gt;0,SUM($F$43:F789),0)</f>
        <v>0</v>
      </c>
      <c r="H789" s="1130" cm="1">
        <f t="array" ref="H789">IFERROR(IF(A789=A788,0,SUM(_xlfn._xlws.FILTER(E789:E799,(A789:A799=A789)*(E789:E799&gt;0)))),0)</f>
        <v>0</v>
      </c>
      <c r="I789" s="1130" cm="1">
        <f t="array" ref="I789">IFERROR(IF(A789=A788,0,SUM(_xlfn._xlws.FILTER(E789:E799,(A789:A799=A789)*(F789&lt;0)))),0)</f>
        <v>0</v>
      </c>
      <c r="J789" s="295" t="str">
        <f ca="1">IFERROR(_xlfn.XLOOKUP(B789,TabCalc[Ticker],TabCalc[Cur]),"")</f>
        <v/>
      </c>
      <c r="K789" s="1129" cm="1">
        <f t="array" ref="K789">IFERROR(IF($A789=$A788,0,SUM(_xlfn._xlws.FILTER($E789:$E799,($A789:$A799=$A789)*($J789:$J799=K$42)))),0)</f>
        <v>0</v>
      </c>
      <c r="L789" s="1129" cm="1">
        <f t="array" ref="L789">IFERROR(IF($A789=$A788,0,SUM(_xlfn._xlws.FILTER($E789:$E799,($A789:$A799=$A789)*($J789:$J799=L$42)))),0)</f>
        <v>0</v>
      </c>
      <c r="M789" s="1129" cm="1">
        <f t="array" ref="M789">IFERROR(IF($A789=$A788,0,SUM(_xlfn._xlws.FILTER($E789:$E799,($A789:$A799=$A789)*($J789:$J799=M$42)))),0)</f>
        <v>0</v>
      </c>
      <c r="N789" s="1129" cm="1">
        <f t="array" ref="N789">IFERROR(IF($A789=$A788,0,SUM(_xlfn._xlws.FILTER($E789:$E799,($A789:$A799=$A789)*($J789:$J799=N$42)))),0)</f>
        <v>0</v>
      </c>
    </row>
    <row r="790" spans="5:14">
      <c r="E790" s="1128">
        <f ca="1">IFERROR(C790*D790*_xlfn.XLOOKUP(B790,TabCalc[Ticker],TabCalc[Scale]),0)</f>
        <v>0</v>
      </c>
      <c r="F790" s="1129" cm="1">
        <f t="array" ref="F790">IF(A790=A789,0,SUM(_xlfn._xlws.FILTER(E790:E800,A790:A800=A790)))</f>
        <v>0</v>
      </c>
      <c r="G790" s="1130">
        <f>IF(F790&lt;&gt;0,SUM($F$43:F790),0)</f>
        <v>0</v>
      </c>
      <c r="H790" s="1130" cm="1">
        <f t="array" ref="H790">IFERROR(IF(A790=A789,0,SUM(_xlfn._xlws.FILTER(E790:E800,(A790:A800=A790)*(E790:E800&gt;0)))),0)</f>
        <v>0</v>
      </c>
      <c r="I790" s="1130" cm="1">
        <f t="array" ref="I790">IFERROR(IF(A790=A789,0,SUM(_xlfn._xlws.FILTER(E790:E800,(A790:A800=A790)*(F790&lt;0)))),0)</f>
        <v>0</v>
      </c>
      <c r="J790" s="295" t="str">
        <f ca="1">IFERROR(_xlfn.XLOOKUP(B790,TabCalc[Ticker],TabCalc[Cur]),"")</f>
        <v/>
      </c>
      <c r="K790" s="1129" cm="1">
        <f t="array" ref="K790">IFERROR(IF($A790=$A789,0,SUM(_xlfn._xlws.FILTER($E790:$E800,($A790:$A800=$A790)*($J790:$J800=K$42)))),0)</f>
        <v>0</v>
      </c>
      <c r="L790" s="1129" cm="1">
        <f t="array" ref="L790">IFERROR(IF($A790=$A789,0,SUM(_xlfn._xlws.FILTER($E790:$E800,($A790:$A800=$A790)*($J790:$J800=L$42)))),0)</f>
        <v>0</v>
      </c>
      <c r="M790" s="1129" cm="1">
        <f t="array" ref="M790">IFERROR(IF($A790=$A789,0,SUM(_xlfn._xlws.FILTER($E790:$E800,($A790:$A800=$A790)*($J790:$J800=M$42)))),0)</f>
        <v>0</v>
      </c>
      <c r="N790" s="1129" cm="1">
        <f t="array" ref="N790">IFERROR(IF($A790=$A789,0,SUM(_xlfn._xlws.FILTER($E790:$E800,($A790:$A800=$A790)*($J790:$J800=N$42)))),0)</f>
        <v>0</v>
      </c>
    </row>
    <row r="791" spans="5:14">
      <c r="E791" s="1128">
        <f ca="1">IFERROR(C791*D791*_xlfn.XLOOKUP(B791,TabCalc[Ticker],TabCalc[Scale]),0)</f>
        <v>0</v>
      </c>
      <c r="F791" s="1129" cm="1">
        <f t="array" ref="F791">IF(A791=A790,0,SUM(_xlfn._xlws.FILTER(E791:E801,A791:A801=A791)))</f>
        <v>0</v>
      </c>
      <c r="G791" s="1130">
        <f>IF(F791&lt;&gt;0,SUM($F$43:F791),0)</f>
        <v>0</v>
      </c>
      <c r="H791" s="1130" cm="1">
        <f t="array" ref="H791">IFERROR(IF(A791=A790,0,SUM(_xlfn._xlws.FILTER(E791:E801,(A791:A801=A791)*(E791:E801&gt;0)))),0)</f>
        <v>0</v>
      </c>
      <c r="I791" s="1130" cm="1">
        <f t="array" ref="I791">IFERROR(IF(A791=A790,0,SUM(_xlfn._xlws.FILTER(E791:E801,(A791:A801=A791)*(F791&lt;0)))),0)</f>
        <v>0</v>
      </c>
      <c r="J791" s="295" t="str">
        <f ca="1">IFERROR(_xlfn.XLOOKUP(B791,TabCalc[Ticker],TabCalc[Cur]),"")</f>
        <v/>
      </c>
      <c r="K791" s="1129" cm="1">
        <f t="array" ref="K791">IFERROR(IF($A791=$A790,0,SUM(_xlfn._xlws.FILTER($E791:$E801,($A791:$A801=$A791)*($J791:$J801=K$42)))),0)</f>
        <v>0</v>
      </c>
      <c r="L791" s="1129" cm="1">
        <f t="array" ref="L791">IFERROR(IF($A791=$A790,0,SUM(_xlfn._xlws.FILTER($E791:$E801,($A791:$A801=$A791)*($J791:$J801=L$42)))),0)</f>
        <v>0</v>
      </c>
      <c r="M791" s="1129" cm="1">
        <f t="array" ref="M791">IFERROR(IF($A791=$A790,0,SUM(_xlfn._xlws.FILTER($E791:$E801,($A791:$A801=$A791)*($J791:$J801=M$42)))),0)</f>
        <v>0</v>
      </c>
      <c r="N791" s="1129" cm="1">
        <f t="array" ref="N791">IFERROR(IF($A791=$A790,0,SUM(_xlfn._xlws.FILTER($E791:$E801,($A791:$A801=$A791)*($J791:$J801=N$42)))),0)</f>
        <v>0</v>
      </c>
    </row>
    <row r="792" spans="5:14">
      <c r="E792" s="1128">
        <f ca="1">IFERROR(C792*D792*_xlfn.XLOOKUP(B792,TabCalc[Ticker],TabCalc[Scale]),0)</f>
        <v>0</v>
      </c>
      <c r="F792" s="1129" cm="1">
        <f t="array" ref="F792">IF(A792=A791,0,SUM(_xlfn._xlws.FILTER(E792:E802,A792:A802=A792)))</f>
        <v>0</v>
      </c>
      <c r="G792" s="1130">
        <f>IF(F792&lt;&gt;0,SUM($F$43:F792),0)</f>
        <v>0</v>
      </c>
      <c r="H792" s="1130" cm="1">
        <f t="array" ref="H792">IFERROR(IF(A792=A791,0,SUM(_xlfn._xlws.FILTER(E792:E802,(A792:A802=A792)*(E792:E802&gt;0)))),0)</f>
        <v>0</v>
      </c>
      <c r="I792" s="1130" cm="1">
        <f t="array" ref="I792">IFERROR(IF(A792=A791,0,SUM(_xlfn._xlws.FILTER(E792:E802,(A792:A802=A792)*(F792&lt;0)))),0)</f>
        <v>0</v>
      </c>
      <c r="J792" s="295" t="str">
        <f ca="1">IFERROR(_xlfn.XLOOKUP(B792,TabCalc[Ticker],TabCalc[Cur]),"")</f>
        <v/>
      </c>
      <c r="K792" s="1129" cm="1">
        <f t="array" ref="K792">IFERROR(IF($A792=$A791,0,SUM(_xlfn._xlws.FILTER($E792:$E802,($A792:$A802=$A792)*($J792:$J802=K$42)))),0)</f>
        <v>0</v>
      </c>
      <c r="L792" s="1129" cm="1">
        <f t="array" ref="L792">IFERROR(IF($A792=$A791,0,SUM(_xlfn._xlws.FILTER($E792:$E802,($A792:$A802=$A792)*($J792:$J802=L$42)))),0)</f>
        <v>0</v>
      </c>
      <c r="M792" s="1129" cm="1">
        <f t="array" ref="M792">IFERROR(IF($A792=$A791,0,SUM(_xlfn._xlws.FILTER($E792:$E802,($A792:$A802=$A792)*($J792:$J802=M$42)))),0)</f>
        <v>0</v>
      </c>
      <c r="N792" s="1129" cm="1">
        <f t="array" ref="N792">IFERROR(IF($A792=$A791,0,SUM(_xlfn._xlws.FILTER($E792:$E802,($A792:$A802=$A792)*($J792:$J802=N$42)))),0)</f>
        <v>0</v>
      </c>
    </row>
    <row r="793" spans="5:14">
      <c r="E793" s="1128">
        <f ca="1">IFERROR(C793*D793*_xlfn.XLOOKUP(B793,TabCalc[Ticker],TabCalc[Scale]),0)</f>
        <v>0</v>
      </c>
      <c r="F793" s="1129" cm="1">
        <f t="array" ref="F793">IF(A793=A792,0,SUM(_xlfn._xlws.FILTER(E793:E803,A793:A803=A793)))</f>
        <v>0</v>
      </c>
      <c r="G793" s="1130">
        <f>IF(F793&lt;&gt;0,SUM($F$43:F793),0)</f>
        <v>0</v>
      </c>
      <c r="H793" s="1130" cm="1">
        <f t="array" ref="H793">IFERROR(IF(A793=A792,0,SUM(_xlfn._xlws.FILTER(E793:E803,(A793:A803=A793)*(E793:E803&gt;0)))),0)</f>
        <v>0</v>
      </c>
      <c r="I793" s="1130" cm="1">
        <f t="array" ref="I793">IFERROR(IF(A793=A792,0,SUM(_xlfn._xlws.FILTER(E793:E803,(A793:A803=A793)*(F793&lt;0)))),0)</f>
        <v>0</v>
      </c>
      <c r="J793" s="295" t="str">
        <f ca="1">IFERROR(_xlfn.XLOOKUP(B793,TabCalc[Ticker],TabCalc[Cur]),"")</f>
        <v/>
      </c>
      <c r="K793" s="1129" cm="1">
        <f t="array" ref="K793">IFERROR(IF($A793=$A792,0,SUM(_xlfn._xlws.FILTER($E793:$E803,($A793:$A803=$A793)*($J793:$J803=K$42)))),0)</f>
        <v>0</v>
      </c>
      <c r="L793" s="1129" cm="1">
        <f t="array" ref="L793">IFERROR(IF($A793=$A792,0,SUM(_xlfn._xlws.FILTER($E793:$E803,($A793:$A803=$A793)*($J793:$J803=L$42)))),0)</f>
        <v>0</v>
      </c>
      <c r="M793" s="1129" cm="1">
        <f t="array" ref="M793">IFERROR(IF($A793=$A792,0,SUM(_xlfn._xlws.FILTER($E793:$E803,($A793:$A803=$A793)*($J793:$J803=M$42)))),0)</f>
        <v>0</v>
      </c>
      <c r="N793" s="1129" cm="1">
        <f t="array" ref="N793">IFERROR(IF($A793=$A792,0,SUM(_xlfn._xlws.FILTER($E793:$E803,($A793:$A803=$A793)*($J793:$J803=N$42)))),0)</f>
        <v>0</v>
      </c>
    </row>
    <row r="794" spans="5:14">
      <c r="E794" s="1128">
        <f ca="1">IFERROR(C794*D794*_xlfn.XLOOKUP(B794,TabCalc[Ticker],TabCalc[Scale]),0)</f>
        <v>0</v>
      </c>
      <c r="F794" s="1129" cm="1">
        <f t="array" ref="F794">IF(A794=A793,0,SUM(_xlfn._xlws.FILTER(E794:E804,A794:A804=A794)))</f>
        <v>0</v>
      </c>
      <c r="G794" s="1130">
        <f>IF(F794&lt;&gt;0,SUM($F$43:F794),0)</f>
        <v>0</v>
      </c>
      <c r="H794" s="1130" cm="1">
        <f t="array" ref="H794">IFERROR(IF(A794=A793,0,SUM(_xlfn._xlws.FILTER(E794:E804,(A794:A804=A794)*(E794:E804&gt;0)))),0)</f>
        <v>0</v>
      </c>
      <c r="I794" s="1130" cm="1">
        <f t="array" ref="I794">IFERROR(IF(A794=A793,0,SUM(_xlfn._xlws.FILTER(E794:E804,(A794:A804=A794)*(F794&lt;0)))),0)</f>
        <v>0</v>
      </c>
      <c r="J794" s="295" t="str">
        <f ca="1">IFERROR(_xlfn.XLOOKUP(B794,TabCalc[Ticker],TabCalc[Cur]),"")</f>
        <v/>
      </c>
      <c r="K794" s="1129" cm="1">
        <f t="array" ref="K794">IFERROR(IF($A794=$A793,0,SUM(_xlfn._xlws.FILTER($E794:$E804,($A794:$A804=$A794)*($J794:$J804=K$42)))),0)</f>
        <v>0</v>
      </c>
      <c r="L794" s="1129" cm="1">
        <f t="array" ref="L794">IFERROR(IF($A794=$A793,0,SUM(_xlfn._xlws.FILTER($E794:$E804,($A794:$A804=$A794)*($J794:$J804=L$42)))),0)</f>
        <v>0</v>
      </c>
      <c r="M794" s="1129" cm="1">
        <f t="array" ref="M794">IFERROR(IF($A794=$A793,0,SUM(_xlfn._xlws.FILTER($E794:$E804,($A794:$A804=$A794)*($J794:$J804=M$42)))),0)</f>
        <v>0</v>
      </c>
      <c r="N794" s="1129" cm="1">
        <f t="array" ref="N794">IFERROR(IF($A794=$A793,0,SUM(_xlfn._xlws.FILTER($E794:$E804,($A794:$A804=$A794)*($J794:$J804=N$42)))),0)</f>
        <v>0</v>
      </c>
    </row>
    <row r="795" spans="5:14">
      <c r="E795" s="1128">
        <f ca="1">IFERROR(C795*D795*_xlfn.XLOOKUP(B795,TabCalc[Ticker],TabCalc[Scale]),0)</f>
        <v>0</v>
      </c>
      <c r="F795" s="1129" cm="1">
        <f t="array" ref="F795">IF(A795=A794,0,SUM(_xlfn._xlws.FILTER(E795:E805,A795:A805=A795)))</f>
        <v>0</v>
      </c>
      <c r="G795" s="1130">
        <f>IF(F795&lt;&gt;0,SUM($F$43:F795),0)</f>
        <v>0</v>
      </c>
      <c r="H795" s="1130" cm="1">
        <f t="array" ref="H795">IFERROR(IF(A795=A794,0,SUM(_xlfn._xlws.FILTER(E795:E805,(A795:A805=A795)*(E795:E805&gt;0)))),0)</f>
        <v>0</v>
      </c>
      <c r="I795" s="1130" cm="1">
        <f t="array" ref="I795">IFERROR(IF(A795=A794,0,SUM(_xlfn._xlws.FILTER(E795:E805,(A795:A805=A795)*(F795&lt;0)))),0)</f>
        <v>0</v>
      </c>
      <c r="J795" s="295" t="str">
        <f ca="1">IFERROR(_xlfn.XLOOKUP(B795,TabCalc[Ticker],TabCalc[Cur]),"")</f>
        <v/>
      </c>
      <c r="K795" s="1129" cm="1">
        <f t="array" ref="K795">IFERROR(IF($A795=$A794,0,SUM(_xlfn._xlws.FILTER($E795:$E805,($A795:$A805=$A795)*($J795:$J805=K$42)))),0)</f>
        <v>0</v>
      </c>
      <c r="L795" s="1129" cm="1">
        <f t="array" ref="L795">IFERROR(IF($A795=$A794,0,SUM(_xlfn._xlws.FILTER($E795:$E805,($A795:$A805=$A795)*($J795:$J805=L$42)))),0)</f>
        <v>0</v>
      </c>
      <c r="M795" s="1129" cm="1">
        <f t="array" ref="M795">IFERROR(IF($A795=$A794,0,SUM(_xlfn._xlws.FILTER($E795:$E805,($A795:$A805=$A795)*($J795:$J805=M$42)))),0)</f>
        <v>0</v>
      </c>
      <c r="N795" s="1129" cm="1">
        <f t="array" ref="N795">IFERROR(IF($A795=$A794,0,SUM(_xlfn._xlws.FILTER($E795:$E805,($A795:$A805=$A795)*($J795:$J805=N$42)))),0)</f>
        <v>0</v>
      </c>
    </row>
    <row r="796" spans="5:14">
      <c r="E796" s="1128">
        <f ca="1">IFERROR(C796*D796*_xlfn.XLOOKUP(B796,TabCalc[Ticker],TabCalc[Scale]),0)</f>
        <v>0</v>
      </c>
      <c r="F796" s="1129" cm="1">
        <f t="array" ref="F796">IF(A796=A795,0,SUM(_xlfn._xlws.FILTER(E796:E806,A796:A806=A796)))</f>
        <v>0</v>
      </c>
      <c r="G796" s="1130">
        <f>IF(F796&lt;&gt;0,SUM($F$43:F796),0)</f>
        <v>0</v>
      </c>
      <c r="H796" s="1130" cm="1">
        <f t="array" ref="H796">IFERROR(IF(A796=A795,0,SUM(_xlfn._xlws.FILTER(E796:E806,(A796:A806=A796)*(E796:E806&gt;0)))),0)</f>
        <v>0</v>
      </c>
      <c r="I796" s="1130" cm="1">
        <f t="array" ref="I796">IFERROR(IF(A796=A795,0,SUM(_xlfn._xlws.FILTER(E796:E806,(A796:A806=A796)*(F796&lt;0)))),0)</f>
        <v>0</v>
      </c>
      <c r="J796" s="295" t="str">
        <f ca="1">IFERROR(_xlfn.XLOOKUP(B796,TabCalc[Ticker],TabCalc[Cur]),"")</f>
        <v/>
      </c>
      <c r="K796" s="1129" cm="1">
        <f t="array" ref="K796">IFERROR(IF($A796=$A795,0,SUM(_xlfn._xlws.FILTER($E796:$E806,($A796:$A806=$A796)*($J796:$J806=K$42)))),0)</f>
        <v>0</v>
      </c>
      <c r="L796" s="1129" cm="1">
        <f t="array" ref="L796">IFERROR(IF($A796=$A795,0,SUM(_xlfn._xlws.FILTER($E796:$E806,($A796:$A806=$A796)*($J796:$J806=L$42)))),0)</f>
        <v>0</v>
      </c>
      <c r="M796" s="1129" cm="1">
        <f t="array" ref="M796">IFERROR(IF($A796=$A795,0,SUM(_xlfn._xlws.FILTER($E796:$E806,($A796:$A806=$A796)*($J796:$J806=M$42)))),0)</f>
        <v>0</v>
      </c>
      <c r="N796" s="1129" cm="1">
        <f t="array" ref="N796">IFERROR(IF($A796=$A795,0,SUM(_xlfn._xlws.FILTER($E796:$E806,($A796:$A806=$A796)*($J796:$J806=N$42)))),0)</f>
        <v>0</v>
      </c>
    </row>
    <row r="797" spans="5:14">
      <c r="E797" s="1128">
        <f ca="1">IFERROR(C797*D797*_xlfn.XLOOKUP(B797,TabCalc[Ticker],TabCalc[Scale]),0)</f>
        <v>0</v>
      </c>
      <c r="F797" s="1129" cm="1">
        <f t="array" ref="F797">IF(A797=A796,0,SUM(_xlfn._xlws.FILTER(E797:E807,A797:A807=A797)))</f>
        <v>0</v>
      </c>
      <c r="G797" s="1130">
        <f>IF(F797&lt;&gt;0,SUM($F$43:F797),0)</f>
        <v>0</v>
      </c>
      <c r="H797" s="1130" cm="1">
        <f t="array" ref="H797">IFERROR(IF(A797=A796,0,SUM(_xlfn._xlws.FILTER(E797:E807,(A797:A807=A797)*(E797:E807&gt;0)))),0)</f>
        <v>0</v>
      </c>
      <c r="I797" s="1130" cm="1">
        <f t="array" ref="I797">IFERROR(IF(A797=A796,0,SUM(_xlfn._xlws.FILTER(E797:E807,(A797:A807=A797)*(F797&lt;0)))),0)</f>
        <v>0</v>
      </c>
      <c r="J797" s="295" t="str">
        <f ca="1">IFERROR(_xlfn.XLOOKUP(B797,TabCalc[Ticker],TabCalc[Cur]),"")</f>
        <v/>
      </c>
      <c r="K797" s="1129" cm="1">
        <f t="array" ref="K797">IFERROR(IF($A797=$A796,0,SUM(_xlfn._xlws.FILTER($E797:$E807,($A797:$A807=$A797)*($J797:$J807=K$42)))),0)</f>
        <v>0</v>
      </c>
      <c r="L797" s="1129" cm="1">
        <f t="array" ref="L797">IFERROR(IF($A797=$A796,0,SUM(_xlfn._xlws.FILTER($E797:$E807,($A797:$A807=$A797)*($J797:$J807=L$42)))),0)</f>
        <v>0</v>
      </c>
      <c r="M797" s="1129" cm="1">
        <f t="array" ref="M797">IFERROR(IF($A797=$A796,0,SUM(_xlfn._xlws.FILTER($E797:$E807,($A797:$A807=$A797)*($J797:$J807=M$42)))),0)</f>
        <v>0</v>
      </c>
      <c r="N797" s="1129" cm="1">
        <f t="array" ref="N797">IFERROR(IF($A797=$A796,0,SUM(_xlfn._xlws.FILTER($E797:$E807,($A797:$A807=$A797)*($J797:$J807=N$42)))),0)</f>
        <v>0</v>
      </c>
    </row>
    <row r="798" spans="5:14">
      <c r="E798" s="1128">
        <f ca="1">IFERROR(C798*D798*_xlfn.XLOOKUP(B798,TabCalc[Ticker],TabCalc[Scale]),0)</f>
        <v>0</v>
      </c>
      <c r="F798" s="1129" cm="1">
        <f t="array" ref="F798">IF(A798=A797,0,SUM(_xlfn._xlws.FILTER(E798:E808,A798:A808=A798)))</f>
        <v>0</v>
      </c>
      <c r="G798" s="1130">
        <f>IF(F798&lt;&gt;0,SUM($F$43:F798),0)</f>
        <v>0</v>
      </c>
      <c r="H798" s="1130" cm="1">
        <f t="array" ref="H798">IFERROR(IF(A798=A797,0,SUM(_xlfn._xlws.FILTER(E798:E808,(A798:A808=A798)*(E798:E808&gt;0)))),0)</f>
        <v>0</v>
      </c>
      <c r="I798" s="1130" cm="1">
        <f t="array" ref="I798">IFERROR(IF(A798=A797,0,SUM(_xlfn._xlws.FILTER(E798:E808,(A798:A808=A798)*(F798&lt;0)))),0)</f>
        <v>0</v>
      </c>
      <c r="J798" s="295" t="str">
        <f ca="1">IFERROR(_xlfn.XLOOKUP(B798,TabCalc[Ticker],TabCalc[Cur]),"")</f>
        <v/>
      </c>
      <c r="K798" s="1129" cm="1">
        <f t="array" ref="K798">IFERROR(IF($A798=$A797,0,SUM(_xlfn._xlws.FILTER($E798:$E808,($A798:$A808=$A798)*($J798:$J808=K$42)))),0)</f>
        <v>0</v>
      </c>
      <c r="L798" s="1129" cm="1">
        <f t="array" ref="L798">IFERROR(IF($A798=$A797,0,SUM(_xlfn._xlws.FILTER($E798:$E808,($A798:$A808=$A798)*($J798:$J808=L$42)))),0)</f>
        <v>0</v>
      </c>
      <c r="M798" s="1129" cm="1">
        <f t="array" ref="M798">IFERROR(IF($A798=$A797,0,SUM(_xlfn._xlws.FILTER($E798:$E808,($A798:$A808=$A798)*($J798:$J808=M$42)))),0)</f>
        <v>0</v>
      </c>
      <c r="N798" s="1129" cm="1">
        <f t="array" ref="N798">IFERROR(IF($A798=$A797,0,SUM(_xlfn._xlws.FILTER($E798:$E808,($A798:$A808=$A798)*($J798:$J808=N$42)))),0)</f>
        <v>0</v>
      </c>
    </row>
    <row r="799" spans="5:14">
      <c r="E799" s="1128">
        <f ca="1">IFERROR(C799*D799*_xlfn.XLOOKUP(B799,TabCalc[Ticker],TabCalc[Scale]),0)</f>
        <v>0</v>
      </c>
      <c r="F799" s="1129" cm="1">
        <f t="array" ref="F799">IF(A799=A798,0,SUM(_xlfn._xlws.FILTER(E799:E809,A799:A809=A799)))</f>
        <v>0</v>
      </c>
      <c r="G799" s="1130">
        <f>IF(F799&lt;&gt;0,SUM($F$43:F799),0)</f>
        <v>0</v>
      </c>
      <c r="H799" s="1130" cm="1">
        <f t="array" ref="H799">IFERROR(IF(A799=A798,0,SUM(_xlfn._xlws.FILTER(E799:E809,(A799:A809=A799)*(E799:E809&gt;0)))),0)</f>
        <v>0</v>
      </c>
      <c r="I799" s="1130" cm="1">
        <f t="array" ref="I799">IFERROR(IF(A799=A798,0,SUM(_xlfn._xlws.FILTER(E799:E809,(A799:A809=A799)*(F799&lt;0)))),0)</f>
        <v>0</v>
      </c>
      <c r="J799" s="295" t="str">
        <f ca="1">IFERROR(_xlfn.XLOOKUP(B799,TabCalc[Ticker],TabCalc[Cur]),"")</f>
        <v/>
      </c>
      <c r="K799" s="1129" cm="1">
        <f t="array" ref="K799">IFERROR(IF($A799=$A798,0,SUM(_xlfn._xlws.FILTER($E799:$E809,($A799:$A809=$A799)*($J799:$J809=K$42)))),0)</f>
        <v>0</v>
      </c>
      <c r="L799" s="1129" cm="1">
        <f t="array" ref="L799">IFERROR(IF($A799=$A798,0,SUM(_xlfn._xlws.FILTER($E799:$E809,($A799:$A809=$A799)*($J799:$J809=L$42)))),0)</f>
        <v>0</v>
      </c>
      <c r="M799" s="1129" cm="1">
        <f t="array" ref="M799">IFERROR(IF($A799=$A798,0,SUM(_xlfn._xlws.FILTER($E799:$E809,($A799:$A809=$A799)*($J799:$J809=M$42)))),0)</f>
        <v>0</v>
      </c>
      <c r="N799" s="1129" cm="1">
        <f t="array" ref="N799">IFERROR(IF($A799=$A798,0,SUM(_xlfn._xlws.FILTER($E799:$E809,($A799:$A809=$A799)*($J799:$J809=N$42)))),0)</f>
        <v>0</v>
      </c>
    </row>
    <row r="800" spans="5:14">
      <c r="E800" s="1128">
        <f ca="1">IFERROR(C800*D800*_xlfn.XLOOKUP(B800,TabCalc[Ticker],TabCalc[Scale]),0)</f>
        <v>0</v>
      </c>
      <c r="F800" s="1129" cm="1">
        <f t="array" ref="F800">IF(A800=A799,0,SUM(_xlfn._xlws.FILTER(E800:E810,A800:A810=A800)))</f>
        <v>0</v>
      </c>
      <c r="G800" s="1130">
        <f>IF(F800&lt;&gt;0,SUM($F$43:F800),0)</f>
        <v>0</v>
      </c>
      <c r="H800" s="1130" cm="1">
        <f t="array" ref="H800">IFERROR(IF(A800=A799,0,SUM(_xlfn._xlws.FILTER(E800:E810,(A800:A810=A800)*(E800:E810&gt;0)))),0)</f>
        <v>0</v>
      </c>
      <c r="I800" s="1130" cm="1">
        <f t="array" ref="I800">IFERROR(IF(A800=A799,0,SUM(_xlfn._xlws.FILTER(E800:E810,(A800:A810=A800)*(F800&lt;0)))),0)</f>
        <v>0</v>
      </c>
      <c r="J800" s="295" t="str">
        <f ca="1">IFERROR(_xlfn.XLOOKUP(B800,TabCalc[Ticker],TabCalc[Cur]),"")</f>
        <v/>
      </c>
      <c r="K800" s="1129" cm="1">
        <f t="array" ref="K800">IFERROR(IF($A800=$A799,0,SUM(_xlfn._xlws.FILTER($E800:$E810,($A800:$A810=$A800)*($J800:$J810=K$42)))),0)</f>
        <v>0</v>
      </c>
      <c r="L800" s="1129" cm="1">
        <f t="array" ref="L800">IFERROR(IF($A800=$A799,0,SUM(_xlfn._xlws.FILTER($E800:$E810,($A800:$A810=$A800)*($J800:$J810=L$42)))),0)</f>
        <v>0</v>
      </c>
      <c r="M800" s="1129" cm="1">
        <f t="array" ref="M800">IFERROR(IF($A800=$A799,0,SUM(_xlfn._xlws.FILTER($E800:$E810,($A800:$A810=$A800)*($J800:$J810=M$42)))),0)</f>
        <v>0</v>
      </c>
      <c r="N800" s="1129" cm="1">
        <f t="array" ref="N800">IFERROR(IF($A800=$A799,0,SUM(_xlfn._xlws.FILTER($E800:$E810,($A800:$A810=$A800)*($J800:$J810=N$42)))),0)</f>
        <v>0</v>
      </c>
    </row>
    <row r="801" spans="5:14">
      <c r="E801" s="1128">
        <f ca="1">IFERROR(C801*D801*_xlfn.XLOOKUP(B801,TabCalc[Ticker],TabCalc[Scale]),0)</f>
        <v>0</v>
      </c>
      <c r="F801" s="1129" cm="1">
        <f t="array" ref="F801">IF(A801=A800,0,SUM(_xlfn._xlws.FILTER(E801:E811,A801:A811=A801)))</f>
        <v>0</v>
      </c>
      <c r="G801" s="1130">
        <f>IF(F801&lt;&gt;0,SUM($F$43:F801),0)</f>
        <v>0</v>
      </c>
      <c r="H801" s="1130" cm="1">
        <f t="array" ref="H801">IFERROR(IF(A801=A800,0,SUM(_xlfn._xlws.FILTER(E801:E811,(A801:A811=A801)*(E801:E811&gt;0)))),0)</f>
        <v>0</v>
      </c>
      <c r="I801" s="1130" cm="1">
        <f t="array" ref="I801">IFERROR(IF(A801=A800,0,SUM(_xlfn._xlws.FILTER(E801:E811,(A801:A811=A801)*(F801&lt;0)))),0)</f>
        <v>0</v>
      </c>
      <c r="J801" s="295" t="str">
        <f ca="1">IFERROR(_xlfn.XLOOKUP(B801,TabCalc[Ticker],TabCalc[Cur]),"")</f>
        <v/>
      </c>
      <c r="K801" s="1129" cm="1">
        <f t="array" ref="K801">IFERROR(IF($A801=$A800,0,SUM(_xlfn._xlws.FILTER($E801:$E811,($A801:$A811=$A801)*($J801:$J811=K$42)))),0)</f>
        <v>0</v>
      </c>
      <c r="L801" s="1129" cm="1">
        <f t="array" ref="L801">IFERROR(IF($A801=$A800,0,SUM(_xlfn._xlws.FILTER($E801:$E811,($A801:$A811=$A801)*($J801:$J811=L$42)))),0)</f>
        <v>0</v>
      </c>
      <c r="M801" s="1129" cm="1">
        <f t="array" ref="M801">IFERROR(IF($A801=$A800,0,SUM(_xlfn._xlws.FILTER($E801:$E811,($A801:$A811=$A801)*($J801:$J811=M$42)))),0)</f>
        <v>0</v>
      </c>
      <c r="N801" s="1129" cm="1">
        <f t="array" ref="N801">IFERROR(IF($A801=$A800,0,SUM(_xlfn._xlws.FILTER($E801:$E811,($A801:$A811=$A801)*($J801:$J811=N$42)))),0)</f>
        <v>0</v>
      </c>
    </row>
    <row r="802" spans="5:14">
      <c r="E802" s="1128">
        <f ca="1">IFERROR(C802*D802*_xlfn.XLOOKUP(B802,TabCalc[Ticker],TabCalc[Scale]),0)</f>
        <v>0</v>
      </c>
      <c r="F802" s="1129" cm="1">
        <f t="array" ref="F802">IF(A802=A801,0,SUM(_xlfn._xlws.FILTER(E802:E812,A802:A812=A802)))</f>
        <v>0</v>
      </c>
      <c r="G802" s="1130">
        <f>IF(F802&lt;&gt;0,SUM($F$43:F802),0)</f>
        <v>0</v>
      </c>
      <c r="H802" s="1130" cm="1">
        <f t="array" ref="H802">IFERROR(IF(A802=A801,0,SUM(_xlfn._xlws.FILTER(E802:E812,(A802:A812=A802)*(E802:E812&gt;0)))),0)</f>
        <v>0</v>
      </c>
      <c r="I802" s="1130" cm="1">
        <f t="array" ref="I802">IFERROR(IF(A802=A801,0,SUM(_xlfn._xlws.FILTER(E802:E812,(A802:A812=A802)*(F802&lt;0)))),0)</f>
        <v>0</v>
      </c>
      <c r="J802" s="295" t="str">
        <f ca="1">IFERROR(_xlfn.XLOOKUP(B802,TabCalc[Ticker],TabCalc[Cur]),"")</f>
        <v/>
      </c>
      <c r="K802" s="1129" cm="1">
        <f t="array" ref="K802">IFERROR(IF($A802=$A801,0,SUM(_xlfn._xlws.FILTER($E802:$E812,($A802:$A812=$A802)*($J802:$J812=K$42)))),0)</f>
        <v>0</v>
      </c>
      <c r="L802" s="1129" cm="1">
        <f t="array" ref="L802">IFERROR(IF($A802=$A801,0,SUM(_xlfn._xlws.FILTER($E802:$E812,($A802:$A812=$A802)*($J802:$J812=L$42)))),0)</f>
        <v>0</v>
      </c>
      <c r="M802" s="1129" cm="1">
        <f t="array" ref="M802">IFERROR(IF($A802=$A801,0,SUM(_xlfn._xlws.FILTER($E802:$E812,($A802:$A812=$A802)*($J802:$J812=M$42)))),0)</f>
        <v>0</v>
      </c>
      <c r="N802" s="1129" cm="1">
        <f t="array" ref="N802">IFERROR(IF($A802=$A801,0,SUM(_xlfn._xlws.FILTER($E802:$E812,($A802:$A812=$A802)*($J802:$J812=N$42)))),0)</f>
        <v>0</v>
      </c>
    </row>
    <row r="803" spans="5:14">
      <c r="E803" s="1128">
        <f ca="1">IFERROR(C803*D803*_xlfn.XLOOKUP(B803,TabCalc[Ticker],TabCalc[Scale]),0)</f>
        <v>0</v>
      </c>
      <c r="F803" s="1129" cm="1">
        <f t="array" ref="F803">IF(A803=A802,0,SUM(_xlfn._xlws.FILTER(E803:E813,A803:A813=A803)))</f>
        <v>0</v>
      </c>
      <c r="G803" s="1130">
        <f>IF(F803&lt;&gt;0,SUM($F$43:F803),0)</f>
        <v>0</v>
      </c>
      <c r="H803" s="1130" cm="1">
        <f t="array" ref="H803">IFERROR(IF(A803=A802,0,SUM(_xlfn._xlws.FILTER(E803:E813,(A803:A813=A803)*(E803:E813&gt;0)))),0)</f>
        <v>0</v>
      </c>
      <c r="I803" s="1130" cm="1">
        <f t="array" ref="I803">IFERROR(IF(A803=A802,0,SUM(_xlfn._xlws.FILTER(E803:E813,(A803:A813=A803)*(F803&lt;0)))),0)</f>
        <v>0</v>
      </c>
      <c r="J803" s="295" t="str">
        <f ca="1">IFERROR(_xlfn.XLOOKUP(B803,TabCalc[Ticker],TabCalc[Cur]),"")</f>
        <v/>
      </c>
      <c r="K803" s="1129" cm="1">
        <f t="array" ref="K803">IFERROR(IF($A803=$A802,0,SUM(_xlfn._xlws.FILTER($E803:$E813,($A803:$A813=$A803)*($J803:$J813=K$42)))),0)</f>
        <v>0</v>
      </c>
      <c r="L803" s="1129" cm="1">
        <f t="array" ref="L803">IFERROR(IF($A803=$A802,0,SUM(_xlfn._xlws.FILTER($E803:$E813,($A803:$A813=$A803)*($J803:$J813=L$42)))),0)</f>
        <v>0</v>
      </c>
      <c r="M803" s="1129" cm="1">
        <f t="array" ref="M803">IFERROR(IF($A803=$A802,0,SUM(_xlfn._xlws.FILTER($E803:$E813,($A803:$A813=$A803)*($J803:$J813=M$42)))),0)</f>
        <v>0</v>
      </c>
      <c r="N803" s="1129" cm="1">
        <f t="array" ref="N803">IFERROR(IF($A803=$A802,0,SUM(_xlfn._xlws.FILTER($E803:$E813,($A803:$A813=$A803)*($J803:$J813=N$42)))),0)</f>
        <v>0</v>
      </c>
    </row>
    <row r="804" spans="5:14">
      <c r="E804" s="1128">
        <f ca="1">IFERROR(C804*D804*_xlfn.XLOOKUP(B804,TabCalc[Ticker],TabCalc[Scale]),0)</f>
        <v>0</v>
      </c>
      <c r="F804" s="1129" cm="1">
        <f t="array" ref="F804">IF(A804=A803,0,SUM(_xlfn._xlws.FILTER(E804:E814,A804:A814=A804)))</f>
        <v>0</v>
      </c>
      <c r="G804" s="1130">
        <f>IF(F804&lt;&gt;0,SUM($F$43:F804),0)</f>
        <v>0</v>
      </c>
      <c r="H804" s="1130" cm="1">
        <f t="array" ref="H804">IFERROR(IF(A804=A803,0,SUM(_xlfn._xlws.FILTER(E804:E814,(A804:A814=A804)*(E804:E814&gt;0)))),0)</f>
        <v>0</v>
      </c>
      <c r="I804" s="1130" cm="1">
        <f t="array" ref="I804">IFERROR(IF(A804=A803,0,SUM(_xlfn._xlws.FILTER(E804:E814,(A804:A814=A804)*(F804&lt;0)))),0)</f>
        <v>0</v>
      </c>
      <c r="J804" s="295" t="str">
        <f ca="1">IFERROR(_xlfn.XLOOKUP(B804,TabCalc[Ticker],TabCalc[Cur]),"")</f>
        <v/>
      </c>
      <c r="K804" s="1129" cm="1">
        <f t="array" ref="K804">IFERROR(IF($A804=$A803,0,SUM(_xlfn._xlws.FILTER($E804:$E814,($A804:$A814=$A804)*($J804:$J814=K$42)))),0)</f>
        <v>0</v>
      </c>
      <c r="L804" s="1129" cm="1">
        <f t="array" ref="L804">IFERROR(IF($A804=$A803,0,SUM(_xlfn._xlws.FILTER($E804:$E814,($A804:$A814=$A804)*($J804:$J814=L$42)))),0)</f>
        <v>0</v>
      </c>
      <c r="M804" s="1129" cm="1">
        <f t="array" ref="M804">IFERROR(IF($A804=$A803,0,SUM(_xlfn._xlws.FILTER($E804:$E814,($A804:$A814=$A804)*($J804:$J814=M$42)))),0)</f>
        <v>0</v>
      </c>
      <c r="N804" s="1129" cm="1">
        <f t="array" ref="N804">IFERROR(IF($A804=$A803,0,SUM(_xlfn._xlws.FILTER($E804:$E814,($A804:$A814=$A804)*($J804:$J814=N$42)))),0)</f>
        <v>0</v>
      </c>
    </row>
    <row r="805" spans="5:14">
      <c r="E805" s="1128">
        <f ca="1">IFERROR(C805*D805*_xlfn.XLOOKUP(B805,TabCalc[Ticker],TabCalc[Scale]),0)</f>
        <v>0</v>
      </c>
      <c r="F805" s="1129" cm="1">
        <f t="array" ref="F805">IF(A805=A804,0,SUM(_xlfn._xlws.FILTER(E805:E815,A805:A815=A805)))</f>
        <v>0</v>
      </c>
      <c r="G805" s="1130">
        <f>IF(F805&lt;&gt;0,SUM($F$43:F805),0)</f>
        <v>0</v>
      </c>
      <c r="H805" s="1130" cm="1">
        <f t="array" ref="H805">IFERROR(IF(A805=A804,0,SUM(_xlfn._xlws.FILTER(E805:E815,(A805:A815=A805)*(E805:E815&gt;0)))),0)</f>
        <v>0</v>
      </c>
      <c r="I805" s="1130" cm="1">
        <f t="array" ref="I805">IFERROR(IF(A805=A804,0,SUM(_xlfn._xlws.FILTER(E805:E815,(A805:A815=A805)*(F805&lt;0)))),0)</f>
        <v>0</v>
      </c>
      <c r="J805" s="295" t="str">
        <f ca="1">IFERROR(_xlfn.XLOOKUP(B805,TabCalc[Ticker],TabCalc[Cur]),"")</f>
        <v/>
      </c>
      <c r="K805" s="1129" cm="1">
        <f t="array" ref="K805">IFERROR(IF($A805=$A804,0,SUM(_xlfn._xlws.FILTER($E805:$E815,($A805:$A815=$A805)*($J805:$J815=K$42)))),0)</f>
        <v>0</v>
      </c>
      <c r="L805" s="1129" cm="1">
        <f t="array" ref="L805">IFERROR(IF($A805=$A804,0,SUM(_xlfn._xlws.FILTER($E805:$E815,($A805:$A815=$A805)*($J805:$J815=L$42)))),0)</f>
        <v>0</v>
      </c>
      <c r="M805" s="1129" cm="1">
        <f t="array" ref="M805">IFERROR(IF($A805=$A804,0,SUM(_xlfn._xlws.FILTER($E805:$E815,($A805:$A815=$A805)*($J805:$J815=M$42)))),0)</f>
        <v>0</v>
      </c>
      <c r="N805" s="1129" cm="1">
        <f t="array" ref="N805">IFERROR(IF($A805=$A804,0,SUM(_xlfn._xlws.FILTER($E805:$E815,($A805:$A815=$A805)*($J805:$J815=N$42)))),0)</f>
        <v>0</v>
      </c>
    </row>
    <row r="806" spans="5:14">
      <c r="E806" s="1128">
        <f ca="1">IFERROR(C806*D806*_xlfn.XLOOKUP(B806,TabCalc[Ticker],TabCalc[Scale]),0)</f>
        <v>0</v>
      </c>
      <c r="F806" s="1129" cm="1">
        <f t="array" ref="F806">IF(A806=A805,0,SUM(_xlfn._xlws.FILTER(E806:E816,A806:A816=A806)))</f>
        <v>0</v>
      </c>
      <c r="G806" s="1130">
        <f>IF(F806&lt;&gt;0,SUM($F$43:F806),0)</f>
        <v>0</v>
      </c>
      <c r="H806" s="1130" cm="1">
        <f t="array" ref="H806">IFERROR(IF(A806=A805,0,SUM(_xlfn._xlws.FILTER(E806:E816,(A806:A816=A806)*(E806:E816&gt;0)))),0)</f>
        <v>0</v>
      </c>
      <c r="I806" s="1130" cm="1">
        <f t="array" ref="I806">IFERROR(IF(A806=A805,0,SUM(_xlfn._xlws.FILTER(E806:E816,(A806:A816=A806)*(F806&lt;0)))),0)</f>
        <v>0</v>
      </c>
      <c r="J806" s="295" t="str">
        <f ca="1">IFERROR(_xlfn.XLOOKUP(B806,TabCalc[Ticker],TabCalc[Cur]),"")</f>
        <v/>
      </c>
      <c r="K806" s="1129" cm="1">
        <f t="array" ref="K806">IFERROR(IF($A806=$A805,0,SUM(_xlfn._xlws.FILTER($E806:$E816,($A806:$A816=$A806)*($J806:$J816=K$42)))),0)</f>
        <v>0</v>
      </c>
      <c r="L806" s="1129" cm="1">
        <f t="array" ref="L806">IFERROR(IF($A806=$A805,0,SUM(_xlfn._xlws.FILTER($E806:$E816,($A806:$A816=$A806)*($J806:$J816=L$42)))),0)</f>
        <v>0</v>
      </c>
      <c r="M806" s="1129" cm="1">
        <f t="array" ref="M806">IFERROR(IF($A806=$A805,0,SUM(_xlfn._xlws.FILTER($E806:$E816,($A806:$A816=$A806)*($J806:$J816=M$42)))),0)</f>
        <v>0</v>
      </c>
      <c r="N806" s="1129" cm="1">
        <f t="array" ref="N806">IFERROR(IF($A806=$A805,0,SUM(_xlfn._xlws.FILTER($E806:$E816,($A806:$A816=$A806)*($J806:$J816=N$42)))),0)</f>
        <v>0</v>
      </c>
    </row>
    <row r="807" spans="5:14">
      <c r="E807" s="1128">
        <f ca="1">IFERROR(C807*D807*_xlfn.XLOOKUP(B807,TabCalc[Ticker],TabCalc[Scale]),0)</f>
        <v>0</v>
      </c>
      <c r="F807" s="1129" cm="1">
        <f t="array" ref="F807">IF(A807=A806,0,SUM(_xlfn._xlws.FILTER(E807:E817,A807:A817=A807)))</f>
        <v>0</v>
      </c>
      <c r="G807" s="1130">
        <f>IF(F807&lt;&gt;0,SUM($F$43:F807),0)</f>
        <v>0</v>
      </c>
      <c r="H807" s="1130" cm="1">
        <f t="array" ref="H807">IFERROR(IF(A807=A806,0,SUM(_xlfn._xlws.FILTER(E807:E817,(A807:A817=A807)*(E807:E817&gt;0)))),0)</f>
        <v>0</v>
      </c>
      <c r="I807" s="1130" cm="1">
        <f t="array" ref="I807">IFERROR(IF(A807=A806,0,SUM(_xlfn._xlws.FILTER(E807:E817,(A807:A817=A807)*(F807&lt;0)))),0)</f>
        <v>0</v>
      </c>
      <c r="J807" s="295" t="str">
        <f ca="1">IFERROR(_xlfn.XLOOKUP(B807,TabCalc[Ticker],TabCalc[Cur]),"")</f>
        <v/>
      </c>
      <c r="K807" s="1129" cm="1">
        <f t="array" ref="K807">IFERROR(IF($A807=$A806,0,SUM(_xlfn._xlws.FILTER($E807:$E817,($A807:$A817=$A807)*($J807:$J817=K$42)))),0)</f>
        <v>0</v>
      </c>
      <c r="L807" s="1129" cm="1">
        <f t="array" ref="L807">IFERROR(IF($A807=$A806,0,SUM(_xlfn._xlws.FILTER($E807:$E817,($A807:$A817=$A807)*($J807:$J817=L$42)))),0)</f>
        <v>0</v>
      </c>
      <c r="M807" s="1129" cm="1">
        <f t="array" ref="M807">IFERROR(IF($A807=$A806,0,SUM(_xlfn._xlws.FILTER($E807:$E817,($A807:$A817=$A807)*($J807:$J817=M$42)))),0)</f>
        <v>0</v>
      </c>
      <c r="N807" s="1129" cm="1">
        <f t="array" ref="N807">IFERROR(IF($A807=$A806,0,SUM(_xlfn._xlws.FILTER($E807:$E817,($A807:$A817=$A807)*($J807:$J817=N$42)))),0)</f>
        <v>0</v>
      </c>
    </row>
    <row r="808" spans="5:14">
      <c r="E808" s="1128">
        <f ca="1">IFERROR(C808*D808*_xlfn.XLOOKUP(B808,TabCalc[Ticker],TabCalc[Scale]),0)</f>
        <v>0</v>
      </c>
      <c r="F808" s="1129" cm="1">
        <f t="array" ref="F808">IF(A808=A807,0,SUM(_xlfn._xlws.FILTER(E808:E818,A808:A818=A808)))</f>
        <v>0</v>
      </c>
      <c r="G808" s="1130">
        <f>IF(F808&lt;&gt;0,SUM($F$43:F808),0)</f>
        <v>0</v>
      </c>
      <c r="H808" s="1130" cm="1">
        <f t="array" ref="H808">IFERROR(IF(A808=A807,0,SUM(_xlfn._xlws.FILTER(E808:E818,(A808:A818=A808)*(E808:E818&gt;0)))),0)</f>
        <v>0</v>
      </c>
      <c r="I808" s="1130" cm="1">
        <f t="array" ref="I808">IFERROR(IF(A808=A807,0,SUM(_xlfn._xlws.FILTER(E808:E818,(A808:A818=A808)*(F808&lt;0)))),0)</f>
        <v>0</v>
      </c>
      <c r="J808" s="295" t="str">
        <f ca="1">IFERROR(_xlfn.XLOOKUP(B808,TabCalc[Ticker],TabCalc[Cur]),"")</f>
        <v/>
      </c>
      <c r="K808" s="1129" cm="1">
        <f t="array" ref="K808">IFERROR(IF($A808=$A807,0,SUM(_xlfn._xlws.FILTER($E808:$E818,($A808:$A818=$A808)*($J808:$J818=K$42)))),0)</f>
        <v>0</v>
      </c>
      <c r="L808" s="1129" cm="1">
        <f t="array" ref="L808">IFERROR(IF($A808=$A807,0,SUM(_xlfn._xlws.FILTER($E808:$E818,($A808:$A818=$A808)*($J808:$J818=L$42)))),0)</f>
        <v>0</v>
      </c>
      <c r="M808" s="1129" cm="1">
        <f t="array" ref="M808">IFERROR(IF($A808=$A807,0,SUM(_xlfn._xlws.FILTER($E808:$E818,($A808:$A818=$A808)*($J808:$J818=M$42)))),0)</f>
        <v>0</v>
      </c>
      <c r="N808" s="1129" cm="1">
        <f t="array" ref="N808">IFERROR(IF($A808=$A807,0,SUM(_xlfn._xlws.FILTER($E808:$E818,($A808:$A818=$A808)*($J808:$J818=N$42)))),0)</f>
        <v>0</v>
      </c>
    </row>
    <row r="809" spans="5:14">
      <c r="E809" s="1128">
        <f ca="1">IFERROR(C809*D809*_xlfn.XLOOKUP(B809,TabCalc[Ticker],TabCalc[Scale]),0)</f>
        <v>0</v>
      </c>
      <c r="F809" s="1129" cm="1">
        <f t="array" ref="F809">IF(A809=A808,0,SUM(_xlfn._xlws.FILTER(E809:E819,A809:A819=A809)))</f>
        <v>0</v>
      </c>
      <c r="G809" s="1130">
        <f>IF(F809&lt;&gt;0,SUM($F$43:F809),0)</f>
        <v>0</v>
      </c>
      <c r="H809" s="1130" cm="1">
        <f t="array" ref="H809">IFERROR(IF(A809=A808,0,SUM(_xlfn._xlws.FILTER(E809:E819,(A809:A819=A809)*(E809:E819&gt;0)))),0)</f>
        <v>0</v>
      </c>
      <c r="I809" s="1130" cm="1">
        <f t="array" ref="I809">IFERROR(IF(A809=A808,0,SUM(_xlfn._xlws.FILTER(E809:E819,(A809:A819=A809)*(F809&lt;0)))),0)</f>
        <v>0</v>
      </c>
      <c r="J809" s="295" t="str">
        <f ca="1">IFERROR(_xlfn.XLOOKUP(B809,TabCalc[Ticker],TabCalc[Cur]),"")</f>
        <v/>
      </c>
      <c r="K809" s="1129" cm="1">
        <f t="array" ref="K809">IFERROR(IF($A809=$A808,0,SUM(_xlfn._xlws.FILTER($E809:$E819,($A809:$A819=$A809)*($J809:$J819=K$42)))),0)</f>
        <v>0</v>
      </c>
      <c r="L809" s="1129" cm="1">
        <f t="array" ref="L809">IFERROR(IF($A809=$A808,0,SUM(_xlfn._xlws.FILTER($E809:$E819,($A809:$A819=$A809)*($J809:$J819=L$42)))),0)</f>
        <v>0</v>
      </c>
      <c r="M809" s="1129" cm="1">
        <f t="array" ref="M809">IFERROR(IF($A809=$A808,0,SUM(_xlfn._xlws.FILTER($E809:$E819,($A809:$A819=$A809)*($J809:$J819=M$42)))),0)</f>
        <v>0</v>
      </c>
      <c r="N809" s="1129" cm="1">
        <f t="array" ref="N809">IFERROR(IF($A809=$A808,0,SUM(_xlfn._xlws.FILTER($E809:$E819,($A809:$A819=$A809)*($J809:$J819=N$42)))),0)</f>
        <v>0</v>
      </c>
    </row>
    <row r="810" spans="5:14">
      <c r="E810" s="1128">
        <f ca="1">IFERROR(C810*D810*_xlfn.XLOOKUP(B810,TabCalc[Ticker],TabCalc[Scale]),0)</f>
        <v>0</v>
      </c>
      <c r="F810" s="1129" cm="1">
        <f t="array" ref="F810">IF(A810=A809,0,SUM(_xlfn._xlws.FILTER(E810:E820,A810:A820=A810)))</f>
        <v>0</v>
      </c>
      <c r="G810" s="1130">
        <f>IF(F810&lt;&gt;0,SUM($F$43:F810),0)</f>
        <v>0</v>
      </c>
      <c r="H810" s="1130" cm="1">
        <f t="array" ref="H810">IFERROR(IF(A810=A809,0,SUM(_xlfn._xlws.FILTER(E810:E820,(A810:A820=A810)*(E810:E820&gt;0)))),0)</f>
        <v>0</v>
      </c>
      <c r="I810" s="1130" cm="1">
        <f t="array" ref="I810">IFERROR(IF(A810=A809,0,SUM(_xlfn._xlws.FILTER(E810:E820,(A810:A820=A810)*(F810&lt;0)))),0)</f>
        <v>0</v>
      </c>
      <c r="J810" s="295" t="str">
        <f ca="1">IFERROR(_xlfn.XLOOKUP(B810,TabCalc[Ticker],TabCalc[Cur]),"")</f>
        <v/>
      </c>
      <c r="K810" s="1129" cm="1">
        <f t="array" ref="K810">IFERROR(IF($A810=$A809,0,SUM(_xlfn._xlws.FILTER($E810:$E820,($A810:$A820=$A810)*($J810:$J820=K$42)))),0)</f>
        <v>0</v>
      </c>
      <c r="L810" s="1129" cm="1">
        <f t="array" ref="L810">IFERROR(IF($A810=$A809,0,SUM(_xlfn._xlws.FILTER($E810:$E820,($A810:$A820=$A810)*($J810:$J820=L$42)))),0)</f>
        <v>0</v>
      </c>
      <c r="M810" s="1129" cm="1">
        <f t="array" ref="M810">IFERROR(IF($A810=$A809,0,SUM(_xlfn._xlws.FILTER($E810:$E820,($A810:$A820=$A810)*($J810:$J820=M$42)))),0)</f>
        <v>0</v>
      </c>
      <c r="N810" s="1129" cm="1">
        <f t="array" ref="N810">IFERROR(IF($A810=$A809,0,SUM(_xlfn._xlws.FILTER($E810:$E820,($A810:$A820=$A810)*($J810:$J820=N$42)))),0)</f>
        <v>0</v>
      </c>
    </row>
    <row r="811" spans="5:14">
      <c r="E811" s="1128">
        <f ca="1">IFERROR(C811*D811*_xlfn.XLOOKUP(B811,TabCalc[Ticker],TabCalc[Scale]),0)</f>
        <v>0</v>
      </c>
      <c r="F811" s="1129" cm="1">
        <f t="array" ref="F811">IF(A811=A810,0,SUM(_xlfn._xlws.FILTER(E811:E821,A811:A821=A811)))</f>
        <v>0</v>
      </c>
      <c r="G811" s="1130">
        <f>IF(F811&lt;&gt;0,SUM($F$43:F811),0)</f>
        <v>0</v>
      </c>
      <c r="H811" s="1130" cm="1">
        <f t="array" ref="H811">IFERROR(IF(A811=A810,0,SUM(_xlfn._xlws.FILTER(E811:E821,(A811:A821=A811)*(E811:E821&gt;0)))),0)</f>
        <v>0</v>
      </c>
      <c r="I811" s="1130" cm="1">
        <f t="array" ref="I811">IFERROR(IF(A811=A810,0,SUM(_xlfn._xlws.FILTER(E811:E821,(A811:A821=A811)*(F811&lt;0)))),0)</f>
        <v>0</v>
      </c>
      <c r="J811" s="295" t="str">
        <f ca="1">IFERROR(_xlfn.XLOOKUP(B811,TabCalc[Ticker],TabCalc[Cur]),"")</f>
        <v/>
      </c>
      <c r="K811" s="1129" cm="1">
        <f t="array" ref="K811">IFERROR(IF($A811=$A810,0,SUM(_xlfn._xlws.FILTER($E811:$E821,($A811:$A821=$A811)*($J811:$J821=K$42)))),0)</f>
        <v>0</v>
      </c>
      <c r="L811" s="1129" cm="1">
        <f t="array" ref="L811">IFERROR(IF($A811=$A810,0,SUM(_xlfn._xlws.FILTER($E811:$E821,($A811:$A821=$A811)*($J811:$J821=L$42)))),0)</f>
        <v>0</v>
      </c>
      <c r="M811" s="1129" cm="1">
        <f t="array" ref="M811">IFERROR(IF($A811=$A810,0,SUM(_xlfn._xlws.FILTER($E811:$E821,($A811:$A821=$A811)*($J811:$J821=M$42)))),0)</f>
        <v>0</v>
      </c>
      <c r="N811" s="1129" cm="1">
        <f t="array" ref="N811">IFERROR(IF($A811=$A810,0,SUM(_xlfn._xlws.FILTER($E811:$E821,($A811:$A821=$A811)*($J811:$J821=N$42)))),0)</f>
        <v>0</v>
      </c>
    </row>
    <row r="812" spans="5:14">
      <c r="E812" s="1128">
        <f ca="1">IFERROR(C812*D812*_xlfn.XLOOKUP(B812,TabCalc[Ticker],TabCalc[Scale]),0)</f>
        <v>0</v>
      </c>
      <c r="F812" s="1129" cm="1">
        <f t="array" ref="F812">IF(A812=A811,0,SUM(_xlfn._xlws.FILTER(E812:E822,A812:A822=A812)))</f>
        <v>0</v>
      </c>
      <c r="G812" s="1130">
        <f>IF(F812&lt;&gt;0,SUM($F$43:F812),0)</f>
        <v>0</v>
      </c>
      <c r="H812" s="1130" cm="1">
        <f t="array" ref="H812">IFERROR(IF(A812=A811,0,SUM(_xlfn._xlws.FILTER(E812:E822,(A812:A822=A812)*(E812:E822&gt;0)))),0)</f>
        <v>0</v>
      </c>
      <c r="I812" s="1130" cm="1">
        <f t="array" ref="I812">IFERROR(IF(A812=A811,0,SUM(_xlfn._xlws.FILTER(E812:E822,(A812:A822=A812)*(F812&lt;0)))),0)</f>
        <v>0</v>
      </c>
      <c r="J812" s="295" t="str">
        <f ca="1">IFERROR(_xlfn.XLOOKUP(B812,TabCalc[Ticker],TabCalc[Cur]),"")</f>
        <v/>
      </c>
      <c r="K812" s="1129" cm="1">
        <f t="array" ref="K812">IFERROR(IF($A812=$A811,0,SUM(_xlfn._xlws.FILTER($E812:$E822,($A812:$A822=$A812)*($J812:$J822=K$42)))),0)</f>
        <v>0</v>
      </c>
      <c r="L812" s="1129" cm="1">
        <f t="array" ref="L812">IFERROR(IF($A812=$A811,0,SUM(_xlfn._xlws.FILTER($E812:$E822,($A812:$A822=$A812)*($J812:$J822=L$42)))),0)</f>
        <v>0</v>
      </c>
      <c r="M812" s="1129" cm="1">
        <f t="array" ref="M812">IFERROR(IF($A812=$A811,0,SUM(_xlfn._xlws.FILTER($E812:$E822,($A812:$A822=$A812)*($J812:$J822=M$42)))),0)</f>
        <v>0</v>
      </c>
      <c r="N812" s="1129" cm="1">
        <f t="array" ref="N812">IFERROR(IF($A812=$A811,0,SUM(_xlfn._xlws.FILTER($E812:$E822,($A812:$A822=$A812)*($J812:$J822=N$42)))),0)</f>
        <v>0</v>
      </c>
    </row>
    <row r="813" spans="5:14">
      <c r="E813" s="1128">
        <f ca="1">IFERROR(C813*D813*_xlfn.XLOOKUP(B813,TabCalc[Ticker],TabCalc[Scale]),0)</f>
        <v>0</v>
      </c>
      <c r="F813" s="1129" cm="1">
        <f t="array" ref="F813">IF(A813=A812,0,SUM(_xlfn._xlws.FILTER(E813:E823,A813:A823=A813)))</f>
        <v>0</v>
      </c>
      <c r="G813" s="1130">
        <f>IF(F813&lt;&gt;0,SUM($F$43:F813),0)</f>
        <v>0</v>
      </c>
      <c r="H813" s="1130" cm="1">
        <f t="array" ref="H813">IFERROR(IF(A813=A812,0,SUM(_xlfn._xlws.FILTER(E813:E823,(A813:A823=A813)*(E813:E823&gt;0)))),0)</f>
        <v>0</v>
      </c>
      <c r="I813" s="1130" cm="1">
        <f t="array" ref="I813">IFERROR(IF(A813=A812,0,SUM(_xlfn._xlws.FILTER(E813:E823,(A813:A823=A813)*(F813&lt;0)))),0)</f>
        <v>0</v>
      </c>
      <c r="J813" s="295" t="str">
        <f ca="1">IFERROR(_xlfn.XLOOKUP(B813,TabCalc[Ticker],TabCalc[Cur]),"")</f>
        <v/>
      </c>
      <c r="K813" s="1129" cm="1">
        <f t="array" ref="K813">IFERROR(IF($A813=$A812,0,SUM(_xlfn._xlws.FILTER($E813:$E823,($A813:$A823=$A813)*($J813:$J823=K$42)))),0)</f>
        <v>0</v>
      </c>
      <c r="L813" s="1129" cm="1">
        <f t="array" ref="L813">IFERROR(IF($A813=$A812,0,SUM(_xlfn._xlws.FILTER($E813:$E823,($A813:$A823=$A813)*($J813:$J823=L$42)))),0)</f>
        <v>0</v>
      </c>
      <c r="M813" s="1129" cm="1">
        <f t="array" ref="M813">IFERROR(IF($A813=$A812,0,SUM(_xlfn._xlws.FILTER($E813:$E823,($A813:$A823=$A813)*($J813:$J823=M$42)))),0)</f>
        <v>0</v>
      </c>
      <c r="N813" s="1129" cm="1">
        <f t="array" ref="N813">IFERROR(IF($A813=$A812,0,SUM(_xlfn._xlws.FILTER($E813:$E823,($A813:$A823=$A813)*($J813:$J823=N$42)))),0)</f>
        <v>0</v>
      </c>
    </row>
    <row r="814" spans="5:14">
      <c r="E814" s="1128">
        <f ca="1">IFERROR(C814*D814*_xlfn.XLOOKUP(B814,TabCalc[Ticker],TabCalc[Scale]),0)</f>
        <v>0</v>
      </c>
      <c r="F814" s="1129" cm="1">
        <f t="array" ref="F814">IF(A814=A813,0,SUM(_xlfn._xlws.FILTER(E814:E824,A814:A824=A814)))</f>
        <v>0</v>
      </c>
      <c r="G814" s="1130">
        <f>IF(F814&lt;&gt;0,SUM($F$43:F814),0)</f>
        <v>0</v>
      </c>
      <c r="H814" s="1130" cm="1">
        <f t="array" ref="H814">IFERROR(IF(A814=A813,0,SUM(_xlfn._xlws.FILTER(E814:E824,(A814:A824=A814)*(E814:E824&gt;0)))),0)</f>
        <v>0</v>
      </c>
      <c r="I814" s="1130" cm="1">
        <f t="array" ref="I814">IFERROR(IF(A814=A813,0,SUM(_xlfn._xlws.FILTER(E814:E824,(A814:A824=A814)*(F814&lt;0)))),0)</f>
        <v>0</v>
      </c>
      <c r="J814" s="295" t="str">
        <f ca="1">IFERROR(_xlfn.XLOOKUP(B814,TabCalc[Ticker],TabCalc[Cur]),"")</f>
        <v/>
      </c>
      <c r="K814" s="1129" cm="1">
        <f t="array" ref="K814">IFERROR(IF($A814=$A813,0,SUM(_xlfn._xlws.FILTER($E814:$E824,($A814:$A824=$A814)*($J814:$J824=K$42)))),0)</f>
        <v>0</v>
      </c>
      <c r="L814" s="1129" cm="1">
        <f t="array" ref="L814">IFERROR(IF($A814=$A813,0,SUM(_xlfn._xlws.FILTER($E814:$E824,($A814:$A824=$A814)*($J814:$J824=L$42)))),0)</f>
        <v>0</v>
      </c>
      <c r="M814" s="1129" cm="1">
        <f t="array" ref="M814">IFERROR(IF($A814=$A813,0,SUM(_xlfn._xlws.FILTER($E814:$E824,($A814:$A824=$A814)*($J814:$J824=M$42)))),0)</f>
        <v>0</v>
      </c>
      <c r="N814" s="1129" cm="1">
        <f t="array" ref="N814">IFERROR(IF($A814=$A813,0,SUM(_xlfn._xlws.FILTER($E814:$E824,($A814:$A824=$A814)*($J814:$J824=N$42)))),0)</f>
        <v>0</v>
      </c>
    </row>
    <row r="815" spans="5:14">
      <c r="E815" s="1128">
        <f ca="1">IFERROR(C815*D815*_xlfn.XLOOKUP(B815,TabCalc[Ticker],TabCalc[Scale]),0)</f>
        <v>0</v>
      </c>
      <c r="F815" s="1129" cm="1">
        <f t="array" ref="F815">IF(A815=A814,0,SUM(_xlfn._xlws.FILTER(E815:E825,A815:A825=A815)))</f>
        <v>0</v>
      </c>
      <c r="G815" s="1130">
        <f>IF(F815&lt;&gt;0,SUM($F$43:F815),0)</f>
        <v>0</v>
      </c>
      <c r="H815" s="1130" cm="1">
        <f t="array" ref="H815">IFERROR(IF(A815=A814,0,SUM(_xlfn._xlws.FILTER(E815:E825,(A815:A825=A815)*(E815:E825&gt;0)))),0)</f>
        <v>0</v>
      </c>
      <c r="I815" s="1130" cm="1">
        <f t="array" ref="I815">IFERROR(IF(A815=A814,0,SUM(_xlfn._xlws.FILTER(E815:E825,(A815:A825=A815)*(F815&lt;0)))),0)</f>
        <v>0</v>
      </c>
      <c r="J815" s="295" t="str">
        <f ca="1">IFERROR(_xlfn.XLOOKUP(B815,TabCalc[Ticker],TabCalc[Cur]),"")</f>
        <v/>
      </c>
      <c r="K815" s="1129" cm="1">
        <f t="array" ref="K815">IFERROR(IF($A815=$A814,0,SUM(_xlfn._xlws.FILTER($E815:$E825,($A815:$A825=$A815)*($J815:$J825=K$42)))),0)</f>
        <v>0</v>
      </c>
      <c r="L815" s="1129" cm="1">
        <f t="array" ref="L815">IFERROR(IF($A815=$A814,0,SUM(_xlfn._xlws.FILTER($E815:$E825,($A815:$A825=$A815)*($J815:$J825=L$42)))),0)</f>
        <v>0</v>
      </c>
      <c r="M815" s="1129" cm="1">
        <f t="array" ref="M815">IFERROR(IF($A815=$A814,0,SUM(_xlfn._xlws.FILTER($E815:$E825,($A815:$A825=$A815)*($J815:$J825=M$42)))),0)</f>
        <v>0</v>
      </c>
      <c r="N815" s="1129" cm="1">
        <f t="array" ref="N815">IFERROR(IF($A815=$A814,0,SUM(_xlfn._xlws.FILTER($E815:$E825,($A815:$A825=$A815)*($J815:$J825=N$42)))),0)</f>
        <v>0</v>
      </c>
    </row>
    <row r="816" spans="5:14">
      <c r="E816" s="1128">
        <f ca="1">IFERROR(C816*D816*_xlfn.XLOOKUP(B816,TabCalc[Ticker],TabCalc[Scale]),0)</f>
        <v>0</v>
      </c>
      <c r="F816" s="1129" cm="1">
        <f t="array" ref="F816">IF(A816=A815,0,SUM(_xlfn._xlws.FILTER(E816:E826,A816:A826=A816)))</f>
        <v>0</v>
      </c>
      <c r="G816" s="1130">
        <f>IF(F816&lt;&gt;0,SUM($F$43:F816),0)</f>
        <v>0</v>
      </c>
      <c r="H816" s="1130" cm="1">
        <f t="array" ref="H816">IFERROR(IF(A816=A815,0,SUM(_xlfn._xlws.FILTER(E816:E826,(A816:A826=A816)*(E816:E826&gt;0)))),0)</f>
        <v>0</v>
      </c>
      <c r="I816" s="1130" cm="1">
        <f t="array" ref="I816">IFERROR(IF(A816=A815,0,SUM(_xlfn._xlws.FILTER(E816:E826,(A816:A826=A816)*(F816&lt;0)))),0)</f>
        <v>0</v>
      </c>
      <c r="J816" s="295" t="str">
        <f ca="1">IFERROR(_xlfn.XLOOKUP(B816,TabCalc[Ticker],TabCalc[Cur]),"")</f>
        <v/>
      </c>
      <c r="K816" s="1129" cm="1">
        <f t="array" ref="K816">IFERROR(IF($A816=$A815,0,SUM(_xlfn._xlws.FILTER($E816:$E826,($A816:$A826=$A816)*($J816:$J826=K$42)))),0)</f>
        <v>0</v>
      </c>
      <c r="L816" s="1129" cm="1">
        <f t="array" ref="L816">IFERROR(IF($A816=$A815,0,SUM(_xlfn._xlws.FILTER($E816:$E826,($A816:$A826=$A816)*($J816:$J826=L$42)))),0)</f>
        <v>0</v>
      </c>
      <c r="M816" s="1129" cm="1">
        <f t="array" ref="M816">IFERROR(IF($A816=$A815,0,SUM(_xlfn._xlws.FILTER($E816:$E826,($A816:$A826=$A816)*($J816:$J826=M$42)))),0)</f>
        <v>0</v>
      </c>
      <c r="N816" s="1129" cm="1">
        <f t="array" ref="N816">IFERROR(IF($A816=$A815,0,SUM(_xlfn._xlws.FILTER($E816:$E826,($A816:$A826=$A816)*($J816:$J826=N$42)))),0)</f>
        <v>0</v>
      </c>
    </row>
    <row r="817" spans="5:14">
      <c r="E817" s="1128">
        <f ca="1">IFERROR(C817*D817*_xlfn.XLOOKUP(B817,TabCalc[Ticker],TabCalc[Scale]),0)</f>
        <v>0</v>
      </c>
      <c r="F817" s="1129" cm="1">
        <f t="array" ref="F817">IF(A817=A816,0,SUM(_xlfn._xlws.FILTER(E817:E827,A817:A827=A817)))</f>
        <v>0</v>
      </c>
      <c r="G817" s="1130">
        <f>IF(F817&lt;&gt;0,SUM($F$43:F817),0)</f>
        <v>0</v>
      </c>
      <c r="H817" s="1130" cm="1">
        <f t="array" ref="H817">IFERROR(IF(A817=A816,0,SUM(_xlfn._xlws.FILTER(E817:E827,(A817:A827=A817)*(E817:E827&gt;0)))),0)</f>
        <v>0</v>
      </c>
      <c r="I817" s="1130" cm="1">
        <f t="array" ref="I817">IFERROR(IF(A817=A816,0,SUM(_xlfn._xlws.FILTER(E817:E827,(A817:A827=A817)*(F817&lt;0)))),0)</f>
        <v>0</v>
      </c>
      <c r="J817" s="295" t="str">
        <f ca="1">IFERROR(_xlfn.XLOOKUP(B817,TabCalc[Ticker],TabCalc[Cur]),"")</f>
        <v/>
      </c>
      <c r="K817" s="1129" cm="1">
        <f t="array" ref="K817">IFERROR(IF($A817=$A816,0,SUM(_xlfn._xlws.FILTER($E817:$E827,($A817:$A827=$A817)*($J817:$J827=K$42)))),0)</f>
        <v>0</v>
      </c>
      <c r="L817" s="1129" cm="1">
        <f t="array" ref="L817">IFERROR(IF($A817=$A816,0,SUM(_xlfn._xlws.FILTER($E817:$E827,($A817:$A827=$A817)*($J817:$J827=L$42)))),0)</f>
        <v>0</v>
      </c>
      <c r="M817" s="1129" cm="1">
        <f t="array" ref="M817">IFERROR(IF($A817=$A816,0,SUM(_xlfn._xlws.FILTER($E817:$E827,($A817:$A827=$A817)*($J817:$J827=M$42)))),0)</f>
        <v>0</v>
      </c>
      <c r="N817" s="1129" cm="1">
        <f t="array" ref="N817">IFERROR(IF($A817=$A816,0,SUM(_xlfn._xlws.FILTER($E817:$E827,($A817:$A827=$A817)*($J817:$J827=N$42)))),0)</f>
        <v>0</v>
      </c>
    </row>
    <row r="818" spans="5:14">
      <c r="E818" s="1128">
        <f ca="1">IFERROR(C818*D818*_xlfn.XLOOKUP(B818,TabCalc[Ticker],TabCalc[Scale]),0)</f>
        <v>0</v>
      </c>
      <c r="F818" s="1129" cm="1">
        <f t="array" ref="F818">IF(A818=A817,0,SUM(_xlfn._xlws.FILTER(E818:E828,A818:A828=A818)))</f>
        <v>0</v>
      </c>
      <c r="G818" s="1130">
        <f>IF(F818&lt;&gt;0,SUM($F$43:F818),0)</f>
        <v>0</v>
      </c>
      <c r="H818" s="1130" cm="1">
        <f t="array" ref="H818">IFERROR(IF(A818=A817,0,SUM(_xlfn._xlws.FILTER(E818:E828,(A818:A828=A818)*(E818:E828&gt;0)))),0)</f>
        <v>0</v>
      </c>
      <c r="I818" s="1130" cm="1">
        <f t="array" ref="I818">IFERROR(IF(A818=A817,0,SUM(_xlfn._xlws.FILTER(E818:E828,(A818:A828=A818)*(F818&lt;0)))),0)</f>
        <v>0</v>
      </c>
      <c r="J818" s="295" t="str">
        <f ca="1">IFERROR(_xlfn.XLOOKUP(B818,TabCalc[Ticker],TabCalc[Cur]),"")</f>
        <v/>
      </c>
      <c r="K818" s="1129" cm="1">
        <f t="array" ref="K818">IFERROR(IF($A818=$A817,0,SUM(_xlfn._xlws.FILTER($E818:$E828,($A818:$A828=$A818)*($J818:$J828=K$42)))),0)</f>
        <v>0</v>
      </c>
      <c r="L818" s="1129" cm="1">
        <f t="array" ref="L818">IFERROR(IF($A818=$A817,0,SUM(_xlfn._xlws.FILTER($E818:$E828,($A818:$A828=$A818)*($J818:$J828=L$42)))),0)</f>
        <v>0</v>
      </c>
      <c r="M818" s="1129" cm="1">
        <f t="array" ref="M818">IFERROR(IF($A818=$A817,0,SUM(_xlfn._xlws.FILTER($E818:$E828,($A818:$A828=$A818)*($J818:$J828=M$42)))),0)</f>
        <v>0</v>
      </c>
      <c r="N818" s="1129" cm="1">
        <f t="array" ref="N818">IFERROR(IF($A818=$A817,0,SUM(_xlfn._xlws.FILTER($E818:$E828,($A818:$A828=$A818)*($J818:$J828=N$42)))),0)</f>
        <v>0</v>
      </c>
    </row>
    <row r="819" spans="5:14">
      <c r="E819" s="1128">
        <f ca="1">IFERROR(C819*D819*_xlfn.XLOOKUP(B819,TabCalc[Ticker],TabCalc[Scale]),0)</f>
        <v>0</v>
      </c>
      <c r="F819" s="1129" cm="1">
        <f t="array" ref="F819">IF(A819=A818,0,SUM(_xlfn._xlws.FILTER(E819:E829,A819:A829=A819)))</f>
        <v>0</v>
      </c>
      <c r="G819" s="1130">
        <f>IF(F819&lt;&gt;0,SUM($F$43:F819),0)</f>
        <v>0</v>
      </c>
      <c r="H819" s="1130" cm="1">
        <f t="array" ref="H819">IFERROR(IF(A819=A818,0,SUM(_xlfn._xlws.FILTER(E819:E829,(A819:A829=A819)*(E819:E829&gt;0)))),0)</f>
        <v>0</v>
      </c>
      <c r="I819" s="1130" cm="1">
        <f t="array" ref="I819">IFERROR(IF(A819=A818,0,SUM(_xlfn._xlws.FILTER(E819:E829,(A819:A829=A819)*(F819&lt;0)))),0)</f>
        <v>0</v>
      </c>
      <c r="J819" s="295" t="str">
        <f ca="1">IFERROR(_xlfn.XLOOKUP(B819,TabCalc[Ticker],TabCalc[Cur]),"")</f>
        <v/>
      </c>
      <c r="K819" s="1129" cm="1">
        <f t="array" ref="K819">IFERROR(IF($A819=$A818,0,SUM(_xlfn._xlws.FILTER($E819:$E829,($A819:$A829=$A819)*($J819:$J829=K$42)))),0)</f>
        <v>0</v>
      </c>
      <c r="L819" s="1129" cm="1">
        <f t="array" ref="L819">IFERROR(IF($A819=$A818,0,SUM(_xlfn._xlws.FILTER($E819:$E829,($A819:$A829=$A819)*($J819:$J829=L$42)))),0)</f>
        <v>0</v>
      </c>
      <c r="M819" s="1129" cm="1">
        <f t="array" ref="M819">IFERROR(IF($A819=$A818,0,SUM(_xlfn._xlws.FILTER($E819:$E829,($A819:$A829=$A819)*($J819:$J829=M$42)))),0)</f>
        <v>0</v>
      </c>
      <c r="N819" s="1129" cm="1">
        <f t="array" ref="N819">IFERROR(IF($A819=$A818,0,SUM(_xlfn._xlws.FILTER($E819:$E829,($A819:$A829=$A819)*($J819:$J829=N$42)))),0)</f>
        <v>0</v>
      </c>
    </row>
    <row r="820" spans="5:14">
      <c r="E820" s="1128">
        <f ca="1">IFERROR(C820*D820*_xlfn.XLOOKUP(B820,TabCalc[Ticker],TabCalc[Scale]),0)</f>
        <v>0</v>
      </c>
      <c r="F820" s="1129" cm="1">
        <f t="array" ref="F820">IF(A820=A819,0,SUM(_xlfn._xlws.FILTER(E820:E830,A820:A830=A820)))</f>
        <v>0</v>
      </c>
      <c r="G820" s="1130">
        <f>IF(F820&lt;&gt;0,SUM($F$43:F820),0)</f>
        <v>0</v>
      </c>
      <c r="H820" s="1130" cm="1">
        <f t="array" ref="H820">IFERROR(IF(A820=A819,0,SUM(_xlfn._xlws.FILTER(E820:E830,(A820:A830=A820)*(E820:E830&gt;0)))),0)</f>
        <v>0</v>
      </c>
      <c r="I820" s="1130" cm="1">
        <f t="array" ref="I820">IFERROR(IF(A820=A819,0,SUM(_xlfn._xlws.FILTER(E820:E830,(A820:A830=A820)*(F820&lt;0)))),0)</f>
        <v>0</v>
      </c>
      <c r="J820" s="295" t="str">
        <f ca="1">IFERROR(_xlfn.XLOOKUP(B820,TabCalc[Ticker],TabCalc[Cur]),"")</f>
        <v/>
      </c>
      <c r="K820" s="1129" cm="1">
        <f t="array" ref="K820">IFERROR(IF($A820=$A819,0,SUM(_xlfn._xlws.FILTER($E820:$E830,($A820:$A830=$A820)*($J820:$J830=K$42)))),0)</f>
        <v>0</v>
      </c>
      <c r="L820" s="1129" cm="1">
        <f t="array" ref="L820">IFERROR(IF($A820=$A819,0,SUM(_xlfn._xlws.FILTER($E820:$E830,($A820:$A830=$A820)*($J820:$J830=L$42)))),0)</f>
        <v>0</v>
      </c>
      <c r="M820" s="1129" cm="1">
        <f t="array" ref="M820">IFERROR(IF($A820=$A819,0,SUM(_xlfn._xlws.FILTER($E820:$E830,($A820:$A830=$A820)*($J820:$J830=M$42)))),0)</f>
        <v>0</v>
      </c>
      <c r="N820" s="1129" cm="1">
        <f t="array" ref="N820">IFERROR(IF($A820=$A819,0,SUM(_xlfn._xlws.FILTER($E820:$E830,($A820:$A830=$A820)*($J820:$J830=N$42)))),0)</f>
        <v>0</v>
      </c>
    </row>
    <row r="821" spans="5:14">
      <c r="E821" s="1128">
        <f ca="1">IFERROR(C821*D821*_xlfn.XLOOKUP(B821,TabCalc[Ticker],TabCalc[Scale]),0)</f>
        <v>0</v>
      </c>
      <c r="F821" s="1129" cm="1">
        <f t="array" ref="F821">IF(A821=A820,0,SUM(_xlfn._xlws.FILTER(E821:E831,A821:A831=A821)))</f>
        <v>0</v>
      </c>
      <c r="G821" s="1130">
        <f>IF(F821&lt;&gt;0,SUM($F$43:F821),0)</f>
        <v>0</v>
      </c>
      <c r="H821" s="1130" cm="1">
        <f t="array" ref="H821">IFERROR(IF(A821=A820,0,SUM(_xlfn._xlws.FILTER(E821:E831,(A821:A831=A821)*(E821:E831&gt;0)))),0)</f>
        <v>0</v>
      </c>
      <c r="I821" s="1130" cm="1">
        <f t="array" ref="I821">IFERROR(IF(A821=A820,0,SUM(_xlfn._xlws.FILTER(E821:E831,(A821:A831=A821)*(F821&lt;0)))),0)</f>
        <v>0</v>
      </c>
      <c r="J821" s="295" t="str">
        <f ca="1">IFERROR(_xlfn.XLOOKUP(B821,TabCalc[Ticker],TabCalc[Cur]),"")</f>
        <v/>
      </c>
      <c r="K821" s="1129" cm="1">
        <f t="array" ref="K821">IFERROR(IF($A821=$A820,0,SUM(_xlfn._xlws.FILTER($E821:$E831,($A821:$A831=$A821)*($J821:$J831=K$42)))),0)</f>
        <v>0</v>
      </c>
      <c r="L821" s="1129" cm="1">
        <f t="array" ref="L821">IFERROR(IF($A821=$A820,0,SUM(_xlfn._xlws.FILTER($E821:$E831,($A821:$A831=$A821)*($J821:$J831=L$42)))),0)</f>
        <v>0</v>
      </c>
      <c r="M821" s="1129" cm="1">
        <f t="array" ref="M821">IFERROR(IF($A821=$A820,0,SUM(_xlfn._xlws.FILTER($E821:$E831,($A821:$A831=$A821)*($J821:$J831=M$42)))),0)</f>
        <v>0</v>
      </c>
      <c r="N821" s="1129" cm="1">
        <f t="array" ref="N821">IFERROR(IF($A821=$A820,0,SUM(_xlfn._xlws.FILTER($E821:$E831,($A821:$A831=$A821)*($J821:$J831=N$42)))),0)</f>
        <v>0</v>
      </c>
    </row>
    <row r="822" spans="5:14">
      <c r="E822" s="1128">
        <f ca="1">IFERROR(C822*D822*_xlfn.XLOOKUP(B822,TabCalc[Ticker],TabCalc[Scale]),0)</f>
        <v>0</v>
      </c>
      <c r="F822" s="1129" cm="1">
        <f t="array" ref="F822">IF(A822=A821,0,SUM(_xlfn._xlws.FILTER(E822:E832,A822:A832=A822)))</f>
        <v>0</v>
      </c>
      <c r="G822" s="1130">
        <f>IF(F822&lt;&gt;0,SUM($F$43:F822),0)</f>
        <v>0</v>
      </c>
      <c r="H822" s="1130" cm="1">
        <f t="array" ref="H822">IFERROR(IF(A822=A821,0,SUM(_xlfn._xlws.FILTER(E822:E832,(A822:A832=A822)*(E822:E832&gt;0)))),0)</f>
        <v>0</v>
      </c>
      <c r="I822" s="1130" cm="1">
        <f t="array" ref="I822">IFERROR(IF(A822=A821,0,SUM(_xlfn._xlws.FILTER(E822:E832,(A822:A832=A822)*(F822&lt;0)))),0)</f>
        <v>0</v>
      </c>
      <c r="J822" s="295" t="str">
        <f ca="1">IFERROR(_xlfn.XLOOKUP(B822,TabCalc[Ticker],TabCalc[Cur]),"")</f>
        <v/>
      </c>
      <c r="K822" s="1129" cm="1">
        <f t="array" ref="K822">IFERROR(IF($A822=$A821,0,SUM(_xlfn._xlws.FILTER($E822:$E832,($A822:$A832=$A822)*($J822:$J832=K$42)))),0)</f>
        <v>0</v>
      </c>
      <c r="L822" s="1129" cm="1">
        <f t="array" ref="L822">IFERROR(IF($A822=$A821,0,SUM(_xlfn._xlws.FILTER($E822:$E832,($A822:$A832=$A822)*($J822:$J832=L$42)))),0)</f>
        <v>0</v>
      </c>
      <c r="M822" s="1129" cm="1">
        <f t="array" ref="M822">IFERROR(IF($A822=$A821,0,SUM(_xlfn._xlws.FILTER($E822:$E832,($A822:$A832=$A822)*($J822:$J832=M$42)))),0)</f>
        <v>0</v>
      </c>
      <c r="N822" s="1129" cm="1">
        <f t="array" ref="N822">IFERROR(IF($A822=$A821,0,SUM(_xlfn._xlws.FILTER($E822:$E832,($A822:$A832=$A822)*($J822:$J832=N$42)))),0)</f>
        <v>0</v>
      </c>
    </row>
    <row r="823" spans="5:14">
      <c r="E823" s="1128">
        <f ca="1">IFERROR(C823*D823*_xlfn.XLOOKUP(B823,TabCalc[Ticker],TabCalc[Scale]),0)</f>
        <v>0</v>
      </c>
      <c r="F823" s="1129" cm="1">
        <f t="array" ref="F823">IF(A823=A822,0,SUM(_xlfn._xlws.FILTER(E823:E833,A823:A833=A823)))</f>
        <v>0</v>
      </c>
      <c r="G823" s="1130">
        <f>IF(F823&lt;&gt;0,SUM($F$43:F823),0)</f>
        <v>0</v>
      </c>
      <c r="H823" s="1130" cm="1">
        <f t="array" ref="H823">IFERROR(IF(A823=A822,0,SUM(_xlfn._xlws.FILTER(E823:E833,(A823:A833=A823)*(E823:E833&gt;0)))),0)</f>
        <v>0</v>
      </c>
      <c r="I823" s="1130" cm="1">
        <f t="array" ref="I823">IFERROR(IF(A823=A822,0,SUM(_xlfn._xlws.FILTER(E823:E833,(A823:A833=A823)*(F823&lt;0)))),0)</f>
        <v>0</v>
      </c>
      <c r="J823" s="295" t="str">
        <f ca="1">IFERROR(_xlfn.XLOOKUP(B823,TabCalc[Ticker],TabCalc[Cur]),"")</f>
        <v/>
      </c>
      <c r="K823" s="1129" cm="1">
        <f t="array" ref="K823">IFERROR(IF($A823=$A822,0,SUM(_xlfn._xlws.FILTER($E823:$E833,($A823:$A833=$A823)*($J823:$J833=K$42)))),0)</f>
        <v>0</v>
      </c>
      <c r="L823" s="1129" cm="1">
        <f t="array" ref="L823">IFERROR(IF($A823=$A822,0,SUM(_xlfn._xlws.FILTER($E823:$E833,($A823:$A833=$A823)*($J823:$J833=L$42)))),0)</f>
        <v>0</v>
      </c>
      <c r="M823" s="1129" cm="1">
        <f t="array" ref="M823">IFERROR(IF($A823=$A822,0,SUM(_xlfn._xlws.FILTER($E823:$E833,($A823:$A833=$A823)*($J823:$J833=M$42)))),0)</f>
        <v>0</v>
      </c>
      <c r="N823" s="1129" cm="1">
        <f t="array" ref="N823">IFERROR(IF($A823=$A822,0,SUM(_xlfn._xlws.FILTER($E823:$E833,($A823:$A833=$A823)*($J823:$J833=N$42)))),0)</f>
        <v>0</v>
      </c>
    </row>
    <row r="824" spans="5:14">
      <c r="E824" s="1128">
        <f ca="1">IFERROR(C824*D824*_xlfn.XLOOKUP(B824,TabCalc[Ticker],TabCalc[Scale]),0)</f>
        <v>0</v>
      </c>
      <c r="F824" s="1129" cm="1">
        <f t="array" ref="F824">IF(A824=A823,0,SUM(_xlfn._xlws.FILTER(E824:E834,A824:A834=A824)))</f>
        <v>0</v>
      </c>
      <c r="G824" s="1130">
        <f>IF(F824&lt;&gt;0,SUM($F$43:F824),0)</f>
        <v>0</v>
      </c>
      <c r="H824" s="1130" cm="1">
        <f t="array" ref="H824">IFERROR(IF(A824=A823,0,SUM(_xlfn._xlws.FILTER(E824:E834,(A824:A834=A824)*(E824:E834&gt;0)))),0)</f>
        <v>0</v>
      </c>
      <c r="I824" s="1130" cm="1">
        <f t="array" ref="I824">IFERROR(IF(A824=A823,0,SUM(_xlfn._xlws.FILTER(E824:E834,(A824:A834=A824)*(F824&lt;0)))),0)</f>
        <v>0</v>
      </c>
      <c r="J824" s="295" t="str">
        <f ca="1">IFERROR(_xlfn.XLOOKUP(B824,TabCalc[Ticker],TabCalc[Cur]),"")</f>
        <v/>
      </c>
      <c r="K824" s="1129" cm="1">
        <f t="array" ref="K824">IFERROR(IF($A824=$A823,0,SUM(_xlfn._xlws.FILTER($E824:$E834,($A824:$A834=$A824)*($J824:$J834=K$42)))),0)</f>
        <v>0</v>
      </c>
      <c r="L824" s="1129" cm="1">
        <f t="array" ref="L824">IFERROR(IF($A824=$A823,0,SUM(_xlfn._xlws.FILTER($E824:$E834,($A824:$A834=$A824)*($J824:$J834=L$42)))),0)</f>
        <v>0</v>
      </c>
      <c r="M824" s="1129" cm="1">
        <f t="array" ref="M824">IFERROR(IF($A824=$A823,0,SUM(_xlfn._xlws.FILTER($E824:$E834,($A824:$A834=$A824)*($J824:$J834=M$42)))),0)</f>
        <v>0</v>
      </c>
      <c r="N824" s="1129" cm="1">
        <f t="array" ref="N824">IFERROR(IF($A824=$A823,0,SUM(_xlfn._xlws.FILTER($E824:$E834,($A824:$A834=$A824)*($J824:$J834=N$42)))),0)</f>
        <v>0</v>
      </c>
    </row>
    <row r="825" spans="5:14">
      <c r="E825" s="1128">
        <f ca="1">IFERROR(C825*D825*_xlfn.XLOOKUP(B825,TabCalc[Ticker],TabCalc[Scale]),0)</f>
        <v>0</v>
      </c>
      <c r="F825" s="1129" cm="1">
        <f t="array" ref="F825">IF(A825=A824,0,SUM(_xlfn._xlws.FILTER(E825:E835,A825:A835=A825)))</f>
        <v>0</v>
      </c>
      <c r="G825" s="1130">
        <f>IF(F825&lt;&gt;0,SUM($F$43:F825),0)</f>
        <v>0</v>
      </c>
      <c r="H825" s="1130" cm="1">
        <f t="array" ref="H825">IFERROR(IF(A825=A824,0,SUM(_xlfn._xlws.FILTER(E825:E835,(A825:A835=A825)*(E825:E835&gt;0)))),0)</f>
        <v>0</v>
      </c>
      <c r="I825" s="1130" cm="1">
        <f t="array" ref="I825">IFERROR(IF(A825=A824,0,SUM(_xlfn._xlws.FILTER(E825:E835,(A825:A835=A825)*(F825&lt;0)))),0)</f>
        <v>0</v>
      </c>
      <c r="J825" s="295" t="str">
        <f ca="1">IFERROR(_xlfn.XLOOKUP(B825,TabCalc[Ticker],TabCalc[Cur]),"")</f>
        <v/>
      </c>
      <c r="K825" s="1129" cm="1">
        <f t="array" ref="K825">IFERROR(IF($A825=$A824,0,SUM(_xlfn._xlws.FILTER($E825:$E835,($A825:$A835=$A825)*($J825:$J835=K$42)))),0)</f>
        <v>0</v>
      </c>
      <c r="L825" s="1129" cm="1">
        <f t="array" ref="L825">IFERROR(IF($A825=$A824,0,SUM(_xlfn._xlws.FILTER($E825:$E835,($A825:$A835=$A825)*($J825:$J835=L$42)))),0)</f>
        <v>0</v>
      </c>
      <c r="M825" s="1129" cm="1">
        <f t="array" ref="M825">IFERROR(IF($A825=$A824,0,SUM(_xlfn._xlws.FILTER($E825:$E835,($A825:$A835=$A825)*($J825:$J835=M$42)))),0)</f>
        <v>0</v>
      </c>
      <c r="N825" s="1129" cm="1">
        <f t="array" ref="N825">IFERROR(IF($A825=$A824,0,SUM(_xlfn._xlws.FILTER($E825:$E835,($A825:$A835=$A825)*($J825:$J835=N$42)))),0)</f>
        <v>0</v>
      </c>
    </row>
    <row r="826" spans="5:14">
      <c r="E826" s="1128">
        <f ca="1">IFERROR(C826*D826*_xlfn.XLOOKUP(B826,TabCalc[Ticker],TabCalc[Scale]),0)</f>
        <v>0</v>
      </c>
      <c r="F826" s="1129" cm="1">
        <f t="array" ref="F826">IF(A826=A825,0,SUM(_xlfn._xlws.FILTER(E826:E836,A826:A836=A826)))</f>
        <v>0</v>
      </c>
      <c r="G826" s="1130">
        <f>IF(F826&lt;&gt;0,SUM($F$43:F826),0)</f>
        <v>0</v>
      </c>
      <c r="H826" s="1130" cm="1">
        <f t="array" ref="H826">IFERROR(IF(A826=A825,0,SUM(_xlfn._xlws.FILTER(E826:E836,(A826:A836=A826)*(E826:E836&gt;0)))),0)</f>
        <v>0</v>
      </c>
      <c r="I826" s="1130" cm="1">
        <f t="array" ref="I826">IFERROR(IF(A826=A825,0,SUM(_xlfn._xlws.FILTER(E826:E836,(A826:A836=A826)*(F826&lt;0)))),0)</f>
        <v>0</v>
      </c>
      <c r="J826" s="295" t="str">
        <f ca="1">IFERROR(_xlfn.XLOOKUP(B826,TabCalc[Ticker],TabCalc[Cur]),"")</f>
        <v/>
      </c>
      <c r="K826" s="1129" cm="1">
        <f t="array" ref="K826">IFERROR(IF($A826=$A825,0,SUM(_xlfn._xlws.FILTER($E826:$E836,($A826:$A836=$A826)*($J826:$J836=K$42)))),0)</f>
        <v>0</v>
      </c>
      <c r="L826" s="1129" cm="1">
        <f t="array" ref="L826">IFERROR(IF($A826=$A825,0,SUM(_xlfn._xlws.FILTER($E826:$E836,($A826:$A836=$A826)*($J826:$J836=L$42)))),0)</f>
        <v>0</v>
      </c>
      <c r="M826" s="1129" cm="1">
        <f t="array" ref="M826">IFERROR(IF($A826=$A825,0,SUM(_xlfn._xlws.FILTER($E826:$E836,($A826:$A836=$A826)*($J826:$J836=M$42)))),0)</f>
        <v>0</v>
      </c>
      <c r="N826" s="1129" cm="1">
        <f t="array" ref="N826">IFERROR(IF($A826=$A825,0,SUM(_xlfn._xlws.FILTER($E826:$E836,($A826:$A836=$A826)*($J826:$J836=N$42)))),0)</f>
        <v>0</v>
      </c>
    </row>
    <row r="827" spans="5:14">
      <c r="E827" s="1128">
        <f ca="1">IFERROR(C827*D827*_xlfn.XLOOKUP(B827,TabCalc[Ticker],TabCalc[Scale]),0)</f>
        <v>0</v>
      </c>
      <c r="F827" s="1129" cm="1">
        <f t="array" ref="F827">IF(A827=A826,0,SUM(_xlfn._xlws.FILTER(E827:E837,A827:A837=A827)))</f>
        <v>0</v>
      </c>
      <c r="G827" s="1130">
        <f>IF(F827&lt;&gt;0,SUM($F$43:F827),0)</f>
        <v>0</v>
      </c>
      <c r="H827" s="1130" cm="1">
        <f t="array" ref="H827">IFERROR(IF(A827=A826,0,SUM(_xlfn._xlws.FILTER(E827:E837,(A827:A837=A827)*(E827:E837&gt;0)))),0)</f>
        <v>0</v>
      </c>
      <c r="I827" s="1130" cm="1">
        <f t="array" ref="I827">IFERROR(IF(A827=A826,0,SUM(_xlfn._xlws.FILTER(E827:E837,(A827:A837=A827)*(F827&lt;0)))),0)</f>
        <v>0</v>
      </c>
      <c r="J827" s="295" t="str">
        <f ca="1">IFERROR(_xlfn.XLOOKUP(B827,TabCalc[Ticker],TabCalc[Cur]),"")</f>
        <v/>
      </c>
      <c r="K827" s="1129" cm="1">
        <f t="array" ref="K827">IFERROR(IF($A827=$A826,0,SUM(_xlfn._xlws.FILTER($E827:$E837,($A827:$A837=$A827)*($J827:$J837=K$42)))),0)</f>
        <v>0</v>
      </c>
      <c r="L827" s="1129" cm="1">
        <f t="array" ref="L827">IFERROR(IF($A827=$A826,0,SUM(_xlfn._xlws.FILTER($E827:$E837,($A827:$A837=$A827)*($J827:$J837=L$42)))),0)</f>
        <v>0</v>
      </c>
      <c r="M827" s="1129" cm="1">
        <f t="array" ref="M827">IFERROR(IF($A827=$A826,0,SUM(_xlfn._xlws.FILTER($E827:$E837,($A827:$A837=$A827)*($J827:$J837=M$42)))),0)</f>
        <v>0</v>
      </c>
      <c r="N827" s="1129" cm="1">
        <f t="array" ref="N827">IFERROR(IF($A827=$A826,0,SUM(_xlfn._xlws.FILTER($E827:$E837,($A827:$A837=$A827)*($J827:$J837=N$42)))),0)</f>
        <v>0</v>
      </c>
    </row>
    <row r="828" spans="5:14">
      <c r="E828" s="1128">
        <f ca="1">IFERROR(C828*D828*_xlfn.XLOOKUP(B828,TabCalc[Ticker],TabCalc[Scale]),0)</f>
        <v>0</v>
      </c>
      <c r="F828" s="1129" cm="1">
        <f t="array" ref="F828">IF(A828=A827,0,SUM(_xlfn._xlws.FILTER(E828:E838,A828:A838=A828)))</f>
        <v>0</v>
      </c>
      <c r="G828" s="1130">
        <f>IF(F828&lt;&gt;0,SUM($F$43:F828),0)</f>
        <v>0</v>
      </c>
      <c r="H828" s="1130" cm="1">
        <f t="array" ref="H828">IFERROR(IF(A828=A827,0,SUM(_xlfn._xlws.FILTER(E828:E838,(A828:A838=A828)*(E828:E838&gt;0)))),0)</f>
        <v>0</v>
      </c>
      <c r="I828" s="1130" cm="1">
        <f t="array" ref="I828">IFERROR(IF(A828=A827,0,SUM(_xlfn._xlws.FILTER(E828:E838,(A828:A838=A828)*(F828&lt;0)))),0)</f>
        <v>0</v>
      </c>
      <c r="J828" s="295" t="str">
        <f ca="1">IFERROR(_xlfn.XLOOKUP(B828,TabCalc[Ticker],TabCalc[Cur]),"")</f>
        <v/>
      </c>
      <c r="K828" s="1129" cm="1">
        <f t="array" ref="K828">IFERROR(IF($A828=$A827,0,SUM(_xlfn._xlws.FILTER($E828:$E838,($A828:$A838=$A828)*($J828:$J838=K$42)))),0)</f>
        <v>0</v>
      </c>
      <c r="L828" s="1129" cm="1">
        <f t="array" ref="L828">IFERROR(IF($A828=$A827,0,SUM(_xlfn._xlws.FILTER($E828:$E838,($A828:$A838=$A828)*($J828:$J838=L$42)))),0)</f>
        <v>0</v>
      </c>
      <c r="M828" s="1129" cm="1">
        <f t="array" ref="M828">IFERROR(IF($A828=$A827,0,SUM(_xlfn._xlws.FILTER($E828:$E838,($A828:$A838=$A828)*($J828:$J838=M$42)))),0)</f>
        <v>0</v>
      </c>
      <c r="N828" s="1129" cm="1">
        <f t="array" ref="N828">IFERROR(IF($A828=$A827,0,SUM(_xlfn._xlws.FILTER($E828:$E838,($A828:$A838=$A828)*($J828:$J838=N$42)))),0)</f>
        <v>0</v>
      </c>
    </row>
    <row r="829" spans="5:14">
      <c r="E829" s="1128">
        <f ca="1">IFERROR(C829*D829*_xlfn.XLOOKUP(B829,TabCalc[Ticker],TabCalc[Scale]),0)</f>
        <v>0</v>
      </c>
      <c r="F829" s="1129" cm="1">
        <f t="array" ref="F829">IF(A829=A828,0,SUM(_xlfn._xlws.FILTER(E829:E839,A829:A839=A829)))</f>
        <v>0</v>
      </c>
      <c r="G829" s="1130">
        <f>IF(F829&lt;&gt;0,SUM($F$43:F829),0)</f>
        <v>0</v>
      </c>
      <c r="H829" s="1130" cm="1">
        <f t="array" ref="H829">IFERROR(IF(A829=A828,0,SUM(_xlfn._xlws.FILTER(E829:E839,(A829:A839=A829)*(E829:E839&gt;0)))),0)</f>
        <v>0</v>
      </c>
      <c r="I829" s="1130" cm="1">
        <f t="array" ref="I829">IFERROR(IF(A829=A828,0,SUM(_xlfn._xlws.FILTER(E829:E839,(A829:A839=A829)*(F829&lt;0)))),0)</f>
        <v>0</v>
      </c>
      <c r="J829" s="295" t="str">
        <f ca="1">IFERROR(_xlfn.XLOOKUP(B829,TabCalc[Ticker],TabCalc[Cur]),"")</f>
        <v/>
      </c>
      <c r="K829" s="1129" cm="1">
        <f t="array" ref="K829">IFERROR(IF($A829=$A828,0,SUM(_xlfn._xlws.FILTER($E829:$E839,($A829:$A839=$A829)*($J829:$J839=K$42)))),0)</f>
        <v>0</v>
      </c>
      <c r="L829" s="1129" cm="1">
        <f t="array" ref="L829">IFERROR(IF($A829=$A828,0,SUM(_xlfn._xlws.FILTER($E829:$E839,($A829:$A839=$A829)*($J829:$J839=L$42)))),0)</f>
        <v>0</v>
      </c>
      <c r="M829" s="1129" cm="1">
        <f t="array" ref="M829">IFERROR(IF($A829=$A828,0,SUM(_xlfn._xlws.FILTER($E829:$E839,($A829:$A839=$A829)*($J829:$J839=M$42)))),0)</f>
        <v>0</v>
      </c>
      <c r="N829" s="1129" cm="1">
        <f t="array" ref="N829">IFERROR(IF($A829=$A828,0,SUM(_xlfn._xlws.FILTER($E829:$E839,($A829:$A839=$A829)*($J829:$J839=N$42)))),0)</f>
        <v>0</v>
      </c>
    </row>
    <row r="830" spans="5:14">
      <c r="E830" s="1128">
        <f ca="1">IFERROR(C830*D830*_xlfn.XLOOKUP(B830,TabCalc[Ticker],TabCalc[Scale]),0)</f>
        <v>0</v>
      </c>
      <c r="F830" s="1129" cm="1">
        <f t="array" ref="F830">IF(A830=A829,0,SUM(_xlfn._xlws.FILTER(E830:E840,A830:A840=A830)))</f>
        <v>0</v>
      </c>
      <c r="G830" s="1130">
        <f>IF(F830&lt;&gt;0,SUM($F$43:F830),0)</f>
        <v>0</v>
      </c>
      <c r="H830" s="1130" cm="1">
        <f t="array" ref="H830">IFERROR(IF(A830=A829,0,SUM(_xlfn._xlws.FILTER(E830:E840,(A830:A840=A830)*(E830:E840&gt;0)))),0)</f>
        <v>0</v>
      </c>
      <c r="I830" s="1130" cm="1">
        <f t="array" ref="I830">IFERROR(IF(A830=A829,0,SUM(_xlfn._xlws.FILTER(E830:E840,(A830:A840=A830)*(F830&lt;0)))),0)</f>
        <v>0</v>
      </c>
      <c r="J830" s="295" t="str">
        <f ca="1">IFERROR(_xlfn.XLOOKUP(B830,TabCalc[Ticker],TabCalc[Cur]),"")</f>
        <v/>
      </c>
      <c r="K830" s="1129" cm="1">
        <f t="array" ref="K830">IFERROR(IF($A830=$A829,0,SUM(_xlfn._xlws.FILTER($E830:$E840,($A830:$A840=$A830)*($J830:$J840=K$42)))),0)</f>
        <v>0</v>
      </c>
      <c r="L830" s="1129" cm="1">
        <f t="array" ref="L830">IFERROR(IF($A830=$A829,0,SUM(_xlfn._xlws.FILTER($E830:$E840,($A830:$A840=$A830)*($J830:$J840=L$42)))),0)</f>
        <v>0</v>
      </c>
      <c r="M830" s="1129" cm="1">
        <f t="array" ref="M830">IFERROR(IF($A830=$A829,0,SUM(_xlfn._xlws.FILTER($E830:$E840,($A830:$A840=$A830)*($J830:$J840=M$42)))),0)</f>
        <v>0</v>
      </c>
      <c r="N830" s="1129" cm="1">
        <f t="array" ref="N830">IFERROR(IF($A830=$A829,0,SUM(_xlfn._xlws.FILTER($E830:$E840,($A830:$A840=$A830)*($J830:$J840=N$42)))),0)</f>
        <v>0</v>
      </c>
    </row>
    <row r="831" spans="5:14">
      <c r="E831" s="1128">
        <f ca="1">IFERROR(C831*D831*_xlfn.XLOOKUP(B831,TabCalc[Ticker],TabCalc[Scale]),0)</f>
        <v>0</v>
      </c>
      <c r="F831" s="1129" cm="1">
        <f t="array" ref="F831">IF(A831=A830,0,SUM(_xlfn._xlws.FILTER(E831:E841,A831:A841=A831)))</f>
        <v>0</v>
      </c>
      <c r="G831" s="1130">
        <f>IF(F831&lt;&gt;0,SUM($F$43:F831),0)</f>
        <v>0</v>
      </c>
      <c r="H831" s="1130" cm="1">
        <f t="array" ref="H831">IFERROR(IF(A831=A830,0,SUM(_xlfn._xlws.FILTER(E831:E841,(A831:A841=A831)*(E831:E841&gt;0)))),0)</f>
        <v>0</v>
      </c>
      <c r="I831" s="1130" cm="1">
        <f t="array" ref="I831">IFERROR(IF(A831=A830,0,SUM(_xlfn._xlws.FILTER(E831:E841,(A831:A841=A831)*(F831&lt;0)))),0)</f>
        <v>0</v>
      </c>
      <c r="J831" s="295" t="str">
        <f ca="1">IFERROR(_xlfn.XLOOKUP(B831,TabCalc[Ticker],TabCalc[Cur]),"")</f>
        <v/>
      </c>
      <c r="K831" s="1129" cm="1">
        <f t="array" ref="K831">IFERROR(IF($A831=$A830,0,SUM(_xlfn._xlws.FILTER($E831:$E841,($A831:$A841=$A831)*($J831:$J841=K$42)))),0)</f>
        <v>0</v>
      </c>
      <c r="L831" s="1129" cm="1">
        <f t="array" ref="L831">IFERROR(IF($A831=$A830,0,SUM(_xlfn._xlws.FILTER($E831:$E841,($A831:$A841=$A831)*($J831:$J841=L$42)))),0)</f>
        <v>0</v>
      </c>
      <c r="M831" s="1129" cm="1">
        <f t="array" ref="M831">IFERROR(IF($A831=$A830,0,SUM(_xlfn._xlws.FILTER($E831:$E841,($A831:$A841=$A831)*($J831:$J841=M$42)))),0)</f>
        <v>0</v>
      </c>
      <c r="N831" s="1129" cm="1">
        <f t="array" ref="N831">IFERROR(IF($A831=$A830,0,SUM(_xlfn._xlws.FILTER($E831:$E841,($A831:$A841=$A831)*($J831:$J841=N$42)))),0)</f>
        <v>0</v>
      </c>
    </row>
    <row r="832" spans="5:14">
      <c r="E832" s="1128">
        <f ca="1">IFERROR(C832*D832*_xlfn.XLOOKUP(B832,TabCalc[Ticker],TabCalc[Scale]),0)</f>
        <v>0</v>
      </c>
      <c r="F832" s="1129" cm="1">
        <f t="array" ref="F832">IF(A832=A831,0,SUM(_xlfn._xlws.FILTER(E832:E842,A832:A842=A832)))</f>
        <v>0</v>
      </c>
      <c r="G832" s="1130">
        <f>IF(F832&lt;&gt;0,SUM($F$43:F832),0)</f>
        <v>0</v>
      </c>
      <c r="H832" s="1130" cm="1">
        <f t="array" ref="H832">IFERROR(IF(A832=A831,0,SUM(_xlfn._xlws.FILTER(E832:E842,(A832:A842=A832)*(E832:E842&gt;0)))),0)</f>
        <v>0</v>
      </c>
      <c r="I832" s="1130" cm="1">
        <f t="array" ref="I832">IFERROR(IF(A832=A831,0,SUM(_xlfn._xlws.FILTER(E832:E842,(A832:A842=A832)*(F832&lt;0)))),0)</f>
        <v>0</v>
      </c>
      <c r="J832" s="295" t="str">
        <f ca="1">IFERROR(_xlfn.XLOOKUP(B832,TabCalc[Ticker],TabCalc[Cur]),"")</f>
        <v/>
      </c>
      <c r="K832" s="1129" cm="1">
        <f t="array" ref="K832">IFERROR(IF($A832=$A831,0,SUM(_xlfn._xlws.FILTER($E832:$E842,($A832:$A842=$A832)*($J832:$J842=K$42)))),0)</f>
        <v>0</v>
      </c>
      <c r="L832" s="1129" cm="1">
        <f t="array" ref="L832">IFERROR(IF($A832=$A831,0,SUM(_xlfn._xlws.FILTER($E832:$E842,($A832:$A842=$A832)*($J832:$J842=L$42)))),0)</f>
        <v>0</v>
      </c>
      <c r="M832" s="1129" cm="1">
        <f t="array" ref="M832">IFERROR(IF($A832=$A831,0,SUM(_xlfn._xlws.FILTER($E832:$E842,($A832:$A842=$A832)*($J832:$J842=M$42)))),0)</f>
        <v>0</v>
      </c>
      <c r="N832" s="1129" cm="1">
        <f t="array" ref="N832">IFERROR(IF($A832=$A831,0,SUM(_xlfn._xlws.FILTER($E832:$E842,($A832:$A842=$A832)*($J832:$J842=N$42)))),0)</f>
        <v>0</v>
      </c>
    </row>
    <row r="833" spans="5:14">
      <c r="E833" s="1128">
        <f ca="1">IFERROR(C833*D833*_xlfn.XLOOKUP(B833,TabCalc[Ticker],TabCalc[Scale]),0)</f>
        <v>0</v>
      </c>
      <c r="F833" s="1129" cm="1">
        <f t="array" ref="F833">IF(A833=A832,0,SUM(_xlfn._xlws.FILTER(E833:E843,A833:A843=A833)))</f>
        <v>0</v>
      </c>
      <c r="G833" s="1130">
        <f>IF(F833&lt;&gt;0,SUM($F$43:F833),0)</f>
        <v>0</v>
      </c>
      <c r="H833" s="1130" cm="1">
        <f t="array" ref="H833">IFERROR(IF(A833=A832,0,SUM(_xlfn._xlws.FILTER(E833:E843,(A833:A843=A833)*(E833:E843&gt;0)))),0)</f>
        <v>0</v>
      </c>
      <c r="I833" s="1130" cm="1">
        <f t="array" ref="I833">IFERROR(IF(A833=A832,0,SUM(_xlfn._xlws.FILTER(E833:E843,(A833:A843=A833)*(F833&lt;0)))),0)</f>
        <v>0</v>
      </c>
      <c r="J833" s="295" t="str">
        <f ca="1">IFERROR(_xlfn.XLOOKUP(B833,TabCalc[Ticker],TabCalc[Cur]),"")</f>
        <v/>
      </c>
      <c r="K833" s="1129" cm="1">
        <f t="array" ref="K833">IFERROR(IF($A833=$A832,0,SUM(_xlfn._xlws.FILTER($E833:$E843,($A833:$A843=$A833)*($J833:$J843=K$42)))),0)</f>
        <v>0</v>
      </c>
      <c r="L833" s="1129" cm="1">
        <f t="array" ref="L833">IFERROR(IF($A833=$A832,0,SUM(_xlfn._xlws.FILTER($E833:$E843,($A833:$A843=$A833)*($J833:$J843=L$42)))),0)</f>
        <v>0</v>
      </c>
      <c r="M833" s="1129" cm="1">
        <f t="array" ref="M833">IFERROR(IF($A833=$A832,0,SUM(_xlfn._xlws.FILTER($E833:$E843,($A833:$A843=$A833)*($J833:$J843=M$42)))),0)</f>
        <v>0</v>
      </c>
      <c r="N833" s="1129" cm="1">
        <f t="array" ref="N833">IFERROR(IF($A833=$A832,0,SUM(_xlfn._xlws.FILTER($E833:$E843,($A833:$A843=$A833)*($J833:$J843=N$42)))),0)</f>
        <v>0</v>
      </c>
    </row>
    <row r="834" spans="5:14">
      <c r="E834" s="1128">
        <f ca="1">IFERROR(C834*D834*_xlfn.XLOOKUP(B834,TabCalc[Ticker],TabCalc[Scale]),0)</f>
        <v>0</v>
      </c>
      <c r="F834" s="1129" cm="1">
        <f t="array" ref="F834">IF(A834=A833,0,SUM(_xlfn._xlws.FILTER(E834:E844,A834:A844=A834)))</f>
        <v>0</v>
      </c>
      <c r="G834" s="1130">
        <f>IF(F834&lt;&gt;0,SUM($F$43:F834),0)</f>
        <v>0</v>
      </c>
      <c r="H834" s="1130" cm="1">
        <f t="array" ref="H834">IFERROR(IF(A834=A833,0,SUM(_xlfn._xlws.FILTER(E834:E844,(A834:A844=A834)*(E834:E844&gt;0)))),0)</f>
        <v>0</v>
      </c>
      <c r="I834" s="1130" cm="1">
        <f t="array" ref="I834">IFERROR(IF(A834=A833,0,SUM(_xlfn._xlws.FILTER(E834:E844,(A834:A844=A834)*(F834&lt;0)))),0)</f>
        <v>0</v>
      </c>
      <c r="J834" s="295" t="str">
        <f ca="1">IFERROR(_xlfn.XLOOKUP(B834,TabCalc[Ticker],TabCalc[Cur]),"")</f>
        <v/>
      </c>
      <c r="K834" s="1129" cm="1">
        <f t="array" ref="K834">IFERROR(IF($A834=$A833,0,SUM(_xlfn._xlws.FILTER($E834:$E844,($A834:$A844=$A834)*($J834:$J844=K$42)))),0)</f>
        <v>0</v>
      </c>
      <c r="L834" s="1129" cm="1">
        <f t="array" ref="L834">IFERROR(IF($A834=$A833,0,SUM(_xlfn._xlws.FILTER($E834:$E844,($A834:$A844=$A834)*($J834:$J844=L$42)))),0)</f>
        <v>0</v>
      </c>
      <c r="M834" s="1129" cm="1">
        <f t="array" ref="M834">IFERROR(IF($A834=$A833,0,SUM(_xlfn._xlws.FILTER($E834:$E844,($A834:$A844=$A834)*($J834:$J844=M$42)))),0)</f>
        <v>0</v>
      </c>
      <c r="N834" s="1129" cm="1">
        <f t="array" ref="N834">IFERROR(IF($A834=$A833,0,SUM(_xlfn._xlws.FILTER($E834:$E844,($A834:$A844=$A834)*($J834:$J844=N$42)))),0)</f>
        <v>0</v>
      </c>
    </row>
    <row r="835" spans="5:14">
      <c r="E835" s="1128">
        <f ca="1">IFERROR(C835*D835*_xlfn.XLOOKUP(B835,TabCalc[Ticker],TabCalc[Scale]),0)</f>
        <v>0</v>
      </c>
      <c r="F835" s="1129" cm="1">
        <f t="array" ref="F835">IF(A835=A834,0,SUM(_xlfn._xlws.FILTER(E835:E845,A835:A845=A835)))</f>
        <v>0</v>
      </c>
      <c r="G835" s="1130">
        <f>IF(F835&lt;&gt;0,SUM($F$43:F835),0)</f>
        <v>0</v>
      </c>
      <c r="H835" s="1130" cm="1">
        <f t="array" ref="H835">IFERROR(IF(A835=A834,0,SUM(_xlfn._xlws.FILTER(E835:E845,(A835:A845=A835)*(E835:E845&gt;0)))),0)</f>
        <v>0</v>
      </c>
      <c r="I835" s="1130" cm="1">
        <f t="array" ref="I835">IFERROR(IF(A835=A834,0,SUM(_xlfn._xlws.FILTER(E835:E845,(A835:A845=A835)*(F835&lt;0)))),0)</f>
        <v>0</v>
      </c>
      <c r="J835" s="295" t="str">
        <f ca="1">IFERROR(_xlfn.XLOOKUP(B835,TabCalc[Ticker],TabCalc[Cur]),"")</f>
        <v/>
      </c>
      <c r="K835" s="1129" cm="1">
        <f t="array" ref="K835">IFERROR(IF($A835=$A834,0,SUM(_xlfn._xlws.FILTER($E835:$E845,($A835:$A845=$A835)*($J835:$J845=K$42)))),0)</f>
        <v>0</v>
      </c>
      <c r="L835" s="1129" cm="1">
        <f t="array" ref="L835">IFERROR(IF($A835=$A834,0,SUM(_xlfn._xlws.FILTER($E835:$E845,($A835:$A845=$A835)*($J835:$J845=L$42)))),0)</f>
        <v>0</v>
      </c>
      <c r="M835" s="1129" cm="1">
        <f t="array" ref="M835">IFERROR(IF($A835=$A834,0,SUM(_xlfn._xlws.FILTER($E835:$E845,($A835:$A845=$A835)*($J835:$J845=M$42)))),0)</f>
        <v>0</v>
      </c>
      <c r="N835" s="1129" cm="1">
        <f t="array" ref="N835">IFERROR(IF($A835=$A834,0,SUM(_xlfn._xlws.FILTER($E835:$E845,($A835:$A845=$A835)*($J835:$J845=N$42)))),0)</f>
        <v>0</v>
      </c>
    </row>
    <row r="836" spans="5:14">
      <c r="E836" s="1128">
        <f ca="1">IFERROR(C836*D836*_xlfn.XLOOKUP(B836,TabCalc[Ticker],TabCalc[Scale]),0)</f>
        <v>0</v>
      </c>
      <c r="F836" s="1129" cm="1">
        <f t="array" ref="F836">IF(A836=A835,0,SUM(_xlfn._xlws.FILTER(E836:E846,A836:A846=A836)))</f>
        <v>0</v>
      </c>
      <c r="G836" s="1130">
        <f>IF(F836&lt;&gt;0,SUM($F$43:F836),0)</f>
        <v>0</v>
      </c>
      <c r="H836" s="1130" cm="1">
        <f t="array" ref="H836">IFERROR(IF(A836=A835,0,SUM(_xlfn._xlws.FILTER(E836:E846,(A836:A846=A836)*(E836:E846&gt;0)))),0)</f>
        <v>0</v>
      </c>
      <c r="I836" s="1130" cm="1">
        <f t="array" ref="I836">IFERROR(IF(A836=A835,0,SUM(_xlfn._xlws.FILTER(E836:E846,(A836:A846=A836)*(F836&lt;0)))),0)</f>
        <v>0</v>
      </c>
      <c r="J836" s="295" t="str">
        <f ca="1">IFERROR(_xlfn.XLOOKUP(B836,TabCalc[Ticker],TabCalc[Cur]),"")</f>
        <v/>
      </c>
      <c r="K836" s="1129" cm="1">
        <f t="array" ref="K836">IFERROR(IF($A836=$A835,0,SUM(_xlfn._xlws.FILTER($E836:$E846,($A836:$A846=$A836)*($J836:$J846=K$42)))),0)</f>
        <v>0</v>
      </c>
      <c r="L836" s="1129" cm="1">
        <f t="array" ref="L836">IFERROR(IF($A836=$A835,0,SUM(_xlfn._xlws.FILTER($E836:$E846,($A836:$A846=$A836)*($J836:$J846=L$42)))),0)</f>
        <v>0</v>
      </c>
      <c r="M836" s="1129" cm="1">
        <f t="array" ref="M836">IFERROR(IF($A836=$A835,0,SUM(_xlfn._xlws.FILTER($E836:$E846,($A836:$A846=$A836)*($J836:$J846=M$42)))),0)</f>
        <v>0</v>
      </c>
      <c r="N836" s="1129" cm="1">
        <f t="array" ref="N836">IFERROR(IF($A836=$A835,0,SUM(_xlfn._xlws.FILTER($E836:$E846,($A836:$A846=$A836)*($J836:$J846=N$42)))),0)</f>
        <v>0</v>
      </c>
    </row>
    <row r="837" spans="5:14">
      <c r="E837" s="1128">
        <f ca="1">IFERROR(C837*D837*_xlfn.XLOOKUP(B837,TabCalc[Ticker],TabCalc[Scale]),0)</f>
        <v>0</v>
      </c>
      <c r="F837" s="1129" cm="1">
        <f t="array" ref="F837">IF(A837=A836,0,SUM(_xlfn._xlws.FILTER(E837:E847,A837:A847=A837)))</f>
        <v>0</v>
      </c>
      <c r="G837" s="1130">
        <f>IF(F837&lt;&gt;0,SUM($F$43:F837),0)</f>
        <v>0</v>
      </c>
      <c r="H837" s="1130" cm="1">
        <f t="array" ref="H837">IFERROR(IF(A837=A836,0,SUM(_xlfn._xlws.FILTER(E837:E847,(A837:A847=A837)*(E837:E847&gt;0)))),0)</f>
        <v>0</v>
      </c>
      <c r="I837" s="1130" cm="1">
        <f t="array" ref="I837">IFERROR(IF(A837=A836,0,SUM(_xlfn._xlws.FILTER(E837:E847,(A837:A847=A837)*(F837&lt;0)))),0)</f>
        <v>0</v>
      </c>
      <c r="J837" s="295" t="str">
        <f ca="1">IFERROR(_xlfn.XLOOKUP(B837,TabCalc[Ticker],TabCalc[Cur]),"")</f>
        <v/>
      </c>
      <c r="K837" s="1129" cm="1">
        <f t="array" ref="K837">IFERROR(IF($A837=$A836,0,SUM(_xlfn._xlws.FILTER($E837:$E847,($A837:$A847=$A837)*($J837:$J847=K$42)))),0)</f>
        <v>0</v>
      </c>
      <c r="L837" s="1129" cm="1">
        <f t="array" ref="L837">IFERROR(IF($A837=$A836,0,SUM(_xlfn._xlws.FILTER($E837:$E847,($A837:$A847=$A837)*($J837:$J847=L$42)))),0)</f>
        <v>0</v>
      </c>
      <c r="M837" s="1129" cm="1">
        <f t="array" ref="M837">IFERROR(IF($A837=$A836,0,SUM(_xlfn._xlws.FILTER($E837:$E847,($A837:$A847=$A837)*($J837:$J847=M$42)))),0)</f>
        <v>0</v>
      </c>
      <c r="N837" s="1129" cm="1">
        <f t="array" ref="N837">IFERROR(IF($A837=$A836,0,SUM(_xlfn._xlws.FILTER($E837:$E847,($A837:$A847=$A837)*($J837:$J847=N$42)))),0)</f>
        <v>0</v>
      </c>
    </row>
    <row r="838" spans="5:14">
      <c r="E838" s="1128">
        <f ca="1">IFERROR(C838*D838*_xlfn.XLOOKUP(B838,TabCalc[Ticker],TabCalc[Scale]),0)</f>
        <v>0</v>
      </c>
      <c r="F838" s="1129" cm="1">
        <f t="array" ref="F838">IF(A838=A837,0,SUM(_xlfn._xlws.FILTER(E838:E848,A838:A848=A838)))</f>
        <v>0</v>
      </c>
      <c r="G838" s="1130">
        <f>IF(F838&lt;&gt;0,SUM($F$43:F838),0)</f>
        <v>0</v>
      </c>
      <c r="H838" s="1130" cm="1">
        <f t="array" ref="H838">IFERROR(IF(A838=A837,0,SUM(_xlfn._xlws.FILTER(E838:E848,(A838:A848=A838)*(E838:E848&gt;0)))),0)</f>
        <v>0</v>
      </c>
      <c r="I838" s="1130" cm="1">
        <f t="array" ref="I838">IFERROR(IF(A838=A837,0,SUM(_xlfn._xlws.FILTER(E838:E848,(A838:A848=A838)*(F838&lt;0)))),0)</f>
        <v>0</v>
      </c>
      <c r="J838" s="295" t="str">
        <f ca="1">IFERROR(_xlfn.XLOOKUP(B838,TabCalc[Ticker],TabCalc[Cur]),"")</f>
        <v/>
      </c>
      <c r="K838" s="1129" cm="1">
        <f t="array" ref="K838">IFERROR(IF($A838=$A837,0,SUM(_xlfn._xlws.FILTER($E838:$E848,($A838:$A848=$A838)*($J838:$J848=K$42)))),0)</f>
        <v>0</v>
      </c>
      <c r="L838" s="1129" cm="1">
        <f t="array" ref="L838">IFERROR(IF($A838=$A837,0,SUM(_xlfn._xlws.FILTER($E838:$E848,($A838:$A848=$A838)*($J838:$J848=L$42)))),0)</f>
        <v>0</v>
      </c>
      <c r="M838" s="1129" cm="1">
        <f t="array" ref="M838">IFERROR(IF($A838=$A837,0,SUM(_xlfn._xlws.FILTER($E838:$E848,($A838:$A848=$A838)*($J838:$J848=M$42)))),0)</f>
        <v>0</v>
      </c>
      <c r="N838" s="1129" cm="1">
        <f t="array" ref="N838">IFERROR(IF($A838=$A837,0,SUM(_xlfn._xlws.FILTER($E838:$E848,($A838:$A848=$A838)*($J838:$J848=N$42)))),0)</f>
        <v>0</v>
      </c>
    </row>
    <row r="839" spans="5:14">
      <c r="E839" s="1128">
        <f ca="1">IFERROR(C839*D839*_xlfn.XLOOKUP(B839,TabCalc[Ticker],TabCalc[Scale]),0)</f>
        <v>0</v>
      </c>
      <c r="F839" s="1129" cm="1">
        <f t="array" ref="F839">IF(A839=A838,0,SUM(_xlfn._xlws.FILTER(E839:E849,A839:A849=A839)))</f>
        <v>0</v>
      </c>
      <c r="G839" s="1130">
        <f>IF(F839&lt;&gt;0,SUM($F$43:F839),0)</f>
        <v>0</v>
      </c>
      <c r="H839" s="1130" cm="1">
        <f t="array" ref="H839">IFERROR(IF(A839=A838,0,SUM(_xlfn._xlws.FILTER(E839:E849,(A839:A849=A839)*(E839:E849&gt;0)))),0)</f>
        <v>0</v>
      </c>
      <c r="I839" s="1130" cm="1">
        <f t="array" ref="I839">IFERROR(IF(A839=A838,0,SUM(_xlfn._xlws.FILTER(E839:E849,(A839:A849=A839)*(F839&lt;0)))),0)</f>
        <v>0</v>
      </c>
      <c r="J839" s="295" t="str">
        <f ca="1">IFERROR(_xlfn.XLOOKUP(B839,TabCalc[Ticker],TabCalc[Cur]),"")</f>
        <v/>
      </c>
      <c r="K839" s="1129" cm="1">
        <f t="array" ref="K839">IFERROR(IF($A839=$A838,0,SUM(_xlfn._xlws.FILTER($E839:$E849,($A839:$A849=$A839)*($J839:$J849=K$42)))),0)</f>
        <v>0</v>
      </c>
      <c r="L839" s="1129" cm="1">
        <f t="array" ref="L839">IFERROR(IF($A839=$A838,0,SUM(_xlfn._xlws.FILTER($E839:$E849,($A839:$A849=$A839)*($J839:$J849=L$42)))),0)</f>
        <v>0</v>
      </c>
      <c r="M839" s="1129" cm="1">
        <f t="array" ref="M839">IFERROR(IF($A839=$A838,0,SUM(_xlfn._xlws.FILTER($E839:$E849,($A839:$A849=$A839)*($J839:$J849=M$42)))),0)</f>
        <v>0</v>
      </c>
      <c r="N839" s="1129" cm="1">
        <f t="array" ref="N839">IFERROR(IF($A839=$A838,0,SUM(_xlfn._xlws.FILTER($E839:$E849,($A839:$A849=$A839)*($J839:$J849=N$42)))),0)</f>
        <v>0</v>
      </c>
    </row>
    <row r="840" spans="5:14">
      <c r="E840" s="1128">
        <f ca="1">IFERROR(C840*D840*_xlfn.XLOOKUP(B840,TabCalc[Ticker],TabCalc[Scale]),0)</f>
        <v>0</v>
      </c>
      <c r="F840" s="1129" cm="1">
        <f t="array" ref="F840">IF(A840=A839,0,SUM(_xlfn._xlws.FILTER(E840:E850,A840:A850=A840)))</f>
        <v>0</v>
      </c>
      <c r="G840" s="1130">
        <f>IF(F840&lt;&gt;0,SUM($F$43:F840),0)</f>
        <v>0</v>
      </c>
      <c r="H840" s="1130" cm="1">
        <f t="array" ref="H840">IFERROR(IF(A840=A839,0,SUM(_xlfn._xlws.FILTER(E840:E850,(A840:A850=A840)*(E840:E850&gt;0)))),0)</f>
        <v>0</v>
      </c>
      <c r="I840" s="1130" cm="1">
        <f t="array" ref="I840">IFERROR(IF(A840=A839,0,SUM(_xlfn._xlws.FILTER(E840:E850,(A840:A850=A840)*(F840&lt;0)))),0)</f>
        <v>0</v>
      </c>
      <c r="J840" s="295" t="str">
        <f ca="1">IFERROR(_xlfn.XLOOKUP(B840,TabCalc[Ticker],TabCalc[Cur]),"")</f>
        <v/>
      </c>
      <c r="K840" s="1129" cm="1">
        <f t="array" ref="K840">IFERROR(IF($A840=$A839,0,SUM(_xlfn._xlws.FILTER($E840:$E850,($A840:$A850=$A840)*($J840:$J850=K$42)))),0)</f>
        <v>0</v>
      </c>
      <c r="L840" s="1129" cm="1">
        <f t="array" ref="L840">IFERROR(IF($A840=$A839,0,SUM(_xlfn._xlws.FILTER($E840:$E850,($A840:$A850=$A840)*($J840:$J850=L$42)))),0)</f>
        <v>0</v>
      </c>
      <c r="M840" s="1129" cm="1">
        <f t="array" ref="M840">IFERROR(IF($A840=$A839,0,SUM(_xlfn._xlws.FILTER($E840:$E850,($A840:$A850=$A840)*($J840:$J850=M$42)))),0)</f>
        <v>0</v>
      </c>
      <c r="N840" s="1129" cm="1">
        <f t="array" ref="N840">IFERROR(IF($A840=$A839,0,SUM(_xlfn._xlws.FILTER($E840:$E850,($A840:$A850=$A840)*($J840:$J850=N$42)))),0)</f>
        <v>0</v>
      </c>
    </row>
    <row r="841" spans="5:14">
      <c r="E841" s="1128">
        <f ca="1">IFERROR(C841*D841*_xlfn.XLOOKUP(B841,TabCalc[Ticker],TabCalc[Scale]),0)</f>
        <v>0</v>
      </c>
      <c r="F841" s="1129" cm="1">
        <f t="array" ref="F841">IF(A841=A840,0,SUM(_xlfn._xlws.FILTER(E841:E851,A841:A851=A841)))</f>
        <v>0</v>
      </c>
      <c r="G841" s="1130">
        <f>IF(F841&lt;&gt;0,SUM($F$43:F841),0)</f>
        <v>0</v>
      </c>
      <c r="H841" s="1130" cm="1">
        <f t="array" ref="H841">IFERROR(IF(A841=A840,0,SUM(_xlfn._xlws.FILTER(E841:E851,(A841:A851=A841)*(E841:E851&gt;0)))),0)</f>
        <v>0</v>
      </c>
      <c r="I841" s="1130" cm="1">
        <f t="array" ref="I841">IFERROR(IF(A841=A840,0,SUM(_xlfn._xlws.FILTER(E841:E851,(A841:A851=A841)*(F841&lt;0)))),0)</f>
        <v>0</v>
      </c>
      <c r="J841" s="295" t="str">
        <f ca="1">IFERROR(_xlfn.XLOOKUP(B841,TabCalc[Ticker],TabCalc[Cur]),"")</f>
        <v/>
      </c>
      <c r="K841" s="1129" cm="1">
        <f t="array" ref="K841">IFERROR(IF($A841=$A840,0,SUM(_xlfn._xlws.FILTER($E841:$E851,($A841:$A851=$A841)*($J841:$J851=K$42)))),0)</f>
        <v>0</v>
      </c>
      <c r="L841" s="1129" cm="1">
        <f t="array" ref="L841">IFERROR(IF($A841=$A840,0,SUM(_xlfn._xlws.FILTER($E841:$E851,($A841:$A851=$A841)*($J841:$J851=L$42)))),0)</f>
        <v>0</v>
      </c>
      <c r="M841" s="1129" cm="1">
        <f t="array" ref="M841">IFERROR(IF($A841=$A840,0,SUM(_xlfn._xlws.FILTER($E841:$E851,($A841:$A851=$A841)*($J841:$J851=M$42)))),0)</f>
        <v>0</v>
      </c>
      <c r="N841" s="1129" cm="1">
        <f t="array" ref="N841">IFERROR(IF($A841=$A840,0,SUM(_xlfn._xlws.FILTER($E841:$E851,($A841:$A851=$A841)*($J841:$J851=N$42)))),0)</f>
        <v>0</v>
      </c>
    </row>
    <row r="842" spans="5:14">
      <c r="E842" s="1128">
        <f ca="1">IFERROR(C842*D842*_xlfn.XLOOKUP(B842,TabCalc[Ticker],TabCalc[Scale]),0)</f>
        <v>0</v>
      </c>
      <c r="F842" s="1129" cm="1">
        <f t="array" ref="F842">IF(A842=A841,0,SUM(_xlfn._xlws.FILTER(E842:E852,A842:A852=A842)))</f>
        <v>0</v>
      </c>
      <c r="G842" s="1130">
        <f>IF(F842&lt;&gt;0,SUM($F$43:F842),0)</f>
        <v>0</v>
      </c>
      <c r="H842" s="1130" cm="1">
        <f t="array" ref="H842">IFERROR(IF(A842=A841,0,SUM(_xlfn._xlws.FILTER(E842:E852,(A842:A852=A842)*(E842:E852&gt;0)))),0)</f>
        <v>0</v>
      </c>
      <c r="I842" s="1130" cm="1">
        <f t="array" ref="I842">IFERROR(IF(A842=A841,0,SUM(_xlfn._xlws.FILTER(E842:E852,(A842:A852=A842)*(F842&lt;0)))),0)</f>
        <v>0</v>
      </c>
      <c r="J842" s="295" t="str">
        <f ca="1">IFERROR(_xlfn.XLOOKUP(B842,TabCalc[Ticker],TabCalc[Cur]),"")</f>
        <v/>
      </c>
      <c r="K842" s="1129" cm="1">
        <f t="array" ref="K842">IFERROR(IF($A842=$A841,0,SUM(_xlfn._xlws.FILTER($E842:$E852,($A842:$A852=$A842)*($J842:$J852=K$42)))),0)</f>
        <v>0</v>
      </c>
      <c r="L842" s="1129" cm="1">
        <f t="array" ref="L842">IFERROR(IF($A842=$A841,0,SUM(_xlfn._xlws.FILTER($E842:$E852,($A842:$A852=$A842)*($J842:$J852=L$42)))),0)</f>
        <v>0</v>
      </c>
      <c r="M842" s="1129" cm="1">
        <f t="array" ref="M842">IFERROR(IF($A842=$A841,0,SUM(_xlfn._xlws.FILTER($E842:$E852,($A842:$A852=$A842)*($J842:$J852=M$42)))),0)</f>
        <v>0</v>
      </c>
      <c r="N842" s="1129" cm="1">
        <f t="array" ref="N842">IFERROR(IF($A842=$A841,0,SUM(_xlfn._xlws.FILTER($E842:$E852,($A842:$A852=$A842)*($J842:$J852=N$42)))),0)</f>
        <v>0</v>
      </c>
    </row>
    <row r="843" spans="5:14">
      <c r="E843" s="1128">
        <f ca="1">IFERROR(C843*D843*_xlfn.XLOOKUP(B843,TabCalc[Ticker],TabCalc[Scale]),0)</f>
        <v>0</v>
      </c>
      <c r="F843" s="1129" cm="1">
        <f t="array" ref="F843">IF(A843=A842,0,SUM(_xlfn._xlws.FILTER(E843:E853,A843:A853=A843)))</f>
        <v>0</v>
      </c>
      <c r="G843" s="1130">
        <f>IF(F843&lt;&gt;0,SUM($F$43:F843),0)</f>
        <v>0</v>
      </c>
      <c r="H843" s="1130" cm="1">
        <f t="array" ref="H843">IFERROR(IF(A843=A842,0,SUM(_xlfn._xlws.FILTER(E843:E853,(A843:A853=A843)*(E843:E853&gt;0)))),0)</f>
        <v>0</v>
      </c>
      <c r="I843" s="1130" cm="1">
        <f t="array" ref="I843">IFERROR(IF(A843=A842,0,SUM(_xlfn._xlws.FILTER(E843:E853,(A843:A853=A843)*(F843&lt;0)))),0)</f>
        <v>0</v>
      </c>
      <c r="J843" s="295" t="str">
        <f ca="1">IFERROR(_xlfn.XLOOKUP(B843,TabCalc[Ticker],TabCalc[Cur]),"")</f>
        <v/>
      </c>
      <c r="K843" s="1129" cm="1">
        <f t="array" ref="K843">IFERROR(IF($A843=$A842,0,SUM(_xlfn._xlws.FILTER($E843:$E853,($A843:$A853=$A843)*($J843:$J853=K$42)))),0)</f>
        <v>0</v>
      </c>
      <c r="L843" s="1129" cm="1">
        <f t="array" ref="L843">IFERROR(IF($A843=$A842,0,SUM(_xlfn._xlws.FILTER($E843:$E853,($A843:$A853=$A843)*($J843:$J853=L$42)))),0)</f>
        <v>0</v>
      </c>
      <c r="M843" s="1129" cm="1">
        <f t="array" ref="M843">IFERROR(IF($A843=$A842,0,SUM(_xlfn._xlws.FILTER($E843:$E853,($A843:$A853=$A843)*($J843:$J853=M$42)))),0)</f>
        <v>0</v>
      </c>
      <c r="N843" s="1129" cm="1">
        <f t="array" ref="N843">IFERROR(IF($A843=$A842,0,SUM(_xlfn._xlws.FILTER($E843:$E853,($A843:$A853=$A843)*($J843:$J853=N$42)))),0)</f>
        <v>0</v>
      </c>
    </row>
    <row r="844" spans="5:14">
      <c r="E844" s="1128">
        <f ca="1">IFERROR(C844*D844*_xlfn.XLOOKUP(B844,TabCalc[Ticker],TabCalc[Scale]),0)</f>
        <v>0</v>
      </c>
      <c r="F844" s="1129" cm="1">
        <f t="array" ref="F844">IF(A844=A843,0,SUM(_xlfn._xlws.FILTER(E844:E854,A844:A854=A844)))</f>
        <v>0</v>
      </c>
      <c r="G844" s="1130">
        <f>IF(F844&lt;&gt;0,SUM($F$43:F844),0)</f>
        <v>0</v>
      </c>
      <c r="H844" s="1130" cm="1">
        <f t="array" ref="H844">IFERROR(IF(A844=A843,0,SUM(_xlfn._xlws.FILTER(E844:E854,(A844:A854=A844)*(E844:E854&gt;0)))),0)</f>
        <v>0</v>
      </c>
      <c r="I844" s="1130" cm="1">
        <f t="array" ref="I844">IFERROR(IF(A844=A843,0,SUM(_xlfn._xlws.FILTER(E844:E854,(A844:A854=A844)*(F844&lt;0)))),0)</f>
        <v>0</v>
      </c>
      <c r="J844" s="295" t="str">
        <f ca="1">IFERROR(_xlfn.XLOOKUP(B844,TabCalc[Ticker],TabCalc[Cur]),"")</f>
        <v/>
      </c>
      <c r="K844" s="1129" cm="1">
        <f t="array" ref="K844">IFERROR(IF($A844=$A843,0,SUM(_xlfn._xlws.FILTER($E844:$E854,($A844:$A854=$A844)*($J844:$J854=K$42)))),0)</f>
        <v>0</v>
      </c>
      <c r="L844" s="1129" cm="1">
        <f t="array" ref="L844">IFERROR(IF($A844=$A843,0,SUM(_xlfn._xlws.FILTER($E844:$E854,($A844:$A854=$A844)*($J844:$J854=L$42)))),0)</f>
        <v>0</v>
      </c>
      <c r="M844" s="1129" cm="1">
        <f t="array" ref="M844">IFERROR(IF($A844=$A843,0,SUM(_xlfn._xlws.FILTER($E844:$E854,($A844:$A854=$A844)*($J844:$J854=M$42)))),0)</f>
        <v>0</v>
      </c>
      <c r="N844" s="1129" cm="1">
        <f t="array" ref="N844">IFERROR(IF($A844=$A843,0,SUM(_xlfn._xlws.FILTER($E844:$E854,($A844:$A854=$A844)*($J844:$J854=N$42)))),0)</f>
        <v>0</v>
      </c>
    </row>
    <row r="845" spans="5:14">
      <c r="E845" s="1128">
        <f ca="1">IFERROR(C845*D845*_xlfn.XLOOKUP(B845,TabCalc[Ticker],TabCalc[Scale]),0)</f>
        <v>0</v>
      </c>
      <c r="F845" s="1129" cm="1">
        <f t="array" ref="F845">IF(A845=A844,0,SUM(_xlfn._xlws.FILTER(E845:E855,A845:A855=A845)))</f>
        <v>0</v>
      </c>
      <c r="G845" s="1130">
        <f>IF(F845&lt;&gt;0,SUM($F$43:F845),0)</f>
        <v>0</v>
      </c>
      <c r="H845" s="1130" cm="1">
        <f t="array" ref="H845">IFERROR(IF(A845=A844,0,SUM(_xlfn._xlws.FILTER(E845:E855,(A845:A855=A845)*(E845:E855&gt;0)))),0)</f>
        <v>0</v>
      </c>
      <c r="I845" s="1130" cm="1">
        <f t="array" ref="I845">IFERROR(IF(A845=A844,0,SUM(_xlfn._xlws.FILTER(E845:E855,(A845:A855=A845)*(F845&lt;0)))),0)</f>
        <v>0</v>
      </c>
      <c r="J845" s="295" t="str">
        <f ca="1">IFERROR(_xlfn.XLOOKUP(B845,TabCalc[Ticker],TabCalc[Cur]),"")</f>
        <v/>
      </c>
      <c r="K845" s="1129" cm="1">
        <f t="array" ref="K845">IFERROR(IF($A845=$A844,0,SUM(_xlfn._xlws.FILTER($E845:$E855,($A845:$A855=$A845)*($J845:$J855=K$42)))),0)</f>
        <v>0</v>
      </c>
      <c r="L845" s="1129" cm="1">
        <f t="array" ref="L845">IFERROR(IF($A845=$A844,0,SUM(_xlfn._xlws.FILTER($E845:$E855,($A845:$A855=$A845)*($J845:$J855=L$42)))),0)</f>
        <v>0</v>
      </c>
      <c r="M845" s="1129" cm="1">
        <f t="array" ref="M845">IFERROR(IF($A845=$A844,0,SUM(_xlfn._xlws.FILTER($E845:$E855,($A845:$A855=$A845)*($J845:$J855=M$42)))),0)</f>
        <v>0</v>
      </c>
      <c r="N845" s="1129" cm="1">
        <f t="array" ref="N845">IFERROR(IF($A845=$A844,0,SUM(_xlfn._xlws.FILTER($E845:$E855,($A845:$A855=$A845)*($J845:$J855=N$42)))),0)</f>
        <v>0</v>
      </c>
    </row>
    <row r="846" spans="5:14">
      <c r="E846" s="1128">
        <f ca="1">IFERROR(C846*D846*_xlfn.XLOOKUP(B846,TabCalc[Ticker],TabCalc[Scale]),0)</f>
        <v>0</v>
      </c>
      <c r="F846" s="1129" cm="1">
        <f t="array" ref="F846">IF(A846=A845,0,SUM(_xlfn._xlws.FILTER(E846:E856,A846:A856=A846)))</f>
        <v>0</v>
      </c>
      <c r="G846" s="1130">
        <f>IF(F846&lt;&gt;0,SUM($F$43:F846),0)</f>
        <v>0</v>
      </c>
      <c r="H846" s="1130" cm="1">
        <f t="array" ref="H846">IFERROR(IF(A846=A845,0,SUM(_xlfn._xlws.FILTER(E846:E856,(A846:A856=A846)*(E846:E856&gt;0)))),0)</f>
        <v>0</v>
      </c>
      <c r="I846" s="1130" cm="1">
        <f t="array" ref="I846">IFERROR(IF(A846=A845,0,SUM(_xlfn._xlws.FILTER(E846:E856,(A846:A856=A846)*(F846&lt;0)))),0)</f>
        <v>0</v>
      </c>
      <c r="J846" s="295" t="str">
        <f ca="1">IFERROR(_xlfn.XLOOKUP(B846,TabCalc[Ticker],TabCalc[Cur]),"")</f>
        <v/>
      </c>
      <c r="K846" s="1129" cm="1">
        <f t="array" ref="K846">IFERROR(IF($A846=$A845,0,SUM(_xlfn._xlws.FILTER($E846:$E856,($A846:$A856=$A846)*($J846:$J856=K$42)))),0)</f>
        <v>0</v>
      </c>
      <c r="L846" s="1129" cm="1">
        <f t="array" ref="L846">IFERROR(IF($A846=$A845,0,SUM(_xlfn._xlws.FILTER($E846:$E856,($A846:$A856=$A846)*($J846:$J856=L$42)))),0)</f>
        <v>0</v>
      </c>
      <c r="M846" s="1129" cm="1">
        <f t="array" ref="M846">IFERROR(IF($A846=$A845,0,SUM(_xlfn._xlws.FILTER($E846:$E856,($A846:$A856=$A846)*($J846:$J856=M$42)))),0)</f>
        <v>0</v>
      </c>
      <c r="N846" s="1129" cm="1">
        <f t="array" ref="N846">IFERROR(IF($A846=$A845,0,SUM(_xlfn._xlws.FILTER($E846:$E856,($A846:$A856=$A846)*($J846:$J856=N$42)))),0)</f>
        <v>0</v>
      </c>
    </row>
    <row r="847" spans="5:14">
      <c r="E847" s="1128">
        <f ca="1">IFERROR(C847*D847*_xlfn.XLOOKUP(B847,TabCalc[Ticker],TabCalc[Scale]),0)</f>
        <v>0</v>
      </c>
      <c r="F847" s="1129" cm="1">
        <f t="array" ref="F847">IF(A847=A846,0,SUM(_xlfn._xlws.FILTER(E847:E857,A847:A857=A847)))</f>
        <v>0</v>
      </c>
      <c r="G847" s="1130">
        <f>IF(F847&lt;&gt;0,SUM($F$43:F847),0)</f>
        <v>0</v>
      </c>
      <c r="H847" s="1130" cm="1">
        <f t="array" ref="H847">IFERROR(IF(A847=A846,0,SUM(_xlfn._xlws.FILTER(E847:E857,(A847:A857=A847)*(E847:E857&gt;0)))),0)</f>
        <v>0</v>
      </c>
      <c r="I847" s="1130" cm="1">
        <f t="array" ref="I847">IFERROR(IF(A847=A846,0,SUM(_xlfn._xlws.FILTER(E847:E857,(A847:A857=A847)*(F847&lt;0)))),0)</f>
        <v>0</v>
      </c>
      <c r="J847" s="295" t="str">
        <f ca="1">IFERROR(_xlfn.XLOOKUP(B847,TabCalc[Ticker],TabCalc[Cur]),"")</f>
        <v/>
      </c>
      <c r="K847" s="1129" cm="1">
        <f t="array" ref="K847">IFERROR(IF($A847=$A846,0,SUM(_xlfn._xlws.FILTER($E847:$E857,($A847:$A857=$A847)*($J847:$J857=K$42)))),0)</f>
        <v>0</v>
      </c>
      <c r="L847" s="1129" cm="1">
        <f t="array" ref="L847">IFERROR(IF($A847=$A846,0,SUM(_xlfn._xlws.FILTER($E847:$E857,($A847:$A857=$A847)*($J847:$J857=L$42)))),0)</f>
        <v>0</v>
      </c>
      <c r="M847" s="1129" cm="1">
        <f t="array" ref="M847">IFERROR(IF($A847=$A846,0,SUM(_xlfn._xlws.FILTER($E847:$E857,($A847:$A857=$A847)*($J847:$J857=M$42)))),0)</f>
        <v>0</v>
      </c>
      <c r="N847" s="1129" cm="1">
        <f t="array" ref="N847">IFERROR(IF($A847=$A846,0,SUM(_xlfn._xlws.FILTER($E847:$E857,($A847:$A857=$A847)*($J847:$J857=N$42)))),0)</f>
        <v>0</v>
      </c>
    </row>
    <row r="848" spans="5:14">
      <c r="E848" s="1128">
        <f ca="1">IFERROR(C848*D848*_xlfn.XLOOKUP(B848,TabCalc[Ticker],TabCalc[Scale]),0)</f>
        <v>0</v>
      </c>
      <c r="F848" s="1129" cm="1">
        <f t="array" ref="F848">IF(A848=A847,0,SUM(_xlfn._xlws.FILTER(E848:E858,A848:A858=A848)))</f>
        <v>0</v>
      </c>
      <c r="G848" s="1130">
        <f>IF(F848&lt;&gt;0,SUM($F$43:F848),0)</f>
        <v>0</v>
      </c>
      <c r="H848" s="1130" cm="1">
        <f t="array" ref="H848">IFERROR(IF(A848=A847,0,SUM(_xlfn._xlws.FILTER(E848:E858,(A848:A858=A848)*(E848:E858&gt;0)))),0)</f>
        <v>0</v>
      </c>
      <c r="I848" s="1130" cm="1">
        <f t="array" ref="I848">IFERROR(IF(A848=A847,0,SUM(_xlfn._xlws.FILTER(E848:E858,(A848:A858=A848)*(F848&lt;0)))),0)</f>
        <v>0</v>
      </c>
      <c r="J848" s="295" t="str">
        <f ca="1">IFERROR(_xlfn.XLOOKUP(B848,TabCalc[Ticker],TabCalc[Cur]),"")</f>
        <v/>
      </c>
      <c r="K848" s="1129" cm="1">
        <f t="array" ref="K848">IFERROR(IF($A848=$A847,0,SUM(_xlfn._xlws.FILTER($E848:$E858,($A848:$A858=$A848)*($J848:$J858=K$42)))),0)</f>
        <v>0</v>
      </c>
      <c r="L848" s="1129" cm="1">
        <f t="array" ref="L848">IFERROR(IF($A848=$A847,0,SUM(_xlfn._xlws.FILTER($E848:$E858,($A848:$A858=$A848)*($J848:$J858=L$42)))),0)</f>
        <v>0</v>
      </c>
      <c r="M848" s="1129" cm="1">
        <f t="array" ref="M848">IFERROR(IF($A848=$A847,0,SUM(_xlfn._xlws.FILTER($E848:$E858,($A848:$A858=$A848)*($J848:$J858=M$42)))),0)</f>
        <v>0</v>
      </c>
      <c r="N848" s="1129" cm="1">
        <f t="array" ref="N848">IFERROR(IF($A848=$A847,0,SUM(_xlfn._xlws.FILTER($E848:$E858,($A848:$A858=$A848)*($J848:$J858=N$42)))),0)</f>
        <v>0</v>
      </c>
    </row>
    <row r="849" spans="5:14">
      <c r="E849" s="1128">
        <f ca="1">IFERROR(C849*D849*_xlfn.XLOOKUP(B849,TabCalc[Ticker],TabCalc[Scale]),0)</f>
        <v>0</v>
      </c>
      <c r="F849" s="1129" cm="1">
        <f t="array" ref="F849">IF(A849=A848,0,SUM(_xlfn._xlws.FILTER(E849:E859,A849:A859=A849)))</f>
        <v>0</v>
      </c>
      <c r="G849" s="1130">
        <f>IF(F849&lt;&gt;0,SUM($F$43:F849),0)</f>
        <v>0</v>
      </c>
      <c r="H849" s="1130" cm="1">
        <f t="array" ref="H849">IFERROR(IF(A849=A848,0,SUM(_xlfn._xlws.FILTER(E849:E859,(A849:A859=A849)*(E849:E859&gt;0)))),0)</f>
        <v>0</v>
      </c>
      <c r="I849" s="1130" cm="1">
        <f t="array" ref="I849">IFERROR(IF(A849=A848,0,SUM(_xlfn._xlws.FILTER(E849:E859,(A849:A859=A849)*(F849&lt;0)))),0)</f>
        <v>0</v>
      </c>
      <c r="J849" s="295" t="str">
        <f ca="1">IFERROR(_xlfn.XLOOKUP(B849,TabCalc[Ticker],TabCalc[Cur]),"")</f>
        <v/>
      </c>
      <c r="K849" s="1129" cm="1">
        <f t="array" ref="K849">IFERROR(IF($A849=$A848,0,SUM(_xlfn._xlws.FILTER($E849:$E859,($A849:$A859=$A849)*($J849:$J859=K$42)))),0)</f>
        <v>0</v>
      </c>
      <c r="L849" s="1129" cm="1">
        <f t="array" ref="L849">IFERROR(IF($A849=$A848,0,SUM(_xlfn._xlws.FILTER($E849:$E859,($A849:$A859=$A849)*($J849:$J859=L$42)))),0)</f>
        <v>0</v>
      </c>
      <c r="M849" s="1129" cm="1">
        <f t="array" ref="M849">IFERROR(IF($A849=$A848,0,SUM(_xlfn._xlws.FILTER($E849:$E859,($A849:$A859=$A849)*($J849:$J859=M$42)))),0)</f>
        <v>0</v>
      </c>
      <c r="N849" s="1129" cm="1">
        <f t="array" ref="N849">IFERROR(IF($A849=$A848,0,SUM(_xlfn._xlws.FILTER($E849:$E859,($A849:$A859=$A849)*($J849:$J859=N$42)))),0)</f>
        <v>0</v>
      </c>
    </row>
    <row r="850" spans="5:14">
      <c r="E850" s="1128">
        <f ca="1">IFERROR(C850*D850*_xlfn.XLOOKUP(B850,TabCalc[Ticker],TabCalc[Scale]),0)</f>
        <v>0</v>
      </c>
      <c r="F850" s="1129" cm="1">
        <f t="array" ref="F850">IF(A850=A849,0,SUM(_xlfn._xlws.FILTER(E850:E860,A850:A860=A850)))</f>
        <v>0</v>
      </c>
      <c r="G850" s="1130">
        <f>IF(F850&lt;&gt;0,SUM($F$43:F850),0)</f>
        <v>0</v>
      </c>
      <c r="H850" s="1130" cm="1">
        <f t="array" ref="H850">IFERROR(IF(A850=A849,0,SUM(_xlfn._xlws.FILTER(E850:E860,(A850:A860=A850)*(E850:E860&gt;0)))),0)</f>
        <v>0</v>
      </c>
      <c r="I850" s="1130" cm="1">
        <f t="array" ref="I850">IFERROR(IF(A850=A849,0,SUM(_xlfn._xlws.FILTER(E850:E860,(A850:A860=A850)*(F850&lt;0)))),0)</f>
        <v>0</v>
      </c>
      <c r="J850" s="295" t="str">
        <f ca="1">IFERROR(_xlfn.XLOOKUP(B850,TabCalc[Ticker],TabCalc[Cur]),"")</f>
        <v/>
      </c>
      <c r="K850" s="1129" cm="1">
        <f t="array" ref="K850">IFERROR(IF($A850=$A849,0,SUM(_xlfn._xlws.FILTER($E850:$E860,($A850:$A860=$A850)*($J850:$J860=K$42)))),0)</f>
        <v>0</v>
      </c>
      <c r="L850" s="1129" cm="1">
        <f t="array" ref="L850">IFERROR(IF($A850=$A849,0,SUM(_xlfn._xlws.FILTER($E850:$E860,($A850:$A860=$A850)*($J850:$J860=L$42)))),0)</f>
        <v>0</v>
      </c>
      <c r="M850" s="1129" cm="1">
        <f t="array" ref="M850">IFERROR(IF($A850=$A849,0,SUM(_xlfn._xlws.FILTER($E850:$E860,($A850:$A860=$A850)*($J850:$J860=M$42)))),0)</f>
        <v>0</v>
      </c>
      <c r="N850" s="1129" cm="1">
        <f t="array" ref="N850">IFERROR(IF($A850=$A849,0,SUM(_xlfn._xlws.FILTER($E850:$E860,($A850:$A860=$A850)*($J850:$J860=N$42)))),0)</f>
        <v>0</v>
      </c>
    </row>
    <row r="851" spans="5:14">
      <c r="E851" s="1128">
        <f ca="1">IFERROR(C851*D851*_xlfn.XLOOKUP(B851,TabCalc[Ticker],TabCalc[Scale]),0)</f>
        <v>0</v>
      </c>
      <c r="F851" s="1129" cm="1">
        <f t="array" ref="F851">IF(A851=A850,0,SUM(_xlfn._xlws.FILTER(E851:E861,A851:A861=A851)))</f>
        <v>0</v>
      </c>
      <c r="G851" s="1130">
        <f>IF(F851&lt;&gt;0,SUM($F$43:F851),0)</f>
        <v>0</v>
      </c>
      <c r="H851" s="1130" cm="1">
        <f t="array" ref="H851">IFERROR(IF(A851=A850,0,SUM(_xlfn._xlws.FILTER(E851:E861,(A851:A861=A851)*(E851:E861&gt;0)))),0)</f>
        <v>0</v>
      </c>
      <c r="I851" s="1130" cm="1">
        <f t="array" ref="I851">IFERROR(IF(A851=A850,0,SUM(_xlfn._xlws.FILTER(E851:E861,(A851:A861=A851)*(F851&lt;0)))),0)</f>
        <v>0</v>
      </c>
      <c r="J851" s="295" t="str">
        <f ca="1">IFERROR(_xlfn.XLOOKUP(B851,TabCalc[Ticker],TabCalc[Cur]),"")</f>
        <v/>
      </c>
      <c r="K851" s="1129" cm="1">
        <f t="array" ref="K851">IFERROR(IF($A851=$A850,0,SUM(_xlfn._xlws.FILTER($E851:$E861,($A851:$A861=$A851)*($J851:$J861=K$42)))),0)</f>
        <v>0</v>
      </c>
      <c r="L851" s="1129" cm="1">
        <f t="array" ref="L851">IFERROR(IF($A851=$A850,0,SUM(_xlfn._xlws.FILTER($E851:$E861,($A851:$A861=$A851)*($J851:$J861=L$42)))),0)</f>
        <v>0</v>
      </c>
      <c r="M851" s="1129" cm="1">
        <f t="array" ref="M851">IFERROR(IF($A851=$A850,0,SUM(_xlfn._xlws.FILTER($E851:$E861,($A851:$A861=$A851)*($J851:$J861=M$42)))),0)</f>
        <v>0</v>
      </c>
      <c r="N851" s="1129" cm="1">
        <f t="array" ref="N851">IFERROR(IF($A851=$A850,0,SUM(_xlfn._xlws.FILTER($E851:$E861,($A851:$A861=$A851)*($J851:$J861=N$42)))),0)</f>
        <v>0</v>
      </c>
    </row>
    <row r="852" spans="5:14">
      <c r="E852" s="1128">
        <f ca="1">IFERROR(C852*D852*_xlfn.XLOOKUP(B852,TabCalc[Ticker],TabCalc[Scale]),0)</f>
        <v>0</v>
      </c>
      <c r="F852" s="1129" cm="1">
        <f t="array" ref="F852">IF(A852=A851,0,SUM(_xlfn._xlws.FILTER(E852:E862,A852:A862=A852)))</f>
        <v>0</v>
      </c>
      <c r="G852" s="1130">
        <f>IF(F852&lt;&gt;0,SUM($F$43:F852),0)</f>
        <v>0</v>
      </c>
      <c r="H852" s="1130" cm="1">
        <f t="array" ref="H852">IFERROR(IF(A852=A851,0,SUM(_xlfn._xlws.FILTER(E852:E862,(A852:A862=A852)*(E852:E862&gt;0)))),0)</f>
        <v>0</v>
      </c>
      <c r="I852" s="1130" cm="1">
        <f t="array" ref="I852">IFERROR(IF(A852=A851,0,SUM(_xlfn._xlws.FILTER(E852:E862,(A852:A862=A852)*(F852&lt;0)))),0)</f>
        <v>0</v>
      </c>
      <c r="J852" s="295" t="str">
        <f ca="1">IFERROR(_xlfn.XLOOKUP(B852,TabCalc[Ticker],TabCalc[Cur]),"")</f>
        <v/>
      </c>
      <c r="K852" s="1129" cm="1">
        <f t="array" ref="K852">IFERROR(IF($A852=$A851,0,SUM(_xlfn._xlws.FILTER($E852:$E862,($A852:$A862=$A852)*($J852:$J862=K$42)))),0)</f>
        <v>0</v>
      </c>
      <c r="L852" s="1129" cm="1">
        <f t="array" ref="L852">IFERROR(IF($A852=$A851,0,SUM(_xlfn._xlws.FILTER($E852:$E862,($A852:$A862=$A852)*($J852:$J862=L$42)))),0)</f>
        <v>0</v>
      </c>
      <c r="M852" s="1129" cm="1">
        <f t="array" ref="M852">IFERROR(IF($A852=$A851,0,SUM(_xlfn._xlws.FILTER($E852:$E862,($A852:$A862=$A852)*($J852:$J862=M$42)))),0)</f>
        <v>0</v>
      </c>
      <c r="N852" s="1129" cm="1">
        <f t="array" ref="N852">IFERROR(IF($A852=$A851,0,SUM(_xlfn._xlws.FILTER($E852:$E862,($A852:$A862=$A852)*($J852:$J862=N$42)))),0)</f>
        <v>0</v>
      </c>
    </row>
    <row r="853" spans="5:14">
      <c r="E853" s="1128">
        <f ca="1">IFERROR(C853*D853*_xlfn.XLOOKUP(B853,TabCalc[Ticker],TabCalc[Scale]),0)</f>
        <v>0</v>
      </c>
      <c r="F853" s="1129" cm="1">
        <f t="array" ref="F853">IF(A853=A852,0,SUM(_xlfn._xlws.FILTER(E853:E863,A853:A863=A853)))</f>
        <v>0</v>
      </c>
      <c r="G853" s="1130">
        <f>IF(F853&lt;&gt;0,SUM($F$43:F853),0)</f>
        <v>0</v>
      </c>
      <c r="H853" s="1130" cm="1">
        <f t="array" ref="H853">IFERROR(IF(A853=A852,0,SUM(_xlfn._xlws.FILTER(E853:E863,(A853:A863=A853)*(E853:E863&gt;0)))),0)</f>
        <v>0</v>
      </c>
      <c r="I853" s="1130" cm="1">
        <f t="array" ref="I853">IFERROR(IF(A853=A852,0,SUM(_xlfn._xlws.FILTER(E853:E863,(A853:A863=A853)*(F853&lt;0)))),0)</f>
        <v>0</v>
      </c>
      <c r="J853" s="295" t="str">
        <f ca="1">IFERROR(_xlfn.XLOOKUP(B853,TabCalc[Ticker],TabCalc[Cur]),"")</f>
        <v/>
      </c>
      <c r="K853" s="1129" cm="1">
        <f t="array" ref="K853">IFERROR(IF($A853=$A852,0,SUM(_xlfn._xlws.FILTER($E853:$E863,($A853:$A863=$A853)*($J853:$J863=K$42)))),0)</f>
        <v>0</v>
      </c>
      <c r="L853" s="1129" cm="1">
        <f t="array" ref="L853">IFERROR(IF($A853=$A852,0,SUM(_xlfn._xlws.FILTER($E853:$E863,($A853:$A863=$A853)*($J853:$J863=L$42)))),0)</f>
        <v>0</v>
      </c>
      <c r="M853" s="1129" cm="1">
        <f t="array" ref="M853">IFERROR(IF($A853=$A852,0,SUM(_xlfn._xlws.FILTER($E853:$E863,($A853:$A863=$A853)*($J853:$J863=M$42)))),0)</f>
        <v>0</v>
      </c>
      <c r="N853" s="1129" cm="1">
        <f t="array" ref="N853">IFERROR(IF($A853=$A852,0,SUM(_xlfn._xlws.FILTER($E853:$E863,($A853:$A863=$A853)*($J853:$J863=N$42)))),0)</f>
        <v>0</v>
      </c>
    </row>
    <row r="854" spans="5:14">
      <c r="E854" s="1128">
        <f ca="1">IFERROR(C854*D854*_xlfn.XLOOKUP(B854,TabCalc[Ticker],TabCalc[Scale]),0)</f>
        <v>0</v>
      </c>
      <c r="F854" s="1129" cm="1">
        <f t="array" ref="F854">IF(A854=A853,0,SUM(_xlfn._xlws.FILTER(E854:E864,A854:A864=A854)))</f>
        <v>0</v>
      </c>
      <c r="G854" s="1130">
        <f>IF(F854&lt;&gt;0,SUM($F$43:F854),0)</f>
        <v>0</v>
      </c>
      <c r="H854" s="1130" cm="1">
        <f t="array" ref="H854">IFERROR(IF(A854=A853,0,SUM(_xlfn._xlws.FILTER(E854:E864,(A854:A864=A854)*(E854:E864&gt;0)))),0)</f>
        <v>0</v>
      </c>
      <c r="I854" s="1130" cm="1">
        <f t="array" ref="I854">IFERROR(IF(A854=A853,0,SUM(_xlfn._xlws.FILTER(E854:E864,(A854:A864=A854)*(F854&lt;0)))),0)</f>
        <v>0</v>
      </c>
      <c r="J854" s="295" t="str">
        <f ca="1">IFERROR(_xlfn.XLOOKUP(B854,TabCalc[Ticker],TabCalc[Cur]),"")</f>
        <v/>
      </c>
      <c r="K854" s="1129" cm="1">
        <f t="array" ref="K854">IFERROR(IF($A854=$A853,0,SUM(_xlfn._xlws.FILTER($E854:$E864,($A854:$A864=$A854)*($J854:$J864=K$42)))),0)</f>
        <v>0</v>
      </c>
      <c r="L854" s="1129" cm="1">
        <f t="array" ref="L854">IFERROR(IF($A854=$A853,0,SUM(_xlfn._xlws.FILTER($E854:$E864,($A854:$A864=$A854)*($J854:$J864=L$42)))),0)</f>
        <v>0</v>
      </c>
      <c r="M854" s="1129" cm="1">
        <f t="array" ref="M854">IFERROR(IF($A854=$A853,0,SUM(_xlfn._xlws.FILTER($E854:$E864,($A854:$A864=$A854)*($J854:$J864=M$42)))),0)</f>
        <v>0</v>
      </c>
      <c r="N854" s="1129" cm="1">
        <f t="array" ref="N854">IFERROR(IF($A854=$A853,0,SUM(_xlfn._xlws.FILTER($E854:$E864,($A854:$A864=$A854)*($J854:$J864=N$42)))),0)</f>
        <v>0</v>
      </c>
    </row>
    <row r="855" spans="5:14">
      <c r="E855" s="1128">
        <f ca="1">IFERROR(C855*D855*_xlfn.XLOOKUP(B855,TabCalc[Ticker],TabCalc[Scale]),0)</f>
        <v>0</v>
      </c>
      <c r="F855" s="1129" cm="1">
        <f t="array" ref="F855">IF(A855=A854,0,SUM(_xlfn._xlws.FILTER(E855:E865,A855:A865=A855)))</f>
        <v>0</v>
      </c>
      <c r="G855" s="1130">
        <f>IF(F855&lt;&gt;0,SUM($F$43:F855),0)</f>
        <v>0</v>
      </c>
      <c r="H855" s="1130" cm="1">
        <f t="array" ref="H855">IFERROR(IF(A855=A854,0,SUM(_xlfn._xlws.FILTER(E855:E865,(A855:A865=A855)*(E855:E865&gt;0)))),0)</f>
        <v>0</v>
      </c>
      <c r="I855" s="1130" cm="1">
        <f t="array" ref="I855">IFERROR(IF(A855=A854,0,SUM(_xlfn._xlws.FILTER(E855:E865,(A855:A865=A855)*(F855&lt;0)))),0)</f>
        <v>0</v>
      </c>
      <c r="J855" s="295" t="str">
        <f ca="1">IFERROR(_xlfn.XLOOKUP(B855,TabCalc[Ticker],TabCalc[Cur]),"")</f>
        <v/>
      </c>
      <c r="K855" s="1129" cm="1">
        <f t="array" ref="K855">IFERROR(IF($A855=$A854,0,SUM(_xlfn._xlws.FILTER($E855:$E865,($A855:$A865=$A855)*($J855:$J865=K$42)))),0)</f>
        <v>0</v>
      </c>
      <c r="L855" s="1129" cm="1">
        <f t="array" ref="L855">IFERROR(IF($A855=$A854,0,SUM(_xlfn._xlws.FILTER($E855:$E865,($A855:$A865=$A855)*($J855:$J865=L$42)))),0)</f>
        <v>0</v>
      </c>
      <c r="M855" s="1129" cm="1">
        <f t="array" ref="M855">IFERROR(IF($A855=$A854,0,SUM(_xlfn._xlws.FILTER($E855:$E865,($A855:$A865=$A855)*($J855:$J865=M$42)))),0)</f>
        <v>0</v>
      </c>
      <c r="N855" s="1129" cm="1">
        <f t="array" ref="N855">IFERROR(IF($A855=$A854,0,SUM(_xlfn._xlws.FILTER($E855:$E865,($A855:$A865=$A855)*($J855:$J865=N$42)))),0)</f>
        <v>0</v>
      </c>
    </row>
    <row r="856" spans="5:14">
      <c r="E856" s="1128">
        <f ca="1">IFERROR(C856*D856*_xlfn.XLOOKUP(B856,TabCalc[Ticker],TabCalc[Scale]),0)</f>
        <v>0</v>
      </c>
      <c r="F856" s="1129" cm="1">
        <f t="array" ref="F856">IF(A856=A855,0,SUM(_xlfn._xlws.FILTER(E856:E866,A856:A866=A856)))</f>
        <v>0</v>
      </c>
      <c r="G856" s="1130">
        <f>IF(F856&lt;&gt;0,SUM($F$43:F856),0)</f>
        <v>0</v>
      </c>
      <c r="H856" s="1130" cm="1">
        <f t="array" ref="H856">IFERROR(IF(A856=A855,0,SUM(_xlfn._xlws.FILTER(E856:E866,(A856:A866=A856)*(E856:E866&gt;0)))),0)</f>
        <v>0</v>
      </c>
      <c r="I856" s="1130" cm="1">
        <f t="array" ref="I856">IFERROR(IF(A856=A855,0,SUM(_xlfn._xlws.FILTER(E856:E866,(A856:A866=A856)*(F856&lt;0)))),0)</f>
        <v>0</v>
      </c>
      <c r="J856" s="295" t="str">
        <f ca="1">IFERROR(_xlfn.XLOOKUP(B856,TabCalc[Ticker],TabCalc[Cur]),"")</f>
        <v/>
      </c>
      <c r="K856" s="1129" cm="1">
        <f t="array" ref="K856">IFERROR(IF($A856=$A855,0,SUM(_xlfn._xlws.FILTER($E856:$E866,($A856:$A866=$A856)*($J856:$J866=K$42)))),0)</f>
        <v>0</v>
      </c>
      <c r="L856" s="1129" cm="1">
        <f t="array" ref="L856">IFERROR(IF($A856=$A855,0,SUM(_xlfn._xlws.FILTER($E856:$E866,($A856:$A866=$A856)*($J856:$J866=L$42)))),0)</f>
        <v>0</v>
      </c>
      <c r="M856" s="1129" cm="1">
        <f t="array" ref="M856">IFERROR(IF($A856=$A855,0,SUM(_xlfn._xlws.FILTER($E856:$E866,($A856:$A866=$A856)*($J856:$J866=M$42)))),0)</f>
        <v>0</v>
      </c>
      <c r="N856" s="1129" cm="1">
        <f t="array" ref="N856">IFERROR(IF($A856=$A855,0,SUM(_xlfn._xlws.FILTER($E856:$E866,($A856:$A866=$A856)*($J856:$J866=N$42)))),0)</f>
        <v>0</v>
      </c>
    </row>
    <row r="857" spans="5:14">
      <c r="E857" s="1128">
        <f ca="1">IFERROR(C857*D857*_xlfn.XLOOKUP(B857,TabCalc[Ticker],TabCalc[Scale]),0)</f>
        <v>0</v>
      </c>
      <c r="F857" s="1129" cm="1">
        <f t="array" ref="F857">IF(A857=A856,0,SUM(_xlfn._xlws.FILTER(E857:E867,A857:A867=A857)))</f>
        <v>0</v>
      </c>
      <c r="G857" s="1130">
        <f>IF(F857&lt;&gt;0,SUM($F$43:F857),0)</f>
        <v>0</v>
      </c>
      <c r="H857" s="1130" cm="1">
        <f t="array" ref="H857">IFERROR(IF(A857=A856,0,SUM(_xlfn._xlws.FILTER(E857:E867,(A857:A867=A857)*(E857:E867&gt;0)))),0)</f>
        <v>0</v>
      </c>
      <c r="I857" s="1130" cm="1">
        <f t="array" ref="I857">IFERROR(IF(A857=A856,0,SUM(_xlfn._xlws.FILTER(E857:E867,(A857:A867=A857)*(F857&lt;0)))),0)</f>
        <v>0</v>
      </c>
      <c r="J857" s="295" t="str">
        <f ca="1">IFERROR(_xlfn.XLOOKUP(B857,TabCalc[Ticker],TabCalc[Cur]),"")</f>
        <v/>
      </c>
      <c r="K857" s="1129" cm="1">
        <f t="array" ref="K857">IFERROR(IF($A857=$A856,0,SUM(_xlfn._xlws.FILTER($E857:$E867,($A857:$A867=$A857)*($J857:$J867=K$42)))),0)</f>
        <v>0</v>
      </c>
      <c r="L857" s="1129" cm="1">
        <f t="array" ref="L857">IFERROR(IF($A857=$A856,0,SUM(_xlfn._xlws.FILTER($E857:$E867,($A857:$A867=$A857)*($J857:$J867=L$42)))),0)</f>
        <v>0</v>
      </c>
      <c r="M857" s="1129" cm="1">
        <f t="array" ref="M857">IFERROR(IF($A857=$A856,0,SUM(_xlfn._xlws.FILTER($E857:$E867,($A857:$A867=$A857)*($J857:$J867=M$42)))),0)</f>
        <v>0</v>
      </c>
      <c r="N857" s="1129" cm="1">
        <f t="array" ref="N857">IFERROR(IF($A857=$A856,0,SUM(_xlfn._xlws.FILTER($E857:$E867,($A857:$A867=$A857)*($J857:$J867=N$42)))),0)</f>
        <v>0</v>
      </c>
    </row>
    <row r="858" spans="5:14">
      <c r="E858" s="1128">
        <f ca="1">IFERROR(C858*D858*_xlfn.XLOOKUP(B858,TabCalc[Ticker],TabCalc[Scale]),0)</f>
        <v>0</v>
      </c>
      <c r="F858" s="1129" cm="1">
        <f t="array" ref="F858">IF(A858=A857,0,SUM(_xlfn._xlws.FILTER(E858:E868,A858:A868=A858)))</f>
        <v>0</v>
      </c>
      <c r="G858" s="1130">
        <f>IF(F858&lt;&gt;0,SUM($F$43:F858),0)</f>
        <v>0</v>
      </c>
      <c r="H858" s="1130" cm="1">
        <f t="array" ref="H858">IFERROR(IF(A858=A857,0,SUM(_xlfn._xlws.FILTER(E858:E868,(A858:A868=A858)*(E858:E868&gt;0)))),0)</f>
        <v>0</v>
      </c>
      <c r="I858" s="1130" cm="1">
        <f t="array" ref="I858">IFERROR(IF(A858=A857,0,SUM(_xlfn._xlws.FILTER(E858:E868,(A858:A868=A858)*(F858&lt;0)))),0)</f>
        <v>0</v>
      </c>
      <c r="J858" s="295" t="str">
        <f ca="1">IFERROR(_xlfn.XLOOKUP(B858,TabCalc[Ticker],TabCalc[Cur]),"")</f>
        <v/>
      </c>
      <c r="K858" s="1129" cm="1">
        <f t="array" ref="K858">IFERROR(IF($A858=$A857,0,SUM(_xlfn._xlws.FILTER($E858:$E868,($A858:$A868=$A858)*($J858:$J868=K$42)))),0)</f>
        <v>0</v>
      </c>
      <c r="L858" s="1129" cm="1">
        <f t="array" ref="L858">IFERROR(IF($A858=$A857,0,SUM(_xlfn._xlws.FILTER($E858:$E868,($A858:$A868=$A858)*($J858:$J868=L$42)))),0)</f>
        <v>0</v>
      </c>
      <c r="M858" s="1129" cm="1">
        <f t="array" ref="M858">IFERROR(IF($A858=$A857,0,SUM(_xlfn._xlws.FILTER($E858:$E868,($A858:$A868=$A858)*($J858:$J868=M$42)))),0)</f>
        <v>0</v>
      </c>
      <c r="N858" s="1129" cm="1">
        <f t="array" ref="N858">IFERROR(IF($A858=$A857,0,SUM(_xlfn._xlws.FILTER($E858:$E868,($A858:$A868=$A858)*($J858:$J868=N$42)))),0)</f>
        <v>0</v>
      </c>
    </row>
    <row r="859" spans="5:14">
      <c r="E859" s="1128">
        <f ca="1">IFERROR(C859*D859*_xlfn.XLOOKUP(B859,TabCalc[Ticker],TabCalc[Scale]),0)</f>
        <v>0</v>
      </c>
      <c r="F859" s="1129" cm="1">
        <f t="array" ref="F859">IF(A859=A858,0,SUM(_xlfn._xlws.FILTER(E859:E869,A859:A869=A859)))</f>
        <v>0</v>
      </c>
      <c r="G859" s="1130">
        <f>IF(F859&lt;&gt;0,SUM($F$43:F859),0)</f>
        <v>0</v>
      </c>
      <c r="H859" s="1130" cm="1">
        <f t="array" ref="H859">IFERROR(IF(A859=A858,0,SUM(_xlfn._xlws.FILTER(E859:E869,(A859:A869=A859)*(E859:E869&gt;0)))),0)</f>
        <v>0</v>
      </c>
      <c r="I859" s="1130" cm="1">
        <f t="array" ref="I859">IFERROR(IF(A859=A858,0,SUM(_xlfn._xlws.FILTER(E859:E869,(A859:A869=A859)*(F859&lt;0)))),0)</f>
        <v>0</v>
      </c>
      <c r="J859" s="295" t="str">
        <f ca="1">IFERROR(_xlfn.XLOOKUP(B859,TabCalc[Ticker],TabCalc[Cur]),"")</f>
        <v/>
      </c>
      <c r="K859" s="1129" cm="1">
        <f t="array" ref="K859">IFERROR(IF($A859=$A858,0,SUM(_xlfn._xlws.FILTER($E859:$E869,($A859:$A869=$A859)*($J859:$J869=K$42)))),0)</f>
        <v>0</v>
      </c>
      <c r="L859" s="1129" cm="1">
        <f t="array" ref="L859">IFERROR(IF($A859=$A858,0,SUM(_xlfn._xlws.FILTER($E859:$E869,($A859:$A869=$A859)*($J859:$J869=L$42)))),0)</f>
        <v>0</v>
      </c>
      <c r="M859" s="1129" cm="1">
        <f t="array" ref="M859">IFERROR(IF($A859=$A858,0,SUM(_xlfn._xlws.FILTER($E859:$E869,($A859:$A869=$A859)*($J859:$J869=M$42)))),0)</f>
        <v>0</v>
      </c>
      <c r="N859" s="1129" cm="1">
        <f t="array" ref="N859">IFERROR(IF($A859=$A858,0,SUM(_xlfn._xlws.FILTER($E859:$E869,($A859:$A869=$A859)*($J859:$J869=N$42)))),0)</f>
        <v>0</v>
      </c>
    </row>
    <row r="860" spans="5:14">
      <c r="E860" s="1128">
        <f ca="1">IFERROR(C860*D860*_xlfn.XLOOKUP(B860,TabCalc[Ticker],TabCalc[Scale]),0)</f>
        <v>0</v>
      </c>
      <c r="F860" s="1129" cm="1">
        <f t="array" ref="F860">IF(A860=A859,0,SUM(_xlfn._xlws.FILTER(E860:E870,A860:A870=A860)))</f>
        <v>0</v>
      </c>
      <c r="G860" s="1130">
        <f>IF(F860&lt;&gt;0,SUM($F$43:F860),0)</f>
        <v>0</v>
      </c>
      <c r="H860" s="1130" cm="1">
        <f t="array" ref="H860">IFERROR(IF(A860=A859,0,SUM(_xlfn._xlws.FILTER(E860:E870,(A860:A870=A860)*(E860:E870&gt;0)))),0)</f>
        <v>0</v>
      </c>
      <c r="I860" s="1130" cm="1">
        <f t="array" ref="I860">IFERROR(IF(A860=A859,0,SUM(_xlfn._xlws.FILTER(E860:E870,(A860:A870=A860)*(F860&lt;0)))),0)</f>
        <v>0</v>
      </c>
      <c r="J860" s="295" t="str">
        <f ca="1">IFERROR(_xlfn.XLOOKUP(B860,TabCalc[Ticker],TabCalc[Cur]),"")</f>
        <v/>
      </c>
      <c r="K860" s="1129" cm="1">
        <f t="array" ref="K860">IFERROR(IF($A860=$A859,0,SUM(_xlfn._xlws.FILTER($E860:$E870,($A860:$A870=$A860)*($J860:$J870=K$42)))),0)</f>
        <v>0</v>
      </c>
      <c r="L860" s="1129" cm="1">
        <f t="array" ref="L860">IFERROR(IF($A860=$A859,0,SUM(_xlfn._xlws.FILTER($E860:$E870,($A860:$A870=$A860)*($J860:$J870=L$42)))),0)</f>
        <v>0</v>
      </c>
      <c r="M860" s="1129" cm="1">
        <f t="array" ref="M860">IFERROR(IF($A860=$A859,0,SUM(_xlfn._xlws.FILTER($E860:$E870,($A860:$A870=$A860)*($J860:$J870=M$42)))),0)</f>
        <v>0</v>
      </c>
      <c r="N860" s="1129" cm="1">
        <f t="array" ref="N860">IFERROR(IF($A860=$A859,0,SUM(_xlfn._xlws.FILTER($E860:$E870,($A860:$A870=$A860)*($J860:$J870=N$42)))),0)</f>
        <v>0</v>
      </c>
    </row>
    <row r="861" spans="5:14">
      <c r="E861" s="1128">
        <f ca="1">IFERROR(C861*D861*_xlfn.XLOOKUP(B861,TabCalc[Ticker],TabCalc[Scale]),0)</f>
        <v>0</v>
      </c>
      <c r="F861" s="1129" cm="1">
        <f t="array" ref="F861">IF(A861=A860,0,SUM(_xlfn._xlws.FILTER(E861:E871,A861:A871=A861)))</f>
        <v>0</v>
      </c>
      <c r="G861" s="1130">
        <f>IF(F861&lt;&gt;0,SUM($F$43:F861),0)</f>
        <v>0</v>
      </c>
      <c r="H861" s="1130" cm="1">
        <f t="array" ref="H861">IFERROR(IF(A861=A860,0,SUM(_xlfn._xlws.FILTER(E861:E871,(A861:A871=A861)*(E861:E871&gt;0)))),0)</f>
        <v>0</v>
      </c>
      <c r="I861" s="1130" cm="1">
        <f t="array" ref="I861">IFERROR(IF(A861=A860,0,SUM(_xlfn._xlws.FILTER(E861:E871,(A861:A871=A861)*(F861&lt;0)))),0)</f>
        <v>0</v>
      </c>
      <c r="J861" s="295" t="str">
        <f ca="1">IFERROR(_xlfn.XLOOKUP(B861,TabCalc[Ticker],TabCalc[Cur]),"")</f>
        <v/>
      </c>
      <c r="K861" s="1129" cm="1">
        <f t="array" ref="K861">IFERROR(IF($A861=$A860,0,SUM(_xlfn._xlws.FILTER($E861:$E871,($A861:$A871=$A861)*($J861:$J871=K$42)))),0)</f>
        <v>0</v>
      </c>
      <c r="L861" s="1129" cm="1">
        <f t="array" ref="L861">IFERROR(IF($A861=$A860,0,SUM(_xlfn._xlws.FILTER($E861:$E871,($A861:$A871=$A861)*($J861:$J871=L$42)))),0)</f>
        <v>0</v>
      </c>
      <c r="M861" s="1129" cm="1">
        <f t="array" ref="M861">IFERROR(IF($A861=$A860,0,SUM(_xlfn._xlws.FILTER($E861:$E871,($A861:$A871=$A861)*($J861:$J871=M$42)))),0)</f>
        <v>0</v>
      </c>
      <c r="N861" s="1129" cm="1">
        <f t="array" ref="N861">IFERROR(IF($A861=$A860,0,SUM(_xlfn._xlws.FILTER($E861:$E871,($A861:$A871=$A861)*($J861:$J871=N$42)))),0)</f>
        <v>0</v>
      </c>
    </row>
    <row r="862" spans="5:14">
      <c r="E862" s="1128">
        <f ca="1">IFERROR(C862*D862*_xlfn.XLOOKUP(B862,TabCalc[Ticker],TabCalc[Scale]),0)</f>
        <v>0</v>
      </c>
      <c r="F862" s="1129" cm="1">
        <f t="array" ref="F862">IF(A862=A861,0,SUM(_xlfn._xlws.FILTER(E862:E872,A862:A872=A862)))</f>
        <v>0</v>
      </c>
      <c r="G862" s="1130">
        <f>IF(F862&lt;&gt;0,SUM($F$43:F862),0)</f>
        <v>0</v>
      </c>
      <c r="H862" s="1130" cm="1">
        <f t="array" ref="H862">IFERROR(IF(A862=A861,0,SUM(_xlfn._xlws.FILTER(E862:E872,(A862:A872=A862)*(E862:E872&gt;0)))),0)</f>
        <v>0</v>
      </c>
      <c r="I862" s="1130" cm="1">
        <f t="array" ref="I862">IFERROR(IF(A862=A861,0,SUM(_xlfn._xlws.FILTER(E862:E872,(A862:A872=A862)*(F862&lt;0)))),0)</f>
        <v>0</v>
      </c>
      <c r="J862" s="295" t="str">
        <f ca="1">IFERROR(_xlfn.XLOOKUP(B862,TabCalc[Ticker],TabCalc[Cur]),"")</f>
        <v/>
      </c>
      <c r="K862" s="1129" cm="1">
        <f t="array" ref="K862">IFERROR(IF($A862=$A861,0,SUM(_xlfn._xlws.FILTER($E862:$E872,($A862:$A872=$A862)*($J862:$J872=K$42)))),0)</f>
        <v>0</v>
      </c>
      <c r="L862" s="1129" cm="1">
        <f t="array" ref="L862">IFERROR(IF($A862=$A861,0,SUM(_xlfn._xlws.FILTER($E862:$E872,($A862:$A872=$A862)*($J862:$J872=L$42)))),0)</f>
        <v>0</v>
      </c>
      <c r="M862" s="1129" cm="1">
        <f t="array" ref="M862">IFERROR(IF($A862=$A861,0,SUM(_xlfn._xlws.FILTER($E862:$E872,($A862:$A872=$A862)*($J862:$J872=M$42)))),0)</f>
        <v>0</v>
      </c>
      <c r="N862" s="1129" cm="1">
        <f t="array" ref="N862">IFERROR(IF($A862=$A861,0,SUM(_xlfn._xlws.FILTER($E862:$E872,($A862:$A872=$A862)*($J862:$J872=N$42)))),0)</f>
        <v>0</v>
      </c>
    </row>
    <row r="863" spans="5:14">
      <c r="E863" s="1128">
        <f ca="1">IFERROR(C863*D863*_xlfn.XLOOKUP(B863,TabCalc[Ticker],TabCalc[Scale]),0)</f>
        <v>0</v>
      </c>
      <c r="F863" s="1129" cm="1">
        <f t="array" ref="F863">IF(A863=A862,0,SUM(_xlfn._xlws.FILTER(E863:E873,A863:A873=A863)))</f>
        <v>0</v>
      </c>
      <c r="G863" s="1130">
        <f>IF(F863&lt;&gt;0,SUM($F$43:F863),0)</f>
        <v>0</v>
      </c>
      <c r="H863" s="1130" cm="1">
        <f t="array" ref="H863">IFERROR(IF(A863=A862,0,SUM(_xlfn._xlws.FILTER(E863:E873,(A863:A873=A863)*(E863:E873&gt;0)))),0)</f>
        <v>0</v>
      </c>
      <c r="I863" s="1130" cm="1">
        <f t="array" ref="I863">IFERROR(IF(A863=A862,0,SUM(_xlfn._xlws.FILTER(E863:E873,(A863:A873=A863)*(F863&lt;0)))),0)</f>
        <v>0</v>
      </c>
      <c r="J863" s="295" t="str">
        <f ca="1">IFERROR(_xlfn.XLOOKUP(B863,TabCalc[Ticker],TabCalc[Cur]),"")</f>
        <v/>
      </c>
      <c r="K863" s="1129" cm="1">
        <f t="array" ref="K863">IFERROR(IF($A863=$A862,0,SUM(_xlfn._xlws.FILTER($E863:$E873,($A863:$A873=$A863)*($J863:$J873=K$42)))),0)</f>
        <v>0</v>
      </c>
      <c r="L863" s="1129" cm="1">
        <f t="array" ref="L863">IFERROR(IF($A863=$A862,0,SUM(_xlfn._xlws.FILTER($E863:$E873,($A863:$A873=$A863)*($J863:$J873=L$42)))),0)</f>
        <v>0</v>
      </c>
      <c r="M863" s="1129" cm="1">
        <f t="array" ref="M863">IFERROR(IF($A863=$A862,0,SUM(_xlfn._xlws.FILTER($E863:$E873,($A863:$A873=$A863)*($J863:$J873=M$42)))),0)</f>
        <v>0</v>
      </c>
      <c r="N863" s="1129" cm="1">
        <f t="array" ref="N863">IFERROR(IF($A863=$A862,0,SUM(_xlfn._xlws.FILTER($E863:$E873,($A863:$A873=$A863)*($J863:$J873=N$42)))),0)</f>
        <v>0</v>
      </c>
    </row>
    <row r="864" spans="5:14">
      <c r="E864" s="1128">
        <f ca="1">IFERROR(C864*D864*_xlfn.XLOOKUP(B864,TabCalc[Ticker],TabCalc[Scale]),0)</f>
        <v>0</v>
      </c>
      <c r="F864" s="1129" cm="1">
        <f t="array" ref="F864">IF(A864=A863,0,SUM(_xlfn._xlws.FILTER(E864:E874,A864:A874=A864)))</f>
        <v>0</v>
      </c>
      <c r="G864" s="1130">
        <f>IF(F864&lt;&gt;0,SUM($F$43:F864),0)</f>
        <v>0</v>
      </c>
      <c r="H864" s="1130" cm="1">
        <f t="array" ref="H864">IFERROR(IF(A864=A863,0,SUM(_xlfn._xlws.FILTER(E864:E874,(A864:A874=A864)*(E864:E874&gt;0)))),0)</f>
        <v>0</v>
      </c>
      <c r="I864" s="1130" cm="1">
        <f t="array" ref="I864">IFERROR(IF(A864=A863,0,SUM(_xlfn._xlws.FILTER(E864:E874,(A864:A874=A864)*(F864&lt;0)))),0)</f>
        <v>0</v>
      </c>
      <c r="J864" s="295" t="str">
        <f ca="1">IFERROR(_xlfn.XLOOKUP(B864,TabCalc[Ticker],TabCalc[Cur]),"")</f>
        <v/>
      </c>
      <c r="K864" s="1129" cm="1">
        <f t="array" ref="K864">IFERROR(IF($A864=$A863,0,SUM(_xlfn._xlws.FILTER($E864:$E874,($A864:$A874=$A864)*($J864:$J874=K$42)))),0)</f>
        <v>0</v>
      </c>
      <c r="L864" s="1129" cm="1">
        <f t="array" ref="L864">IFERROR(IF($A864=$A863,0,SUM(_xlfn._xlws.FILTER($E864:$E874,($A864:$A874=$A864)*($J864:$J874=L$42)))),0)</f>
        <v>0</v>
      </c>
      <c r="M864" s="1129" cm="1">
        <f t="array" ref="M864">IFERROR(IF($A864=$A863,0,SUM(_xlfn._xlws.FILTER($E864:$E874,($A864:$A874=$A864)*($J864:$J874=M$42)))),0)</f>
        <v>0</v>
      </c>
      <c r="N864" s="1129" cm="1">
        <f t="array" ref="N864">IFERROR(IF($A864=$A863,0,SUM(_xlfn._xlws.FILTER($E864:$E874,($A864:$A874=$A864)*($J864:$J874=N$42)))),0)</f>
        <v>0</v>
      </c>
    </row>
    <row r="865" spans="5:14">
      <c r="E865" s="1128">
        <f ca="1">IFERROR(C865*D865*_xlfn.XLOOKUP(B865,TabCalc[Ticker],TabCalc[Scale]),0)</f>
        <v>0</v>
      </c>
      <c r="F865" s="1129" cm="1">
        <f t="array" ref="F865">IF(A865=A864,0,SUM(_xlfn._xlws.FILTER(E865:E875,A865:A875=A865)))</f>
        <v>0</v>
      </c>
      <c r="G865" s="1130">
        <f>IF(F865&lt;&gt;0,SUM($F$43:F865),0)</f>
        <v>0</v>
      </c>
      <c r="H865" s="1130" cm="1">
        <f t="array" ref="H865">IFERROR(IF(A865=A864,0,SUM(_xlfn._xlws.FILTER(E865:E875,(A865:A875=A865)*(E865:E875&gt;0)))),0)</f>
        <v>0</v>
      </c>
      <c r="I865" s="1130" cm="1">
        <f t="array" ref="I865">IFERROR(IF(A865=A864,0,SUM(_xlfn._xlws.FILTER(E865:E875,(A865:A875=A865)*(F865&lt;0)))),0)</f>
        <v>0</v>
      </c>
      <c r="J865" s="295" t="str">
        <f ca="1">IFERROR(_xlfn.XLOOKUP(B865,TabCalc[Ticker],TabCalc[Cur]),"")</f>
        <v/>
      </c>
      <c r="K865" s="1129" cm="1">
        <f t="array" ref="K865">IFERROR(IF($A865=$A864,0,SUM(_xlfn._xlws.FILTER($E865:$E875,($A865:$A875=$A865)*($J865:$J875=K$42)))),0)</f>
        <v>0</v>
      </c>
      <c r="L865" s="1129" cm="1">
        <f t="array" ref="L865">IFERROR(IF($A865=$A864,0,SUM(_xlfn._xlws.FILTER($E865:$E875,($A865:$A875=$A865)*($J865:$J875=L$42)))),0)</f>
        <v>0</v>
      </c>
      <c r="M865" s="1129" cm="1">
        <f t="array" ref="M865">IFERROR(IF($A865=$A864,0,SUM(_xlfn._xlws.FILTER($E865:$E875,($A865:$A875=$A865)*($J865:$J875=M$42)))),0)</f>
        <v>0</v>
      </c>
      <c r="N865" s="1129" cm="1">
        <f t="array" ref="N865">IFERROR(IF($A865=$A864,0,SUM(_xlfn._xlws.FILTER($E865:$E875,($A865:$A875=$A865)*($J865:$J875=N$42)))),0)</f>
        <v>0</v>
      </c>
    </row>
    <row r="866" spans="5:14">
      <c r="E866" s="1128">
        <f ca="1">IFERROR(C866*D866*_xlfn.XLOOKUP(B866,TabCalc[Ticker],TabCalc[Scale]),0)</f>
        <v>0</v>
      </c>
      <c r="F866" s="1129" cm="1">
        <f t="array" ref="F866">IF(A866=A865,0,SUM(_xlfn._xlws.FILTER(E866:E876,A866:A876=A866)))</f>
        <v>0</v>
      </c>
      <c r="G866" s="1130">
        <f>IF(F866&lt;&gt;0,SUM($F$43:F866),0)</f>
        <v>0</v>
      </c>
      <c r="H866" s="1130" cm="1">
        <f t="array" ref="H866">IFERROR(IF(A866=A865,0,SUM(_xlfn._xlws.FILTER(E866:E876,(A866:A876=A866)*(E866:E876&gt;0)))),0)</f>
        <v>0</v>
      </c>
      <c r="I866" s="1130" cm="1">
        <f t="array" ref="I866">IFERROR(IF(A866=A865,0,SUM(_xlfn._xlws.FILTER(E866:E876,(A866:A876=A866)*(F866&lt;0)))),0)</f>
        <v>0</v>
      </c>
      <c r="J866" s="295" t="str">
        <f ca="1">IFERROR(_xlfn.XLOOKUP(B866,TabCalc[Ticker],TabCalc[Cur]),"")</f>
        <v/>
      </c>
      <c r="K866" s="1129" cm="1">
        <f t="array" ref="K866">IFERROR(IF($A866=$A865,0,SUM(_xlfn._xlws.FILTER($E866:$E876,($A866:$A876=$A866)*($J866:$J876=K$42)))),0)</f>
        <v>0</v>
      </c>
      <c r="L866" s="1129" cm="1">
        <f t="array" ref="L866">IFERROR(IF($A866=$A865,0,SUM(_xlfn._xlws.FILTER($E866:$E876,($A866:$A876=$A866)*($J866:$J876=L$42)))),0)</f>
        <v>0</v>
      </c>
      <c r="M866" s="1129" cm="1">
        <f t="array" ref="M866">IFERROR(IF($A866=$A865,0,SUM(_xlfn._xlws.FILTER($E866:$E876,($A866:$A876=$A866)*($J866:$J876=M$42)))),0)</f>
        <v>0</v>
      </c>
      <c r="N866" s="1129" cm="1">
        <f t="array" ref="N866">IFERROR(IF($A866=$A865,0,SUM(_xlfn._xlws.FILTER($E866:$E876,($A866:$A876=$A866)*($J866:$J876=N$42)))),0)</f>
        <v>0</v>
      </c>
    </row>
    <row r="867" spans="5:14">
      <c r="E867" s="1128">
        <f ca="1">IFERROR(C867*D867*_xlfn.XLOOKUP(B867,TabCalc[Ticker],TabCalc[Scale]),0)</f>
        <v>0</v>
      </c>
      <c r="F867" s="1129" cm="1">
        <f t="array" ref="F867">IF(A867=A866,0,SUM(_xlfn._xlws.FILTER(E867:E877,A867:A877=A867)))</f>
        <v>0</v>
      </c>
      <c r="G867" s="1130">
        <f>IF(F867&lt;&gt;0,SUM($F$43:F867),0)</f>
        <v>0</v>
      </c>
      <c r="H867" s="1130" cm="1">
        <f t="array" ref="H867">IFERROR(IF(A867=A866,0,SUM(_xlfn._xlws.FILTER(E867:E877,(A867:A877=A867)*(E867:E877&gt;0)))),0)</f>
        <v>0</v>
      </c>
      <c r="I867" s="1130" cm="1">
        <f t="array" ref="I867">IFERROR(IF(A867=A866,0,SUM(_xlfn._xlws.FILTER(E867:E877,(A867:A877=A867)*(F867&lt;0)))),0)</f>
        <v>0</v>
      </c>
      <c r="J867" s="295" t="str">
        <f ca="1">IFERROR(_xlfn.XLOOKUP(B867,TabCalc[Ticker],TabCalc[Cur]),"")</f>
        <v/>
      </c>
      <c r="K867" s="1129" cm="1">
        <f t="array" ref="K867">IFERROR(IF($A867=$A866,0,SUM(_xlfn._xlws.FILTER($E867:$E877,($A867:$A877=$A867)*($J867:$J877=K$42)))),0)</f>
        <v>0</v>
      </c>
      <c r="L867" s="1129" cm="1">
        <f t="array" ref="L867">IFERROR(IF($A867=$A866,0,SUM(_xlfn._xlws.FILTER($E867:$E877,($A867:$A877=$A867)*($J867:$J877=L$42)))),0)</f>
        <v>0</v>
      </c>
      <c r="M867" s="1129" cm="1">
        <f t="array" ref="M867">IFERROR(IF($A867=$A866,0,SUM(_xlfn._xlws.FILTER($E867:$E877,($A867:$A877=$A867)*($J867:$J877=M$42)))),0)</f>
        <v>0</v>
      </c>
      <c r="N867" s="1129" cm="1">
        <f t="array" ref="N867">IFERROR(IF($A867=$A866,0,SUM(_xlfn._xlws.FILTER($E867:$E877,($A867:$A877=$A867)*($J867:$J877=N$42)))),0)</f>
        <v>0</v>
      </c>
    </row>
    <row r="868" spans="5:14">
      <c r="E868" s="1128">
        <f ca="1">IFERROR(C868*D868*_xlfn.XLOOKUP(B868,TabCalc[Ticker],TabCalc[Scale]),0)</f>
        <v>0</v>
      </c>
      <c r="F868" s="1129" cm="1">
        <f t="array" ref="F868">IF(A868=A867,0,SUM(_xlfn._xlws.FILTER(E868:E878,A868:A878=A868)))</f>
        <v>0</v>
      </c>
      <c r="G868" s="1130">
        <f>IF(F868&lt;&gt;0,SUM($F$43:F868),0)</f>
        <v>0</v>
      </c>
      <c r="H868" s="1130" cm="1">
        <f t="array" ref="H868">IFERROR(IF(A868=A867,0,SUM(_xlfn._xlws.FILTER(E868:E878,(A868:A878=A868)*(E868:E878&gt;0)))),0)</f>
        <v>0</v>
      </c>
      <c r="I868" s="1130" cm="1">
        <f t="array" ref="I868">IFERROR(IF(A868=A867,0,SUM(_xlfn._xlws.FILTER(E868:E878,(A868:A878=A868)*(F868&lt;0)))),0)</f>
        <v>0</v>
      </c>
      <c r="J868" s="295" t="str">
        <f ca="1">IFERROR(_xlfn.XLOOKUP(B868,TabCalc[Ticker],TabCalc[Cur]),"")</f>
        <v/>
      </c>
      <c r="K868" s="1129" cm="1">
        <f t="array" ref="K868">IFERROR(IF($A868=$A867,0,SUM(_xlfn._xlws.FILTER($E868:$E878,($A868:$A878=$A868)*($J868:$J878=K$42)))),0)</f>
        <v>0</v>
      </c>
      <c r="L868" s="1129" cm="1">
        <f t="array" ref="L868">IFERROR(IF($A868=$A867,0,SUM(_xlfn._xlws.FILTER($E868:$E878,($A868:$A878=$A868)*($J868:$J878=L$42)))),0)</f>
        <v>0</v>
      </c>
      <c r="M868" s="1129" cm="1">
        <f t="array" ref="M868">IFERROR(IF($A868=$A867,0,SUM(_xlfn._xlws.FILTER($E868:$E878,($A868:$A878=$A868)*($J868:$J878=M$42)))),0)</f>
        <v>0</v>
      </c>
      <c r="N868" s="1129" cm="1">
        <f t="array" ref="N868">IFERROR(IF($A868=$A867,0,SUM(_xlfn._xlws.FILTER($E868:$E878,($A868:$A878=$A868)*($J868:$J878=N$42)))),0)</f>
        <v>0</v>
      </c>
    </row>
    <row r="869" spans="5:14">
      <c r="E869" s="1128">
        <f ca="1">IFERROR(C869*D869*_xlfn.XLOOKUP(B869,TabCalc[Ticker],TabCalc[Scale]),0)</f>
        <v>0</v>
      </c>
      <c r="F869" s="1129" cm="1">
        <f t="array" ref="F869">IF(A869=A868,0,SUM(_xlfn._xlws.FILTER(E869:E879,A869:A879=A869)))</f>
        <v>0</v>
      </c>
      <c r="G869" s="1130">
        <f>IF(F869&lt;&gt;0,SUM($F$43:F869),0)</f>
        <v>0</v>
      </c>
      <c r="H869" s="1130" cm="1">
        <f t="array" ref="H869">IFERROR(IF(A869=A868,0,SUM(_xlfn._xlws.FILTER(E869:E879,(A869:A879=A869)*(E869:E879&gt;0)))),0)</f>
        <v>0</v>
      </c>
      <c r="I869" s="1130" cm="1">
        <f t="array" ref="I869">IFERROR(IF(A869=A868,0,SUM(_xlfn._xlws.FILTER(E869:E879,(A869:A879=A869)*(F869&lt;0)))),0)</f>
        <v>0</v>
      </c>
      <c r="J869" s="295" t="str">
        <f ca="1">IFERROR(_xlfn.XLOOKUP(B869,TabCalc[Ticker],TabCalc[Cur]),"")</f>
        <v/>
      </c>
      <c r="K869" s="1129" cm="1">
        <f t="array" ref="K869">IFERROR(IF($A869=$A868,0,SUM(_xlfn._xlws.FILTER($E869:$E879,($A869:$A879=$A869)*($J869:$J879=K$42)))),0)</f>
        <v>0</v>
      </c>
      <c r="L869" s="1129" cm="1">
        <f t="array" ref="L869">IFERROR(IF($A869=$A868,0,SUM(_xlfn._xlws.FILTER($E869:$E879,($A869:$A879=$A869)*($J869:$J879=L$42)))),0)</f>
        <v>0</v>
      </c>
      <c r="M869" s="1129" cm="1">
        <f t="array" ref="M869">IFERROR(IF($A869=$A868,0,SUM(_xlfn._xlws.FILTER($E869:$E879,($A869:$A879=$A869)*($J869:$J879=M$42)))),0)</f>
        <v>0</v>
      </c>
      <c r="N869" s="1129" cm="1">
        <f t="array" ref="N869">IFERROR(IF($A869=$A868,0,SUM(_xlfn._xlws.FILTER($E869:$E879,($A869:$A879=$A869)*($J869:$J879=N$42)))),0)</f>
        <v>0</v>
      </c>
    </row>
    <row r="870" spans="5:14">
      <c r="E870" s="1128">
        <f ca="1">IFERROR(C870*D870*_xlfn.XLOOKUP(B870,TabCalc[Ticker],TabCalc[Scale]),0)</f>
        <v>0</v>
      </c>
      <c r="F870" s="1129" cm="1">
        <f t="array" ref="F870">IF(A870=A869,0,SUM(_xlfn._xlws.FILTER(E870:E880,A870:A880=A870)))</f>
        <v>0</v>
      </c>
      <c r="G870" s="1130">
        <f>IF(F870&lt;&gt;0,SUM($F$43:F870),0)</f>
        <v>0</v>
      </c>
      <c r="H870" s="1130" cm="1">
        <f t="array" ref="H870">IFERROR(IF(A870=A869,0,SUM(_xlfn._xlws.FILTER(E870:E880,(A870:A880=A870)*(E870:E880&gt;0)))),0)</f>
        <v>0</v>
      </c>
      <c r="I870" s="1130" cm="1">
        <f t="array" ref="I870">IFERROR(IF(A870=A869,0,SUM(_xlfn._xlws.FILTER(E870:E880,(A870:A880=A870)*(F870&lt;0)))),0)</f>
        <v>0</v>
      </c>
      <c r="J870" s="295" t="str">
        <f ca="1">IFERROR(_xlfn.XLOOKUP(B870,TabCalc[Ticker],TabCalc[Cur]),"")</f>
        <v/>
      </c>
      <c r="K870" s="1129" cm="1">
        <f t="array" ref="K870">IFERROR(IF($A870=$A869,0,SUM(_xlfn._xlws.FILTER($E870:$E880,($A870:$A880=$A870)*($J870:$J880=K$42)))),0)</f>
        <v>0</v>
      </c>
      <c r="L870" s="1129" cm="1">
        <f t="array" ref="L870">IFERROR(IF($A870=$A869,0,SUM(_xlfn._xlws.FILTER($E870:$E880,($A870:$A880=$A870)*($J870:$J880=L$42)))),0)</f>
        <v>0</v>
      </c>
      <c r="M870" s="1129" cm="1">
        <f t="array" ref="M870">IFERROR(IF($A870=$A869,0,SUM(_xlfn._xlws.FILTER($E870:$E880,($A870:$A880=$A870)*($J870:$J880=M$42)))),0)</f>
        <v>0</v>
      </c>
      <c r="N870" s="1129" cm="1">
        <f t="array" ref="N870">IFERROR(IF($A870=$A869,0,SUM(_xlfn._xlws.FILTER($E870:$E880,($A870:$A880=$A870)*($J870:$J880=N$42)))),0)</f>
        <v>0</v>
      </c>
    </row>
    <row r="871" spans="5:14">
      <c r="E871" s="1128">
        <f ca="1">IFERROR(C871*D871*_xlfn.XLOOKUP(B871,TabCalc[Ticker],TabCalc[Scale]),0)</f>
        <v>0</v>
      </c>
      <c r="F871" s="1129" cm="1">
        <f t="array" ref="F871">IF(A871=A870,0,SUM(_xlfn._xlws.FILTER(E871:E881,A871:A881=A871)))</f>
        <v>0</v>
      </c>
      <c r="G871" s="1130">
        <f>IF(F871&lt;&gt;0,SUM($F$43:F871),0)</f>
        <v>0</v>
      </c>
      <c r="H871" s="1130" cm="1">
        <f t="array" ref="H871">IFERROR(IF(A871=A870,0,SUM(_xlfn._xlws.FILTER(E871:E881,(A871:A881=A871)*(E871:E881&gt;0)))),0)</f>
        <v>0</v>
      </c>
      <c r="I871" s="1130" cm="1">
        <f t="array" ref="I871">IFERROR(IF(A871=A870,0,SUM(_xlfn._xlws.FILTER(E871:E881,(A871:A881=A871)*(F871&lt;0)))),0)</f>
        <v>0</v>
      </c>
      <c r="J871" s="295" t="str">
        <f ca="1">IFERROR(_xlfn.XLOOKUP(B871,TabCalc[Ticker],TabCalc[Cur]),"")</f>
        <v/>
      </c>
      <c r="K871" s="1129" cm="1">
        <f t="array" ref="K871">IFERROR(IF($A871=$A870,0,SUM(_xlfn._xlws.FILTER($E871:$E881,($A871:$A881=$A871)*($J871:$J881=K$42)))),0)</f>
        <v>0</v>
      </c>
      <c r="L871" s="1129" cm="1">
        <f t="array" ref="L871">IFERROR(IF($A871=$A870,0,SUM(_xlfn._xlws.FILTER($E871:$E881,($A871:$A881=$A871)*($J871:$J881=L$42)))),0)</f>
        <v>0</v>
      </c>
      <c r="M871" s="1129" cm="1">
        <f t="array" ref="M871">IFERROR(IF($A871=$A870,0,SUM(_xlfn._xlws.FILTER($E871:$E881,($A871:$A881=$A871)*($J871:$J881=M$42)))),0)</f>
        <v>0</v>
      </c>
      <c r="N871" s="1129" cm="1">
        <f t="array" ref="N871">IFERROR(IF($A871=$A870,0,SUM(_xlfn._xlws.FILTER($E871:$E881,($A871:$A881=$A871)*($J871:$J881=N$42)))),0)</f>
        <v>0</v>
      </c>
    </row>
    <row r="872" spans="5:14">
      <c r="E872" s="1128">
        <f ca="1">IFERROR(C872*D872*_xlfn.XLOOKUP(B872,TabCalc[Ticker],TabCalc[Scale]),0)</f>
        <v>0</v>
      </c>
      <c r="F872" s="1129" cm="1">
        <f t="array" ref="F872">IF(A872=A871,0,SUM(_xlfn._xlws.FILTER(E872:E882,A872:A882=A872)))</f>
        <v>0</v>
      </c>
      <c r="G872" s="1130">
        <f>IF(F872&lt;&gt;0,SUM($F$43:F872),0)</f>
        <v>0</v>
      </c>
      <c r="H872" s="1130" cm="1">
        <f t="array" ref="H872">IFERROR(IF(A872=A871,0,SUM(_xlfn._xlws.FILTER(E872:E882,(A872:A882=A872)*(E872:E882&gt;0)))),0)</f>
        <v>0</v>
      </c>
      <c r="I872" s="1130" cm="1">
        <f t="array" ref="I872">IFERROR(IF(A872=A871,0,SUM(_xlfn._xlws.FILTER(E872:E882,(A872:A882=A872)*(F872&lt;0)))),0)</f>
        <v>0</v>
      </c>
      <c r="J872" s="295" t="str">
        <f ca="1">IFERROR(_xlfn.XLOOKUP(B872,TabCalc[Ticker],TabCalc[Cur]),"")</f>
        <v/>
      </c>
      <c r="K872" s="1129" cm="1">
        <f t="array" ref="K872">IFERROR(IF($A872=$A871,0,SUM(_xlfn._xlws.FILTER($E872:$E882,($A872:$A882=$A872)*($J872:$J882=K$42)))),0)</f>
        <v>0</v>
      </c>
      <c r="L872" s="1129" cm="1">
        <f t="array" ref="L872">IFERROR(IF($A872=$A871,0,SUM(_xlfn._xlws.FILTER($E872:$E882,($A872:$A882=$A872)*($J872:$J882=L$42)))),0)</f>
        <v>0</v>
      </c>
      <c r="M872" s="1129" cm="1">
        <f t="array" ref="M872">IFERROR(IF($A872=$A871,0,SUM(_xlfn._xlws.FILTER($E872:$E882,($A872:$A882=$A872)*($J872:$J882=M$42)))),0)</f>
        <v>0</v>
      </c>
      <c r="N872" s="1129" cm="1">
        <f t="array" ref="N872">IFERROR(IF($A872=$A871,0,SUM(_xlfn._xlws.FILTER($E872:$E882,($A872:$A882=$A872)*($J872:$J882=N$42)))),0)</f>
        <v>0</v>
      </c>
    </row>
    <row r="873" spans="5:14">
      <c r="E873" s="1128">
        <f ca="1">IFERROR(C873*D873*_xlfn.XLOOKUP(B873,TabCalc[Ticker],TabCalc[Scale]),0)</f>
        <v>0</v>
      </c>
      <c r="F873" s="1129" cm="1">
        <f t="array" ref="F873">IF(A873=A872,0,SUM(_xlfn._xlws.FILTER(E873:E883,A873:A883=A873)))</f>
        <v>0</v>
      </c>
      <c r="G873" s="1130">
        <f>IF(F873&lt;&gt;0,SUM($F$43:F873),0)</f>
        <v>0</v>
      </c>
      <c r="H873" s="1130" cm="1">
        <f t="array" ref="H873">IFERROR(IF(A873=A872,0,SUM(_xlfn._xlws.FILTER(E873:E883,(A873:A883=A873)*(E873:E883&gt;0)))),0)</f>
        <v>0</v>
      </c>
      <c r="I873" s="1130" cm="1">
        <f t="array" ref="I873">IFERROR(IF(A873=A872,0,SUM(_xlfn._xlws.FILTER(E873:E883,(A873:A883=A873)*(F873&lt;0)))),0)</f>
        <v>0</v>
      </c>
      <c r="J873" s="295" t="str">
        <f ca="1">IFERROR(_xlfn.XLOOKUP(B873,TabCalc[Ticker],TabCalc[Cur]),"")</f>
        <v/>
      </c>
      <c r="K873" s="1129" cm="1">
        <f t="array" ref="K873">IFERROR(IF($A873=$A872,0,SUM(_xlfn._xlws.FILTER($E873:$E883,($A873:$A883=$A873)*($J873:$J883=K$42)))),0)</f>
        <v>0</v>
      </c>
      <c r="L873" s="1129" cm="1">
        <f t="array" ref="L873">IFERROR(IF($A873=$A872,0,SUM(_xlfn._xlws.FILTER($E873:$E883,($A873:$A883=$A873)*($J873:$J883=L$42)))),0)</f>
        <v>0</v>
      </c>
      <c r="M873" s="1129" cm="1">
        <f t="array" ref="M873">IFERROR(IF($A873=$A872,0,SUM(_xlfn._xlws.FILTER($E873:$E883,($A873:$A883=$A873)*($J873:$J883=M$42)))),0)</f>
        <v>0</v>
      </c>
      <c r="N873" s="1129" cm="1">
        <f t="array" ref="N873">IFERROR(IF($A873=$A872,0,SUM(_xlfn._xlws.FILTER($E873:$E883,($A873:$A883=$A873)*($J873:$J883=N$42)))),0)</f>
        <v>0</v>
      </c>
    </row>
    <row r="874" spans="5:14">
      <c r="E874" s="1128">
        <f ca="1">IFERROR(C874*D874*_xlfn.XLOOKUP(B874,TabCalc[Ticker],TabCalc[Scale]),0)</f>
        <v>0</v>
      </c>
      <c r="F874" s="1129" cm="1">
        <f t="array" ref="F874">IF(A874=A873,0,SUM(_xlfn._xlws.FILTER(E874:E884,A874:A884=A874)))</f>
        <v>0</v>
      </c>
      <c r="G874" s="1130">
        <f>IF(F874&lt;&gt;0,SUM($F$43:F874),0)</f>
        <v>0</v>
      </c>
      <c r="H874" s="1130" cm="1">
        <f t="array" ref="H874">IFERROR(IF(A874=A873,0,SUM(_xlfn._xlws.FILTER(E874:E884,(A874:A884=A874)*(E874:E884&gt;0)))),0)</f>
        <v>0</v>
      </c>
      <c r="I874" s="1130" cm="1">
        <f t="array" ref="I874">IFERROR(IF(A874=A873,0,SUM(_xlfn._xlws.FILTER(E874:E884,(A874:A884=A874)*(F874&lt;0)))),0)</f>
        <v>0</v>
      </c>
      <c r="J874" s="295" t="str">
        <f ca="1">IFERROR(_xlfn.XLOOKUP(B874,TabCalc[Ticker],TabCalc[Cur]),"")</f>
        <v/>
      </c>
      <c r="K874" s="1129" cm="1">
        <f t="array" ref="K874">IFERROR(IF($A874=$A873,0,SUM(_xlfn._xlws.FILTER($E874:$E884,($A874:$A884=$A874)*($J874:$J884=K$42)))),0)</f>
        <v>0</v>
      </c>
      <c r="L874" s="1129" cm="1">
        <f t="array" ref="L874">IFERROR(IF($A874=$A873,0,SUM(_xlfn._xlws.FILTER($E874:$E884,($A874:$A884=$A874)*($J874:$J884=L$42)))),0)</f>
        <v>0</v>
      </c>
      <c r="M874" s="1129" cm="1">
        <f t="array" ref="M874">IFERROR(IF($A874=$A873,0,SUM(_xlfn._xlws.FILTER($E874:$E884,($A874:$A884=$A874)*($J874:$J884=M$42)))),0)</f>
        <v>0</v>
      </c>
      <c r="N874" s="1129" cm="1">
        <f t="array" ref="N874">IFERROR(IF($A874=$A873,0,SUM(_xlfn._xlws.FILTER($E874:$E884,($A874:$A884=$A874)*($J874:$J884=N$42)))),0)</f>
        <v>0</v>
      </c>
    </row>
    <row r="875" spans="5:14">
      <c r="E875" s="1128">
        <f ca="1">IFERROR(C875*D875*_xlfn.XLOOKUP(B875,TabCalc[Ticker],TabCalc[Scale]),0)</f>
        <v>0</v>
      </c>
      <c r="F875" s="1129" cm="1">
        <f t="array" ref="F875">IF(A875=A874,0,SUM(_xlfn._xlws.FILTER(E875:E885,A875:A885=A875)))</f>
        <v>0</v>
      </c>
      <c r="G875" s="1130">
        <f>IF(F875&lt;&gt;0,SUM($F$43:F875),0)</f>
        <v>0</v>
      </c>
      <c r="H875" s="1130" cm="1">
        <f t="array" ref="H875">IFERROR(IF(A875=A874,0,SUM(_xlfn._xlws.FILTER(E875:E885,(A875:A885=A875)*(E875:E885&gt;0)))),0)</f>
        <v>0</v>
      </c>
      <c r="I875" s="1130" cm="1">
        <f t="array" ref="I875">IFERROR(IF(A875=A874,0,SUM(_xlfn._xlws.FILTER(E875:E885,(A875:A885=A875)*(F875&lt;0)))),0)</f>
        <v>0</v>
      </c>
      <c r="J875" s="295" t="str">
        <f ca="1">IFERROR(_xlfn.XLOOKUP(B875,TabCalc[Ticker],TabCalc[Cur]),"")</f>
        <v/>
      </c>
      <c r="K875" s="1129" cm="1">
        <f t="array" ref="K875">IFERROR(IF($A875=$A874,0,SUM(_xlfn._xlws.FILTER($E875:$E885,($A875:$A885=$A875)*($J875:$J885=K$42)))),0)</f>
        <v>0</v>
      </c>
      <c r="L875" s="1129" cm="1">
        <f t="array" ref="L875">IFERROR(IF($A875=$A874,0,SUM(_xlfn._xlws.FILTER($E875:$E885,($A875:$A885=$A875)*($J875:$J885=L$42)))),0)</f>
        <v>0</v>
      </c>
      <c r="M875" s="1129" cm="1">
        <f t="array" ref="M875">IFERROR(IF($A875=$A874,0,SUM(_xlfn._xlws.FILTER($E875:$E885,($A875:$A885=$A875)*($J875:$J885=M$42)))),0)</f>
        <v>0</v>
      </c>
      <c r="N875" s="1129" cm="1">
        <f t="array" ref="N875">IFERROR(IF($A875=$A874,0,SUM(_xlfn._xlws.FILTER($E875:$E885,($A875:$A885=$A875)*($J875:$J885=N$42)))),0)</f>
        <v>0</v>
      </c>
    </row>
    <row r="876" spans="5:14">
      <c r="E876" s="1128">
        <f ca="1">IFERROR(C876*D876*_xlfn.XLOOKUP(B876,TabCalc[Ticker],TabCalc[Scale]),0)</f>
        <v>0</v>
      </c>
      <c r="F876" s="1129" cm="1">
        <f t="array" ref="F876">IF(A876=A875,0,SUM(_xlfn._xlws.FILTER(E876:E886,A876:A886=A876)))</f>
        <v>0</v>
      </c>
      <c r="G876" s="1130">
        <f>IF(F876&lt;&gt;0,SUM($F$43:F876),0)</f>
        <v>0</v>
      </c>
      <c r="H876" s="1130" cm="1">
        <f t="array" ref="H876">IFERROR(IF(A876=A875,0,SUM(_xlfn._xlws.FILTER(E876:E886,(A876:A886=A876)*(E876:E886&gt;0)))),0)</f>
        <v>0</v>
      </c>
      <c r="I876" s="1130" cm="1">
        <f t="array" ref="I876">IFERROR(IF(A876=A875,0,SUM(_xlfn._xlws.FILTER(E876:E886,(A876:A886=A876)*(F876&lt;0)))),0)</f>
        <v>0</v>
      </c>
      <c r="J876" s="295" t="str">
        <f ca="1">IFERROR(_xlfn.XLOOKUP(B876,TabCalc[Ticker],TabCalc[Cur]),"")</f>
        <v/>
      </c>
      <c r="K876" s="1129" cm="1">
        <f t="array" ref="K876">IFERROR(IF($A876=$A875,0,SUM(_xlfn._xlws.FILTER($E876:$E886,($A876:$A886=$A876)*($J876:$J886=K$42)))),0)</f>
        <v>0</v>
      </c>
      <c r="L876" s="1129" cm="1">
        <f t="array" ref="L876">IFERROR(IF($A876=$A875,0,SUM(_xlfn._xlws.FILTER($E876:$E886,($A876:$A886=$A876)*($J876:$J886=L$42)))),0)</f>
        <v>0</v>
      </c>
      <c r="M876" s="1129" cm="1">
        <f t="array" ref="M876">IFERROR(IF($A876=$A875,0,SUM(_xlfn._xlws.FILTER($E876:$E886,($A876:$A886=$A876)*($J876:$J886=M$42)))),0)</f>
        <v>0</v>
      </c>
      <c r="N876" s="1129" cm="1">
        <f t="array" ref="N876">IFERROR(IF($A876=$A875,0,SUM(_xlfn._xlws.FILTER($E876:$E886,($A876:$A886=$A876)*($J876:$J886=N$42)))),0)</f>
        <v>0</v>
      </c>
    </row>
    <row r="877" spans="5:14">
      <c r="E877" s="1128">
        <f ca="1">IFERROR(C877*D877*_xlfn.XLOOKUP(B877,TabCalc[Ticker],TabCalc[Scale]),0)</f>
        <v>0</v>
      </c>
      <c r="F877" s="1129" cm="1">
        <f t="array" ref="F877">IF(A877=A876,0,SUM(_xlfn._xlws.FILTER(E877:E887,A877:A887=A877)))</f>
        <v>0</v>
      </c>
      <c r="G877" s="1130">
        <f>IF(F877&lt;&gt;0,SUM($F$43:F877),0)</f>
        <v>0</v>
      </c>
      <c r="H877" s="1130" cm="1">
        <f t="array" ref="H877">IFERROR(IF(A877=A876,0,SUM(_xlfn._xlws.FILTER(E877:E887,(A877:A887=A877)*(E877:E887&gt;0)))),0)</f>
        <v>0</v>
      </c>
      <c r="I877" s="1130" cm="1">
        <f t="array" ref="I877">IFERROR(IF(A877=A876,0,SUM(_xlfn._xlws.FILTER(E877:E887,(A877:A887=A877)*(F877&lt;0)))),0)</f>
        <v>0</v>
      </c>
      <c r="J877" s="295" t="str">
        <f ca="1">IFERROR(_xlfn.XLOOKUP(B877,TabCalc[Ticker],TabCalc[Cur]),"")</f>
        <v/>
      </c>
      <c r="K877" s="1129" cm="1">
        <f t="array" ref="K877">IFERROR(IF($A877=$A876,0,SUM(_xlfn._xlws.FILTER($E877:$E887,($A877:$A887=$A877)*($J877:$J887=K$42)))),0)</f>
        <v>0</v>
      </c>
      <c r="L877" s="1129" cm="1">
        <f t="array" ref="L877">IFERROR(IF($A877=$A876,0,SUM(_xlfn._xlws.FILTER($E877:$E887,($A877:$A887=$A877)*($J877:$J887=L$42)))),0)</f>
        <v>0</v>
      </c>
      <c r="M877" s="1129" cm="1">
        <f t="array" ref="M877">IFERROR(IF($A877=$A876,0,SUM(_xlfn._xlws.FILTER($E877:$E887,($A877:$A887=$A877)*($J877:$J887=M$42)))),0)</f>
        <v>0</v>
      </c>
      <c r="N877" s="1129" cm="1">
        <f t="array" ref="N877">IFERROR(IF($A877=$A876,0,SUM(_xlfn._xlws.FILTER($E877:$E887,($A877:$A887=$A877)*($J877:$J887=N$42)))),0)</f>
        <v>0</v>
      </c>
    </row>
    <row r="878" spans="5:14">
      <c r="E878" s="1128">
        <f ca="1">IFERROR(C878*D878*_xlfn.XLOOKUP(B878,TabCalc[Ticker],TabCalc[Scale]),0)</f>
        <v>0</v>
      </c>
      <c r="F878" s="1129" cm="1">
        <f t="array" ref="F878">IF(A878=A877,0,SUM(_xlfn._xlws.FILTER(E878:E888,A878:A888=A878)))</f>
        <v>0</v>
      </c>
      <c r="G878" s="1130">
        <f>IF(F878&lt;&gt;0,SUM($F$43:F878),0)</f>
        <v>0</v>
      </c>
      <c r="H878" s="1130" cm="1">
        <f t="array" ref="H878">IFERROR(IF(A878=A877,0,SUM(_xlfn._xlws.FILTER(E878:E888,(A878:A888=A878)*(E878:E888&gt;0)))),0)</f>
        <v>0</v>
      </c>
      <c r="I878" s="1130" cm="1">
        <f t="array" ref="I878">IFERROR(IF(A878=A877,0,SUM(_xlfn._xlws.FILTER(E878:E888,(A878:A888=A878)*(F878&lt;0)))),0)</f>
        <v>0</v>
      </c>
      <c r="J878" s="295" t="str">
        <f ca="1">IFERROR(_xlfn.XLOOKUP(B878,TabCalc[Ticker],TabCalc[Cur]),"")</f>
        <v/>
      </c>
      <c r="K878" s="1129" cm="1">
        <f t="array" ref="K878">IFERROR(IF($A878=$A877,0,SUM(_xlfn._xlws.FILTER($E878:$E888,($A878:$A888=$A878)*($J878:$J888=K$42)))),0)</f>
        <v>0</v>
      </c>
      <c r="L878" s="1129" cm="1">
        <f t="array" ref="L878">IFERROR(IF($A878=$A877,0,SUM(_xlfn._xlws.FILTER($E878:$E888,($A878:$A888=$A878)*($J878:$J888=L$42)))),0)</f>
        <v>0</v>
      </c>
      <c r="M878" s="1129" cm="1">
        <f t="array" ref="M878">IFERROR(IF($A878=$A877,0,SUM(_xlfn._xlws.FILTER($E878:$E888,($A878:$A888=$A878)*($J878:$J888=M$42)))),0)</f>
        <v>0</v>
      </c>
      <c r="N878" s="1129" cm="1">
        <f t="array" ref="N878">IFERROR(IF($A878=$A877,0,SUM(_xlfn._xlws.FILTER($E878:$E888,($A878:$A888=$A878)*($J878:$J888=N$42)))),0)</f>
        <v>0</v>
      </c>
    </row>
    <row r="879" spans="5:14">
      <c r="E879" s="1128">
        <f ca="1">IFERROR(C879*D879*_xlfn.XLOOKUP(B879,TabCalc[Ticker],TabCalc[Scale]),0)</f>
        <v>0</v>
      </c>
      <c r="F879" s="1129" cm="1">
        <f t="array" ref="F879">IF(A879=A878,0,SUM(_xlfn._xlws.FILTER(E879:E889,A879:A889=A879)))</f>
        <v>0</v>
      </c>
      <c r="G879" s="1130">
        <f>IF(F879&lt;&gt;0,SUM($F$43:F879),0)</f>
        <v>0</v>
      </c>
      <c r="H879" s="1130" cm="1">
        <f t="array" ref="H879">IFERROR(IF(A879=A878,0,SUM(_xlfn._xlws.FILTER(E879:E889,(A879:A889=A879)*(E879:E889&gt;0)))),0)</f>
        <v>0</v>
      </c>
      <c r="I879" s="1130" cm="1">
        <f t="array" ref="I879">IFERROR(IF(A879=A878,0,SUM(_xlfn._xlws.FILTER(E879:E889,(A879:A889=A879)*(F879&lt;0)))),0)</f>
        <v>0</v>
      </c>
      <c r="J879" s="295" t="str">
        <f ca="1">IFERROR(_xlfn.XLOOKUP(B879,TabCalc[Ticker],TabCalc[Cur]),"")</f>
        <v/>
      </c>
      <c r="K879" s="1129" cm="1">
        <f t="array" ref="K879">IFERROR(IF($A879=$A878,0,SUM(_xlfn._xlws.FILTER($E879:$E889,($A879:$A889=$A879)*($J879:$J889=K$42)))),0)</f>
        <v>0</v>
      </c>
      <c r="L879" s="1129" cm="1">
        <f t="array" ref="L879">IFERROR(IF($A879=$A878,0,SUM(_xlfn._xlws.FILTER($E879:$E889,($A879:$A889=$A879)*($J879:$J889=L$42)))),0)</f>
        <v>0</v>
      </c>
      <c r="M879" s="1129" cm="1">
        <f t="array" ref="M879">IFERROR(IF($A879=$A878,0,SUM(_xlfn._xlws.FILTER($E879:$E889,($A879:$A889=$A879)*($J879:$J889=M$42)))),0)</f>
        <v>0</v>
      </c>
      <c r="N879" s="1129" cm="1">
        <f t="array" ref="N879">IFERROR(IF($A879=$A878,0,SUM(_xlfn._xlws.FILTER($E879:$E889,($A879:$A889=$A879)*($J879:$J889=N$42)))),0)</f>
        <v>0</v>
      </c>
    </row>
    <row r="880" spans="5:14">
      <c r="E880" s="1128">
        <f ca="1">IFERROR(C880*D880*_xlfn.XLOOKUP(B880,TabCalc[Ticker],TabCalc[Scale]),0)</f>
        <v>0</v>
      </c>
      <c r="F880" s="1129" cm="1">
        <f t="array" ref="F880">IF(A880=A879,0,SUM(_xlfn._xlws.FILTER(E880:E890,A880:A890=A880)))</f>
        <v>0</v>
      </c>
      <c r="G880" s="1130">
        <f>IF(F880&lt;&gt;0,SUM($F$43:F880),0)</f>
        <v>0</v>
      </c>
      <c r="H880" s="1130" cm="1">
        <f t="array" ref="H880">IFERROR(IF(A880=A879,0,SUM(_xlfn._xlws.FILTER(E880:E890,(A880:A890=A880)*(E880:E890&gt;0)))),0)</f>
        <v>0</v>
      </c>
      <c r="I880" s="1130" cm="1">
        <f t="array" ref="I880">IFERROR(IF(A880=A879,0,SUM(_xlfn._xlws.FILTER(E880:E890,(A880:A890=A880)*(F880&lt;0)))),0)</f>
        <v>0</v>
      </c>
      <c r="J880" s="295" t="str">
        <f ca="1">IFERROR(_xlfn.XLOOKUP(B880,TabCalc[Ticker],TabCalc[Cur]),"")</f>
        <v/>
      </c>
      <c r="K880" s="1129" cm="1">
        <f t="array" ref="K880">IFERROR(IF($A880=$A879,0,SUM(_xlfn._xlws.FILTER($E880:$E890,($A880:$A890=$A880)*($J880:$J890=K$42)))),0)</f>
        <v>0</v>
      </c>
      <c r="L880" s="1129" cm="1">
        <f t="array" ref="L880">IFERROR(IF($A880=$A879,0,SUM(_xlfn._xlws.FILTER($E880:$E890,($A880:$A890=$A880)*($J880:$J890=L$42)))),0)</f>
        <v>0</v>
      </c>
      <c r="M880" s="1129" cm="1">
        <f t="array" ref="M880">IFERROR(IF($A880=$A879,0,SUM(_xlfn._xlws.FILTER($E880:$E890,($A880:$A890=$A880)*($J880:$J890=M$42)))),0)</f>
        <v>0</v>
      </c>
      <c r="N880" s="1129" cm="1">
        <f t="array" ref="N880">IFERROR(IF($A880=$A879,0,SUM(_xlfn._xlws.FILTER($E880:$E890,($A880:$A890=$A880)*($J880:$J890=N$42)))),0)</f>
        <v>0</v>
      </c>
    </row>
    <row r="881" spans="5:14">
      <c r="E881" s="1128">
        <f ca="1">IFERROR(C881*D881*_xlfn.XLOOKUP(B881,TabCalc[Ticker],TabCalc[Scale]),0)</f>
        <v>0</v>
      </c>
      <c r="F881" s="1129" cm="1">
        <f t="array" ref="F881">IF(A881=A880,0,SUM(_xlfn._xlws.FILTER(E881:E891,A881:A891=A881)))</f>
        <v>0</v>
      </c>
      <c r="G881" s="1130">
        <f>IF(F881&lt;&gt;0,SUM($F$43:F881),0)</f>
        <v>0</v>
      </c>
      <c r="H881" s="1130" cm="1">
        <f t="array" ref="H881">IFERROR(IF(A881=A880,0,SUM(_xlfn._xlws.FILTER(E881:E891,(A881:A891=A881)*(E881:E891&gt;0)))),0)</f>
        <v>0</v>
      </c>
      <c r="I881" s="1130" cm="1">
        <f t="array" ref="I881">IFERROR(IF(A881=A880,0,SUM(_xlfn._xlws.FILTER(E881:E891,(A881:A891=A881)*(F881&lt;0)))),0)</f>
        <v>0</v>
      </c>
      <c r="J881" s="295" t="str">
        <f ca="1">IFERROR(_xlfn.XLOOKUP(B881,TabCalc[Ticker],TabCalc[Cur]),"")</f>
        <v/>
      </c>
      <c r="K881" s="1129" cm="1">
        <f t="array" ref="K881">IFERROR(IF($A881=$A880,0,SUM(_xlfn._xlws.FILTER($E881:$E891,($A881:$A891=$A881)*($J881:$J891=K$42)))),0)</f>
        <v>0</v>
      </c>
      <c r="L881" s="1129" cm="1">
        <f t="array" ref="L881">IFERROR(IF($A881=$A880,0,SUM(_xlfn._xlws.FILTER($E881:$E891,($A881:$A891=$A881)*($J881:$J891=L$42)))),0)</f>
        <v>0</v>
      </c>
      <c r="M881" s="1129" cm="1">
        <f t="array" ref="M881">IFERROR(IF($A881=$A880,0,SUM(_xlfn._xlws.FILTER($E881:$E891,($A881:$A891=$A881)*($J881:$J891=M$42)))),0)</f>
        <v>0</v>
      </c>
      <c r="N881" s="1129" cm="1">
        <f t="array" ref="N881">IFERROR(IF($A881=$A880,0,SUM(_xlfn._xlws.FILTER($E881:$E891,($A881:$A891=$A881)*($J881:$J891=N$42)))),0)</f>
        <v>0</v>
      </c>
    </row>
    <row r="882" spans="5:14">
      <c r="E882" s="1128">
        <f ca="1">IFERROR(C882*D882*_xlfn.XLOOKUP(B882,TabCalc[Ticker],TabCalc[Scale]),0)</f>
        <v>0</v>
      </c>
      <c r="F882" s="1129" cm="1">
        <f t="array" ref="F882">IF(A882=A881,0,SUM(_xlfn._xlws.FILTER(E882:E892,A882:A892=A882)))</f>
        <v>0</v>
      </c>
      <c r="G882" s="1130">
        <f>IF(F882&lt;&gt;0,SUM($F$43:F882),0)</f>
        <v>0</v>
      </c>
      <c r="H882" s="1130" cm="1">
        <f t="array" ref="H882">IFERROR(IF(A882=A881,0,SUM(_xlfn._xlws.FILTER(E882:E892,(A882:A892=A882)*(E882:E892&gt;0)))),0)</f>
        <v>0</v>
      </c>
      <c r="I882" s="1130" cm="1">
        <f t="array" ref="I882">IFERROR(IF(A882=A881,0,SUM(_xlfn._xlws.FILTER(E882:E892,(A882:A892=A882)*(F882&lt;0)))),0)</f>
        <v>0</v>
      </c>
      <c r="J882" s="295" t="str">
        <f ca="1">IFERROR(_xlfn.XLOOKUP(B882,TabCalc[Ticker],TabCalc[Cur]),"")</f>
        <v/>
      </c>
      <c r="K882" s="1129" cm="1">
        <f t="array" ref="K882">IFERROR(IF($A882=$A881,0,SUM(_xlfn._xlws.FILTER($E882:$E892,($A882:$A892=$A882)*($J882:$J892=K$42)))),0)</f>
        <v>0</v>
      </c>
      <c r="L882" s="1129" cm="1">
        <f t="array" ref="L882">IFERROR(IF($A882=$A881,0,SUM(_xlfn._xlws.FILTER($E882:$E892,($A882:$A892=$A882)*($J882:$J892=L$42)))),0)</f>
        <v>0</v>
      </c>
      <c r="M882" s="1129" cm="1">
        <f t="array" ref="M882">IFERROR(IF($A882=$A881,0,SUM(_xlfn._xlws.FILTER($E882:$E892,($A882:$A892=$A882)*($J882:$J892=M$42)))),0)</f>
        <v>0</v>
      </c>
      <c r="N882" s="1129" cm="1">
        <f t="array" ref="N882">IFERROR(IF($A882=$A881,0,SUM(_xlfn._xlws.FILTER($E882:$E892,($A882:$A892=$A882)*($J882:$J892=N$42)))),0)</f>
        <v>0</v>
      </c>
    </row>
    <row r="883" spans="5:14">
      <c r="E883" s="1128">
        <f ca="1">IFERROR(C883*D883*_xlfn.XLOOKUP(B883,TabCalc[Ticker],TabCalc[Scale]),0)</f>
        <v>0</v>
      </c>
      <c r="F883" s="1129" cm="1">
        <f t="array" ref="F883">IF(A883=A882,0,SUM(_xlfn._xlws.FILTER(E883:E893,A883:A893=A883)))</f>
        <v>0</v>
      </c>
      <c r="G883" s="1130">
        <f>IF(F883&lt;&gt;0,SUM($F$43:F883),0)</f>
        <v>0</v>
      </c>
      <c r="H883" s="1130" cm="1">
        <f t="array" ref="H883">IFERROR(IF(A883=A882,0,SUM(_xlfn._xlws.FILTER(E883:E893,(A883:A893=A883)*(E883:E893&gt;0)))),0)</f>
        <v>0</v>
      </c>
      <c r="I883" s="1130" cm="1">
        <f t="array" ref="I883">IFERROR(IF(A883=A882,0,SUM(_xlfn._xlws.FILTER(E883:E893,(A883:A893=A883)*(F883&lt;0)))),0)</f>
        <v>0</v>
      </c>
      <c r="J883" s="295" t="str">
        <f ca="1">IFERROR(_xlfn.XLOOKUP(B883,TabCalc[Ticker],TabCalc[Cur]),"")</f>
        <v/>
      </c>
      <c r="K883" s="1129" cm="1">
        <f t="array" ref="K883">IFERROR(IF($A883=$A882,0,SUM(_xlfn._xlws.FILTER($E883:$E893,($A883:$A893=$A883)*($J883:$J893=K$42)))),0)</f>
        <v>0</v>
      </c>
      <c r="L883" s="1129" cm="1">
        <f t="array" ref="L883">IFERROR(IF($A883=$A882,0,SUM(_xlfn._xlws.FILTER($E883:$E893,($A883:$A893=$A883)*($J883:$J893=L$42)))),0)</f>
        <v>0</v>
      </c>
      <c r="M883" s="1129" cm="1">
        <f t="array" ref="M883">IFERROR(IF($A883=$A882,0,SUM(_xlfn._xlws.FILTER($E883:$E893,($A883:$A893=$A883)*($J883:$J893=M$42)))),0)</f>
        <v>0</v>
      </c>
      <c r="N883" s="1129" cm="1">
        <f t="array" ref="N883">IFERROR(IF($A883=$A882,0,SUM(_xlfn._xlws.FILTER($E883:$E893,($A883:$A893=$A883)*($J883:$J893=N$42)))),0)</f>
        <v>0</v>
      </c>
    </row>
    <row r="884" spans="5:14">
      <c r="E884" s="1128">
        <f ca="1">IFERROR(C884*D884*_xlfn.XLOOKUP(B884,TabCalc[Ticker],TabCalc[Scale]),0)</f>
        <v>0</v>
      </c>
      <c r="F884" s="1129" cm="1">
        <f t="array" ref="F884">IF(A884=A883,0,SUM(_xlfn._xlws.FILTER(E884:E894,A884:A894=A884)))</f>
        <v>0</v>
      </c>
      <c r="G884" s="1130">
        <f>IF(F884&lt;&gt;0,SUM($F$43:F884),0)</f>
        <v>0</v>
      </c>
      <c r="H884" s="1130" cm="1">
        <f t="array" ref="H884">IFERROR(IF(A884=A883,0,SUM(_xlfn._xlws.FILTER(E884:E894,(A884:A894=A884)*(E884:E894&gt;0)))),0)</f>
        <v>0</v>
      </c>
      <c r="I884" s="1130" cm="1">
        <f t="array" ref="I884">IFERROR(IF(A884=A883,0,SUM(_xlfn._xlws.FILTER(E884:E894,(A884:A894=A884)*(F884&lt;0)))),0)</f>
        <v>0</v>
      </c>
      <c r="J884" s="295" t="str">
        <f ca="1">IFERROR(_xlfn.XLOOKUP(B884,TabCalc[Ticker],TabCalc[Cur]),"")</f>
        <v/>
      </c>
      <c r="K884" s="1129" cm="1">
        <f t="array" ref="K884">IFERROR(IF($A884=$A883,0,SUM(_xlfn._xlws.FILTER($E884:$E894,($A884:$A894=$A884)*($J884:$J894=K$42)))),0)</f>
        <v>0</v>
      </c>
      <c r="L884" s="1129" cm="1">
        <f t="array" ref="L884">IFERROR(IF($A884=$A883,0,SUM(_xlfn._xlws.FILTER($E884:$E894,($A884:$A894=$A884)*($J884:$J894=L$42)))),0)</f>
        <v>0</v>
      </c>
      <c r="M884" s="1129" cm="1">
        <f t="array" ref="M884">IFERROR(IF($A884=$A883,0,SUM(_xlfn._xlws.FILTER($E884:$E894,($A884:$A894=$A884)*($J884:$J894=M$42)))),0)</f>
        <v>0</v>
      </c>
      <c r="N884" s="1129" cm="1">
        <f t="array" ref="N884">IFERROR(IF($A884=$A883,0,SUM(_xlfn._xlws.FILTER($E884:$E894,($A884:$A894=$A884)*($J884:$J894=N$42)))),0)</f>
        <v>0</v>
      </c>
    </row>
    <row r="885" spans="5:14">
      <c r="E885" s="1128">
        <f ca="1">IFERROR(C885*D885*_xlfn.XLOOKUP(B885,TabCalc[Ticker],TabCalc[Scale]),0)</f>
        <v>0</v>
      </c>
      <c r="F885" s="1129" cm="1">
        <f t="array" ref="F885">IF(A885=A884,0,SUM(_xlfn._xlws.FILTER(E885:E895,A885:A895=A885)))</f>
        <v>0</v>
      </c>
      <c r="G885" s="1130">
        <f>IF(F885&lt;&gt;0,SUM($F$43:F885),0)</f>
        <v>0</v>
      </c>
      <c r="H885" s="1130" cm="1">
        <f t="array" ref="H885">IFERROR(IF(A885=A884,0,SUM(_xlfn._xlws.FILTER(E885:E895,(A885:A895=A885)*(E885:E895&gt;0)))),0)</f>
        <v>0</v>
      </c>
      <c r="I885" s="1130" cm="1">
        <f t="array" ref="I885">IFERROR(IF(A885=A884,0,SUM(_xlfn._xlws.FILTER(E885:E895,(A885:A895=A885)*(F885&lt;0)))),0)</f>
        <v>0</v>
      </c>
      <c r="J885" s="295" t="str">
        <f ca="1">IFERROR(_xlfn.XLOOKUP(B885,TabCalc[Ticker],TabCalc[Cur]),"")</f>
        <v/>
      </c>
      <c r="K885" s="1129" cm="1">
        <f t="array" ref="K885">IFERROR(IF($A885=$A884,0,SUM(_xlfn._xlws.FILTER($E885:$E895,($A885:$A895=$A885)*($J885:$J895=K$42)))),0)</f>
        <v>0</v>
      </c>
      <c r="L885" s="1129" cm="1">
        <f t="array" ref="L885">IFERROR(IF($A885=$A884,0,SUM(_xlfn._xlws.FILTER($E885:$E895,($A885:$A895=$A885)*($J885:$J895=L$42)))),0)</f>
        <v>0</v>
      </c>
      <c r="M885" s="1129" cm="1">
        <f t="array" ref="M885">IFERROR(IF($A885=$A884,0,SUM(_xlfn._xlws.FILTER($E885:$E895,($A885:$A895=$A885)*($J885:$J895=M$42)))),0)</f>
        <v>0</v>
      </c>
      <c r="N885" s="1129" cm="1">
        <f t="array" ref="N885">IFERROR(IF($A885=$A884,0,SUM(_xlfn._xlws.FILTER($E885:$E895,($A885:$A895=$A885)*($J885:$J895=N$42)))),0)</f>
        <v>0</v>
      </c>
    </row>
    <row r="886" spans="5:14">
      <c r="E886" s="1128">
        <f ca="1">IFERROR(C886*D886*_xlfn.XLOOKUP(B886,TabCalc[Ticker],TabCalc[Scale]),0)</f>
        <v>0</v>
      </c>
      <c r="F886" s="1129" cm="1">
        <f t="array" ref="F886">IF(A886=A885,0,SUM(_xlfn._xlws.FILTER(E886:E896,A886:A896=A886)))</f>
        <v>0</v>
      </c>
      <c r="G886" s="1130">
        <f>IF(F886&lt;&gt;0,SUM($F$43:F886),0)</f>
        <v>0</v>
      </c>
      <c r="H886" s="1130" cm="1">
        <f t="array" ref="H886">IFERROR(IF(A886=A885,0,SUM(_xlfn._xlws.FILTER(E886:E896,(A886:A896=A886)*(E886:E896&gt;0)))),0)</f>
        <v>0</v>
      </c>
      <c r="I886" s="1130" cm="1">
        <f t="array" ref="I886">IFERROR(IF(A886=A885,0,SUM(_xlfn._xlws.FILTER(E886:E896,(A886:A896=A886)*(F886&lt;0)))),0)</f>
        <v>0</v>
      </c>
      <c r="J886" s="295" t="str">
        <f ca="1">IFERROR(_xlfn.XLOOKUP(B886,TabCalc[Ticker],TabCalc[Cur]),"")</f>
        <v/>
      </c>
      <c r="K886" s="1129" cm="1">
        <f t="array" ref="K886">IFERROR(IF($A886=$A885,0,SUM(_xlfn._xlws.FILTER($E886:$E896,($A886:$A896=$A886)*($J886:$J896=K$42)))),0)</f>
        <v>0</v>
      </c>
      <c r="L886" s="1129" cm="1">
        <f t="array" ref="L886">IFERROR(IF($A886=$A885,0,SUM(_xlfn._xlws.FILTER($E886:$E896,($A886:$A896=$A886)*($J886:$J896=L$42)))),0)</f>
        <v>0</v>
      </c>
      <c r="M886" s="1129" cm="1">
        <f t="array" ref="M886">IFERROR(IF($A886=$A885,0,SUM(_xlfn._xlws.FILTER($E886:$E896,($A886:$A896=$A886)*($J886:$J896=M$42)))),0)</f>
        <v>0</v>
      </c>
      <c r="N886" s="1129" cm="1">
        <f t="array" ref="N886">IFERROR(IF($A886=$A885,0,SUM(_xlfn._xlws.FILTER($E886:$E896,($A886:$A896=$A886)*($J886:$J896=N$42)))),0)</f>
        <v>0</v>
      </c>
    </row>
    <row r="887" spans="5:14">
      <c r="E887" s="1128">
        <f ca="1">IFERROR(C887*D887*_xlfn.XLOOKUP(B887,TabCalc[Ticker],TabCalc[Scale]),0)</f>
        <v>0</v>
      </c>
      <c r="F887" s="1129" cm="1">
        <f t="array" ref="F887">IF(A887=A886,0,SUM(_xlfn._xlws.FILTER(E887:E897,A887:A897=A887)))</f>
        <v>0</v>
      </c>
      <c r="G887" s="1130">
        <f>IF(F887&lt;&gt;0,SUM($F$43:F887),0)</f>
        <v>0</v>
      </c>
      <c r="H887" s="1130" cm="1">
        <f t="array" ref="H887">IFERROR(IF(A887=A886,0,SUM(_xlfn._xlws.FILTER(E887:E897,(A887:A897=A887)*(E887:E897&gt;0)))),0)</f>
        <v>0</v>
      </c>
      <c r="I887" s="1130" cm="1">
        <f t="array" ref="I887">IFERROR(IF(A887=A886,0,SUM(_xlfn._xlws.FILTER(E887:E897,(A887:A897=A887)*(F887&lt;0)))),0)</f>
        <v>0</v>
      </c>
      <c r="J887" s="295" t="str">
        <f ca="1">IFERROR(_xlfn.XLOOKUP(B887,TabCalc[Ticker],TabCalc[Cur]),"")</f>
        <v/>
      </c>
      <c r="K887" s="1129" cm="1">
        <f t="array" ref="K887">IFERROR(IF($A887=$A886,0,SUM(_xlfn._xlws.FILTER($E887:$E897,($A887:$A897=$A887)*($J887:$J897=K$42)))),0)</f>
        <v>0</v>
      </c>
      <c r="L887" s="1129" cm="1">
        <f t="array" ref="L887">IFERROR(IF($A887=$A886,0,SUM(_xlfn._xlws.FILTER($E887:$E897,($A887:$A897=$A887)*($J887:$J897=L$42)))),0)</f>
        <v>0</v>
      </c>
      <c r="M887" s="1129" cm="1">
        <f t="array" ref="M887">IFERROR(IF($A887=$A886,0,SUM(_xlfn._xlws.FILTER($E887:$E897,($A887:$A897=$A887)*($J887:$J897=M$42)))),0)</f>
        <v>0</v>
      </c>
      <c r="N887" s="1129" cm="1">
        <f t="array" ref="N887">IFERROR(IF($A887=$A886,0,SUM(_xlfn._xlws.FILTER($E887:$E897,($A887:$A897=$A887)*($J887:$J897=N$42)))),0)</f>
        <v>0</v>
      </c>
    </row>
    <row r="888" spans="5:14">
      <c r="E888" s="1128">
        <f ca="1">IFERROR(C888*D888*_xlfn.XLOOKUP(B888,TabCalc[Ticker],TabCalc[Scale]),0)</f>
        <v>0</v>
      </c>
      <c r="F888" s="1129" cm="1">
        <f t="array" ref="F888">IF(A888=A887,0,SUM(_xlfn._xlws.FILTER(E888:E898,A888:A898=A888)))</f>
        <v>0</v>
      </c>
      <c r="G888" s="1130">
        <f>IF(F888&lt;&gt;0,SUM($F$43:F888),0)</f>
        <v>0</v>
      </c>
      <c r="H888" s="1130" cm="1">
        <f t="array" ref="H888">IFERROR(IF(A888=A887,0,SUM(_xlfn._xlws.FILTER(E888:E898,(A888:A898=A888)*(E888:E898&gt;0)))),0)</f>
        <v>0</v>
      </c>
      <c r="I888" s="1130" cm="1">
        <f t="array" ref="I888">IFERROR(IF(A888=A887,0,SUM(_xlfn._xlws.FILTER(E888:E898,(A888:A898=A888)*(F888&lt;0)))),0)</f>
        <v>0</v>
      </c>
      <c r="J888" s="295" t="str">
        <f ca="1">IFERROR(_xlfn.XLOOKUP(B888,TabCalc[Ticker],TabCalc[Cur]),"")</f>
        <v/>
      </c>
      <c r="K888" s="1129" cm="1">
        <f t="array" ref="K888">IFERROR(IF($A888=$A887,0,SUM(_xlfn._xlws.FILTER($E888:$E898,($A888:$A898=$A888)*($J888:$J898=K$42)))),0)</f>
        <v>0</v>
      </c>
      <c r="L888" s="1129" cm="1">
        <f t="array" ref="L888">IFERROR(IF($A888=$A887,0,SUM(_xlfn._xlws.FILTER($E888:$E898,($A888:$A898=$A888)*($J888:$J898=L$42)))),0)</f>
        <v>0</v>
      </c>
      <c r="M888" s="1129" cm="1">
        <f t="array" ref="M888">IFERROR(IF($A888=$A887,0,SUM(_xlfn._xlws.FILTER($E888:$E898,($A888:$A898=$A888)*($J888:$J898=M$42)))),0)</f>
        <v>0</v>
      </c>
      <c r="N888" s="1129" cm="1">
        <f t="array" ref="N888">IFERROR(IF($A888=$A887,0,SUM(_xlfn._xlws.FILTER($E888:$E898,($A888:$A898=$A888)*($J888:$J898=N$42)))),0)</f>
        <v>0</v>
      </c>
    </row>
    <row r="889" spans="5:14">
      <c r="E889" s="1128">
        <f ca="1">IFERROR(C889*D889*_xlfn.XLOOKUP(B889,TabCalc[Ticker],TabCalc[Scale]),0)</f>
        <v>0</v>
      </c>
      <c r="F889" s="1129" cm="1">
        <f t="array" ref="F889">IF(A889=A888,0,SUM(_xlfn._xlws.FILTER(E889:E899,A889:A899=A889)))</f>
        <v>0</v>
      </c>
      <c r="G889" s="1130">
        <f>IF(F889&lt;&gt;0,SUM($F$43:F889),0)</f>
        <v>0</v>
      </c>
      <c r="H889" s="1130" cm="1">
        <f t="array" ref="H889">IFERROR(IF(A889=A888,0,SUM(_xlfn._xlws.FILTER(E889:E899,(A889:A899=A889)*(E889:E899&gt;0)))),0)</f>
        <v>0</v>
      </c>
      <c r="I889" s="1130" cm="1">
        <f t="array" ref="I889">IFERROR(IF(A889=A888,0,SUM(_xlfn._xlws.FILTER(E889:E899,(A889:A899=A889)*(F889&lt;0)))),0)</f>
        <v>0</v>
      </c>
      <c r="J889" s="295" t="str">
        <f ca="1">IFERROR(_xlfn.XLOOKUP(B889,TabCalc[Ticker],TabCalc[Cur]),"")</f>
        <v/>
      </c>
      <c r="K889" s="1129" cm="1">
        <f t="array" ref="K889">IFERROR(IF($A889=$A888,0,SUM(_xlfn._xlws.FILTER($E889:$E899,($A889:$A899=$A889)*($J889:$J899=K$42)))),0)</f>
        <v>0</v>
      </c>
      <c r="L889" s="1129" cm="1">
        <f t="array" ref="L889">IFERROR(IF($A889=$A888,0,SUM(_xlfn._xlws.FILTER($E889:$E899,($A889:$A899=$A889)*($J889:$J899=L$42)))),0)</f>
        <v>0</v>
      </c>
      <c r="M889" s="1129" cm="1">
        <f t="array" ref="M889">IFERROR(IF($A889=$A888,0,SUM(_xlfn._xlws.FILTER($E889:$E899,($A889:$A899=$A889)*($J889:$J899=M$42)))),0)</f>
        <v>0</v>
      </c>
      <c r="N889" s="1129" cm="1">
        <f t="array" ref="N889">IFERROR(IF($A889=$A888,0,SUM(_xlfn._xlws.FILTER($E889:$E899,($A889:$A899=$A889)*($J889:$J899=N$42)))),0)</f>
        <v>0</v>
      </c>
    </row>
    <row r="890" spans="5:14">
      <c r="E890" s="1128">
        <f ca="1">IFERROR(C890*D890*_xlfn.XLOOKUP(B890,TabCalc[Ticker],TabCalc[Scale]),0)</f>
        <v>0</v>
      </c>
      <c r="F890" s="1129" cm="1">
        <f t="array" ref="F890">IF(A890=A889,0,SUM(_xlfn._xlws.FILTER(E890:E900,A890:A900=A890)))</f>
        <v>0</v>
      </c>
      <c r="G890" s="1130">
        <f>IF(F890&lt;&gt;0,SUM($F$43:F890),0)</f>
        <v>0</v>
      </c>
      <c r="H890" s="1130" cm="1">
        <f t="array" ref="H890">IFERROR(IF(A890=A889,0,SUM(_xlfn._xlws.FILTER(E890:E900,(A890:A900=A890)*(E890:E900&gt;0)))),0)</f>
        <v>0</v>
      </c>
      <c r="I890" s="1130" cm="1">
        <f t="array" ref="I890">IFERROR(IF(A890=A889,0,SUM(_xlfn._xlws.FILTER(E890:E900,(A890:A900=A890)*(F890&lt;0)))),0)</f>
        <v>0</v>
      </c>
      <c r="J890" s="295" t="str">
        <f ca="1">IFERROR(_xlfn.XLOOKUP(B890,TabCalc[Ticker],TabCalc[Cur]),"")</f>
        <v/>
      </c>
      <c r="K890" s="1129" cm="1">
        <f t="array" ref="K890">IFERROR(IF($A890=$A889,0,SUM(_xlfn._xlws.FILTER($E890:$E900,($A890:$A900=$A890)*($J890:$J900=K$42)))),0)</f>
        <v>0</v>
      </c>
      <c r="L890" s="1129" cm="1">
        <f t="array" ref="L890">IFERROR(IF($A890=$A889,0,SUM(_xlfn._xlws.FILTER($E890:$E900,($A890:$A900=$A890)*($J890:$J900=L$42)))),0)</f>
        <v>0</v>
      </c>
      <c r="M890" s="1129" cm="1">
        <f t="array" ref="M890">IFERROR(IF($A890=$A889,0,SUM(_xlfn._xlws.FILTER($E890:$E900,($A890:$A900=$A890)*($J890:$J900=M$42)))),0)</f>
        <v>0</v>
      </c>
      <c r="N890" s="1129" cm="1">
        <f t="array" ref="N890">IFERROR(IF($A890=$A889,0,SUM(_xlfn._xlws.FILTER($E890:$E900,($A890:$A900=$A890)*($J890:$J900=N$42)))),0)</f>
        <v>0</v>
      </c>
    </row>
    <row r="891" spans="5:14">
      <c r="E891" s="1128">
        <f ca="1">IFERROR(C891*D891*_xlfn.XLOOKUP(B891,TabCalc[Ticker],TabCalc[Scale]),0)</f>
        <v>0</v>
      </c>
      <c r="F891" s="1129" cm="1">
        <f t="array" ref="F891">IF(A891=A890,0,SUM(_xlfn._xlws.FILTER(E891:E901,A891:A901=A891)))</f>
        <v>0</v>
      </c>
      <c r="G891" s="1130">
        <f>IF(F891&lt;&gt;0,SUM($F$43:F891),0)</f>
        <v>0</v>
      </c>
      <c r="H891" s="1130" cm="1">
        <f t="array" ref="H891">IFERROR(IF(A891=A890,0,SUM(_xlfn._xlws.FILTER(E891:E901,(A891:A901=A891)*(E891:E901&gt;0)))),0)</f>
        <v>0</v>
      </c>
      <c r="I891" s="1130" cm="1">
        <f t="array" ref="I891">IFERROR(IF(A891=A890,0,SUM(_xlfn._xlws.FILTER(E891:E901,(A891:A901=A891)*(F891&lt;0)))),0)</f>
        <v>0</v>
      </c>
      <c r="J891" s="295" t="str">
        <f ca="1">IFERROR(_xlfn.XLOOKUP(B891,TabCalc[Ticker],TabCalc[Cur]),"")</f>
        <v/>
      </c>
      <c r="K891" s="1129" cm="1">
        <f t="array" ref="K891">IFERROR(IF($A891=$A890,0,SUM(_xlfn._xlws.FILTER($E891:$E901,($A891:$A901=$A891)*($J891:$J901=K$42)))),0)</f>
        <v>0</v>
      </c>
      <c r="L891" s="1129" cm="1">
        <f t="array" ref="L891">IFERROR(IF($A891=$A890,0,SUM(_xlfn._xlws.FILTER($E891:$E901,($A891:$A901=$A891)*($J891:$J901=L$42)))),0)</f>
        <v>0</v>
      </c>
      <c r="M891" s="1129" cm="1">
        <f t="array" ref="M891">IFERROR(IF($A891=$A890,0,SUM(_xlfn._xlws.FILTER($E891:$E901,($A891:$A901=$A891)*($J891:$J901=M$42)))),0)</f>
        <v>0</v>
      </c>
      <c r="N891" s="1129" cm="1">
        <f t="array" ref="N891">IFERROR(IF($A891=$A890,0,SUM(_xlfn._xlws.FILTER($E891:$E901,($A891:$A901=$A891)*($J891:$J901=N$42)))),0)</f>
        <v>0</v>
      </c>
    </row>
    <row r="892" spans="5:14">
      <c r="E892" s="1128">
        <f ca="1">IFERROR(C892*D892*_xlfn.XLOOKUP(B892,TabCalc[Ticker],TabCalc[Scale]),0)</f>
        <v>0</v>
      </c>
      <c r="F892" s="1129" cm="1">
        <f t="array" ref="F892">IF(A892=A891,0,SUM(_xlfn._xlws.FILTER(E892:E902,A892:A902=A892)))</f>
        <v>0</v>
      </c>
      <c r="G892" s="1130">
        <f>IF(F892&lt;&gt;0,SUM($F$43:F892),0)</f>
        <v>0</v>
      </c>
      <c r="H892" s="1130" cm="1">
        <f t="array" ref="H892">IFERROR(IF(A892=A891,0,SUM(_xlfn._xlws.FILTER(E892:E902,(A892:A902=A892)*(E892:E902&gt;0)))),0)</f>
        <v>0</v>
      </c>
      <c r="I892" s="1130" cm="1">
        <f t="array" ref="I892">IFERROR(IF(A892=A891,0,SUM(_xlfn._xlws.FILTER(E892:E902,(A892:A902=A892)*(F892&lt;0)))),0)</f>
        <v>0</v>
      </c>
      <c r="J892" s="295" t="str">
        <f ca="1">IFERROR(_xlfn.XLOOKUP(B892,TabCalc[Ticker],TabCalc[Cur]),"")</f>
        <v/>
      </c>
      <c r="K892" s="1129" cm="1">
        <f t="array" ref="K892">IFERROR(IF($A892=$A891,0,SUM(_xlfn._xlws.FILTER($E892:$E902,($A892:$A902=$A892)*($J892:$J902=K$42)))),0)</f>
        <v>0</v>
      </c>
      <c r="L892" s="1129" cm="1">
        <f t="array" ref="L892">IFERROR(IF($A892=$A891,0,SUM(_xlfn._xlws.FILTER($E892:$E902,($A892:$A902=$A892)*($J892:$J902=L$42)))),0)</f>
        <v>0</v>
      </c>
      <c r="M892" s="1129" cm="1">
        <f t="array" ref="M892">IFERROR(IF($A892=$A891,0,SUM(_xlfn._xlws.FILTER($E892:$E902,($A892:$A902=$A892)*($J892:$J902=M$42)))),0)</f>
        <v>0</v>
      </c>
      <c r="N892" s="1129" cm="1">
        <f t="array" ref="N892">IFERROR(IF($A892=$A891,0,SUM(_xlfn._xlws.FILTER($E892:$E902,($A892:$A902=$A892)*($J892:$J902=N$42)))),0)</f>
        <v>0</v>
      </c>
    </row>
    <row r="893" spans="5:14">
      <c r="E893" s="1128">
        <f ca="1">IFERROR(C893*D893*_xlfn.XLOOKUP(B893,TabCalc[Ticker],TabCalc[Scale]),0)</f>
        <v>0</v>
      </c>
      <c r="F893" s="1129" cm="1">
        <f t="array" ref="F893">IF(A893=A892,0,SUM(_xlfn._xlws.FILTER(E893:E903,A893:A903=A893)))</f>
        <v>0</v>
      </c>
      <c r="G893" s="1130">
        <f>IF(F893&lt;&gt;0,SUM($F$43:F893),0)</f>
        <v>0</v>
      </c>
      <c r="H893" s="1130" cm="1">
        <f t="array" ref="H893">IFERROR(IF(A893=A892,0,SUM(_xlfn._xlws.FILTER(E893:E903,(A893:A903=A893)*(E893:E903&gt;0)))),0)</f>
        <v>0</v>
      </c>
      <c r="I893" s="1130" cm="1">
        <f t="array" ref="I893">IFERROR(IF(A893=A892,0,SUM(_xlfn._xlws.FILTER(E893:E903,(A893:A903=A893)*(F893&lt;0)))),0)</f>
        <v>0</v>
      </c>
      <c r="J893" s="295" t="str">
        <f ca="1">IFERROR(_xlfn.XLOOKUP(B893,TabCalc[Ticker],TabCalc[Cur]),"")</f>
        <v/>
      </c>
      <c r="K893" s="1129" cm="1">
        <f t="array" ref="K893">IFERROR(IF($A893=$A892,0,SUM(_xlfn._xlws.FILTER($E893:$E903,($A893:$A903=$A893)*($J893:$J903=K$42)))),0)</f>
        <v>0</v>
      </c>
      <c r="L893" s="1129" cm="1">
        <f t="array" ref="L893">IFERROR(IF($A893=$A892,0,SUM(_xlfn._xlws.FILTER($E893:$E903,($A893:$A903=$A893)*($J893:$J903=L$42)))),0)</f>
        <v>0</v>
      </c>
      <c r="M893" s="1129" cm="1">
        <f t="array" ref="M893">IFERROR(IF($A893=$A892,0,SUM(_xlfn._xlws.FILTER($E893:$E903,($A893:$A903=$A893)*($J893:$J903=M$42)))),0)</f>
        <v>0</v>
      </c>
      <c r="N893" s="1129" cm="1">
        <f t="array" ref="N893">IFERROR(IF($A893=$A892,0,SUM(_xlfn._xlws.FILTER($E893:$E903,($A893:$A903=$A893)*($J893:$J903=N$42)))),0)</f>
        <v>0</v>
      </c>
    </row>
    <row r="894" spans="5:14">
      <c r="E894" s="1128">
        <f ca="1">IFERROR(C894*D894*_xlfn.XLOOKUP(B894,TabCalc[Ticker],TabCalc[Scale]),0)</f>
        <v>0</v>
      </c>
      <c r="F894" s="1129" cm="1">
        <f t="array" ref="F894">IF(A894=A893,0,SUM(_xlfn._xlws.FILTER(E894:E904,A894:A904=A894)))</f>
        <v>0</v>
      </c>
      <c r="G894" s="1130">
        <f>IF(F894&lt;&gt;0,SUM($F$43:F894),0)</f>
        <v>0</v>
      </c>
      <c r="H894" s="1130" cm="1">
        <f t="array" ref="H894">IFERROR(IF(A894=A893,0,SUM(_xlfn._xlws.FILTER(E894:E904,(A894:A904=A894)*(E894:E904&gt;0)))),0)</f>
        <v>0</v>
      </c>
      <c r="I894" s="1130" cm="1">
        <f t="array" ref="I894">IFERROR(IF(A894=A893,0,SUM(_xlfn._xlws.FILTER(E894:E904,(A894:A904=A894)*(F894&lt;0)))),0)</f>
        <v>0</v>
      </c>
      <c r="J894" s="295" t="str">
        <f ca="1">IFERROR(_xlfn.XLOOKUP(B894,TabCalc[Ticker],TabCalc[Cur]),"")</f>
        <v/>
      </c>
      <c r="K894" s="1129" cm="1">
        <f t="array" ref="K894">IFERROR(IF($A894=$A893,0,SUM(_xlfn._xlws.FILTER($E894:$E904,($A894:$A904=$A894)*($J894:$J904=K$42)))),0)</f>
        <v>0</v>
      </c>
      <c r="L894" s="1129" cm="1">
        <f t="array" ref="L894">IFERROR(IF($A894=$A893,0,SUM(_xlfn._xlws.FILTER($E894:$E904,($A894:$A904=$A894)*($J894:$J904=L$42)))),0)</f>
        <v>0</v>
      </c>
      <c r="M894" s="1129" cm="1">
        <f t="array" ref="M894">IFERROR(IF($A894=$A893,0,SUM(_xlfn._xlws.FILTER($E894:$E904,($A894:$A904=$A894)*($J894:$J904=M$42)))),0)</f>
        <v>0</v>
      </c>
      <c r="N894" s="1129" cm="1">
        <f t="array" ref="N894">IFERROR(IF($A894=$A893,0,SUM(_xlfn._xlws.FILTER($E894:$E904,($A894:$A904=$A894)*($J894:$J904=N$42)))),0)</f>
        <v>0</v>
      </c>
    </row>
    <row r="895" spans="5:14">
      <c r="E895" s="1128">
        <f ca="1">IFERROR(C895*D895*_xlfn.XLOOKUP(B895,TabCalc[Ticker],TabCalc[Scale]),0)</f>
        <v>0</v>
      </c>
      <c r="F895" s="1129" cm="1">
        <f t="array" ref="F895">IF(A895=A894,0,SUM(_xlfn._xlws.FILTER(E895:E905,A895:A905=A895)))</f>
        <v>0</v>
      </c>
      <c r="G895" s="1130">
        <f>IF(F895&lt;&gt;0,SUM($F$43:F895),0)</f>
        <v>0</v>
      </c>
      <c r="H895" s="1130" cm="1">
        <f t="array" ref="H895">IFERROR(IF(A895=A894,0,SUM(_xlfn._xlws.FILTER(E895:E905,(A895:A905=A895)*(E895:E905&gt;0)))),0)</f>
        <v>0</v>
      </c>
      <c r="I895" s="1130" cm="1">
        <f t="array" ref="I895">IFERROR(IF(A895=A894,0,SUM(_xlfn._xlws.FILTER(E895:E905,(A895:A905=A895)*(F895&lt;0)))),0)</f>
        <v>0</v>
      </c>
      <c r="J895" s="295" t="str">
        <f ca="1">IFERROR(_xlfn.XLOOKUP(B895,TabCalc[Ticker],TabCalc[Cur]),"")</f>
        <v/>
      </c>
      <c r="K895" s="1129" cm="1">
        <f t="array" ref="K895">IFERROR(IF($A895=$A894,0,SUM(_xlfn._xlws.FILTER($E895:$E905,($A895:$A905=$A895)*($J895:$J905=K$42)))),0)</f>
        <v>0</v>
      </c>
      <c r="L895" s="1129" cm="1">
        <f t="array" ref="L895">IFERROR(IF($A895=$A894,0,SUM(_xlfn._xlws.FILTER($E895:$E905,($A895:$A905=$A895)*($J895:$J905=L$42)))),0)</f>
        <v>0</v>
      </c>
      <c r="M895" s="1129" cm="1">
        <f t="array" ref="M895">IFERROR(IF($A895=$A894,0,SUM(_xlfn._xlws.FILTER($E895:$E905,($A895:$A905=$A895)*($J895:$J905=M$42)))),0)</f>
        <v>0</v>
      </c>
      <c r="N895" s="1129" cm="1">
        <f t="array" ref="N895">IFERROR(IF($A895=$A894,0,SUM(_xlfn._xlws.FILTER($E895:$E905,($A895:$A905=$A895)*($J895:$J905=N$42)))),0)</f>
        <v>0</v>
      </c>
    </row>
    <row r="896" spans="5:14">
      <c r="E896" s="1128">
        <f ca="1">IFERROR(C896*D896*_xlfn.XLOOKUP(B896,TabCalc[Ticker],TabCalc[Scale]),0)</f>
        <v>0</v>
      </c>
      <c r="F896" s="1129" cm="1">
        <f t="array" ref="F896">IF(A896=A895,0,SUM(_xlfn._xlws.FILTER(E896:E906,A896:A906=A896)))</f>
        <v>0</v>
      </c>
      <c r="G896" s="1130">
        <f>IF(F896&lt;&gt;0,SUM($F$43:F896),0)</f>
        <v>0</v>
      </c>
      <c r="H896" s="1130" cm="1">
        <f t="array" ref="H896">IFERROR(IF(A896=A895,0,SUM(_xlfn._xlws.FILTER(E896:E906,(A896:A906=A896)*(E896:E906&gt;0)))),0)</f>
        <v>0</v>
      </c>
      <c r="I896" s="1130" cm="1">
        <f t="array" ref="I896">IFERROR(IF(A896=A895,0,SUM(_xlfn._xlws.FILTER(E896:E906,(A896:A906=A896)*(F896&lt;0)))),0)</f>
        <v>0</v>
      </c>
      <c r="J896" s="295" t="str">
        <f ca="1">IFERROR(_xlfn.XLOOKUP(B896,TabCalc[Ticker],TabCalc[Cur]),"")</f>
        <v/>
      </c>
      <c r="K896" s="1129" cm="1">
        <f t="array" ref="K896">IFERROR(IF($A896=$A895,0,SUM(_xlfn._xlws.FILTER($E896:$E906,($A896:$A906=$A896)*($J896:$J906=K$42)))),0)</f>
        <v>0</v>
      </c>
      <c r="L896" s="1129" cm="1">
        <f t="array" ref="L896">IFERROR(IF($A896=$A895,0,SUM(_xlfn._xlws.FILTER($E896:$E906,($A896:$A906=$A896)*($J896:$J906=L$42)))),0)</f>
        <v>0</v>
      </c>
      <c r="M896" s="1129" cm="1">
        <f t="array" ref="M896">IFERROR(IF($A896=$A895,0,SUM(_xlfn._xlws.FILTER($E896:$E906,($A896:$A906=$A896)*($J896:$J906=M$42)))),0)</f>
        <v>0</v>
      </c>
      <c r="N896" s="1129" cm="1">
        <f t="array" ref="N896">IFERROR(IF($A896=$A895,0,SUM(_xlfn._xlws.FILTER($E896:$E906,($A896:$A906=$A896)*($J896:$J906=N$42)))),0)</f>
        <v>0</v>
      </c>
    </row>
    <row r="897" spans="5:14">
      <c r="E897" s="1128">
        <f ca="1">IFERROR(C897*D897*_xlfn.XLOOKUP(B897,TabCalc[Ticker],TabCalc[Scale]),0)</f>
        <v>0</v>
      </c>
      <c r="F897" s="1129" cm="1">
        <f t="array" ref="F897">IF(A897=A896,0,SUM(_xlfn._xlws.FILTER(E897:E907,A897:A907=A897)))</f>
        <v>0</v>
      </c>
      <c r="G897" s="1130">
        <f>IF(F897&lt;&gt;0,SUM($F$43:F897),0)</f>
        <v>0</v>
      </c>
      <c r="H897" s="1130" cm="1">
        <f t="array" ref="H897">IFERROR(IF(A897=A896,0,SUM(_xlfn._xlws.FILTER(E897:E907,(A897:A907=A897)*(E897:E907&gt;0)))),0)</f>
        <v>0</v>
      </c>
      <c r="I897" s="1130" cm="1">
        <f t="array" ref="I897">IFERROR(IF(A897=A896,0,SUM(_xlfn._xlws.FILTER(E897:E907,(A897:A907=A897)*(F897&lt;0)))),0)</f>
        <v>0</v>
      </c>
      <c r="J897" s="295" t="str">
        <f ca="1">IFERROR(_xlfn.XLOOKUP(B897,TabCalc[Ticker],TabCalc[Cur]),"")</f>
        <v/>
      </c>
      <c r="K897" s="1129" cm="1">
        <f t="array" ref="K897">IFERROR(IF($A897=$A896,0,SUM(_xlfn._xlws.FILTER($E897:$E907,($A897:$A907=$A897)*($J897:$J907=K$42)))),0)</f>
        <v>0</v>
      </c>
      <c r="L897" s="1129" cm="1">
        <f t="array" ref="L897">IFERROR(IF($A897=$A896,0,SUM(_xlfn._xlws.FILTER($E897:$E907,($A897:$A907=$A897)*($J897:$J907=L$42)))),0)</f>
        <v>0</v>
      </c>
      <c r="M897" s="1129" cm="1">
        <f t="array" ref="M897">IFERROR(IF($A897=$A896,0,SUM(_xlfn._xlws.FILTER($E897:$E907,($A897:$A907=$A897)*($J897:$J907=M$42)))),0)</f>
        <v>0</v>
      </c>
      <c r="N897" s="1129" cm="1">
        <f t="array" ref="N897">IFERROR(IF($A897=$A896,0,SUM(_xlfn._xlws.FILTER($E897:$E907,($A897:$A907=$A897)*($J897:$J907=N$42)))),0)</f>
        <v>0</v>
      </c>
    </row>
    <row r="898" spans="5:14">
      <c r="E898" s="1128">
        <f ca="1">IFERROR(C898*D898*_xlfn.XLOOKUP(B898,TabCalc[Ticker],TabCalc[Scale]),0)</f>
        <v>0</v>
      </c>
      <c r="F898" s="1129" cm="1">
        <f t="array" ref="F898">IF(A898=A897,0,SUM(_xlfn._xlws.FILTER(E898:E908,A898:A908=A898)))</f>
        <v>0</v>
      </c>
      <c r="G898" s="1130">
        <f>IF(F898&lt;&gt;0,SUM($F$43:F898),0)</f>
        <v>0</v>
      </c>
      <c r="H898" s="1130" cm="1">
        <f t="array" ref="H898">IFERROR(IF(A898=A897,0,SUM(_xlfn._xlws.FILTER(E898:E908,(A898:A908=A898)*(E898:E908&gt;0)))),0)</f>
        <v>0</v>
      </c>
      <c r="I898" s="1130" cm="1">
        <f t="array" ref="I898">IFERROR(IF(A898=A897,0,SUM(_xlfn._xlws.FILTER(E898:E908,(A898:A908=A898)*(F898&lt;0)))),0)</f>
        <v>0</v>
      </c>
      <c r="J898" s="295" t="str">
        <f ca="1">IFERROR(_xlfn.XLOOKUP(B898,TabCalc[Ticker],TabCalc[Cur]),"")</f>
        <v/>
      </c>
      <c r="K898" s="1129" cm="1">
        <f t="array" ref="K898">IFERROR(IF($A898=$A897,0,SUM(_xlfn._xlws.FILTER($E898:$E908,($A898:$A908=$A898)*($J898:$J908=K$42)))),0)</f>
        <v>0</v>
      </c>
      <c r="L898" s="1129" cm="1">
        <f t="array" ref="L898">IFERROR(IF($A898=$A897,0,SUM(_xlfn._xlws.FILTER($E898:$E908,($A898:$A908=$A898)*($J898:$J908=L$42)))),0)</f>
        <v>0</v>
      </c>
      <c r="M898" s="1129" cm="1">
        <f t="array" ref="M898">IFERROR(IF($A898=$A897,0,SUM(_xlfn._xlws.FILTER($E898:$E908,($A898:$A908=$A898)*($J898:$J908=M$42)))),0)</f>
        <v>0</v>
      </c>
      <c r="N898" s="1129" cm="1">
        <f t="array" ref="N898">IFERROR(IF($A898=$A897,0,SUM(_xlfn._xlws.FILTER($E898:$E908,($A898:$A908=$A898)*($J898:$J908=N$42)))),0)</f>
        <v>0</v>
      </c>
    </row>
    <row r="899" spans="5:14">
      <c r="E899" s="1128">
        <f ca="1">IFERROR(C899*D899*_xlfn.XLOOKUP(B899,TabCalc[Ticker],TabCalc[Scale]),0)</f>
        <v>0</v>
      </c>
      <c r="F899" s="1129" cm="1">
        <f t="array" ref="F899">IF(A899=A898,0,SUM(_xlfn._xlws.FILTER(E899:E909,A899:A909=A899)))</f>
        <v>0</v>
      </c>
      <c r="G899" s="1130">
        <f>IF(F899&lt;&gt;0,SUM($F$43:F899),0)</f>
        <v>0</v>
      </c>
      <c r="H899" s="1130" cm="1">
        <f t="array" ref="H899">IFERROR(IF(A899=A898,0,SUM(_xlfn._xlws.FILTER(E899:E909,(A899:A909=A899)*(E899:E909&gt;0)))),0)</f>
        <v>0</v>
      </c>
      <c r="I899" s="1130" cm="1">
        <f t="array" ref="I899">IFERROR(IF(A899=A898,0,SUM(_xlfn._xlws.FILTER(E899:E909,(A899:A909=A899)*(F899&lt;0)))),0)</f>
        <v>0</v>
      </c>
      <c r="J899" s="295" t="str">
        <f ca="1">IFERROR(_xlfn.XLOOKUP(B899,TabCalc[Ticker],TabCalc[Cur]),"")</f>
        <v/>
      </c>
      <c r="K899" s="1129" cm="1">
        <f t="array" ref="K899">IFERROR(IF($A899=$A898,0,SUM(_xlfn._xlws.FILTER($E899:$E909,($A899:$A909=$A899)*($J899:$J909=K$42)))),0)</f>
        <v>0</v>
      </c>
      <c r="L899" s="1129" cm="1">
        <f t="array" ref="L899">IFERROR(IF($A899=$A898,0,SUM(_xlfn._xlws.FILTER($E899:$E909,($A899:$A909=$A899)*($J899:$J909=L$42)))),0)</f>
        <v>0</v>
      </c>
      <c r="M899" s="1129" cm="1">
        <f t="array" ref="M899">IFERROR(IF($A899=$A898,0,SUM(_xlfn._xlws.FILTER($E899:$E909,($A899:$A909=$A899)*($J899:$J909=M$42)))),0)</f>
        <v>0</v>
      </c>
      <c r="N899" s="1129" cm="1">
        <f t="array" ref="N899">IFERROR(IF($A899=$A898,0,SUM(_xlfn._xlws.FILTER($E899:$E909,($A899:$A909=$A899)*($J899:$J909=N$42)))),0)</f>
        <v>0</v>
      </c>
    </row>
    <row r="900" spans="5:14">
      <c r="E900" s="1128">
        <f ca="1">IFERROR(C900*D900*_xlfn.XLOOKUP(B900,TabCalc[Ticker],TabCalc[Scale]),0)</f>
        <v>0</v>
      </c>
      <c r="F900" s="1129" cm="1">
        <f t="array" ref="F900">IF(A900=A899,0,SUM(_xlfn._xlws.FILTER(E900:E910,A900:A910=A900)))</f>
        <v>0</v>
      </c>
      <c r="G900" s="1130">
        <f>IF(F900&lt;&gt;0,SUM($F$43:F900),0)</f>
        <v>0</v>
      </c>
      <c r="H900" s="1130" cm="1">
        <f t="array" ref="H900">IFERROR(IF(A900=A899,0,SUM(_xlfn._xlws.FILTER(E900:E910,(A900:A910=A900)*(E900:E910&gt;0)))),0)</f>
        <v>0</v>
      </c>
      <c r="I900" s="1130" cm="1">
        <f t="array" ref="I900">IFERROR(IF(A900=A899,0,SUM(_xlfn._xlws.FILTER(E900:E910,(A900:A910=A900)*(F900&lt;0)))),0)</f>
        <v>0</v>
      </c>
      <c r="J900" s="295" t="str">
        <f ca="1">IFERROR(_xlfn.XLOOKUP(B900,TabCalc[Ticker],TabCalc[Cur]),"")</f>
        <v/>
      </c>
      <c r="K900" s="1129" cm="1">
        <f t="array" ref="K900">IFERROR(IF($A900=$A899,0,SUM(_xlfn._xlws.FILTER($E900:$E910,($A900:$A910=$A900)*($J900:$J910=K$42)))),0)</f>
        <v>0</v>
      </c>
      <c r="L900" s="1129" cm="1">
        <f t="array" ref="L900">IFERROR(IF($A900=$A899,0,SUM(_xlfn._xlws.FILTER($E900:$E910,($A900:$A910=$A900)*($J900:$J910=L$42)))),0)</f>
        <v>0</v>
      </c>
      <c r="M900" s="1129" cm="1">
        <f t="array" ref="M900">IFERROR(IF($A900=$A899,0,SUM(_xlfn._xlws.FILTER($E900:$E910,($A900:$A910=$A900)*($J900:$J910=M$42)))),0)</f>
        <v>0</v>
      </c>
      <c r="N900" s="1129" cm="1">
        <f t="array" ref="N900">IFERROR(IF($A900=$A899,0,SUM(_xlfn._xlws.FILTER($E900:$E910,($A900:$A910=$A900)*($J900:$J910=N$42)))),0)</f>
        <v>0</v>
      </c>
    </row>
    <row r="901" spans="5:14">
      <c r="E901" s="1128">
        <f ca="1">IFERROR(C901*D901*_xlfn.XLOOKUP(B901,TabCalc[Ticker],TabCalc[Scale]),0)</f>
        <v>0</v>
      </c>
      <c r="F901" s="1129" cm="1">
        <f t="array" ref="F901">IF(A901=A900,0,SUM(_xlfn._xlws.FILTER(E901:E911,A901:A911=A901)))</f>
        <v>0</v>
      </c>
      <c r="G901" s="1130">
        <f>IF(F901&lt;&gt;0,SUM($F$43:F901),0)</f>
        <v>0</v>
      </c>
      <c r="H901" s="1130" cm="1">
        <f t="array" ref="H901">IFERROR(IF(A901=A900,0,SUM(_xlfn._xlws.FILTER(E901:E911,(A901:A911=A901)*(E901:E911&gt;0)))),0)</f>
        <v>0</v>
      </c>
      <c r="I901" s="1130" cm="1">
        <f t="array" ref="I901">IFERROR(IF(A901=A900,0,SUM(_xlfn._xlws.FILTER(E901:E911,(A901:A911=A901)*(F901&lt;0)))),0)</f>
        <v>0</v>
      </c>
      <c r="J901" s="295" t="str">
        <f ca="1">IFERROR(_xlfn.XLOOKUP(B901,TabCalc[Ticker],TabCalc[Cur]),"")</f>
        <v/>
      </c>
      <c r="K901" s="1129" cm="1">
        <f t="array" ref="K901">IFERROR(IF($A901=$A900,0,SUM(_xlfn._xlws.FILTER($E901:$E911,($A901:$A911=$A901)*($J901:$J911=K$42)))),0)</f>
        <v>0</v>
      </c>
      <c r="L901" s="1129" cm="1">
        <f t="array" ref="L901">IFERROR(IF($A901=$A900,0,SUM(_xlfn._xlws.FILTER($E901:$E911,($A901:$A911=$A901)*($J901:$J911=L$42)))),0)</f>
        <v>0</v>
      </c>
      <c r="M901" s="1129" cm="1">
        <f t="array" ref="M901">IFERROR(IF($A901=$A900,0,SUM(_xlfn._xlws.FILTER($E901:$E911,($A901:$A911=$A901)*($J901:$J911=M$42)))),0)</f>
        <v>0</v>
      </c>
      <c r="N901" s="1129" cm="1">
        <f t="array" ref="N901">IFERROR(IF($A901=$A900,0,SUM(_xlfn._xlws.FILTER($E901:$E911,($A901:$A911=$A901)*($J901:$J911=N$42)))),0)</f>
        <v>0</v>
      </c>
    </row>
    <row r="902" spans="5:14">
      <c r="E902" s="1128">
        <f ca="1">IFERROR(C902*D902*_xlfn.XLOOKUP(B902,TabCalc[Ticker],TabCalc[Scale]),0)</f>
        <v>0</v>
      </c>
      <c r="F902" s="1129" cm="1">
        <f t="array" ref="F902">IF(A902=A901,0,SUM(_xlfn._xlws.FILTER(E902:E912,A902:A912=A902)))</f>
        <v>0</v>
      </c>
      <c r="G902" s="1130">
        <f>IF(F902&lt;&gt;0,SUM($F$43:F902),0)</f>
        <v>0</v>
      </c>
      <c r="H902" s="1130" cm="1">
        <f t="array" ref="H902">IFERROR(IF(A902=A901,0,SUM(_xlfn._xlws.FILTER(E902:E912,(A902:A912=A902)*(E902:E912&gt;0)))),0)</f>
        <v>0</v>
      </c>
      <c r="I902" s="1130" cm="1">
        <f t="array" ref="I902">IFERROR(IF(A902=A901,0,SUM(_xlfn._xlws.FILTER(E902:E912,(A902:A912=A902)*(F902&lt;0)))),0)</f>
        <v>0</v>
      </c>
      <c r="J902" s="295" t="str">
        <f ca="1">IFERROR(_xlfn.XLOOKUP(B902,TabCalc[Ticker],TabCalc[Cur]),"")</f>
        <v/>
      </c>
      <c r="K902" s="1129" cm="1">
        <f t="array" ref="K902">IFERROR(IF($A902=$A901,0,SUM(_xlfn._xlws.FILTER($E902:$E912,($A902:$A912=$A902)*($J902:$J912=K$42)))),0)</f>
        <v>0</v>
      </c>
      <c r="L902" s="1129" cm="1">
        <f t="array" ref="L902">IFERROR(IF($A902=$A901,0,SUM(_xlfn._xlws.FILTER($E902:$E912,($A902:$A912=$A902)*($J902:$J912=L$42)))),0)</f>
        <v>0</v>
      </c>
      <c r="M902" s="1129" cm="1">
        <f t="array" ref="M902">IFERROR(IF($A902=$A901,0,SUM(_xlfn._xlws.FILTER($E902:$E912,($A902:$A912=$A902)*($J902:$J912=M$42)))),0)</f>
        <v>0</v>
      </c>
      <c r="N902" s="1129" cm="1">
        <f t="array" ref="N902">IFERROR(IF($A902=$A901,0,SUM(_xlfn._xlws.FILTER($E902:$E912,($A902:$A912=$A902)*($J902:$J912=N$42)))),0)</f>
        <v>0</v>
      </c>
    </row>
    <row r="903" spans="5:14">
      <c r="E903" s="1128">
        <f ca="1">IFERROR(C903*D903*_xlfn.XLOOKUP(B903,TabCalc[Ticker],TabCalc[Scale]),0)</f>
        <v>0</v>
      </c>
      <c r="F903" s="1129" cm="1">
        <f t="array" ref="F903">IF(A903=A902,0,SUM(_xlfn._xlws.FILTER(E903:E913,A903:A913=A903)))</f>
        <v>0</v>
      </c>
      <c r="G903" s="1130">
        <f>IF(F903&lt;&gt;0,SUM($F$43:F903),0)</f>
        <v>0</v>
      </c>
      <c r="H903" s="1130" cm="1">
        <f t="array" ref="H903">IFERROR(IF(A903=A902,0,SUM(_xlfn._xlws.FILTER(E903:E913,(A903:A913=A903)*(E903:E913&gt;0)))),0)</f>
        <v>0</v>
      </c>
      <c r="I903" s="1130" cm="1">
        <f t="array" ref="I903">IFERROR(IF(A903=A902,0,SUM(_xlfn._xlws.FILTER(E903:E913,(A903:A913=A903)*(F903&lt;0)))),0)</f>
        <v>0</v>
      </c>
      <c r="J903" s="295" t="str">
        <f ca="1">IFERROR(_xlfn.XLOOKUP(B903,TabCalc[Ticker],TabCalc[Cur]),"")</f>
        <v/>
      </c>
      <c r="K903" s="1129" cm="1">
        <f t="array" ref="K903">IFERROR(IF($A903=$A902,0,SUM(_xlfn._xlws.FILTER($E903:$E913,($A903:$A913=$A903)*($J903:$J913=K$42)))),0)</f>
        <v>0</v>
      </c>
      <c r="L903" s="1129" cm="1">
        <f t="array" ref="L903">IFERROR(IF($A903=$A902,0,SUM(_xlfn._xlws.FILTER($E903:$E913,($A903:$A913=$A903)*($J903:$J913=L$42)))),0)</f>
        <v>0</v>
      </c>
      <c r="M903" s="1129" cm="1">
        <f t="array" ref="M903">IFERROR(IF($A903=$A902,0,SUM(_xlfn._xlws.FILTER($E903:$E913,($A903:$A913=$A903)*($J903:$J913=M$42)))),0)</f>
        <v>0</v>
      </c>
      <c r="N903" s="1129" cm="1">
        <f t="array" ref="N903">IFERROR(IF($A903=$A902,0,SUM(_xlfn._xlws.FILTER($E903:$E913,($A903:$A913=$A903)*($J903:$J913=N$42)))),0)</f>
        <v>0</v>
      </c>
    </row>
    <row r="904" spans="5:14">
      <c r="E904" s="1128">
        <f ca="1">IFERROR(C904*D904*_xlfn.XLOOKUP(B904,TabCalc[Ticker],TabCalc[Scale]),0)</f>
        <v>0</v>
      </c>
      <c r="F904" s="1129" cm="1">
        <f t="array" ref="F904">IF(A904=A903,0,SUM(_xlfn._xlws.FILTER(E904:E914,A904:A914=A904)))</f>
        <v>0</v>
      </c>
      <c r="G904" s="1130">
        <f>IF(F904&lt;&gt;0,SUM($F$43:F904),0)</f>
        <v>0</v>
      </c>
      <c r="H904" s="1130" cm="1">
        <f t="array" ref="H904">IFERROR(IF(A904=A903,0,SUM(_xlfn._xlws.FILTER(E904:E914,(A904:A914=A904)*(E904:E914&gt;0)))),0)</f>
        <v>0</v>
      </c>
      <c r="I904" s="1130" cm="1">
        <f t="array" ref="I904">IFERROR(IF(A904=A903,0,SUM(_xlfn._xlws.FILTER(E904:E914,(A904:A914=A904)*(F904&lt;0)))),0)</f>
        <v>0</v>
      </c>
      <c r="J904" s="295" t="str">
        <f ca="1">IFERROR(_xlfn.XLOOKUP(B904,TabCalc[Ticker],TabCalc[Cur]),"")</f>
        <v/>
      </c>
      <c r="K904" s="1129" cm="1">
        <f t="array" ref="K904">IFERROR(IF($A904=$A903,0,SUM(_xlfn._xlws.FILTER($E904:$E914,($A904:$A914=$A904)*($J904:$J914=K$42)))),0)</f>
        <v>0</v>
      </c>
      <c r="L904" s="1129" cm="1">
        <f t="array" ref="L904">IFERROR(IF($A904=$A903,0,SUM(_xlfn._xlws.FILTER($E904:$E914,($A904:$A914=$A904)*($J904:$J914=L$42)))),0)</f>
        <v>0</v>
      </c>
      <c r="M904" s="1129" cm="1">
        <f t="array" ref="M904">IFERROR(IF($A904=$A903,0,SUM(_xlfn._xlws.FILTER($E904:$E914,($A904:$A914=$A904)*($J904:$J914=M$42)))),0)</f>
        <v>0</v>
      </c>
      <c r="N904" s="1129" cm="1">
        <f t="array" ref="N904">IFERROR(IF($A904=$A903,0,SUM(_xlfn._xlws.FILTER($E904:$E914,($A904:$A914=$A904)*($J904:$J914=N$42)))),0)</f>
        <v>0</v>
      </c>
    </row>
    <row r="905" spans="5:14">
      <c r="E905" s="1128">
        <f ca="1">IFERROR(C905*D905*_xlfn.XLOOKUP(B905,TabCalc[Ticker],TabCalc[Scale]),0)</f>
        <v>0</v>
      </c>
      <c r="F905" s="1129" cm="1">
        <f t="array" ref="F905">IF(A905=A904,0,SUM(_xlfn._xlws.FILTER(E905:E915,A905:A915=A905)))</f>
        <v>0</v>
      </c>
      <c r="G905" s="1130">
        <f>IF(F905&lt;&gt;0,SUM($F$43:F905),0)</f>
        <v>0</v>
      </c>
      <c r="H905" s="1130" cm="1">
        <f t="array" ref="H905">IFERROR(IF(A905=A904,0,SUM(_xlfn._xlws.FILTER(E905:E915,(A905:A915=A905)*(E905:E915&gt;0)))),0)</f>
        <v>0</v>
      </c>
      <c r="I905" s="1130" cm="1">
        <f t="array" ref="I905">IFERROR(IF(A905=A904,0,SUM(_xlfn._xlws.FILTER(E905:E915,(A905:A915=A905)*(F905&lt;0)))),0)</f>
        <v>0</v>
      </c>
      <c r="J905" s="295" t="str">
        <f ca="1">IFERROR(_xlfn.XLOOKUP(B905,TabCalc[Ticker],TabCalc[Cur]),"")</f>
        <v/>
      </c>
      <c r="K905" s="1129" cm="1">
        <f t="array" ref="K905">IFERROR(IF($A905=$A904,0,SUM(_xlfn._xlws.FILTER($E905:$E915,($A905:$A915=$A905)*($J905:$J915=K$42)))),0)</f>
        <v>0</v>
      </c>
      <c r="L905" s="1129" cm="1">
        <f t="array" ref="L905">IFERROR(IF($A905=$A904,0,SUM(_xlfn._xlws.FILTER($E905:$E915,($A905:$A915=$A905)*($J905:$J915=L$42)))),0)</f>
        <v>0</v>
      </c>
      <c r="M905" s="1129" cm="1">
        <f t="array" ref="M905">IFERROR(IF($A905=$A904,0,SUM(_xlfn._xlws.FILTER($E905:$E915,($A905:$A915=$A905)*($J905:$J915=M$42)))),0)</f>
        <v>0</v>
      </c>
      <c r="N905" s="1129" cm="1">
        <f t="array" ref="N905">IFERROR(IF($A905=$A904,0,SUM(_xlfn._xlws.FILTER($E905:$E915,($A905:$A915=$A905)*($J905:$J915=N$42)))),0)</f>
        <v>0</v>
      </c>
    </row>
    <row r="906" spans="5:14">
      <c r="E906" s="1128">
        <f ca="1">IFERROR(C906*D906*_xlfn.XLOOKUP(B906,TabCalc[Ticker],TabCalc[Scale]),0)</f>
        <v>0</v>
      </c>
      <c r="F906" s="1129" cm="1">
        <f t="array" ref="F906">IF(A906=A905,0,SUM(_xlfn._xlws.FILTER(E906:E916,A906:A916=A906)))</f>
        <v>0</v>
      </c>
      <c r="G906" s="1130">
        <f>IF(F906&lt;&gt;0,SUM($F$43:F906),0)</f>
        <v>0</v>
      </c>
      <c r="H906" s="1130" cm="1">
        <f t="array" ref="H906">IFERROR(IF(A906=A905,0,SUM(_xlfn._xlws.FILTER(E906:E916,(A906:A916=A906)*(E906:E916&gt;0)))),0)</f>
        <v>0</v>
      </c>
      <c r="I906" s="1130" cm="1">
        <f t="array" ref="I906">IFERROR(IF(A906=A905,0,SUM(_xlfn._xlws.FILTER(E906:E916,(A906:A916=A906)*(F906&lt;0)))),0)</f>
        <v>0</v>
      </c>
      <c r="J906" s="295" t="str">
        <f ca="1">IFERROR(_xlfn.XLOOKUP(B906,TabCalc[Ticker],TabCalc[Cur]),"")</f>
        <v/>
      </c>
      <c r="K906" s="1129" cm="1">
        <f t="array" ref="K906">IFERROR(IF($A906=$A905,0,SUM(_xlfn._xlws.FILTER($E906:$E916,($A906:$A916=$A906)*($J906:$J916=K$42)))),0)</f>
        <v>0</v>
      </c>
      <c r="L906" s="1129" cm="1">
        <f t="array" ref="L906">IFERROR(IF($A906=$A905,0,SUM(_xlfn._xlws.FILTER($E906:$E916,($A906:$A916=$A906)*($J906:$J916=L$42)))),0)</f>
        <v>0</v>
      </c>
      <c r="M906" s="1129" cm="1">
        <f t="array" ref="M906">IFERROR(IF($A906=$A905,0,SUM(_xlfn._xlws.FILTER($E906:$E916,($A906:$A916=$A906)*($J906:$J916=M$42)))),0)</f>
        <v>0</v>
      </c>
      <c r="N906" s="1129" cm="1">
        <f t="array" ref="N906">IFERROR(IF($A906=$A905,0,SUM(_xlfn._xlws.FILTER($E906:$E916,($A906:$A916=$A906)*($J906:$J916=N$42)))),0)</f>
        <v>0</v>
      </c>
    </row>
    <row r="907" spans="5:14">
      <c r="E907" s="1128">
        <f ca="1">IFERROR(C907*D907*_xlfn.XLOOKUP(B907,TabCalc[Ticker],TabCalc[Scale]),0)</f>
        <v>0</v>
      </c>
      <c r="F907" s="1129" cm="1">
        <f t="array" ref="F907">IF(A907=A906,0,SUM(_xlfn._xlws.FILTER(E907:E917,A907:A917=A907)))</f>
        <v>0</v>
      </c>
      <c r="G907" s="1130">
        <f>IF(F907&lt;&gt;0,SUM($F$43:F907),0)</f>
        <v>0</v>
      </c>
      <c r="H907" s="1130" cm="1">
        <f t="array" ref="H907">IFERROR(IF(A907=A906,0,SUM(_xlfn._xlws.FILTER(E907:E917,(A907:A917=A907)*(E907:E917&gt;0)))),0)</f>
        <v>0</v>
      </c>
      <c r="I907" s="1130" cm="1">
        <f t="array" ref="I907">IFERROR(IF(A907=A906,0,SUM(_xlfn._xlws.FILTER(E907:E917,(A907:A917=A907)*(F907&lt;0)))),0)</f>
        <v>0</v>
      </c>
      <c r="J907" s="295" t="str">
        <f ca="1">IFERROR(_xlfn.XLOOKUP(B907,TabCalc[Ticker],TabCalc[Cur]),"")</f>
        <v/>
      </c>
      <c r="K907" s="1129" cm="1">
        <f t="array" ref="K907">IFERROR(IF($A907=$A906,0,SUM(_xlfn._xlws.FILTER($E907:$E917,($A907:$A917=$A907)*($J907:$J917=K$42)))),0)</f>
        <v>0</v>
      </c>
      <c r="L907" s="1129" cm="1">
        <f t="array" ref="L907">IFERROR(IF($A907=$A906,0,SUM(_xlfn._xlws.FILTER($E907:$E917,($A907:$A917=$A907)*($J907:$J917=L$42)))),0)</f>
        <v>0</v>
      </c>
      <c r="M907" s="1129" cm="1">
        <f t="array" ref="M907">IFERROR(IF($A907=$A906,0,SUM(_xlfn._xlws.FILTER($E907:$E917,($A907:$A917=$A907)*($J907:$J917=M$42)))),0)</f>
        <v>0</v>
      </c>
      <c r="N907" s="1129" cm="1">
        <f t="array" ref="N907">IFERROR(IF($A907=$A906,0,SUM(_xlfn._xlws.FILTER($E907:$E917,($A907:$A917=$A907)*($J907:$J917=N$42)))),0)</f>
        <v>0</v>
      </c>
    </row>
    <row r="908" spans="5:14">
      <c r="E908" s="1128">
        <f ca="1">IFERROR(C908*D908*_xlfn.XLOOKUP(B908,TabCalc[Ticker],TabCalc[Scale]),0)</f>
        <v>0</v>
      </c>
      <c r="F908" s="1129" cm="1">
        <f t="array" ref="F908">IF(A908=A907,0,SUM(_xlfn._xlws.FILTER(E908:E918,A908:A918=A908)))</f>
        <v>0</v>
      </c>
      <c r="G908" s="1130">
        <f>IF(F908&lt;&gt;0,SUM($F$43:F908),0)</f>
        <v>0</v>
      </c>
      <c r="H908" s="1130" cm="1">
        <f t="array" ref="H908">IFERROR(IF(A908=A907,0,SUM(_xlfn._xlws.FILTER(E908:E918,(A908:A918=A908)*(E908:E918&gt;0)))),0)</f>
        <v>0</v>
      </c>
      <c r="I908" s="1130" cm="1">
        <f t="array" ref="I908">IFERROR(IF(A908=A907,0,SUM(_xlfn._xlws.FILTER(E908:E918,(A908:A918=A908)*(F908&lt;0)))),0)</f>
        <v>0</v>
      </c>
      <c r="J908" s="295" t="str">
        <f ca="1">IFERROR(_xlfn.XLOOKUP(B908,TabCalc[Ticker],TabCalc[Cur]),"")</f>
        <v/>
      </c>
      <c r="K908" s="1129" cm="1">
        <f t="array" ref="K908">IFERROR(IF($A908=$A907,0,SUM(_xlfn._xlws.FILTER($E908:$E918,($A908:$A918=$A908)*($J908:$J918=K$42)))),0)</f>
        <v>0</v>
      </c>
      <c r="L908" s="1129" cm="1">
        <f t="array" ref="L908">IFERROR(IF($A908=$A907,0,SUM(_xlfn._xlws.FILTER($E908:$E918,($A908:$A918=$A908)*($J908:$J918=L$42)))),0)</f>
        <v>0</v>
      </c>
      <c r="M908" s="1129" cm="1">
        <f t="array" ref="M908">IFERROR(IF($A908=$A907,0,SUM(_xlfn._xlws.FILTER($E908:$E918,($A908:$A918=$A908)*($J908:$J918=M$42)))),0)</f>
        <v>0</v>
      </c>
      <c r="N908" s="1129" cm="1">
        <f t="array" ref="N908">IFERROR(IF($A908=$A907,0,SUM(_xlfn._xlws.FILTER($E908:$E918,($A908:$A918=$A908)*($J908:$J918=N$42)))),0)</f>
        <v>0</v>
      </c>
    </row>
    <row r="909" spans="5:14">
      <c r="E909" s="1128">
        <f ca="1">IFERROR(C909*D909*_xlfn.XLOOKUP(B909,TabCalc[Ticker],TabCalc[Scale]),0)</f>
        <v>0</v>
      </c>
      <c r="F909" s="1129" cm="1">
        <f t="array" ref="F909">IF(A909=A908,0,SUM(_xlfn._xlws.FILTER(E909:E919,A909:A919=A909)))</f>
        <v>0</v>
      </c>
      <c r="G909" s="1130">
        <f>IF(F909&lt;&gt;0,SUM($F$43:F909),0)</f>
        <v>0</v>
      </c>
      <c r="H909" s="1130" cm="1">
        <f t="array" ref="H909">IFERROR(IF(A909=A908,0,SUM(_xlfn._xlws.FILTER(E909:E919,(A909:A919=A909)*(E909:E919&gt;0)))),0)</f>
        <v>0</v>
      </c>
      <c r="I909" s="1130" cm="1">
        <f t="array" ref="I909">IFERROR(IF(A909=A908,0,SUM(_xlfn._xlws.FILTER(E909:E919,(A909:A919=A909)*(F909&lt;0)))),0)</f>
        <v>0</v>
      </c>
      <c r="J909" s="295" t="str">
        <f ca="1">IFERROR(_xlfn.XLOOKUP(B909,TabCalc[Ticker],TabCalc[Cur]),"")</f>
        <v/>
      </c>
      <c r="K909" s="1129" cm="1">
        <f t="array" ref="K909">IFERROR(IF($A909=$A908,0,SUM(_xlfn._xlws.FILTER($E909:$E919,($A909:$A919=$A909)*($J909:$J919=K$42)))),0)</f>
        <v>0</v>
      </c>
      <c r="L909" s="1129" cm="1">
        <f t="array" ref="L909">IFERROR(IF($A909=$A908,0,SUM(_xlfn._xlws.FILTER($E909:$E919,($A909:$A919=$A909)*($J909:$J919=L$42)))),0)</f>
        <v>0</v>
      </c>
      <c r="M909" s="1129" cm="1">
        <f t="array" ref="M909">IFERROR(IF($A909=$A908,0,SUM(_xlfn._xlws.FILTER($E909:$E919,($A909:$A919=$A909)*($J909:$J919=M$42)))),0)</f>
        <v>0</v>
      </c>
      <c r="N909" s="1129" cm="1">
        <f t="array" ref="N909">IFERROR(IF($A909=$A908,0,SUM(_xlfn._xlws.FILTER($E909:$E919,($A909:$A919=$A909)*($J909:$J919=N$42)))),0)</f>
        <v>0</v>
      </c>
    </row>
    <row r="910" spans="5:14">
      <c r="E910" s="1128">
        <f ca="1">IFERROR(C910*D910*_xlfn.XLOOKUP(B910,TabCalc[Ticker],TabCalc[Scale]),0)</f>
        <v>0</v>
      </c>
      <c r="F910" s="1129" cm="1">
        <f t="array" ref="F910">IF(A910=A909,0,SUM(_xlfn._xlws.FILTER(E910:E920,A910:A920=A910)))</f>
        <v>0</v>
      </c>
      <c r="G910" s="1130">
        <f>IF(F910&lt;&gt;0,SUM($F$43:F910),0)</f>
        <v>0</v>
      </c>
      <c r="H910" s="1130" cm="1">
        <f t="array" ref="H910">IFERROR(IF(A910=A909,0,SUM(_xlfn._xlws.FILTER(E910:E920,(A910:A920=A910)*(E910:E920&gt;0)))),0)</f>
        <v>0</v>
      </c>
      <c r="I910" s="1130" cm="1">
        <f t="array" ref="I910">IFERROR(IF(A910=A909,0,SUM(_xlfn._xlws.FILTER(E910:E920,(A910:A920=A910)*(F910&lt;0)))),0)</f>
        <v>0</v>
      </c>
      <c r="J910" s="295" t="str">
        <f ca="1">IFERROR(_xlfn.XLOOKUP(B910,TabCalc[Ticker],TabCalc[Cur]),"")</f>
        <v/>
      </c>
      <c r="K910" s="1129" cm="1">
        <f t="array" ref="K910">IFERROR(IF($A910=$A909,0,SUM(_xlfn._xlws.FILTER($E910:$E920,($A910:$A920=$A910)*($J910:$J920=K$42)))),0)</f>
        <v>0</v>
      </c>
      <c r="L910" s="1129" cm="1">
        <f t="array" ref="L910">IFERROR(IF($A910=$A909,0,SUM(_xlfn._xlws.FILTER($E910:$E920,($A910:$A920=$A910)*($J910:$J920=L$42)))),0)</f>
        <v>0</v>
      </c>
      <c r="M910" s="1129" cm="1">
        <f t="array" ref="M910">IFERROR(IF($A910=$A909,0,SUM(_xlfn._xlws.FILTER($E910:$E920,($A910:$A920=$A910)*($J910:$J920=M$42)))),0)</f>
        <v>0</v>
      </c>
      <c r="N910" s="1129" cm="1">
        <f t="array" ref="N910">IFERROR(IF($A910=$A909,0,SUM(_xlfn._xlws.FILTER($E910:$E920,($A910:$A920=$A910)*($J910:$J920=N$42)))),0)</f>
        <v>0</v>
      </c>
    </row>
    <row r="911" spans="5:14">
      <c r="E911" s="1128">
        <f ca="1">IFERROR(C911*D911*_xlfn.XLOOKUP(B911,TabCalc[Ticker],TabCalc[Scale]),0)</f>
        <v>0</v>
      </c>
      <c r="F911" s="1129" cm="1">
        <f t="array" ref="F911">IF(A911=A910,0,SUM(_xlfn._xlws.FILTER(E911:E921,A911:A921=A911)))</f>
        <v>0</v>
      </c>
      <c r="G911" s="1130">
        <f>IF(F911&lt;&gt;0,SUM($F$43:F911),0)</f>
        <v>0</v>
      </c>
      <c r="H911" s="1130" cm="1">
        <f t="array" ref="H911">IFERROR(IF(A911=A910,0,SUM(_xlfn._xlws.FILTER(E911:E921,(A911:A921=A911)*(E911:E921&gt;0)))),0)</f>
        <v>0</v>
      </c>
      <c r="I911" s="1130" cm="1">
        <f t="array" ref="I911">IFERROR(IF(A911=A910,0,SUM(_xlfn._xlws.FILTER(E911:E921,(A911:A921=A911)*(F911&lt;0)))),0)</f>
        <v>0</v>
      </c>
      <c r="J911" s="295" t="str">
        <f ca="1">IFERROR(_xlfn.XLOOKUP(B911,TabCalc[Ticker],TabCalc[Cur]),"")</f>
        <v/>
      </c>
      <c r="K911" s="1129" cm="1">
        <f t="array" ref="K911">IFERROR(IF($A911=$A910,0,SUM(_xlfn._xlws.FILTER($E911:$E921,($A911:$A921=$A911)*($J911:$J921=K$42)))),0)</f>
        <v>0</v>
      </c>
      <c r="L911" s="1129" cm="1">
        <f t="array" ref="L911">IFERROR(IF($A911=$A910,0,SUM(_xlfn._xlws.FILTER($E911:$E921,($A911:$A921=$A911)*($J911:$J921=L$42)))),0)</f>
        <v>0</v>
      </c>
      <c r="M911" s="1129" cm="1">
        <f t="array" ref="M911">IFERROR(IF($A911=$A910,0,SUM(_xlfn._xlws.FILTER($E911:$E921,($A911:$A921=$A911)*($J911:$J921=M$42)))),0)</f>
        <v>0</v>
      </c>
      <c r="N911" s="1129" cm="1">
        <f t="array" ref="N911">IFERROR(IF($A911=$A910,0,SUM(_xlfn._xlws.FILTER($E911:$E921,($A911:$A921=$A911)*($J911:$J921=N$42)))),0)</f>
        <v>0</v>
      </c>
    </row>
    <row r="912" spans="5:14">
      <c r="E912" s="1128">
        <f ca="1">IFERROR(C912*D912*_xlfn.XLOOKUP(B912,TabCalc[Ticker],TabCalc[Scale]),0)</f>
        <v>0</v>
      </c>
      <c r="F912" s="1129" cm="1">
        <f t="array" ref="F912">IF(A912=A911,0,SUM(_xlfn._xlws.FILTER(E912:E922,A912:A922=A912)))</f>
        <v>0</v>
      </c>
      <c r="G912" s="1130">
        <f>IF(F912&lt;&gt;0,SUM($F$43:F912),0)</f>
        <v>0</v>
      </c>
      <c r="H912" s="1130" cm="1">
        <f t="array" ref="H912">IFERROR(IF(A912=A911,0,SUM(_xlfn._xlws.FILTER(E912:E922,(A912:A922=A912)*(E912:E922&gt;0)))),0)</f>
        <v>0</v>
      </c>
      <c r="I912" s="1130" cm="1">
        <f t="array" ref="I912">IFERROR(IF(A912=A911,0,SUM(_xlfn._xlws.FILTER(E912:E922,(A912:A922=A912)*(F912&lt;0)))),0)</f>
        <v>0</v>
      </c>
      <c r="J912" s="295" t="str">
        <f ca="1">IFERROR(_xlfn.XLOOKUP(B912,TabCalc[Ticker],TabCalc[Cur]),"")</f>
        <v/>
      </c>
      <c r="K912" s="1129" cm="1">
        <f t="array" ref="K912">IFERROR(IF($A912=$A911,0,SUM(_xlfn._xlws.FILTER($E912:$E922,($A912:$A922=$A912)*($J912:$J922=K$42)))),0)</f>
        <v>0</v>
      </c>
      <c r="L912" s="1129" cm="1">
        <f t="array" ref="L912">IFERROR(IF($A912=$A911,0,SUM(_xlfn._xlws.FILTER($E912:$E922,($A912:$A922=$A912)*($J912:$J922=L$42)))),0)</f>
        <v>0</v>
      </c>
      <c r="M912" s="1129" cm="1">
        <f t="array" ref="M912">IFERROR(IF($A912=$A911,0,SUM(_xlfn._xlws.FILTER($E912:$E922,($A912:$A922=$A912)*($J912:$J922=M$42)))),0)</f>
        <v>0</v>
      </c>
      <c r="N912" s="1129" cm="1">
        <f t="array" ref="N912">IFERROR(IF($A912=$A911,0,SUM(_xlfn._xlws.FILTER($E912:$E922,($A912:$A922=$A912)*($J912:$J922=N$42)))),0)</f>
        <v>0</v>
      </c>
    </row>
    <row r="913" spans="5:14">
      <c r="E913" s="1128">
        <f ca="1">IFERROR(C913*D913*_xlfn.XLOOKUP(B913,TabCalc[Ticker],TabCalc[Scale]),0)</f>
        <v>0</v>
      </c>
      <c r="F913" s="1129" cm="1">
        <f t="array" ref="F913">IF(A913=A912,0,SUM(_xlfn._xlws.FILTER(E913:E923,A913:A923=A913)))</f>
        <v>0</v>
      </c>
      <c r="G913" s="1130">
        <f>IF(F913&lt;&gt;0,SUM($F$43:F913),0)</f>
        <v>0</v>
      </c>
      <c r="H913" s="1130" cm="1">
        <f t="array" ref="H913">IFERROR(IF(A913=A912,0,SUM(_xlfn._xlws.FILTER(E913:E923,(A913:A923=A913)*(E913:E923&gt;0)))),0)</f>
        <v>0</v>
      </c>
      <c r="I913" s="1130" cm="1">
        <f t="array" ref="I913">IFERROR(IF(A913=A912,0,SUM(_xlfn._xlws.FILTER(E913:E923,(A913:A923=A913)*(F913&lt;0)))),0)</f>
        <v>0</v>
      </c>
      <c r="J913" s="295" t="str">
        <f ca="1">IFERROR(_xlfn.XLOOKUP(B913,TabCalc[Ticker],TabCalc[Cur]),"")</f>
        <v/>
      </c>
      <c r="K913" s="1129" cm="1">
        <f t="array" ref="K913">IFERROR(IF($A913=$A912,0,SUM(_xlfn._xlws.FILTER($E913:$E923,($A913:$A923=$A913)*($J913:$J923=K$42)))),0)</f>
        <v>0</v>
      </c>
      <c r="L913" s="1129" cm="1">
        <f t="array" ref="L913">IFERROR(IF($A913=$A912,0,SUM(_xlfn._xlws.FILTER($E913:$E923,($A913:$A923=$A913)*($J913:$J923=L$42)))),0)</f>
        <v>0</v>
      </c>
      <c r="M913" s="1129" cm="1">
        <f t="array" ref="M913">IFERROR(IF($A913=$A912,0,SUM(_xlfn._xlws.FILTER($E913:$E923,($A913:$A923=$A913)*($J913:$J923=M$42)))),0)</f>
        <v>0</v>
      </c>
      <c r="N913" s="1129" cm="1">
        <f t="array" ref="N913">IFERROR(IF($A913=$A912,0,SUM(_xlfn._xlws.FILTER($E913:$E923,($A913:$A923=$A913)*($J913:$J923=N$42)))),0)</f>
        <v>0</v>
      </c>
    </row>
    <row r="914" spans="5:14">
      <c r="E914" s="1128">
        <f ca="1">IFERROR(C914*D914*_xlfn.XLOOKUP(B914,TabCalc[Ticker],TabCalc[Scale]),0)</f>
        <v>0</v>
      </c>
      <c r="F914" s="1129" cm="1">
        <f t="array" ref="F914">IF(A914=A913,0,SUM(_xlfn._xlws.FILTER(E914:E924,A914:A924=A914)))</f>
        <v>0</v>
      </c>
      <c r="G914" s="1130">
        <f>IF(F914&lt;&gt;0,SUM($F$43:F914),0)</f>
        <v>0</v>
      </c>
      <c r="H914" s="1130" cm="1">
        <f t="array" ref="H914">IFERROR(IF(A914=A913,0,SUM(_xlfn._xlws.FILTER(E914:E924,(A914:A924=A914)*(E914:E924&gt;0)))),0)</f>
        <v>0</v>
      </c>
      <c r="I914" s="1130" cm="1">
        <f t="array" ref="I914">IFERROR(IF(A914=A913,0,SUM(_xlfn._xlws.FILTER(E914:E924,(A914:A924=A914)*(F914&lt;0)))),0)</f>
        <v>0</v>
      </c>
      <c r="J914" s="295" t="str">
        <f ca="1">IFERROR(_xlfn.XLOOKUP(B914,TabCalc[Ticker],TabCalc[Cur]),"")</f>
        <v/>
      </c>
      <c r="K914" s="1129" cm="1">
        <f t="array" ref="K914">IFERROR(IF($A914=$A913,0,SUM(_xlfn._xlws.FILTER($E914:$E924,($A914:$A924=$A914)*($J914:$J924=K$42)))),0)</f>
        <v>0</v>
      </c>
      <c r="L914" s="1129" cm="1">
        <f t="array" ref="L914">IFERROR(IF($A914=$A913,0,SUM(_xlfn._xlws.FILTER($E914:$E924,($A914:$A924=$A914)*($J914:$J924=L$42)))),0)</f>
        <v>0</v>
      </c>
      <c r="M914" s="1129" cm="1">
        <f t="array" ref="M914">IFERROR(IF($A914=$A913,0,SUM(_xlfn._xlws.FILTER($E914:$E924,($A914:$A924=$A914)*($J914:$J924=M$42)))),0)</f>
        <v>0</v>
      </c>
      <c r="N914" s="1129" cm="1">
        <f t="array" ref="N914">IFERROR(IF($A914=$A913,0,SUM(_xlfn._xlws.FILTER($E914:$E924,($A914:$A924=$A914)*($J914:$J924=N$42)))),0)</f>
        <v>0</v>
      </c>
    </row>
    <row r="915" spans="5:14">
      <c r="E915" s="1128">
        <f ca="1">IFERROR(C915*D915*_xlfn.XLOOKUP(B915,TabCalc[Ticker],TabCalc[Scale]),0)</f>
        <v>0</v>
      </c>
      <c r="F915" s="1129" cm="1">
        <f t="array" ref="F915">IF(A915=A914,0,SUM(_xlfn._xlws.FILTER(E915:E925,A915:A925=A915)))</f>
        <v>0</v>
      </c>
      <c r="G915" s="1130">
        <f>IF(F915&lt;&gt;0,SUM($F$43:F915),0)</f>
        <v>0</v>
      </c>
      <c r="H915" s="1130" cm="1">
        <f t="array" ref="H915">IFERROR(IF(A915=A914,0,SUM(_xlfn._xlws.FILTER(E915:E925,(A915:A925=A915)*(E915:E925&gt;0)))),0)</f>
        <v>0</v>
      </c>
      <c r="I915" s="1130" cm="1">
        <f t="array" ref="I915">IFERROR(IF(A915=A914,0,SUM(_xlfn._xlws.FILTER(E915:E925,(A915:A925=A915)*(F915&lt;0)))),0)</f>
        <v>0</v>
      </c>
      <c r="J915" s="295" t="str">
        <f ca="1">IFERROR(_xlfn.XLOOKUP(B915,TabCalc[Ticker],TabCalc[Cur]),"")</f>
        <v/>
      </c>
      <c r="K915" s="1129" cm="1">
        <f t="array" ref="K915">IFERROR(IF($A915=$A914,0,SUM(_xlfn._xlws.FILTER($E915:$E925,($A915:$A925=$A915)*($J915:$J925=K$42)))),0)</f>
        <v>0</v>
      </c>
      <c r="L915" s="1129" cm="1">
        <f t="array" ref="L915">IFERROR(IF($A915=$A914,0,SUM(_xlfn._xlws.FILTER($E915:$E925,($A915:$A925=$A915)*($J915:$J925=L$42)))),0)</f>
        <v>0</v>
      </c>
      <c r="M915" s="1129" cm="1">
        <f t="array" ref="M915">IFERROR(IF($A915=$A914,0,SUM(_xlfn._xlws.FILTER($E915:$E925,($A915:$A925=$A915)*($J915:$J925=M$42)))),0)</f>
        <v>0</v>
      </c>
      <c r="N915" s="1129" cm="1">
        <f t="array" ref="N915">IFERROR(IF($A915=$A914,0,SUM(_xlfn._xlws.FILTER($E915:$E925,($A915:$A925=$A915)*($J915:$J925=N$42)))),0)</f>
        <v>0</v>
      </c>
    </row>
    <row r="916" spans="5:14">
      <c r="E916" s="1128">
        <f ca="1">IFERROR(C916*D916*_xlfn.XLOOKUP(B916,TabCalc[Ticker],TabCalc[Scale]),0)</f>
        <v>0</v>
      </c>
      <c r="F916" s="1129" cm="1">
        <f t="array" ref="F916">IF(A916=A915,0,SUM(_xlfn._xlws.FILTER(E916:E926,A916:A926=A916)))</f>
        <v>0</v>
      </c>
      <c r="G916" s="1130">
        <f>IF(F916&lt;&gt;0,SUM($F$43:F916),0)</f>
        <v>0</v>
      </c>
      <c r="H916" s="1130" cm="1">
        <f t="array" ref="H916">IFERROR(IF(A916=A915,0,SUM(_xlfn._xlws.FILTER(E916:E926,(A916:A926=A916)*(E916:E926&gt;0)))),0)</f>
        <v>0</v>
      </c>
      <c r="I916" s="1130" cm="1">
        <f t="array" ref="I916">IFERROR(IF(A916=A915,0,SUM(_xlfn._xlws.FILTER(E916:E926,(A916:A926=A916)*(F916&lt;0)))),0)</f>
        <v>0</v>
      </c>
      <c r="J916" s="295" t="str">
        <f ca="1">IFERROR(_xlfn.XLOOKUP(B916,TabCalc[Ticker],TabCalc[Cur]),"")</f>
        <v/>
      </c>
      <c r="K916" s="1129" cm="1">
        <f t="array" ref="K916">IFERROR(IF($A916=$A915,0,SUM(_xlfn._xlws.FILTER($E916:$E926,($A916:$A926=$A916)*($J916:$J926=K$42)))),0)</f>
        <v>0</v>
      </c>
      <c r="L916" s="1129" cm="1">
        <f t="array" ref="L916">IFERROR(IF($A916=$A915,0,SUM(_xlfn._xlws.FILTER($E916:$E926,($A916:$A926=$A916)*($J916:$J926=L$42)))),0)</f>
        <v>0</v>
      </c>
      <c r="M916" s="1129" cm="1">
        <f t="array" ref="M916">IFERROR(IF($A916=$A915,0,SUM(_xlfn._xlws.FILTER($E916:$E926,($A916:$A926=$A916)*($J916:$J926=M$42)))),0)</f>
        <v>0</v>
      </c>
      <c r="N916" s="1129" cm="1">
        <f t="array" ref="N916">IFERROR(IF($A916=$A915,0,SUM(_xlfn._xlws.FILTER($E916:$E926,($A916:$A926=$A916)*($J916:$J926=N$42)))),0)</f>
        <v>0</v>
      </c>
    </row>
    <row r="917" spans="5:14">
      <c r="E917" s="1128">
        <f ca="1">IFERROR(C917*D917*_xlfn.XLOOKUP(B917,TabCalc[Ticker],TabCalc[Scale]),0)</f>
        <v>0</v>
      </c>
      <c r="F917" s="1129" cm="1">
        <f t="array" ref="F917">IF(A917=A916,0,SUM(_xlfn._xlws.FILTER(E917:E927,A917:A927=A917)))</f>
        <v>0</v>
      </c>
      <c r="G917" s="1130">
        <f>IF(F917&lt;&gt;0,SUM($F$43:F917),0)</f>
        <v>0</v>
      </c>
      <c r="H917" s="1130" cm="1">
        <f t="array" ref="H917">IFERROR(IF(A917=A916,0,SUM(_xlfn._xlws.FILTER(E917:E927,(A917:A927=A917)*(E917:E927&gt;0)))),0)</f>
        <v>0</v>
      </c>
      <c r="I917" s="1130" cm="1">
        <f t="array" ref="I917">IFERROR(IF(A917=A916,0,SUM(_xlfn._xlws.FILTER(E917:E927,(A917:A927=A917)*(F917&lt;0)))),0)</f>
        <v>0</v>
      </c>
      <c r="J917" s="295" t="str">
        <f ca="1">IFERROR(_xlfn.XLOOKUP(B917,TabCalc[Ticker],TabCalc[Cur]),"")</f>
        <v/>
      </c>
      <c r="K917" s="1129" cm="1">
        <f t="array" ref="K917">IFERROR(IF($A917=$A916,0,SUM(_xlfn._xlws.FILTER($E917:$E927,($A917:$A927=$A917)*($J917:$J927=K$42)))),0)</f>
        <v>0</v>
      </c>
      <c r="L917" s="1129" cm="1">
        <f t="array" ref="L917">IFERROR(IF($A917=$A916,0,SUM(_xlfn._xlws.FILTER($E917:$E927,($A917:$A927=$A917)*($J917:$J927=L$42)))),0)</f>
        <v>0</v>
      </c>
      <c r="M917" s="1129" cm="1">
        <f t="array" ref="M917">IFERROR(IF($A917=$A916,0,SUM(_xlfn._xlws.FILTER($E917:$E927,($A917:$A927=$A917)*($J917:$J927=M$42)))),0)</f>
        <v>0</v>
      </c>
      <c r="N917" s="1129" cm="1">
        <f t="array" ref="N917">IFERROR(IF($A917=$A916,0,SUM(_xlfn._xlws.FILTER($E917:$E927,($A917:$A927=$A917)*($J917:$J927=N$42)))),0)</f>
        <v>0</v>
      </c>
    </row>
    <row r="918" spans="5:14">
      <c r="E918" s="1128">
        <f ca="1">IFERROR(C918*D918*_xlfn.XLOOKUP(B918,TabCalc[Ticker],TabCalc[Scale]),0)</f>
        <v>0</v>
      </c>
      <c r="F918" s="1129" cm="1">
        <f t="array" ref="F918">IF(A918=A917,0,SUM(_xlfn._xlws.FILTER(E918:E928,A918:A928=A918)))</f>
        <v>0</v>
      </c>
      <c r="G918" s="1130">
        <f>IF(F918&lt;&gt;0,SUM($F$43:F918),0)</f>
        <v>0</v>
      </c>
      <c r="H918" s="1130" cm="1">
        <f t="array" ref="H918">IFERROR(IF(A918=A917,0,SUM(_xlfn._xlws.FILTER(E918:E928,(A918:A928=A918)*(E918:E928&gt;0)))),0)</f>
        <v>0</v>
      </c>
      <c r="I918" s="1130" cm="1">
        <f t="array" ref="I918">IFERROR(IF(A918=A917,0,SUM(_xlfn._xlws.FILTER(E918:E928,(A918:A928=A918)*(F918&lt;0)))),0)</f>
        <v>0</v>
      </c>
      <c r="J918" s="295" t="str">
        <f ca="1">IFERROR(_xlfn.XLOOKUP(B918,TabCalc[Ticker],TabCalc[Cur]),"")</f>
        <v/>
      </c>
      <c r="K918" s="1129" cm="1">
        <f t="array" ref="K918">IFERROR(IF($A918=$A917,0,SUM(_xlfn._xlws.FILTER($E918:$E928,($A918:$A928=$A918)*($J918:$J928=K$42)))),0)</f>
        <v>0</v>
      </c>
      <c r="L918" s="1129" cm="1">
        <f t="array" ref="L918">IFERROR(IF($A918=$A917,0,SUM(_xlfn._xlws.FILTER($E918:$E928,($A918:$A928=$A918)*($J918:$J928=L$42)))),0)</f>
        <v>0</v>
      </c>
      <c r="M918" s="1129" cm="1">
        <f t="array" ref="M918">IFERROR(IF($A918=$A917,0,SUM(_xlfn._xlws.FILTER($E918:$E928,($A918:$A928=$A918)*($J918:$J928=M$42)))),0)</f>
        <v>0</v>
      </c>
      <c r="N918" s="1129" cm="1">
        <f t="array" ref="N918">IFERROR(IF($A918=$A917,0,SUM(_xlfn._xlws.FILTER($E918:$E928,($A918:$A928=$A918)*($J918:$J928=N$42)))),0)</f>
        <v>0</v>
      </c>
    </row>
    <row r="919" spans="5:14">
      <c r="E919" s="1128">
        <f ca="1">IFERROR(C919*D919*_xlfn.XLOOKUP(B919,TabCalc[Ticker],TabCalc[Scale]),0)</f>
        <v>0</v>
      </c>
      <c r="F919" s="1129" cm="1">
        <f t="array" ref="F919">IF(A919=A918,0,SUM(_xlfn._xlws.FILTER(E919:E929,A919:A929=A919)))</f>
        <v>0</v>
      </c>
      <c r="G919" s="1130">
        <f>IF(F919&lt;&gt;0,SUM($F$43:F919),0)</f>
        <v>0</v>
      </c>
      <c r="H919" s="1130" cm="1">
        <f t="array" ref="H919">IFERROR(IF(A919=A918,0,SUM(_xlfn._xlws.FILTER(E919:E929,(A919:A929=A919)*(E919:E929&gt;0)))),0)</f>
        <v>0</v>
      </c>
      <c r="I919" s="1130" cm="1">
        <f t="array" ref="I919">IFERROR(IF(A919=A918,0,SUM(_xlfn._xlws.FILTER(E919:E929,(A919:A929=A919)*(F919&lt;0)))),0)</f>
        <v>0</v>
      </c>
      <c r="J919" s="295" t="str">
        <f ca="1">IFERROR(_xlfn.XLOOKUP(B919,TabCalc[Ticker],TabCalc[Cur]),"")</f>
        <v/>
      </c>
      <c r="K919" s="1129" cm="1">
        <f t="array" ref="K919">IFERROR(IF($A919=$A918,0,SUM(_xlfn._xlws.FILTER($E919:$E929,($A919:$A929=$A919)*($J919:$J929=K$42)))),0)</f>
        <v>0</v>
      </c>
      <c r="L919" s="1129" cm="1">
        <f t="array" ref="L919">IFERROR(IF($A919=$A918,0,SUM(_xlfn._xlws.FILTER($E919:$E929,($A919:$A929=$A919)*($J919:$J929=L$42)))),0)</f>
        <v>0</v>
      </c>
      <c r="M919" s="1129" cm="1">
        <f t="array" ref="M919">IFERROR(IF($A919=$A918,0,SUM(_xlfn._xlws.FILTER($E919:$E929,($A919:$A929=$A919)*($J919:$J929=M$42)))),0)</f>
        <v>0</v>
      </c>
      <c r="N919" s="1129" cm="1">
        <f t="array" ref="N919">IFERROR(IF($A919=$A918,0,SUM(_xlfn._xlws.FILTER($E919:$E929,($A919:$A929=$A919)*($J919:$J929=N$42)))),0)</f>
        <v>0</v>
      </c>
    </row>
    <row r="920" spans="5:14">
      <c r="E920" s="1128">
        <f ca="1">IFERROR(C920*D920*_xlfn.XLOOKUP(B920,TabCalc[Ticker],TabCalc[Scale]),0)</f>
        <v>0</v>
      </c>
      <c r="F920" s="1129" cm="1">
        <f t="array" ref="F920">IF(A920=A919,0,SUM(_xlfn._xlws.FILTER(E920:E930,A920:A930=A920)))</f>
        <v>0</v>
      </c>
      <c r="G920" s="1130">
        <f>IF(F920&lt;&gt;0,SUM($F$43:F920),0)</f>
        <v>0</v>
      </c>
      <c r="H920" s="1130" cm="1">
        <f t="array" ref="H920">IFERROR(IF(A920=A919,0,SUM(_xlfn._xlws.FILTER(E920:E930,(A920:A930=A920)*(E920:E930&gt;0)))),0)</f>
        <v>0</v>
      </c>
      <c r="I920" s="1130" cm="1">
        <f t="array" ref="I920">IFERROR(IF(A920=A919,0,SUM(_xlfn._xlws.FILTER(E920:E930,(A920:A930=A920)*(F920&lt;0)))),0)</f>
        <v>0</v>
      </c>
      <c r="J920" s="295" t="str">
        <f ca="1">IFERROR(_xlfn.XLOOKUP(B920,TabCalc[Ticker],TabCalc[Cur]),"")</f>
        <v/>
      </c>
      <c r="K920" s="1129" cm="1">
        <f t="array" ref="K920">IFERROR(IF($A920=$A919,0,SUM(_xlfn._xlws.FILTER($E920:$E930,($A920:$A930=$A920)*($J920:$J930=K$42)))),0)</f>
        <v>0</v>
      </c>
      <c r="L920" s="1129" cm="1">
        <f t="array" ref="L920">IFERROR(IF($A920=$A919,0,SUM(_xlfn._xlws.FILTER($E920:$E930,($A920:$A930=$A920)*($J920:$J930=L$42)))),0)</f>
        <v>0</v>
      </c>
      <c r="M920" s="1129" cm="1">
        <f t="array" ref="M920">IFERROR(IF($A920=$A919,0,SUM(_xlfn._xlws.FILTER($E920:$E930,($A920:$A930=$A920)*($J920:$J930=M$42)))),0)</f>
        <v>0</v>
      </c>
      <c r="N920" s="1129" cm="1">
        <f t="array" ref="N920">IFERROR(IF($A920=$A919,0,SUM(_xlfn._xlws.FILTER($E920:$E930,($A920:$A930=$A920)*($J920:$J930=N$42)))),0)</f>
        <v>0</v>
      </c>
    </row>
    <row r="921" spans="5:14">
      <c r="E921" s="1128">
        <f ca="1">IFERROR(C921*D921*_xlfn.XLOOKUP(B921,TabCalc[Ticker],TabCalc[Scale]),0)</f>
        <v>0</v>
      </c>
      <c r="F921" s="1129" cm="1">
        <f t="array" ref="F921">IF(A921=A920,0,SUM(_xlfn._xlws.FILTER(E921:E931,A921:A931=A921)))</f>
        <v>0</v>
      </c>
      <c r="G921" s="1130">
        <f>IF(F921&lt;&gt;0,SUM($F$43:F921),0)</f>
        <v>0</v>
      </c>
      <c r="H921" s="1130" cm="1">
        <f t="array" ref="H921">IFERROR(IF(A921=A920,0,SUM(_xlfn._xlws.FILTER(E921:E931,(A921:A931=A921)*(E921:E931&gt;0)))),0)</f>
        <v>0</v>
      </c>
      <c r="I921" s="1130" cm="1">
        <f t="array" ref="I921">IFERROR(IF(A921=A920,0,SUM(_xlfn._xlws.FILTER(E921:E931,(A921:A931=A921)*(F921&lt;0)))),0)</f>
        <v>0</v>
      </c>
      <c r="J921" s="295" t="str">
        <f ca="1">IFERROR(_xlfn.XLOOKUP(B921,TabCalc[Ticker],TabCalc[Cur]),"")</f>
        <v/>
      </c>
      <c r="K921" s="1129" cm="1">
        <f t="array" ref="K921">IFERROR(IF($A921=$A920,0,SUM(_xlfn._xlws.FILTER($E921:$E931,($A921:$A931=$A921)*($J921:$J931=K$42)))),0)</f>
        <v>0</v>
      </c>
      <c r="L921" s="1129" cm="1">
        <f t="array" ref="L921">IFERROR(IF($A921=$A920,0,SUM(_xlfn._xlws.FILTER($E921:$E931,($A921:$A931=$A921)*($J921:$J931=L$42)))),0)</f>
        <v>0</v>
      </c>
      <c r="M921" s="1129" cm="1">
        <f t="array" ref="M921">IFERROR(IF($A921=$A920,0,SUM(_xlfn._xlws.FILTER($E921:$E931,($A921:$A931=$A921)*($J921:$J931=M$42)))),0)</f>
        <v>0</v>
      </c>
      <c r="N921" s="1129" cm="1">
        <f t="array" ref="N921">IFERROR(IF($A921=$A920,0,SUM(_xlfn._xlws.FILTER($E921:$E931,($A921:$A931=$A921)*($J921:$J931=N$42)))),0)</f>
        <v>0</v>
      </c>
    </row>
    <row r="922" spans="5:14">
      <c r="E922" s="1128">
        <f ca="1">IFERROR(C922*D922*_xlfn.XLOOKUP(B922,TabCalc[Ticker],TabCalc[Scale]),0)</f>
        <v>0</v>
      </c>
      <c r="F922" s="1129" cm="1">
        <f t="array" ref="F922">IF(A922=A921,0,SUM(_xlfn._xlws.FILTER(E922:E932,A922:A932=A922)))</f>
        <v>0</v>
      </c>
      <c r="G922" s="1130">
        <f>IF(F922&lt;&gt;0,SUM($F$43:F922),0)</f>
        <v>0</v>
      </c>
      <c r="H922" s="1130" cm="1">
        <f t="array" ref="H922">IFERROR(IF(A922=A921,0,SUM(_xlfn._xlws.FILTER(E922:E932,(A922:A932=A922)*(E922:E932&gt;0)))),0)</f>
        <v>0</v>
      </c>
      <c r="I922" s="1130" cm="1">
        <f t="array" ref="I922">IFERROR(IF(A922=A921,0,SUM(_xlfn._xlws.FILTER(E922:E932,(A922:A932=A922)*(F922&lt;0)))),0)</f>
        <v>0</v>
      </c>
      <c r="J922" s="295" t="str">
        <f ca="1">IFERROR(_xlfn.XLOOKUP(B922,TabCalc[Ticker],TabCalc[Cur]),"")</f>
        <v/>
      </c>
      <c r="K922" s="1129" cm="1">
        <f t="array" ref="K922">IFERROR(IF($A922=$A921,0,SUM(_xlfn._xlws.FILTER($E922:$E932,($A922:$A932=$A922)*($J922:$J932=K$42)))),0)</f>
        <v>0</v>
      </c>
      <c r="L922" s="1129" cm="1">
        <f t="array" ref="L922">IFERROR(IF($A922=$A921,0,SUM(_xlfn._xlws.FILTER($E922:$E932,($A922:$A932=$A922)*($J922:$J932=L$42)))),0)</f>
        <v>0</v>
      </c>
      <c r="M922" s="1129" cm="1">
        <f t="array" ref="M922">IFERROR(IF($A922=$A921,0,SUM(_xlfn._xlws.FILTER($E922:$E932,($A922:$A932=$A922)*($J922:$J932=M$42)))),0)</f>
        <v>0</v>
      </c>
      <c r="N922" s="1129" cm="1">
        <f t="array" ref="N922">IFERROR(IF($A922=$A921,0,SUM(_xlfn._xlws.FILTER($E922:$E932,($A922:$A932=$A922)*($J922:$J932=N$42)))),0)</f>
        <v>0</v>
      </c>
    </row>
    <row r="923" spans="5:14">
      <c r="E923" s="1128">
        <f ca="1">IFERROR(C923*D923*_xlfn.XLOOKUP(B923,TabCalc[Ticker],TabCalc[Scale]),0)</f>
        <v>0</v>
      </c>
      <c r="F923" s="1129" cm="1">
        <f t="array" ref="F923">IF(A923=A922,0,SUM(_xlfn._xlws.FILTER(E923:E933,A923:A933=A923)))</f>
        <v>0</v>
      </c>
      <c r="G923" s="1130">
        <f>IF(F923&lt;&gt;0,SUM($F$43:F923),0)</f>
        <v>0</v>
      </c>
      <c r="H923" s="1130" cm="1">
        <f t="array" ref="H923">IFERROR(IF(A923=A922,0,SUM(_xlfn._xlws.FILTER(E923:E933,(A923:A933=A923)*(E923:E933&gt;0)))),0)</f>
        <v>0</v>
      </c>
      <c r="I923" s="1130" cm="1">
        <f t="array" ref="I923">IFERROR(IF(A923=A922,0,SUM(_xlfn._xlws.FILTER(E923:E933,(A923:A933=A923)*(F923&lt;0)))),0)</f>
        <v>0</v>
      </c>
      <c r="J923" s="295" t="str">
        <f ca="1">IFERROR(_xlfn.XLOOKUP(B923,TabCalc[Ticker],TabCalc[Cur]),"")</f>
        <v/>
      </c>
      <c r="K923" s="1129" cm="1">
        <f t="array" ref="K923">IFERROR(IF($A923=$A922,0,SUM(_xlfn._xlws.FILTER($E923:$E933,($A923:$A933=$A923)*($J923:$J933=K$42)))),0)</f>
        <v>0</v>
      </c>
      <c r="L923" s="1129" cm="1">
        <f t="array" ref="L923">IFERROR(IF($A923=$A922,0,SUM(_xlfn._xlws.FILTER($E923:$E933,($A923:$A933=$A923)*($J923:$J933=L$42)))),0)</f>
        <v>0</v>
      </c>
      <c r="M923" s="1129" cm="1">
        <f t="array" ref="M923">IFERROR(IF($A923=$A922,0,SUM(_xlfn._xlws.FILTER($E923:$E933,($A923:$A933=$A923)*($J923:$J933=M$42)))),0)</f>
        <v>0</v>
      </c>
      <c r="N923" s="1129" cm="1">
        <f t="array" ref="N923">IFERROR(IF($A923=$A922,0,SUM(_xlfn._xlws.FILTER($E923:$E933,($A923:$A933=$A923)*($J923:$J933=N$42)))),0)</f>
        <v>0</v>
      </c>
    </row>
    <row r="924" spans="5:14">
      <c r="E924" s="1128">
        <f ca="1">IFERROR(C924*D924*_xlfn.XLOOKUP(B924,TabCalc[Ticker],TabCalc[Scale]),0)</f>
        <v>0</v>
      </c>
      <c r="F924" s="1129" cm="1">
        <f t="array" ref="F924">IF(A924=A923,0,SUM(_xlfn._xlws.FILTER(E924:E934,A924:A934=A924)))</f>
        <v>0</v>
      </c>
      <c r="G924" s="1130">
        <f>IF(F924&lt;&gt;0,SUM($F$43:F924),0)</f>
        <v>0</v>
      </c>
      <c r="H924" s="1130" cm="1">
        <f t="array" ref="H924">IFERROR(IF(A924=A923,0,SUM(_xlfn._xlws.FILTER(E924:E934,(A924:A934=A924)*(E924:E934&gt;0)))),0)</f>
        <v>0</v>
      </c>
      <c r="I924" s="1130" cm="1">
        <f t="array" ref="I924">IFERROR(IF(A924=A923,0,SUM(_xlfn._xlws.FILTER(E924:E934,(A924:A934=A924)*(F924&lt;0)))),0)</f>
        <v>0</v>
      </c>
      <c r="J924" s="295" t="str">
        <f ca="1">IFERROR(_xlfn.XLOOKUP(B924,TabCalc[Ticker],TabCalc[Cur]),"")</f>
        <v/>
      </c>
      <c r="K924" s="1129" cm="1">
        <f t="array" ref="K924">IFERROR(IF($A924=$A923,0,SUM(_xlfn._xlws.FILTER($E924:$E934,($A924:$A934=$A924)*($J924:$J934=K$42)))),0)</f>
        <v>0</v>
      </c>
      <c r="L924" s="1129" cm="1">
        <f t="array" ref="L924">IFERROR(IF($A924=$A923,0,SUM(_xlfn._xlws.FILTER($E924:$E934,($A924:$A934=$A924)*($J924:$J934=L$42)))),0)</f>
        <v>0</v>
      </c>
      <c r="M924" s="1129" cm="1">
        <f t="array" ref="M924">IFERROR(IF($A924=$A923,0,SUM(_xlfn._xlws.FILTER($E924:$E934,($A924:$A934=$A924)*($J924:$J934=M$42)))),0)</f>
        <v>0</v>
      </c>
      <c r="N924" s="1129" cm="1">
        <f t="array" ref="N924">IFERROR(IF($A924=$A923,0,SUM(_xlfn._xlws.FILTER($E924:$E934,($A924:$A934=$A924)*($J924:$J934=N$42)))),0)</f>
        <v>0</v>
      </c>
    </row>
    <row r="925" spans="5:14">
      <c r="E925" s="1128">
        <f ca="1">IFERROR(C925*D925*_xlfn.XLOOKUP(B925,TabCalc[Ticker],TabCalc[Scale]),0)</f>
        <v>0</v>
      </c>
      <c r="F925" s="1129" cm="1">
        <f t="array" ref="F925">IF(A925=A924,0,SUM(_xlfn._xlws.FILTER(E925:E935,A925:A935=A925)))</f>
        <v>0</v>
      </c>
      <c r="G925" s="1130">
        <f>IF(F925&lt;&gt;0,SUM($F$43:F925),0)</f>
        <v>0</v>
      </c>
      <c r="H925" s="1130" cm="1">
        <f t="array" ref="H925">IFERROR(IF(A925=A924,0,SUM(_xlfn._xlws.FILTER(E925:E935,(A925:A935=A925)*(E925:E935&gt;0)))),0)</f>
        <v>0</v>
      </c>
      <c r="I925" s="1130" cm="1">
        <f t="array" ref="I925">IFERROR(IF(A925=A924,0,SUM(_xlfn._xlws.FILTER(E925:E935,(A925:A935=A925)*(F925&lt;0)))),0)</f>
        <v>0</v>
      </c>
      <c r="J925" s="295" t="str">
        <f ca="1">IFERROR(_xlfn.XLOOKUP(B925,TabCalc[Ticker],TabCalc[Cur]),"")</f>
        <v/>
      </c>
      <c r="K925" s="1129" cm="1">
        <f t="array" ref="K925">IFERROR(IF($A925=$A924,0,SUM(_xlfn._xlws.FILTER($E925:$E935,($A925:$A935=$A925)*($J925:$J935=K$42)))),0)</f>
        <v>0</v>
      </c>
      <c r="L925" s="1129" cm="1">
        <f t="array" ref="L925">IFERROR(IF($A925=$A924,0,SUM(_xlfn._xlws.FILTER($E925:$E935,($A925:$A935=$A925)*($J925:$J935=L$42)))),0)</f>
        <v>0</v>
      </c>
      <c r="M925" s="1129" cm="1">
        <f t="array" ref="M925">IFERROR(IF($A925=$A924,0,SUM(_xlfn._xlws.FILTER($E925:$E935,($A925:$A935=$A925)*($J925:$J935=M$42)))),0)</f>
        <v>0</v>
      </c>
      <c r="N925" s="1129" cm="1">
        <f t="array" ref="N925">IFERROR(IF($A925=$A924,0,SUM(_xlfn._xlws.FILTER($E925:$E935,($A925:$A935=$A925)*($J925:$J935=N$42)))),0)</f>
        <v>0</v>
      </c>
    </row>
    <row r="926" spans="5:14">
      <c r="E926" s="1128">
        <f ca="1">IFERROR(C926*D926*_xlfn.XLOOKUP(B926,TabCalc[Ticker],TabCalc[Scale]),0)</f>
        <v>0</v>
      </c>
      <c r="F926" s="1129" cm="1">
        <f t="array" ref="F926">IF(A926=A925,0,SUM(_xlfn._xlws.FILTER(E926:E936,A926:A936=A926)))</f>
        <v>0</v>
      </c>
      <c r="G926" s="1130">
        <f>IF(F926&lt;&gt;0,SUM($F$43:F926),0)</f>
        <v>0</v>
      </c>
      <c r="H926" s="1130" cm="1">
        <f t="array" ref="H926">IFERROR(IF(A926=A925,0,SUM(_xlfn._xlws.FILTER(E926:E936,(A926:A936=A926)*(E926:E936&gt;0)))),0)</f>
        <v>0</v>
      </c>
      <c r="I926" s="1130" cm="1">
        <f t="array" ref="I926">IFERROR(IF(A926=A925,0,SUM(_xlfn._xlws.FILTER(E926:E936,(A926:A936=A926)*(F926&lt;0)))),0)</f>
        <v>0</v>
      </c>
      <c r="J926" s="295" t="str">
        <f ca="1">IFERROR(_xlfn.XLOOKUP(B926,TabCalc[Ticker],TabCalc[Cur]),"")</f>
        <v/>
      </c>
      <c r="K926" s="1129" cm="1">
        <f t="array" ref="K926">IFERROR(IF($A926=$A925,0,SUM(_xlfn._xlws.FILTER($E926:$E936,($A926:$A936=$A926)*($J926:$J936=K$42)))),0)</f>
        <v>0</v>
      </c>
      <c r="L926" s="1129" cm="1">
        <f t="array" ref="L926">IFERROR(IF($A926=$A925,0,SUM(_xlfn._xlws.FILTER($E926:$E936,($A926:$A936=$A926)*($J926:$J936=L$42)))),0)</f>
        <v>0</v>
      </c>
      <c r="M926" s="1129" cm="1">
        <f t="array" ref="M926">IFERROR(IF($A926=$A925,0,SUM(_xlfn._xlws.FILTER($E926:$E936,($A926:$A936=$A926)*($J926:$J936=M$42)))),0)</f>
        <v>0</v>
      </c>
      <c r="N926" s="1129" cm="1">
        <f t="array" ref="N926">IFERROR(IF($A926=$A925,0,SUM(_xlfn._xlws.FILTER($E926:$E936,($A926:$A936=$A926)*($J926:$J936=N$42)))),0)</f>
        <v>0</v>
      </c>
    </row>
    <row r="927" spans="5:14">
      <c r="E927" s="1128">
        <f ca="1">IFERROR(C927*D927*_xlfn.XLOOKUP(B927,TabCalc[Ticker],TabCalc[Scale]),0)</f>
        <v>0</v>
      </c>
      <c r="F927" s="1129" cm="1">
        <f t="array" ref="F927">IF(A927=A926,0,SUM(_xlfn._xlws.FILTER(E927:E937,A927:A937=A927)))</f>
        <v>0</v>
      </c>
      <c r="G927" s="1130">
        <f>IF(F927&lt;&gt;0,SUM($F$43:F927),0)</f>
        <v>0</v>
      </c>
      <c r="H927" s="1130" cm="1">
        <f t="array" ref="H927">IFERROR(IF(A927=A926,0,SUM(_xlfn._xlws.FILTER(E927:E937,(A927:A937=A927)*(E927:E937&gt;0)))),0)</f>
        <v>0</v>
      </c>
      <c r="I927" s="1130" cm="1">
        <f t="array" ref="I927">IFERROR(IF(A927=A926,0,SUM(_xlfn._xlws.FILTER(E927:E937,(A927:A937=A927)*(F927&lt;0)))),0)</f>
        <v>0</v>
      </c>
      <c r="J927" s="295" t="str">
        <f ca="1">IFERROR(_xlfn.XLOOKUP(B927,TabCalc[Ticker],TabCalc[Cur]),"")</f>
        <v/>
      </c>
      <c r="K927" s="1129" cm="1">
        <f t="array" ref="K927">IFERROR(IF($A927=$A926,0,SUM(_xlfn._xlws.FILTER($E927:$E937,($A927:$A937=$A927)*($J927:$J937=K$42)))),0)</f>
        <v>0</v>
      </c>
      <c r="L927" s="1129" cm="1">
        <f t="array" ref="L927">IFERROR(IF($A927=$A926,0,SUM(_xlfn._xlws.FILTER($E927:$E937,($A927:$A937=$A927)*($J927:$J937=L$42)))),0)</f>
        <v>0</v>
      </c>
      <c r="M927" s="1129" cm="1">
        <f t="array" ref="M927">IFERROR(IF($A927=$A926,0,SUM(_xlfn._xlws.FILTER($E927:$E937,($A927:$A937=$A927)*($J927:$J937=M$42)))),0)</f>
        <v>0</v>
      </c>
      <c r="N927" s="1129" cm="1">
        <f t="array" ref="N927">IFERROR(IF($A927=$A926,0,SUM(_xlfn._xlws.FILTER($E927:$E937,($A927:$A937=$A927)*($J927:$J937=N$42)))),0)</f>
        <v>0</v>
      </c>
    </row>
    <row r="928" spans="5:14">
      <c r="E928" s="1128">
        <f ca="1">IFERROR(C928*D928*_xlfn.XLOOKUP(B928,TabCalc[Ticker],TabCalc[Scale]),0)</f>
        <v>0</v>
      </c>
      <c r="F928" s="1129" cm="1">
        <f t="array" ref="F928">IF(A928=A927,0,SUM(_xlfn._xlws.FILTER(E928:E938,A928:A938=A928)))</f>
        <v>0</v>
      </c>
      <c r="G928" s="1130">
        <f>IF(F928&lt;&gt;0,SUM($F$43:F928),0)</f>
        <v>0</v>
      </c>
      <c r="H928" s="1130" cm="1">
        <f t="array" ref="H928">IFERROR(IF(A928=A927,0,SUM(_xlfn._xlws.FILTER(E928:E938,(A928:A938=A928)*(E928:E938&gt;0)))),0)</f>
        <v>0</v>
      </c>
      <c r="I928" s="1130" cm="1">
        <f t="array" ref="I928">IFERROR(IF(A928=A927,0,SUM(_xlfn._xlws.FILTER(E928:E938,(A928:A938=A928)*(F928&lt;0)))),0)</f>
        <v>0</v>
      </c>
      <c r="J928" s="295" t="str">
        <f ca="1">IFERROR(_xlfn.XLOOKUP(B928,TabCalc[Ticker],TabCalc[Cur]),"")</f>
        <v/>
      </c>
      <c r="K928" s="1129" cm="1">
        <f t="array" ref="K928">IFERROR(IF($A928=$A927,0,SUM(_xlfn._xlws.FILTER($E928:$E938,($A928:$A938=$A928)*($J928:$J938=K$42)))),0)</f>
        <v>0</v>
      </c>
      <c r="L928" s="1129" cm="1">
        <f t="array" ref="L928">IFERROR(IF($A928=$A927,0,SUM(_xlfn._xlws.FILTER($E928:$E938,($A928:$A938=$A928)*($J928:$J938=L$42)))),0)</f>
        <v>0</v>
      </c>
      <c r="M928" s="1129" cm="1">
        <f t="array" ref="M928">IFERROR(IF($A928=$A927,0,SUM(_xlfn._xlws.FILTER($E928:$E938,($A928:$A938=$A928)*($J928:$J938=M$42)))),0)</f>
        <v>0</v>
      </c>
      <c r="N928" s="1129" cm="1">
        <f t="array" ref="N928">IFERROR(IF($A928=$A927,0,SUM(_xlfn._xlws.FILTER($E928:$E938,($A928:$A938=$A928)*($J928:$J938=N$42)))),0)</f>
        <v>0</v>
      </c>
    </row>
    <row r="929" spans="5:14">
      <c r="E929" s="1128">
        <f ca="1">IFERROR(C929*D929*_xlfn.XLOOKUP(B929,TabCalc[Ticker],TabCalc[Scale]),0)</f>
        <v>0</v>
      </c>
      <c r="F929" s="1129" cm="1">
        <f t="array" ref="F929">IF(A929=A928,0,SUM(_xlfn._xlws.FILTER(E929:E939,A929:A939=A929)))</f>
        <v>0</v>
      </c>
      <c r="G929" s="1130">
        <f>IF(F929&lt;&gt;0,SUM($F$43:F929),0)</f>
        <v>0</v>
      </c>
      <c r="H929" s="1130" cm="1">
        <f t="array" ref="H929">IFERROR(IF(A929=A928,0,SUM(_xlfn._xlws.FILTER(E929:E939,(A929:A939=A929)*(E929:E939&gt;0)))),0)</f>
        <v>0</v>
      </c>
      <c r="I929" s="1130" cm="1">
        <f t="array" ref="I929">IFERROR(IF(A929=A928,0,SUM(_xlfn._xlws.FILTER(E929:E939,(A929:A939=A929)*(F929&lt;0)))),0)</f>
        <v>0</v>
      </c>
      <c r="J929" s="295" t="str">
        <f ca="1">IFERROR(_xlfn.XLOOKUP(B929,TabCalc[Ticker],TabCalc[Cur]),"")</f>
        <v/>
      </c>
      <c r="K929" s="1129" cm="1">
        <f t="array" ref="K929">IFERROR(IF($A929=$A928,0,SUM(_xlfn._xlws.FILTER($E929:$E939,($A929:$A939=$A929)*($J929:$J939=K$42)))),0)</f>
        <v>0</v>
      </c>
      <c r="L929" s="1129" cm="1">
        <f t="array" ref="L929">IFERROR(IF($A929=$A928,0,SUM(_xlfn._xlws.FILTER($E929:$E939,($A929:$A939=$A929)*($J929:$J939=L$42)))),0)</f>
        <v>0</v>
      </c>
      <c r="M929" s="1129" cm="1">
        <f t="array" ref="M929">IFERROR(IF($A929=$A928,0,SUM(_xlfn._xlws.FILTER($E929:$E939,($A929:$A939=$A929)*($J929:$J939=M$42)))),0)</f>
        <v>0</v>
      </c>
      <c r="N929" s="1129" cm="1">
        <f t="array" ref="N929">IFERROR(IF($A929=$A928,0,SUM(_xlfn._xlws.FILTER($E929:$E939,($A929:$A939=$A929)*($J929:$J939=N$42)))),0)</f>
        <v>0</v>
      </c>
    </row>
    <row r="930" spans="5:14">
      <c r="E930" s="1128">
        <f ca="1">IFERROR(C930*D930*_xlfn.XLOOKUP(B930,TabCalc[Ticker],TabCalc[Scale]),0)</f>
        <v>0</v>
      </c>
      <c r="F930" s="1129" cm="1">
        <f t="array" ref="F930">IF(A930=A929,0,SUM(_xlfn._xlws.FILTER(E930:E940,A930:A940=A930)))</f>
        <v>0</v>
      </c>
      <c r="G930" s="1130">
        <f>IF(F930&lt;&gt;0,SUM($F$43:F930),0)</f>
        <v>0</v>
      </c>
      <c r="H930" s="1130" cm="1">
        <f t="array" ref="H930">IFERROR(IF(A930=A929,0,SUM(_xlfn._xlws.FILTER(E930:E940,(A930:A940=A930)*(E930:E940&gt;0)))),0)</f>
        <v>0</v>
      </c>
      <c r="I930" s="1130" cm="1">
        <f t="array" ref="I930">IFERROR(IF(A930=A929,0,SUM(_xlfn._xlws.FILTER(E930:E940,(A930:A940=A930)*(F930&lt;0)))),0)</f>
        <v>0</v>
      </c>
      <c r="J930" s="295" t="str">
        <f ca="1">IFERROR(_xlfn.XLOOKUP(B930,TabCalc[Ticker],TabCalc[Cur]),"")</f>
        <v/>
      </c>
      <c r="K930" s="1129" cm="1">
        <f t="array" ref="K930">IFERROR(IF($A930=$A929,0,SUM(_xlfn._xlws.FILTER($E930:$E940,($A930:$A940=$A930)*($J930:$J940=K$42)))),0)</f>
        <v>0</v>
      </c>
      <c r="L930" s="1129" cm="1">
        <f t="array" ref="L930">IFERROR(IF($A930=$A929,0,SUM(_xlfn._xlws.FILTER($E930:$E940,($A930:$A940=$A930)*($J930:$J940=L$42)))),0)</f>
        <v>0</v>
      </c>
      <c r="M930" s="1129" cm="1">
        <f t="array" ref="M930">IFERROR(IF($A930=$A929,0,SUM(_xlfn._xlws.FILTER($E930:$E940,($A930:$A940=$A930)*($J930:$J940=M$42)))),0)</f>
        <v>0</v>
      </c>
      <c r="N930" s="1129" cm="1">
        <f t="array" ref="N930">IFERROR(IF($A930=$A929,0,SUM(_xlfn._xlws.FILTER($E930:$E940,($A930:$A940=$A930)*($J930:$J940=N$42)))),0)</f>
        <v>0</v>
      </c>
    </row>
    <row r="931" spans="5:14">
      <c r="E931" s="1128">
        <f ca="1">IFERROR(C931*D931*_xlfn.XLOOKUP(B931,TabCalc[Ticker],TabCalc[Scale]),0)</f>
        <v>0</v>
      </c>
      <c r="F931" s="1129" cm="1">
        <f t="array" ref="F931">IF(A931=A930,0,SUM(_xlfn._xlws.FILTER(E931:E941,A931:A941=A931)))</f>
        <v>0</v>
      </c>
      <c r="G931" s="1130">
        <f>IF(F931&lt;&gt;0,SUM($F$43:F931),0)</f>
        <v>0</v>
      </c>
      <c r="H931" s="1130" cm="1">
        <f t="array" ref="H931">IFERROR(IF(A931=A930,0,SUM(_xlfn._xlws.FILTER(E931:E941,(A931:A941=A931)*(E931:E941&gt;0)))),0)</f>
        <v>0</v>
      </c>
      <c r="I931" s="1130" cm="1">
        <f t="array" ref="I931">IFERROR(IF(A931=A930,0,SUM(_xlfn._xlws.FILTER(E931:E941,(A931:A941=A931)*(F931&lt;0)))),0)</f>
        <v>0</v>
      </c>
      <c r="J931" s="295" t="str">
        <f ca="1">IFERROR(_xlfn.XLOOKUP(B931,TabCalc[Ticker],TabCalc[Cur]),"")</f>
        <v/>
      </c>
      <c r="K931" s="1129" cm="1">
        <f t="array" ref="K931">IFERROR(IF($A931=$A930,0,SUM(_xlfn._xlws.FILTER($E931:$E941,($A931:$A941=$A931)*($J931:$J941=K$42)))),0)</f>
        <v>0</v>
      </c>
      <c r="L931" s="1129" cm="1">
        <f t="array" ref="L931">IFERROR(IF($A931=$A930,0,SUM(_xlfn._xlws.FILTER($E931:$E941,($A931:$A941=$A931)*($J931:$J941=L$42)))),0)</f>
        <v>0</v>
      </c>
      <c r="M931" s="1129" cm="1">
        <f t="array" ref="M931">IFERROR(IF($A931=$A930,0,SUM(_xlfn._xlws.FILTER($E931:$E941,($A931:$A941=$A931)*($J931:$J941=M$42)))),0)</f>
        <v>0</v>
      </c>
      <c r="N931" s="1129" cm="1">
        <f t="array" ref="N931">IFERROR(IF($A931=$A930,0,SUM(_xlfn._xlws.FILTER($E931:$E941,($A931:$A941=$A931)*($J931:$J941=N$42)))),0)</f>
        <v>0</v>
      </c>
    </row>
    <row r="932" spans="5:14">
      <c r="E932" s="1128">
        <f ca="1">IFERROR(C932*D932*_xlfn.XLOOKUP(B932,TabCalc[Ticker],TabCalc[Scale]),0)</f>
        <v>0</v>
      </c>
      <c r="F932" s="1129" cm="1">
        <f t="array" ref="F932">IF(A932=A931,0,SUM(_xlfn._xlws.FILTER(E932:E942,A932:A942=A932)))</f>
        <v>0</v>
      </c>
      <c r="G932" s="1130">
        <f>IF(F932&lt;&gt;0,SUM($F$43:F932),0)</f>
        <v>0</v>
      </c>
      <c r="H932" s="1130" cm="1">
        <f t="array" ref="H932">IFERROR(IF(A932=A931,0,SUM(_xlfn._xlws.FILTER(E932:E942,(A932:A942=A932)*(E932:E942&gt;0)))),0)</f>
        <v>0</v>
      </c>
      <c r="I932" s="1130" cm="1">
        <f t="array" ref="I932">IFERROR(IF(A932=A931,0,SUM(_xlfn._xlws.FILTER(E932:E942,(A932:A942=A932)*(F932&lt;0)))),0)</f>
        <v>0</v>
      </c>
      <c r="J932" s="295" t="str">
        <f ca="1">IFERROR(_xlfn.XLOOKUP(B932,TabCalc[Ticker],TabCalc[Cur]),"")</f>
        <v/>
      </c>
      <c r="K932" s="1129" cm="1">
        <f t="array" ref="K932">IFERROR(IF($A932=$A931,0,SUM(_xlfn._xlws.FILTER($E932:$E942,($A932:$A942=$A932)*($J932:$J942=K$42)))),0)</f>
        <v>0</v>
      </c>
      <c r="L932" s="1129" cm="1">
        <f t="array" ref="L932">IFERROR(IF($A932=$A931,0,SUM(_xlfn._xlws.FILTER($E932:$E942,($A932:$A942=$A932)*($J932:$J942=L$42)))),0)</f>
        <v>0</v>
      </c>
      <c r="M932" s="1129" cm="1">
        <f t="array" ref="M932">IFERROR(IF($A932=$A931,0,SUM(_xlfn._xlws.FILTER($E932:$E942,($A932:$A942=$A932)*($J932:$J942=M$42)))),0)</f>
        <v>0</v>
      </c>
      <c r="N932" s="1129" cm="1">
        <f t="array" ref="N932">IFERROR(IF($A932=$A931,0,SUM(_xlfn._xlws.FILTER($E932:$E942,($A932:$A942=$A932)*($J932:$J942=N$42)))),0)</f>
        <v>0</v>
      </c>
    </row>
    <row r="933" spans="5:14">
      <c r="E933" s="1128">
        <f ca="1">IFERROR(C933*D933*_xlfn.XLOOKUP(B933,TabCalc[Ticker],TabCalc[Scale]),0)</f>
        <v>0</v>
      </c>
      <c r="F933" s="1129" cm="1">
        <f t="array" ref="F933">IF(A933=A932,0,SUM(_xlfn._xlws.FILTER(E933:E943,A933:A943=A933)))</f>
        <v>0</v>
      </c>
      <c r="G933" s="1130">
        <f>IF(F933&lt;&gt;0,SUM($F$43:F933),0)</f>
        <v>0</v>
      </c>
      <c r="H933" s="1130" cm="1">
        <f t="array" ref="H933">IFERROR(IF(A933=A932,0,SUM(_xlfn._xlws.FILTER(E933:E943,(A933:A943=A933)*(E933:E943&gt;0)))),0)</f>
        <v>0</v>
      </c>
      <c r="I933" s="1130" cm="1">
        <f t="array" ref="I933">IFERROR(IF(A933=A932,0,SUM(_xlfn._xlws.FILTER(E933:E943,(A933:A943=A933)*(F933&lt;0)))),0)</f>
        <v>0</v>
      </c>
      <c r="J933" s="295" t="str">
        <f ca="1">IFERROR(_xlfn.XLOOKUP(B933,TabCalc[Ticker],TabCalc[Cur]),"")</f>
        <v/>
      </c>
      <c r="K933" s="1129" cm="1">
        <f t="array" ref="K933">IFERROR(IF($A933=$A932,0,SUM(_xlfn._xlws.FILTER($E933:$E943,($A933:$A943=$A933)*($J933:$J943=K$42)))),0)</f>
        <v>0</v>
      </c>
      <c r="L933" s="1129" cm="1">
        <f t="array" ref="L933">IFERROR(IF($A933=$A932,0,SUM(_xlfn._xlws.FILTER($E933:$E943,($A933:$A943=$A933)*($J933:$J943=L$42)))),0)</f>
        <v>0</v>
      </c>
      <c r="M933" s="1129" cm="1">
        <f t="array" ref="M933">IFERROR(IF($A933=$A932,0,SUM(_xlfn._xlws.FILTER($E933:$E943,($A933:$A943=$A933)*($J933:$J943=M$42)))),0)</f>
        <v>0</v>
      </c>
      <c r="N933" s="1129" cm="1">
        <f t="array" ref="N933">IFERROR(IF($A933=$A932,0,SUM(_xlfn._xlws.FILTER($E933:$E943,($A933:$A943=$A933)*($J933:$J943=N$42)))),0)</f>
        <v>0</v>
      </c>
    </row>
    <row r="934" spans="5:14">
      <c r="E934" s="1128">
        <f ca="1">IFERROR(C934*D934*_xlfn.XLOOKUP(B934,TabCalc[Ticker],TabCalc[Scale]),0)</f>
        <v>0</v>
      </c>
      <c r="F934" s="1129" cm="1">
        <f t="array" ref="F934">IF(A934=A933,0,SUM(_xlfn._xlws.FILTER(E934:E944,A934:A944=A934)))</f>
        <v>0</v>
      </c>
      <c r="G934" s="1130">
        <f>IF(F934&lt;&gt;0,SUM($F$43:F934),0)</f>
        <v>0</v>
      </c>
      <c r="H934" s="1130" cm="1">
        <f t="array" ref="H934">IFERROR(IF(A934=A933,0,SUM(_xlfn._xlws.FILTER(E934:E944,(A934:A944=A934)*(E934:E944&gt;0)))),0)</f>
        <v>0</v>
      </c>
      <c r="I934" s="1130" cm="1">
        <f t="array" ref="I934">IFERROR(IF(A934=A933,0,SUM(_xlfn._xlws.FILTER(E934:E944,(A934:A944=A934)*(F934&lt;0)))),0)</f>
        <v>0</v>
      </c>
      <c r="J934" s="295" t="str">
        <f ca="1">IFERROR(_xlfn.XLOOKUP(B934,TabCalc[Ticker],TabCalc[Cur]),"")</f>
        <v/>
      </c>
      <c r="K934" s="1129" cm="1">
        <f t="array" ref="K934">IFERROR(IF($A934=$A933,0,SUM(_xlfn._xlws.FILTER($E934:$E944,($A934:$A944=$A934)*($J934:$J944=K$42)))),0)</f>
        <v>0</v>
      </c>
      <c r="L934" s="1129" cm="1">
        <f t="array" ref="L934">IFERROR(IF($A934=$A933,0,SUM(_xlfn._xlws.FILTER($E934:$E944,($A934:$A944=$A934)*($J934:$J944=L$42)))),0)</f>
        <v>0</v>
      </c>
      <c r="M934" s="1129" cm="1">
        <f t="array" ref="M934">IFERROR(IF($A934=$A933,0,SUM(_xlfn._xlws.FILTER($E934:$E944,($A934:$A944=$A934)*($J934:$J944=M$42)))),0)</f>
        <v>0</v>
      </c>
      <c r="N934" s="1129" cm="1">
        <f t="array" ref="N934">IFERROR(IF($A934=$A933,0,SUM(_xlfn._xlws.FILTER($E934:$E944,($A934:$A944=$A934)*($J934:$J944=N$42)))),0)</f>
        <v>0</v>
      </c>
    </row>
    <row r="935" spans="5:14">
      <c r="E935" s="1128">
        <f ca="1">IFERROR(C935*D935*_xlfn.XLOOKUP(B935,TabCalc[Ticker],TabCalc[Scale]),0)</f>
        <v>0</v>
      </c>
      <c r="F935" s="1129" cm="1">
        <f t="array" ref="F935">IF(A935=A934,0,SUM(_xlfn._xlws.FILTER(E935:E945,A935:A945=A935)))</f>
        <v>0</v>
      </c>
      <c r="G935" s="1130">
        <f>IF(F935&lt;&gt;0,SUM($F$43:F935),0)</f>
        <v>0</v>
      </c>
      <c r="H935" s="1130" cm="1">
        <f t="array" ref="H935">IFERROR(IF(A935=A934,0,SUM(_xlfn._xlws.FILTER(E935:E945,(A935:A945=A935)*(E935:E945&gt;0)))),0)</f>
        <v>0</v>
      </c>
      <c r="I935" s="1130" cm="1">
        <f t="array" ref="I935">IFERROR(IF(A935=A934,0,SUM(_xlfn._xlws.FILTER(E935:E945,(A935:A945=A935)*(F935&lt;0)))),0)</f>
        <v>0</v>
      </c>
      <c r="J935" s="295" t="str">
        <f ca="1">IFERROR(_xlfn.XLOOKUP(B935,TabCalc[Ticker],TabCalc[Cur]),"")</f>
        <v/>
      </c>
      <c r="K935" s="1129" cm="1">
        <f t="array" ref="K935">IFERROR(IF($A935=$A934,0,SUM(_xlfn._xlws.FILTER($E935:$E945,($A935:$A945=$A935)*($J935:$J945=K$42)))),0)</f>
        <v>0</v>
      </c>
      <c r="L935" s="1129" cm="1">
        <f t="array" ref="L935">IFERROR(IF($A935=$A934,0,SUM(_xlfn._xlws.FILTER($E935:$E945,($A935:$A945=$A935)*($J935:$J945=L$42)))),0)</f>
        <v>0</v>
      </c>
      <c r="M935" s="1129" cm="1">
        <f t="array" ref="M935">IFERROR(IF($A935=$A934,0,SUM(_xlfn._xlws.FILTER($E935:$E945,($A935:$A945=$A935)*($J935:$J945=M$42)))),0)</f>
        <v>0</v>
      </c>
      <c r="N935" s="1129" cm="1">
        <f t="array" ref="N935">IFERROR(IF($A935=$A934,0,SUM(_xlfn._xlws.FILTER($E935:$E945,($A935:$A945=$A935)*($J935:$J945=N$42)))),0)</f>
        <v>0</v>
      </c>
    </row>
    <row r="936" spans="5:14">
      <c r="E936" s="1128">
        <f ca="1">IFERROR(C936*D936*_xlfn.XLOOKUP(B936,TabCalc[Ticker],TabCalc[Scale]),0)</f>
        <v>0</v>
      </c>
      <c r="F936" s="1129" cm="1">
        <f t="array" ref="F936">IF(A936=A935,0,SUM(_xlfn._xlws.FILTER(E936:E946,A936:A946=A936)))</f>
        <v>0</v>
      </c>
      <c r="G936" s="1130">
        <f>IF(F936&lt;&gt;0,SUM($F$43:F936),0)</f>
        <v>0</v>
      </c>
      <c r="H936" s="1130" cm="1">
        <f t="array" ref="H936">IFERROR(IF(A936=A935,0,SUM(_xlfn._xlws.FILTER(E936:E946,(A936:A946=A936)*(E936:E946&gt;0)))),0)</f>
        <v>0</v>
      </c>
      <c r="I936" s="1130" cm="1">
        <f t="array" ref="I936">IFERROR(IF(A936=A935,0,SUM(_xlfn._xlws.FILTER(E936:E946,(A936:A946=A936)*(F936&lt;0)))),0)</f>
        <v>0</v>
      </c>
      <c r="J936" s="295" t="str">
        <f ca="1">IFERROR(_xlfn.XLOOKUP(B936,TabCalc[Ticker],TabCalc[Cur]),"")</f>
        <v/>
      </c>
      <c r="K936" s="1129" cm="1">
        <f t="array" ref="K936">IFERROR(IF($A936=$A935,0,SUM(_xlfn._xlws.FILTER($E936:$E946,($A936:$A946=$A936)*($J936:$J946=K$42)))),0)</f>
        <v>0</v>
      </c>
      <c r="L936" s="1129" cm="1">
        <f t="array" ref="L936">IFERROR(IF($A936=$A935,0,SUM(_xlfn._xlws.FILTER($E936:$E946,($A936:$A946=$A936)*($J936:$J946=L$42)))),0)</f>
        <v>0</v>
      </c>
      <c r="M936" s="1129" cm="1">
        <f t="array" ref="M936">IFERROR(IF($A936=$A935,0,SUM(_xlfn._xlws.FILTER($E936:$E946,($A936:$A946=$A936)*($J936:$J946=M$42)))),0)</f>
        <v>0</v>
      </c>
      <c r="N936" s="1129" cm="1">
        <f t="array" ref="N936">IFERROR(IF($A936=$A935,0,SUM(_xlfn._xlws.FILTER($E936:$E946,($A936:$A946=$A936)*($J936:$J946=N$42)))),0)</f>
        <v>0</v>
      </c>
    </row>
    <row r="937" spans="5:14">
      <c r="E937" s="1128">
        <f ca="1">IFERROR(C937*D937*_xlfn.XLOOKUP(B937,TabCalc[Ticker],TabCalc[Scale]),0)</f>
        <v>0</v>
      </c>
      <c r="F937" s="1129" cm="1">
        <f t="array" ref="F937">IF(A937=A936,0,SUM(_xlfn._xlws.FILTER(E937:E947,A937:A947=A937)))</f>
        <v>0</v>
      </c>
      <c r="G937" s="1130">
        <f>IF(F937&lt;&gt;0,SUM($F$43:F937),0)</f>
        <v>0</v>
      </c>
      <c r="H937" s="1130" cm="1">
        <f t="array" ref="H937">IFERROR(IF(A937=A936,0,SUM(_xlfn._xlws.FILTER(E937:E947,(A937:A947=A937)*(E937:E947&gt;0)))),0)</f>
        <v>0</v>
      </c>
      <c r="I937" s="1130" cm="1">
        <f t="array" ref="I937">IFERROR(IF(A937=A936,0,SUM(_xlfn._xlws.FILTER(E937:E947,(A937:A947=A937)*(F937&lt;0)))),0)</f>
        <v>0</v>
      </c>
      <c r="J937" s="295" t="str">
        <f ca="1">IFERROR(_xlfn.XLOOKUP(B937,TabCalc[Ticker],TabCalc[Cur]),"")</f>
        <v/>
      </c>
      <c r="K937" s="1129" cm="1">
        <f t="array" ref="K937">IFERROR(IF($A937=$A936,0,SUM(_xlfn._xlws.FILTER($E937:$E947,($A937:$A947=$A937)*($J937:$J947=K$42)))),0)</f>
        <v>0</v>
      </c>
      <c r="L937" s="1129" cm="1">
        <f t="array" ref="L937">IFERROR(IF($A937=$A936,0,SUM(_xlfn._xlws.FILTER($E937:$E947,($A937:$A947=$A937)*($J937:$J947=L$42)))),0)</f>
        <v>0</v>
      </c>
      <c r="M937" s="1129" cm="1">
        <f t="array" ref="M937">IFERROR(IF($A937=$A936,0,SUM(_xlfn._xlws.FILTER($E937:$E947,($A937:$A947=$A937)*($J937:$J947=M$42)))),0)</f>
        <v>0</v>
      </c>
      <c r="N937" s="1129" cm="1">
        <f t="array" ref="N937">IFERROR(IF($A937=$A936,0,SUM(_xlfn._xlws.FILTER($E937:$E947,($A937:$A947=$A937)*($J937:$J947=N$42)))),0)</f>
        <v>0</v>
      </c>
    </row>
    <row r="938" spans="5:14">
      <c r="E938" s="1128">
        <f ca="1">IFERROR(C938*D938*_xlfn.XLOOKUP(B938,TabCalc[Ticker],TabCalc[Scale]),0)</f>
        <v>0</v>
      </c>
      <c r="F938" s="1129" cm="1">
        <f t="array" ref="F938">IF(A938=A937,0,SUM(_xlfn._xlws.FILTER(E938:E948,A938:A948=A938)))</f>
        <v>0</v>
      </c>
      <c r="G938" s="1130">
        <f>IF(F938&lt;&gt;0,SUM($F$43:F938),0)</f>
        <v>0</v>
      </c>
      <c r="H938" s="1130" cm="1">
        <f t="array" ref="H938">IFERROR(IF(A938=A937,0,SUM(_xlfn._xlws.FILTER(E938:E948,(A938:A948=A938)*(E938:E948&gt;0)))),0)</f>
        <v>0</v>
      </c>
      <c r="I938" s="1130" cm="1">
        <f t="array" ref="I938">IFERROR(IF(A938=A937,0,SUM(_xlfn._xlws.FILTER(E938:E948,(A938:A948=A938)*(F938&lt;0)))),0)</f>
        <v>0</v>
      </c>
      <c r="J938" s="295" t="str">
        <f ca="1">IFERROR(_xlfn.XLOOKUP(B938,TabCalc[Ticker],TabCalc[Cur]),"")</f>
        <v/>
      </c>
      <c r="K938" s="1129" cm="1">
        <f t="array" ref="K938">IFERROR(IF($A938=$A937,0,SUM(_xlfn._xlws.FILTER($E938:$E948,($A938:$A948=$A938)*($J938:$J948=K$42)))),0)</f>
        <v>0</v>
      </c>
      <c r="L938" s="1129" cm="1">
        <f t="array" ref="L938">IFERROR(IF($A938=$A937,0,SUM(_xlfn._xlws.FILTER($E938:$E948,($A938:$A948=$A938)*($J938:$J948=L$42)))),0)</f>
        <v>0</v>
      </c>
      <c r="M938" s="1129" cm="1">
        <f t="array" ref="M938">IFERROR(IF($A938=$A937,0,SUM(_xlfn._xlws.FILTER($E938:$E948,($A938:$A948=$A938)*($J938:$J948=M$42)))),0)</f>
        <v>0</v>
      </c>
      <c r="N938" s="1129" cm="1">
        <f t="array" ref="N938">IFERROR(IF($A938=$A937,0,SUM(_xlfn._xlws.FILTER($E938:$E948,($A938:$A948=$A938)*($J938:$J948=N$42)))),0)</f>
        <v>0</v>
      </c>
    </row>
    <row r="939" spans="5:14">
      <c r="E939" s="1128">
        <f ca="1">IFERROR(C939*D939*_xlfn.XLOOKUP(B939,TabCalc[Ticker],TabCalc[Scale]),0)</f>
        <v>0</v>
      </c>
      <c r="F939" s="1129" cm="1">
        <f t="array" ref="F939">IF(A939=A938,0,SUM(_xlfn._xlws.FILTER(E939:E949,A939:A949=A939)))</f>
        <v>0</v>
      </c>
      <c r="G939" s="1130">
        <f>IF(F939&lt;&gt;0,SUM($F$43:F939),0)</f>
        <v>0</v>
      </c>
      <c r="H939" s="1130" cm="1">
        <f t="array" ref="H939">IFERROR(IF(A939=A938,0,SUM(_xlfn._xlws.FILTER(E939:E949,(A939:A949=A939)*(E939:E949&gt;0)))),0)</f>
        <v>0</v>
      </c>
      <c r="I939" s="1130" cm="1">
        <f t="array" ref="I939">IFERROR(IF(A939=A938,0,SUM(_xlfn._xlws.FILTER(E939:E949,(A939:A949=A939)*(F939&lt;0)))),0)</f>
        <v>0</v>
      </c>
      <c r="J939" s="295" t="str">
        <f ca="1">IFERROR(_xlfn.XLOOKUP(B939,TabCalc[Ticker],TabCalc[Cur]),"")</f>
        <v/>
      </c>
      <c r="K939" s="1129" cm="1">
        <f t="array" ref="K939">IFERROR(IF($A939=$A938,0,SUM(_xlfn._xlws.FILTER($E939:$E949,($A939:$A949=$A939)*($J939:$J949=K$42)))),0)</f>
        <v>0</v>
      </c>
      <c r="L939" s="1129" cm="1">
        <f t="array" ref="L939">IFERROR(IF($A939=$A938,0,SUM(_xlfn._xlws.FILTER($E939:$E949,($A939:$A949=$A939)*($J939:$J949=L$42)))),0)</f>
        <v>0</v>
      </c>
      <c r="M939" s="1129" cm="1">
        <f t="array" ref="M939">IFERROR(IF($A939=$A938,0,SUM(_xlfn._xlws.FILTER($E939:$E949,($A939:$A949=$A939)*($J939:$J949=M$42)))),0)</f>
        <v>0</v>
      </c>
      <c r="N939" s="1129" cm="1">
        <f t="array" ref="N939">IFERROR(IF($A939=$A938,0,SUM(_xlfn._xlws.FILTER($E939:$E949,($A939:$A949=$A939)*($J939:$J949=N$42)))),0)</f>
        <v>0</v>
      </c>
    </row>
    <row r="940" spans="5:14">
      <c r="E940" s="1128">
        <f ca="1">IFERROR(C940*D940*_xlfn.XLOOKUP(B940,TabCalc[Ticker],TabCalc[Scale]),0)</f>
        <v>0</v>
      </c>
      <c r="F940" s="1129" cm="1">
        <f t="array" ref="F940">IF(A940=A939,0,SUM(_xlfn._xlws.FILTER(E940:E950,A940:A950=A940)))</f>
        <v>0</v>
      </c>
      <c r="G940" s="1130">
        <f>IF(F940&lt;&gt;0,SUM($F$43:F940),0)</f>
        <v>0</v>
      </c>
      <c r="H940" s="1130" cm="1">
        <f t="array" ref="H940">IFERROR(IF(A940=A939,0,SUM(_xlfn._xlws.FILTER(E940:E950,(A940:A950=A940)*(E940:E950&gt;0)))),0)</f>
        <v>0</v>
      </c>
      <c r="I940" s="1130" cm="1">
        <f t="array" ref="I940">IFERROR(IF(A940=A939,0,SUM(_xlfn._xlws.FILTER(E940:E950,(A940:A950=A940)*(F940&lt;0)))),0)</f>
        <v>0</v>
      </c>
      <c r="J940" s="295" t="str">
        <f ca="1">IFERROR(_xlfn.XLOOKUP(B940,TabCalc[Ticker],TabCalc[Cur]),"")</f>
        <v/>
      </c>
      <c r="K940" s="1129" cm="1">
        <f t="array" ref="K940">IFERROR(IF($A940=$A939,0,SUM(_xlfn._xlws.FILTER($E940:$E950,($A940:$A950=$A940)*($J940:$J950=K$42)))),0)</f>
        <v>0</v>
      </c>
      <c r="L940" s="1129" cm="1">
        <f t="array" ref="L940">IFERROR(IF($A940=$A939,0,SUM(_xlfn._xlws.FILTER($E940:$E950,($A940:$A950=$A940)*($J940:$J950=L$42)))),0)</f>
        <v>0</v>
      </c>
      <c r="M940" s="1129" cm="1">
        <f t="array" ref="M940">IFERROR(IF($A940=$A939,0,SUM(_xlfn._xlws.FILTER($E940:$E950,($A940:$A950=$A940)*($J940:$J950=M$42)))),0)</f>
        <v>0</v>
      </c>
      <c r="N940" s="1129" cm="1">
        <f t="array" ref="N940">IFERROR(IF($A940=$A939,0,SUM(_xlfn._xlws.FILTER($E940:$E950,($A940:$A950=$A940)*($J940:$J950=N$42)))),0)</f>
        <v>0</v>
      </c>
    </row>
    <row r="941" spans="5:14">
      <c r="E941" s="1128">
        <f ca="1">IFERROR(C941*D941*_xlfn.XLOOKUP(B941,TabCalc[Ticker],TabCalc[Scale]),0)</f>
        <v>0</v>
      </c>
      <c r="F941" s="1129" cm="1">
        <f t="array" ref="F941">IF(A941=A940,0,SUM(_xlfn._xlws.FILTER(E941:E951,A941:A951=A941)))</f>
        <v>0</v>
      </c>
      <c r="G941" s="1130">
        <f>IF(F941&lt;&gt;0,SUM($F$43:F941),0)</f>
        <v>0</v>
      </c>
      <c r="H941" s="1130" cm="1">
        <f t="array" ref="H941">IFERROR(IF(A941=A940,0,SUM(_xlfn._xlws.FILTER(E941:E951,(A941:A951=A941)*(E941:E951&gt;0)))),0)</f>
        <v>0</v>
      </c>
      <c r="I941" s="1130" cm="1">
        <f t="array" ref="I941">IFERROR(IF(A941=A940,0,SUM(_xlfn._xlws.FILTER(E941:E951,(A941:A951=A941)*(F941&lt;0)))),0)</f>
        <v>0</v>
      </c>
      <c r="J941" s="295" t="str">
        <f ca="1">IFERROR(_xlfn.XLOOKUP(B941,TabCalc[Ticker],TabCalc[Cur]),"")</f>
        <v/>
      </c>
      <c r="K941" s="1129" cm="1">
        <f t="array" ref="K941">IFERROR(IF($A941=$A940,0,SUM(_xlfn._xlws.FILTER($E941:$E951,($A941:$A951=$A941)*($J941:$J951=K$42)))),0)</f>
        <v>0</v>
      </c>
      <c r="L941" s="1129" cm="1">
        <f t="array" ref="L941">IFERROR(IF($A941=$A940,0,SUM(_xlfn._xlws.FILTER($E941:$E951,($A941:$A951=$A941)*($J941:$J951=L$42)))),0)</f>
        <v>0</v>
      </c>
      <c r="M941" s="1129" cm="1">
        <f t="array" ref="M941">IFERROR(IF($A941=$A940,0,SUM(_xlfn._xlws.FILTER($E941:$E951,($A941:$A951=$A941)*($J941:$J951=M$42)))),0)</f>
        <v>0</v>
      </c>
      <c r="N941" s="1129" cm="1">
        <f t="array" ref="N941">IFERROR(IF($A941=$A940,0,SUM(_xlfn._xlws.FILTER($E941:$E951,($A941:$A951=$A941)*($J941:$J951=N$42)))),0)</f>
        <v>0</v>
      </c>
    </row>
    <row r="942" spans="5:14">
      <c r="E942" s="1128">
        <f ca="1">IFERROR(C942*D942*_xlfn.XLOOKUP(B942,TabCalc[Ticker],TabCalc[Scale]),0)</f>
        <v>0</v>
      </c>
      <c r="F942" s="1129" cm="1">
        <f t="array" ref="F942">IF(A942=A941,0,SUM(_xlfn._xlws.FILTER(E942:E952,A942:A952=A942)))</f>
        <v>0</v>
      </c>
      <c r="G942" s="1130">
        <f>IF(F942&lt;&gt;0,SUM($F$43:F942),0)</f>
        <v>0</v>
      </c>
      <c r="H942" s="1130" cm="1">
        <f t="array" ref="H942">IFERROR(IF(A942=A941,0,SUM(_xlfn._xlws.FILTER(E942:E952,(A942:A952=A942)*(E942:E952&gt;0)))),0)</f>
        <v>0</v>
      </c>
      <c r="I942" s="1130" cm="1">
        <f t="array" ref="I942">IFERROR(IF(A942=A941,0,SUM(_xlfn._xlws.FILTER(E942:E952,(A942:A952=A942)*(F942&lt;0)))),0)</f>
        <v>0</v>
      </c>
      <c r="J942" s="295" t="str">
        <f ca="1">IFERROR(_xlfn.XLOOKUP(B942,TabCalc[Ticker],TabCalc[Cur]),"")</f>
        <v/>
      </c>
      <c r="K942" s="1129" cm="1">
        <f t="array" ref="K942">IFERROR(IF($A942=$A941,0,SUM(_xlfn._xlws.FILTER($E942:$E952,($A942:$A952=$A942)*($J942:$J952=K$42)))),0)</f>
        <v>0</v>
      </c>
      <c r="L942" s="1129" cm="1">
        <f t="array" ref="L942">IFERROR(IF($A942=$A941,0,SUM(_xlfn._xlws.FILTER($E942:$E952,($A942:$A952=$A942)*($J942:$J952=L$42)))),0)</f>
        <v>0</v>
      </c>
      <c r="M942" s="1129" cm="1">
        <f t="array" ref="M942">IFERROR(IF($A942=$A941,0,SUM(_xlfn._xlws.FILTER($E942:$E952,($A942:$A952=$A942)*($J942:$J952=M$42)))),0)</f>
        <v>0</v>
      </c>
      <c r="N942" s="1129" cm="1">
        <f t="array" ref="N942">IFERROR(IF($A942=$A941,0,SUM(_xlfn._xlws.FILTER($E942:$E952,($A942:$A952=$A942)*($J942:$J952=N$42)))),0)</f>
        <v>0</v>
      </c>
    </row>
    <row r="943" spans="5:14">
      <c r="E943" s="1128">
        <f ca="1">IFERROR(C943*D943*_xlfn.XLOOKUP(B943,TabCalc[Ticker],TabCalc[Scale]),0)</f>
        <v>0</v>
      </c>
      <c r="F943" s="1129" cm="1">
        <f t="array" ref="F943">IF(A943=A942,0,SUM(_xlfn._xlws.FILTER(E943:E953,A943:A953=A943)))</f>
        <v>0</v>
      </c>
      <c r="G943" s="1130">
        <f>IF(F943&lt;&gt;0,SUM($F$43:F943),0)</f>
        <v>0</v>
      </c>
      <c r="H943" s="1130" cm="1">
        <f t="array" ref="H943">IFERROR(IF(A943=A942,0,SUM(_xlfn._xlws.FILTER(E943:E953,(A943:A953=A943)*(E943:E953&gt;0)))),0)</f>
        <v>0</v>
      </c>
      <c r="I943" s="1130" cm="1">
        <f t="array" ref="I943">IFERROR(IF(A943=A942,0,SUM(_xlfn._xlws.FILTER(E943:E953,(A943:A953=A943)*(F943&lt;0)))),0)</f>
        <v>0</v>
      </c>
      <c r="J943" s="295" t="str">
        <f ca="1">IFERROR(_xlfn.XLOOKUP(B943,TabCalc[Ticker],TabCalc[Cur]),"")</f>
        <v/>
      </c>
      <c r="K943" s="1129" cm="1">
        <f t="array" ref="K943">IFERROR(IF($A943=$A942,0,SUM(_xlfn._xlws.FILTER($E943:$E953,($A943:$A953=$A943)*($J943:$J953=K$42)))),0)</f>
        <v>0</v>
      </c>
      <c r="L943" s="1129" cm="1">
        <f t="array" ref="L943">IFERROR(IF($A943=$A942,0,SUM(_xlfn._xlws.FILTER($E943:$E953,($A943:$A953=$A943)*($J943:$J953=L$42)))),0)</f>
        <v>0</v>
      </c>
      <c r="M943" s="1129" cm="1">
        <f t="array" ref="M943">IFERROR(IF($A943=$A942,0,SUM(_xlfn._xlws.FILTER($E943:$E953,($A943:$A953=$A943)*($J943:$J953=M$42)))),0)</f>
        <v>0</v>
      </c>
      <c r="N943" s="1129" cm="1">
        <f t="array" ref="N943">IFERROR(IF($A943=$A942,0,SUM(_xlfn._xlws.FILTER($E943:$E953,($A943:$A953=$A943)*($J943:$J953=N$42)))),0)</f>
        <v>0</v>
      </c>
    </row>
    <row r="944" spans="5:14">
      <c r="E944" s="1128">
        <f ca="1">IFERROR(C944*D944*_xlfn.XLOOKUP(B944,TabCalc[Ticker],TabCalc[Scale]),0)</f>
        <v>0</v>
      </c>
      <c r="F944" s="1129" cm="1">
        <f t="array" ref="F944">IF(A944=A943,0,SUM(_xlfn._xlws.FILTER(E944:E954,A944:A954=A944)))</f>
        <v>0</v>
      </c>
      <c r="G944" s="1130">
        <f>IF(F944&lt;&gt;0,SUM($F$43:F944),0)</f>
        <v>0</v>
      </c>
      <c r="H944" s="1130" cm="1">
        <f t="array" ref="H944">IFERROR(IF(A944=A943,0,SUM(_xlfn._xlws.FILTER(E944:E954,(A944:A954=A944)*(E944:E954&gt;0)))),0)</f>
        <v>0</v>
      </c>
      <c r="I944" s="1130" cm="1">
        <f t="array" ref="I944">IFERROR(IF(A944=A943,0,SUM(_xlfn._xlws.FILTER(E944:E954,(A944:A954=A944)*(F944&lt;0)))),0)</f>
        <v>0</v>
      </c>
      <c r="J944" s="295" t="str">
        <f ca="1">IFERROR(_xlfn.XLOOKUP(B944,TabCalc[Ticker],TabCalc[Cur]),"")</f>
        <v/>
      </c>
      <c r="K944" s="1129" cm="1">
        <f t="array" ref="K944">IFERROR(IF($A944=$A943,0,SUM(_xlfn._xlws.FILTER($E944:$E954,($A944:$A954=$A944)*($J944:$J954=K$42)))),0)</f>
        <v>0</v>
      </c>
      <c r="L944" s="1129" cm="1">
        <f t="array" ref="L944">IFERROR(IF($A944=$A943,0,SUM(_xlfn._xlws.FILTER($E944:$E954,($A944:$A954=$A944)*($J944:$J954=L$42)))),0)</f>
        <v>0</v>
      </c>
      <c r="M944" s="1129" cm="1">
        <f t="array" ref="M944">IFERROR(IF($A944=$A943,0,SUM(_xlfn._xlws.FILTER($E944:$E954,($A944:$A954=$A944)*($J944:$J954=M$42)))),0)</f>
        <v>0</v>
      </c>
      <c r="N944" s="1129" cm="1">
        <f t="array" ref="N944">IFERROR(IF($A944=$A943,0,SUM(_xlfn._xlws.FILTER($E944:$E954,($A944:$A954=$A944)*($J944:$J954=N$42)))),0)</f>
        <v>0</v>
      </c>
    </row>
    <row r="945" spans="5:14">
      <c r="E945" s="1128">
        <f ca="1">IFERROR(C945*D945*_xlfn.XLOOKUP(B945,TabCalc[Ticker],TabCalc[Scale]),0)</f>
        <v>0</v>
      </c>
      <c r="F945" s="1129" cm="1">
        <f t="array" ref="F945">IF(A945=A944,0,SUM(_xlfn._xlws.FILTER(E945:E955,A945:A955=A945)))</f>
        <v>0</v>
      </c>
      <c r="G945" s="1130">
        <f>IF(F945&lt;&gt;0,SUM($F$43:F945),0)</f>
        <v>0</v>
      </c>
      <c r="H945" s="1130" cm="1">
        <f t="array" ref="H945">IFERROR(IF(A945=A944,0,SUM(_xlfn._xlws.FILTER(E945:E955,(A945:A955=A945)*(E945:E955&gt;0)))),0)</f>
        <v>0</v>
      </c>
      <c r="I945" s="1130" cm="1">
        <f t="array" ref="I945">IFERROR(IF(A945=A944,0,SUM(_xlfn._xlws.FILTER(E945:E955,(A945:A955=A945)*(F945&lt;0)))),0)</f>
        <v>0</v>
      </c>
      <c r="J945" s="295" t="str">
        <f ca="1">IFERROR(_xlfn.XLOOKUP(B945,TabCalc[Ticker],TabCalc[Cur]),"")</f>
        <v/>
      </c>
      <c r="K945" s="1129" cm="1">
        <f t="array" ref="K945">IFERROR(IF($A945=$A944,0,SUM(_xlfn._xlws.FILTER($E945:$E955,($A945:$A955=$A945)*($J945:$J955=K$42)))),0)</f>
        <v>0</v>
      </c>
      <c r="L945" s="1129" cm="1">
        <f t="array" ref="L945">IFERROR(IF($A945=$A944,0,SUM(_xlfn._xlws.FILTER($E945:$E955,($A945:$A955=$A945)*($J945:$J955=L$42)))),0)</f>
        <v>0</v>
      </c>
      <c r="M945" s="1129" cm="1">
        <f t="array" ref="M945">IFERROR(IF($A945=$A944,0,SUM(_xlfn._xlws.FILTER($E945:$E955,($A945:$A955=$A945)*($J945:$J955=M$42)))),0)</f>
        <v>0</v>
      </c>
      <c r="N945" s="1129" cm="1">
        <f t="array" ref="N945">IFERROR(IF($A945=$A944,0,SUM(_xlfn._xlws.FILTER($E945:$E955,($A945:$A955=$A945)*($J945:$J955=N$42)))),0)</f>
        <v>0</v>
      </c>
    </row>
    <row r="946" spans="5:14">
      <c r="E946" s="1128">
        <f ca="1">IFERROR(C946*D946*_xlfn.XLOOKUP(B946,TabCalc[Ticker],TabCalc[Scale]),0)</f>
        <v>0</v>
      </c>
      <c r="F946" s="1129" cm="1">
        <f t="array" ref="F946">IF(A946=A945,0,SUM(_xlfn._xlws.FILTER(E946:E956,A946:A956=A946)))</f>
        <v>0</v>
      </c>
      <c r="G946" s="1130">
        <f>IF(F946&lt;&gt;0,SUM($F$43:F946),0)</f>
        <v>0</v>
      </c>
      <c r="H946" s="1130" cm="1">
        <f t="array" ref="H946">IFERROR(IF(A946=A945,0,SUM(_xlfn._xlws.FILTER(E946:E956,(A946:A956=A946)*(E946:E956&gt;0)))),0)</f>
        <v>0</v>
      </c>
      <c r="I946" s="1130" cm="1">
        <f t="array" ref="I946">IFERROR(IF(A946=A945,0,SUM(_xlfn._xlws.FILTER(E946:E956,(A946:A956=A946)*(F946&lt;0)))),0)</f>
        <v>0</v>
      </c>
      <c r="J946" s="295" t="str">
        <f ca="1">IFERROR(_xlfn.XLOOKUP(B946,TabCalc[Ticker],TabCalc[Cur]),"")</f>
        <v/>
      </c>
      <c r="K946" s="1129" cm="1">
        <f t="array" ref="K946">IFERROR(IF($A946=$A945,0,SUM(_xlfn._xlws.FILTER($E946:$E956,($A946:$A956=$A946)*($J946:$J956=K$42)))),0)</f>
        <v>0</v>
      </c>
      <c r="L946" s="1129" cm="1">
        <f t="array" ref="L946">IFERROR(IF($A946=$A945,0,SUM(_xlfn._xlws.FILTER($E946:$E956,($A946:$A956=$A946)*($J946:$J956=L$42)))),0)</f>
        <v>0</v>
      </c>
      <c r="M946" s="1129" cm="1">
        <f t="array" ref="M946">IFERROR(IF($A946=$A945,0,SUM(_xlfn._xlws.FILTER($E946:$E956,($A946:$A956=$A946)*($J946:$J956=M$42)))),0)</f>
        <v>0</v>
      </c>
      <c r="N946" s="1129" cm="1">
        <f t="array" ref="N946">IFERROR(IF($A946=$A945,0,SUM(_xlfn._xlws.FILTER($E946:$E956,($A946:$A956=$A946)*($J946:$J956=N$42)))),0)</f>
        <v>0</v>
      </c>
    </row>
    <row r="947" spans="5:14">
      <c r="E947" s="1128">
        <f ca="1">IFERROR(C947*D947*_xlfn.XLOOKUP(B947,TabCalc[Ticker],TabCalc[Scale]),0)</f>
        <v>0</v>
      </c>
      <c r="F947" s="1129" cm="1">
        <f t="array" ref="F947">IF(A947=A946,0,SUM(_xlfn._xlws.FILTER(E947:E957,A947:A957=A947)))</f>
        <v>0</v>
      </c>
      <c r="G947" s="1130">
        <f>IF(F947&lt;&gt;0,SUM($F$43:F947),0)</f>
        <v>0</v>
      </c>
      <c r="H947" s="1130" cm="1">
        <f t="array" ref="H947">IFERROR(IF(A947=A946,0,SUM(_xlfn._xlws.FILTER(E947:E957,(A947:A957=A947)*(E947:E957&gt;0)))),0)</f>
        <v>0</v>
      </c>
      <c r="I947" s="1130" cm="1">
        <f t="array" ref="I947">IFERROR(IF(A947=A946,0,SUM(_xlfn._xlws.FILTER(E947:E957,(A947:A957=A947)*(F947&lt;0)))),0)</f>
        <v>0</v>
      </c>
      <c r="J947" s="295" t="str">
        <f ca="1">IFERROR(_xlfn.XLOOKUP(B947,TabCalc[Ticker],TabCalc[Cur]),"")</f>
        <v/>
      </c>
      <c r="K947" s="1129" cm="1">
        <f t="array" ref="K947">IFERROR(IF($A947=$A946,0,SUM(_xlfn._xlws.FILTER($E947:$E957,($A947:$A957=$A947)*($J947:$J957=K$42)))),0)</f>
        <v>0</v>
      </c>
      <c r="L947" s="1129" cm="1">
        <f t="array" ref="L947">IFERROR(IF($A947=$A946,0,SUM(_xlfn._xlws.FILTER($E947:$E957,($A947:$A957=$A947)*($J947:$J957=L$42)))),0)</f>
        <v>0</v>
      </c>
      <c r="M947" s="1129" cm="1">
        <f t="array" ref="M947">IFERROR(IF($A947=$A946,0,SUM(_xlfn._xlws.FILTER($E947:$E957,($A947:$A957=$A947)*($J947:$J957=M$42)))),0)</f>
        <v>0</v>
      </c>
      <c r="N947" s="1129" cm="1">
        <f t="array" ref="N947">IFERROR(IF($A947=$A946,0,SUM(_xlfn._xlws.FILTER($E947:$E957,($A947:$A957=$A947)*($J947:$J957=N$42)))),0)</f>
        <v>0</v>
      </c>
    </row>
    <row r="948" spans="5:14">
      <c r="E948" s="1128">
        <f ca="1">IFERROR(C948*D948*_xlfn.XLOOKUP(B948,TabCalc[Ticker],TabCalc[Scale]),0)</f>
        <v>0</v>
      </c>
      <c r="F948" s="1129" cm="1">
        <f t="array" ref="F948">IF(A948=A947,0,SUM(_xlfn._xlws.FILTER(E948:E958,A948:A958=A948)))</f>
        <v>0</v>
      </c>
      <c r="G948" s="1130">
        <f>IF(F948&lt;&gt;0,SUM($F$43:F948),0)</f>
        <v>0</v>
      </c>
      <c r="H948" s="1130" cm="1">
        <f t="array" ref="H948">IFERROR(IF(A948=A947,0,SUM(_xlfn._xlws.FILTER(E948:E958,(A948:A958=A948)*(E948:E958&gt;0)))),0)</f>
        <v>0</v>
      </c>
      <c r="I948" s="1130" cm="1">
        <f t="array" ref="I948">IFERROR(IF(A948=A947,0,SUM(_xlfn._xlws.FILTER(E948:E958,(A948:A958=A948)*(F948&lt;0)))),0)</f>
        <v>0</v>
      </c>
      <c r="J948" s="295" t="str">
        <f ca="1">IFERROR(_xlfn.XLOOKUP(B948,TabCalc[Ticker],TabCalc[Cur]),"")</f>
        <v/>
      </c>
      <c r="K948" s="1129" cm="1">
        <f t="array" ref="K948">IFERROR(IF($A948=$A947,0,SUM(_xlfn._xlws.FILTER($E948:$E958,($A948:$A958=$A948)*($J948:$J958=K$42)))),0)</f>
        <v>0</v>
      </c>
      <c r="L948" s="1129" cm="1">
        <f t="array" ref="L948">IFERROR(IF($A948=$A947,0,SUM(_xlfn._xlws.FILTER($E948:$E958,($A948:$A958=$A948)*($J948:$J958=L$42)))),0)</f>
        <v>0</v>
      </c>
      <c r="M948" s="1129" cm="1">
        <f t="array" ref="M948">IFERROR(IF($A948=$A947,0,SUM(_xlfn._xlws.FILTER($E948:$E958,($A948:$A958=$A948)*($J948:$J958=M$42)))),0)</f>
        <v>0</v>
      </c>
      <c r="N948" s="1129" cm="1">
        <f t="array" ref="N948">IFERROR(IF($A948=$A947,0,SUM(_xlfn._xlws.FILTER($E948:$E958,($A948:$A958=$A948)*($J948:$J958=N$42)))),0)</f>
        <v>0</v>
      </c>
    </row>
    <row r="949" spans="5:14">
      <c r="E949" s="1128">
        <f ca="1">IFERROR(C949*D949*_xlfn.XLOOKUP(B949,TabCalc[Ticker],TabCalc[Scale]),0)</f>
        <v>0</v>
      </c>
      <c r="F949" s="1129" cm="1">
        <f t="array" ref="F949">IF(A949=A948,0,SUM(_xlfn._xlws.FILTER(E949:E959,A949:A959=A949)))</f>
        <v>0</v>
      </c>
      <c r="G949" s="1130">
        <f>IF(F949&lt;&gt;0,SUM($F$43:F949),0)</f>
        <v>0</v>
      </c>
      <c r="H949" s="1130" cm="1">
        <f t="array" ref="H949">IFERROR(IF(A949=A948,0,SUM(_xlfn._xlws.FILTER(E949:E959,(A949:A959=A949)*(E949:E959&gt;0)))),0)</f>
        <v>0</v>
      </c>
      <c r="I949" s="1130" cm="1">
        <f t="array" ref="I949">IFERROR(IF(A949=A948,0,SUM(_xlfn._xlws.FILTER(E949:E959,(A949:A959=A949)*(F949&lt;0)))),0)</f>
        <v>0</v>
      </c>
      <c r="J949" s="295" t="str">
        <f ca="1">IFERROR(_xlfn.XLOOKUP(B949,TabCalc[Ticker],TabCalc[Cur]),"")</f>
        <v/>
      </c>
      <c r="K949" s="1129" cm="1">
        <f t="array" ref="K949">IFERROR(IF($A949=$A948,0,SUM(_xlfn._xlws.FILTER($E949:$E959,($A949:$A959=$A949)*($J949:$J959=K$42)))),0)</f>
        <v>0</v>
      </c>
      <c r="L949" s="1129" cm="1">
        <f t="array" ref="L949">IFERROR(IF($A949=$A948,0,SUM(_xlfn._xlws.FILTER($E949:$E959,($A949:$A959=$A949)*($J949:$J959=L$42)))),0)</f>
        <v>0</v>
      </c>
      <c r="M949" s="1129" cm="1">
        <f t="array" ref="M949">IFERROR(IF($A949=$A948,0,SUM(_xlfn._xlws.FILTER($E949:$E959,($A949:$A959=$A949)*($J949:$J959=M$42)))),0)</f>
        <v>0</v>
      </c>
      <c r="N949" s="1129" cm="1">
        <f t="array" ref="N949">IFERROR(IF($A949=$A948,0,SUM(_xlfn._xlws.FILTER($E949:$E959,($A949:$A959=$A949)*($J949:$J959=N$42)))),0)</f>
        <v>0</v>
      </c>
    </row>
    <row r="950" spans="5:14">
      <c r="E950" s="1128">
        <f ca="1">IFERROR(C950*D950*_xlfn.XLOOKUP(B950,TabCalc[Ticker],TabCalc[Scale]),0)</f>
        <v>0</v>
      </c>
      <c r="F950" s="1129" cm="1">
        <f t="array" ref="F950">IF(A950=A949,0,SUM(_xlfn._xlws.FILTER(E950:E960,A950:A960=A950)))</f>
        <v>0</v>
      </c>
      <c r="G950" s="1130">
        <f>IF(F950&lt;&gt;0,SUM($F$43:F950),0)</f>
        <v>0</v>
      </c>
      <c r="H950" s="1130" cm="1">
        <f t="array" ref="H950">IFERROR(IF(A950=A949,0,SUM(_xlfn._xlws.FILTER(E950:E960,(A950:A960=A950)*(E950:E960&gt;0)))),0)</f>
        <v>0</v>
      </c>
      <c r="I950" s="1130" cm="1">
        <f t="array" ref="I950">IFERROR(IF(A950=A949,0,SUM(_xlfn._xlws.FILTER(E950:E960,(A950:A960=A950)*(F950&lt;0)))),0)</f>
        <v>0</v>
      </c>
      <c r="J950" s="295" t="str">
        <f ca="1">IFERROR(_xlfn.XLOOKUP(B950,TabCalc[Ticker],TabCalc[Cur]),"")</f>
        <v/>
      </c>
      <c r="K950" s="1129" cm="1">
        <f t="array" ref="K950">IFERROR(IF($A950=$A949,0,SUM(_xlfn._xlws.FILTER($E950:$E960,($A950:$A960=$A950)*($J950:$J960=K$42)))),0)</f>
        <v>0</v>
      </c>
      <c r="L950" s="1129" cm="1">
        <f t="array" ref="L950">IFERROR(IF($A950=$A949,0,SUM(_xlfn._xlws.FILTER($E950:$E960,($A950:$A960=$A950)*($J950:$J960=L$42)))),0)</f>
        <v>0</v>
      </c>
      <c r="M950" s="1129" cm="1">
        <f t="array" ref="M950">IFERROR(IF($A950=$A949,0,SUM(_xlfn._xlws.FILTER($E950:$E960,($A950:$A960=$A950)*($J950:$J960=M$42)))),0)</f>
        <v>0</v>
      </c>
      <c r="N950" s="1129" cm="1">
        <f t="array" ref="N950">IFERROR(IF($A950=$A949,0,SUM(_xlfn._xlws.FILTER($E950:$E960,($A950:$A960=$A950)*($J950:$J960=N$42)))),0)</f>
        <v>0</v>
      </c>
    </row>
    <row r="951" spans="5:14">
      <c r="E951" s="1128">
        <f ca="1">IFERROR(C951*D951*_xlfn.XLOOKUP(B951,TabCalc[Ticker],TabCalc[Scale]),0)</f>
        <v>0</v>
      </c>
      <c r="F951" s="1129" cm="1">
        <f t="array" ref="F951">IF(A951=A950,0,SUM(_xlfn._xlws.FILTER(E951:E961,A951:A961=A951)))</f>
        <v>0</v>
      </c>
      <c r="G951" s="1130">
        <f>IF(F951&lt;&gt;0,SUM($F$43:F951),0)</f>
        <v>0</v>
      </c>
      <c r="H951" s="1130" cm="1">
        <f t="array" ref="H951">IFERROR(IF(A951=A950,0,SUM(_xlfn._xlws.FILTER(E951:E961,(A951:A961=A951)*(E951:E961&gt;0)))),0)</f>
        <v>0</v>
      </c>
      <c r="I951" s="1130" cm="1">
        <f t="array" ref="I951">IFERROR(IF(A951=A950,0,SUM(_xlfn._xlws.FILTER(E951:E961,(A951:A961=A951)*(F951&lt;0)))),0)</f>
        <v>0</v>
      </c>
      <c r="J951" s="295" t="str">
        <f ca="1">IFERROR(_xlfn.XLOOKUP(B951,TabCalc[Ticker],TabCalc[Cur]),"")</f>
        <v/>
      </c>
      <c r="K951" s="1129" cm="1">
        <f t="array" ref="K951">IFERROR(IF($A951=$A950,0,SUM(_xlfn._xlws.FILTER($E951:$E961,($A951:$A961=$A951)*($J951:$J961=K$42)))),0)</f>
        <v>0</v>
      </c>
      <c r="L951" s="1129" cm="1">
        <f t="array" ref="L951">IFERROR(IF($A951=$A950,0,SUM(_xlfn._xlws.FILTER($E951:$E961,($A951:$A961=$A951)*($J951:$J961=L$42)))),0)</f>
        <v>0</v>
      </c>
      <c r="M951" s="1129" cm="1">
        <f t="array" ref="M951">IFERROR(IF($A951=$A950,0,SUM(_xlfn._xlws.FILTER($E951:$E961,($A951:$A961=$A951)*($J951:$J961=M$42)))),0)</f>
        <v>0</v>
      </c>
      <c r="N951" s="1129" cm="1">
        <f t="array" ref="N951">IFERROR(IF($A951=$A950,0,SUM(_xlfn._xlws.FILTER($E951:$E961,($A951:$A961=$A951)*($J951:$J961=N$42)))),0)</f>
        <v>0</v>
      </c>
    </row>
    <row r="952" spans="5:14">
      <c r="E952" s="1128">
        <f ca="1">IFERROR(C952*D952*_xlfn.XLOOKUP(B952,TabCalc[Ticker],TabCalc[Scale]),0)</f>
        <v>0</v>
      </c>
      <c r="F952" s="1129" cm="1">
        <f t="array" ref="F952">IF(A952=A951,0,SUM(_xlfn._xlws.FILTER(E952:E962,A952:A962=A952)))</f>
        <v>0</v>
      </c>
      <c r="G952" s="1130">
        <f>IF(F952&lt;&gt;0,SUM($F$43:F952),0)</f>
        <v>0</v>
      </c>
      <c r="H952" s="1130" cm="1">
        <f t="array" ref="H952">IFERROR(IF(A952=A951,0,SUM(_xlfn._xlws.FILTER(E952:E962,(A952:A962=A952)*(E952:E962&gt;0)))),0)</f>
        <v>0</v>
      </c>
      <c r="I952" s="1130" cm="1">
        <f t="array" ref="I952">IFERROR(IF(A952=A951,0,SUM(_xlfn._xlws.FILTER(E952:E962,(A952:A962=A952)*(F952&lt;0)))),0)</f>
        <v>0</v>
      </c>
      <c r="J952" s="295" t="str">
        <f ca="1">IFERROR(_xlfn.XLOOKUP(B952,TabCalc[Ticker],TabCalc[Cur]),"")</f>
        <v/>
      </c>
      <c r="K952" s="1129" cm="1">
        <f t="array" ref="K952">IFERROR(IF($A952=$A951,0,SUM(_xlfn._xlws.FILTER($E952:$E962,($A952:$A962=$A952)*($J952:$J962=K$42)))),0)</f>
        <v>0</v>
      </c>
      <c r="L952" s="1129" cm="1">
        <f t="array" ref="L952">IFERROR(IF($A952=$A951,0,SUM(_xlfn._xlws.FILTER($E952:$E962,($A952:$A962=$A952)*($J952:$J962=L$42)))),0)</f>
        <v>0</v>
      </c>
      <c r="M952" s="1129" cm="1">
        <f t="array" ref="M952">IFERROR(IF($A952=$A951,0,SUM(_xlfn._xlws.FILTER($E952:$E962,($A952:$A962=$A952)*($J952:$J962=M$42)))),0)</f>
        <v>0</v>
      </c>
      <c r="N952" s="1129" cm="1">
        <f t="array" ref="N952">IFERROR(IF($A952=$A951,0,SUM(_xlfn._xlws.FILTER($E952:$E962,($A952:$A962=$A952)*($J952:$J962=N$42)))),0)</f>
        <v>0</v>
      </c>
    </row>
    <row r="953" spans="5:14">
      <c r="E953" s="1128">
        <f ca="1">IFERROR(C953*D953*_xlfn.XLOOKUP(B953,TabCalc[Ticker],TabCalc[Scale]),0)</f>
        <v>0</v>
      </c>
      <c r="F953" s="1129" cm="1">
        <f t="array" ref="F953">IF(A953=A952,0,SUM(_xlfn._xlws.FILTER(E953:E963,A953:A963=A953)))</f>
        <v>0</v>
      </c>
      <c r="G953" s="1130">
        <f>IF(F953&lt;&gt;0,SUM($F$43:F953),0)</f>
        <v>0</v>
      </c>
      <c r="H953" s="1130" cm="1">
        <f t="array" ref="H953">IFERROR(IF(A953=A952,0,SUM(_xlfn._xlws.FILTER(E953:E963,(A953:A963=A953)*(E953:E963&gt;0)))),0)</f>
        <v>0</v>
      </c>
      <c r="I953" s="1130" cm="1">
        <f t="array" ref="I953">IFERROR(IF(A953=A952,0,SUM(_xlfn._xlws.FILTER(E953:E963,(A953:A963=A953)*(F953&lt;0)))),0)</f>
        <v>0</v>
      </c>
      <c r="J953" s="295" t="str">
        <f ca="1">IFERROR(_xlfn.XLOOKUP(B953,TabCalc[Ticker],TabCalc[Cur]),"")</f>
        <v/>
      </c>
      <c r="K953" s="1129" cm="1">
        <f t="array" ref="K953">IFERROR(IF($A953=$A952,0,SUM(_xlfn._xlws.FILTER($E953:$E963,($A953:$A963=$A953)*($J953:$J963=K$42)))),0)</f>
        <v>0</v>
      </c>
      <c r="L953" s="1129" cm="1">
        <f t="array" ref="L953">IFERROR(IF($A953=$A952,0,SUM(_xlfn._xlws.FILTER($E953:$E963,($A953:$A963=$A953)*($J953:$J963=L$42)))),0)</f>
        <v>0</v>
      </c>
      <c r="M953" s="1129" cm="1">
        <f t="array" ref="M953">IFERROR(IF($A953=$A952,0,SUM(_xlfn._xlws.FILTER($E953:$E963,($A953:$A963=$A953)*($J953:$J963=M$42)))),0)</f>
        <v>0</v>
      </c>
      <c r="N953" s="1129" cm="1">
        <f t="array" ref="N953">IFERROR(IF($A953=$A952,0,SUM(_xlfn._xlws.FILTER($E953:$E963,($A953:$A963=$A953)*($J953:$J963=N$42)))),0)</f>
        <v>0</v>
      </c>
    </row>
    <row r="954" spans="5:14">
      <c r="E954" s="1128">
        <f ca="1">IFERROR(C954*D954*_xlfn.XLOOKUP(B954,TabCalc[Ticker],TabCalc[Scale]),0)</f>
        <v>0</v>
      </c>
      <c r="F954" s="1129" cm="1">
        <f t="array" ref="F954">IF(A954=A953,0,SUM(_xlfn._xlws.FILTER(E954:E964,A954:A964=A954)))</f>
        <v>0</v>
      </c>
      <c r="G954" s="1130">
        <f>IF(F954&lt;&gt;0,SUM($F$43:F954),0)</f>
        <v>0</v>
      </c>
      <c r="H954" s="1130" cm="1">
        <f t="array" ref="H954">IFERROR(IF(A954=A953,0,SUM(_xlfn._xlws.FILTER(E954:E964,(A954:A964=A954)*(E954:E964&gt;0)))),0)</f>
        <v>0</v>
      </c>
      <c r="I954" s="1130" cm="1">
        <f t="array" ref="I954">IFERROR(IF(A954=A953,0,SUM(_xlfn._xlws.FILTER(E954:E964,(A954:A964=A954)*(F954&lt;0)))),0)</f>
        <v>0</v>
      </c>
      <c r="J954" s="295" t="str">
        <f ca="1">IFERROR(_xlfn.XLOOKUP(B954,TabCalc[Ticker],TabCalc[Cur]),"")</f>
        <v/>
      </c>
      <c r="K954" s="1129" cm="1">
        <f t="array" ref="K954">IFERROR(IF($A954=$A953,0,SUM(_xlfn._xlws.FILTER($E954:$E964,($A954:$A964=$A954)*($J954:$J964=K$42)))),0)</f>
        <v>0</v>
      </c>
      <c r="L954" s="1129" cm="1">
        <f t="array" ref="L954">IFERROR(IF($A954=$A953,0,SUM(_xlfn._xlws.FILTER($E954:$E964,($A954:$A964=$A954)*($J954:$J964=L$42)))),0)</f>
        <v>0</v>
      </c>
      <c r="M954" s="1129" cm="1">
        <f t="array" ref="M954">IFERROR(IF($A954=$A953,0,SUM(_xlfn._xlws.FILTER($E954:$E964,($A954:$A964=$A954)*($J954:$J964=M$42)))),0)</f>
        <v>0</v>
      </c>
      <c r="N954" s="1129" cm="1">
        <f t="array" ref="N954">IFERROR(IF($A954=$A953,0,SUM(_xlfn._xlws.FILTER($E954:$E964,($A954:$A964=$A954)*($J954:$J964=N$42)))),0)</f>
        <v>0</v>
      </c>
    </row>
    <row r="955" spans="5:14">
      <c r="E955" s="1128">
        <f ca="1">IFERROR(C955*D955*_xlfn.XLOOKUP(B955,TabCalc[Ticker],TabCalc[Scale]),0)</f>
        <v>0</v>
      </c>
      <c r="F955" s="1129" cm="1">
        <f t="array" ref="F955">IF(A955=A954,0,SUM(_xlfn._xlws.FILTER(E955:E965,A955:A965=A955)))</f>
        <v>0</v>
      </c>
      <c r="G955" s="1130">
        <f>IF(F955&lt;&gt;0,SUM($F$43:F955),0)</f>
        <v>0</v>
      </c>
      <c r="H955" s="1130" cm="1">
        <f t="array" ref="H955">IFERROR(IF(A955=A954,0,SUM(_xlfn._xlws.FILTER(E955:E965,(A955:A965=A955)*(E955:E965&gt;0)))),0)</f>
        <v>0</v>
      </c>
      <c r="I955" s="1130" cm="1">
        <f t="array" ref="I955">IFERROR(IF(A955=A954,0,SUM(_xlfn._xlws.FILTER(E955:E965,(A955:A965=A955)*(F955&lt;0)))),0)</f>
        <v>0</v>
      </c>
      <c r="J955" s="295" t="str">
        <f ca="1">IFERROR(_xlfn.XLOOKUP(B955,TabCalc[Ticker],TabCalc[Cur]),"")</f>
        <v/>
      </c>
      <c r="K955" s="1129" cm="1">
        <f t="array" ref="K955">IFERROR(IF($A955=$A954,0,SUM(_xlfn._xlws.FILTER($E955:$E965,($A955:$A965=$A955)*($J955:$J965=K$42)))),0)</f>
        <v>0</v>
      </c>
      <c r="L955" s="1129" cm="1">
        <f t="array" ref="L955">IFERROR(IF($A955=$A954,0,SUM(_xlfn._xlws.FILTER($E955:$E965,($A955:$A965=$A955)*($J955:$J965=L$42)))),0)</f>
        <v>0</v>
      </c>
      <c r="M955" s="1129" cm="1">
        <f t="array" ref="M955">IFERROR(IF($A955=$A954,0,SUM(_xlfn._xlws.FILTER($E955:$E965,($A955:$A965=$A955)*($J955:$J965=M$42)))),0)</f>
        <v>0</v>
      </c>
      <c r="N955" s="1129" cm="1">
        <f t="array" ref="N955">IFERROR(IF($A955=$A954,0,SUM(_xlfn._xlws.FILTER($E955:$E965,($A955:$A965=$A955)*($J955:$J965=N$42)))),0)</f>
        <v>0</v>
      </c>
    </row>
    <row r="956" spans="5:14">
      <c r="E956" s="1128">
        <f ca="1">IFERROR(C956*D956*_xlfn.XLOOKUP(B956,TabCalc[Ticker],TabCalc[Scale]),0)</f>
        <v>0</v>
      </c>
      <c r="F956" s="1129" cm="1">
        <f t="array" ref="F956">IF(A956=A955,0,SUM(_xlfn._xlws.FILTER(E956:E966,A956:A966=A956)))</f>
        <v>0</v>
      </c>
      <c r="G956" s="1130">
        <f>IF(F956&lt;&gt;0,SUM($F$43:F956),0)</f>
        <v>0</v>
      </c>
      <c r="H956" s="1130" cm="1">
        <f t="array" ref="H956">IFERROR(IF(A956=A955,0,SUM(_xlfn._xlws.FILTER(E956:E966,(A956:A966=A956)*(E956:E966&gt;0)))),0)</f>
        <v>0</v>
      </c>
      <c r="I956" s="1130" cm="1">
        <f t="array" ref="I956">IFERROR(IF(A956=A955,0,SUM(_xlfn._xlws.FILTER(E956:E966,(A956:A966=A956)*(F956&lt;0)))),0)</f>
        <v>0</v>
      </c>
      <c r="J956" s="295" t="str">
        <f ca="1">IFERROR(_xlfn.XLOOKUP(B956,TabCalc[Ticker],TabCalc[Cur]),"")</f>
        <v/>
      </c>
      <c r="K956" s="1129" cm="1">
        <f t="array" ref="K956">IFERROR(IF($A956=$A955,0,SUM(_xlfn._xlws.FILTER($E956:$E966,($A956:$A966=$A956)*($J956:$J966=K$42)))),0)</f>
        <v>0</v>
      </c>
      <c r="L956" s="1129" cm="1">
        <f t="array" ref="L956">IFERROR(IF($A956=$A955,0,SUM(_xlfn._xlws.FILTER($E956:$E966,($A956:$A966=$A956)*($J956:$J966=L$42)))),0)</f>
        <v>0</v>
      </c>
      <c r="M956" s="1129" cm="1">
        <f t="array" ref="M956">IFERROR(IF($A956=$A955,0,SUM(_xlfn._xlws.FILTER($E956:$E966,($A956:$A966=$A956)*($J956:$J966=M$42)))),0)</f>
        <v>0</v>
      </c>
      <c r="N956" s="1129" cm="1">
        <f t="array" ref="N956">IFERROR(IF($A956=$A955,0,SUM(_xlfn._xlws.FILTER($E956:$E966,($A956:$A966=$A956)*($J956:$J966=N$42)))),0)</f>
        <v>0</v>
      </c>
    </row>
    <row r="957" spans="5:14">
      <c r="E957" s="1128">
        <f ca="1">IFERROR(C957*D957*_xlfn.XLOOKUP(B957,TabCalc[Ticker],TabCalc[Scale]),0)</f>
        <v>0</v>
      </c>
      <c r="F957" s="1129" cm="1">
        <f t="array" ref="F957">IF(A957=A956,0,SUM(_xlfn._xlws.FILTER(E957:E967,A957:A967=A957)))</f>
        <v>0</v>
      </c>
      <c r="G957" s="1130">
        <f>IF(F957&lt;&gt;0,SUM($F$43:F957),0)</f>
        <v>0</v>
      </c>
      <c r="H957" s="1130" cm="1">
        <f t="array" ref="H957">IFERROR(IF(A957=A956,0,SUM(_xlfn._xlws.FILTER(E957:E967,(A957:A967=A957)*(E957:E967&gt;0)))),0)</f>
        <v>0</v>
      </c>
      <c r="I957" s="1130" cm="1">
        <f t="array" ref="I957">IFERROR(IF(A957=A956,0,SUM(_xlfn._xlws.FILTER(E957:E967,(A957:A967=A957)*(F957&lt;0)))),0)</f>
        <v>0</v>
      </c>
      <c r="J957" s="295" t="str">
        <f ca="1">IFERROR(_xlfn.XLOOKUP(B957,TabCalc[Ticker],TabCalc[Cur]),"")</f>
        <v/>
      </c>
      <c r="K957" s="1129" cm="1">
        <f t="array" ref="K957">IFERROR(IF($A957=$A956,0,SUM(_xlfn._xlws.FILTER($E957:$E967,($A957:$A967=$A957)*($J957:$J967=K$42)))),0)</f>
        <v>0</v>
      </c>
      <c r="L957" s="1129" cm="1">
        <f t="array" ref="L957">IFERROR(IF($A957=$A956,0,SUM(_xlfn._xlws.FILTER($E957:$E967,($A957:$A967=$A957)*($J957:$J967=L$42)))),0)</f>
        <v>0</v>
      </c>
      <c r="M957" s="1129" cm="1">
        <f t="array" ref="M957">IFERROR(IF($A957=$A956,0,SUM(_xlfn._xlws.FILTER($E957:$E967,($A957:$A967=$A957)*($J957:$J967=M$42)))),0)</f>
        <v>0</v>
      </c>
      <c r="N957" s="1129" cm="1">
        <f t="array" ref="N957">IFERROR(IF($A957=$A956,0,SUM(_xlfn._xlws.FILTER($E957:$E967,($A957:$A967=$A957)*($J957:$J967=N$42)))),0)</f>
        <v>0</v>
      </c>
    </row>
    <row r="958" spans="5:14">
      <c r="E958" s="1128">
        <f ca="1">IFERROR(C958*D958*_xlfn.XLOOKUP(B958,TabCalc[Ticker],TabCalc[Scale]),0)</f>
        <v>0</v>
      </c>
      <c r="F958" s="1129" cm="1">
        <f t="array" ref="F958">IF(A958=A957,0,SUM(_xlfn._xlws.FILTER(E958:E968,A958:A968=A958)))</f>
        <v>0</v>
      </c>
      <c r="G958" s="1130">
        <f>IF(F958&lt;&gt;0,SUM($F$43:F958),0)</f>
        <v>0</v>
      </c>
      <c r="H958" s="1130" cm="1">
        <f t="array" ref="H958">IFERROR(IF(A958=A957,0,SUM(_xlfn._xlws.FILTER(E958:E968,(A958:A968=A958)*(E958:E968&gt;0)))),0)</f>
        <v>0</v>
      </c>
      <c r="I958" s="1130" cm="1">
        <f t="array" ref="I958">IFERROR(IF(A958=A957,0,SUM(_xlfn._xlws.FILTER(E958:E968,(A958:A968=A958)*(F958&lt;0)))),0)</f>
        <v>0</v>
      </c>
      <c r="J958" s="295" t="str">
        <f ca="1">IFERROR(_xlfn.XLOOKUP(B958,TabCalc[Ticker],TabCalc[Cur]),"")</f>
        <v/>
      </c>
      <c r="K958" s="1129" cm="1">
        <f t="array" ref="K958">IFERROR(IF($A958=$A957,0,SUM(_xlfn._xlws.FILTER($E958:$E968,($A958:$A968=$A958)*($J958:$J968=K$42)))),0)</f>
        <v>0</v>
      </c>
      <c r="L958" s="1129" cm="1">
        <f t="array" ref="L958">IFERROR(IF($A958=$A957,0,SUM(_xlfn._xlws.FILTER($E958:$E968,($A958:$A968=$A958)*($J958:$J968=L$42)))),0)</f>
        <v>0</v>
      </c>
      <c r="M958" s="1129" cm="1">
        <f t="array" ref="M958">IFERROR(IF($A958=$A957,0,SUM(_xlfn._xlws.FILTER($E958:$E968,($A958:$A968=$A958)*($J958:$J968=M$42)))),0)</f>
        <v>0</v>
      </c>
      <c r="N958" s="1129" cm="1">
        <f t="array" ref="N958">IFERROR(IF($A958=$A957,0,SUM(_xlfn._xlws.FILTER($E958:$E968,($A958:$A968=$A958)*($J958:$J968=N$42)))),0)</f>
        <v>0</v>
      </c>
    </row>
    <row r="959" spans="5:14">
      <c r="E959" s="1128">
        <f ca="1">IFERROR(C959*D959*_xlfn.XLOOKUP(B959,TabCalc[Ticker],TabCalc[Scale]),0)</f>
        <v>0</v>
      </c>
      <c r="F959" s="1129" cm="1">
        <f t="array" ref="F959">IF(A959=A958,0,SUM(_xlfn._xlws.FILTER(E959:E969,A959:A969=A959)))</f>
        <v>0</v>
      </c>
      <c r="G959" s="1130">
        <f>IF(F959&lt;&gt;0,SUM($F$43:F959),0)</f>
        <v>0</v>
      </c>
      <c r="H959" s="1130" cm="1">
        <f t="array" ref="H959">IFERROR(IF(A959=A958,0,SUM(_xlfn._xlws.FILTER(E959:E969,(A959:A969=A959)*(E959:E969&gt;0)))),0)</f>
        <v>0</v>
      </c>
      <c r="I959" s="1130" cm="1">
        <f t="array" ref="I959">IFERROR(IF(A959=A958,0,SUM(_xlfn._xlws.FILTER(E959:E969,(A959:A969=A959)*(F959&lt;0)))),0)</f>
        <v>0</v>
      </c>
      <c r="J959" s="295" t="str">
        <f ca="1">IFERROR(_xlfn.XLOOKUP(B959,TabCalc[Ticker],TabCalc[Cur]),"")</f>
        <v/>
      </c>
      <c r="K959" s="1129" cm="1">
        <f t="array" ref="K959">IFERROR(IF($A959=$A958,0,SUM(_xlfn._xlws.FILTER($E959:$E969,($A959:$A969=$A959)*($J959:$J969=K$42)))),0)</f>
        <v>0</v>
      </c>
      <c r="L959" s="1129" cm="1">
        <f t="array" ref="L959">IFERROR(IF($A959=$A958,0,SUM(_xlfn._xlws.FILTER($E959:$E969,($A959:$A969=$A959)*($J959:$J969=L$42)))),0)</f>
        <v>0</v>
      </c>
      <c r="M959" s="1129" cm="1">
        <f t="array" ref="M959">IFERROR(IF($A959=$A958,0,SUM(_xlfn._xlws.FILTER($E959:$E969,($A959:$A969=$A959)*($J959:$J969=M$42)))),0)</f>
        <v>0</v>
      </c>
      <c r="N959" s="1129" cm="1">
        <f t="array" ref="N959">IFERROR(IF($A959=$A958,0,SUM(_xlfn._xlws.FILTER($E959:$E969,($A959:$A969=$A959)*($J959:$J969=N$42)))),0)</f>
        <v>0</v>
      </c>
    </row>
    <row r="960" spans="5:14">
      <c r="E960" s="1128">
        <f ca="1">IFERROR(C960*D960*_xlfn.XLOOKUP(B960,TabCalc[Ticker],TabCalc[Scale]),0)</f>
        <v>0</v>
      </c>
      <c r="F960" s="1129" cm="1">
        <f t="array" ref="F960">IF(A960=A959,0,SUM(_xlfn._xlws.FILTER(E960:E970,A960:A970=A960)))</f>
        <v>0</v>
      </c>
      <c r="G960" s="1130">
        <f>IF(F960&lt;&gt;0,SUM($F$43:F960),0)</f>
        <v>0</v>
      </c>
      <c r="H960" s="1130" cm="1">
        <f t="array" ref="H960">IFERROR(IF(A960=A959,0,SUM(_xlfn._xlws.FILTER(E960:E970,(A960:A970=A960)*(E960:E970&gt;0)))),0)</f>
        <v>0</v>
      </c>
      <c r="I960" s="1130" cm="1">
        <f t="array" ref="I960">IFERROR(IF(A960=A959,0,SUM(_xlfn._xlws.FILTER(E960:E970,(A960:A970=A960)*(F960&lt;0)))),0)</f>
        <v>0</v>
      </c>
      <c r="J960" s="295" t="str">
        <f ca="1">IFERROR(_xlfn.XLOOKUP(B960,TabCalc[Ticker],TabCalc[Cur]),"")</f>
        <v/>
      </c>
      <c r="K960" s="1129" cm="1">
        <f t="array" ref="K960">IFERROR(IF($A960=$A959,0,SUM(_xlfn._xlws.FILTER($E960:$E970,($A960:$A970=$A960)*($J960:$J970=K$42)))),0)</f>
        <v>0</v>
      </c>
      <c r="L960" s="1129" cm="1">
        <f t="array" ref="L960">IFERROR(IF($A960=$A959,0,SUM(_xlfn._xlws.FILTER($E960:$E970,($A960:$A970=$A960)*($J960:$J970=L$42)))),0)</f>
        <v>0</v>
      </c>
      <c r="M960" s="1129" cm="1">
        <f t="array" ref="M960">IFERROR(IF($A960=$A959,0,SUM(_xlfn._xlws.FILTER($E960:$E970,($A960:$A970=$A960)*($J960:$J970=M$42)))),0)</f>
        <v>0</v>
      </c>
      <c r="N960" s="1129" cm="1">
        <f t="array" ref="N960">IFERROR(IF($A960=$A959,0,SUM(_xlfn._xlws.FILTER($E960:$E970,($A960:$A970=$A960)*($J960:$J970=N$42)))),0)</f>
        <v>0</v>
      </c>
    </row>
    <row r="961" spans="5:14">
      <c r="E961" s="1128">
        <f ca="1">IFERROR(C961*D961*_xlfn.XLOOKUP(B961,TabCalc[Ticker],TabCalc[Scale]),0)</f>
        <v>0</v>
      </c>
      <c r="F961" s="1129" cm="1">
        <f t="array" ref="F961">IF(A961=A960,0,SUM(_xlfn._xlws.FILTER(E961:E971,A961:A971=A961)))</f>
        <v>0</v>
      </c>
      <c r="G961" s="1130">
        <f>IF(F961&lt;&gt;0,SUM($F$43:F961),0)</f>
        <v>0</v>
      </c>
      <c r="H961" s="1130" cm="1">
        <f t="array" ref="H961">IFERROR(IF(A961=A960,0,SUM(_xlfn._xlws.FILTER(E961:E971,(A961:A971=A961)*(E961:E971&gt;0)))),0)</f>
        <v>0</v>
      </c>
      <c r="I961" s="1130" cm="1">
        <f t="array" ref="I961">IFERROR(IF(A961=A960,0,SUM(_xlfn._xlws.FILTER(E961:E971,(A961:A971=A961)*(F961&lt;0)))),0)</f>
        <v>0</v>
      </c>
      <c r="J961" s="295" t="str">
        <f ca="1">IFERROR(_xlfn.XLOOKUP(B961,TabCalc[Ticker],TabCalc[Cur]),"")</f>
        <v/>
      </c>
      <c r="K961" s="1129" cm="1">
        <f t="array" ref="K961">IFERROR(IF($A961=$A960,0,SUM(_xlfn._xlws.FILTER($E961:$E971,($A961:$A971=$A961)*($J961:$J971=K$42)))),0)</f>
        <v>0</v>
      </c>
      <c r="L961" s="1129" cm="1">
        <f t="array" ref="L961">IFERROR(IF($A961=$A960,0,SUM(_xlfn._xlws.FILTER($E961:$E971,($A961:$A971=$A961)*($J961:$J971=L$42)))),0)</f>
        <v>0</v>
      </c>
      <c r="M961" s="1129" cm="1">
        <f t="array" ref="M961">IFERROR(IF($A961=$A960,0,SUM(_xlfn._xlws.FILTER($E961:$E971,($A961:$A971=$A961)*($J961:$J971=M$42)))),0)</f>
        <v>0</v>
      </c>
      <c r="N961" s="1129" cm="1">
        <f t="array" ref="N961">IFERROR(IF($A961=$A960,0,SUM(_xlfn._xlws.FILTER($E961:$E971,($A961:$A971=$A961)*($J961:$J971=N$42)))),0)</f>
        <v>0</v>
      </c>
    </row>
    <row r="962" spans="5:14">
      <c r="E962" s="1128">
        <f ca="1">IFERROR(C962*D962*_xlfn.XLOOKUP(B962,TabCalc[Ticker],TabCalc[Scale]),0)</f>
        <v>0</v>
      </c>
      <c r="F962" s="1129" cm="1">
        <f t="array" ref="F962">IF(A962=A961,0,SUM(_xlfn._xlws.FILTER(E962:E972,A962:A972=A962)))</f>
        <v>0</v>
      </c>
      <c r="G962" s="1130">
        <f>IF(F962&lt;&gt;0,SUM($F$43:F962),0)</f>
        <v>0</v>
      </c>
      <c r="H962" s="1130" cm="1">
        <f t="array" ref="H962">IFERROR(IF(A962=A961,0,SUM(_xlfn._xlws.FILTER(E962:E972,(A962:A972=A962)*(E962:E972&gt;0)))),0)</f>
        <v>0</v>
      </c>
      <c r="I962" s="1130" cm="1">
        <f t="array" ref="I962">IFERROR(IF(A962=A961,0,SUM(_xlfn._xlws.FILTER(E962:E972,(A962:A972=A962)*(F962&lt;0)))),0)</f>
        <v>0</v>
      </c>
      <c r="J962" s="295" t="str">
        <f ca="1">IFERROR(_xlfn.XLOOKUP(B962,TabCalc[Ticker],TabCalc[Cur]),"")</f>
        <v/>
      </c>
      <c r="K962" s="1129" cm="1">
        <f t="array" ref="K962">IFERROR(IF($A962=$A961,0,SUM(_xlfn._xlws.FILTER($E962:$E972,($A962:$A972=$A962)*($J962:$J972=K$42)))),0)</f>
        <v>0</v>
      </c>
      <c r="L962" s="1129" cm="1">
        <f t="array" ref="L962">IFERROR(IF($A962=$A961,0,SUM(_xlfn._xlws.FILTER($E962:$E972,($A962:$A972=$A962)*($J962:$J972=L$42)))),0)</f>
        <v>0</v>
      </c>
      <c r="M962" s="1129" cm="1">
        <f t="array" ref="M962">IFERROR(IF($A962=$A961,0,SUM(_xlfn._xlws.FILTER($E962:$E972,($A962:$A972=$A962)*($J962:$J972=M$42)))),0)</f>
        <v>0</v>
      </c>
      <c r="N962" s="1129" cm="1">
        <f t="array" ref="N962">IFERROR(IF($A962=$A961,0,SUM(_xlfn._xlws.FILTER($E962:$E972,($A962:$A972=$A962)*($J962:$J972=N$42)))),0)</f>
        <v>0</v>
      </c>
    </row>
    <row r="963" spans="5:14">
      <c r="E963" s="1128">
        <f ca="1">IFERROR(C963*D963*_xlfn.XLOOKUP(B963,TabCalc[Ticker],TabCalc[Scale]),0)</f>
        <v>0</v>
      </c>
      <c r="F963" s="1129" cm="1">
        <f t="array" ref="F963">IF(A963=A962,0,SUM(_xlfn._xlws.FILTER(E963:E973,A963:A973=A963)))</f>
        <v>0</v>
      </c>
      <c r="G963" s="1130">
        <f>IF(F963&lt;&gt;0,SUM($F$43:F963),0)</f>
        <v>0</v>
      </c>
      <c r="H963" s="1130" cm="1">
        <f t="array" ref="H963">IFERROR(IF(A963=A962,0,SUM(_xlfn._xlws.FILTER(E963:E973,(A963:A973=A963)*(E963:E973&gt;0)))),0)</f>
        <v>0</v>
      </c>
      <c r="I963" s="1130" cm="1">
        <f t="array" ref="I963">IFERROR(IF(A963=A962,0,SUM(_xlfn._xlws.FILTER(E963:E973,(A963:A973=A963)*(F963&lt;0)))),0)</f>
        <v>0</v>
      </c>
      <c r="J963" s="295" t="str">
        <f ca="1">IFERROR(_xlfn.XLOOKUP(B963,TabCalc[Ticker],TabCalc[Cur]),"")</f>
        <v/>
      </c>
      <c r="K963" s="1129" cm="1">
        <f t="array" ref="K963">IFERROR(IF($A963=$A962,0,SUM(_xlfn._xlws.FILTER($E963:$E973,($A963:$A973=$A963)*($J963:$J973=K$42)))),0)</f>
        <v>0</v>
      </c>
      <c r="L963" s="1129" cm="1">
        <f t="array" ref="L963">IFERROR(IF($A963=$A962,0,SUM(_xlfn._xlws.FILTER($E963:$E973,($A963:$A973=$A963)*($J963:$J973=L$42)))),0)</f>
        <v>0</v>
      </c>
      <c r="M963" s="1129" cm="1">
        <f t="array" ref="M963">IFERROR(IF($A963=$A962,0,SUM(_xlfn._xlws.FILTER($E963:$E973,($A963:$A973=$A963)*($J963:$J973=M$42)))),0)</f>
        <v>0</v>
      </c>
      <c r="N963" s="1129" cm="1">
        <f t="array" ref="N963">IFERROR(IF($A963=$A962,0,SUM(_xlfn._xlws.FILTER($E963:$E973,($A963:$A973=$A963)*($J963:$J973=N$42)))),0)</f>
        <v>0</v>
      </c>
    </row>
    <row r="964" spans="5:14">
      <c r="E964" s="1128">
        <f ca="1">IFERROR(C964*D964*_xlfn.XLOOKUP(B964,TabCalc[Ticker],TabCalc[Scale]),0)</f>
        <v>0</v>
      </c>
      <c r="F964" s="1129" cm="1">
        <f t="array" ref="F964">IF(A964=A963,0,SUM(_xlfn._xlws.FILTER(E964:E974,A964:A974=A964)))</f>
        <v>0</v>
      </c>
      <c r="G964" s="1130">
        <f>IF(F964&lt;&gt;0,SUM($F$43:F964),0)</f>
        <v>0</v>
      </c>
      <c r="H964" s="1130" cm="1">
        <f t="array" ref="H964">IFERROR(IF(A964=A963,0,SUM(_xlfn._xlws.FILTER(E964:E974,(A964:A974=A964)*(E964:E974&gt;0)))),0)</f>
        <v>0</v>
      </c>
      <c r="I964" s="1130" cm="1">
        <f t="array" ref="I964">IFERROR(IF(A964=A963,0,SUM(_xlfn._xlws.FILTER(E964:E974,(A964:A974=A964)*(F964&lt;0)))),0)</f>
        <v>0</v>
      </c>
      <c r="J964" s="295" t="str">
        <f ca="1">IFERROR(_xlfn.XLOOKUP(B964,TabCalc[Ticker],TabCalc[Cur]),"")</f>
        <v/>
      </c>
      <c r="K964" s="1129" cm="1">
        <f t="array" ref="K964">IFERROR(IF($A964=$A963,0,SUM(_xlfn._xlws.FILTER($E964:$E974,($A964:$A974=$A964)*($J964:$J974=K$42)))),0)</f>
        <v>0</v>
      </c>
      <c r="L964" s="1129" cm="1">
        <f t="array" ref="L964">IFERROR(IF($A964=$A963,0,SUM(_xlfn._xlws.FILTER($E964:$E974,($A964:$A974=$A964)*($J964:$J974=L$42)))),0)</f>
        <v>0</v>
      </c>
      <c r="M964" s="1129" cm="1">
        <f t="array" ref="M964">IFERROR(IF($A964=$A963,0,SUM(_xlfn._xlws.FILTER($E964:$E974,($A964:$A974=$A964)*($J964:$J974=M$42)))),0)</f>
        <v>0</v>
      </c>
      <c r="N964" s="1129" cm="1">
        <f t="array" ref="N964">IFERROR(IF($A964=$A963,0,SUM(_xlfn._xlws.FILTER($E964:$E974,($A964:$A974=$A964)*($J964:$J974=N$42)))),0)</f>
        <v>0</v>
      </c>
    </row>
    <row r="965" spans="5:14">
      <c r="E965" s="1128">
        <f ca="1">IFERROR(C965*D965*_xlfn.XLOOKUP(B965,TabCalc[Ticker],TabCalc[Scale]),0)</f>
        <v>0</v>
      </c>
      <c r="F965" s="1129" cm="1">
        <f t="array" ref="F965">IF(A965=A964,0,SUM(_xlfn._xlws.FILTER(E965:E975,A965:A975=A965)))</f>
        <v>0</v>
      </c>
      <c r="G965" s="1130">
        <f>IF(F965&lt;&gt;0,SUM($F$43:F965),0)</f>
        <v>0</v>
      </c>
      <c r="H965" s="1130" cm="1">
        <f t="array" ref="H965">IFERROR(IF(A965=A964,0,SUM(_xlfn._xlws.FILTER(E965:E975,(A965:A975=A965)*(E965:E975&gt;0)))),0)</f>
        <v>0</v>
      </c>
      <c r="I965" s="1130" cm="1">
        <f t="array" ref="I965">IFERROR(IF(A965=A964,0,SUM(_xlfn._xlws.FILTER(E965:E975,(A965:A975=A965)*(F965&lt;0)))),0)</f>
        <v>0</v>
      </c>
      <c r="J965" s="295" t="str">
        <f ca="1">IFERROR(_xlfn.XLOOKUP(B965,TabCalc[Ticker],TabCalc[Cur]),"")</f>
        <v/>
      </c>
      <c r="K965" s="1129" cm="1">
        <f t="array" ref="K965">IFERROR(IF($A965=$A964,0,SUM(_xlfn._xlws.FILTER($E965:$E975,($A965:$A975=$A965)*($J965:$J975=K$42)))),0)</f>
        <v>0</v>
      </c>
      <c r="L965" s="1129" cm="1">
        <f t="array" ref="L965">IFERROR(IF($A965=$A964,0,SUM(_xlfn._xlws.FILTER($E965:$E975,($A965:$A975=$A965)*($J965:$J975=L$42)))),0)</f>
        <v>0</v>
      </c>
      <c r="M965" s="1129" cm="1">
        <f t="array" ref="M965">IFERROR(IF($A965=$A964,0,SUM(_xlfn._xlws.FILTER($E965:$E975,($A965:$A975=$A965)*($J965:$J975=M$42)))),0)</f>
        <v>0</v>
      </c>
      <c r="N965" s="1129" cm="1">
        <f t="array" ref="N965">IFERROR(IF($A965=$A964,0,SUM(_xlfn._xlws.FILTER($E965:$E975,($A965:$A975=$A965)*($J965:$J975=N$42)))),0)</f>
        <v>0</v>
      </c>
    </row>
    <row r="966" spans="5:14">
      <c r="E966" s="1128">
        <f ca="1">IFERROR(C966*D966*_xlfn.XLOOKUP(B966,TabCalc[Ticker],TabCalc[Scale]),0)</f>
        <v>0</v>
      </c>
      <c r="F966" s="1129" cm="1">
        <f t="array" ref="F966">IF(A966=A965,0,SUM(_xlfn._xlws.FILTER(E966:E976,A966:A976=A966)))</f>
        <v>0</v>
      </c>
      <c r="G966" s="1130">
        <f>IF(F966&lt;&gt;0,SUM($F$43:F966),0)</f>
        <v>0</v>
      </c>
      <c r="H966" s="1130" cm="1">
        <f t="array" ref="H966">IFERROR(IF(A966=A965,0,SUM(_xlfn._xlws.FILTER(E966:E976,(A966:A976=A966)*(E966:E976&gt;0)))),0)</f>
        <v>0</v>
      </c>
      <c r="I966" s="1130" cm="1">
        <f t="array" ref="I966">IFERROR(IF(A966=A965,0,SUM(_xlfn._xlws.FILTER(E966:E976,(A966:A976=A966)*(F966&lt;0)))),0)</f>
        <v>0</v>
      </c>
      <c r="J966" s="295" t="str">
        <f ca="1">IFERROR(_xlfn.XLOOKUP(B966,TabCalc[Ticker],TabCalc[Cur]),"")</f>
        <v/>
      </c>
      <c r="K966" s="1129" cm="1">
        <f t="array" ref="K966">IFERROR(IF($A966=$A965,0,SUM(_xlfn._xlws.FILTER($E966:$E976,($A966:$A976=$A966)*($J966:$J976=K$42)))),0)</f>
        <v>0</v>
      </c>
      <c r="L966" s="1129" cm="1">
        <f t="array" ref="L966">IFERROR(IF($A966=$A965,0,SUM(_xlfn._xlws.FILTER($E966:$E976,($A966:$A976=$A966)*($J966:$J976=L$42)))),0)</f>
        <v>0</v>
      </c>
      <c r="M966" s="1129" cm="1">
        <f t="array" ref="M966">IFERROR(IF($A966=$A965,0,SUM(_xlfn._xlws.FILTER($E966:$E976,($A966:$A976=$A966)*($J966:$J976=M$42)))),0)</f>
        <v>0</v>
      </c>
      <c r="N966" s="1129" cm="1">
        <f t="array" ref="N966">IFERROR(IF($A966=$A965,0,SUM(_xlfn._xlws.FILTER($E966:$E976,($A966:$A976=$A966)*($J966:$J976=N$42)))),0)</f>
        <v>0</v>
      </c>
    </row>
    <row r="967" spans="5:14">
      <c r="E967" s="1128">
        <f ca="1">IFERROR(C967*D967*_xlfn.XLOOKUP(B967,TabCalc[Ticker],TabCalc[Scale]),0)</f>
        <v>0</v>
      </c>
      <c r="F967" s="1129" cm="1">
        <f t="array" ref="F967">IF(A967=A966,0,SUM(_xlfn._xlws.FILTER(E967:E977,A967:A977=A967)))</f>
        <v>0</v>
      </c>
      <c r="G967" s="1130">
        <f>IF(F967&lt;&gt;0,SUM($F$43:F967),0)</f>
        <v>0</v>
      </c>
      <c r="H967" s="1130" cm="1">
        <f t="array" ref="H967">IFERROR(IF(A967=A966,0,SUM(_xlfn._xlws.FILTER(E967:E977,(A967:A977=A967)*(E967:E977&gt;0)))),0)</f>
        <v>0</v>
      </c>
      <c r="I967" s="1130" cm="1">
        <f t="array" ref="I967">IFERROR(IF(A967=A966,0,SUM(_xlfn._xlws.FILTER(E967:E977,(A967:A977=A967)*(F967&lt;0)))),0)</f>
        <v>0</v>
      </c>
      <c r="J967" s="295" t="str">
        <f ca="1">IFERROR(_xlfn.XLOOKUP(B967,TabCalc[Ticker],TabCalc[Cur]),"")</f>
        <v/>
      </c>
      <c r="K967" s="1129" cm="1">
        <f t="array" ref="K967">IFERROR(IF($A967=$A966,0,SUM(_xlfn._xlws.FILTER($E967:$E977,($A967:$A977=$A967)*($J967:$J977=K$42)))),0)</f>
        <v>0</v>
      </c>
      <c r="L967" s="1129" cm="1">
        <f t="array" ref="L967">IFERROR(IF($A967=$A966,0,SUM(_xlfn._xlws.FILTER($E967:$E977,($A967:$A977=$A967)*($J967:$J977=L$42)))),0)</f>
        <v>0</v>
      </c>
      <c r="M967" s="1129" cm="1">
        <f t="array" ref="M967">IFERROR(IF($A967=$A966,0,SUM(_xlfn._xlws.FILTER($E967:$E977,($A967:$A977=$A967)*($J967:$J977=M$42)))),0)</f>
        <v>0</v>
      </c>
      <c r="N967" s="1129" cm="1">
        <f t="array" ref="N967">IFERROR(IF($A967=$A966,0,SUM(_xlfn._xlws.FILTER($E967:$E977,($A967:$A977=$A967)*($J967:$J977=N$42)))),0)</f>
        <v>0</v>
      </c>
    </row>
    <row r="968" spans="5:14">
      <c r="E968" s="1128">
        <f ca="1">IFERROR(C968*D968*_xlfn.XLOOKUP(B968,TabCalc[Ticker],TabCalc[Scale]),0)</f>
        <v>0</v>
      </c>
      <c r="F968" s="1129" cm="1">
        <f t="array" ref="F968">IF(A968=A967,0,SUM(_xlfn._xlws.FILTER(E968:E978,A968:A978=A968)))</f>
        <v>0</v>
      </c>
      <c r="G968" s="1130">
        <f>IF(F968&lt;&gt;0,SUM($F$43:F968),0)</f>
        <v>0</v>
      </c>
      <c r="H968" s="1130" cm="1">
        <f t="array" ref="H968">IFERROR(IF(A968=A967,0,SUM(_xlfn._xlws.FILTER(E968:E978,(A968:A978=A968)*(E968:E978&gt;0)))),0)</f>
        <v>0</v>
      </c>
      <c r="I968" s="1130" cm="1">
        <f t="array" ref="I968">IFERROR(IF(A968=A967,0,SUM(_xlfn._xlws.FILTER(E968:E978,(A968:A978=A968)*(F968&lt;0)))),0)</f>
        <v>0</v>
      </c>
      <c r="J968" s="295" t="str">
        <f ca="1">IFERROR(_xlfn.XLOOKUP(B968,TabCalc[Ticker],TabCalc[Cur]),"")</f>
        <v/>
      </c>
      <c r="K968" s="1129" cm="1">
        <f t="array" ref="K968">IFERROR(IF($A968=$A967,0,SUM(_xlfn._xlws.FILTER($E968:$E978,($A968:$A978=$A968)*($J968:$J978=K$42)))),0)</f>
        <v>0</v>
      </c>
      <c r="L968" s="1129" cm="1">
        <f t="array" ref="L968">IFERROR(IF($A968=$A967,0,SUM(_xlfn._xlws.FILTER($E968:$E978,($A968:$A978=$A968)*($J968:$J978=L$42)))),0)</f>
        <v>0</v>
      </c>
      <c r="M968" s="1129" cm="1">
        <f t="array" ref="M968">IFERROR(IF($A968=$A967,0,SUM(_xlfn._xlws.FILTER($E968:$E978,($A968:$A978=$A968)*($J968:$J978=M$42)))),0)</f>
        <v>0</v>
      </c>
      <c r="N968" s="1129" cm="1">
        <f t="array" ref="N968">IFERROR(IF($A968=$A967,0,SUM(_xlfn._xlws.FILTER($E968:$E978,($A968:$A978=$A968)*($J968:$J978=N$42)))),0)</f>
        <v>0</v>
      </c>
    </row>
    <row r="969" spans="5:14">
      <c r="E969" s="1128">
        <f ca="1">IFERROR(C969*D969*_xlfn.XLOOKUP(B969,TabCalc[Ticker],TabCalc[Scale]),0)</f>
        <v>0</v>
      </c>
      <c r="F969" s="1129" cm="1">
        <f t="array" ref="F969">IF(A969=A968,0,SUM(_xlfn._xlws.FILTER(E969:E979,A969:A979=A969)))</f>
        <v>0</v>
      </c>
      <c r="G969" s="1130">
        <f>IF(F969&lt;&gt;0,SUM($F$43:F969),0)</f>
        <v>0</v>
      </c>
      <c r="H969" s="1130" cm="1">
        <f t="array" ref="H969">IFERROR(IF(A969=A968,0,SUM(_xlfn._xlws.FILTER(E969:E979,(A969:A979=A969)*(E969:E979&gt;0)))),0)</f>
        <v>0</v>
      </c>
      <c r="I969" s="1130" cm="1">
        <f t="array" ref="I969">IFERROR(IF(A969=A968,0,SUM(_xlfn._xlws.FILTER(E969:E979,(A969:A979=A969)*(F969&lt;0)))),0)</f>
        <v>0</v>
      </c>
      <c r="J969" s="295" t="str">
        <f ca="1">IFERROR(_xlfn.XLOOKUP(B969,TabCalc[Ticker],TabCalc[Cur]),"")</f>
        <v/>
      </c>
      <c r="K969" s="1129" cm="1">
        <f t="array" ref="K969">IFERROR(IF($A969=$A968,0,SUM(_xlfn._xlws.FILTER($E969:$E979,($A969:$A979=$A969)*($J969:$J979=K$42)))),0)</f>
        <v>0</v>
      </c>
      <c r="L969" s="1129" cm="1">
        <f t="array" ref="L969">IFERROR(IF($A969=$A968,0,SUM(_xlfn._xlws.FILTER($E969:$E979,($A969:$A979=$A969)*($J969:$J979=L$42)))),0)</f>
        <v>0</v>
      </c>
      <c r="M969" s="1129" cm="1">
        <f t="array" ref="M969">IFERROR(IF($A969=$A968,0,SUM(_xlfn._xlws.FILTER($E969:$E979,($A969:$A979=$A969)*($J969:$J979=M$42)))),0)</f>
        <v>0</v>
      </c>
      <c r="N969" s="1129" cm="1">
        <f t="array" ref="N969">IFERROR(IF($A969=$A968,0,SUM(_xlfn._xlws.FILTER($E969:$E979,($A969:$A979=$A969)*($J969:$J979=N$42)))),0)</f>
        <v>0</v>
      </c>
    </row>
    <row r="970" spans="5:14">
      <c r="E970" s="1128">
        <f ca="1">IFERROR(C970*D970*_xlfn.XLOOKUP(B970,TabCalc[Ticker],TabCalc[Scale]),0)</f>
        <v>0</v>
      </c>
      <c r="F970" s="1129" cm="1">
        <f t="array" ref="F970">IF(A970=A969,0,SUM(_xlfn._xlws.FILTER(E970:E980,A970:A980=A970)))</f>
        <v>0</v>
      </c>
      <c r="G970" s="1130">
        <f>IF(F970&lt;&gt;0,SUM($F$43:F970),0)</f>
        <v>0</v>
      </c>
      <c r="H970" s="1130" cm="1">
        <f t="array" ref="H970">IFERROR(IF(A970=A969,0,SUM(_xlfn._xlws.FILTER(E970:E980,(A970:A980=A970)*(E970:E980&gt;0)))),0)</f>
        <v>0</v>
      </c>
      <c r="I970" s="1130" cm="1">
        <f t="array" ref="I970">IFERROR(IF(A970=A969,0,SUM(_xlfn._xlws.FILTER(E970:E980,(A970:A980=A970)*(F970&lt;0)))),0)</f>
        <v>0</v>
      </c>
      <c r="J970" s="295" t="str">
        <f ca="1">IFERROR(_xlfn.XLOOKUP(B970,TabCalc[Ticker],TabCalc[Cur]),"")</f>
        <v/>
      </c>
      <c r="K970" s="1129" cm="1">
        <f t="array" ref="K970">IFERROR(IF($A970=$A969,0,SUM(_xlfn._xlws.FILTER($E970:$E980,($A970:$A980=$A970)*($J970:$J980=K$42)))),0)</f>
        <v>0</v>
      </c>
      <c r="L970" s="1129" cm="1">
        <f t="array" ref="L970">IFERROR(IF($A970=$A969,0,SUM(_xlfn._xlws.FILTER($E970:$E980,($A970:$A980=$A970)*($J970:$J980=L$42)))),0)</f>
        <v>0</v>
      </c>
      <c r="M970" s="1129" cm="1">
        <f t="array" ref="M970">IFERROR(IF($A970=$A969,0,SUM(_xlfn._xlws.FILTER($E970:$E980,($A970:$A980=$A970)*($J970:$J980=M$42)))),0)</f>
        <v>0</v>
      </c>
      <c r="N970" s="1129" cm="1">
        <f t="array" ref="N970">IFERROR(IF($A970=$A969,0,SUM(_xlfn._xlws.FILTER($E970:$E980,($A970:$A980=$A970)*($J970:$J980=N$42)))),0)</f>
        <v>0</v>
      </c>
    </row>
    <row r="971" spans="5:14">
      <c r="E971" s="1128">
        <f ca="1">IFERROR(C971*D971*_xlfn.XLOOKUP(B971,TabCalc[Ticker],TabCalc[Scale]),0)</f>
        <v>0</v>
      </c>
      <c r="F971" s="1129" cm="1">
        <f t="array" ref="F971">IF(A971=A970,0,SUM(_xlfn._xlws.FILTER(E971:E981,A971:A981=A971)))</f>
        <v>0</v>
      </c>
      <c r="G971" s="1130">
        <f>IF(F971&lt;&gt;0,SUM($F$43:F971),0)</f>
        <v>0</v>
      </c>
      <c r="H971" s="1130" cm="1">
        <f t="array" ref="H971">IFERROR(IF(A971=A970,0,SUM(_xlfn._xlws.FILTER(E971:E981,(A971:A981=A971)*(E971:E981&gt;0)))),0)</f>
        <v>0</v>
      </c>
      <c r="I971" s="1130" cm="1">
        <f t="array" ref="I971">IFERROR(IF(A971=A970,0,SUM(_xlfn._xlws.FILTER(E971:E981,(A971:A981=A971)*(F971&lt;0)))),0)</f>
        <v>0</v>
      </c>
      <c r="J971" s="295" t="str">
        <f ca="1">IFERROR(_xlfn.XLOOKUP(B971,TabCalc[Ticker],TabCalc[Cur]),"")</f>
        <v/>
      </c>
      <c r="K971" s="1129" cm="1">
        <f t="array" ref="K971">IFERROR(IF($A971=$A970,0,SUM(_xlfn._xlws.FILTER($E971:$E981,($A971:$A981=$A971)*($J971:$J981=K$42)))),0)</f>
        <v>0</v>
      </c>
      <c r="L971" s="1129" cm="1">
        <f t="array" ref="L971">IFERROR(IF($A971=$A970,0,SUM(_xlfn._xlws.FILTER($E971:$E981,($A971:$A981=$A971)*($J971:$J981=L$42)))),0)</f>
        <v>0</v>
      </c>
      <c r="M971" s="1129" cm="1">
        <f t="array" ref="M971">IFERROR(IF($A971=$A970,0,SUM(_xlfn._xlws.FILTER($E971:$E981,($A971:$A981=$A971)*($J971:$J981=M$42)))),0)</f>
        <v>0</v>
      </c>
      <c r="N971" s="1129" cm="1">
        <f t="array" ref="N971">IFERROR(IF($A971=$A970,0,SUM(_xlfn._xlws.FILTER($E971:$E981,($A971:$A981=$A971)*($J971:$J981=N$42)))),0)</f>
        <v>0</v>
      </c>
    </row>
    <row r="972" spans="5:14">
      <c r="E972" s="1128">
        <f ca="1">IFERROR(C972*D972*_xlfn.XLOOKUP(B972,TabCalc[Ticker],TabCalc[Scale]),0)</f>
        <v>0</v>
      </c>
      <c r="F972" s="1129" cm="1">
        <f t="array" ref="F972">IF(A972=A971,0,SUM(_xlfn._xlws.FILTER(E972:E982,A972:A982=A972)))</f>
        <v>0</v>
      </c>
      <c r="G972" s="1130">
        <f>IF(F972&lt;&gt;0,SUM($F$43:F972),0)</f>
        <v>0</v>
      </c>
      <c r="H972" s="1130" cm="1">
        <f t="array" ref="H972">IFERROR(IF(A972=A971,0,SUM(_xlfn._xlws.FILTER(E972:E982,(A972:A982=A972)*(E972:E982&gt;0)))),0)</f>
        <v>0</v>
      </c>
      <c r="I972" s="1130" cm="1">
        <f t="array" ref="I972">IFERROR(IF(A972=A971,0,SUM(_xlfn._xlws.FILTER(E972:E982,(A972:A982=A972)*(F972&lt;0)))),0)</f>
        <v>0</v>
      </c>
      <c r="J972" s="295" t="str">
        <f ca="1">IFERROR(_xlfn.XLOOKUP(B972,TabCalc[Ticker],TabCalc[Cur]),"")</f>
        <v/>
      </c>
      <c r="K972" s="1129" cm="1">
        <f t="array" ref="K972">IFERROR(IF($A972=$A971,0,SUM(_xlfn._xlws.FILTER($E972:$E982,($A972:$A982=$A972)*($J972:$J982=K$42)))),0)</f>
        <v>0</v>
      </c>
      <c r="L972" s="1129" cm="1">
        <f t="array" ref="L972">IFERROR(IF($A972=$A971,0,SUM(_xlfn._xlws.FILTER($E972:$E982,($A972:$A982=$A972)*($J972:$J982=L$42)))),0)</f>
        <v>0</v>
      </c>
      <c r="M972" s="1129" cm="1">
        <f t="array" ref="M972">IFERROR(IF($A972=$A971,0,SUM(_xlfn._xlws.FILTER($E972:$E982,($A972:$A982=$A972)*($J972:$J982=M$42)))),0)</f>
        <v>0</v>
      </c>
      <c r="N972" s="1129" cm="1">
        <f t="array" ref="N972">IFERROR(IF($A972=$A971,0,SUM(_xlfn._xlws.FILTER($E972:$E982,($A972:$A982=$A972)*($J972:$J982=N$42)))),0)</f>
        <v>0</v>
      </c>
    </row>
    <row r="973" spans="5:14">
      <c r="E973" s="1128">
        <f ca="1">IFERROR(C973*D973*_xlfn.XLOOKUP(B973,TabCalc[Ticker],TabCalc[Scale]),0)</f>
        <v>0</v>
      </c>
      <c r="F973" s="1129" cm="1">
        <f t="array" ref="F973">IF(A973=A972,0,SUM(_xlfn._xlws.FILTER(E973:E983,A973:A983=A973)))</f>
        <v>0</v>
      </c>
      <c r="G973" s="1130">
        <f>IF(F973&lt;&gt;0,SUM($F$43:F973),0)</f>
        <v>0</v>
      </c>
      <c r="H973" s="1130" cm="1">
        <f t="array" ref="H973">IFERROR(IF(A973=A972,0,SUM(_xlfn._xlws.FILTER(E973:E983,(A973:A983=A973)*(E973:E983&gt;0)))),0)</f>
        <v>0</v>
      </c>
      <c r="I973" s="1130" cm="1">
        <f t="array" ref="I973">IFERROR(IF(A973=A972,0,SUM(_xlfn._xlws.FILTER(E973:E983,(A973:A983=A973)*(F973&lt;0)))),0)</f>
        <v>0</v>
      </c>
      <c r="J973" s="295" t="str">
        <f ca="1">IFERROR(_xlfn.XLOOKUP(B973,TabCalc[Ticker],TabCalc[Cur]),"")</f>
        <v/>
      </c>
      <c r="K973" s="1129" cm="1">
        <f t="array" ref="K973">IFERROR(IF($A973=$A972,0,SUM(_xlfn._xlws.FILTER($E973:$E983,($A973:$A983=$A973)*($J973:$J983=K$42)))),0)</f>
        <v>0</v>
      </c>
      <c r="L973" s="1129" cm="1">
        <f t="array" ref="L973">IFERROR(IF($A973=$A972,0,SUM(_xlfn._xlws.FILTER($E973:$E983,($A973:$A983=$A973)*($J973:$J983=L$42)))),0)</f>
        <v>0</v>
      </c>
      <c r="M973" s="1129" cm="1">
        <f t="array" ref="M973">IFERROR(IF($A973=$A972,0,SUM(_xlfn._xlws.FILTER($E973:$E983,($A973:$A983=$A973)*($J973:$J983=M$42)))),0)</f>
        <v>0</v>
      </c>
      <c r="N973" s="1129" cm="1">
        <f t="array" ref="N973">IFERROR(IF($A973=$A972,0,SUM(_xlfn._xlws.FILTER($E973:$E983,($A973:$A983=$A973)*($J973:$J983=N$42)))),0)</f>
        <v>0</v>
      </c>
    </row>
    <row r="974" spans="5:14">
      <c r="E974" s="1128">
        <f ca="1">IFERROR(C974*D974*_xlfn.XLOOKUP(B974,TabCalc[Ticker],TabCalc[Scale]),0)</f>
        <v>0</v>
      </c>
      <c r="F974" s="1129" cm="1">
        <f t="array" ref="F974">IF(A974=A973,0,SUM(_xlfn._xlws.FILTER(E974:E984,A974:A984=A974)))</f>
        <v>0</v>
      </c>
      <c r="G974" s="1130">
        <f>IF(F974&lt;&gt;0,SUM($F$43:F974),0)</f>
        <v>0</v>
      </c>
      <c r="H974" s="1130" cm="1">
        <f t="array" ref="H974">IFERROR(IF(A974=A973,0,SUM(_xlfn._xlws.FILTER(E974:E984,(A974:A984=A974)*(E974:E984&gt;0)))),0)</f>
        <v>0</v>
      </c>
      <c r="I974" s="1130" cm="1">
        <f t="array" ref="I974">IFERROR(IF(A974=A973,0,SUM(_xlfn._xlws.FILTER(E974:E984,(A974:A984=A974)*(F974&lt;0)))),0)</f>
        <v>0</v>
      </c>
      <c r="J974" s="295" t="str">
        <f ca="1">IFERROR(_xlfn.XLOOKUP(B974,TabCalc[Ticker],TabCalc[Cur]),"")</f>
        <v/>
      </c>
      <c r="K974" s="1129" cm="1">
        <f t="array" ref="K974">IFERROR(IF($A974=$A973,0,SUM(_xlfn._xlws.FILTER($E974:$E984,($A974:$A984=$A974)*($J974:$J984=K$42)))),0)</f>
        <v>0</v>
      </c>
      <c r="L974" s="1129" cm="1">
        <f t="array" ref="L974">IFERROR(IF($A974=$A973,0,SUM(_xlfn._xlws.FILTER($E974:$E984,($A974:$A984=$A974)*($J974:$J984=L$42)))),0)</f>
        <v>0</v>
      </c>
      <c r="M974" s="1129" cm="1">
        <f t="array" ref="M974">IFERROR(IF($A974=$A973,0,SUM(_xlfn._xlws.FILTER($E974:$E984,($A974:$A984=$A974)*($J974:$J984=M$42)))),0)</f>
        <v>0</v>
      </c>
      <c r="N974" s="1129" cm="1">
        <f t="array" ref="N974">IFERROR(IF($A974=$A973,0,SUM(_xlfn._xlws.FILTER($E974:$E984,($A974:$A984=$A974)*($J974:$J984=N$42)))),0)</f>
        <v>0</v>
      </c>
    </row>
    <row r="975" spans="5:14">
      <c r="E975" s="1128">
        <f ca="1">IFERROR(C975*D975*_xlfn.XLOOKUP(B975,TabCalc[Ticker],TabCalc[Scale]),0)</f>
        <v>0</v>
      </c>
      <c r="F975" s="1129" cm="1">
        <f t="array" ref="F975">IF(A975=A974,0,SUM(_xlfn._xlws.FILTER(E975:E985,A975:A985=A975)))</f>
        <v>0</v>
      </c>
      <c r="G975" s="1130">
        <f>IF(F975&lt;&gt;0,SUM($F$43:F975),0)</f>
        <v>0</v>
      </c>
      <c r="H975" s="1130" cm="1">
        <f t="array" ref="H975">IFERROR(IF(A975=A974,0,SUM(_xlfn._xlws.FILTER(E975:E985,(A975:A985=A975)*(E975:E985&gt;0)))),0)</f>
        <v>0</v>
      </c>
      <c r="I975" s="1130" cm="1">
        <f t="array" ref="I975">IFERROR(IF(A975=A974,0,SUM(_xlfn._xlws.FILTER(E975:E985,(A975:A985=A975)*(F975&lt;0)))),0)</f>
        <v>0</v>
      </c>
      <c r="J975" s="295" t="str">
        <f ca="1">IFERROR(_xlfn.XLOOKUP(B975,TabCalc[Ticker],TabCalc[Cur]),"")</f>
        <v/>
      </c>
      <c r="K975" s="1129" cm="1">
        <f t="array" ref="K975">IFERROR(IF($A975=$A974,0,SUM(_xlfn._xlws.FILTER($E975:$E985,($A975:$A985=$A975)*($J975:$J985=K$42)))),0)</f>
        <v>0</v>
      </c>
      <c r="L975" s="1129" cm="1">
        <f t="array" ref="L975">IFERROR(IF($A975=$A974,0,SUM(_xlfn._xlws.FILTER($E975:$E985,($A975:$A985=$A975)*($J975:$J985=L$42)))),0)</f>
        <v>0</v>
      </c>
      <c r="M975" s="1129" cm="1">
        <f t="array" ref="M975">IFERROR(IF($A975=$A974,0,SUM(_xlfn._xlws.FILTER($E975:$E985,($A975:$A985=$A975)*($J975:$J985=M$42)))),0)</f>
        <v>0</v>
      </c>
      <c r="N975" s="1129" cm="1">
        <f t="array" ref="N975">IFERROR(IF($A975=$A974,0,SUM(_xlfn._xlws.FILTER($E975:$E985,($A975:$A985=$A975)*($J975:$J985=N$42)))),0)</f>
        <v>0</v>
      </c>
    </row>
    <row r="976" spans="5:14">
      <c r="E976" s="1128">
        <f ca="1">IFERROR(C976*D976*_xlfn.XLOOKUP(B976,TabCalc[Ticker],TabCalc[Scale]),0)</f>
        <v>0</v>
      </c>
      <c r="F976" s="1129" cm="1">
        <f t="array" ref="F976">IF(A976=A975,0,SUM(_xlfn._xlws.FILTER(E976:E986,A976:A986=A976)))</f>
        <v>0</v>
      </c>
      <c r="G976" s="1130">
        <f>IF(F976&lt;&gt;0,SUM($F$43:F976),0)</f>
        <v>0</v>
      </c>
      <c r="H976" s="1130" cm="1">
        <f t="array" ref="H976">IFERROR(IF(A976=A975,0,SUM(_xlfn._xlws.FILTER(E976:E986,(A976:A986=A976)*(E976:E986&gt;0)))),0)</f>
        <v>0</v>
      </c>
      <c r="I976" s="1130" cm="1">
        <f t="array" ref="I976">IFERROR(IF(A976=A975,0,SUM(_xlfn._xlws.FILTER(E976:E986,(A976:A986=A976)*(F976&lt;0)))),0)</f>
        <v>0</v>
      </c>
      <c r="J976" s="295" t="str">
        <f ca="1">IFERROR(_xlfn.XLOOKUP(B976,TabCalc[Ticker],TabCalc[Cur]),"")</f>
        <v/>
      </c>
      <c r="K976" s="1129" cm="1">
        <f t="array" ref="K976">IFERROR(IF($A976=$A975,0,SUM(_xlfn._xlws.FILTER($E976:$E986,($A976:$A986=$A976)*($J976:$J986=K$42)))),0)</f>
        <v>0</v>
      </c>
      <c r="L976" s="1129" cm="1">
        <f t="array" ref="L976">IFERROR(IF($A976=$A975,0,SUM(_xlfn._xlws.FILTER($E976:$E986,($A976:$A986=$A976)*($J976:$J986=L$42)))),0)</f>
        <v>0</v>
      </c>
      <c r="M976" s="1129" cm="1">
        <f t="array" ref="M976">IFERROR(IF($A976=$A975,0,SUM(_xlfn._xlws.FILTER($E976:$E986,($A976:$A986=$A976)*($J976:$J986=M$42)))),0)</f>
        <v>0</v>
      </c>
      <c r="N976" s="1129" cm="1">
        <f t="array" ref="N976">IFERROR(IF($A976=$A975,0,SUM(_xlfn._xlws.FILTER($E976:$E986,($A976:$A986=$A976)*($J976:$J986=N$42)))),0)</f>
        <v>0</v>
      </c>
    </row>
    <row r="977" spans="5:14">
      <c r="E977" s="1128">
        <f ca="1">IFERROR(C977*D977*_xlfn.XLOOKUP(B977,TabCalc[Ticker],TabCalc[Scale]),0)</f>
        <v>0</v>
      </c>
      <c r="F977" s="1129" cm="1">
        <f t="array" ref="F977">IF(A977=A976,0,SUM(_xlfn._xlws.FILTER(E977:E987,A977:A987=A977)))</f>
        <v>0</v>
      </c>
      <c r="G977" s="1130">
        <f>IF(F977&lt;&gt;0,SUM($F$43:F977),0)</f>
        <v>0</v>
      </c>
      <c r="H977" s="1130" cm="1">
        <f t="array" ref="H977">IFERROR(IF(A977=A976,0,SUM(_xlfn._xlws.FILTER(E977:E987,(A977:A987=A977)*(E977:E987&gt;0)))),0)</f>
        <v>0</v>
      </c>
      <c r="I977" s="1130" cm="1">
        <f t="array" ref="I977">IFERROR(IF(A977=A976,0,SUM(_xlfn._xlws.FILTER(E977:E987,(A977:A987=A977)*(F977&lt;0)))),0)</f>
        <v>0</v>
      </c>
      <c r="J977" s="295" t="str">
        <f ca="1">IFERROR(_xlfn.XLOOKUP(B977,TabCalc[Ticker],TabCalc[Cur]),"")</f>
        <v/>
      </c>
      <c r="K977" s="1129" cm="1">
        <f t="array" ref="K977">IFERROR(IF($A977=$A976,0,SUM(_xlfn._xlws.FILTER($E977:$E987,($A977:$A987=$A977)*($J977:$J987=K$42)))),0)</f>
        <v>0</v>
      </c>
      <c r="L977" s="1129" cm="1">
        <f t="array" ref="L977">IFERROR(IF($A977=$A976,0,SUM(_xlfn._xlws.FILTER($E977:$E987,($A977:$A987=$A977)*($J977:$J987=L$42)))),0)</f>
        <v>0</v>
      </c>
      <c r="M977" s="1129" cm="1">
        <f t="array" ref="M977">IFERROR(IF($A977=$A976,0,SUM(_xlfn._xlws.FILTER($E977:$E987,($A977:$A987=$A977)*($J977:$J987=M$42)))),0)</f>
        <v>0</v>
      </c>
      <c r="N977" s="1129" cm="1">
        <f t="array" ref="N977">IFERROR(IF($A977=$A976,0,SUM(_xlfn._xlws.FILTER($E977:$E987,($A977:$A987=$A977)*($J977:$J987=N$42)))),0)</f>
        <v>0</v>
      </c>
    </row>
    <row r="978" spans="5:14">
      <c r="E978" s="1128">
        <f ca="1">IFERROR(C978*D978*_xlfn.XLOOKUP(B978,TabCalc[Ticker],TabCalc[Scale]),0)</f>
        <v>0</v>
      </c>
      <c r="F978" s="1129" cm="1">
        <f t="array" ref="F978">IF(A978=A977,0,SUM(_xlfn._xlws.FILTER(E978:E988,A978:A988=A978)))</f>
        <v>0</v>
      </c>
      <c r="G978" s="1130">
        <f>IF(F978&lt;&gt;0,SUM($F$43:F978),0)</f>
        <v>0</v>
      </c>
      <c r="H978" s="1130" cm="1">
        <f t="array" ref="H978">IFERROR(IF(A978=A977,0,SUM(_xlfn._xlws.FILTER(E978:E988,(A978:A988=A978)*(E978:E988&gt;0)))),0)</f>
        <v>0</v>
      </c>
      <c r="I978" s="1130" cm="1">
        <f t="array" ref="I978">IFERROR(IF(A978=A977,0,SUM(_xlfn._xlws.FILTER(E978:E988,(A978:A988=A978)*(F978&lt;0)))),0)</f>
        <v>0</v>
      </c>
      <c r="J978" s="295" t="str">
        <f ca="1">IFERROR(_xlfn.XLOOKUP(B978,TabCalc[Ticker],TabCalc[Cur]),"")</f>
        <v/>
      </c>
      <c r="K978" s="1129" cm="1">
        <f t="array" ref="K978">IFERROR(IF($A978=$A977,0,SUM(_xlfn._xlws.FILTER($E978:$E988,($A978:$A988=$A978)*($J978:$J988=K$42)))),0)</f>
        <v>0</v>
      </c>
      <c r="L978" s="1129" cm="1">
        <f t="array" ref="L978">IFERROR(IF($A978=$A977,0,SUM(_xlfn._xlws.FILTER($E978:$E988,($A978:$A988=$A978)*($J978:$J988=L$42)))),0)</f>
        <v>0</v>
      </c>
      <c r="M978" s="1129" cm="1">
        <f t="array" ref="M978">IFERROR(IF($A978=$A977,0,SUM(_xlfn._xlws.FILTER($E978:$E988,($A978:$A988=$A978)*($J978:$J988=M$42)))),0)</f>
        <v>0</v>
      </c>
      <c r="N978" s="1129" cm="1">
        <f t="array" ref="N978">IFERROR(IF($A978=$A977,0,SUM(_xlfn._xlws.FILTER($E978:$E988,($A978:$A988=$A978)*($J978:$J988=N$42)))),0)</f>
        <v>0</v>
      </c>
    </row>
    <row r="979" spans="5:14">
      <c r="E979" s="1128">
        <f ca="1">IFERROR(C979*D979*_xlfn.XLOOKUP(B979,TabCalc[Ticker],TabCalc[Scale]),0)</f>
        <v>0</v>
      </c>
      <c r="F979" s="1129" cm="1">
        <f t="array" ref="F979">IF(A979=A978,0,SUM(_xlfn._xlws.FILTER(E979:E989,A979:A989=A979)))</f>
        <v>0</v>
      </c>
      <c r="G979" s="1130">
        <f>IF(F979&lt;&gt;0,SUM($F$43:F979),0)</f>
        <v>0</v>
      </c>
      <c r="H979" s="1130" cm="1">
        <f t="array" ref="H979">IFERROR(IF(A979=A978,0,SUM(_xlfn._xlws.FILTER(E979:E989,(A979:A989=A979)*(E979:E989&gt;0)))),0)</f>
        <v>0</v>
      </c>
      <c r="I979" s="1130" cm="1">
        <f t="array" ref="I979">IFERROR(IF(A979=A978,0,SUM(_xlfn._xlws.FILTER(E979:E989,(A979:A989=A979)*(F979&lt;0)))),0)</f>
        <v>0</v>
      </c>
      <c r="J979" s="295" t="str">
        <f ca="1">IFERROR(_xlfn.XLOOKUP(B979,TabCalc[Ticker],TabCalc[Cur]),"")</f>
        <v/>
      </c>
      <c r="K979" s="1129" cm="1">
        <f t="array" ref="K979">IFERROR(IF($A979=$A978,0,SUM(_xlfn._xlws.FILTER($E979:$E989,($A979:$A989=$A979)*($J979:$J989=K$42)))),0)</f>
        <v>0</v>
      </c>
      <c r="L979" s="1129" cm="1">
        <f t="array" ref="L979">IFERROR(IF($A979=$A978,0,SUM(_xlfn._xlws.FILTER($E979:$E989,($A979:$A989=$A979)*($J979:$J989=L$42)))),0)</f>
        <v>0</v>
      </c>
      <c r="M979" s="1129" cm="1">
        <f t="array" ref="M979">IFERROR(IF($A979=$A978,0,SUM(_xlfn._xlws.FILTER($E979:$E989,($A979:$A989=$A979)*($J979:$J989=M$42)))),0)</f>
        <v>0</v>
      </c>
      <c r="N979" s="1129" cm="1">
        <f t="array" ref="N979">IFERROR(IF($A979=$A978,0,SUM(_xlfn._xlws.FILTER($E979:$E989,($A979:$A989=$A979)*($J979:$J989=N$42)))),0)</f>
        <v>0</v>
      </c>
    </row>
    <row r="980" spans="5:14">
      <c r="E980" s="1128">
        <f ca="1">IFERROR(C980*D980*_xlfn.XLOOKUP(B980,TabCalc[Ticker],TabCalc[Scale]),0)</f>
        <v>0</v>
      </c>
      <c r="F980" s="1129" cm="1">
        <f t="array" ref="F980">IF(A980=A979,0,SUM(_xlfn._xlws.FILTER(E980:E990,A980:A990=A980)))</f>
        <v>0</v>
      </c>
      <c r="G980" s="1130">
        <f>IF(F980&lt;&gt;0,SUM($F$43:F980),0)</f>
        <v>0</v>
      </c>
      <c r="H980" s="1130" cm="1">
        <f t="array" ref="H980">IFERROR(IF(A980=A979,0,SUM(_xlfn._xlws.FILTER(E980:E990,(A980:A990=A980)*(E980:E990&gt;0)))),0)</f>
        <v>0</v>
      </c>
      <c r="I980" s="1130" cm="1">
        <f t="array" ref="I980">IFERROR(IF(A980=A979,0,SUM(_xlfn._xlws.FILTER(E980:E990,(A980:A990=A980)*(F980&lt;0)))),0)</f>
        <v>0</v>
      </c>
      <c r="J980" s="295" t="str">
        <f ca="1">IFERROR(_xlfn.XLOOKUP(B980,TabCalc[Ticker],TabCalc[Cur]),"")</f>
        <v/>
      </c>
      <c r="K980" s="1129" cm="1">
        <f t="array" ref="K980">IFERROR(IF($A980=$A979,0,SUM(_xlfn._xlws.FILTER($E980:$E990,($A980:$A990=$A980)*($J980:$J990=K$42)))),0)</f>
        <v>0</v>
      </c>
      <c r="L980" s="1129" cm="1">
        <f t="array" ref="L980">IFERROR(IF($A980=$A979,0,SUM(_xlfn._xlws.FILTER($E980:$E990,($A980:$A990=$A980)*($J980:$J990=L$42)))),0)</f>
        <v>0</v>
      </c>
      <c r="M980" s="1129" cm="1">
        <f t="array" ref="M980">IFERROR(IF($A980=$A979,0,SUM(_xlfn._xlws.FILTER($E980:$E990,($A980:$A990=$A980)*($J980:$J990=M$42)))),0)</f>
        <v>0</v>
      </c>
      <c r="N980" s="1129" cm="1">
        <f t="array" ref="N980">IFERROR(IF($A980=$A979,0,SUM(_xlfn._xlws.FILTER($E980:$E990,($A980:$A990=$A980)*($J980:$J990=N$42)))),0)</f>
        <v>0</v>
      </c>
    </row>
    <row r="981" spans="5:14">
      <c r="E981" s="1128">
        <f ca="1">IFERROR(C981*D981*_xlfn.XLOOKUP(B981,TabCalc[Ticker],TabCalc[Scale]),0)</f>
        <v>0</v>
      </c>
      <c r="F981" s="1129" cm="1">
        <f t="array" ref="F981">IF(A981=A980,0,SUM(_xlfn._xlws.FILTER(E981:E991,A981:A991=A981)))</f>
        <v>0</v>
      </c>
      <c r="G981" s="1130">
        <f>IF(F981&lt;&gt;0,SUM($F$43:F981),0)</f>
        <v>0</v>
      </c>
      <c r="H981" s="1130" cm="1">
        <f t="array" ref="H981">IFERROR(IF(A981=A980,0,SUM(_xlfn._xlws.FILTER(E981:E991,(A981:A991=A981)*(E981:E991&gt;0)))),0)</f>
        <v>0</v>
      </c>
      <c r="I981" s="1130" cm="1">
        <f t="array" ref="I981">IFERROR(IF(A981=A980,0,SUM(_xlfn._xlws.FILTER(E981:E991,(A981:A991=A981)*(F981&lt;0)))),0)</f>
        <v>0</v>
      </c>
      <c r="J981" s="295" t="str">
        <f ca="1">IFERROR(_xlfn.XLOOKUP(B981,TabCalc[Ticker],TabCalc[Cur]),"")</f>
        <v/>
      </c>
      <c r="K981" s="1129" cm="1">
        <f t="array" ref="K981">IFERROR(IF($A981=$A980,0,SUM(_xlfn._xlws.FILTER($E981:$E991,($A981:$A991=$A981)*($J981:$J991=K$42)))),0)</f>
        <v>0</v>
      </c>
      <c r="L981" s="1129" cm="1">
        <f t="array" ref="L981">IFERROR(IF($A981=$A980,0,SUM(_xlfn._xlws.FILTER($E981:$E991,($A981:$A991=$A981)*($J981:$J991=L$42)))),0)</f>
        <v>0</v>
      </c>
      <c r="M981" s="1129" cm="1">
        <f t="array" ref="M981">IFERROR(IF($A981=$A980,0,SUM(_xlfn._xlws.FILTER($E981:$E991,($A981:$A991=$A981)*($J981:$J991=M$42)))),0)</f>
        <v>0</v>
      </c>
      <c r="N981" s="1129" cm="1">
        <f t="array" ref="N981">IFERROR(IF($A981=$A980,0,SUM(_xlfn._xlws.FILTER($E981:$E991,($A981:$A991=$A981)*($J981:$J991=N$42)))),0)</f>
        <v>0</v>
      </c>
    </row>
    <row r="982" spans="5:14">
      <c r="E982" s="1128">
        <f ca="1">IFERROR(C982*D982*_xlfn.XLOOKUP(B982,TabCalc[Ticker],TabCalc[Scale]),0)</f>
        <v>0</v>
      </c>
      <c r="F982" s="1129" cm="1">
        <f t="array" ref="F982">IF(A982=A981,0,SUM(_xlfn._xlws.FILTER(E982:E992,A982:A992=A982)))</f>
        <v>0</v>
      </c>
      <c r="G982" s="1130">
        <f>IF(F982&lt;&gt;0,SUM($F$43:F982),0)</f>
        <v>0</v>
      </c>
      <c r="H982" s="1130" cm="1">
        <f t="array" ref="H982">IFERROR(IF(A982=A981,0,SUM(_xlfn._xlws.FILTER(E982:E992,(A982:A992=A982)*(E982:E992&gt;0)))),0)</f>
        <v>0</v>
      </c>
      <c r="I982" s="1130" cm="1">
        <f t="array" ref="I982">IFERROR(IF(A982=A981,0,SUM(_xlfn._xlws.FILTER(E982:E992,(A982:A992=A982)*(F982&lt;0)))),0)</f>
        <v>0</v>
      </c>
      <c r="J982" s="295" t="str">
        <f ca="1">IFERROR(_xlfn.XLOOKUP(B982,TabCalc[Ticker],TabCalc[Cur]),"")</f>
        <v/>
      </c>
      <c r="K982" s="1129" cm="1">
        <f t="array" ref="K982">IFERROR(IF($A982=$A981,0,SUM(_xlfn._xlws.FILTER($E982:$E992,($A982:$A992=$A982)*($J982:$J992=K$42)))),0)</f>
        <v>0</v>
      </c>
      <c r="L982" s="1129" cm="1">
        <f t="array" ref="L982">IFERROR(IF($A982=$A981,0,SUM(_xlfn._xlws.FILTER($E982:$E992,($A982:$A992=$A982)*($J982:$J992=L$42)))),0)</f>
        <v>0</v>
      </c>
      <c r="M982" s="1129" cm="1">
        <f t="array" ref="M982">IFERROR(IF($A982=$A981,0,SUM(_xlfn._xlws.FILTER($E982:$E992,($A982:$A992=$A982)*($J982:$J992=M$42)))),0)</f>
        <v>0</v>
      </c>
      <c r="N982" s="1129" cm="1">
        <f t="array" ref="N982">IFERROR(IF($A982=$A981,0,SUM(_xlfn._xlws.FILTER($E982:$E992,($A982:$A992=$A982)*($J982:$J992=N$42)))),0)</f>
        <v>0</v>
      </c>
    </row>
    <row r="983" spans="5:14">
      <c r="E983" s="1128">
        <f ca="1">IFERROR(C983*D983*_xlfn.XLOOKUP(B983,TabCalc[Ticker],TabCalc[Scale]),0)</f>
        <v>0</v>
      </c>
      <c r="F983" s="1129" cm="1">
        <f t="array" ref="F983">IF(A983=A982,0,SUM(_xlfn._xlws.FILTER(E983:E993,A983:A993=A983)))</f>
        <v>0</v>
      </c>
      <c r="G983" s="1130">
        <f>IF(F983&lt;&gt;0,SUM($F$43:F983),0)</f>
        <v>0</v>
      </c>
      <c r="H983" s="1130" cm="1">
        <f t="array" ref="H983">IFERROR(IF(A983=A982,0,SUM(_xlfn._xlws.FILTER(E983:E993,(A983:A993=A983)*(E983:E993&gt;0)))),0)</f>
        <v>0</v>
      </c>
      <c r="I983" s="1130" cm="1">
        <f t="array" ref="I983">IFERROR(IF(A983=A982,0,SUM(_xlfn._xlws.FILTER(E983:E993,(A983:A993=A983)*(F983&lt;0)))),0)</f>
        <v>0</v>
      </c>
      <c r="J983" s="295" t="str">
        <f ca="1">IFERROR(_xlfn.XLOOKUP(B983,TabCalc[Ticker],TabCalc[Cur]),"")</f>
        <v/>
      </c>
      <c r="K983" s="1129" cm="1">
        <f t="array" ref="K983">IFERROR(IF($A983=$A982,0,SUM(_xlfn._xlws.FILTER($E983:$E993,($A983:$A993=$A983)*($J983:$J993=K$42)))),0)</f>
        <v>0</v>
      </c>
      <c r="L983" s="1129" cm="1">
        <f t="array" ref="L983">IFERROR(IF($A983=$A982,0,SUM(_xlfn._xlws.FILTER($E983:$E993,($A983:$A993=$A983)*($J983:$J993=L$42)))),0)</f>
        <v>0</v>
      </c>
      <c r="M983" s="1129" cm="1">
        <f t="array" ref="M983">IFERROR(IF($A983=$A982,0,SUM(_xlfn._xlws.FILTER($E983:$E993,($A983:$A993=$A983)*($J983:$J993=M$42)))),0)</f>
        <v>0</v>
      </c>
      <c r="N983" s="1129" cm="1">
        <f t="array" ref="N983">IFERROR(IF($A983=$A982,0,SUM(_xlfn._xlws.FILTER($E983:$E993,($A983:$A993=$A983)*($J983:$J993=N$42)))),0)</f>
        <v>0</v>
      </c>
    </row>
    <row r="984" spans="5:14">
      <c r="E984" s="1128">
        <f ca="1">IFERROR(C984*D984*_xlfn.XLOOKUP(B984,TabCalc[Ticker],TabCalc[Scale]),0)</f>
        <v>0</v>
      </c>
      <c r="F984" s="1129" cm="1">
        <f t="array" ref="F984">IF(A984=A983,0,SUM(_xlfn._xlws.FILTER(E984:E994,A984:A994=A984)))</f>
        <v>0</v>
      </c>
      <c r="G984" s="1130">
        <f>IF(F984&lt;&gt;0,SUM($F$43:F984),0)</f>
        <v>0</v>
      </c>
      <c r="H984" s="1130" cm="1">
        <f t="array" ref="H984">IFERROR(IF(A984=A983,0,SUM(_xlfn._xlws.FILTER(E984:E994,(A984:A994=A984)*(E984:E994&gt;0)))),0)</f>
        <v>0</v>
      </c>
      <c r="I984" s="1130" cm="1">
        <f t="array" ref="I984">IFERROR(IF(A984=A983,0,SUM(_xlfn._xlws.FILTER(E984:E994,(A984:A994=A984)*(F984&lt;0)))),0)</f>
        <v>0</v>
      </c>
      <c r="J984" s="295" t="str">
        <f ca="1">IFERROR(_xlfn.XLOOKUP(B984,TabCalc[Ticker],TabCalc[Cur]),"")</f>
        <v/>
      </c>
      <c r="K984" s="1129" cm="1">
        <f t="array" ref="K984">IFERROR(IF($A984=$A983,0,SUM(_xlfn._xlws.FILTER($E984:$E994,($A984:$A994=$A984)*($J984:$J994=K$42)))),0)</f>
        <v>0</v>
      </c>
      <c r="L984" s="1129" cm="1">
        <f t="array" ref="L984">IFERROR(IF($A984=$A983,0,SUM(_xlfn._xlws.FILTER($E984:$E994,($A984:$A994=$A984)*($J984:$J994=L$42)))),0)</f>
        <v>0</v>
      </c>
      <c r="M984" s="1129" cm="1">
        <f t="array" ref="M984">IFERROR(IF($A984=$A983,0,SUM(_xlfn._xlws.FILTER($E984:$E994,($A984:$A994=$A984)*($J984:$J994=M$42)))),0)</f>
        <v>0</v>
      </c>
      <c r="N984" s="1129" cm="1">
        <f t="array" ref="N984">IFERROR(IF($A984=$A983,0,SUM(_xlfn._xlws.FILTER($E984:$E994,($A984:$A994=$A984)*($J984:$J994=N$42)))),0)</f>
        <v>0</v>
      </c>
    </row>
    <row r="985" spans="5:14">
      <c r="E985" s="1128">
        <f ca="1">IFERROR(C985*D985*_xlfn.XLOOKUP(B985,TabCalc[Ticker],TabCalc[Scale]),0)</f>
        <v>0</v>
      </c>
      <c r="F985" s="1129" cm="1">
        <f t="array" ref="F985">IF(A985=A984,0,SUM(_xlfn._xlws.FILTER(E985:E995,A985:A995=A985)))</f>
        <v>0</v>
      </c>
      <c r="G985" s="1130">
        <f>IF(F985&lt;&gt;0,SUM($F$43:F985),0)</f>
        <v>0</v>
      </c>
      <c r="H985" s="1130" cm="1">
        <f t="array" ref="H985">IFERROR(IF(A985=A984,0,SUM(_xlfn._xlws.FILTER(E985:E995,(A985:A995=A985)*(E985:E995&gt;0)))),0)</f>
        <v>0</v>
      </c>
      <c r="I985" s="1130" cm="1">
        <f t="array" ref="I985">IFERROR(IF(A985=A984,0,SUM(_xlfn._xlws.FILTER(E985:E995,(A985:A995=A985)*(F985&lt;0)))),0)</f>
        <v>0</v>
      </c>
      <c r="J985" s="295" t="str">
        <f ca="1">IFERROR(_xlfn.XLOOKUP(B985,TabCalc[Ticker],TabCalc[Cur]),"")</f>
        <v/>
      </c>
      <c r="K985" s="1129" cm="1">
        <f t="array" ref="K985">IFERROR(IF($A985=$A984,0,SUM(_xlfn._xlws.FILTER($E985:$E995,($A985:$A995=$A985)*($J985:$J995=K$42)))),0)</f>
        <v>0</v>
      </c>
      <c r="L985" s="1129" cm="1">
        <f t="array" ref="L985">IFERROR(IF($A985=$A984,0,SUM(_xlfn._xlws.FILTER($E985:$E995,($A985:$A995=$A985)*($J985:$J995=L$42)))),0)</f>
        <v>0</v>
      </c>
      <c r="M985" s="1129" cm="1">
        <f t="array" ref="M985">IFERROR(IF($A985=$A984,0,SUM(_xlfn._xlws.FILTER($E985:$E995,($A985:$A995=$A985)*($J985:$J995=M$42)))),0)</f>
        <v>0</v>
      </c>
      <c r="N985" s="1129" cm="1">
        <f t="array" ref="N985">IFERROR(IF($A985=$A984,0,SUM(_xlfn._xlws.FILTER($E985:$E995,($A985:$A995=$A985)*($J985:$J995=N$42)))),0)</f>
        <v>0</v>
      </c>
    </row>
    <row r="986" spans="5:14">
      <c r="E986" s="1128">
        <f ca="1">IFERROR(C986*D986*_xlfn.XLOOKUP(B986,TabCalc[Ticker],TabCalc[Scale]),0)</f>
        <v>0</v>
      </c>
      <c r="F986" s="1129" cm="1">
        <f t="array" ref="F986">IF(A986=A985,0,SUM(_xlfn._xlws.FILTER(E986:E996,A986:A996=A986)))</f>
        <v>0</v>
      </c>
      <c r="G986" s="1130">
        <f>IF(F986&lt;&gt;0,SUM($F$43:F986),0)</f>
        <v>0</v>
      </c>
      <c r="H986" s="1130" cm="1">
        <f t="array" ref="H986">IFERROR(IF(A986=A985,0,SUM(_xlfn._xlws.FILTER(E986:E996,(A986:A996=A986)*(E986:E996&gt;0)))),0)</f>
        <v>0</v>
      </c>
      <c r="I986" s="1130" cm="1">
        <f t="array" ref="I986">IFERROR(IF(A986=A985,0,SUM(_xlfn._xlws.FILTER(E986:E996,(A986:A996=A986)*(F986&lt;0)))),0)</f>
        <v>0</v>
      </c>
      <c r="J986" s="295" t="str">
        <f ca="1">IFERROR(_xlfn.XLOOKUP(B986,TabCalc[Ticker],TabCalc[Cur]),"")</f>
        <v/>
      </c>
      <c r="K986" s="1129" cm="1">
        <f t="array" ref="K986">IFERROR(IF($A986=$A985,0,SUM(_xlfn._xlws.FILTER($E986:$E996,($A986:$A996=$A986)*($J986:$J996=K$42)))),0)</f>
        <v>0</v>
      </c>
      <c r="L986" s="1129" cm="1">
        <f t="array" ref="L986">IFERROR(IF($A986=$A985,0,SUM(_xlfn._xlws.FILTER($E986:$E996,($A986:$A996=$A986)*($J986:$J996=L$42)))),0)</f>
        <v>0</v>
      </c>
      <c r="M986" s="1129" cm="1">
        <f t="array" ref="M986">IFERROR(IF($A986=$A985,0,SUM(_xlfn._xlws.FILTER($E986:$E996,($A986:$A996=$A986)*($J986:$J996=M$42)))),0)</f>
        <v>0</v>
      </c>
      <c r="N986" s="1129" cm="1">
        <f t="array" ref="N986">IFERROR(IF($A986=$A985,0,SUM(_xlfn._xlws.FILTER($E986:$E996,($A986:$A996=$A986)*($J986:$J996=N$42)))),0)</f>
        <v>0</v>
      </c>
    </row>
    <row r="987" spans="5:14">
      <c r="E987" s="1128">
        <f ca="1">IFERROR(C987*D987*_xlfn.XLOOKUP(B987,TabCalc[Ticker],TabCalc[Scale]),0)</f>
        <v>0</v>
      </c>
      <c r="F987" s="1129" cm="1">
        <f t="array" ref="F987">IF(A987=A986,0,SUM(_xlfn._xlws.FILTER(E987:E997,A987:A997=A987)))</f>
        <v>0</v>
      </c>
      <c r="G987" s="1130">
        <f>IF(F987&lt;&gt;0,SUM($F$43:F987),0)</f>
        <v>0</v>
      </c>
      <c r="H987" s="1130" cm="1">
        <f t="array" ref="H987">IFERROR(IF(A987=A986,0,SUM(_xlfn._xlws.FILTER(E987:E997,(A987:A997=A987)*(E987:E997&gt;0)))),0)</f>
        <v>0</v>
      </c>
      <c r="I987" s="1130" cm="1">
        <f t="array" ref="I987">IFERROR(IF(A987=A986,0,SUM(_xlfn._xlws.FILTER(E987:E997,(A987:A997=A987)*(F987&lt;0)))),0)</f>
        <v>0</v>
      </c>
      <c r="J987" s="295" t="str">
        <f ca="1">IFERROR(_xlfn.XLOOKUP(B987,TabCalc[Ticker],TabCalc[Cur]),"")</f>
        <v/>
      </c>
      <c r="K987" s="1129" cm="1">
        <f t="array" ref="K987">IFERROR(IF($A987=$A986,0,SUM(_xlfn._xlws.FILTER($E987:$E997,($A987:$A997=$A987)*($J987:$J997=K$42)))),0)</f>
        <v>0</v>
      </c>
      <c r="L987" s="1129" cm="1">
        <f t="array" ref="L987">IFERROR(IF($A987=$A986,0,SUM(_xlfn._xlws.FILTER($E987:$E997,($A987:$A997=$A987)*($J987:$J997=L$42)))),0)</f>
        <v>0</v>
      </c>
      <c r="M987" s="1129" cm="1">
        <f t="array" ref="M987">IFERROR(IF($A987=$A986,0,SUM(_xlfn._xlws.FILTER($E987:$E997,($A987:$A997=$A987)*($J987:$J997=M$42)))),0)</f>
        <v>0</v>
      </c>
      <c r="N987" s="1129" cm="1">
        <f t="array" ref="N987">IFERROR(IF($A987=$A986,0,SUM(_xlfn._xlws.FILTER($E987:$E997,($A987:$A997=$A987)*($J987:$J997=N$42)))),0)</f>
        <v>0</v>
      </c>
    </row>
    <row r="988" spans="5:14">
      <c r="E988" s="1128">
        <f ca="1">IFERROR(C988*D988*_xlfn.XLOOKUP(B988,TabCalc[Ticker],TabCalc[Scale]),0)</f>
        <v>0</v>
      </c>
      <c r="F988" s="1129" cm="1">
        <f t="array" ref="F988">IF(A988=A987,0,SUM(_xlfn._xlws.FILTER(E988:E998,A988:A998=A988)))</f>
        <v>0</v>
      </c>
      <c r="G988" s="1130">
        <f>IF(F988&lt;&gt;0,SUM($F$43:F988),0)</f>
        <v>0</v>
      </c>
      <c r="H988" s="1130" cm="1">
        <f t="array" ref="H988">IFERROR(IF(A988=A987,0,SUM(_xlfn._xlws.FILTER(E988:E998,(A988:A998=A988)*(E988:E998&gt;0)))),0)</f>
        <v>0</v>
      </c>
      <c r="I988" s="1130" cm="1">
        <f t="array" ref="I988">IFERROR(IF(A988=A987,0,SUM(_xlfn._xlws.FILTER(E988:E998,(A988:A998=A988)*(F988&lt;0)))),0)</f>
        <v>0</v>
      </c>
      <c r="J988" s="295" t="str">
        <f ca="1">IFERROR(_xlfn.XLOOKUP(B988,TabCalc[Ticker],TabCalc[Cur]),"")</f>
        <v/>
      </c>
      <c r="K988" s="1129" cm="1">
        <f t="array" ref="K988">IFERROR(IF($A988=$A987,0,SUM(_xlfn._xlws.FILTER($E988:$E998,($A988:$A998=$A988)*($J988:$J998=K$42)))),0)</f>
        <v>0</v>
      </c>
      <c r="L988" s="1129" cm="1">
        <f t="array" ref="L988">IFERROR(IF($A988=$A987,0,SUM(_xlfn._xlws.FILTER($E988:$E998,($A988:$A998=$A988)*($J988:$J998=L$42)))),0)</f>
        <v>0</v>
      </c>
      <c r="M988" s="1129" cm="1">
        <f t="array" ref="M988">IFERROR(IF($A988=$A987,0,SUM(_xlfn._xlws.FILTER($E988:$E998,($A988:$A998=$A988)*($J988:$J998=M$42)))),0)</f>
        <v>0</v>
      </c>
      <c r="N988" s="1129" cm="1">
        <f t="array" ref="N988">IFERROR(IF($A988=$A987,0,SUM(_xlfn._xlws.FILTER($E988:$E998,($A988:$A998=$A988)*($J988:$J998=N$42)))),0)</f>
        <v>0</v>
      </c>
    </row>
    <row r="989" spans="5:14">
      <c r="E989" s="1128">
        <f ca="1">IFERROR(C989*D989*_xlfn.XLOOKUP(B989,TabCalc[Ticker],TabCalc[Scale]),0)</f>
        <v>0</v>
      </c>
      <c r="F989" s="1129" cm="1">
        <f t="array" ref="F989">IF(A989=A988,0,SUM(_xlfn._xlws.FILTER(E989:E999,A989:A999=A989)))</f>
        <v>0</v>
      </c>
      <c r="G989" s="1130">
        <f>IF(F989&lt;&gt;0,SUM($F$43:F989),0)</f>
        <v>0</v>
      </c>
      <c r="H989" s="1130" cm="1">
        <f t="array" ref="H989">IFERROR(IF(A989=A988,0,SUM(_xlfn._xlws.FILTER(E989:E999,(A989:A999=A989)*(E989:E999&gt;0)))),0)</f>
        <v>0</v>
      </c>
      <c r="I989" s="1130" cm="1">
        <f t="array" ref="I989">IFERROR(IF(A989=A988,0,SUM(_xlfn._xlws.FILTER(E989:E999,(A989:A999=A989)*(F989&lt;0)))),0)</f>
        <v>0</v>
      </c>
      <c r="J989" s="295" t="str">
        <f ca="1">IFERROR(_xlfn.XLOOKUP(B989,TabCalc[Ticker],TabCalc[Cur]),"")</f>
        <v/>
      </c>
      <c r="K989" s="1129" cm="1">
        <f t="array" ref="K989">IFERROR(IF($A989=$A988,0,SUM(_xlfn._xlws.FILTER($E989:$E999,($A989:$A999=$A989)*($J989:$J999=K$42)))),0)</f>
        <v>0</v>
      </c>
      <c r="L989" s="1129" cm="1">
        <f t="array" ref="L989">IFERROR(IF($A989=$A988,0,SUM(_xlfn._xlws.FILTER($E989:$E999,($A989:$A999=$A989)*($J989:$J999=L$42)))),0)</f>
        <v>0</v>
      </c>
      <c r="M989" s="1129" cm="1">
        <f t="array" ref="M989">IFERROR(IF($A989=$A988,0,SUM(_xlfn._xlws.FILTER($E989:$E999,($A989:$A999=$A989)*($J989:$J999=M$42)))),0)</f>
        <v>0</v>
      </c>
      <c r="N989" s="1129" cm="1">
        <f t="array" ref="N989">IFERROR(IF($A989=$A988,0,SUM(_xlfn._xlws.FILTER($E989:$E999,($A989:$A999=$A989)*($J989:$J999=N$42)))),0)</f>
        <v>0</v>
      </c>
    </row>
    <row r="990" spans="5:14">
      <c r="E990" s="1128">
        <f ca="1">IFERROR(C990*D990*_xlfn.XLOOKUP(B990,TabCalc[Ticker],TabCalc[Scale]),0)</f>
        <v>0</v>
      </c>
      <c r="F990" s="1129" cm="1">
        <f t="array" ref="F990">IF(A990=A989,0,SUM(_xlfn._xlws.FILTER(E990:E1000,A990:A1000=A990)))</f>
        <v>0</v>
      </c>
      <c r="G990" s="1130">
        <f>IF(F990&lt;&gt;0,SUM($F$43:F990),0)</f>
        <v>0</v>
      </c>
      <c r="H990" s="1130" cm="1">
        <f t="array" ref="H990">IFERROR(IF(A990=A989,0,SUM(_xlfn._xlws.FILTER(E990:E1000,(A990:A1000=A990)*(E990:E1000&gt;0)))),0)</f>
        <v>0</v>
      </c>
      <c r="I990" s="1130" cm="1">
        <f t="array" ref="I990">IFERROR(IF(A990=A989,0,SUM(_xlfn._xlws.FILTER(E990:E1000,(A990:A1000=A990)*(F990&lt;0)))),0)</f>
        <v>0</v>
      </c>
      <c r="J990" s="295" t="str">
        <f ca="1">IFERROR(_xlfn.XLOOKUP(B990,TabCalc[Ticker],TabCalc[Cur]),"")</f>
        <v/>
      </c>
      <c r="K990" s="1129" cm="1">
        <f t="array" ref="K990">IFERROR(IF($A990=$A989,0,SUM(_xlfn._xlws.FILTER($E990:$E1000,($A990:$A1000=$A990)*($J990:$J1000=K$42)))),0)</f>
        <v>0</v>
      </c>
      <c r="L990" s="1129" cm="1">
        <f t="array" ref="L990">IFERROR(IF($A990=$A989,0,SUM(_xlfn._xlws.FILTER($E990:$E1000,($A990:$A1000=$A990)*($J990:$J1000=L$42)))),0)</f>
        <v>0</v>
      </c>
      <c r="M990" s="1129" cm="1">
        <f t="array" ref="M990">IFERROR(IF($A990=$A989,0,SUM(_xlfn._xlws.FILTER($E990:$E1000,($A990:$A1000=$A990)*($J990:$J1000=M$42)))),0)</f>
        <v>0</v>
      </c>
      <c r="N990" s="1129" cm="1">
        <f t="array" ref="N990">IFERROR(IF($A990=$A989,0,SUM(_xlfn._xlws.FILTER($E990:$E1000,($A990:$A1000=$A990)*($J990:$J1000=N$42)))),0)</f>
        <v>0</v>
      </c>
    </row>
    <row r="991" spans="5:14">
      <c r="E991" s="1128">
        <f ca="1">IFERROR(C991*D991*_xlfn.XLOOKUP(B991,TabCalc[Ticker],TabCalc[Scale]),0)</f>
        <v>0</v>
      </c>
      <c r="F991" s="1129" cm="1">
        <f t="array" ref="F991">IF(A991=A990,0,SUM(_xlfn._xlws.FILTER(E991:E1001,A991:A1001=A991)))</f>
        <v>0</v>
      </c>
      <c r="G991" s="1130">
        <f>IF(F991&lt;&gt;0,SUM($F$43:F991),0)</f>
        <v>0</v>
      </c>
      <c r="H991" s="1130" cm="1">
        <f t="array" ref="H991">IFERROR(IF(A991=A990,0,SUM(_xlfn._xlws.FILTER(E991:E1001,(A991:A1001=A991)*(E991:E1001&gt;0)))),0)</f>
        <v>0</v>
      </c>
      <c r="I991" s="1130" cm="1">
        <f t="array" ref="I991">IFERROR(IF(A991=A990,0,SUM(_xlfn._xlws.FILTER(E991:E1001,(A991:A1001=A991)*(F991&lt;0)))),0)</f>
        <v>0</v>
      </c>
      <c r="J991" s="295" t="str">
        <f ca="1">IFERROR(_xlfn.XLOOKUP(B991,TabCalc[Ticker],TabCalc[Cur]),"")</f>
        <v/>
      </c>
      <c r="K991" s="1129" cm="1">
        <f t="array" ref="K991">IFERROR(IF($A991=$A990,0,SUM(_xlfn._xlws.FILTER($E991:$E1001,($A991:$A1001=$A991)*($J991:$J1001=K$42)))),0)</f>
        <v>0</v>
      </c>
      <c r="L991" s="1129" cm="1">
        <f t="array" ref="L991">IFERROR(IF($A991=$A990,0,SUM(_xlfn._xlws.FILTER($E991:$E1001,($A991:$A1001=$A991)*($J991:$J1001=L$42)))),0)</f>
        <v>0</v>
      </c>
      <c r="M991" s="1129" cm="1">
        <f t="array" ref="M991">IFERROR(IF($A991=$A990,0,SUM(_xlfn._xlws.FILTER($E991:$E1001,($A991:$A1001=$A991)*($J991:$J1001=M$42)))),0)</f>
        <v>0</v>
      </c>
      <c r="N991" s="1129" cm="1">
        <f t="array" ref="N991">IFERROR(IF($A991=$A990,0,SUM(_xlfn._xlws.FILTER($E991:$E1001,($A991:$A1001=$A991)*($J991:$J1001=N$42)))),0)</f>
        <v>0</v>
      </c>
    </row>
    <row r="992" spans="5:14">
      <c r="E992" s="1128">
        <f ca="1">IFERROR(C992*D992*_xlfn.XLOOKUP(B992,TabCalc[Ticker],TabCalc[Scale]),0)</f>
        <v>0</v>
      </c>
      <c r="F992" s="1129" cm="1">
        <f t="array" ref="F992">IF(A992=A991,0,SUM(_xlfn._xlws.FILTER(E992:E1002,A992:A1002=A992)))</f>
        <v>0</v>
      </c>
      <c r="G992" s="1130">
        <f>IF(F992&lt;&gt;0,SUM($F$43:F992),0)</f>
        <v>0</v>
      </c>
      <c r="H992" s="1130" cm="1">
        <f t="array" ref="H992">IFERROR(IF(A992=A991,0,SUM(_xlfn._xlws.FILTER(E992:E1002,(A992:A1002=A992)*(E992:E1002&gt;0)))),0)</f>
        <v>0</v>
      </c>
      <c r="I992" s="1130" cm="1">
        <f t="array" ref="I992">IFERROR(IF(A992=A991,0,SUM(_xlfn._xlws.FILTER(E992:E1002,(A992:A1002=A992)*(F992&lt;0)))),0)</f>
        <v>0</v>
      </c>
      <c r="J992" s="295" t="str">
        <f ca="1">IFERROR(_xlfn.XLOOKUP(B992,TabCalc[Ticker],TabCalc[Cur]),"")</f>
        <v/>
      </c>
      <c r="K992" s="1129" cm="1">
        <f t="array" ref="K992">IFERROR(IF($A992=$A991,0,SUM(_xlfn._xlws.FILTER($E992:$E1002,($A992:$A1002=$A992)*($J992:$J1002=K$42)))),0)</f>
        <v>0</v>
      </c>
      <c r="L992" s="1129" cm="1">
        <f t="array" ref="L992">IFERROR(IF($A992=$A991,0,SUM(_xlfn._xlws.FILTER($E992:$E1002,($A992:$A1002=$A992)*($J992:$J1002=L$42)))),0)</f>
        <v>0</v>
      </c>
      <c r="M992" s="1129" cm="1">
        <f t="array" ref="M992">IFERROR(IF($A992=$A991,0,SUM(_xlfn._xlws.FILTER($E992:$E1002,($A992:$A1002=$A992)*($J992:$J1002=M$42)))),0)</f>
        <v>0</v>
      </c>
      <c r="N992" s="1129" cm="1">
        <f t="array" ref="N992">IFERROR(IF($A992=$A991,0,SUM(_xlfn._xlws.FILTER($E992:$E1002,($A992:$A1002=$A992)*($J992:$J1002=N$42)))),0)</f>
        <v>0</v>
      </c>
    </row>
    <row r="993" spans="5:14">
      <c r="E993" s="1128">
        <f ca="1">IFERROR(C993*D993*_xlfn.XLOOKUP(B993,TabCalc[Ticker],TabCalc[Scale]),0)</f>
        <v>0</v>
      </c>
      <c r="F993" s="1129" cm="1">
        <f t="array" ref="F993">IF(A993=A992,0,SUM(_xlfn._xlws.FILTER(E993:E1003,A993:A1003=A993)))</f>
        <v>0</v>
      </c>
      <c r="G993" s="1130">
        <f>IF(F993&lt;&gt;0,SUM($F$43:F993),0)</f>
        <v>0</v>
      </c>
      <c r="H993" s="1130" cm="1">
        <f t="array" ref="H993">IFERROR(IF(A993=A992,0,SUM(_xlfn._xlws.FILTER(E993:E1003,(A993:A1003=A993)*(E993:E1003&gt;0)))),0)</f>
        <v>0</v>
      </c>
      <c r="I993" s="1130" cm="1">
        <f t="array" ref="I993">IFERROR(IF(A993=A992,0,SUM(_xlfn._xlws.FILTER(E993:E1003,(A993:A1003=A993)*(F993&lt;0)))),0)</f>
        <v>0</v>
      </c>
      <c r="J993" s="295" t="str">
        <f ca="1">IFERROR(_xlfn.XLOOKUP(B993,TabCalc[Ticker],TabCalc[Cur]),"")</f>
        <v/>
      </c>
      <c r="K993" s="1129" cm="1">
        <f t="array" ref="K993">IFERROR(IF($A993=$A992,0,SUM(_xlfn._xlws.FILTER($E993:$E1003,($A993:$A1003=$A993)*($J993:$J1003=K$42)))),0)</f>
        <v>0</v>
      </c>
      <c r="L993" s="1129" cm="1">
        <f t="array" ref="L993">IFERROR(IF($A993=$A992,0,SUM(_xlfn._xlws.FILTER($E993:$E1003,($A993:$A1003=$A993)*($J993:$J1003=L$42)))),0)</f>
        <v>0</v>
      </c>
      <c r="M993" s="1129" cm="1">
        <f t="array" ref="M993">IFERROR(IF($A993=$A992,0,SUM(_xlfn._xlws.FILTER($E993:$E1003,($A993:$A1003=$A993)*($J993:$J1003=M$42)))),0)</f>
        <v>0</v>
      </c>
      <c r="N993" s="1129" cm="1">
        <f t="array" ref="N993">IFERROR(IF($A993=$A992,0,SUM(_xlfn._xlws.FILTER($E993:$E1003,($A993:$A1003=$A993)*($J993:$J1003=N$42)))),0)</f>
        <v>0</v>
      </c>
    </row>
    <row r="994" spans="5:14">
      <c r="E994" s="1128">
        <f ca="1">IFERROR(C994*D994*_xlfn.XLOOKUP(B994,TabCalc[Ticker],TabCalc[Scale]),0)</f>
        <v>0</v>
      </c>
      <c r="F994" s="1129" cm="1">
        <f t="array" ref="F994">IF(A994=A993,0,SUM(_xlfn._xlws.FILTER(E994:E1004,A994:A1004=A994)))</f>
        <v>0</v>
      </c>
      <c r="G994" s="1130">
        <f>IF(F994&lt;&gt;0,SUM($F$43:F994),0)</f>
        <v>0</v>
      </c>
      <c r="H994" s="1130" cm="1">
        <f t="array" ref="H994">IFERROR(IF(A994=A993,0,SUM(_xlfn._xlws.FILTER(E994:E1004,(A994:A1004=A994)*(E994:E1004&gt;0)))),0)</f>
        <v>0</v>
      </c>
      <c r="I994" s="1130" cm="1">
        <f t="array" ref="I994">IFERROR(IF(A994=A993,0,SUM(_xlfn._xlws.FILTER(E994:E1004,(A994:A1004=A994)*(F994&lt;0)))),0)</f>
        <v>0</v>
      </c>
      <c r="J994" s="295" t="str">
        <f ca="1">IFERROR(_xlfn.XLOOKUP(B994,TabCalc[Ticker],TabCalc[Cur]),"")</f>
        <v/>
      </c>
      <c r="K994" s="1129" cm="1">
        <f t="array" ref="K994">IFERROR(IF($A994=$A993,0,SUM(_xlfn._xlws.FILTER($E994:$E1004,($A994:$A1004=$A994)*($J994:$J1004=K$42)))),0)</f>
        <v>0</v>
      </c>
      <c r="L994" s="1129" cm="1">
        <f t="array" ref="L994">IFERROR(IF($A994=$A993,0,SUM(_xlfn._xlws.FILTER($E994:$E1004,($A994:$A1004=$A994)*($J994:$J1004=L$42)))),0)</f>
        <v>0</v>
      </c>
      <c r="M994" s="1129" cm="1">
        <f t="array" ref="M994">IFERROR(IF($A994=$A993,0,SUM(_xlfn._xlws.FILTER($E994:$E1004,($A994:$A1004=$A994)*($J994:$J1004=M$42)))),0)</f>
        <v>0</v>
      </c>
      <c r="N994" s="1129" cm="1">
        <f t="array" ref="N994">IFERROR(IF($A994=$A993,0,SUM(_xlfn._xlws.FILTER($E994:$E1004,($A994:$A1004=$A994)*($J994:$J1004=N$42)))),0)</f>
        <v>0</v>
      </c>
    </row>
    <row r="995" spans="5:14">
      <c r="E995" s="1128">
        <f ca="1">IFERROR(C995*D995*_xlfn.XLOOKUP(B995,TabCalc[Ticker],TabCalc[Scale]),0)</f>
        <v>0</v>
      </c>
      <c r="F995" s="1129" cm="1">
        <f t="array" ref="F995">IF(A995=A994,0,SUM(_xlfn._xlws.FILTER(E995:E1005,A995:A1005=A995)))</f>
        <v>0</v>
      </c>
      <c r="G995" s="1130">
        <f>IF(F995&lt;&gt;0,SUM($F$43:F995),0)</f>
        <v>0</v>
      </c>
      <c r="H995" s="1130" cm="1">
        <f t="array" ref="H995">IFERROR(IF(A995=A994,0,SUM(_xlfn._xlws.FILTER(E995:E1005,(A995:A1005=A995)*(E995:E1005&gt;0)))),0)</f>
        <v>0</v>
      </c>
      <c r="I995" s="1130" cm="1">
        <f t="array" ref="I995">IFERROR(IF(A995=A994,0,SUM(_xlfn._xlws.FILTER(E995:E1005,(A995:A1005=A995)*(F995&lt;0)))),0)</f>
        <v>0</v>
      </c>
      <c r="J995" s="295" t="str">
        <f ca="1">IFERROR(_xlfn.XLOOKUP(B995,TabCalc[Ticker],TabCalc[Cur]),"")</f>
        <v/>
      </c>
      <c r="K995" s="1129" cm="1">
        <f t="array" ref="K995">IFERROR(IF($A995=$A994,0,SUM(_xlfn._xlws.FILTER($E995:$E1005,($A995:$A1005=$A995)*($J995:$J1005=K$42)))),0)</f>
        <v>0</v>
      </c>
      <c r="L995" s="1129" cm="1">
        <f t="array" ref="L995">IFERROR(IF($A995=$A994,0,SUM(_xlfn._xlws.FILTER($E995:$E1005,($A995:$A1005=$A995)*($J995:$J1005=L$42)))),0)</f>
        <v>0</v>
      </c>
      <c r="M995" s="1129" cm="1">
        <f t="array" ref="M995">IFERROR(IF($A995=$A994,0,SUM(_xlfn._xlws.FILTER($E995:$E1005,($A995:$A1005=$A995)*($J995:$J1005=M$42)))),0)</f>
        <v>0</v>
      </c>
      <c r="N995" s="1129" cm="1">
        <f t="array" ref="N995">IFERROR(IF($A995=$A994,0,SUM(_xlfn._xlws.FILTER($E995:$E1005,($A995:$A1005=$A995)*($J995:$J1005=N$42)))),0)</f>
        <v>0</v>
      </c>
    </row>
    <row r="996" spans="5:14">
      <c r="E996" s="1128">
        <f ca="1">IFERROR(C996*D996*_xlfn.XLOOKUP(B996,TabCalc[Ticker],TabCalc[Scale]),0)</f>
        <v>0</v>
      </c>
      <c r="F996" s="1129" cm="1">
        <f t="array" ref="F996">IF(A996=A995,0,SUM(_xlfn._xlws.FILTER(E996:E1006,A996:A1006=A996)))</f>
        <v>0</v>
      </c>
      <c r="G996" s="1130">
        <f>IF(F996&lt;&gt;0,SUM($F$43:F996),0)</f>
        <v>0</v>
      </c>
      <c r="H996" s="1130" cm="1">
        <f t="array" ref="H996">IFERROR(IF(A996=A995,0,SUM(_xlfn._xlws.FILTER(E996:E1006,(A996:A1006=A996)*(E996:E1006&gt;0)))),0)</f>
        <v>0</v>
      </c>
      <c r="I996" s="1130" cm="1">
        <f t="array" ref="I996">IFERROR(IF(A996=A995,0,SUM(_xlfn._xlws.FILTER(E996:E1006,(A996:A1006=A996)*(F996&lt;0)))),0)</f>
        <v>0</v>
      </c>
      <c r="J996" s="295" t="str">
        <f ca="1">IFERROR(_xlfn.XLOOKUP(B996,TabCalc[Ticker],TabCalc[Cur]),"")</f>
        <v/>
      </c>
      <c r="K996" s="1129" cm="1">
        <f t="array" ref="K996">IFERROR(IF($A996=$A995,0,SUM(_xlfn._xlws.FILTER($E996:$E1006,($A996:$A1006=$A996)*($J996:$J1006=K$42)))),0)</f>
        <v>0</v>
      </c>
      <c r="L996" s="1129" cm="1">
        <f t="array" ref="L996">IFERROR(IF($A996=$A995,0,SUM(_xlfn._xlws.FILTER($E996:$E1006,($A996:$A1006=$A996)*($J996:$J1006=L$42)))),0)</f>
        <v>0</v>
      </c>
      <c r="M996" s="1129" cm="1">
        <f t="array" ref="M996">IFERROR(IF($A996=$A995,0,SUM(_xlfn._xlws.FILTER($E996:$E1006,($A996:$A1006=$A996)*($J996:$J1006=M$42)))),0)</f>
        <v>0</v>
      </c>
      <c r="N996" s="1129" cm="1">
        <f t="array" ref="N996">IFERROR(IF($A996=$A995,0,SUM(_xlfn._xlws.FILTER($E996:$E1006,($A996:$A1006=$A996)*($J996:$J1006=N$42)))),0)</f>
        <v>0</v>
      </c>
    </row>
    <row r="997" spans="5:14">
      <c r="E997" s="1128">
        <f ca="1">IFERROR(C997*D997*_xlfn.XLOOKUP(B997,TabCalc[Ticker],TabCalc[Scale]),0)</f>
        <v>0</v>
      </c>
      <c r="F997" s="1129" cm="1">
        <f t="array" ref="F997">IF(A997=A996,0,SUM(_xlfn._xlws.FILTER(E997:E1007,A997:A1007=A997)))</f>
        <v>0</v>
      </c>
      <c r="G997" s="1130">
        <f>IF(F997&lt;&gt;0,SUM($F$43:F997),0)</f>
        <v>0</v>
      </c>
      <c r="H997" s="1130" cm="1">
        <f t="array" ref="H997">IFERROR(IF(A997=A996,0,SUM(_xlfn._xlws.FILTER(E997:E1007,(A997:A1007=A997)*(E997:E1007&gt;0)))),0)</f>
        <v>0</v>
      </c>
      <c r="I997" s="1130" cm="1">
        <f t="array" ref="I997">IFERROR(IF(A997=A996,0,SUM(_xlfn._xlws.FILTER(E997:E1007,(A997:A1007=A997)*(F997&lt;0)))),0)</f>
        <v>0</v>
      </c>
      <c r="J997" s="295" t="str">
        <f ca="1">IFERROR(_xlfn.XLOOKUP(B997,TabCalc[Ticker],TabCalc[Cur]),"")</f>
        <v/>
      </c>
      <c r="K997" s="1129" cm="1">
        <f t="array" ref="K997">IFERROR(IF($A997=$A996,0,SUM(_xlfn._xlws.FILTER($E997:$E1007,($A997:$A1007=$A997)*($J997:$J1007=K$42)))),0)</f>
        <v>0</v>
      </c>
      <c r="L997" s="1129" cm="1">
        <f t="array" ref="L997">IFERROR(IF($A997=$A996,0,SUM(_xlfn._xlws.FILTER($E997:$E1007,($A997:$A1007=$A997)*($J997:$J1007=L$42)))),0)</f>
        <v>0</v>
      </c>
      <c r="M997" s="1129" cm="1">
        <f t="array" ref="M997">IFERROR(IF($A997=$A996,0,SUM(_xlfn._xlws.FILTER($E997:$E1007,($A997:$A1007=$A997)*($J997:$J1007=M$42)))),0)</f>
        <v>0</v>
      </c>
      <c r="N997" s="1129" cm="1">
        <f t="array" ref="N997">IFERROR(IF($A997=$A996,0,SUM(_xlfn._xlws.FILTER($E997:$E1007,($A997:$A1007=$A997)*($J997:$J1007=N$42)))),0)</f>
        <v>0</v>
      </c>
    </row>
    <row r="998" spans="5:14">
      <c r="E998" s="1128">
        <f ca="1">IFERROR(C998*D998*_xlfn.XLOOKUP(B998,TabCalc[Ticker],TabCalc[Scale]),0)</f>
        <v>0</v>
      </c>
      <c r="F998" s="1129" cm="1">
        <f t="array" ref="F998">IF(A998=A997,0,SUM(_xlfn._xlws.FILTER(E998:E1008,A998:A1008=A998)))</f>
        <v>0</v>
      </c>
      <c r="G998" s="1130">
        <f>IF(F998&lt;&gt;0,SUM($F$43:F998),0)</f>
        <v>0</v>
      </c>
      <c r="H998" s="1130" cm="1">
        <f t="array" ref="H998">IFERROR(IF(A998=A997,0,SUM(_xlfn._xlws.FILTER(E998:E1008,(A998:A1008=A998)*(E998:E1008&gt;0)))),0)</f>
        <v>0</v>
      </c>
      <c r="I998" s="1130" cm="1">
        <f t="array" ref="I998">IFERROR(IF(A998=A997,0,SUM(_xlfn._xlws.FILTER(E998:E1008,(A998:A1008=A998)*(F998&lt;0)))),0)</f>
        <v>0</v>
      </c>
      <c r="J998" s="295" t="str">
        <f ca="1">IFERROR(_xlfn.XLOOKUP(B998,TabCalc[Ticker],TabCalc[Cur]),"")</f>
        <v/>
      </c>
      <c r="K998" s="1129" cm="1">
        <f t="array" ref="K998">IFERROR(IF($A998=$A997,0,SUM(_xlfn._xlws.FILTER($E998:$E1008,($A998:$A1008=$A998)*($J998:$J1008=K$42)))),0)</f>
        <v>0</v>
      </c>
      <c r="L998" s="1129" cm="1">
        <f t="array" ref="L998">IFERROR(IF($A998=$A997,0,SUM(_xlfn._xlws.FILTER($E998:$E1008,($A998:$A1008=$A998)*($J998:$J1008=L$42)))),0)</f>
        <v>0</v>
      </c>
      <c r="M998" s="1129" cm="1">
        <f t="array" ref="M998">IFERROR(IF($A998=$A997,0,SUM(_xlfn._xlws.FILTER($E998:$E1008,($A998:$A1008=$A998)*($J998:$J1008=M$42)))),0)</f>
        <v>0</v>
      </c>
      <c r="N998" s="1129" cm="1">
        <f t="array" ref="N998">IFERROR(IF($A998=$A997,0,SUM(_xlfn._xlws.FILTER($E998:$E1008,($A998:$A1008=$A998)*($J998:$J1008=N$42)))),0)</f>
        <v>0</v>
      </c>
    </row>
    <row r="999" spans="5:14">
      <c r="E999" s="1128">
        <f ca="1">IFERROR(C999*D999*_xlfn.XLOOKUP(B999,TabCalc[Ticker],TabCalc[Scale]),0)</f>
        <v>0</v>
      </c>
      <c r="F999" s="1129" cm="1">
        <f t="array" ref="F999">IF(A999=A998,0,SUM(_xlfn._xlws.FILTER(E999:E1009,A999:A1009=A999)))</f>
        <v>0</v>
      </c>
      <c r="G999" s="1130">
        <f>IF(F999&lt;&gt;0,SUM($F$43:F999),0)</f>
        <v>0</v>
      </c>
      <c r="H999" s="1130" cm="1">
        <f t="array" ref="H999">IFERROR(IF(A999=A998,0,SUM(_xlfn._xlws.FILTER(E999:E1009,(A999:A1009=A999)*(E999:E1009&gt;0)))),0)</f>
        <v>0</v>
      </c>
      <c r="I999" s="1130" cm="1">
        <f t="array" ref="I999">IFERROR(IF(A999=A998,0,SUM(_xlfn._xlws.FILTER(E999:E1009,(A999:A1009=A999)*(F999&lt;0)))),0)</f>
        <v>0</v>
      </c>
      <c r="J999" s="295" t="str">
        <f ca="1">IFERROR(_xlfn.XLOOKUP(B999,TabCalc[Ticker],TabCalc[Cur]),"")</f>
        <v/>
      </c>
      <c r="K999" s="1129" cm="1">
        <f t="array" ref="K999">IFERROR(IF($A999=$A998,0,SUM(_xlfn._xlws.FILTER($E999:$E1009,($A999:$A1009=$A999)*($J999:$J1009=K$42)))),0)</f>
        <v>0</v>
      </c>
      <c r="L999" s="1129" cm="1">
        <f t="array" ref="L999">IFERROR(IF($A999=$A998,0,SUM(_xlfn._xlws.FILTER($E999:$E1009,($A999:$A1009=$A999)*($J999:$J1009=L$42)))),0)</f>
        <v>0</v>
      </c>
      <c r="M999" s="1129" cm="1">
        <f t="array" ref="M999">IFERROR(IF($A999=$A998,0,SUM(_xlfn._xlws.FILTER($E999:$E1009,($A999:$A1009=$A999)*($J999:$J1009=M$42)))),0)</f>
        <v>0</v>
      </c>
      <c r="N999" s="1129" cm="1">
        <f t="array" ref="N999">IFERROR(IF($A999=$A998,0,SUM(_xlfn._xlws.FILTER($E999:$E1009,($A999:$A1009=$A999)*($J999:$J1009=N$42)))),0)</f>
        <v>0</v>
      </c>
    </row>
    <row r="1000" spans="5:14">
      <c r="E1000" s="1128">
        <f ca="1">IFERROR(C1000*D1000*_xlfn.XLOOKUP(B1000,TabCalc[Ticker],TabCalc[Scale]),0)</f>
        <v>0</v>
      </c>
      <c r="F1000" s="1129" cm="1">
        <f t="array" ref="F1000">IF(A1000=A999,0,SUM(_xlfn._xlws.FILTER(E1000:E1010,A1000:A1010=A1000)))</f>
        <v>0</v>
      </c>
      <c r="G1000" s="1130">
        <f>IF(F1000&lt;&gt;0,SUM($F$43:F1000),0)</f>
        <v>0</v>
      </c>
      <c r="H1000" s="1130" cm="1">
        <f t="array" ref="H1000">IFERROR(IF(A1000=A999,0,SUM(_xlfn._xlws.FILTER(E1000:E1010,(A1000:A1010=A1000)*(E1000:E1010&gt;0)))),0)</f>
        <v>0</v>
      </c>
      <c r="I1000" s="1130" cm="1">
        <f t="array" ref="I1000">IFERROR(IF(A1000=A999,0,SUM(_xlfn._xlws.FILTER(E1000:E1010,(A1000:A1010=A1000)*(F1000&lt;0)))),0)</f>
        <v>0</v>
      </c>
      <c r="J1000" s="295" t="str">
        <f ca="1">IFERROR(_xlfn.XLOOKUP(B1000,TabCalc[Ticker],TabCalc[Cur]),"")</f>
        <v/>
      </c>
      <c r="K1000" s="1129" cm="1">
        <f t="array" ref="K1000">IFERROR(IF($A1000=$A999,0,SUM(_xlfn._xlws.FILTER($E1000:$E1010,($A1000:$A1010=$A1000)*($J1000:$J1010=K$42)))),0)</f>
        <v>0</v>
      </c>
      <c r="L1000" s="1129" cm="1">
        <f t="array" ref="L1000">IFERROR(IF($A1000=$A999,0,SUM(_xlfn._xlws.FILTER($E1000:$E1010,($A1000:$A1010=$A1000)*($J1000:$J1010=L$42)))),0)</f>
        <v>0</v>
      </c>
      <c r="M1000" s="1129" cm="1">
        <f t="array" ref="M1000">IFERROR(IF($A1000=$A999,0,SUM(_xlfn._xlws.FILTER($E1000:$E1010,($A1000:$A1010=$A1000)*($J1000:$J1010=M$42)))),0)</f>
        <v>0</v>
      </c>
      <c r="N1000" s="1129" cm="1">
        <f t="array" ref="N1000">IFERROR(IF($A1000=$A999,0,SUM(_xlfn._xlws.FILTER($E1000:$E1010,($A1000:$A1010=$A1000)*($J1000:$J1010=N$42)))),0)</f>
        <v>0</v>
      </c>
    </row>
  </sheetData>
  <autoFilter ref="A44:J571" xr:uid="{31671E60-B6AA-A241-B6E2-B39C9C71B05D}"/>
  <dataValidations count="7">
    <dataValidation type="decimal" allowBlank="1" showInputMessage="1" showErrorMessage="1" sqref="D110:D119 D131:D140 D70 D91:D101 D107 D142:D153 D210:D214 D164:D165 D172:D178 D185:D190 D195:D199 D208 D43:D61" xr:uid="{086AF35B-8E11-6346-925A-C078C65A7FFE}">
      <formula1>-2000</formula1>
      <formula2>2000</formula2>
    </dataValidation>
    <dataValidation type="date" allowBlank="1" showInputMessage="1" showErrorMessage="1" sqref="A107 A210:A214 A70 A91:A101 A110:A119 A139:A140 A131:A137 A142:A153 A164:A165 A172:A178 A185:A190 A195:A199 A208 A43:A61" xr:uid="{0171E49F-B03B-794E-8950-54D37043BF0A}">
      <formula1>45658</formula1>
      <formula2>46022</formula2>
    </dataValidation>
    <dataValidation type="whole" allowBlank="1" showInputMessage="1" showErrorMessage="1" sqref="C110:C119 C131:C140 C70 C91:C101 C107 C142:C153 C210:C214 C164:C165 C172:C178 C185:C190 C195:C199 C208 C43:C61" xr:uid="{D22EE761-1886-EB48-A296-29FE8DFC3BBF}">
      <formula1>1</formula1>
      <formula2>10000000</formula2>
    </dataValidation>
    <dataValidation type="list" allowBlank="1" showInputMessage="1" showErrorMessage="1" sqref="E3:E16" xr:uid="{A45345E6-1E32-1C4C-97C5-A05F666B968A}">
      <formula1>$H$2:$H$6</formula1>
    </dataValidation>
    <dataValidation type="decimal" allowBlank="1" showInputMessage="1" showErrorMessage="1" errorTitle="Price not correct" sqref="D5:D16" xr:uid="{55660F17-25F7-944C-BF5B-4EEFF64CAD5D}">
      <formula1>-2000</formula1>
      <formula2>2000</formula2>
    </dataValidation>
    <dataValidation type="whole" allowBlank="1" showInputMessage="1" showErrorMessage="1" errorTitle="Incorrect number of shares" sqref="C5:C16" xr:uid="{CE7F2A38-268D-E64A-8DE1-A8B5AA46D44A}">
      <formula1>1</formula1>
      <formula2>10000000</formula2>
    </dataValidation>
    <dataValidation type="date" allowBlank="1" showInputMessage="1" showErrorMessage="1" errorTitle="#Incorrect date!" sqref="A8:A16" xr:uid="{30F0B540-9E29-B845-BE0D-E6A9B1221F15}">
      <formula1>45658</formula1>
      <formula2>46022</formula2>
    </dataValidation>
  </dataValidations>
  <pageMargins left="0.7" right="0.7" top="0.75" bottom="0.75" header="0.3" footer="0.3"/>
  <ignoredErrors>
    <ignoredError sqref="F3:F16" unlockedFormula="1"/>
  </ignoredErrors>
  <extLst>
    <ext xmlns:x14="http://schemas.microsoft.com/office/spreadsheetml/2009/9/main" uri="{CCE6A557-97BC-4b89-ADB6-D9C93CAAB3DF}">
      <x14:dataValidations xmlns:xm="http://schemas.microsoft.com/office/excel/2006/main" count="1">
        <x14:dataValidation type="list" allowBlank="1" showInputMessage="1" showErrorMessage="1" xr:uid="{EF6DC615-0546-EA4A-83DF-05C2D28013AF}">
          <x14:formula1>
            <xm:f>Calc!$H$3:$H$96</xm:f>
          </x14:formula1>
          <xm:sqref>B110:B119 B210:B214 B70 B91:B101 B107 B142:B153 B208 B164:B165 B172:B178 B185:B190 B195:B199 B57:B61 B3:B16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2A0B94-19E8-AF40-8DAE-97F53AC30455}">
  <sheetPr codeName="Sheet8">
    <tabColor rgb="FFFFFF00"/>
  </sheetPr>
  <dimension ref="A1:L162"/>
  <sheetViews>
    <sheetView topLeftCell="A5" workbookViewId="0">
      <selection activeCell="H25" sqref="H25"/>
    </sheetView>
  </sheetViews>
  <sheetFormatPr baseColWidth="10" defaultRowHeight="22"/>
  <cols>
    <col min="5" max="5" width="12.125" customWidth="1"/>
    <col min="7" max="7" width="10.5" customWidth="1"/>
    <col min="8" max="8" width="81.25" customWidth="1"/>
  </cols>
  <sheetData>
    <row r="1" spans="1:10" ht="62">
      <c r="A1" s="34" t="str">
        <f>""</f>
        <v/>
      </c>
      <c r="B1" s="35"/>
      <c r="C1" s="35"/>
      <c r="D1" s="35"/>
      <c r="E1" s="34"/>
      <c r="F1" s="38"/>
      <c r="G1" s="34"/>
      <c r="H1" s="36" t="s">
        <v>122</v>
      </c>
      <c r="I1" s="37"/>
      <c r="J1" s="38"/>
    </row>
    <row r="2" spans="1:10" ht="30" customHeight="1" thickBot="1">
      <c r="A2" s="34"/>
      <c r="B2" s="35"/>
      <c r="G2" s="34"/>
      <c r="H2" s="39" t="s">
        <v>123</v>
      </c>
      <c r="I2" s="34" t="s">
        <v>124</v>
      </c>
      <c r="J2" s="38"/>
    </row>
    <row r="3" spans="1:10" ht="24" customHeight="1" thickBot="1">
      <c r="A3" s="34"/>
      <c r="B3" s="559" t="s">
        <v>125</v>
      </c>
      <c r="C3" s="560" t="s">
        <v>1655</v>
      </c>
      <c r="D3" s="560" t="s">
        <v>1656</v>
      </c>
      <c r="E3" s="561" t="s">
        <v>1657</v>
      </c>
      <c r="F3" s="424" t="s">
        <v>1656</v>
      </c>
      <c r="G3" s="34"/>
      <c r="H3" s="41" t="s">
        <v>126</v>
      </c>
      <c r="I3" s="34" t="s">
        <v>127</v>
      </c>
      <c r="J3" s="42"/>
    </row>
    <row r="4" spans="1:10" ht="23" thickBot="1">
      <c r="A4" s="34"/>
      <c r="B4" s="433" t="s">
        <v>130</v>
      </c>
      <c r="C4" s="434" t="s">
        <v>131</v>
      </c>
      <c r="D4" s="434" t="s">
        <v>132</v>
      </c>
      <c r="E4" s="417" t="s">
        <v>133</v>
      </c>
      <c r="F4" s="417" t="s">
        <v>134</v>
      </c>
      <c r="G4" s="43" t="s">
        <v>128</v>
      </c>
      <c r="H4" s="44" t="s">
        <v>129</v>
      </c>
      <c r="I4" s="45"/>
      <c r="J4" s="34"/>
    </row>
    <row r="5" spans="1:10" ht="23" thickBot="1">
      <c r="A5" s="34"/>
      <c r="B5" s="433" t="s">
        <v>136</v>
      </c>
      <c r="C5" s="433" t="s">
        <v>137</v>
      </c>
      <c r="D5" s="435" t="s">
        <v>138</v>
      </c>
      <c r="E5" s="34"/>
      <c r="F5" s="34"/>
      <c r="G5" s="46"/>
      <c r="H5" s="44" t="s">
        <v>135</v>
      </c>
      <c r="I5" s="45"/>
      <c r="J5" s="34"/>
    </row>
    <row r="6" spans="1:10" ht="23" thickBot="1">
      <c r="A6" s="34"/>
      <c r="B6" s="436"/>
      <c r="C6" s="436"/>
      <c r="D6" s="435" t="s">
        <v>1658</v>
      </c>
      <c r="E6" s="34"/>
      <c r="F6" s="34"/>
      <c r="G6" s="43" t="s">
        <v>139</v>
      </c>
      <c r="H6" s="47" t="s">
        <v>140</v>
      </c>
      <c r="I6" s="45"/>
      <c r="J6" s="34"/>
    </row>
    <row r="7" spans="1:10" ht="23" thickBot="1">
      <c r="A7" s="34"/>
      <c r="B7" s="436"/>
      <c r="C7" s="436"/>
      <c r="D7" s="437" t="s">
        <v>1659</v>
      </c>
      <c r="E7" s="34"/>
      <c r="F7" s="34"/>
      <c r="G7" s="43"/>
      <c r="H7" s="47"/>
      <c r="I7" s="45"/>
      <c r="J7" s="34"/>
    </row>
    <row r="8" spans="1:10" ht="23" thickBot="1">
      <c r="A8" s="34"/>
      <c r="B8" s="436"/>
      <c r="C8" s="436"/>
      <c r="D8" s="437"/>
      <c r="G8" s="43"/>
      <c r="H8" s="48"/>
      <c r="I8" s="45"/>
      <c r="J8" s="34"/>
    </row>
    <row r="9" spans="1:10" ht="23" thickBot="1">
      <c r="A9" s="34"/>
      <c r="B9" s="49" t="s">
        <v>141</v>
      </c>
      <c r="C9" s="49" t="s">
        <v>142</v>
      </c>
      <c r="D9" s="49"/>
      <c r="E9" s="50">
        <f ca="1">TODAY()</f>
        <v>45956</v>
      </c>
      <c r="F9" s="51"/>
      <c r="G9" s="52" t="s">
        <v>143</v>
      </c>
      <c r="H9" s="53" t="str" cm="1">
        <f t="array" ref="H9">IFERROR(_xlfn.IFS(G9="Enter"," Instruction ",#REF!="b","Sell ",#REF!="c","Buy ")&amp;IF(G9="Ordered",Company1&amp;" #"&amp;ShareNumber1&amp;" at "&amp;_xlfn.IFS(C11="b",AtMarket,C11="c",TransPrice1),_xlfn.IFS(G9="Executed"," order Executed",G9="Enter","Enter order")),"Enter Options")</f>
        <v>Enter Options</v>
      </c>
      <c r="I9" s="54"/>
      <c r="J9" s="51"/>
    </row>
    <row r="10" spans="1:10" ht="23" thickBot="1">
      <c r="A10" s="34"/>
      <c r="B10" s="40" t="s">
        <v>144</v>
      </c>
      <c r="C10" s="40" t="s">
        <v>139</v>
      </c>
      <c r="D10" s="40" t="s">
        <v>145</v>
      </c>
      <c r="E10" s="427" t="s">
        <v>2198</v>
      </c>
      <c r="F10" s="427" t="s">
        <v>146</v>
      </c>
      <c r="G10" s="427" t="s">
        <v>155</v>
      </c>
      <c r="H10" s="438" t="s">
        <v>147</v>
      </c>
      <c r="I10" s="55"/>
      <c r="J10" s="56" t="s">
        <v>148</v>
      </c>
    </row>
    <row r="11" spans="1:10" ht="23" thickBot="1">
      <c r="A11" s="428">
        <f t="shared" ref="A11:A15" ca="1" si="0">TODAY()</f>
        <v>45956</v>
      </c>
      <c r="B11" s="443" t="s">
        <v>130</v>
      </c>
      <c r="C11" s="443" t="s">
        <v>137</v>
      </c>
      <c r="D11" s="1026" t="s">
        <v>138</v>
      </c>
      <c r="E11" s="57" t="s">
        <v>16</v>
      </c>
      <c r="F11" s="58">
        <v>3000</v>
      </c>
      <c r="G11" s="439">
        <v>16.12</v>
      </c>
      <c r="H11" s="442" t="str" cm="1">
        <f t="array" aca="1" ref="H11" ca="1">IFERROR(TEXT(_xlfn.XLOOKUP(J11,TabCalc[Ticker],TabCalc[NAfter]),"#,#0")&amp;"xM@"&amp;_xlfn.XLOOKUP(J11,TabCalc[Ticker],TabCalc[M])&amp;          ", A@ "&amp;TRUNC(_xlfn.XLOOKUP(J11,TabCalc[Ticker],TabCalc[A]),2)&amp;           ", Y@ "&amp; _xlfn.XLOOKUP(J11,TabCalc[Ticker],TabCalc[Y])&amp;               ", L_Bp@ "&amp;TRUNC(_xlfn.XLOOKUP(J11,TabCalc[Ticker],TabCalc[L_Bp]),2)&amp;"x"&amp;_xlfn.XLOOKUP(J11,TabCalc[Ticker],TabCalc[L_Bn])&amp;                                  ", L_Sp@ "&amp;IFERROR(TRUNC(_xlfn.XLOOKUP(J11,TabCalc[Ticker],TabCalc[L_Sp]),2),0)&amp;"x"&amp;_xlfn.XLOOKUP(J11,TabCalc[Ticker],TabCalc[L_Sn])&amp;", Cl@ "&amp;_xlfn.XLOOKUP(J11,ListTickers,Tab1Close[Close20])&amp;", Low@ "&amp;_xlfn.XLOOKUP(J11,ListTickers,Tab1Low[Low20])&amp;", High@ "&amp;_xlfn.XLOOKUP(J11,ListTickers,Tab1High[High20])&amp;  ", Agio="&amp;TEXT(_xlfn.XLOOKUP(J11,TabCalc[Ticker],TabCalc[Agiotage]),"#0%"),"")</f>
        <v>550xM@16.085, A@ 15.84, Y@ 16.89, L_Bp@ -14.78x5000, L_Sp@ 16.12x3200, Cl@ 16.035, Low@ 15.79, High@ 16.085, Agio=113%</v>
      </c>
      <c r="I11" s="446" t="str" cm="1">
        <f t="array" aca="1" ref="I11" ca="1">IF(D11&lt;&gt;"",IFERROR(_xlfn.IFS(AND(C11="Limit",G11&lt;=0), "Enter Limit price",   AND(B11=Sell,_xlfn.XLOOKUP(J11,TabCalc[Ticker],TabCalc[NAfter])&lt;Mail!F11),"No enough stock"),""),"")</f>
        <v>No enough stock</v>
      </c>
      <c r="J11" s="34" t="str">
        <f t="shared" ref="J11:J13" si="1">IF(OR(D11="MVE",D11="SAF",D11="JB"),   D11&amp;E11,         IF(E11&lt;&gt;"",E11,""))</f>
        <v>EOAN</v>
      </c>
    </row>
    <row r="12" spans="1:10" ht="23" thickBot="1">
      <c r="A12" s="429">
        <f t="shared" ca="1" si="0"/>
        <v>45956</v>
      </c>
      <c r="B12" s="443"/>
      <c r="C12" s="443"/>
      <c r="D12" s="1026"/>
      <c r="E12" s="57"/>
      <c r="F12" s="58"/>
      <c r="G12" s="439"/>
      <c r="H12" s="442" t="str" cm="1">
        <f t="array" aca="1" ref="H12" ca="1">IFERROR(TEXT(_xlfn.XLOOKUP(J12,TabCalc[Ticker],TabCalc[NAfter]),"#,#0")&amp;"xM@"&amp;_xlfn.XLOOKUP(J12,TabCalc[Ticker],TabCalc[M])&amp;          ", A@ "&amp;TRUNC(_xlfn.XLOOKUP(J12,TabCalc[Ticker],TabCalc[A]),2)&amp;           ", Y@ "&amp; _xlfn.XLOOKUP(J12,TabCalc[Ticker],TabCalc[Y])&amp;               ", L_Bp@ "&amp;TRUNC(_xlfn.XLOOKUP(J12,TabCalc[Ticker],TabCalc[L_Bp]),2)&amp;"x"&amp;_xlfn.XLOOKUP(J12,TabCalc[Ticker],TabCalc[L_Bn])&amp;                                  ", L_Sp@ "&amp;IFERROR(TRUNC(_xlfn.XLOOKUP(J12,TabCalc[Ticker],TabCalc[L_Sp]),2),0)&amp;"x"&amp;_xlfn.XLOOKUP(J12,TabCalc[Ticker],TabCalc[L_Sn])&amp;", Cl@ "&amp;_xlfn.XLOOKUP(J12,ListTickers,Tab1Close[Close20])&amp;", Low@ "&amp;_xlfn.XLOOKUP(J12,ListTickers,Tab1Low[Low20])&amp;", High@ "&amp;_xlfn.XLOOKUP(J12,ListTickers,Tab1High[High20])&amp;  ", Agio="&amp;TEXT(_xlfn.XLOOKUP(J12,TabCalc[Ticker],TabCalc[Agiotage]),"#0%"),"")</f>
        <v/>
      </c>
      <c r="I12" s="446" t="str" cm="1">
        <f t="array" ref="I12">IF(D12&lt;&gt;"",IFERROR(_xlfn.IFS(AND(C12="Limit",G12&lt;=0), "Enter Limit price",   AND(B12=Sell,_xlfn.XLOOKUP(J12,TabCalc[Ticker],TabCalc[NAfter])&lt;Mail!F12),"No enough stock"),""),"")</f>
        <v/>
      </c>
      <c r="J12" s="34" t="str">
        <f t="shared" si="1"/>
        <v/>
      </c>
    </row>
    <row r="13" spans="1:10" ht="23" thickBot="1">
      <c r="A13" s="429">
        <f t="shared" ca="1" si="0"/>
        <v>45956</v>
      </c>
      <c r="B13" s="443"/>
      <c r="C13" s="443"/>
      <c r="D13" s="1026"/>
      <c r="E13" s="57"/>
      <c r="F13" s="58"/>
      <c r="G13" s="440"/>
      <c r="H13" s="442" t="str" cm="1">
        <f t="array" aca="1" ref="H13" ca="1">IFERROR(TEXT(_xlfn.XLOOKUP(J13,TabCalc[Ticker],TabCalc[NAfter]),"#,#0")&amp;"xM@"&amp;_xlfn.XLOOKUP(J13,TabCalc[Ticker],TabCalc[M])&amp;          ", A@ "&amp;TRUNC(_xlfn.XLOOKUP(J13,TabCalc[Ticker],TabCalc[A]),2)&amp;           ", Y@ "&amp; _xlfn.XLOOKUP(J13,TabCalc[Ticker],TabCalc[Y])&amp;               ", L_Bp@ "&amp;TRUNC(_xlfn.XLOOKUP(J13,TabCalc[Ticker],TabCalc[L_Bp]),2)&amp;"x"&amp;_xlfn.XLOOKUP(J13,TabCalc[Ticker],TabCalc[L_Bn])&amp;                                  ", L_Sp@ "&amp;IFERROR(TRUNC(_xlfn.XLOOKUP(J13,TabCalc[Ticker],TabCalc[L_Sp]),2),0)&amp;"x"&amp;_xlfn.XLOOKUP(J13,TabCalc[Ticker],TabCalc[L_Sn])&amp;", Cl@ "&amp;_xlfn.XLOOKUP(J13,ListTickers,Tab1Close[Close20])&amp;", Low@ "&amp;_xlfn.XLOOKUP(J13,ListTickers,Tab1Low[Low20])&amp;", High@ "&amp;_xlfn.XLOOKUP(J13,ListTickers,Tab1High[High20])&amp;  ", Agio="&amp;TEXT(_xlfn.XLOOKUP(J13,TabCalc[Ticker],TabCalc[Agiotage]),"#0%"),"")</f>
        <v/>
      </c>
      <c r="I13" s="446" t="str" cm="1">
        <f t="array" ref="I13">IF(D13&lt;&gt;"",IFERROR(_xlfn.IFS(AND(C13="Limit",G13&lt;=0), "Enter Limit price",   AND(B13=Sell,_xlfn.XLOOKUP(J13,TabCalc[Ticker],TabCalc[NAfter])&lt;Mail!F13),"No enough stock"),""),"")</f>
        <v/>
      </c>
      <c r="J13" s="34" t="str">
        <f t="shared" si="1"/>
        <v/>
      </c>
    </row>
    <row r="14" spans="1:10" ht="23" thickBot="1">
      <c r="A14" s="429">
        <f t="shared" ca="1" si="0"/>
        <v>45956</v>
      </c>
      <c r="B14" s="443"/>
      <c r="C14" s="443"/>
      <c r="D14" s="1026"/>
      <c r="E14" s="57"/>
      <c r="F14" s="58"/>
      <c r="G14" s="440"/>
      <c r="H14" s="442" t="str" cm="1">
        <f t="array" aca="1" ref="H14" ca="1">IFERROR(TEXT(_xlfn.XLOOKUP(J14,TabCalc[Ticker],TabCalc[NAfter]),"#,#0")&amp;"xM@"&amp;_xlfn.XLOOKUP(J14,TabCalc[Ticker],TabCalc[M])&amp;          ", A@ "&amp;TRUNC(_xlfn.XLOOKUP(J14,TabCalc[Ticker],TabCalc[A]),2)&amp;           ", Y@ "&amp; _xlfn.XLOOKUP(J14,TabCalc[Ticker],TabCalc[Y])&amp;               ", L_Bp@ "&amp;TRUNC(_xlfn.XLOOKUP(J14,TabCalc[Ticker],TabCalc[L_Bp]),2)&amp;"x"&amp;_xlfn.XLOOKUP(J14,TabCalc[Ticker],TabCalc[L_Bn])&amp;                                  ", L_Sp@ "&amp;IFERROR(TRUNC(_xlfn.XLOOKUP(J14,TabCalc[Ticker],TabCalc[L_Sp]),2),0)&amp;"x"&amp;_xlfn.XLOOKUP(J14,TabCalc[Ticker],TabCalc[L_Sn])&amp;", Cl@ "&amp;_xlfn.XLOOKUP(J14,ListTickers,Tab1Close[Close20])&amp;", Low@ "&amp;_xlfn.XLOOKUP(J14,ListTickers,Tab1Low[Low20])&amp;", High@ "&amp;_xlfn.XLOOKUP(J14,ListTickers,Tab1High[High20])&amp;  ", Agio="&amp;TEXT(_xlfn.XLOOKUP(J14,TabCalc[Ticker],TabCalc[Agiotage]),"#0%"),"")</f>
        <v/>
      </c>
      <c r="I14" s="446" t="str" cm="1">
        <f t="array" ref="I14">IF(D14&lt;&gt;"",IFERROR(_xlfn.IFS(AND(C14="Limit",G14&lt;=0), "Enter Limit price",   AND(B14=Sell,_xlfn.XLOOKUP(J14,TabCalc[Ticker],TabCalc[NAfter])&lt;Mail!F14),"No enough stock"),""),"")</f>
        <v/>
      </c>
      <c r="J14" s="34" t="str">
        <f>IF(OR(D14="MVE",D14="SAF",D14="JB"),   D14&amp;E14,         IF(E14&lt;&gt;"",E14,""))</f>
        <v/>
      </c>
    </row>
    <row r="15" spans="1:10" ht="23" thickBot="1">
      <c r="A15" s="430">
        <f t="shared" ca="1" si="0"/>
        <v>45956</v>
      </c>
      <c r="B15" s="444"/>
      <c r="C15" s="444"/>
      <c r="D15" s="1027"/>
      <c r="E15" s="57"/>
      <c r="F15" s="58"/>
      <c r="G15" s="440"/>
      <c r="H15" s="442" t="str" cm="1">
        <f t="array" aca="1" ref="H15" ca="1">IFERROR(TEXT(_xlfn.XLOOKUP(J15,TabCalc[Ticker],TabCalc[NAfter]),"#,#0")&amp;"xM@"&amp;_xlfn.XLOOKUP(J15,TabCalc[Ticker],TabCalc[M])&amp;          ", A@ "&amp;TRUNC(_xlfn.XLOOKUP(J15,TabCalc[Ticker],TabCalc[A]),2)&amp;           ", Y@ "&amp; _xlfn.XLOOKUP(J15,TabCalc[Ticker],TabCalc[Y])&amp;               ", L_Bp@ "&amp;TRUNC(_xlfn.XLOOKUP(J15,TabCalc[Ticker],TabCalc[L_Bp]),2)&amp;"x"&amp;_xlfn.XLOOKUP(J15,TabCalc[Ticker],TabCalc[L_Bn])&amp;                                  ", L_Sp@ "&amp;IFERROR(TRUNC(_xlfn.XLOOKUP(J15,TabCalc[Ticker],TabCalc[L_Sp]),2),0)&amp;"x"&amp;_xlfn.XLOOKUP(J15,TabCalc[Ticker],TabCalc[L_Sn])&amp;", Cl@ "&amp;_xlfn.XLOOKUP(J15,ListTickers,Tab1Close[Close20])&amp;", Low@ "&amp;_xlfn.XLOOKUP(J15,ListTickers,Tab1Low[Low20])&amp;", High@ "&amp;_xlfn.XLOOKUP(J15,ListTickers,Tab1High[High20])&amp;  ", Agio="&amp;TEXT(_xlfn.XLOOKUP(J15,TabCalc[Ticker],TabCalc[Agiotage]),"#0%"),"")</f>
        <v/>
      </c>
      <c r="I15" s="446" t="str" cm="1">
        <f t="array" ref="I15">IF(D15&lt;&gt;"",IFERROR(_xlfn.IFS(AND(C15="Limit",G15&lt;=0), "Enter Limit price",   AND(B15=Sell,_xlfn.XLOOKUP(J15,TabCalc[Ticker],TabCalc[NAfter])&lt;Mail!F15),"No enough stock"),""),"")</f>
        <v/>
      </c>
      <c r="J15" s="34" t="str">
        <f t="shared" ref="J15:J24" si="2">IF(OR(D15="MVE",D15="SAF",D15="JB"),   D15&amp;E15,         IF(E15&lt;&gt;"",E15,""))</f>
        <v/>
      </c>
    </row>
    <row r="16" spans="1:10" ht="23" thickBot="1">
      <c r="A16" s="429"/>
      <c r="B16" s="445"/>
      <c r="C16" s="445"/>
      <c r="D16" s="1028"/>
      <c r="E16" s="57"/>
      <c r="F16" s="431"/>
      <c r="G16" s="441"/>
      <c r="H16" s="442" t="str" cm="1">
        <f t="array" aca="1" ref="H16" ca="1">IFERROR(TEXT(_xlfn.XLOOKUP(J16,TabCalc[Ticker],TabCalc[NAfter]),"#,#0")&amp;"xM@"&amp;_xlfn.XLOOKUP(J16,TabCalc[Ticker],TabCalc[M])&amp;          ", A@ "&amp;TRUNC(_xlfn.XLOOKUP(J16,TabCalc[Ticker],TabCalc[A]),2)&amp;           ", Y@ "&amp; _xlfn.XLOOKUP(J16,TabCalc[Ticker],TabCalc[Y])&amp;               ", L_Bp@ "&amp;TRUNC(_xlfn.XLOOKUP(J16,TabCalc[Ticker],TabCalc[L_Bp]),2)&amp;"x"&amp;_xlfn.XLOOKUP(J16,TabCalc[Ticker],TabCalc[L_Bn])&amp;                                  ", L_Sp@ "&amp;IFERROR(TRUNC(_xlfn.XLOOKUP(J16,TabCalc[Ticker],TabCalc[L_Sp]),2),0)&amp;"x"&amp;_xlfn.XLOOKUP(J16,TabCalc[Ticker],TabCalc[L_Sn])&amp;", Cl@ "&amp;_xlfn.XLOOKUP(J16,ListTickers,Tab1Close[Close20])&amp;", Low@ "&amp;_xlfn.XLOOKUP(J16,ListTickers,Tab1Low[Low20])&amp;", High@ "&amp;_xlfn.XLOOKUP(J16,ListTickers,Tab1High[High20])&amp;  ", Agio="&amp;TEXT(_xlfn.XLOOKUP(J16,TabCalc[Ticker],TabCalc[Agiotage]),"#0%"),"")</f>
        <v/>
      </c>
      <c r="I16" s="446" t="str" cm="1">
        <f t="array" ref="I16">IF(D16&lt;&gt;"",IFERROR(_xlfn.IFS(AND(C16="Limit",G16&lt;=0), "Enter Limit price",   AND(B16=Sell,_xlfn.XLOOKUP(J16,TabCalc[Ticker],TabCalc[NAfter])&lt;Mail!F16),"No enough stock"),""),"")</f>
        <v/>
      </c>
      <c r="J16" s="34" t="str">
        <f t="shared" si="2"/>
        <v/>
      </c>
    </row>
    <row r="17" spans="1:10" ht="23" thickBot="1">
      <c r="A17" s="429"/>
      <c r="B17" s="443"/>
      <c r="C17" s="443"/>
      <c r="D17" s="1026"/>
      <c r="E17" s="57"/>
      <c r="F17" s="58"/>
      <c r="G17" s="440"/>
      <c r="H17" s="442" t="str" cm="1">
        <f t="array" aca="1" ref="H17" ca="1">IFERROR(TEXT(_xlfn.XLOOKUP(J17,TabCalc[Ticker],TabCalc[NAfter]),"#,#0")&amp;"xM@"&amp;_xlfn.XLOOKUP(J17,TabCalc[Ticker],TabCalc[M])&amp;          ", A@ "&amp;TRUNC(_xlfn.XLOOKUP(J17,TabCalc[Ticker],TabCalc[A]),2)&amp;           ", Y@ "&amp; _xlfn.XLOOKUP(J17,TabCalc[Ticker],TabCalc[Y])&amp;               ", L_Bp@ "&amp;TRUNC(_xlfn.XLOOKUP(J17,TabCalc[Ticker],TabCalc[L_Bp]),2)&amp;"x"&amp;_xlfn.XLOOKUP(J17,TabCalc[Ticker],TabCalc[L_Bn])&amp;                                  ", L_Sp@ "&amp;IFERROR(TRUNC(_xlfn.XLOOKUP(J17,TabCalc[Ticker],TabCalc[L_Sp]),2),0)&amp;"x"&amp;_xlfn.XLOOKUP(J17,TabCalc[Ticker],TabCalc[L_Sn])&amp;", Cl@ "&amp;_xlfn.XLOOKUP(J17,ListTickers,Tab1Close[Close20])&amp;", Low@ "&amp;_xlfn.XLOOKUP(J17,ListTickers,Tab1Low[Low20])&amp;", High@ "&amp;_xlfn.XLOOKUP(J17,ListTickers,Tab1High[High20])&amp;  ", Agio="&amp;TEXT(_xlfn.XLOOKUP(J17,TabCalc[Ticker],TabCalc[Agiotage]),"#0%"),"")</f>
        <v/>
      </c>
      <c r="I17" s="446" t="str" cm="1">
        <f t="array" ref="I17">IF(D17&lt;&gt;"",IFERROR(_xlfn.IFS(AND(C17="Limit",G17&lt;=0), "Enter Limit price",   AND(B17=Sell,_xlfn.XLOOKUP(J17,TabCalc[Ticker],TabCalc[NAfter])&lt;Mail!F17),"No enough stock"),""),"")</f>
        <v/>
      </c>
      <c r="J17" s="34" t="str">
        <f t="shared" si="2"/>
        <v/>
      </c>
    </row>
    <row r="18" spans="1:10" ht="23" thickBot="1">
      <c r="A18" s="429"/>
      <c r="B18" s="443"/>
      <c r="C18" s="443"/>
      <c r="D18" s="1026"/>
      <c r="E18" s="57"/>
      <c r="F18" s="58"/>
      <c r="G18" s="440"/>
      <c r="H18" s="442" t="str" cm="1">
        <f t="array" aca="1" ref="H18" ca="1">IFERROR(TEXT(_xlfn.XLOOKUP(J18,TabCalc[Ticker],TabCalc[NAfter]),"#,#0")&amp;"xM@"&amp;_xlfn.XLOOKUP(J18,TabCalc[Ticker],TabCalc[M])&amp;          ", A@ "&amp;TRUNC(_xlfn.XLOOKUP(J18,TabCalc[Ticker],TabCalc[A]),2)&amp;           ", Y@ "&amp; _xlfn.XLOOKUP(J18,TabCalc[Ticker],TabCalc[Y])&amp;               ", L_Bp@ "&amp;TRUNC(_xlfn.XLOOKUP(J18,TabCalc[Ticker],TabCalc[L_Bp]),2)&amp;"x"&amp;_xlfn.XLOOKUP(J18,TabCalc[Ticker],TabCalc[L_Bn])&amp;                                  ", L_Sp@ "&amp;IFERROR(TRUNC(_xlfn.XLOOKUP(J18,TabCalc[Ticker],TabCalc[L_Sp]),2),0)&amp;"x"&amp;_xlfn.XLOOKUP(J18,TabCalc[Ticker],TabCalc[L_Sn])&amp;", Cl@ "&amp;_xlfn.XLOOKUP(J18,ListTickers,Tab1Close[Close20])&amp;", Low@ "&amp;_xlfn.XLOOKUP(J18,ListTickers,Tab1Low[Low20])&amp;", High@ "&amp;_xlfn.XLOOKUP(J18,ListTickers,Tab1High[High20])&amp;  ", Agio="&amp;TEXT(_xlfn.XLOOKUP(J18,TabCalc[Ticker],TabCalc[Agiotage]),"#0%"),"")</f>
        <v/>
      </c>
      <c r="I18" s="446" t="str" cm="1">
        <f t="array" ref="I18">IF(D18&lt;&gt;"",IFERROR(_xlfn.IFS(AND(C18="Limit",G18&lt;=0), "Enter Limit price",   AND(B18=Sell,_xlfn.XLOOKUP(J18,TabCalc[Ticker],TabCalc[NAfter])&lt;Mail!F18),"No enough stock"),""),"")</f>
        <v/>
      </c>
      <c r="J18" s="34" t="str">
        <f t="shared" si="2"/>
        <v/>
      </c>
    </row>
    <row r="19" spans="1:10" ht="23" thickBot="1">
      <c r="A19" s="429"/>
      <c r="B19" s="443"/>
      <c r="C19" s="443"/>
      <c r="D19" s="1026"/>
      <c r="E19" s="57"/>
      <c r="F19" s="58"/>
      <c r="G19" s="440"/>
      <c r="H19" s="442" t="str" cm="1">
        <f t="array" aca="1" ref="H19" ca="1">IFERROR(TEXT(_xlfn.XLOOKUP(J19,TabCalc[Ticker],TabCalc[NAfter]),"#,#0")&amp;"xM@"&amp;_xlfn.XLOOKUP(J19,TabCalc[Ticker],TabCalc[M])&amp;          ", A@ "&amp;TRUNC(_xlfn.XLOOKUP(J19,TabCalc[Ticker],TabCalc[A]),2)&amp;           ", Y@ "&amp; _xlfn.XLOOKUP(J19,TabCalc[Ticker],TabCalc[Y])&amp;               ", L_Bp@ "&amp;TRUNC(_xlfn.XLOOKUP(J19,TabCalc[Ticker],TabCalc[L_Bp]),2)&amp;"x"&amp;_xlfn.XLOOKUP(J19,TabCalc[Ticker],TabCalc[L_Bn])&amp;                                  ", L_Sp@ "&amp;IFERROR(TRUNC(_xlfn.XLOOKUP(J19,TabCalc[Ticker],TabCalc[L_Sp]),2),0)&amp;"x"&amp;_xlfn.XLOOKUP(J19,TabCalc[Ticker],TabCalc[L_Sn])&amp;", Cl@ "&amp;_xlfn.XLOOKUP(J19,ListTickers,Tab1Close[Close20])&amp;", Low@ "&amp;_xlfn.XLOOKUP(J19,ListTickers,Tab1Low[Low20])&amp;", High@ "&amp;_xlfn.XLOOKUP(J19,ListTickers,Tab1High[High20])&amp;  ", Agio="&amp;TEXT(_xlfn.XLOOKUP(J19,TabCalc[Ticker],TabCalc[Agiotage]),"#0%"),"")</f>
        <v/>
      </c>
      <c r="I19" s="446" t="str" cm="1">
        <f t="array" ref="I19">IF(D19&lt;&gt;"",IFERROR(_xlfn.IFS(AND(C19="Limit",G19&lt;=0), "Enter Limit price",   AND(B19=Sell,_xlfn.XLOOKUP(J19,TabCalc[Ticker],TabCalc[NAfter])&lt;Mail!F19),"No enough stock"),""),"")</f>
        <v/>
      </c>
      <c r="J19" s="34" t="str">
        <f t="shared" si="2"/>
        <v/>
      </c>
    </row>
    <row r="20" spans="1:10" ht="23" thickBot="1">
      <c r="A20" s="429"/>
      <c r="B20" s="443"/>
      <c r="C20" s="443"/>
      <c r="D20" s="1026"/>
      <c r="E20" s="57"/>
      <c r="F20" s="58"/>
      <c r="G20" s="440"/>
      <c r="H20" s="442" t="str" cm="1">
        <f t="array" aca="1" ref="H20" ca="1">IFERROR(TEXT(_xlfn.XLOOKUP(J20,TabCalc[Ticker],TabCalc[NAfter]),"#,#0")&amp;"xM@"&amp;_xlfn.XLOOKUP(J20,TabCalc[Ticker],TabCalc[M])&amp;          ", A@ "&amp;TRUNC(_xlfn.XLOOKUP(J20,TabCalc[Ticker],TabCalc[A]),2)&amp;           ", Y@ "&amp; _xlfn.XLOOKUP(J20,TabCalc[Ticker],TabCalc[Y])&amp;               ", L_Bp@ "&amp;TRUNC(_xlfn.XLOOKUP(J20,TabCalc[Ticker],TabCalc[L_Bp]),2)&amp;"x"&amp;_xlfn.XLOOKUP(J20,TabCalc[Ticker],TabCalc[L_Bn])&amp;                                  ", L_Sp@ "&amp;IFERROR(TRUNC(_xlfn.XLOOKUP(J20,TabCalc[Ticker],TabCalc[L_Sp]),2),0)&amp;"x"&amp;_xlfn.XLOOKUP(J20,TabCalc[Ticker],TabCalc[L_Sn])&amp;", Cl@ "&amp;_xlfn.XLOOKUP(J20,ListTickers,Tab1Close[Close20])&amp;", Low@ "&amp;_xlfn.XLOOKUP(J20,ListTickers,Tab1Low[Low20])&amp;", High@ "&amp;_xlfn.XLOOKUP(J20,ListTickers,Tab1High[High20])&amp;  ", Agio="&amp;TEXT(_xlfn.XLOOKUP(J20,TabCalc[Ticker],TabCalc[Agiotage]),"#0%"),"")</f>
        <v/>
      </c>
      <c r="I20" s="446" t="str" cm="1">
        <f t="array" ref="I20">IF(D20&lt;&gt;"",IFERROR(_xlfn.IFS(AND(C20="Limit",G20&lt;=0), "Enter Limit price",   AND(B20=Sell,_xlfn.XLOOKUP(J20,TabCalc[Ticker],TabCalc[NAfter])&lt;Mail!F20),"No enough stock"),""),"")</f>
        <v/>
      </c>
      <c r="J20" s="34" t="str">
        <f t="shared" si="2"/>
        <v/>
      </c>
    </row>
    <row r="21" spans="1:10" ht="23" thickBot="1">
      <c r="A21" s="429"/>
      <c r="B21" s="443"/>
      <c r="C21" s="443"/>
      <c r="D21" s="1026"/>
      <c r="E21" s="57"/>
      <c r="F21" s="58"/>
      <c r="G21" s="440"/>
      <c r="H21" s="442" t="str" cm="1">
        <f t="array" aca="1" ref="H21" ca="1">IFERROR(TEXT(_xlfn.XLOOKUP(J21,TabCalc[Ticker],TabCalc[NAfter]),"#,#0")&amp;"xM@"&amp;_xlfn.XLOOKUP(J21,TabCalc[Ticker],TabCalc[M])&amp;          ", A@ "&amp;TRUNC(_xlfn.XLOOKUP(J21,TabCalc[Ticker],TabCalc[A]),2)&amp;           ", Y@ "&amp; _xlfn.XLOOKUP(J21,TabCalc[Ticker],TabCalc[Y])&amp;               ", L_Bp@ "&amp;TRUNC(_xlfn.XLOOKUP(J21,TabCalc[Ticker],TabCalc[L_Bp]),2)&amp;"x"&amp;_xlfn.XLOOKUP(J21,TabCalc[Ticker],TabCalc[L_Bn])&amp;                                  ", L_Sp@ "&amp;IFERROR(TRUNC(_xlfn.XLOOKUP(J21,TabCalc[Ticker],TabCalc[L_Sp]),2),0)&amp;"x"&amp;_xlfn.XLOOKUP(J21,TabCalc[Ticker],TabCalc[L_Sn])&amp;", Cl@ "&amp;_xlfn.XLOOKUP(J21,ListTickers,Tab1Close[Close20])&amp;", Low@ "&amp;_xlfn.XLOOKUP(J21,ListTickers,Tab1Low[Low20])&amp;", High@ "&amp;_xlfn.XLOOKUP(J21,ListTickers,Tab1High[High20])&amp;  ", Agio="&amp;TEXT(_xlfn.XLOOKUP(J21,TabCalc[Ticker],TabCalc[Agiotage]),"#0%"),"")</f>
        <v/>
      </c>
      <c r="I21" s="446" t="str" cm="1">
        <f t="array" ref="I21">IF(D21&lt;&gt;"",IFERROR(_xlfn.IFS(AND(C21="Limit",G21&lt;=0), "Enter Limit price",   AND(B21=Sell,_xlfn.XLOOKUP(J21,TabCalc[Ticker],TabCalc[NAfter])&lt;Mail!F21),"No enough stock"),""),"")</f>
        <v/>
      </c>
      <c r="J21" s="34" t="str">
        <f t="shared" si="2"/>
        <v/>
      </c>
    </row>
    <row r="22" spans="1:10" ht="23" thickBot="1">
      <c r="A22" s="429"/>
      <c r="B22" s="443"/>
      <c r="C22" s="443"/>
      <c r="D22" s="1026"/>
      <c r="E22" s="57"/>
      <c r="F22" s="58"/>
      <c r="G22" s="440"/>
      <c r="H22" s="442" t="str" cm="1">
        <f t="array" aca="1" ref="H22" ca="1">IFERROR(TEXT(_xlfn.XLOOKUP(J22,TabCalc[Ticker],TabCalc[NAfter]),"#,#0")&amp;"xM@"&amp;_xlfn.XLOOKUP(J22,TabCalc[Ticker],TabCalc[M])&amp;          ", A@ "&amp;TRUNC(_xlfn.XLOOKUP(J22,TabCalc[Ticker],TabCalc[A]),2)&amp;           ", Y@ "&amp; _xlfn.XLOOKUP(J22,TabCalc[Ticker],TabCalc[Y])&amp;               ", L_Bp@ "&amp;TRUNC(_xlfn.XLOOKUP(J22,TabCalc[Ticker],TabCalc[L_Bp]),2)&amp;"x"&amp;_xlfn.XLOOKUP(J22,TabCalc[Ticker],TabCalc[L_Bn])&amp;                                  ", L_Sp@ "&amp;IFERROR(TRUNC(_xlfn.XLOOKUP(J22,TabCalc[Ticker],TabCalc[L_Sp]),2),0)&amp;"x"&amp;_xlfn.XLOOKUP(J22,TabCalc[Ticker],TabCalc[L_Sn])&amp;", Cl@ "&amp;_xlfn.XLOOKUP(J22,ListTickers,Tab1Close[Close20])&amp;", Low@ "&amp;_xlfn.XLOOKUP(J22,ListTickers,Tab1Low[Low20])&amp;", High@ "&amp;_xlfn.XLOOKUP(J22,ListTickers,Tab1High[High20])&amp;  ", Agio="&amp;TEXT(_xlfn.XLOOKUP(J22,TabCalc[Ticker],TabCalc[Agiotage]),"#0%"),"")</f>
        <v/>
      </c>
      <c r="I22" s="446" t="str" cm="1">
        <f t="array" ref="I22">IF(D22&lt;&gt;"",IFERROR(_xlfn.IFS(AND(C22="Limit",G22&lt;=0), "Enter Limit price",   AND(B22=Sell,_xlfn.XLOOKUP(J22,TabCalc[Ticker],TabCalc[NAfter])&lt;Mail!F22),"No enough stock"),""),"")</f>
        <v/>
      </c>
      <c r="J22" s="34" t="str">
        <f t="shared" si="2"/>
        <v/>
      </c>
    </row>
    <row r="23" spans="1:10" ht="23" thickBot="1">
      <c r="A23" s="429"/>
      <c r="B23" s="443"/>
      <c r="C23" s="443"/>
      <c r="D23" s="1026"/>
      <c r="E23" s="57"/>
      <c r="F23" s="58"/>
      <c r="G23" s="440"/>
      <c r="H23" s="442" t="str" cm="1">
        <f t="array" aca="1" ref="H23" ca="1">IFERROR(TEXT(_xlfn.XLOOKUP(J23,TabCalc[Ticker],TabCalc[NAfter]),"#,#0")&amp;"xM@"&amp;_xlfn.XLOOKUP(J23,TabCalc[Ticker],TabCalc[M])&amp;          ", A@ "&amp;TRUNC(_xlfn.XLOOKUP(J23,TabCalc[Ticker],TabCalc[A]),2)&amp;           ", Y@ "&amp; _xlfn.XLOOKUP(J23,TabCalc[Ticker],TabCalc[Y])&amp;               ", L_Bp@ "&amp;TRUNC(_xlfn.XLOOKUP(J23,TabCalc[Ticker],TabCalc[L_Bp]),2)&amp;"x"&amp;_xlfn.XLOOKUP(J23,TabCalc[Ticker],TabCalc[L_Bn])&amp;                                  ", L_Sp@ "&amp;IFERROR(TRUNC(_xlfn.XLOOKUP(J23,TabCalc[Ticker],TabCalc[L_Sp]),2),0)&amp;"x"&amp;_xlfn.XLOOKUP(J23,TabCalc[Ticker],TabCalc[L_Sn])&amp;", Cl@ "&amp;_xlfn.XLOOKUP(J23,ListTickers,Tab1Close[Close20])&amp;", Low@ "&amp;_xlfn.XLOOKUP(J23,ListTickers,Tab1Low[Low20])&amp;", High@ "&amp;_xlfn.XLOOKUP(J23,ListTickers,Tab1High[High20])&amp;  ", Agio="&amp;TEXT(_xlfn.XLOOKUP(J23,TabCalc[Ticker],TabCalc[Agiotage]),"#0%"),"")</f>
        <v/>
      </c>
      <c r="I23" s="446" t="str" cm="1">
        <f t="array" ref="I23">IF(D23&lt;&gt;"",IFERROR(_xlfn.IFS(AND(C23="Limit",G23&lt;=0), "Enter Limit price",   AND(B23=Sell,_xlfn.XLOOKUP(J23,TabCalc[Ticker],TabCalc[NAfter])&lt;Mail!F23),"No enough stock"),""),"")</f>
        <v/>
      </c>
      <c r="J23" s="34" t="str">
        <f t="shared" si="2"/>
        <v/>
      </c>
    </row>
    <row r="24" spans="1:10" ht="23" thickBot="1">
      <c r="A24" s="430"/>
      <c r="B24" s="444"/>
      <c r="C24" s="444"/>
      <c r="D24" s="1027"/>
      <c r="E24" s="57"/>
      <c r="F24" s="58"/>
      <c r="G24" s="440"/>
      <c r="H24" s="442" t="str" cm="1">
        <f t="array" aca="1" ref="H24" ca="1">IFERROR(TEXT(_xlfn.XLOOKUP(J24,TabCalc[Ticker],TabCalc[NAfter]),"#,#0")&amp;"xM@"&amp;_xlfn.XLOOKUP(J24,TabCalc[Ticker],TabCalc[M])&amp;          ", A@ "&amp;TRUNC(_xlfn.XLOOKUP(J24,TabCalc[Ticker],TabCalc[A]),2)&amp;           ", Y@ "&amp; _xlfn.XLOOKUP(J24,TabCalc[Ticker],TabCalc[Y])&amp;               ", L_Bp@ "&amp;TRUNC(_xlfn.XLOOKUP(J24,TabCalc[Ticker],TabCalc[L_Bp]),2)&amp;"x"&amp;_xlfn.XLOOKUP(J24,TabCalc[Ticker],TabCalc[L_Bn])&amp;                                  ", L_Sp@ "&amp;IFERROR(TRUNC(_xlfn.XLOOKUP(J24,TabCalc[Ticker],TabCalc[L_Sp]),2),0)&amp;"x"&amp;_xlfn.XLOOKUP(J24,TabCalc[Ticker],TabCalc[L_Sn])&amp;", Cl@ "&amp;_xlfn.XLOOKUP(J24,ListTickers,Tab1Close[Close20])&amp;", Low@ "&amp;_xlfn.XLOOKUP(J24,ListTickers,Tab1Low[Low20])&amp;", High@ "&amp;_xlfn.XLOOKUP(J24,ListTickers,Tab1High[High20])&amp;  ", Agio="&amp;TEXT(_xlfn.XLOOKUP(J24,TabCalc[Ticker],TabCalc[Agiotage]),"#0%"),"")</f>
        <v/>
      </c>
      <c r="I24" s="446" t="str" cm="1">
        <f t="array" ref="I24">IF(D24&lt;&gt;"",IFERROR(_xlfn.IFS(AND(C24="Limit",G24&lt;=0), "Enter Limit price",   AND(B24=Sell,_xlfn.XLOOKUP(J24,TabCalc[Ticker],TabCalc[NAfter])&lt;Mail!F24),"No enough stock"),""),"")</f>
        <v/>
      </c>
      <c r="J24" s="34" t="str">
        <f t="shared" si="2"/>
        <v/>
      </c>
    </row>
    <row r="25" spans="1:10" ht="23" thickBot="1">
      <c r="A25" s="1019"/>
      <c r="B25" s="1020"/>
      <c r="C25" s="1021"/>
      <c r="D25" s="1022"/>
      <c r="E25" s="1023"/>
      <c r="F25" s="1024"/>
      <c r="G25" s="1025" t="s">
        <v>2446</v>
      </c>
      <c r="H25" s="1029" t="str">
        <f>E29 &amp; IF(F30&lt;&gt;"",", "&amp;_xlfn.TEXTJOIN(", ", TRUE, F30,F31,F32,F33),"")</f>
        <v>Please SELL today EOAN 3,000 shares at price 16.12 for account .002</v>
      </c>
      <c r="I25" s="446"/>
      <c r="J25" s="34"/>
    </row>
    <row r="26" spans="1:10" ht="23" thickBot="1">
      <c r="A26" s="34"/>
      <c r="B26" s="34"/>
      <c r="C26" s="34"/>
      <c r="D26" s="59" t="s">
        <v>149</v>
      </c>
      <c r="E26" s="414" t="str">
        <f>F3</f>
        <v>Dear Laurent,</v>
      </c>
      <c r="F26" s="413"/>
      <c r="G26" s="415"/>
      <c r="H26" s="432" t="str">
        <f>E26</f>
        <v>Dear Laurent,</v>
      </c>
      <c r="I26" s="34"/>
      <c r="J26" s="34"/>
    </row>
    <row r="27" spans="1:10">
      <c r="A27" s="34"/>
      <c r="B27" s="34"/>
      <c r="C27" s="34"/>
      <c r="D27" s="40"/>
      <c r="E27" s="418" t="s">
        <v>150</v>
      </c>
      <c r="F27" s="419"/>
      <c r="G27" s="420"/>
      <c r="H27" s="432" t="str">
        <f>E27</f>
        <v>Please make the following trade:</v>
      </c>
      <c r="I27" s="34"/>
      <c r="J27" s="34"/>
    </row>
    <row r="28" spans="1:10">
      <c r="A28" s="34"/>
      <c r="B28" s="34"/>
      <c r="C28" s="34"/>
      <c r="D28" s="40"/>
      <c r="E28" s="416"/>
      <c r="F28" s="413" t="str">
        <f>IFERROR(RIGHT(E28,LEN(E28-6)),"")</f>
        <v/>
      </c>
      <c r="G28" s="415"/>
      <c r="H28" s="432"/>
      <c r="I28" s="34"/>
      <c r="J28" s="34"/>
    </row>
    <row r="29" spans="1:10">
      <c r="A29" s="34"/>
      <c r="B29" s="34"/>
      <c r="C29" s="34"/>
      <c r="D29" s="40"/>
      <c r="E29" s="416" t="str" cm="1">
        <f t="array" ref="E29">IFERROR(IF(ISTEXT(B11),"Please "&amp;_xlfn.IFS(B11="Sell","SELL today",B11="Buy","BUY today",ISBLANK(B11),"")&amp;" "&amp;E11&amp;" "&amp;TEXT(F11,"#,#0")&amp;" shares "&amp;_xlfn.IFS(C11="Market",AtMarket,C11="Limit",AtPrice&amp;" "&amp;G11)&amp;" for account "&amp;_xlfn.IFS(D11=D$5,Acct2,D11="MVE",AcctMVE,D11="SAF",AcctSAF,D11="JB",AcctJB),""),"")</f>
        <v>Please SELL today EOAN 3,000 shares at price 16.12 for account .002</v>
      </c>
      <c r="F29" s="413" t="str">
        <f>IFERROR(RIGHT(E29,LEN(E29)-6),"")</f>
        <v xml:space="preserve"> SELL today EOAN 3,000 shares at price 16.12 for account .002</v>
      </c>
      <c r="G29" s="415"/>
      <c r="H29" s="432" t="str">
        <f>E29</f>
        <v>Please SELL today EOAN 3,000 shares at price 16.12 for account .002</v>
      </c>
      <c r="I29" s="34"/>
      <c r="J29" s="34"/>
    </row>
    <row r="30" spans="1:10">
      <c r="A30" s="34"/>
      <c r="B30" s="34" t="b">
        <f>ISBLANK(E30)</f>
        <v>0</v>
      </c>
      <c r="C30" s="34"/>
      <c r="D30" s="40"/>
      <c r="E30" s="416" t="str" cm="1">
        <f t="array" ref="E30">_xlfn.IFS(ISBLANK(E12),"",TRUE,IFERROR(IF(ISTEXT(B12),"Please "&amp;_xlfn.IFS(B12="Sell","SELL today",B12="Buy","BUY today",ISBLANK(B12),"")&amp;" "&amp;E12&amp;" "&amp;TEXT(F12,"#,#0")&amp;" shares "&amp;_xlfn.IFS(C12="Market",AtMarket,C12="Limit",AtPrice&amp;" "&amp;G12)&amp;" for account "&amp;_xlfn.IFS(D12=D$5,Acct2,D12="MVE",AcctMVE,D12="SAF",AcctSAF,D12="JB",AcctJB),""),""))</f>
        <v/>
      </c>
      <c r="F30" s="413" t="str">
        <f t="shared" ref="F30:F33" si="3">IFERROR(RIGHT(E30,LEN(E30)-6),"")</f>
        <v/>
      </c>
      <c r="G30" s="415"/>
      <c r="H30" s="432" t="str">
        <f>IF(E30="",E34,E30)</f>
        <v/>
      </c>
      <c r="I30" s="34"/>
      <c r="J30" s="34"/>
    </row>
    <row r="31" spans="1:10">
      <c r="A31" s="34"/>
      <c r="B31" s="34"/>
      <c r="C31" s="34"/>
      <c r="D31" s="40"/>
      <c r="E31" s="416" t="str" cm="1">
        <f t="array" ref="E31">_xlfn.IFS(ISBLANK(E13),"",TRUE,IFERROR(IF(ISTEXT(B13),"Please "&amp;_xlfn.IFS(B13="Sell","SELL today",B13="Buy","BUY today",ISBLANK(B13),"")&amp;" "&amp;E13&amp;" "&amp;TEXT(F13,"#,#0")&amp;" shares "&amp;_xlfn.IFS(C13="Market",AtMarket,C13="Limit",AtPrice&amp;" "&amp;G13)&amp;" for account "&amp;_xlfn.IFS(D13=D$5,Acct2,D13="MVE",AcctMVE,D13="SAF",AcctSAF,D13="JB",AcctJB),""),""))</f>
        <v/>
      </c>
      <c r="F31" s="413" t="str">
        <f t="shared" si="3"/>
        <v/>
      </c>
      <c r="G31" s="415"/>
      <c r="H31" s="432" t="str" cm="1">
        <f t="array" ref="H31">_xlfn.IFS(E31&lt;&gt;"",E31,H30="",E35,H30&lt;&gt;"","")</f>
        <v>Please inform about the execution.</v>
      </c>
      <c r="I31" s="34"/>
      <c r="J31" s="34"/>
    </row>
    <row r="32" spans="1:10">
      <c r="A32" s="34"/>
      <c r="B32" s="34"/>
      <c r="C32" s="34"/>
      <c r="D32" s="40"/>
      <c r="E32" s="416" t="str" cm="1">
        <f t="array" ref="E32">_xlfn.IFS(ISBLANK(E14),"",TRUE,IFERROR(IF(ISTEXT(B14),"Please "&amp;_xlfn.IFS(B14="Sell","SELL today",B14="Buy","BUY today",ISBLANK(B14),"")&amp;" "&amp;E14&amp;" "&amp;TEXT(F14,"#,#0")&amp;" shares "&amp;_xlfn.IFS(C14="Market",AtMarket,C14="Limit",AtPrice&amp;" "&amp;G14)&amp;" for account "&amp;_xlfn.IFS(D14=D$5,Acct2,D14="MVE",AcctMVE,D14="SAF",AcctSAF,D14="JB",AcctJB),""),""))</f>
        <v/>
      </c>
      <c r="F32" s="413" t="str">
        <f t="shared" si="3"/>
        <v/>
      </c>
      <c r="G32" s="415"/>
      <c r="H32" s="432" t="str" cm="1">
        <f t="array" ref="H32">_xlfn.IFS(E32&lt;&gt;"",E32,H31="",E35,E31=H31,"",H31=E35,E36,H31="",E35)</f>
        <v>Thanks in advance!</v>
      </c>
      <c r="I32" s="34"/>
      <c r="J32" s="34"/>
    </row>
    <row r="33" spans="1:10">
      <c r="A33" s="34"/>
      <c r="B33" s="34"/>
      <c r="C33" s="34"/>
      <c r="D33" s="40"/>
      <c r="E33" s="416" t="str" cm="1">
        <f t="array" ref="E33">_xlfn.IFS(ISBLANK(E15),"",TRUE,IFERROR(IF(ISTEXT(B15),"Please "&amp;_xlfn.IFS(B15="Sell","SELL today",B15="Buy","BUY today",ISBLANK(B15),"")&amp;" "&amp;E15&amp;" "&amp;TEXT(F15,"#,#0")&amp;" shares "&amp;_xlfn.IFS(C15="Market",AtMarket,C15="Limit",AtPrice&amp;" "&amp;G15)&amp;" for account "&amp;_xlfn.IFS(D15=D$5,Acct2,D15="MVE",AcctMVE,D15="SAF",AcctSAF,D15="JB",AcctJB),""),""))</f>
        <v/>
      </c>
      <c r="F33" s="413" t="str">
        <f t="shared" si="3"/>
        <v/>
      </c>
      <c r="G33" s="415"/>
      <c r="H33" s="432" t="str" cm="1">
        <f t="array" ref="H33">IFERROR(_xlfn.IFS(E33&lt;&gt;"",E33,H32="",E35,H32=E35,E36,H32=E36,E37,H32="",E35),"")</f>
        <v>Best regards,</v>
      </c>
      <c r="I33" s="34"/>
      <c r="J33" s="34"/>
    </row>
    <row r="34" spans="1:10">
      <c r="A34" s="34"/>
      <c r="B34" s="34"/>
      <c r="C34" s="34"/>
      <c r="D34" s="40"/>
      <c r="E34" s="416" t="str" cm="1">
        <f t="array" ref="E34">_xlfn.IFS(ISBLANK(E16),"",TRUE,IFERROR(IF(ISTEXT(B16),"Please "&amp;_xlfn.IFS(B16="Sell","SELL today",B16="Buy","BUY today",ISBLANK(B16),"")&amp;" "&amp;E16&amp;" "&amp;TEXT(F16,"#,#0")&amp;" shares "&amp;_xlfn.IFS(C16="Market",AtMarket,C16="Limit",AtPrice&amp;" "&amp;G16)&amp;" for account "&amp;_xlfn.IFS(D16=D$5,Acct2,D16="MVE",AcctMVE,D16="SAF",AcctSAF,D16="JB",AcctJB),""),""))</f>
        <v/>
      </c>
      <c r="F34" s="413" t="str">
        <f t="shared" ref="F34" si="4">IFERROR(RIGHT(E34,LEN(E34-6)),"")</f>
        <v/>
      </c>
      <c r="G34" s="415"/>
      <c r="H34" s="432" t="str" cm="1">
        <f t="array" ref="H34">IFERROR(_xlfn.IFS(H33="",E35,H33=E33,"",H33=E35,E36,H33=E36,E37,H33=E37,E38),"")</f>
        <v>Kosta</v>
      </c>
      <c r="I34" s="34"/>
      <c r="J34" s="34"/>
    </row>
    <row r="35" spans="1:10">
      <c r="A35" s="34"/>
      <c r="B35" s="34"/>
      <c r="C35" s="34"/>
      <c r="D35" s="40"/>
      <c r="E35" s="418" t="s">
        <v>154</v>
      </c>
      <c r="F35" s="419"/>
      <c r="G35" s="420"/>
      <c r="H35" s="432" t="str" cm="1">
        <f t="array" ref="H35">IFERROR(_xlfn.IFS(H34="",E35,H34=E35,E36,H34=E36,E37,H34=E37,E38),"")</f>
        <v/>
      </c>
      <c r="I35" s="34"/>
      <c r="J35" s="34"/>
    </row>
    <row r="36" spans="1:10">
      <c r="A36" s="34"/>
      <c r="B36" s="34"/>
      <c r="C36" s="34"/>
      <c r="D36" s="40"/>
      <c r="E36" s="418" t="s">
        <v>151</v>
      </c>
      <c r="F36" s="419"/>
      <c r="G36" s="420"/>
      <c r="H36" s="432" t="str" cm="1">
        <f t="array" ref="H36">IFERROR(_xlfn.IFS(H35=E35,E36,H35=E36,E37,H35=E37,E38,H35=E38,E39),"")</f>
        <v/>
      </c>
      <c r="I36" s="34"/>
      <c r="J36" s="34"/>
    </row>
    <row r="37" spans="1:10">
      <c r="A37" s="34"/>
      <c r="B37" s="40"/>
      <c r="C37" s="40"/>
      <c r="D37" s="40"/>
      <c r="E37" s="418" t="s">
        <v>152</v>
      </c>
      <c r="F37" s="419"/>
      <c r="G37" s="420"/>
      <c r="H37" s="432" t="str" cm="1">
        <f t="array" ref="H37">IFERROR(_xlfn.IFS(H36=E36,E37,H36=E37,E38,H36=E38,E39,H36=E39,E40),"")</f>
        <v xml:space="preserve"> </v>
      </c>
      <c r="I37" s="34"/>
      <c r="J37" s="34"/>
    </row>
    <row r="38" spans="1:10" ht="23" thickBot="1">
      <c r="A38" s="34"/>
      <c r="B38" s="40"/>
      <c r="C38" s="40"/>
      <c r="D38" s="40"/>
      <c r="E38" s="421" t="s">
        <v>153</v>
      </c>
      <c r="F38" s="422"/>
      <c r="G38" s="423"/>
      <c r="H38" s="432" t="str" cm="1">
        <f t="array" ref="H38">_xlfn.IFS(H37=E37,E38,E37&lt;&gt;H37,"")</f>
        <v/>
      </c>
      <c r="I38" s="34"/>
      <c r="J38" s="34"/>
    </row>
    <row r="39" spans="1:10">
      <c r="A39" s="34"/>
      <c r="B39" s="34"/>
      <c r="C39" s="34"/>
      <c r="D39" s="34"/>
      <c r="E39" s="34" t="str">
        <f>""</f>
        <v/>
      </c>
      <c r="F39" s="34"/>
      <c r="G39" s="34"/>
      <c r="H39" s="34"/>
      <c r="I39" s="34"/>
      <c r="J39" s="34"/>
    </row>
    <row r="40" spans="1:10">
      <c r="A40" s="34"/>
      <c r="B40" s="60"/>
      <c r="C40" s="60"/>
      <c r="D40" s="60"/>
      <c r="E40" s="61" t="str">
        <f>" "</f>
        <v xml:space="preserve"> </v>
      </c>
      <c r="F40" s="61"/>
      <c r="G40" s="61"/>
      <c r="H40" s="61"/>
      <c r="I40" s="61"/>
      <c r="J40" s="61"/>
    </row>
    <row r="41" spans="1:10">
      <c r="A41" s="34"/>
      <c r="B41" s="34"/>
      <c r="C41" s="34"/>
      <c r="D41" s="34"/>
      <c r="E41" s="34"/>
      <c r="F41" s="34"/>
      <c r="G41" s="34"/>
      <c r="H41" s="34"/>
      <c r="I41" s="34"/>
      <c r="J41" s="34"/>
    </row>
    <row r="42" spans="1:10">
      <c r="A42" s="34"/>
      <c r="B42" s="34"/>
      <c r="C42" s="34"/>
      <c r="D42" s="34"/>
      <c r="E42" s="34"/>
      <c r="F42" s="34"/>
      <c r="G42" s="34"/>
      <c r="H42" s="34"/>
      <c r="I42" s="34"/>
      <c r="J42" s="34"/>
    </row>
    <row r="43" spans="1:10">
      <c r="A43" s="34"/>
      <c r="B43" s="34"/>
      <c r="C43" s="34"/>
      <c r="D43" s="34"/>
      <c r="E43" s="34"/>
      <c r="F43" s="34"/>
      <c r="G43" s="34"/>
      <c r="H43" s="34"/>
      <c r="I43" s="34"/>
      <c r="J43" s="34"/>
    </row>
    <row r="44" spans="1:10">
      <c r="A44" s="34"/>
      <c r="B44" s="34"/>
      <c r="C44" s="34"/>
      <c r="D44" s="34"/>
      <c r="E44" s="34"/>
      <c r="F44" s="34"/>
      <c r="G44" s="34"/>
      <c r="H44" s="34"/>
      <c r="I44" s="34"/>
      <c r="J44" s="34"/>
    </row>
    <row r="45" spans="1:10">
      <c r="A45" s="34"/>
      <c r="B45" s="34"/>
      <c r="C45" s="34"/>
      <c r="D45" s="34"/>
      <c r="E45" s="34"/>
      <c r="F45" s="34"/>
      <c r="G45" s="34"/>
      <c r="H45" s="34"/>
      <c r="I45" s="34"/>
      <c r="J45" s="34"/>
    </row>
    <row r="46" spans="1:10">
      <c r="A46" s="34"/>
      <c r="B46" s="34"/>
      <c r="C46" s="34"/>
      <c r="D46" s="34"/>
      <c r="E46" s="34"/>
      <c r="F46" s="34"/>
      <c r="G46" s="34"/>
      <c r="H46" s="34"/>
      <c r="I46" s="34"/>
      <c r="J46" s="34"/>
    </row>
    <row r="47" spans="1:10">
      <c r="A47" s="34"/>
      <c r="B47" s="34"/>
      <c r="C47" s="34"/>
      <c r="D47" s="34"/>
      <c r="E47" s="34"/>
      <c r="F47" s="34"/>
      <c r="G47" s="34"/>
      <c r="H47" s="34"/>
      <c r="I47" s="34"/>
      <c r="J47" s="34"/>
    </row>
    <row r="48" spans="1:10">
      <c r="A48" s="34"/>
      <c r="B48" s="34"/>
      <c r="C48" s="34"/>
      <c r="D48" s="34"/>
      <c r="E48" s="34"/>
      <c r="F48" s="34"/>
      <c r="G48" s="34"/>
      <c r="H48" s="34"/>
      <c r="I48" s="34"/>
      <c r="J48" s="34"/>
    </row>
    <row r="49" spans="1:12">
      <c r="A49" s="34"/>
      <c r="B49" s="34"/>
      <c r="C49" s="34"/>
      <c r="D49" s="34"/>
      <c r="E49" s="34"/>
      <c r="F49" s="34"/>
      <c r="G49" s="34"/>
      <c r="H49" s="34"/>
      <c r="I49" s="34"/>
      <c r="J49" s="34"/>
    </row>
    <row r="50" spans="1:12">
      <c r="A50" s="34"/>
      <c r="B50" s="34"/>
      <c r="C50" s="34"/>
      <c r="D50" s="34"/>
      <c r="E50" s="34"/>
      <c r="F50" s="34"/>
      <c r="G50" s="34"/>
      <c r="H50" s="34"/>
      <c r="I50" s="34"/>
      <c r="J50" s="34"/>
    </row>
    <row r="51" spans="1:12">
      <c r="A51" s="34"/>
      <c r="B51" s="34"/>
      <c r="C51" s="34"/>
      <c r="D51" s="34"/>
      <c r="E51" s="34"/>
      <c r="F51" s="34"/>
      <c r="G51" s="34"/>
      <c r="H51" s="34"/>
      <c r="I51" s="34"/>
      <c r="J51" s="34"/>
    </row>
    <row r="52" spans="1:12">
      <c r="A52" s="34"/>
      <c r="B52" s="34"/>
      <c r="C52" s="34"/>
      <c r="D52" s="34"/>
      <c r="E52" s="34"/>
      <c r="F52" s="34"/>
      <c r="G52" s="34"/>
      <c r="H52" s="34"/>
      <c r="I52" s="34"/>
      <c r="J52" s="34"/>
    </row>
    <row r="53" spans="1:12">
      <c r="A53" s="34"/>
      <c r="B53" s="34"/>
      <c r="C53" s="34"/>
      <c r="D53" s="34"/>
      <c r="E53" s="34"/>
      <c r="F53" s="34"/>
      <c r="G53" s="34"/>
      <c r="H53" s="34"/>
      <c r="I53" s="34"/>
      <c r="J53" s="34"/>
    </row>
    <row r="54" spans="1:12">
      <c r="A54" s="34"/>
      <c r="B54" s="34"/>
      <c r="C54" s="34"/>
      <c r="D54" s="34"/>
      <c r="E54" s="34"/>
      <c r="F54" s="34"/>
      <c r="G54" s="34"/>
      <c r="H54" s="34"/>
      <c r="I54" s="34"/>
      <c r="J54" s="34"/>
    </row>
    <row r="55" spans="1:12">
      <c r="A55" s="34"/>
      <c r="B55" s="34"/>
      <c r="C55" s="34"/>
      <c r="D55" s="34"/>
      <c r="E55" s="34"/>
      <c r="F55" s="34"/>
      <c r="G55" s="34"/>
      <c r="H55" s="34"/>
      <c r="I55" s="34"/>
      <c r="J55" s="34"/>
    </row>
    <row r="56" spans="1:12">
      <c r="A56" s="34"/>
      <c r="B56" s="34"/>
      <c r="C56" s="34"/>
      <c r="D56" s="34"/>
      <c r="E56" s="34"/>
      <c r="F56" s="34"/>
      <c r="G56" s="34"/>
      <c r="H56" s="34"/>
      <c r="I56" s="34"/>
      <c r="J56" s="34"/>
    </row>
    <row r="57" spans="1:12">
      <c r="A57" s="34"/>
      <c r="B57" s="34"/>
      <c r="C57" s="34"/>
      <c r="D57" s="34"/>
      <c r="E57" s="34"/>
      <c r="F57" s="34"/>
      <c r="G57" s="34"/>
      <c r="H57" s="34"/>
      <c r="I57" s="34"/>
      <c r="J57" s="34"/>
      <c r="K57" s="34"/>
      <c r="L57" s="425"/>
    </row>
    <row r="58" spans="1:12">
      <c r="A58" s="34"/>
      <c r="B58" s="34"/>
      <c r="C58" s="34"/>
      <c r="D58" s="34"/>
      <c r="E58" s="34"/>
      <c r="F58" s="34"/>
      <c r="G58" s="34"/>
      <c r="H58" s="34"/>
      <c r="I58" s="34"/>
      <c r="J58" s="34"/>
      <c r="K58" s="34"/>
      <c r="L58" s="425"/>
    </row>
    <row r="59" spans="1:12">
      <c r="A59" s="34"/>
      <c r="B59" s="34"/>
      <c r="C59" s="34"/>
      <c r="D59" s="34"/>
      <c r="E59" s="34"/>
      <c r="F59" s="34"/>
      <c r="G59" s="34"/>
      <c r="H59" s="34"/>
      <c r="I59" s="34"/>
      <c r="J59" s="34"/>
      <c r="K59" s="34"/>
      <c r="L59" s="425"/>
    </row>
    <row r="60" spans="1:12">
      <c r="A60" s="34"/>
      <c r="B60" s="34"/>
      <c r="C60" s="34"/>
      <c r="D60" s="34"/>
      <c r="E60" s="34"/>
      <c r="F60" s="34"/>
      <c r="G60" s="34"/>
      <c r="H60" s="34"/>
      <c r="I60" s="34"/>
      <c r="J60" s="34"/>
      <c r="K60" s="34"/>
      <c r="L60" s="426"/>
    </row>
    <row r="61" spans="1:12">
      <c r="A61" s="34"/>
      <c r="B61" s="34"/>
      <c r="C61" s="34"/>
      <c r="D61" s="34"/>
      <c r="E61" s="34"/>
      <c r="F61" s="34"/>
      <c r="G61" s="34"/>
      <c r="H61" s="34"/>
      <c r="I61" s="34"/>
      <c r="J61" s="34"/>
      <c r="K61" s="34"/>
      <c r="L61" s="425"/>
    </row>
    <row r="62" spans="1:12">
      <c r="A62" s="34"/>
      <c r="B62" s="34"/>
      <c r="C62" s="34"/>
      <c r="D62" s="34"/>
      <c r="E62" s="34"/>
      <c r="F62" s="34"/>
      <c r="G62" s="34"/>
      <c r="H62" s="34"/>
      <c r="I62" s="34"/>
      <c r="J62" s="34"/>
      <c r="K62" s="34"/>
      <c r="L62" s="425"/>
    </row>
    <row r="63" spans="1:12">
      <c r="A63" s="34"/>
      <c r="B63" s="34"/>
      <c r="C63" s="34"/>
      <c r="D63" s="34"/>
      <c r="E63" s="34"/>
      <c r="F63" s="34"/>
      <c r="G63" s="34"/>
      <c r="H63" s="34"/>
      <c r="I63" s="34"/>
      <c r="J63" s="34"/>
      <c r="K63" s="34"/>
      <c r="L63" s="425"/>
    </row>
    <row r="64" spans="1:12">
      <c r="A64" s="34"/>
      <c r="B64" s="34"/>
      <c r="C64" s="34"/>
      <c r="D64" s="34"/>
      <c r="E64" s="34"/>
      <c r="F64" s="34"/>
      <c r="G64" s="34"/>
      <c r="H64" s="34"/>
      <c r="I64" s="34"/>
      <c r="J64" s="34"/>
      <c r="K64" s="34"/>
      <c r="L64" s="425"/>
    </row>
    <row r="65" spans="1:12">
      <c r="A65" s="34"/>
      <c r="B65" s="34"/>
      <c r="C65" s="34"/>
      <c r="D65" s="34"/>
      <c r="E65" s="34"/>
      <c r="F65" s="34"/>
      <c r="G65" s="34"/>
      <c r="H65" s="34"/>
      <c r="I65" s="34"/>
      <c r="J65" s="34"/>
      <c r="K65" s="34"/>
      <c r="L65" s="425"/>
    </row>
    <row r="66" spans="1:12">
      <c r="A66" s="34"/>
      <c r="B66" s="34"/>
      <c r="C66" s="34"/>
      <c r="D66" s="34"/>
      <c r="E66" s="34"/>
      <c r="F66" s="34"/>
      <c r="G66" s="34"/>
      <c r="H66" s="34"/>
      <c r="I66" s="34"/>
      <c r="J66" s="34"/>
      <c r="K66" s="34"/>
      <c r="L66" s="425"/>
    </row>
    <row r="67" spans="1:12">
      <c r="A67" s="34"/>
      <c r="B67" s="34"/>
      <c r="C67" s="34"/>
      <c r="D67" s="34"/>
      <c r="E67" s="34"/>
      <c r="F67" s="34"/>
      <c r="G67" s="34"/>
      <c r="H67" s="34"/>
      <c r="I67" s="34"/>
      <c r="J67" s="34"/>
      <c r="K67" s="34"/>
      <c r="L67" s="425"/>
    </row>
    <row r="68" spans="1:12">
      <c r="A68" s="34"/>
      <c r="B68" s="34"/>
      <c r="C68" s="34"/>
      <c r="D68" s="34"/>
      <c r="E68" s="34"/>
      <c r="F68" s="34"/>
      <c r="G68" s="34"/>
      <c r="H68" s="34"/>
      <c r="I68" s="34"/>
      <c r="J68" s="34"/>
      <c r="K68" s="34"/>
      <c r="L68" s="425"/>
    </row>
    <row r="69" spans="1:12">
      <c r="A69" s="34"/>
      <c r="B69" s="34"/>
      <c r="C69" s="34"/>
      <c r="D69" s="34"/>
      <c r="E69" s="34"/>
      <c r="F69" s="34"/>
      <c r="G69" s="34"/>
      <c r="H69" s="34"/>
      <c r="I69" s="34"/>
      <c r="J69" s="34"/>
      <c r="K69" s="34"/>
      <c r="L69" s="425"/>
    </row>
    <row r="70" spans="1:12">
      <c r="A70" s="34"/>
      <c r="B70" s="34"/>
      <c r="C70" s="34"/>
      <c r="D70" s="34"/>
      <c r="E70" s="34"/>
      <c r="F70" s="34"/>
      <c r="G70" s="34"/>
      <c r="H70" s="34"/>
      <c r="I70" s="34"/>
      <c r="J70" s="34"/>
      <c r="K70" s="34"/>
      <c r="L70" s="425"/>
    </row>
    <row r="71" spans="1:12">
      <c r="A71" s="34"/>
      <c r="B71" s="34"/>
      <c r="C71" s="34"/>
      <c r="D71" s="34"/>
      <c r="E71" s="34"/>
      <c r="F71" s="34"/>
      <c r="G71" s="34"/>
      <c r="H71" s="34"/>
      <c r="I71" s="34"/>
      <c r="J71" s="34"/>
      <c r="K71" s="34"/>
      <c r="L71" s="425"/>
    </row>
    <row r="72" spans="1:12">
      <c r="A72" s="34"/>
      <c r="B72" s="34"/>
      <c r="C72" s="34"/>
      <c r="D72" s="34"/>
      <c r="E72" s="34"/>
      <c r="F72" s="34"/>
      <c r="G72" s="34"/>
      <c r="H72" s="34"/>
      <c r="I72" s="34"/>
      <c r="J72" s="34"/>
      <c r="K72" s="34"/>
      <c r="L72" s="425"/>
    </row>
    <row r="73" spans="1:12">
      <c r="A73" s="34"/>
      <c r="B73" s="34"/>
      <c r="C73" s="34"/>
      <c r="D73" s="34"/>
      <c r="E73" s="34"/>
      <c r="F73" s="34"/>
      <c r="G73" s="34"/>
      <c r="H73" s="34"/>
      <c r="I73" s="34"/>
      <c r="J73" s="34"/>
      <c r="K73" s="34"/>
      <c r="L73" s="425"/>
    </row>
    <row r="74" spans="1:12">
      <c r="A74" s="34"/>
      <c r="B74" s="34"/>
      <c r="C74" s="34"/>
      <c r="D74" s="34"/>
      <c r="E74" s="34"/>
      <c r="F74" s="34"/>
      <c r="G74" s="34"/>
      <c r="H74" s="34"/>
      <c r="I74" s="34"/>
      <c r="J74" s="34"/>
      <c r="K74" s="34"/>
      <c r="L74" s="425"/>
    </row>
    <row r="75" spans="1:12">
      <c r="A75" s="34"/>
      <c r="B75" s="34"/>
      <c r="C75" s="34"/>
      <c r="D75" s="34"/>
      <c r="E75" s="34"/>
      <c r="F75" s="34"/>
      <c r="G75" s="34"/>
      <c r="H75" s="34"/>
      <c r="I75" s="34"/>
      <c r="J75" s="34"/>
      <c r="K75" s="34"/>
      <c r="L75" s="425"/>
    </row>
    <row r="76" spans="1:12">
      <c r="A76" s="34"/>
      <c r="B76" s="34"/>
      <c r="C76" s="34"/>
      <c r="D76" s="34"/>
      <c r="E76" s="34"/>
      <c r="F76" s="34"/>
      <c r="G76" s="34"/>
      <c r="H76" s="34"/>
      <c r="I76" s="34"/>
      <c r="J76" s="34"/>
      <c r="K76" s="34"/>
      <c r="L76" s="425"/>
    </row>
    <row r="77" spans="1:12">
      <c r="A77" s="34"/>
      <c r="B77" s="34"/>
      <c r="C77" s="34"/>
      <c r="D77" s="34"/>
      <c r="E77" s="34"/>
      <c r="F77" s="34"/>
      <c r="G77" s="34"/>
      <c r="H77" s="34"/>
      <c r="I77" s="34"/>
      <c r="J77" s="34"/>
      <c r="K77" s="34"/>
      <c r="L77" s="425"/>
    </row>
    <row r="78" spans="1:12">
      <c r="A78" s="34"/>
      <c r="B78" s="34"/>
      <c r="C78" s="34"/>
      <c r="D78" s="34"/>
      <c r="E78" s="34"/>
      <c r="F78" s="34"/>
      <c r="G78" s="34"/>
      <c r="H78" s="34"/>
      <c r="I78" s="34"/>
      <c r="J78" s="34"/>
      <c r="K78" s="34"/>
      <c r="L78" s="425"/>
    </row>
    <row r="79" spans="1:12">
      <c r="A79" s="34"/>
      <c r="B79" s="34"/>
      <c r="C79" s="34"/>
      <c r="D79" s="34"/>
      <c r="E79" s="34"/>
      <c r="F79" s="34"/>
      <c r="G79" s="34"/>
      <c r="H79" s="34"/>
      <c r="I79" s="34"/>
      <c r="J79" s="34"/>
      <c r="K79" s="34"/>
      <c r="L79" s="425"/>
    </row>
    <row r="80" spans="1:12">
      <c r="A80" s="34"/>
      <c r="B80" s="34"/>
      <c r="C80" s="34"/>
      <c r="D80" s="34"/>
      <c r="E80" s="34"/>
      <c r="F80" s="34"/>
      <c r="G80" s="34"/>
      <c r="H80" s="34"/>
      <c r="I80" s="34"/>
      <c r="J80" s="34"/>
      <c r="K80" s="34"/>
      <c r="L80" s="425"/>
    </row>
    <row r="81" spans="1:10">
      <c r="A81" s="34"/>
      <c r="B81" s="34"/>
      <c r="C81" s="34"/>
      <c r="D81" s="34"/>
      <c r="E81" s="34"/>
      <c r="F81" s="34"/>
      <c r="G81" s="34"/>
      <c r="H81" s="34"/>
      <c r="I81" s="34"/>
      <c r="J81" s="34"/>
    </row>
    <row r="82" spans="1:10">
      <c r="A82" s="34"/>
      <c r="B82" s="34"/>
      <c r="C82" s="34"/>
      <c r="D82" s="34"/>
      <c r="E82" s="34"/>
      <c r="F82" s="34"/>
      <c r="G82" s="34"/>
      <c r="H82" s="34"/>
      <c r="I82" s="34"/>
      <c r="J82" s="34"/>
    </row>
    <row r="83" spans="1:10">
      <c r="A83" s="34"/>
      <c r="B83" s="34"/>
      <c r="C83" s="34"/>
      <c r="D83" s="34"/>
      <c r="E83" s="34"/>
      <c r="F83" s="34"/>
      <c r="G83" s="34"/>
      <c r="H83" s="34"/>
      <c r="I83" s="34"/>
      <c r="J83" s="34"/>
    </row>
    <row r="84" spans="1:10">
      <c r="A84" s="34"/>
      <c r="B84" s="34"/>
      <c r="C84" s="34"/>
      <c r="D84" s="34"/>
      <c r="E84" s="34"/>
      <c r="F84" s="34"/>
      <c r="G84" s="34"/>
      <c r="H84" s="34"/>
      <c r="I84" s="34"/>
      <c r="J84" s="34"/>
    </row>
    <row r="85" spans="1:10">
      <c r="A85" s="34"/>
      <c r="B85" s="34"/>
      <c r="C85" s="34"/>
      <c r="D85" s="34"/>
      <c r="E85" s="34"/>
      <c r="F85" s="34"/>
      <c r="G85" s="34"/>
      <c r="H85" s="34"/>
      <c r="I85" s="34"/>
      <c r="J85" s="34"/>
    </row>
    <row r="86" spans="1:10">
      <c r="A86" s="34"/>
      <c r="B86" s="34"/>
      <c r="C86" s="34"/>
      <c r="D86" s="34"/>
      <c r="E86" s="34"/>
      <c r="F86" s="34"/>
      <c r="G86" s="34"/>
      <c r="H86" s="34"/>
      <c r="I86" s="34"/>
      <c r="J86" s="34"/>
    </row>
    <row r="87" spans="1:10">
      <c r="A87" s="34"/>
      <c r="B87" s="34"/>
      <c r="C87" s="34"/>
      <c r="D87" s="34"/>
      <c r="E87" s="34"/>
      <c r="F87" s="34"/>
      <c r="G87" s="34"/>
      <c r="H87" s="34"/>
      <c r="I87" s="34"/>
      <c r="J87" s="34"/>
    </row>
    <row r="88" spans="1:10">
      <c r="A88" s="34"/>
      <c r="B88" s="34"/>
      <c r="C88" s="34"/>
      <c r="D88" s="34"/>
      <c r="E88" s="34"/>
      <c r="F88" s="34"/>
      <c r="G88" s="34"/>
      <c r="H88" s="34"/>
      <c r="I88" s="34"/>
      <c r="J88" s="34"/>
    </row>
    <row r="89" spans="1:10">
      <c r="A89" s="34"/>
      <c r="B89" s="34"/>
      <c r="C89" s="34"/>
      <c r="D89" s="34"/>
      <c r="E89" s="34"/>
      <c r="F89" s="34"/>
      <c r="G89" s="34"/>
      <c r="H89" s="34"/>
      <c r="I89" s="34"/>
      <c r="J89" s="34"/>
    </row>
    <row r="90" spans="1:10">
      <c r="A90" s="34"/>
      <c r="B90" s="34"/>
      <c r="C90" s="34"/>
      <c r="D90" s="34"/>
      <c r="E90" s="34"/>
      <c r="F90" s="34"/>
      <c r="G90" s="34"/>
      <c r="H90" s="34"/>
      <c r="I90" s="34"/>
      <c r="J90" s="34"/>
    </row>
    <row r="91" spans="1:10">
      <c r="A91" s="34"/>
      <c r="B91" s="34"/>
      <c r="C91" s="34"/>
      <c r="D91" s="34"/>
      <c r="E91" s="34"/>
      <c r="F91" s="34"/>
      <c r="G91" s="34"/>
      <c r="H91" s="34"/>
      <c r="I91" s="34"/>
      <c r="J91" s="34"/>
    </row>
    <row r="92" spans="1:10">
      <c r="A92" s="34"/>
      <c r="B92" s="34"/>
      <c r="C92" s="34"/>
      <c r="D92" s="34"/>
      <c r="E92" s="34"/>
      <c r="F92" s="34"/>
      <c r="G92" s="34"/>
      <c r="H92" s="34"/>
      <c r="I92" s="34"/>
      <c r="J92" s="34"/>
    </row>
    <row r="93" spans="1:10">
      <c r="A93" s="34"/>
      <c r="B93" s="34"/>
      <c r="C93" s="34"/>
      <c r="D93" s="34"/>
      <c r="E93" s="34"/>
      <c r="F93" s="34"/>
      <c r="G93" s="34"/>
      <c r="H93" s="34"/>
      <c r="I93" s="34"/>
      <c r="J93" s="34"/>
    </row>
    <row r="94" spans="1:10">
      <c r="A94" s="34"/>
      <c r="B94" s="34"/>
      <c r="C94" s="34"/>
      <c r="D94" s="34"/>
      <c r="E94" s="34"/>
      <c r="F94" s="34"/>
      <c r="G94" s="34"/>
      <c r="H94" s="34"/>
      <c r="I94" s="34"/>
      <c r="J94" s="34"/>
    </row>
    <row r="95" spans="1:10">
      <c r="A95" s="34"/>
      <c r="B95" s="34"/>
      <c r="C95" s="34"/>
      <c r="D95" s="34"/>
      <c r="E95" s="34"/>
      <c r="F95" s="34"/>
      <c r="G95" s="34"/>
      <c r="H95" s="34"/>
      <c r="I95" s="34"/>
      <c r="J95" s="34"/>
    </row>
    <row r="96" spans="1:10">
      <c r="A96" s="34"/>
      <c r="B96" s="34"/>
      <c r="C96" s="34"/>
      <c r="D96" s="34"/>
      <c r="E96" s="34"/>
      <c r="F96" s="34"/>
      <c r="G96" s="34"/>
      <c r="H96" s="34"/>
      <c r="I96" s="34"/>
      <c r="J96" s="34"/>
    </row>
    <row r="97" spans="1:10">
      <c r="A97" s="34"/>
      <c r="B97" s="34"/>
      <c r="C97" s="34"/>
      <c r="D97" s="34"/>
      <c r="E97" s="34"/>
      <c r="F97" s="34"/>
      <c r="G97" s="34"/>
      <c r="H97" s="34"/>
      <c r="I97" s="34"/>
      <c r="J97" s="34"/>
    </row>
    <row r="98" spans="1:10">
      <c r="A98" s="34"/>
      <c r="B98" s="34"/>
      <c r="C98" s="34"/>
      <c r="D98" s="34"/>
      <c r="E98" s="34"/>
      <c r="F98" s="34"/>
      <c r="G98" s="34"/>
      <c r="H98" s="34"/>
      <c r="I98" s="34"/>
      <c r="J98" s="34"/>
    </row>
    <row r="99" spans="1:10">
      <c r="A99" s="34"/>
      <c r="B99" s="34"/>
      <c r="C99" s="34"/>
      <c r="D99" s="34"/>
      <c r="E99" s="34"/>
      <c r="F99" s="34"/>
      <c r="G99" s="34"/>
      <c r="H99" s="34"/>
      <c r="I99" s="34"/>
      <c r="J99" s="34"/>
    </row>
    <row r="100" spans="1:10">
      <c r="A100" s="34"/>
      <c r="B100" s="34"/>
      <c r="C100" s="34"/>
      <c r="D100" s="34"/>
      <c r="E100" s="34"/>
      <c r="F100" s="34"/>
      <c r="G100" s="34"/>
      <c r="H100" s="34"/>
      <c r="I100" s="34"/>
      <c r="J100" s="34"/>
    </row>
    <row r="101" spans="1:10">
      <c r="A101" s="34"/>
      <c r="B101" s="34"/>
      <c r="C101" s="34"/>
      <c r="D101" s="34"/>
      <c r="E101" s="34"/>
      <c r="F101" s="34"/>
      <c r="G101" s="34"/>
      <c r="H101" s="34"/>
      <c r="I101" s="34"/>
      <c r="J101" s="34"/>
    </row>
    <row r="102" spans="1:10">
      <c r="A102" s="34"/>
      <c r="B102" s="34"/>
      <c r="C102" s="34"/>
      <c r="D102" s="34"/>
      <c r="E102" s="34"/>
      <c r="F102" s="34"/>
      <c r="G102" s="34"/>
      <c r="H102" s="34"/>
      <c r="I102" s="34"/>
      <c r="J102" s="34"/>
    </row>
    <row r="103" spans="1:10">
      <c r="A103" s="34"/>
      <c r="B103" s="34"/>
      <c r="C103" s="34"/>
      <c r="D103" s="34"/>
      <c r="E103" s="34"/>
      <c r="F103" s="34"/>
      <c r="G103" s="34"/>
      <c r="H103" s="34"/>
      <c r="I103" s="34"/>
      <c r="J103" s="34"/>
    </row>
    <row r="104" spans="1:10">
      <c r="A104" s="34"/>
      <c r="B104" s="34"/>
      <c r="C104" s="34"/>
      <c r="D104" s="34"/>
      <c r="E104" s="34"/>
      <c r="F104" s="34"/>
      <c r="G104" s="34"/>
      <c r="H104" s="34"/>
      <c r="I104" s="34"/>
      <c r="J104" s="34"/>
    </row>
    <row r="105" spans="1:10">
      <c r="A105" s="34"/>
      <c r="B105" s="34"/>
      <c r="C105" s="34"/>
      <c r="D105" s="34"/>
      <c r="E105" s="34"/>
      <c r="F105" s="34"/>
      <c r="G105" s="34"/>
      <c r="H105" s="34"/>
      <c r="I105" s="34"/>
      <c r="J105" s="34"/>
    </row>
    <row r="106" spans="1:10">
      <c r="A106" s="34"/>
      <c r="B106" s="34"/>
      <c r="C106" s="34"/>
      <c r="D106" s="34"/>
      <c r="E106" s="34"/>
      <c r="F106" s="34"/>
      <c r="G106" s="34"/>
      <c r="H106" s="34"/>
      <c r="I106" s="34"/>
      <c r="J106" s="34"/>
    </row>
    <row r="107" spans="1:10">
      <c r="A107" s="34"/>
      <c r="B107" s="34"/>
      <c r="C107" s="34"/>
      <c r="D107" s="34"/>
      <c r="E107" s="34"/>
      <c r="F107" s="34"/>
      <c r="G107" s="34"/>
      <c r="H107" s="34"/>
      <c r="I107" s="34"/>
      <c r="J107" s="34"/>
    </row>
    <row r="108" spans="1:10">
      <c r="A108" s="34"/>
      <c r="B108" s="34"/>
      <c r="C108" s="34"/>
      <c r="D108" s="34"/>
      <c r="E108" s="34"/>
      <c r="F108" s="34"/>
      <c r="G108" s="34"/>
      <c r="H108" s="34"/>
      <c r="I108" s="34"/>
      <c r="J108" s="34"/>
    </row>
    <row r="109" spans="1:10">
      <c r="A109" s="34"/>
      <c r="B109" s="34"/>
      <c r="C109" s="34"/>
      <c r="D109" s="34"/>
      <c r="E109" s="34"/>
      <c r="F109" s="34"/>
      <c r="G109" s="34"/>
      <c r="H109" s="34"/>
      <c r="I109" s="34"/>
      <c r="J109" s="34"/>
    </row>
    <row r="110" spans="1:10">
      <c r="A110" s="34"/>
      <c r="B110" s="34"/>
      <c r="C110" s="34"/>
      <c r="D110" s="34"/>
      <c r="E110" s="34"/>
      <c r="F110" s="34"/>
      <c r="G110" s="34"/>
      <c r="H110" s="34"/>
      <c r="I110" s="34"/>
      <c r="J110" s="34"/>
    </row>
    <row r="111" spans="1:10">
      <c r="A111" s="34"/>
      <c r="B111" s="34"/>
      <c r="C111" s="34"/>
      <c r="D111" s="34"/>
      <c r="E111" s="34"/>
      <c r="F111" s="34"/>
      <c r="G111" s="34"/>
      <c r="H111" s="34"/>
      <c r="I111" s="34"/>
      <c r="J111" s="34"/>
    </row>
    <row r="112" spans="1:10">
      <c r="A112" s="34"/>
      <c r="B112" s="34"/>
      <c r="C112" s="34"/>
      <c r="D112" s="34"/>
      <c r="E112" s="34"/>
      <c r="F112" s="34"/>
      <c r="G112" s="34"/>
      <c r="H112" s="34"/>
      <c r="I112" s="34"/>
      <c r="J112" s="34"/>
    </row>
    <row r="113" spans="1:10">
      <c r="A113" s="34"/>
      <c r="B113" s="34"/>
      <c r="C113" s="34"/>
      <c r="D113" s="34"/>
      <c r="E113" s="34"/>
      <c r="F113" s="34"/>
      <c r="G113" s="34"/>
      <c r="H113" s="34"/>
      <c r="I113" s="34"/>
      <c r="J113" s="34"/>
    </row>
    <row r="114" spans="1:10">
      <c r="A114" s="34"/>
      <c r="B114" s="34"/>
      <c r="C114" s="34"/>
      <c r="D114" s="34"/>
      <c r="E114" s="34"/>
      <c r="F114" s="34"/>
      <c r="G114" s="34"/>
      <c r="H114" s="34"/>
      <c r="I114" s="34"/>
      <c r="J114" s="34"/>
    </row>
    <row r="115" spans="1:10">
      <c r="A115" s="34"/>
      <c r="B115" s="34"/>
      <c r="C115" s="34"/>
      <c r="D115" s="34"/>
      <c r="E115" s="34"/>
      <c r="F115" s="34"/>
      <c r="G115" s="34"/>
      <c r="H115" s="34"/>
      <c r="I115" s="34"/>
      <c r="J115" s="34"/>
    </row>
    <row r="116" spans="1:10">
      <c r="A116" s="34"/>
      <c r="B116" s="34"/>
      <c r="C116" s="34"/>
      <c r="D116" s="34"/>
      <c r="E116" s="34"/>
      <c r="F116" s="34"/>
      <c r="G116" s="34"/>
      <c r="H116" s="34"/>
      <c r="I116" s="34"/>
      <c r="J116" s="34"/>
    </row>
    <row r="117" spans="1:10">
      <c r="A117" s="34"/>
      <c r="B117" s="34"/>
      <c r="C117" s="34"/>
      <c r="D117" s="34"/>
      <c r="E117" s="34"/>
      <c r="F117" s="34"/>
      <c r="G117" s="34"/>
      <c r="H117" s="34"/>
      <c r="I117" s="34"/>
      <c r="J117" s="34"/>
    </row>
    <row r="118" spans="1:10">
      <c r="A118" s="34"/>
      <c r="B118" s="34"/>
      <c r="C118" s="34"/>
      <c r="D118" s="34"/>
      <c r="E118" s="34"/>
      <c r="F118" s="34"/>
      <c r="G118" s="34"/>
      <c r="H118" s="34"/>
      <c r="I118" s="34"/>
      <c r="J118" s="34"/>
    </row>
    <row r="119" spans="1:10">
      <c r="A119" s="34"/>
      <c r="B119" s="34"/>
      <c r="C119" s="34"/>
      <c r="D119" s="34"/>
      <c r="E119" s="34"/>
      <c r="F119" s="34"/>
      <c r="G119" s="34"/>
      <c r="H119" s="34"/>
      <c r="I119" s="34"/>
      <c r="J119" s="34"/>
    </row>
    <row r="120" spans="1:10">
      <c r="A120" s="34"/>
      <c r="B120" s="34"/>
      <c r="C120" s="34"/>
      <c r="D120" s="34"/>
      <c r="E120" s="34"/>
      <c r="F120" s="34"/>
      <c r="G120" s="34"/>
      <c r="H120" s="34"/>
      <c r="I120" s="34"/>
      <c r="J120" s="34"/>
    </row>
    <row r="121" spans="1:10">
      <c r="A121" s="34"/>
      <c r="B121" s="34"/>
      <c r="C121" s="34"/>
      <c r="D121" s="34"/>
      <c r="E121" s="34"/>
      <c r="F121" s="34"/>
      <c r="G121" s="34"/>
      <c r="H121" s="34"/>
      <c r="I121" s="34"/>
      <c r="J121" s="34"/>
    </row>
    <row r="122" spans="1:10">
      <c r="A122" s="34"/>
      <c r="B122" s="34"/>
      <c r="C122" s="34"/>
      <c r="D122" s="34"/>
      <c r="E122" s="34"/>
      <c r="F122" s="34"/>
      <c r="G122" s="34"/>
      <c r="H122" s="34"/>
      <c r="I122" s="34"/>
      <c r="J122" s="34"/>
    </row>
    <row r="123" spans="1:10">
      <c r="A123" s="34"/>
      <c r="B123" s="34"/>
      <c r="C123" s="34"/>
      <c r="D123" s="34"/>
      <c r="E123" s="34"/>
      <c r="F123" s="34"/>
      <c r="G123" s="34"/>
      <c r="H123" s="34"/>
      <c r="I123" s="34"/>
      <c r="J123" s="34"/>
    </row>
    <row r="124" spans="1:10">
      <c r="A124" s="34"/>
      <c r="B124" s="34"/>
      <c r="C124" s="34"/>
      <c r="D124" s="34"/>
      <c r="E124" s="34"/>
      <c r="F124" s="34"/>
      <c r="G124" s="34"/>
      <c r="H124" s="34"/>
      <c r="I124" s="34"/>
      <c r="J124" s="34"/>
    </row>
    <row r="125" spans="1:10">
      <c r="A125" s="34"/>
      <c r="B125" s="34"/>
      <c r="C125" s="34"/>
      <c r="D125" s="34"/>
      <c r="E125" s="34"/>
      <c r="F125" s="34"/>
      <c r="G125" s="34"/>
      <c r="H125" s="34"/>
      <c r="I125" s="34"/>
      <c r="J125" s="34"/>
    </row>
    <row r="126" spans="1:10">
      <c r="A126" s="34"/>
      <c r="B126" s="34"/>
      <c r="C126" s="34"/>
      <c r="D126" s="34"/>
      <c r="E126" s="34"/>
      <c r="F126" s="34"/>
      <c r="G126" s="34"/>
      <c r="H126" s="34"/>
      <c r="I126" s="34"/>
      <c r="J126" s="34"/>
    </row>
    <row r="127" spans="1:10">
      <c r="A127" s="34"/>
      <c r="B127" s="34"/>
      <c r="C127" s="34"/>
      <c r="D127" s="34"/>
      <c r="E127" s="34"/>
      <c r="F127" s="34"/>
      <c r="G127" s="34"/>
      <c r="H127" s="34"/>
      <c r="I127" s="34"/>
      <c r="J127" s="34"/>
    </row>
    <row r="128" spans="1:10">
      <c r="A128" s="34"/>
      <c r="B128" s="34"/>
      <c r="C128" s="34"/>
      <c r="D128" s="34"/>
      <c r="E128" s="34"/>
      <c r="F128" s="34"/>
      <c r="G128" s="34"/>
      <c r="H128" s="34"/>
      <c r="I128" s="34"/>
      <c r="J128" s="34"/>
    </row>
    <row r="129" spans="1:10">
      <c r="A129" s="34"/>
      <c r="B129" s="34"/>
      <c r="C129" s="34"/>
      <c r="D129" s="34"/>
      <c r="E129" s="34"/>
      <c r="F129" s="34"/>
      <c r="G129" s="34"/>
      <c r="H129" s="34"/>
      <c r="I129" s="34"/>
      <c r="J129" s="34"/>
    </row>
    <row r="130" spans="1:10">
      <c r="A130" s="34"/>
      <c r="B130" s="34"/>
      <c r="C130" s="34"/>
      <c r="D130" s="34"/>
      <c r="E130" s="34"/>
      <c r="F130" s="34"/>
      <c r="G130" s="34"/>
      <c r="H130" s="34"/>
      <c r="I130" s="34"/>
      <c r="J130" s="34"/>
    </row>
    <row r="131" spans="1:10">
      <c r="A131" s="34"/>
      <c r="B131" s="34"/>
      <c r="C131" s="34"/>
      <c r="D131" s="34"/>
      <c r="E131" s="34"/>
      <c r="F131" s="34"/>
      <c r="G131" s="34"/>
      <c r="H131" s="34"/>
      <c r="I131" s="34"/>
      <c r="J131" s="34"/>
    </row>
    <row r="132" spans="1:10">
      <c r="A132" s="34"/>
      <c r="B132" s="34"/>
      <c r="C132" s="34"/>
      <c r="D132" s="34"/>
      <c r="E132" s="34"/>
      <c r="F132" s="34"/>
      <c r="G132" s="34"/>
      <c r="H132" s="34"/>
      <c r="I132" s="34"/>
      <c r="J132" s="34"/>
    </row>
    <row r="133" spans="1:10">
      <c r="A133" s="34"/>
      <c r="B133" s="34"/>
      <c r="C133" s="34"/>
      <c r="D133" s="34"/>
      <c r="E133" s="34"/>
      <c r="F133" s="34"/>
      <c r="G133" s="34"/>
      <c r="H133" s="34"/>
      <c r="I133" s="34"/>
      <c r="J133" s="34"/>
    </row>
    <row r="134" spans="1:10">
      <c r="A134" s="34"/>
      <c r="B134" s="34"/>
      <c r="C134" s="34"/>
      <c r="D134" s="34"/>
      <c r="E134" s="34"/>
      <c r="F134" s="34"/>
      <c r="G134" s="34"/>
      <c r="H134" s="34"/>
      <c r="I134" s="34"/>
      <c r="J134" s="34"/>
    </row>
    <row r="135" spans="1:10">
      <c r="A135" s="34"/>
      <c r="B135" s="34"/>
      <c r="C135" s="34"/>
      <c r="D135" s="34"/>
      <c r="E135" s="34"/>
      <c r="F135" s="34"/>
      <c r="G135" s="34"/>
      <c r="H135" s="34"/>
      <c r="I135" s="34"/>
      <c r="J135" s="34"/>
    </row>
    <row r="136" spans="1:10">
      <c r="A136" s="34"/>
      <c r="B136" s="34"/>
      <c r="C136" s="34"/>
      <c r="D136" s="34"/>
      <c r="E136" s="34"/>
      <c r="F136" s="34"/>
      <c r="G136" s="34"/>
      <c r="H136" s="34"/>
      <c r="I136" s="34"/>
      <c r="J136" s="34"/>
    </row>
    <row r="137" spans="1:10">
      <c r="A137" s="34"/>
      <c r="B137" s="34"/>
      <c r="C137" s="34"/>
      <c r="D137" s="34"/>
      <c r="E137" s="34"/>
      <c r="F137" s="34"/>
      <c r="G137" s="34"/>
      <c r="H137" s="34"/>
      <c r="I137" s="34"/>
      <c r="J137" s="34"/>
    </row>
    <row r="138" spans="1:10">
      <c r="A138" s="34"/>
      <c r="B138" s="34"/>
      <c r="C138" s="34"/>
      <c r="D138" s="34"/>
      <c r="E138" s="34"/>
      <c r="F138" s="34"/>
      <c r="G138" s="34"/>
      <c r="H138" s="34"/>
      <c r="I138" s="34"/>
      <c r="J138" s="34"/>
    </row>
    <row r="139" spans="1:10">
      <c r="A139" s="34"/>
      <c r="B139" s="34"/>
      <c r="C139" s="34"/>
      <c r="D139" s="34"/>
      <c r="E139" s="34"/>
      <c r="F139" s="34"/>
      <c r="G139" s="34"/>
      <c r="H139" s="34"/>
      <c r="I139" s="34"/>
      <c r="J139" s="34"/>
    </row>
    <row r="140" spans="1:10">
      <c r="A140" s="34"/>
      <c r="B140" s="34"/>
      <c r="C140" s="34"/>
      <c r="D140" s="34"/>
      <c r="E140" s="34"/>
      <c r="F140" s="34"/>
      <c r="G140" s="34"/>
      <c r="H140" s="34"/>
      <c r="I140" s="34"/>
      <c r="J140" s="34"/>
    </row>
    <row r="141" spans="1:10">
      <c r="A141" s="34"/>
      <c r="B141" s="34"/>
      <c r="C141" s="34"/>
      <c r="D141" s="34"/>
      <c r="E141" s="34"/>
      <c r="F141" s="34"/>
      <c r="G141" s="34"/>
      <c r="H141" s="34"/>
      <c r="I141" s="34"/>
      <c r="J141" s="34"/>
    </row>
    <row r="142" spans="1:10">
      <c r="A142" s="34"/>
      <c r="B142" s="34"/>
      <c r="C142" s="34"/>
      <c r="D142" s="34"/>
      <c r="E142" s="34"/>
      <c r="F142" s="34"/>
      <c r="G142" s="34"/>
      <c r="H142" s="34"/>
      <c r="I142" s="34"/>
      <c r="J142" s="34"/>
    </row>
    <row r="143" spans="1:10">
      <c r="A143" s="34"/>
      <c r="B143" s="34"/>
      <c r="C143" s="34"/>
      <c r="D143" s="34"/>
      <c r="E143" s="34"/>
      <c r="F143" s="34"/>
      <c r="G143" s="34"/>
      <c r="H143" s="34"/>
      <c r="I143" s="34"/>
      <c r="J143" s="34"/>
    </row>
    <row r="144" spans="1:10">
      <c r="A144" s="34"/>
      <c r="B144" s="34"/>
      <c r="C144" s="34"/>
      <c r="D144" s="34"/>
      <c r="E144" s="34"/>
      <c r="F144" s="34"/>
      <c r="G144" s="34"/>
      <c r="H144" s="34"/>
      <c r="I144" s="34"/>
      <c r="J144" s="34"/>
    </row>
    <row r="145" spans="1:10">
      <c r="A145" s="34"/>
      <c r="B145" s="34"/>
      <c r="C145" s="34"/>
      <c r="D145" s="34"/>
      <c r="E145" s="34"/>
      <c r="F145" s="34"/>
      <c r="G145" s="34"/>
      <c r="H145" s="34"/>
      <c r="I145" s="34"/>
      <c r="J145" s="34"/>
    </row>
    <row r="146" spans="1:10">
      <c r="A146" s="34"/>
      <c r="B146" s="34"/>
      <c r="C146" s="34"/>
      <c r="D146" s="34"/>
      <c r="E146" s="34"/>
      <c r="F146" s="34"/>
      <c r="G146" s="34"/>
      <c r="H146" s="34"/>
      <c r="I146" s="34"/>
      <c r="J146" s="34"/>
    </row>
    <row r="147" spans="1:10">
      <c r="A147" s="34"/>
      <c r="B147" s="34"/>
      <c r="C147" s="34"/>
      <c r="D147" s="34"/>
      <c r="E147" s="34"/>
      <c r="F147" s="34"/>
      <c r="G147" s="34"/>
      <c r="H147" s="34"/>
      <c r="I147" s="34"/>
      <c r="J147" s="34"/>
    </row>
    <row r="148" spans="1:10">
      <c r="A148" s="34"/>
      <c r="B148" s="34"/>
      <c r="C148" s="34"/>
      <c r="D148" s="34"/>
      <c r="E148" s="34"/>
      <c r="F148" s="34"/>
      <c r="G148" s="34"/>
      <c r="H148" s="34"/>
      <c r="I148" s="34"/>
      <c r="J148" s="34"/>
    </row>
    <row r="149" spans="1:10">
      <c r="A149" s="34"/>
      <c r="B149" s="34"/>
      <c r="C149" s="34"/>
      <c r="D149" s="34"/>
      <c r="E149" s="34"/>
      <c r="F149" s="34"/>
      <c r="G149" s="34"/>
      <c r="H149" s="34"/>
      <c r="I149" s="34"/>
      <c r="J149" s="34"/>
    </row>
    <row r="150" spans="1:10">
      <c r="A150" s="34"/>
      <c r="B150" s="34"/>
      <c r="C150" s="34"/>
      <c r="D150" s="34"/>
      <c r="E150" s="34"/>
      <c r="F150" s="34"/>
      <c r="G150" s="34"/>
      <c r="H150" s="34"/>
      <c r="I150" s="34"/>
      <c r="J150" s="34"/>
    </row>
    <row r="151" spans="1:10">
      <c r="A151" s="34"/>
      <c r="B151" s="34"/>
      <c r="C151" s="34"/>
      <c r="D151" s="34"/>
      <c r="E151" s="34"/>
      <c r="F151" s="34"/>
      <c r="G151" s="34"/>
      <c r="H151" s="34"/>
      <c r="I151" s="34"/>
      <c r="J151" s="34"/>
    </row>
    <row r="152" spans="1:10">
      <c r="A152" s="34"/>
      <c r="B152" s="34"/>
      <c r="C152" s="34"/>
      <c r="D152" s="34"/>
      <c r="E152" s="34"/>
      <c r="F152" s="34"/>
      <c r="G152" s="34"/>
      <c r="H152" s="34"/>
      <c r="I152" s="34"/>
      <c r="J152" s="34"/>
    </row>
    <row r="153" spans="1:10">
      <c r="A153" s="34"/>
      <c r="B153" s="34"/>
      <c r="C153" s="34"/>
      <c r="D153" s="34"/>
      <c r="E153" s="34"/>
      <c r="F153" s="34"/>
      <c r="G153" s="34"/>
      <c r="H153" s="34"/>
      <c r="I153" s="34"/>
      <c r="J153" s="34"/>
    </row>
    <row r="154" spans="1:10">
      <c r="A154" s="34"/>
      <c r="B154" s="34"/>
      <c r="C154" s="34"/>
      <c r="D154" s="34"/>
      <c r="E154" s="34"/>
      <c r="F154" s="34"/>
      <c r="G154" s="34"/>
      <c r="H154" s="34"/>
      <c r="I154" s="34"/>
      <c r="J154" s="34"/>
    </row>
    <row r="155" spans="1:10">
      <c r="A155" s="34"/>
      <c r="B155" s="34"/>
      <c r="C155" s="34"/>
      <c r="D155" s="34"/>
      <c r="E155" s="34"/>
      <c r="F155" s="34"/>
      <c r="G155" s="34"/>
      <c r="H155" s="34"/>
      <c r="I155" s="34"/>
      <c r="J155" s="34"/>
    </row>
    <row r="156" spans="1:10">
      <c r="A156" s="34"/>
      <c r="B156" s="34"/>
      <c r="C156" s="34"/>
      <c r="D156" s="34"/>
      <c r="E156" s="34"/>
      <c r="F156" s="34"/>
      <c r="G156" s="34"/>
      <c r="H156" s="34"/>
      <c r="I156" s="34"/>
      <c r="J156" s="34"/>
    </row>
    <row r="157" spans="1:10">
      <c r="A157" s="34"/>
      <c r="B157" s="34"/>
      <c r="C157" s="34"/>
      <c r="D157" s="34"/>
      <c r="E157" s="34"/>
      <c r="F157" s="34"/>
      <c r="G157" s="34"/>
      <c r="H157" s="34"/>
      <c r="I157" s="34"/>
      <c r="J157" s="34"/>
    </row>
    <row r="158" spans="1:10">
      <c r="A158" s="34"/>
      <c r="B158" s="34"/>
      <c r="C158" s="34"/>
      <c r="D158" s="34"/>
      <c r="E158" s="34"/>
      <c r="F158" s="34"/>
      <c r="G158" s="34"/>
      <c r="H158" s="34"/>
      <c r="I158" s="34"/>
      <c r="J158" s="34"/>
    </row>
    <row r="159" spans="1:10">
      <c r="A159" s="34"/>
      <c r="B159" s="34"/>
      <c r="C159" s="34"/>
      <c r="D159" s="34"/>
      <c r="E159" s="34"/>
      <c r="F159" s="34"/>
      <c r="G159" s="34"/>
      <c r="H159" s="34"/>
      <c r="I159" s="34"/>
      <c r="J159" s="34"/>
    </row>
    <row r="160" spans="1:10">
      <c r="A160" s="34"/>
      <c r="B160" s="34"/>
      <c r="C160" s="34"/>
      <c r="D160" s="34"/>
      <c r="E160" s="34"/>
      <c r="F160" s="34"/>
      <c r="G160" s="34"/>
      <c r="H160" s="34"/>
      <c r="I160" s="34"/>
      <c r="J160" s="34"/>
    </row>
    <row r="161" spans="1:10">
      <c r="A161" s="34"/>
      <c r="B161" s="34"/>
      <c r="C161" s="34"/>
      <c r="D161" s="34"/>
      <c r="E161" s="34"/>
      <c r="F161" s="34"/>
      <c r="G161" s="34"/>
      <c r="H161" s="34"/>
      <c r="I161" s="34"/>
      <c r="J161" s="34"/>
    </row>
    <row r="162" spans="1:10">
      <c r="A162" s="34"/>
      <c r="B162" s="34"/>
      <c r="C162" s="34"/>
      <c r="D162" s="34"/>
      <c r="E162" s="34"/>
      <c r="F162" s="34"/>
      <c r="G162" s="34"/>
      <c r="H162" s="34"/>
      <c r="I162" s="34"/>
      <c r="J162" s="34"/>
    </row>
  </sheetData>
  <phoneticPr fontId="47" type="noConversion"/>
  <dataValidations count="6">
    <dataValidation type="list" allowBlank="1" showInputMessage="1" showErrorMessage="1" sqref="E25" xr:uid="{CF43CCC5-3150-1649-A1F4-3CED59D86515}">
      <formula1>#REF!</formula1>
    </dataValidation>
    <dataValidation type="list" allowBlank="1" showInputMessage="1" showErrorMessage="1" sqref="F3" xr:uid="{FC5E33D6-F8BF-DC4F-9E50-85BD3965B4B3}">
      <formula1>$B$3:$E$3</formula1>
    </dataValidation>
    <dataValidation type="list" allowBlank="1" showInputMessage="1" showErrorMessage="1" promptTitle="Question:" prompt=".002 or MVE" sqref="D25" xr:uid="{C9F71740-917E-8447-9654-CD499A4F87F9}">
      <formula1>$D$4:$D$7</formula1>
    </dataValidation>
    <dataValidation type="list" allowBlank="1" showInputMessage="1" showErrorMessage="1" promptTitle="Question:" sqref="C11:C25" xr:uid="{19403C25-895E-DF48-A0E3-3AAEA5D10CC6}">
      <formula1>$C$4:$C$7</formula1>
    </dataValidation>
    <dataValidation type="list" allowBlank="1" showInputMessage="1" showErrorMessage="1" promptTitle="Question:" prompt="Sell or Buy?_x000a_" sqref="B11:B25" xr:uid="{D9AB7410-7DBF-EE4E-8593-E5604FC38AF8}">
      <formula1>$B$3:$B$9</formula1>
    </dataValidation>
    <dataValidation type="list" allowBlank="1" showInputMessage="1" showErrorMessage="1" promptTitle="Question:" prompt=".002 or MVE" sqref="D11:D24" xr:uid="{13123EB2-FDC7-D349-8022-76B0F7BF3CA6}">
      <formula1>$D$4:$D$8</formula1>
    </dataValidation>
  </dataValidations>
  <pageMargins left="0.7" right="0.7" top="0.75" bottom="0.75" header="0.3" footer="0.3"/>
  <ignoredErrors>
    <ignoredError sqref="H30 H36:H37" emptyCellReference="1"/>
    <ignoredError sqref="D5" numberStoredAsText="1"/>
  </ignoredErrors>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942369A-42AE-B048-BC88-A191856443B6}">
          <x14:formula1>
            <xm:f>Calc!$H$3:$H$96</xm:f>
          </x14:formula1>
          <xm:sqref>E11:E24</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BBAA9-13B9-A545-8365-2F0FE3688BBE}">
  <sheetPr codeName="Sheet21"/>
  <dimension ref="A1:L13"/>
  <sheetViews>
    <sheetView workbookViewId="0"/>
  </sheetViews>
  <sheetFormatPr baseColWidth="10" defaultRowHeight="22"/>
  <sheetData>
    <row r="1" spans="1:12">
      <c r="B1" t="s">
        <v>1797</v>
      </c>
      <c r="C1" t="s">
        <v>1812</v>
      </c>
      <c r="D1" t="s">
        <v>1820</v>
      </c>
      <c r="E1" t="s">
        <v>1821</v>
      </c>
      <c r="F1" t="s">
        <v>1822</v>
      </c>
      <c r="G1" t="s">
        <v>1813</v>
      </c>
      <c r="H1" t="s">
        <v>1823</v>
      </c>
      <c r="I1" t="s">
        <v>1824</v>
      </c>
      <c r="J1" t="s">
        <v>1814</v>
      </c>
      <c r="K1" t="s">
        <v>1825</v>
      </c>
      <c r="L1" t="s">
        <v>1826</v>
      </c>
    </row>
    <row r="2" spans="1:12">
      <c r="A2" t="s">
        <v>1827</v>
      </c>
      <c r="B2">
        <v>15000</v>
      </c>
    </row>
    <row r="3" spans="1:12">
      <c r="A3" t="s">
        <v>1828</v>
      </c>
      <c r="B3">
        <v>10000</v>
      </c>
    </row>
    <row r="4" spans="1:12">
      <c r="A4" t="s">
        <v>1811</v>
      </c>
      <c r="B4">
        <v>5000</v>
      </c>
      <c r="C4">
        <v>5000</v>
      </c>
    </row>
    <row r="5" spans="1:12">
      <c r="A5" t="s">
        <v>1829</v>
      </c>
      <c r="D5">
        <v>10000</v>
      </c>
    </row>
    <row r="6" spans="1:12">
      <c r="A6" t="s">
        <v>1815</v>
      </c>
      <c r="D6">
        <v>4957</v>
      </c>
    </row>
    <row r="7" spans="1:12">
      <c r="A7" t="s">
        <v>1816</v>
      </c>
      <c r="D7">
        <v>43</v>
      </c>
      <c r="E7">
        <v>4914</v>
      </c>
    </row>
    <row r="8" spans="1:12">
      <c r="A8" t="s">
        <v>1817</v>
      </c>
      <c r="E8">
        <v>86</v>
      </c>
      <c r="F8">
        <v>9914</v>
      </c>
    </row>
    <row r="9" spans="1:12">
      <c r="A9" t="s">
        <v>1818</v>
      </c>
      <c r="F9">
        <v>86</v>
      </c>
      <c r="G9">
        <v>914</v>
      </c>
    </row>
    <row r="10" spans="1:12">
      <c r="A10" t="s">
        <v>1830</v>
      </c>
      <c r="G10">
        <v>1000</v>
      </c>
      <c r="H10">
        <v>3000</v>
      </c>
    </row>
    <row r="11" spans="1:12">
      <c r="A11" t="s">
        <v>1831</v>
      </c>
      <c r="I11">
        <v>2000</v>
      </c>
      <c r="J11">
        <v>2000</v>
      </c>
    </row>
    <row r="12" spans="1:12">
      <c r="A12" t="s">
        <v>1832</v>
      </c>
      <c r="J12">
        <v>2000</v>
      </c>
      <c r="K12">
        <v>2000</v>
      </c>
    </row>
    <row r="13" spans="1:12">
      <c r="A13" t="s">
        <v>1833</v>
      </c>
      <c r="K13">
        <v>1250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E05BA-2A7D-6C46-880E-9C194A3C0B8C}">
  <sheetPr codeName="Sheet17"/>
  <dimension ref="A1:KO53"/>
  <sheetViews>
    <sheetView topLeftCell="CH1" workbookViewId="0">
      <selection activeCell="CO13" sqref="CO13"/>
    </sheetView>
  </sheetViews>
  <sheetFormatPr baseColWidth="10" defaultRowHeight="22"/>
  <cols>
    <col min="8" max="277" width="10.625" customWidth="1"/>
  </cols>
  <sheetData>
    <row r="1" spans="1:301">
      <c r="B1" s="1253" t="str">
        <f>TabReg[[#Headers],[AAPL]]</f>
        <v>AAPL</v>
      </c>
      <c r="C1" s="1253" t="str">
        <f>TabReg[[#Headers],[AAPL1]]</f>
        <v>AAPL1</v>
      </c>
      <c r="D1" s="1253" t="str">
        <f>TabReg[[#Headers],[AAPL2]]</f>
        <v>AAPL2</v>
      </c>
      <c r="E1" s="1253" t="str">
        <f>TabReg[[#Headers],[ADEA]]</f>
        <v>ADEA</v>
      </c>
      <c r="F1" s="1253" t="str">
        <f>TabReg[[#Headers],[ADEA1]]</f>
        <v>ADEA1</v>
      </c>
      <c r="G1" s="1253" t="str">
        <f>TabReg[[#Headers],[ADEA2]]</f>
        <v>ADEA2</v>
      </c>
      <c r="H1" s="1253" t="str">
        <f>TabReg[[#Headers],[AET]]</f>
        <v>AET</v>
      </c>
      <c r="I1" s="1253" t="str">
        <f>TabReg[[#Headers],[AET1]]</f>
        <v>AET1</v>
      </c>
      <c r="J1" s="1253" t="str">
        <f>TabReg[[#Headers],[AET2]]</f>
        <v>AET2</v>
      </c>
      <c r="K1" s="1253" t="str">
        <f>TabReg[[#Headers],[AMZN]]</f>
        <v>AMZN</v>
      </c>
      <c r="L1" s="1253" t="str">
        <f>TabReg[[#Headers],[AMZN1]]</f>
        <v>AMZN1</v>
      </c>
      <c r="M1" s="1253" t="str">
        <f>TabReg[[#Headers],[AMZN2]]</f>
        <v>AMZN2</v>
      </c>
      <c r="N1" s="1253" t="str">
        <f>TabReg[[#Headers],[ALDNE]]</f>
        <v>ALDNE</v>
      </c>
      <c r="O1" s="1253" t="str">
        <f>TabReg[[#Headers],[ALDNE1]]</f>
        <v>ALDNE1</v>
      </c>
      <c r="P1" s="1253" t="str">
        <f>TabReg[[#Headers],[ALDNE2]]</f>
        <v>ALDNE2</v>
      </c>
      <c r="Q1" s="1253" t="str">
        <f>TabReg[[#Headers],[ASML]]</f>
        <v>ASML</v>
      </c>
      <c r="R1" s="1253" t="str">
        <f>TabReg[[#Headers],[ASML1]]</f>
        <v>ASML1</v>
      </c>
      <c r="S1" s="1253" t="str">
        <f>TabReg[[#Headers],[ASML2]]</f>
        <v>ASML2</v>
      </c>
      <c r="T1" s="1253" t="str">
        <f>TabReg[[#Headers],[AVGO]]</f>
        <v>AVGO</v>
      </c>
      <c r="U1" s="1253" t="str">
        <f>TabReg[[#Headers],[AVGO1]]</f>
        <v>AVGO1</v>
      </c>
      <c r="V1" s="1253" t="str">
        <f>TabReg[[#Headers],[AVGO2]]</f>
        <v>AVGO2</v>
      </c>
      <c r="W1" s="1253" t="str">
        <f>TabReg[[#Headers],[AZN]]</f>
        <v>AZN</v>
      </c>
      <c r="X1" s="1253" t="str">
        <f>TabReg[[#Headers],[AZN1]]</f>
        <v>AZN1</v>
      </c>
      <c r="Y1" s="1253" t="str">
        <f>TabReg[[#Headers],[AZN2]]</f>
        <v>AZN2</v>
      </c>
      <c r="Z1" s="1253" t="str">
        <f>TabReg[[#Headers],[BLDP]]</f>
        <v>BLDP</v>
      </c>
      <c r="AA1" s="1253" t="str">
        <f>TabReg[[#Headers],[BLDP1]]</f>
        <v>BLDP1</v>
      </c>
      <c r="AB1" s="1253" t="str">
        <f>TabReg[[#Headers],[BLDP2]]</f>
        <v>BLDP2</v>
      </c>
      <c r="AC1" s="1253" t="str">
        <f>TabReg[[#Headers],[BMRA]]</f>
        <v>BMRA</v>
      </c>
      <c r="AD1" s="1253" t="str">
        <f>TabReg[[#Headers],[BMRA1]]</f>
        <v>BMRA1</v>
      </c>
      <c r="AE1" s="1253" t="str">
        <f>TabReg[[#Headers],[BMRA2]]</f>
        <v>BMRA2</v>
      </c>
      <c r="AF1" s="1253" t="str">
        <f>TabReg[[#Headers],[C]]</f>
        <v>C</v>
      </c>
      <c r="AG1" s="1253" t="str">
        <f>TabReg[[#Headers],[C1]]</f>
        <v>C1</v>
      </c>
      <c r="AH1" s="1253" t="str">
        <f>TabReg[[#Headers],[C2]]</f>
        <v>C2</v>
      </c>
      <c r="AI1" s="1253" t="str">
        <f>TabReg[[#Headers],[CSCO]]</f>
        <v>CSCO</v>
      </c>
      <c r="AJ1" s="1253" t="str">
        <f>TabReg[[#Headers],[CSCO1]]</f>
        <v>CSCO1</v>
      </c>
      <c r="AK1" s="1253" t="str">
        <f>TabReg[[#Headers],[CSCO2]]</f>
        <v>CSCO2</v>
      </c>
      <c r="AL1" s="1253" t="str">
        <f>TabReg[[#Headers],[CVS]]</f>
        <v>CVS</v>
      </c>
      <c r="AM1" s="1253" t="str">
        <f>TabReg[[#Headers],[CVS1]]</f>
        <v>CVS1</v>
      </c>
      <c r="AN1" s="1253" t="str">
        <f>TabReg[[#Headers],[CVS2]]</f>
        <v>CVS2</v>
      </c>
      <c r="AO1" s="1253" t="str">
        <f>TabReg[[#Headers],[DDD]]</f>
        <v>DDD</v>
      </c>
      <c r="AP1" s="1253" t="str">
        <f>TabReg[[#Headers],[DDD1]]</f>
        <v>DDD1</v>
      </c>
      <c r="AQ1" s="1253" t="str">
        <f>TabReg[[#Headers],[DDD2]]</f>
        <v>DDD2</v>
      </c>
      <c r="AR1" s="1253" t="str">
        <f>TabReg[[#Headers],[DIS]]</f>
        <v>DIS</v>
      </c>
      <c r="AS1" s="1253" t="str">
        <f>TabReg[[#Headers],[DIS1]]</f>
        <v>DIS1</v>
      </c>
      <c r="AT1" s="1253" t="str">
        <f>TabReg[[#Headers],[DIS2]]</f>
        <v>DIS2</v>
      </c>
      <c r="AU1" s="1253" t="str">
        <f>TabReg[[#Headers],[DSY]]</f>
        <v>DSY</v>
      </c>
      <c r="AV1" s="1253" t="str">
        <f>TabReg[[#Headers],[DSY1]]</f>
        <v>DSY1</v>
      </c>
      <c r="AW1" s="1253" t="str">
        <f>TabReg[[#Headers],[DSY2]]</f>
        <v>DSY2</v>
      </c>
      <c r="AX1" s="1253" t="str">
        <f>TabReg[[#Headers],[DVA]]</f>
        <v>DVA</v>
      </c>
      <c r="AY1" s="1253" t="str">
        <f>TabReg[[#Headers],[DVA1]]</f>
        <v>DVA1</v>
      </c>
      <c r="AZ1" s="1253" t="str">
        <f>TabReg[[#Headers],[DVA2]]</f>
        <v>DVA2</v>
      </c>
      <c r="BA1" s="1253" t="str">
        <f>TabReg[[#Headers],[DXC]]</f>
        <v>DXC</v>
      </c>
      <c r="BB1" s="1253" t="str">
        <f>TabReg[[#Headers],[DXC1]]</f>
        <v>DXC1</v>
      </c>
      <c r="BC1" s="1253" t="str">
        <f>TabReg[[#Headers],[DXC2]]</f>
        <v>DXC2</v>
      </c>
      <c r="BD1" s="1253" t="str">
        <f>TabReg[[#Headers],[EOAN]]</f>
        <v>EOAN</v>
      </c>
      <c r="BE1" s="1253" t="str">
        <f>TabReg[[#Headers],[EOAN1]]</f>
        <v>EOAN1</v>
      </c>
      <c r="BF1" s="1253" t="str">
        <f>TabReg[[#Headers],[EOAN2]]</f>
        <v>EOAN2</v>
      </c>
      <c r="BG1" s="1253" t="str">
        <f>TabReg[[#Headers],[EPIX]]</f>
        <v>EPIX</v>
      </c>
      <c r="BH1" s="1253" t="str">
        <f>TabReg[[#Headers],[EPIX1]]</f>
        <v>EPIX1</v>
      </c>
      <c r="BI1" s="1253" t="str">
        <f>TabReg[[#Headers],[EPIX2]]</f>
        <v>EPIX2</v>
      </c>
      <c r="BJ1" s="1253" t="str">
        <f>TabReg[[#Headers],[GM]]</f>
        <v>GM</v>
      </c>
      <c r="BK1" s="1253" t="str">
        <f>TabReg[[#Headers],[GM1]]</f>
        <v>GM1</v>
      </c>
      <c r="BL1" s="1253" t="str">
        <f>TabReg[[#Headers],[GM2]]</f>
        <v>GM2</v>
      </c>
      <c r="BM1" s="1253" t="str">
        <f>TabReg[[#Headers],[HPE]]</f>
        <v>HPE</v>
      </c>
      <c r="BN1" s="1253" t="str">
        <f>TabReg[[#Headers],[HPE1]]</f>
        <v>HPE1</v>
      </c>
      <c r="BO1" s="1253" t="str">
        <f>TabReg[[#Headers],[HPE2]]</f>
        <v>HPE2</v>
      </c>
      <c r="BP1" s="1253" t="str">
        <f>TabReg[[#Headers],[HPQ]]</f>
        <v>HPQ</v>
      </c>
      <c r="BQ1" s="1253" t="str">
        <f>TabReg[[#Headers],[HPQ1]]</f>
        <v>HPQ1</v>
      </c>
      <c r="BR1" s="1253" t="str">
        <f>TabReg[[#Headers],[HPQ2]]</f>
        <v>HPQ2</v>
      </c>
      <c r="BS1" s="1253" t="str">
        <f>TabReg[[#Headers],[IAG]]</f>
        <v>IAG</v>
      </c>
      <c r="BT1" s="1253" t="str">
        <f>TabReg[[#Headers],[IAG1]]</f>
        <v>IAG1</v>
      </c>
      <c r="BU1" s="1253" t="str">
        <f>TabReg[[#Headers],[IAG2]]</f>
        <v>IAG2</v>
      </c>
      <c r="BV1" s="1253" t="str">
        <f>TabReg[[#Headers],[KR]]</f>
        <v>KR</v>
      </c>
      <c r="BW1" s="1253" t="str">
        <f>TabReg[[#Headers],[KR1]]</f>
        <v>KR1</v>
      </c>
      <c r="BX1" s="1253" t="str">
        <f>TabReg[[#Headers],[KR2]]</f>
        <v>KR2</v>
      </c>
      <c r="BY1" s="1253" t="str">
        <f>TabReg[[#Headers],[LNSR]]</f>
        <v>LNSR</v>
      </c>
      <c r="BZ1" s="1253" t="str">
        <f>TabReg[[#Headers],[LNSR1]]</f>
        <v>LNSR1</v>
      </c>
      <c r="CA1" s="1253" t="str">
        <f>TabReg[[#Headers],[LNSR2]]</f>
        <v>LNSR2</v>
      </c>
      <c r="CB1" s="1253" t="str">
        <f>TabReg[[#Headers],[LUMN]]</f>
        <v>LUMN</v>
      </c>
      <c r="CC1" s="1253" t="str">
        <f>TabReg[[#Headers],[LUMN1]]</f>
        <v>LUMN1</v>
      </c>
      <c r="CD1" s="1253" t="str">
        <f>TabReg[[#Headers],[LUMN2]]</f>
        <v>LUMN2</v>
      </c>
      <c r="CE1" s="1253" t="str">
        <f>TabReg[[#Headers],[MRNA]]</f>
        <v>MRNA</v>
      </c>
      <c r="CF1" s="1253" t="str">
        <f>TabReg[[#Headers],[MRNA1]]</f>
        <v>MRNA1</v>
      </c>
      <c r="CG1" s="1253" t="str">
        <f>TabReg[[#Headers],[MRNA2]]</f>
        <v>MRNA2</v>
      </c>
      <c r="CH1" s="1253" t="str">
        <f>TabReg[[#Headers],[MSFT]]</f>
        <v>MSFT</v>
      </c>
      <c r="CI1" s="1253" t="str">
        <f>TabReg[[#Headers],[MSFT1]]</f>
        <v>MSFT1</v>
      </c>
      <c r="CJ1" s="1253" t="str">
        <f>TabReg[[#Headers],[MSFT2]]</f>
        <v>MSFT2</v>
      </c>
      <c r="CK1" s="1253" t="str">
        <f>TabReg[[#Headers],[NEE]]</f>
        <v>NEE</v>
      </c>
      <c r="CL1" s="1253" t="str">
        <f>TabReg[[#Headers],[NEE1]]</f>
        <v>NEE1</v>
      </c>
      <c r="CM1" s="1253" t="str">
        <f>TabReg[[#Headers],[NEE2]]</f>
        <v>NEE2</v>
      </c>
      <c r="CN1" s="1253" t="str">
        <f>TabReg[[#Headers],[NEM]]</f>
        <v>NEM</v>
      </c>
      <c r="CO1" s="1253" t="str">
        <f>TabReg[[#Headers],[NEM1]]</f>
        <v>NEM1</v>
      </c>
      <c r="CP1" s="1253" t="str">
        <f>TabReg[[#Headers],[NEM2]]</f>
        <v>NEM2</v>
      </c>
      <c r="CQ1" s="1253" t="str">
        <f>TabReg[[#Headers],[NFLX]]</f>
        <v>NFLX</v>
      </c>
      <c r="CR1" s="1253" t="str">
        <f>TabReg[[#Headers],[NFLX1]]</f>
        <v>NFLX1</v>
      </c>
      <c r="CS1" s="1253" t="str">
        <f>TabReg[[#Headers],[NFLX2]]</f>
        <v>NFLX2</v>
      </c>
      <c r="CT1" s="1253" t="str">
        <f>TabReg[[#Headers],[NOTE]]</f>
        <v>NOTE</v>
      </c>
      <c r="CU1" s="1253" t="str">
        <f>TabReg[[#Headers],[NOTE1]]</f>
        <v>NOTE1</v>
      </c>
      <c r="CV1" s="1253" t="str">
        <f>TabReg[[#Headers],[NOTE2]]</f>
        <v>NOTE2</v>
      </c>
      <c r="CW1" s="1253" t="str">
        <f>TabReg[[#Headers],[PAAS]]</f>
        <v>PAAS</v>
      </c>
      <c r="CX1" s="1253" t="str">
        <f>TabReg[[#Headers],[PAAS1]]</f>
        <v>PAAS1</v>
      </c>
      <c r="CY1" s="1253" t="str">
        <f>TabReg[[#Headers],[PAAS2]]</f>
        <v>PAAS2</v>
      </c>
      <c r="CZ1" s="1253" t="str">
        <f>TabReg[[#Headers],[PROF]]</f>
        <v>PROF</v>
      </c>
      <c r="DA1" s="1253" t="str">
        <f>TabReg[[#Headers],[PROF1]]</f>
        <v>PROF1</v>
      </c>
      <c r="DB1" s="1253" t="str">
        <f>TabReg[[#Headers],[PROF2]]</f>
        <v>PROF2</v>
      </c>
      <c r="DC1" s="1253" t="str">
        <f>TabReg[[#Headers],[POET]]</f>
        <v>POET</v>
      </c>
      <c r="DD1" s="1253" t="str">
        <f>TabReg[[#Headers],[POET1]]</f>
        <v>POET1</v>
      </c>
      <c r="DE1" s="1253" t="str">
        <f>TabReg[[#Headers],[POET2]]</f>
        <v>POET2</v>
      </c>
      <c r="DF1" s="1253" t="str">
        <f>TabReg[[#Headers],[PW]]</f>
        <v>PW</v>
      </c>
      <c r="DG1" s="1253" t="str">
        <f>TabReg[[#Headers],[PW1]]</f>
        <v>PW1</v>
      </c>
      <c r="DH1" s="1253" t="str">
        <f>TabReg[[#Headers],[PW2]]</f>
        <v>PW2</v>
      </c>
      <c r="DI1" s="1253" t="str">
        <f>TabReg[[#Headers],[RIGL]]</f>
        <v>RIGL</v>
      </c>
      <c r="DJ1" s="1253" t="str">
        <f>TabReg[[#Headers],[RIGL1]]</f>
        <v>RIGL1</v>
      </c>
      <c r="DK1" s="1253" t="str">
        <f>TabReg[[#Headers],[RIGL2]]</f>
        <v>RIGL2</v>
      </c>
      <c r="DL1" s="1253" t="str">
        <f>TabReg[[#Headers],[RWE]]</f>
        <v>RWE</v>
      </c>
      <c r="DM1" s="1253" t="str">
        <f>TabReg[[#Headers],[RWE1]]</f>
        <v>RWE1</v>
      </c>
      <c r="DN1" s="1253" t="str">
        <f>TabReg[[#Headers],[RWE2]]</f>
        <v>RWE2</v>
      </c>
      <c r="DO1" s="1253" t="str">
        <f>TabReg[[#Headers],[SAP]]</f>
        <v>SAP</v>
      </c>
      <c r="DP1" s="1253" t="str">
        <f>TabReg[[#Headers],[SAP1]]</f>
        <v>SAP1</v>
      </c>
      <c r="DQ1" s="1253" t="str">
        <f>TabReg[[#Headers],[SAP2]]</f>
        <v>SAP2</v>
      </c>
      <c r="DR1" s="1253" t="str">
        <f>TabReg[[#Headers],[SHECY]]</f>
        <v>SHECY</v>
      </c>
      <c r="DS1" s="1253" t="str">
        <f>TabReg[[#Headers],[SHECY1]]</f>
        <v>SHECY1</v>
      </c>
      <c r="DT1" s="1253" t="str">
        <f>TabReg[[#Headers],[SHECY2]]</f>
        <v>SHECY2</v>
      </c>
      <c r="DU1" s="1253" t="str">
        <f>TabReg[[#Headers],[SSYS]]</f>
        <v>SSYS</v>
      </c>
      <c r="DV1" s="1253" t="str">
        <f>TabReg[[#Headers],[SSYS1]]</f>
        <v>SSYS1</v>
      </c>
      <c r="DW1" s="1253" t="str">
        <f>TabReg[[#Headers],[SSYS2]]</f>
        <v>SSYS2</v>
      </c>
      <c r="DX1" s="1253" t="str">
        <f>TabReg[[#Headers],[TSLA]]</f>
        <v>TSLA</v>
      </c>
      <c r="DY1" s="1253" t="str">
        <f>TabReg[[#Headers],[TSLA1]]</f>
        <v>TSLA1</v>
      </c>
      <c r="DZ1" s="1253" t="str">
        <f>TabReg[[#Headers],[TSLA2]]</f>
        <v>TSLA2</v>
      </c>
      <c r="EA1" s="1253" t="str">
        <f>TabReg[[#Headers],[TSM]]</f>
        <v>TSM</v>
      </c>
      <c r="EB1" s="1253" t="str">
        <f>TabReg[[#Headers],[TSM1]]</f>
        <v>TSM1</v>
      </c>
      <c r="EC1" s="1253" t="str">
        <f>TabReg[[#Headers],[TSM2]]</f>
        <v>TSM2</v>
      </c>
      <c r="ED1" s="1253" t="str">
        <f>TabReg[[#Headers],[UN0]]</f>
        <v>UN0</v>
      </c>
      <c r="EE1" s="1253" t="str">
        <f>TabReg[[#Headers],[UN01]]</f>
        <v>UN01</v>
      </c>
      <c r="EF1" s="1253" t="str">
        <f>TabReg[[#Headers],[UN02]]</f>
        <v>UN02</v>
      </c>
      <c r="EG1" s="1253" t="str">
        <f>TabReg[[#Headers],[UNIT]]</f>
        <v>UNIT</v>
      </c>
      <c r="EH1" s="1253" t="str">
        <f>TabReg[[#Headers],[UNIT1]]</f>
        <v>UNIT1</v>
      </c>
      <c r="EI1" s="1253" t="str">
        <f>TabReg[[#Headers],[UNIT2]]</f>
        <v>UNIT2</v>
      </c>
      <c r="EJ1" s="1253" t="str">
        <f>TabReg[[#Headers],[Free]]</f>
        <v>Free</v>
      </c>
      <c r="EK1" s="1253" t="str">
        <f>TabReg[[#Headers],[Free1]]</f>
        <v>Free1</v>
      </c>
      <c r="EL1" s="1253" t="str">
        <f>TabReg[[#Headers],[Free2]]</f>
        <v>Free2</v>
      </c>
      <c r="EM1" s="1253" t="str">
        <f>TabReg[[#Headers],[VLVLY]]</f>
        <v>VLVLY</v>
      </c>
      <c r="EN1" s="1253" t="str">
        <f>TabReg[[#Headers],[VLVLY1]]</f>
        <v>VLVLY1</v>
      </c>
      <c r="EO1" s="1253" t="str">
        <f>TabReg[[#Headers],[VLVLY2]]</f>
        <v>VLVLY2</v>
      </c>
      <c r="EP1" s="1253" t="str">
        <f>TabReg[[#Headers],[VONN]]</f>
        <v>VONN</v>
      </c>
      <c r="EQ1" s="1253" t="str">
        <f>TabReg[[#Headers],[VONN1]]</f>
        <v>VONN1</v>
      </c>
      <c r="ER1" s="1253" t="str">
        <f>TabReg[[#Headers],[VONN2]]</f>
        <v>VONN2</v>
      </c>
      <c r="ES1" s="1253" t="str">
        <f>TabReg[[#Headers],[VTRS]]</f>
        <v>VTRS</v>
      </c>
      <c r="ET1" s="1253" t="str">
        <f>TabReg[[#Headers],[VTRS1]]</f>
        <v>VTRS1</v>
      </c>
      <c r="EU1" s="1253" t="str">
        <f>TabReg[[#Headers],[VTRS2]]</f>
        <v>VTRS2</v>
      </c>
      <c r="EV1" s="1253" t="str">
        <f>TabReg[[#Headers],[WBA]]</f>
        <v>WBA</v>
      </c>
      <c r="EW1" s="1253" t="str">
        <f>TabReg[[#Headers],[WBA1]]</f>
        <v>WBA1</v>
      </c>
      <c r="EX1" s="1253" t="str">
        <f>TabReg[[#Headers],[WBA2]]</f>
        <v>WBA2</v>
      </c>
      <c r="EY1" s="1253" t="str">
        <f>TabReg[[#Headers],[XOM]]</f>
        <v>XOM</v>
      </c>
      <c r="EZ1" s="1253" t="str">
        <f>TabReg[[#Headers],[XOM1]]</f>
        <v>XOM1</v>
      </c>
      <c r="FA1" s="1253" t="str">
        <f>TabReg[[#Headers],[XOM2]]</f>
        <v>XOM2</v>
      </c>
      <c r="FB1" s="1253" t="str">
        <f>TabReg[[#Headers],[XPER]]</f>
        <v>XPER</v>
      </c>
      <c r="FC1" s="1253" t="str">
        <f>TabReg[[#Headers],[XPER1]]</f>
        <v>XPER1</v>
      </c>
      <c r="FD1" s="1253" t="str">
        <f>TabReg[[#Headers],[XPER2]]</f>
        <v>XPER2</v>
      </c>
      <c r="FE1" s="1253" t="str">
        <f>TabReg[[#Headers],[MVEALDNE]]</f>
        <v>MVEALDNE</v>
      </c>
      <c r="FF1" s="1253" t="str">
        <f>TabReg[[#Headers],[MVEALDNE1]]</f>
        <v>MVEALDNE1</v>
      </c>
      <c r="FG1" s="1253" t="str">
        <f>TabReg[[#Headers],[MVEALDNE2]]</f>
        <v>MVEALDNE2</v>
      </c>
      <c r="FH1" s="1253" t="str">
        <f>TabReg[[#Headers],[MVEDDD]]</f>
        <v>MVEDDD</v>
      </c>
      <c r="FI1" s="1253" t="str">
        <f>TabReg[[#Headers],[MVEDDD1]]</f>
        <v>MVEDDD1</v>
      </c>
      <c r="FJ1" s="1253" t="str">
        <f>TabReg[[#Headers],[MVEDDD2]]</f>
        <v>MVEDDD2</v>
      </c>
      <c r="FK1" s="1253" t="str">
        <f>TabReg[[#Headers],[MVEDSY]]</f>
        <v>MVEDSY</v>
      </c>
      <c r="FL1" s="1253" t="str">
        <f>TabReg[[#Headers],[MVEDSY1]]</f>
        <v>MVEDSY1</v>
      </c>
      <c r="FM1" s="1253" t="str">
        <f>TabReg[[#Headers],[MVEDSY2]]</f>
        <v>MVEDSY2</v>
      </c>
      <c r="FN1" s="1253" t="str">
        <f>TabReg[[#Headers],[MVEEOAN]]</f>
        <v>MVEEOAN</v>
      </c>
      <c r="FO1" s="1253" t="str">
        <f>TabReg[[#Headers],[MVEEOAN1]]</f>
        <v>MVEEOAN1</v>
      </c>
      <c r="FP1" s="1253" t="str">
        <f>TabReg[[#Headers],[MVEEOAN2]]</f>
        <v>MVEEOAN2</v>
      </c>
      <c r="FQ1" s="1253" t="str">
        <f>TabReg[[#Headers],[MVEENI]]</f>
        <v>MVEENI</v>
      </c>
      <c r="FR1" s="1253" t="str">
        <f>TabReg[[#Headers],[MVEENI1]]</f>
        <v>MVEENI1</v>
      </c>
      <c r="FS1" s="1253" t="str">
        <f>TabReg[[#Headers],[MVEENI2]]</f>
        <v>MVEENI2</v>
      </c>
      <c r="FT1" s="1253" t="str">
        <f>TabReg[[#Headers],[MVEEPIX]]</f>
        <v>MVEEPIX</v>
      </c>
      <c r="FU1" s="1253" t="str">
        <f>TabReg[[#Headers],[MVEEPIX1]]</f>
        <v>MVEEPIX1</v>
      </c>
      <c r="FV1" s="1253" t="str">
        <f>TabReg[[#Headers],[MVEEPIX2]]</f>
        <v>MVEEPIX2</v>
      </c>
      <c r="FW1" s="1253" t="str">
        <f>TabReg[[#Headers],[MVEGLE]]</f>
        <v>MVEGLE</v>
      </c>
      <c r="FX1" s="1253" t="str">
        <f>TabReg[[#Headers],[MVEGLE1]]</f>
        <v>MVEGLE1</v>
      </c>
      <c r="FY1" s="1253" t="str">
        <f>TabReg[[#Headers],[MVEGLE2]]</f>
        <v>MVEGLE2</v>
      </c>
      <c r="FZ1" s="1253" t="str">
        <f>TabReg[[#Headers],[MVEORA]]</f>
        <v>MVEORA</v>
      </c>
      <c r="GA1" s="1253" t="str">
        <f>TabReg[[#Headers],[MVEORA1]]</f>
        <v>MVEORA1</v>
      </c>
      <c r="GB1" s="1253" t="str">
        <f>TabReg[[#Headers],[MVEORA2]]</f>
        <v>MVEORA2</v>
      </c>
      <c r="GC1" s="1253" t="str">
        <f>TabReg[[#Headers],[MVERWE]]</f>
        <v>MVERWE</v>
      </c>
      <c r="GD1" s="1253" t="str">
        <f>TabReg[[#Headers],[MVERWE1]]</f>
        <v>MVERWE1</v>
      </c>
      <c r="GE1" s="1253" t="str">
        <f>TabReg[[#Headers],[MVERWE2]]</f>
        <v>MVERWE2</v>
      </c>
      <c r="GF1" s="1253" t="str">
        <f>TabReg[[#Headers],[MVESAP]]</f>
        <v>MVESAP</v>
      </c>
      <c r="GG1" s="1253" t="str">
        <f>TabReg[[#Headers],[MVESAP1]]</f>
        <v>MVESAP1</v>
      </c>
      <c r="GH1" s="1253" t="str">
        <f>TabReg[[#Headers],[MVESAP2]]</f>
        <v>MVESAP2</v>
      </c>
      <c r="GI1" s="1253" t="str">
        <f>TabReg[[#Headers],[MVEUN0]]</f>
        <v>MVEUN0</v>
      </c>
      <c r="GJ1" s="1253" t="str">
        <f>TabReg[[#Headers],[MVEUN01]]</f>
        <v>MVEUN01</v>
      </c>
      <c r="GK1" s="1253" t="str">
        <f>TabReg[[#Headers],[MVEUN02]]</f>
        <v>MVEUN02</v>
      </c>
      <c r="GL1" s="1253" t="str">
        <f>TabReg[[#Headers],[SAFAAPL]]</f>
        <v>SAFAAPL</v>
      </c>
      <c r="GM1" s="1253" t="str">
        <f>TabReg[[#Headers],[SAFAAPL1]]</f>
        <v>SAFAAPL1</v>
      </c>
      <c r="GN1" s="1253" t="str">
        <f>TabReg[[#Headers],[SAFAAPL2]]</f>
        <v>SAFAAPL2</v>
      </c>
      <c r="GO1" s="1253" t="str">
        <f>TabReg[[#Headers],[SAFAMZN]]</f>
        <v>SAFAMZN</v>
      </c>
      <c r="GP1" s="1253" t="str">
        <f>TabReg[[#Headers],[SAFAMZN1]]</f>
        <v>SAFAMZN1</v>
      </c>
      <c r="GQ1" s="1253" t="str">
        <f>TabReg[[#Headers],[SAFAMZN2]]</f>
        <v>SAFAMZN2</v>
      </c>
      <c r="GR1" s="1253" t="str">
        <f>TabReg[[#Headers],[SAFASML]]</f>
        <v>SAFASML</v>
      </c>
      <c r="GS1" s="1253" t="str">
        <f>TabReg[[#Headers],[SAFASML1]]</f>
        <v>SAFASML1</v>
      </c>
      <c r="GT1" s="1253" t="str">
        <f>TabReg[[#Headers],[SAFASML2]]</f>
        <v>SAFASML2</v>
      </c>
      <c r="GU1" s="1253" t="str">
        <f>TabReg[[#Headers],[SAFDDD]]</f>
        <v>SAFDDD</v>
      </c>
      <c r="GV1" s="1253" t="str">
        <f>TabReg[[#Headers],[SAFDDD1]]</f>
        <v>SAFDDD1</v>
      </c>
      <c r="GW1" s="1253" t="str">
        <f>TabReg[[#Headers],[SAFDDD2]]</f>
        <v>SAFDDD2</v>
      </c>
      <c r="GX1" s="1253" t="str">
        <f>TabReg[[#Headers],[SAFDIS]]</f>
        <v>SAFDIS</v>
      </c>
      <c r="GY1" s="1253" t="str">
        <f>TabReg[[#Headers],[SAFDIS1]]</f>
        <v>SAFDIS1</v>
      </c>
      <c r="GZ1" s="1253" t="str">
        <f>TabReg[[#Headers],[SAFDIS2]]</f>
        <v>SAFDIS2</v>
      </c>
      <c r="HA1" s="1253" t="str">
        <f>TabReg[[#Headers],[SAFGM]]</f>
        <v>SAFGM</v>
      </c>
      <c r="HB1" s="1253" t="str">
        <f>TabReg[[#Headers],[SAFGM1]]</f>
        <v>SAFGM1</v>
      </c>
      <c r="HC1" s="1253" t="str">
        <f>TabReg[[#Headers],[SAFGM2]]</f>
        <v>SAFGM2</v>
      </c>
      <c r="HD1" s="1253" t="str">
        <f>TabReg[[#Headers],[SAFIAG]]</f>
        <v>SAFIAG</v>
      </c>
      <c r="HE1" s="1253" t="str">
        <f>TabReg[[#Headers],[SAFIAG1]]</f>
        <v>SAFIAG1</v>
      </c>
      <c r="HF1" s="1253" t="str">
        <f>TabReg[[#Headers],[SAFIAG2]]</f>
        <v>SAFIAG2</v>
      </c>
      <c r="HG1" s="1253" t="str">
        <f>TabReg[[#Headers],[SAFMRNA]]</f>
        <v>SAFMRNA</v>
      </c>
      <c r="HH1" s="1253" t="str">
        <f>TabReg[[#Headers],[SAFMRNA1]]</f>
        <v>SAFMRNA1</v>
      </c>
      <c r="HI1" s="1253" t="str">
        <f>TabReg[[#Headers],[SAFMRNA2]]</f>
        <v>SAFMRNA2</v>
      </c>
      <c r="HJ1" s="1253" t="str">
        <f>TabReg[[#Headers],[BLNK]]</f>
        <v>BLNK</v>
      </c>
      <c r="HK1" s="1253" t="str">
        <f>TabReg[[#Headers],[BLNK1]]</f>
        <v>BLNK1</v>
      </c>
      <c r="HL1" s="1253" t="str">
        <f>TabReg[[#Headers],[BLNK2]]</f>
        <v>BLNK2</v>
      </c>
      <c r="HM1" s="1253" t="str">
        <f>TabReg[[#Headers],[ENI]]</f>
        <v>ENI</v>
      </c>
      <c r="HN1" s="1253" t="str">
        <f>TabReg[[#Headers],[ENI1]]</f>
        <v>ENI1</v>
      </c>
      <c r="HO1" s="1253" t="str">
        <f>TabReg[[#Headers],[ENI2]]</f>
        <v>ENI2</v>
      </c>
      <c r="HP1" s="1253" t="str">
        <f>TabReg[[#Headers],[EZJ]]</f>
        <v>EZJ</v>
      </c>
      <c r="HQ1" s="1253" t="str">
        <f>TabReg[[#Headers],[EZJ1]]</f>
        <v>EZJ1</v>
      </c>
      <c r="HR1" s="1253" t="str">
        <f>TabReg[[#Headers],[EZJ2]]</f>
        <v>EZJ2</v>
      </c>
      <c r="HS1" s="1253" t="str">
        <f>TabReg[[#Headers],[F]]</f>
        <v>F</v>
      </c>
      <c r="HT1" s="1253" t="str">
        <f>TabReg[[#Headers],[F1]]</f>
        <v>F1</v>
      </c>
      <c r="HU1" s="1253" t="str">
        <f>TabReg[[#Headers],[F2]]</f>
        <v>F2</v>
      </c>
      <c r="HV1" s="1253" t="str">
        <f>TabReg[[#Headers],[GLE]]</f>
        <v>GLE</v>
      </c>
      <c r="HW1" s="1253" t="str">
        <f>TabReg[[#Headers],[GLE1]]</f>
        <v>GLE1</v>
      </c>
      <c r="HX1" s="1253" t="str">
        <f>TabReg[[#Headers],[GLE2]]</f>
        <v>GLE2</v>
      </c>
      <c r="HY1" s="1253" t="str">
        <f>TabReg[[#Headers],[GNRC]]</f>
        <v>GNRC</v>
      </c>
      <c r="HZ1" s="1253" t="str">
        <f>TabReg[[#Headers],[GNRC1]]</f>
        <v>GNRC1</v>
      </c>
      <c r="IA1" s="1253" t="str">
        <f>TabReg[[#Headers],[GNRC2]]</f>
        <v>GNRC2</v>
      </c>
      <c r="IB1" s="1253" t="str">
        <f>TabReg[[#Headers],[GS]]</f>
        <v>GS</v>
      </c>
      <c r="IC1" s="1253" t="str">
        <f>TabReg[[#Headers],[GS1]]</f>
        <v>GS1</v>
      </c>
      <c r="ID1" s="1253" t="str">
        <f>TabReg[[#Headers],[GS2]]</f>
        <v>GS2</v>
      </c>
      <c r="IE1" s="1253" t="str">
        <f>TabReg[[#Headers],[LAZR]]</f>
        <v>LAZR</v>
      </c>
      <c r="IF1" s="1253" t="str">
        <f>TabReg[[#Headers],[LAZR1]]</f>
        <v>LAZR1</v>
      </c>
      <c r="IG1" s="1253" t="str">
        <f>TabReg[[#Headers],[LAZR2]]</f>
        <v>LAZR2</v>
      </c>
      <c r="IH1" s="1253" t="str">
        <f>TabReg[[#Headers],[LUV]]</f>
        <v>LUV</v>
      </c>
      <c r="II1" s="1253" t="str">
        <f>TabReg[[#Headers],[LUV1]]</f>
        <v>LUV1</v>
      </c>
      <c r="IJ1" s="1253" t="str">
        <f>TabReg[[#Headers],[LUV2]]</f>
        <v>LUV2</v>
      </c>
      <c r="IK1" s="1253" t="str">
        <f>TabReg[[#Headers],[MA]]</f>
        <v>MA</v>
      </c>
      <c r="IL1" s="1253" t="str">
        <f>TabReg[[#Headers],[MA1]]</f>
        <v>MA1</v>
      </c>
      <c r="IM1" s="1253" t="str">
        <f>TabReg[[#Headers],[MA2]]</f>
        <v>MA2</v>
      </c>
      <c r="IN1" s="1253" t="str">
        <f>TabReg[[#Headers],[NVAX]]</f>
        <v>NVAX</v>
      </c>
      <c r="IO1" s="1253" t="str">
        <f>TabReg[[#Headers],[NVAX1]]</f>
        <v>NVAX1</v>
      </c>
      <c r="IP1" s="1253" t="str">
        <f>TabReg[[#Headers],[NVAX2]]</f>
        <v>NVAX2</v>
      </c>
      <c r="IQ1" s="1253" t="str">
        <f>TabReg[[#Headers],[NVS]]</f>
        <v>NVS</v>
      </c>
      <c r="IR1" s="1253" t="str">
        <f>TabReg[[#Headers],[NVS1]]</f>
        <v>NVS1</v>
      </c>
      <c r="IS1" s="1253" t="str">
        <f>TabReg[[#Headers],[NVS2]]</f>
        <v>NVS2</v>
      </c>
      <c r="IT1" s="1253" t="str">
        <f>TabReg[[#Headers],[ORA]]</f>
        <v>ORA</v>
      </c>
      <c r="IU1" s="1253" t="str">
        <f>TabReg[[#Headers],[ORA1]]</f>
        <v>ORA1</v>
      </c>
      <c r="IV1" s="1253" t="str">
        <f>TabReg[[#Headers],[ORA2]]</f>
        <v>ORA2</v>
      </c>
      <c r="IW1" s="1253" t="str">
        <f>TabReg[[#Headers],[OXY]]</f>
        <v>OXY</v>
      </c>
      <c r="IX1" s="1253" t="str">
        <f>TabReg[[#Headers],[OXY1]]</f>
        <v>OXY1</v>
      </c>
      <c r="IY1" s="1253" t="str">
        <f>TabReg[[#Headers],[OXY2]]</f>
        <v>OXY2</v>
      </c>
      <c r="IZ1" s="1253" t="str">
        <f>TabReg[[#Headers],[PFE]]</f>
        <v>PFE</v>
      </c>
      <c r="JA1" s="1253" t="str">
        <f>TabReg[[#Headers],[PFE1]]</f>
        <v>PFE1</v>
      </c>
      <c r="JB1" s="1253" t="str">
        <f>TabReg[[#Headers],[PFE2]]</f>
        <v>PFE2</v>
      </c>
      <c r="JC1" s="1253" t="str">
        <f>TabReg[[#Headers],[RIG]]</f>
        <v>RIG</v>
      </c>
      <c r="JD1" s="1253" t="str">
        <f>TabReg[[#Headers],[RIG1]]</f>
        <v>RIG1</v>
      </c>
      <c r="JE1" s="1253" t="str">
        <f>TabReg[[#Headers],[RIG2]]</f>
        <v>RIG2</v>
      </c>
      <c r="JF1" s="1253" t="str">
        <f>TabReg[[#Headers],[RRC]]</f>
        <v>RRC</v>
      </c>
      <c r="JG1" s="1253" t="str">
        <f>TabReg[[#Headers],[RRC1]]</f>
        <v>RRC1</v>
      </c>
      <c r="JH1" s="1253" t="str">
        <f>TabReg[[#Headers],[RRC2]]</f>
        <v>RRC2</v>
      </c>
      <c r="JI1" s="1253" t="str">
        <f>TabReg[[#Headers],[XYZ]]</f>
        <v>XYZ</v>
      </c>
      <c r="JJ1" s="1253" t="str">
        <f>TabReg[[#Headers],[XYZ1]]</f>
        <v>XYZ1</v>
      </c>
      <c r="JK1" s="1253" t="str">
        <f>TabReg[[#Headers],[XYZ2]]</f>
        <v>XYZ2</v>
      </c>
      <c r="JL1" s="1253" t="str">
        <f>TabReg[[#Headers],[THC]]</f>
        <v>THC</v>
      </c>
      <c r="JM1" s="1253" t="str">
        <f>TabReg[[#Headers],[THC1]]</f>
        <v>THC1</v>
      </c>
      <c r="JN1" s="1253" t="str">
        <f>TabReg[[#Headers],[THC2]]</f>
        <v>THC2</v>
      </c>
      <c r="JO1" s="1253" t="str">
        <f>TabReg[[#Headers],[X]]</f>
        <v>X</v>
      </c>
      <c r="JP1" s="1253" t="str">
        <f>TabReg[[#Headers],[X1]]</f>
        <v>X1</v>
      </c>
      <c r="JQ1" s="1253" t="str">
        <f>TabReg[[#Headers],[X2]]</f>
        <v>X2</v>
      </c>
      <c r="JR1" s="1253" t="str">
        <f>TabReg[[#Headers],[LOCK]]</f>
        <v>LOCK</v>
      </c>
      <c r="JS1" s="1253" t="str">
        <f>TabReg[[#Headers],[LOCK1]]</f>
        <v>LOCK1</v>
      </c>
      <c r="JT1" s="1253" t="str">
        <f>TabReg[[#Headers],[LOCK2]]</f>
        <v>LOCK2</v>
      </c>
      <c r="JU1" s="1253" t="str">
        <f>TabReg[[#Headers],[JBASML]]</f>
        <v>JBASML</v>
      </c>
      <c r="JV1" s="1253" t="str">
        <f>TabReg[[#Headers],[JBASML1]]</f>
        <v>JBASML1</v>
      </c>
      <c r="JW1" s="1253" t="str">
        <f>TabReg[[#Headers],[JBASML2]]</f>
        <v>JBASML2</v>
      </c>
      <c r="JX1" s="1253" t="str">
        <f>TabReg[[#Headers],[JBEOAN]]</f>
        <v>JBEOAN</v>
      </c>
      <c r="JY1" s="1253" t="str">
        <f>TabReg[[#Headers],[JBEOAN1]]</f>
        <v>JBEOAN1</v>
      </c>
      <c r="JZ1" s="1253" t="str">
        <f>TabReg[[#Headers],[JBEOAN2]]</f>
        <v>JBEOAN2</v>
      </c>
    </row>
    <row r="2" spans="1:301">
      <c r="B2" cm="1">
        <f t="array" ref="B2:KO2">_xlfn.SEQUENCE(,300,1,1)</f>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30</v>
      </c>
      <c r="AF2">
        <v>31</v>
      </c>
      <c r="AG2">
        <v>32</v>
      </c>
      <c r="AH2">
        <v>33</v>
      </c>
      <c r="AI2">
        <v>34</v>
      </c>
      <c r="AJ2">
        <v>35</v>
      </c>
      <c r="AK2">
        <v>36</v>
      </c>
      <c r="AL2">
        <v>37</v>
      </c>
      <c r="AM2">
        <v>38</v>
      </c>
      <c r="AN2">
        <v>39</v>
      </c>
      <c r="AO2">
        <v>40</v>
      </c>
      <c r="AP2">
        <v>41</v>
      </c>
      <c r="AQ2">
        <v>42</v>
      </c>
      <c r="AR2">
        <v>43</v>
      </c>
      <c r="AS2">
        <v>44</v>
      </c>
      <c r="AT2">
        <v>45</v>
      </c>
      <c r="AU2">
        <v>46</v>
      </c>
      <c r="AV2">
        <v>47</v>
      </c>
      <c r="AW2">
        <v>48</v>
      </c>
      <c r="AX2">
        <v>49</v>
      </c>
      <c r="AY2">
        <v>50</v>
      </c>
      <c r="AZ2">
        <v>51</v>
      </c>
      <c r="BA2">
        <v>52</v>
      </c>
      <c r="BB2">
        <v>53</v>
      </c>
      <c r="BC2">
        <v>54</v>
      </c>
      <c r="BD2">
        <v>55</v>
      </c>
      <c r="BE2">
        <v>56</v>
      </c>
      <c r="BF2">
        <v>57</v>
      </c>
      <c r="BG2">
        <v>58</v>
      </c>
      <c r="BH2">
        <v>59</v>
      </c>
      <c r="BI2">
        <v>60</v>
      </c>
      <c r="BJ2">
        <v>61</v>
      </c>
      <c r="BK2">
        <v>62</v>
      </c>
      <c r="BL2">
        <v>63</v>
      </c>
      <c r="BM2">
        <v>64</v>
      </c>
      <c r="BN2">
        <v>65</v>
      </c>
      <c r="BO2">
        <v>66</v>
      </c>
      <c r="BP2">
        <v>67</v>
      </c>
      <c r="BQ2">
        <v>68</v>
      </c>
      <c r="BR2">
        <v>69</v>
      </c>
      <c r="BS2">
        <v>70</v>
      </c>
      <c r="BT2">
        <v>71</v>
      </c>
      <c r="BU2">
        <v>72</v>
      </c>
      <c r="BV2">
        <v>73</v>
      </c>
      <c r="BW2">
        <v>74</v>
      </c>
      <c r="BX2">
        <v>75</v>
      </c>
      <c r="BY2">
        <v>76</v>
      </c>
      <c r="BZ2">
        <v>77</v>
      </c>
      <c r="CA2">
        <v>78</v>
      </c>
      <c r="CB2">
        <v>79</v>
      </c>
      <c r="CC2">
        <v>80</v>
      </c>
      <c r="CD2">
        <v>81</v>
      </c>
      <c r="CE2">
        <v>82</v>
      </c>
      <c r="CF2">
        <v>83</v>
      </c>
      <c r="CG2">
        <v>84</v>
      </c>
      <c r="CH2">
        <v>85</v>
      </c>
      <c r="CI2">
        <v>86</v>
      </c>
      <c r="CJ2">
        <v>87</v>
      </c>
      <c r="CK2">
        <v>88</v>
      </c>
      <c r="CL2">
        <v>89</v>
      </c>
      <c r="CM2">
        <v>90</v>
      </c>
      <c r="CN2">
        <v>91</v>
      </c>
      <c r="CO2">
        <v>92</v>
      </c>
      <c r="CP2">
        <v>93</v>
      </c>
      <c r="CQ2">
        <v>94</v>
      </c>
      <c r="CR2">
        <v>95</v>
      </c>
      <c r="CS2">
        <v>96</v>
      </c>
      <c r="CT2">
        <v>97</v>
      </c>
      <c r="CU2">
        <v>98</v>
      </c>
      <c r="CV2">
        <v>99</v>
      </c>
      <c r="CW2">
        <v>100</v>
      </c>
      <c r="CX2">
        <v>101</v>
      </c>
      <c r="CY2">
        <v>102</v>
      </c>
      <c r="CZ2">
        <v>103</v>
      </c>
      <c r="DA2">
        <v>104</v>
      </c>
      <c r="DB2">
        <v>105</v>
      </c>
      <c r="DC2">
        <v>106</v>
      </c>
      <c r="DD2">
        <v>107</v>
      </c>
      <c r="DE2">
        <v>108</v>
      </c>
      <c r="DF2">
        <v>109</v>
      </c>
      <c r="DG2">
        <v>110</v>
      </c>
      <c r="DH2">
        <v>111</v>
      </c>
      <c r="DI2">
        <v>112</v>
      </c>
      <c r="DJ2">
        <v>113</v>
      </c>
      <c r="DK2">
        <v>114</v>
      </c>
      <c r="DL2">
        <v>115</v>
      </c>
      <c r="DM2">
        <v>116</v>
      </c>
      <c r="DN2">
        <v>117</v>
      </c>
      <c r="DO2">
        <v>118</v>
      </c>
      <c r="DP2">
        <v>119</v>
      </c>
      <c r="DQ2">
        <v>120</v>
      </c>
      <c r="DR2">
        <v>121</v>
      </c>
      <c r="DS2">
        <v>122</v>
      </c>
      <c r="DT2">
        <v>123</v>
      </c>
      <c r="DU2">
        <v>124</v>
      </c>
      <c r="DV2">
        <v>125</v>
      </c>
      <c r="DW2">
        <v>126</v>
      </c>
      <c r="DX2">
        <v>127</v>
      </c>
      <c r="DY2">
        <v>128</v>
      </c>
      <c r="DZ2">
        <v>129</v>
      </c>
      <c r="EA2">
        <v>130</v>
      </c>
      <c r="EB2">
        <v>131</v>
      </c>
      <c r="EC2">
        <v>132</v>
      </c>
      <c r="ED2">
        <v>133</v>
      </c>
      <c r="EE2">
        <v>134</v>
      </c>
      <c r="EF2">
        <v>135</v>
      </c>
      <c r="EG2">
        <v>136</v>
      </c>
      <c r="EH2">
        <v>137</v>
      </c>
      <c r="EI2">
        <v>138</v>
      </c>
      <c r="EJ2">
        <v>139</v>
      </c>
      <c r="EK2">
        <v>140</v>
      </c>
      <c r="EL2">
        <v>141</v>
      </c>
      <c r="EM2">
        <v>142</v>
      </c>
      <c r="EN2">
        <v>143</v>
      </c>
      <c r="EO2">
        <v>144</v>
      </c>
      <c r="EP2">
        <v>145</v>
      </c>
      <c r="EQ2">
        <v>146</v>
      </c>
      <c r="ER2">
        <v>147</v>
      </c>
      <c r="ES2">
        <v>148</v>
      </c>
      <c r="ET2">
        <v>149</v>
      </c>
      <c r="EU2">
        <v>150</v>
      </c>
      <c r="EV2">
        <v>151</v>
      </c>
      <c r="EW2">
        <v>152</v>
      </c>
      <c r="EX2">
        <v>153</v>
      </c>
      <c r="EY2">
        <v>154</v>
      </c>
      <c r="EZ2">
        <v>155</v>
      </c>
      <c r="FA2">
        <v>156</v>
      </c>
      <c r="FB2">
        <v>157</v>
      </c>
      <c r="FC2">
        <v>158</v>
      </c>
      <c r="FD2">
        <v>159</v>
      </c>
      <c r="FE2">
        <v>160</v>
      </c>
      <c r="FF2">
        <v>161</v>
      </c>
      <c r="FG2">
        <v>162</v>
      </c>
      <c r="FH2">
        <v>163</v>
      </c>
      <c r="FI2">
        <v>164</v>
      </c>
      <c r="FJ2">
        <v>165</v>
      </c>
      <c r="FK2">
        <v>166</v>
      </c>
      <c r="FL2">
        <v>167</v>
      </c>
      <c r="FM2">
        <v>168</v>
      </c>
      <c r="FN2">
        <v>169</v>
      </c>
      <c r="FO2">
        <v>170</v>
      </c>
      <c r="FP2">
        <v>171</v>
      </c>
      <c r="FQ2">
        <v>172</v>
      </c>
      <c r="FR2">
        <v>173</v>
      </c>
      <c r="FS2">
        <v>174</v>
      </c>
      <c r="FT2">
        <v>175</v>
      </c>
      <c r="FU2">
        <v>176</v>
      </c>
      <c r="FV2">
        <v>177</v>
      </c>
      <c r="FW2">
        <v>178</v>
      </c>
      <c r="FX2">
        <v>179</v>
      </c>
      <c r="FY2">
        <v>180</v>
      </c>
      <c r="FZ2">
        <v>181</v>
      </c>
      <c r="GA2">
        <v>182</v>
      </c>
      <c r="GB2">
        <v>183</v>
      </c>
      <c r="GC2">
        <v>184</v>
      </c>
      <c r="GD2">
        <v>185</v>
      </c>
      <c r="GE2">
        <v>186</v>
      </c>
      <c r="GF2">
        <v>187</v>
      </c>
      <c r="GG2">
        <v>188</v>
      </c>
      <c r="GH2">
        <v>189</v>
      </c>
      <c r="GI2">
        <v>190</v>
      </c>
      <c r="GJ2">
        <v>191</v>
      </c>
      <c r="GK2">
        <v>192</v>
      </c>
      <c r="GL2">
        <v>193</v>
      </c>
      <c r="GM2">
        <v>194</v>
      </c>
      <c r="GN2">
        <v>195</v>
      </c>
      <c r="GO2">
        <v>196</v>
      </c>
      <c r="GP2">
        <v>197</v>
      </c>
      <c r="GQ2">
        <v>198</v>
      </c>
      <c r="GR2">
        <v>199</v>
      </c>
      <c r="GS2">
        <v>200</v>
      </c>
      <c r="GT2">
        <v>201</v>
      </c>
      <c r="GU2">
        <v>202</v>
      </c>
      <c r="GV2">
        <v>203</v>
      </c>
      <c r="GW2">
        <v>204</v>
      </c>
      <c r="GX2">
        <v>205</v>
      </c>
      <c r="GY2">
        <v>206</v>
      </c>
      <c r="GZ2">
        <v>207</v>
      </c>
      <c r="HA2">
        <v>208</v>
      </c>
      <c r="HB2">
        <v>209</v>
      </c>
      <c r="HC2">
        <v>210</v>
      </c>
      <c r="HD2">
        <v>211</v>
      </c>
      <c r="HE2">
        <v>212</v>
      </c>
      <c r="HF2">
        <v>213</v>
      </c>
      <c r="HG2">
        <v>214</v>
      </c>
      <c r="HH2">
        <v>215</v>
      </c>
      <c r="HI2">
        <v>216</v>
      </c>
      <c r="HJ2">
        <v>217</v>
      </c>
      <c r="HK2">
        <v>218</v>
      </c>
      <c r="HL2">
        <v>219</v>
      </c>
      <c r="HM2">
        <v>220</v>
      </c>
      <c r="HN2">
        <v>221</v>
      </c>
      <c r="HO2">
        <v>222</v>
      </c>
      <c r="HP2">
        <v>223</v>
      </c>
      <c r="HQ2">
        <v>224</v>
      </c>
      <c r="HR2">
        <v>225</v>
      </c>
      <c r="HS2">
        <v>226</v>
      </c>
      <c r="HT2">
        <v>227</v>
      </c>
      <c r="HU2">
        <v>228</v>
      </c>
      <c r="HV2">
        <v>229</v>
      </c>
      <c r="HW2">
        <v>230</v>
      </c>
      <c r="HX2">
        <v>231</v>
      </c>
      <c r="HY2">
        <v>232</v>
      </c>
      <c r="HZ2">
        <v>233</v>
      </c>
      <c r="IA2">
        <v>234</v>
      </c>
      <c r="IB2">
        <v>235</v>
      </c>
      <c r="IC2">
        <v>236</v>
      </c>
      <c r="ID2">
        <v>237</v>
      </c>
      <c r="IE2">
        <v>238</v>
      </c>
      <c r="IF2">
        <v>239</v>
      </c>
      <c r="IG2">
        <v>240</v>
      </c>
      <c r="IH2">
        <v>241</v>
      </c>
      <c r="II2">
        <v>242</v>
      </c>
      <c r="IJ2">
        <v>243</v>
      </c>
      <c r="IK2">
        <v>244</v>
      </c>
      <c r="IL2">
        <v>245</v>
      </c>
      <c r="IM2">
        <v>246</v>
      </c>
      <c r="IN2">
        <v>247</v>
      </c>
      <c r="IO2">
        <v>248</v>
      </c>
      <c r="IP2">
        <v>249</v>
      </c>
      <c r="IQ2">
        <v>250</v>
      </c>
      <c r="IR2">
        <v>251</v>
      </c>
      <c r="IS2">
        <v>252</v>
      </c>
      <c r="IT2">
        <v>253</v>
      </c>
      <c r="IU2">
        <v>254</v>
      </c>
      <c r="IV2">
        <v>255</v>
      </c>
      <c r="IW2">
        <v>256</v>
      </c>
      <c r="IX2">
        <v>257</v>
      </c>
      <c r="IY2">
        <v>258</v>
      </c>
      <c r="IZ2">
        <v>259</v>
      </c>
      <c r="JA2">
        <v>260</v>
      </c>
      <c r="JB2">
        <v>261</v>
      </c>
      <c r="JC2">
        <v>262</v>
      </c>
      <c r="JD2">
        <v>263</v>
      </c>
      <c r="JE2">
        <v>264</v>
      </c>
      <c r="JF2">
        <v>265</v>
      </c>
      <c r="JG2">
        <v>266</v>
      </c>
      <c r="JH2">
        <v>267</v>
      </c>
      <c r="JI2">
        <v>268</v>
      </c>
      <c r="JJ2">
        <v>269</v>
      </c>
      <c r="JK2">
        <v>270</v>
      </c>
      <c r="JL2">
        <v>271</v>
      </c>
      <c r="JM2">
        <v>272</v>
      </c>
      <c r="JN2">
        <v>273</v>
      </c>
      <c r="JO2">
        <v>274</v>
      </c>
      <c r="JP2">
        <v>275</v>
      </c>
      <c r="JQ2">
        <v>276</v>
      </c>
      <c r="JR2">
        <v>277</v>
      </c>
      <c r="JS2">
        <v>278</v>
      </c>
      <c r="JT2">
        <v>279</v>
      </c>
      <c r="JU2">
        <v>280</v>
      </c>
      <c r="JV2">
        <v>281</v>
      </c>
      <c r="JW2">
        <v>282</v>
      </c>
      <c r="JX2">
        <v>283</v>
      </c>
      <c r="JY2">
        <v>284</v>
      </c>
      <c r="JZ2">
        <v>285</v>
      </c>
      <c r="KA2">
        <v>286</v>
      </c>
      <c r="KB2">
        <v>287</v>
      </c>
      <c r="KC2">
        <v>288</v>
      </c>
      <c r="KD2">
        <v>289</v>
      </c>
      <c r="KE2">
        <v>290</v>
      </c>
      <c r="KF2">
        <v>291</v>
      </c>
      <c r="KG2">
        <v>292</v>
      </c>
      <c r="KH2">
        <v>293</v>
      </c>
      <c r="KI2">
        <v>294</v>
      </c>
      <c r="KJ2">
        <v>295</v>
      </c>
      <c r="KK2">
        <v>296</v>
      </c>
      <c r="KL2">
        <v>297</v>
      </c>
      <c r="KM2">
        <v>298</v>
      </c>
      <c r="KN2">
        <v>299</v>
      </c>
      <c r="KO2">
        <v>300</v>
      </c>
    </row>
    <row r="3" spans="1:301">
      <c r="A3" t="s">
        <v>938</v>
      </c>
      <c r="B3" s="1253" t="s">
        <v>0</v>
      </c>
      <c r="C3" s="1253" t="s">
        <v>839</v>
      </c>
      <c r="D3" s="1253" t="s">
        <v>548</v>
      </c>
      <c r="E3" s="1253" t="s">
        <v>1</v>
      </c>
      <c r="F3" s="1253" t="s">
        <v>840</v>
      </c>
      <c r="G3" s="1253" t="s">
        <v>551</v>
      </c>
      <c r="H3" s="1253" t="s">
        <v>2</v>
      </c>
      <c r="I3" s="1253" t="s">
        <v>841</v>
      </c>
      <c r="J3" s="1253" t="s">
        <v>552</v>
      </c>
      <c r="K3" s="1253" t="s">
        <v>3</v>
      </c>
      <c r="L3" s="1253" t="s">
        <v>842</v>
      </c>
      <c r="M3" s="1253" t="s">
        <v>553</v>
      </c>
      <c r="N3" s="1253" t="s">
        <v>4</v>
      </c>
      <c r="O3" s="1253" t="s">
        <v>843</v>
      </c>
      <c r="P3" s="1253" t="s">
        <v>554</v>
      </c>
      <c r="Q3" s="1253" t="s">
        <v>32</v>
      </c>
      <c r="R3" s="1253" t="s">
        <v>871</v>
      </c>
      <c r="S3" s="1253" t="s">
        <v>582</v>
      </c>
      <c r="T3" s="1253" t="s">
        <v>46</v>
      </c>
      <c r="U3" s="1253" t="s">
        <v>884</v>
      </c>
      <c r="V3" s="1253" t="s">
        <v>594</v>
      </c>
      <c r="W3" s="1253" t="s">
        <v>5</v>
      </c>
      <c r="X3" s="1253" t="s">
        <v>844</v>
      </c>
      <c r="Y3" s="1253" t="s">
        <v>555</v>
      </c>
      <c r="Z3" s="1253" t="s">
        <v>6</v>
      </c>
      <c r="AA3" s="1253" t="s">
        <v>845</v>
      </c>
      <c r="AB3" s="1253" t="s">
        <v>556</v>
      </c>
      <c r="AC3" s="1253" t="s">
        <v>7</v>
      </c>
      <c r="AD3" s="1253" t="s">
        <v>846</v>
      </c>
      <c r="AE3" s="1253" t="s">
        <v>557</v>
      </c>
      <c r="AF3" s="1253" t="s">
        <v>8</v>
      </c>
      <c r="AG3" s="1253" t="s">
        <v>847</v>
      </c>
      <c r="AH3" s="1253" t="s">
        <v>558</v>
      </c>
      <c r="AI3" s="1253" t="s">
        <v>9</v>
      </c>
      <c r="AJ3" s="1253" t="s">
        <v>848</v>
      </c>
      <c r="AK3" s="1253" t="s">
        <v>559</v>
      </c>
      <c r="AL3" s="1253" t="s">
        <v>10</v>
      </c>
      <c r="AM3" s="1253" t="s">
        <v>849</v>
      </c>
      <c r="AN3" s="1253" t="s">
        <v>560</v>
      </c>
      <c r="AO3" s="1253" t="s">
        <v>11</v>
      </c>
      <c r="AP3" s="1253" t="s">
        <v>850</v>
      </c>
      <c r="AQ3" s="1253" t="s">
        <v>561</v>
      </c>
      <c r="AR3" s="1253" t="s">
        <v>12</v>
      </c>
      <c r="AS3" s="1253" t="s">
        <v>851</v>
      </c>
      <c r="AT3" s="1253" t="s">
        <v>562</v>
      </c>
      <c r="AU3" s="1253" t="s">
        <v>13</v>
      </c>
      <c r="AV3" s="1253" t="s">
        <v>852</v>
      </c>
      <c r="AW3" s="1253" t="s">
        <v>563</v>
      </c>
      <c r="AX3" s="1253" t="s">
        <v>14</v>
      </c>
      <c r="AY3" s="1253" t="s">
        <v>853</v>
      </c>
      <c r="AZ3" s="1253" t="s">
        <v>564</v>
      </c>
      <c r="BA3" s="1253" t="s">
        <v>15</v>
      </c>
      <c r="BB3" s="1253" t="s">
        <v>854</v>
      </c>
      <c r="BC3" s="1253" t="s">
        <v>565</v>
      </c>
      <c r="BD3" s="1253" t="s">
        <v>16</v>
      </c>
      <c r="BE3" s="1253" t="s">
        <v>855</v>
      </c>
      <c r="BF3" s="1253" t="s">
        <v>566</v>
      </c>
      <c r="BG3" s="1253" t="s">
        <v>17</v>
      </c>
      <c r="BH3" s="1253" t="s">
        <v>856</v>
      </c>
      <c r="BI3" s="1253" t="s">
        <v>567</v>
      </c>
      <c r="BJ3" s="1253" t="s">
        <v>19</v>
      </c>
      <c r="BK3" s="1253" t="s">
        <v>858</v>
      </c>
      <c r="BL3" s="1253" t="s">
        <v>569</v>
      </c>
      <c r="BM3" s="1253" t="s">
        <v>20</v>
      </c>
      <c r="BN3" s="1253" t="s">
        <v>859</v>
      </c>
      <c r="BO3" s="1253" t="s">
        <v>570</v>
      </c>
      <c r="BP3" s="1253" t="s">
        <v>21</v>
      </c>
      <c r="BQ3" s="1253" t="s">
        <v>860</v>
      </c>
      <c r="BR3" s="1253" t="s">
        <v>571</v>
      </c>
      <c r="BS3" s="1253" t="s">
        <v>22</v>
      </c>
      <c r="BT3" s="1253" t="s">
        <v>861</v>
      </c>
      <c r="BU3" s="1253" t="s">
        <v>572</v>
      </c>
      <c r="BV3" s="1253" t="s">
        <v>23</v>
      </c>
      <c r="BW3" s="1253" t="s">
        <v>862</v>
      </c>
      <c r="BX3" s="1253" t="s">
        <v>573</v>
      </c>
      <c r="BY3" s="1253" t="s">
        <v>24</v>
      </c>
      <c r="BZ3" s="1253" t="s">
        <v>863</v>
      </c>
      <c r="CA3" s="1253" t="s">
        <v>574</v>
      </c>
      <c r="CB3" s="1253" t="s">
        <v>25</v>
      </c>
      <c r="CC3" s="1253" t="s">
        <v>864</v>
      </c>
      <c r="CD3" s="1253" t="s">
        <v>575</v>
      </c>
      <c r="CE3" s="1253" t="s">
        <v>26</v>
      </c>
      <c r="CF3" s="1253" t="s">
        <v>865</v>
      </c>
      <c r="CG3" s="1253" t="s">
        <v>576</v>
      </c>
      <c r="CH3" s="1253" t="s">
        <v>27</v>
      </c>
      <c r="CI3" s="1253" t="s">
        <v>866</v>
      </c>
      <c r="CJ3" s="1253" t="s">
        <v>577</v>
      </c>
      <c r="CK3" s="1253" t="s">
        <v>28</v>
      </c>
      <c r="CL3" s="1253" t="s">
        <v>867</v>
      </c>
      <c r="CM3" s="1253" t="s">
        <v>578</v>
      </c>
      <c r="CN3" s="1253" t="s">
        <v>29</v>
      </c>
      <c r="CO3" s="1253" t="s">
        <v>868</v>
      </c>
      <c r="CP3" s="1253" t="s">
        <v>579</v>
      </c>
      <c r="CQ3" s="1253" t="s">
        <v>30</v>
      </c>
      <c r="CR3" s="1253" t="s">
        <v>869</v>
      </c>
      <c r="CS3" s="1253" t="s">
        <v>580</v>
      </c>
      <c r="CT3" s="1253" t="s">
        <v>53</v>
      </c>
      <c r="CU3" s="1253" t="s">
        <v>891</v>
      </c>
      <c r="CV3" s="1253" t="s">
        <v>601</v>
      </c>
      <c r="CW3" s="1253" t="s">
        <v>31</v>
      </c>
      <c r="CX3" s="1253" t="s">
        <v>870</v>
      </c>
      <c r="CY3" s="1253" t="s">
        <v>581</v>
      </c>
      <c r="CZ3" s="1253" t="s">
        <v>33</v>
      </c>
      <c r="DA3" s="1253" t="s">
        <v>872</v>
      </c>
      <c r="DB3" s="1253" t="s">
        <v>583</v>
      </c>
      <c r="DC3" s="1253" t="s">
        <v>1089</v>
      </c>
      <c r="DD3" s="1253" t="s">
        <v>1090</v>
      </c>
      <c r="DE3" s="1253" t="s">
        <v>1091</v>
      </c>
      <c r="DF3" s="1253" t="s">
        <v>34</v>
      </c>
      <c r="DG3" s="1253" t="s">
        <v>873</v>
      </c>
      <c r="DH3" s="1253" t="s">
        <v>584</v>
      </c>
      <c r="DI3" s="1253" t="s">
        <v>35</v>
      </c>
      <c r="DJ3" s="1253" t="s">
        <v>874</v>
      </c>
      <c r="DK3" s="1253" t="s">
        <v>585</v>
      </c>
      <c r="DL3" s="1253" t="s">
        <v>37</v>
      </c>
      <c r="DM3" s="1253" t="s">
        <v>876</v>
      </c>
      <c r="DN3" s="1253" t="s">
        <v>587</v>
      </c>
      <c r="DO3" s="1253" t="s">
        <v>38</v>
      </c>
      <c r="DP3" s="1253" t="s">
        <v>877</v>
      </c>
      <c r="DQ3" s="1253" t="s">
        <v>588</v>
      </c>
      <c r="DR3" s="1253" t="s">
        <v>39</v>
      </c>
      <c r="DS3" s="1253" t="s">
        <v>878</v>
      </c>
      <c r="DT3" s="1253" t="s">
        <v>589</v>
      </c>
      <c r="DU3" s="1253" t="s">
        <v>40</v>
      </c>
      <c r="DV3" s="1253" t="s">
        <v>879</v>
      </c>
      <c r="DW3" s="1253" t="s">
        <v>590</v>
      </c>
      <c r="DX3" s="1253" t="s">
        <v>36</v>
      </c>
      <c r="DY3" s="1253" t="s">
        <v>875</v>
      </c>
      <c r="DZ3" s="1253" t="s">
        <v>586</v>
      </c>
      <c r="EA3" s="1253" t="s">
        <v>43</v>
      </c>
      <c r="EB3" s="1253" t="s">
        <v>882</v>
      </c>
      <c r="EC3" s="1253" t="s">
        <v>592</v>
      </c>
      <c r="ED3" s="1253" t="s">
        <v>44</v>
      </c>
      <c r="EE3" s="1253" t="s">
        <v>180</v>
      </c>
      <c r="EF3" s="1253" t="s">
        <v>663</v>
      </c>
      <c r="EG3" s="1253" t="s">
        <v>45</v>
      </c>
      <c r="EH3" s="1253" t="s">
        <v>883</v>
      </c>
      <c r="EI3" s="1253" t="s">
        <v>593</v>
      </c>
      <c r="EJ3" s="1253" t="s">
        <v>1016</v>
      </c>
      <c r="EK3" s="1253" t="s">
        <v>2512</v>
      </c>
      <c r="EL3" s="1253" t="s">
        <v>2513</v>
      </c>
      <c r="EM3" s="1253" t="s">
        <v>47</v>
      </c>
      <c r="EN3" s="1253" t="s">
        <v>885</v>
      </c>
      <c r="EO3" s="1253" t="s">
        <v>595</v>
      </c>
      <c r="EP3" s="1253" t="s">
        <v>48</v>
      </c>
      <c r="EQ3" s="1253" t="s">
        <v>886</v>
      </c>
      <c r="ER3" s="1253" t="s">
        <v>596</v>
      </c>
      <c r="ES3" s="1253" t="s">
        <v>49</v>
      </c>
      <c r="ET3" s="1253" t="s">
        <v>887</v>
      </c>
      <c r="EU3" s="1253" t="s">
        <v>597</v>
      </c>
      <c r="EV3" s="1253" t="s">
        <v>50</v>
      </c>
      <c r="EW3" s="1253" t="s">
        <v>888</v>
      </c>
      <c r="EX3" s="1253" t="s">
        <v>598</v>
      </c>
      <c r="EY3" s="1253" t="s">
        <v>51</v>
      </c>
      <c r="EZ3" s="1253" t="s">
        <v>889</v>
      </c>
      <c r="FA3" s="1253" t="s">
        <v>599</v>
      </c>
      <c r="FB3" s="1253" t="s">
        <v>52</v>
      </c>
      <c r="FC3" s="1253" t="s">
        <v>890</v>
      </c>
      <c r="FD3" s="1253" t="s">
        <v>600</v>
      </c>
      <c r="FE3" s="1253" t="s">
        <v>54</v>
      </c>
      <c r="FF3" s="1253" t="s">
        <v>892</v>
      </c>
      <c r="FG3" s="1253" t="s">
        <v>602</v>
      </c>
      <c r="FH3" s="1253" t="s">
        <v>55</v>
      </c>
      <c r="FI3" s="1253" t="s">
        <v>893</v>
      </c>
      <c r="FJ3" s="1253" t="s">
        <v>603</v>
      </c>
      <c r="FK3" s="1253" t="s">
        <v>56</v>
      </c>
      <c r="FL3" s="1253" t="s">
        <v>894</v>
      </c>
      <c r="FM3" s="1253" t="s">
        <v>604</v>
      </c>
      <c r="FN3" s="1253" t="s">
        <v>57</v>
      </c>
      <c r="FO3" s="1253" t="s">
        <v>895</v>
      </c>
      <c r="FP3" s="1253" t="s">
        <v>605</v>
      </c>
      <c r="FQ3" s="1253" t="s">
        <v>58</v>
      </c>
      <c r="FR3" s="1253" t="s">
        <v>896</v>
      </c>
      <c r="FS3" s="1253" t="s">
        <v>606</v>
      </c>
      <c r="FT3" s="1253" t="s">
        <v>41</v>
      </c>
      <c r="FU3" s="1253" t="s">
        <v>880</v>
      </c>
      <c r="FV3" s="1253" t="s">
        <v>591</v>
      </c>
      <c r="FW3" s="1253" t="s">
        <v>60</v>
      </c>
      <c r="FX3" s="1253" t="s">
        <v>898</v>
      </c>
      <c r="FY3" s="1253" t="s">
        <v>608</v>
      </c>
      <c r="FZ3" s="1253" t="s">
        <v>42</v>
      </c>
      <c r="GA3" s="1253" t="s">
        <v>881</v>
      </c>
      <c r="GB3" s="1253" t="s">
        <v>665</v>
      </c>
      <c r="GC3" s="1253" t="s">
        <v>59</v>
      </c>
      <c r="GD3" s="1253" t="s">
        <v>897</v>
      </c>
      <c r="GE3" s="1253" t="s">
        <v>607</v>
      </c>
      <c r="GF3" s="1253" t="s">
        <v>62</v>
      </c>
      <c r="GG3" s="1253" t="s">
        <v>900</v>
      </c>
      <c r="GH3" s="1253" t="s">
        <v>609</v>
      </c>
      <c r="GI3" s="1253" t="s">
        <v>61</v>
      </c>
      <c r="GJ3" s="1253" t="s">
        <v>899</v>
      </c>
      <c r="GK3" s="1253" t="s">
        <v>664</v>
      </c>
      <c r="GL3" s="1253" t="s">
        <v>66</v>
      </c>
      <c r="GM3" s="1253" t="s">
        <v>904</v>
      </c>
      <c r="GN3" s="1253" t="s">
        <v>613</v>
      </c>
      <c r="GO3" s="1253" t="s">
        <v>65</v>
      </c>
      <c r="GP3" s="1253" t="s">
        <v>903</v>
      </c>
      <c r="GQ3" s="1253" t="s">
        <v>612</v>
      </c>
      <c r="GR3" s="1253" t="s">
        <v>73</v>
      </c>
      <c r="GS3" s="1253" t="s">
        <v>911</v>
      </c>
      <c r="GT3" s="1253" t="s">
        <v>620</v>
      </c>
      <c r="GU3" s="1253" t="s">
        <v>64</v>
      </c>
      <c r="GV3" s="1253" t="s">
        <v>902</v>
      </c>
      <c r="GW3" s="1253" t="s">
        <v>611</v>
      </c>
      <c r="GX3" s="1253" t="s">
        <v>69</v>
      </c>
      <c r="GY3" s="1253" t="s">
        <v>907</v>
      </c>
      <c r="GZ3" s="1253" t="s">
        <v>616</v>
      </c>
      <c r="HA3" s="1253" t="s">
        <v>67</v>
      </c>
      <c r="HB3" s="1253" t="s">
        <v>905</v>
      </c>
      <c r="HC3" s="1253" t="s">
        <v>614</v>
      </c>
      <c r="HD3" s="1253" t="s">
        <v>63</v>
      </c>
      <c r="HE3" s="1253" t="s">
        <v>901</v>
      </c>
      <c r="HF3" s="1253" t="s">
        <v>610</v>
      </c>
      <c r="HG3" s="1253" t="s">
        <v>68</v>
      </c>
      <c r="HH3" s="1253" t="s">
        <v>906</v>
      </c>
      <c r="HI3" s="1253" t="s">
        <v>615</v>
      </c>
      <c r="HJ3" s="1253" t="s">
        <v>78</v>
      </c>
      <c r="HK3" s="1253" t="s">
        <v>916</v>
      </c>
      <c r="HL3" s="1253" t="s">
        <v>625</v>
      </c>
      <c r="HM3" s="1253" t="s">
        <v>74</v>
      </c>
      <c r="HN3" s="1253" t="s">
        <v>912</v>
      </c>
      <c r="HO3" s="1253" t="s">
        <v>621</v>
      </c>
      <c r="HP3" s="1253" t="s">
        <v>77</v>
      </c>
      <c r="HQ3" s="1253" t="s">
        <v>915</v>
      </c>
      <c r="HR3" s="1253" t="s">
        <v>624</v>
      </c>
      <c r="HS3" s="1253" t="s">
        <v>79</v>
      </c>
      <c r="HT3" s="1253" t="s">
        <v>918</v>
      </c>
      <c r="HU3" s="1253" t="s">
        <v>626</v>
      </c>
      <c r="HV3" s="1253" t="s">
        <v>76</v>
      </c>
      <c r="HW3" s="1253" t="s">
        <v>914</v>
      </c>
      <c r="HX3" s="1253" t="s">
        <v>623</v>
      </c>
      <c r="HY3" s="1253" t="s">
        <v>80</v>
      </c>
      <c r="HZ3" s="1253" t="s">
        <v>919</v>
      </c>
      <c r="IA3" s="1253" t="s">
        <v>627</v>
      </c>
      <c r="IB3" s="1253" t="s">
        <v>70</v>
      </c>
      <c r="IC3" s="1253" t="s">
        <v>908</v>
      </c>
      <c r="ID3" s="1253" t="s">
        <v>617</v>
      </c>
      <c r="IE3" s="1253" t="s">
        <v>81</v>
      </c>
      <c r="IF3" s="1253" t="s">
        <v>920</v>
      </c>
      <c r="IG3" s="1253" t="s">
        <v>628</v>
      </c>
      <c r="IH3" s="1253" t="s">
        <v>87</v>
      </c>
      <c r="II3" s="1253" t="s">
        <v>926</v>
      </c>
      <c r="IJ3" s="1253" t="s">
        <v>634</v>
      </c>
      <c r="IK3" s="1253" t="s">
        <v>82</v>
      </c>
      <c r="IL3" s="1253" t="s">
        <v>921</v>
      </c>
      <c r="IM3" s="1253" t="s">
        <v>629</v>
      </c>
      <c r="IN3" s="1253" t="s">
        <v>83</v>
      </c>
      <c r="IO3" s="1253" t="s">
        <v>922</v>
      </c>
      <c r="IP3" s="1253" t="s">
        <v>630</v>
      </c>
      <c r="IQ3" s="1253" t="s">
        <v>72</v>
      </c>
      <c r="IR3" s="1253" t="s">
        <v>910</v>
      </c>
      <c r="IS3" s="1253" t="s">
        <v>619</v>
      </c>
      <c r="IT3" s="1253" t="s">
        <v>75</v>
      </c>
      <c r="IU3" s="1253" t="s">
        <v>913</v>
      </c>
      <c r="IV3" s="1253" t="s">
        <v>622</v>
      </c>
      <c r="IW3" s="1253" t="s">
        <v>84</v>
      </c>
      <c r="IX3" s="1253" t="s">
        <v>923</v>
      </c>
      <c r="IY3" s="1253" t="s">
        <v>631</v>
      </c>
      <c r="IZ3" s="1253" t="s">
        <v>85</v>
      </c>
      <c r="JA3" s="1253" t="s">
        <v>924</v>
      </c>
      <c r="JB3" s="1253" t="s">
        <v>632</v>
      </c>
      <c r="JC3" s="1253" t="s">
        <v>71</v>
      </c>
      <c r="JD3" s="1253" t="s">
        <v>909</v>
      </c>
      <c r="JE3" s="1253" t="s">
        <v>618</v>
      </c>
      <c r="JF3" s="1253" t="s">
        <v>86</v>
      </c>
      <c r="JG3" s="1253" t="s">
        <v>925</v>
      </c>
      <c r="JH3" s="1253" t="s">
        <v>633</v>
      </c>
      <c r="JI3" s="1253" t="s">
        <v>666</v>
      </c>
      <c r="JJ3" s="1253" t="s">
        <v>917</v>
      </c>
      <c r="JK3" s="1253" t="s">
        <v>667</v>
      </c>
      <c r="JL3" s="1253" t="s">
        <v>88</v>
      </c>
      <c r="JM3" s="1253" t="s">
        <v>927</v>
      </c>
      <c r="JN3" s="1253" t="s">
        <v>635</v>
      </c>
      <c r="JO3" s="1253" t="s">
        <v>89</v>
      </c>
      <c r="JP3" s="1253" t="s">
        <v>928</v>
      </c>
      <c r="JQ3" s="1253" t="s">
        <v>636</v>
      </c>
      <c r="JR3" s="1253" t="s">
        <v>1557</v>
      </c>
      <c r="JS3" s="1253" t="s">
        <v>1562</v>
      </c>
      <c r="JT3" s="1253" t="s">
        <v>1561</v>
      </c>
      <c r="JU3" s="1253" t="s">
        <v>2572</v>
      </c>
      <c r="JV3" s="1253" t="s">
        <v>2574</v>
      </c>
      <c r="JW3" s="1253" t="s">
        <v>2573</v>
      </c>
      <c r="JX3" s="1253" t="s">
        <v>18</v>
      </c>
      <c r="JY3" s="1253" t="s">
        <v>857</v>
      </c>
      <c r="JZ3" s="1253" t="s">
        <v>568</v>
      </c>
    </row>
    <row r="4" spans="1:301">
      <c r="A4" cm="1">
        <f t="array" ref="A4:A53">_xlfn.SEQUENCE(50,,1,1)</f>
        <v>1</v>
      </c>
      <c r="B4" s="1235">
        <v>-2.0331403796296294E-4</v>
      </c>
      <c r="C4" s="1236">
        <v>9.9999999999999995E-7</v>
      </c>
      <c r="D4" s="1237">
        <v>-212.634761</v>
      </c>
      <c r="E4" s="1235">
        <v>-1.3070250763666664E-5</v>
      </c>
      <c r="F4" s="1236">
        <v>9.9999999999999995E-7</v>
      </c>
      <c r="G4" s="1237">
        <v>-13.074779999999999</v>
      </c>
      <c r="H4" s="1235">
        <v>-4.9410721641923074E-5</v>
      </c>
      <c r="I4" s="1236">
        <v>9.9999999999999995E-7</v>
      </c>
      <c r="J4" s="1237">
        <v>-49.237027903292685</v>
      </c>
      <c r="K4" s="1235">
        <v>-2.027375590163934E-4</v>
      </c>
      <c r="L4" s="1236">
        <v>9.9999999999999995E-7</v>
      </c>
      <c r="M4" s="1237">
        <v>-203.15856500000001</v>
      </c>
      <c r="N4" s="1235">
        <v>-1.1669648384441569E-6</v>
      </c>
      <c r="O4" s="1236">
        <v>9.9999999999999995E-7</v>
      </c>
      <c r="P4" s="1237">
        <v>-1.1669648384441569</v>
      </c>
      <c r="Q4" s="1235">
        <v>-6.5445558139534882E-4</v>
      </c>
      <c r="R4" s="1236">
        <v>9.9999999999999995E-7</v>
      </c>
      <c r="S4" s="1237">
        <v>-658.69578947368416</v>
      </c>
      <c r="T4" s="1238">
        <v>0</v>
      </c>
      <c r="U4" s="1238">
        <v>0</v>
      </c>
      <c r="V4" s="1238">
        <v>-204.79</v>
      </c>
      <c r="W4" s="1235">
        <v>-6.9839999999999995E-5</v>
      </c>
      <c r="X4" s="1236">
        <v>9.9999999999999995E-7</v>
      </c>
      <c r="Y4" s="1237">
        <v>-69.84</v>
      </c>
      <c r="Z4" s="1235">
        <v>-2.0807692307692309E-6</v>
      </c>
      <c r="AA4" s="1236">
        <v>9.9999999999999995E-7</v>
      </c>
      <c r="AB4" s="1237">
        <v>-2.1440000000000001</v>
      </c>
      <c r="AC4" s="1235">
        <v>-1.2719599999999999E-5</v>
      </c>
      <c r="AD4" s="1236">
        <v>9.9999999999999995E-7</v>
      </c>
      <c r="AE4" s="1237">
        <v>-12.7196</v>
      </c>
      <c r="AF4" s="1235">
        <v>-6.2749999999999994E-5</v>
      </c>
      <c r="AG4" s="1236">
        <v>9.9999999999999995E-7</v>
      </c>
      <c r="AH4" s="1237">
        <v>-62.75</v>
      </c>
      <c r="AI4" s="1235">
        <v>-5.8934999999999997E-5</v>
      </c>
      <c r="AJ4" s="1236">
        <v>9.9999999999999995E-7</v>
      </c>
      <c r="AK4" s="1237">
        <v>-67.2</v>
      </c>
      <c r="AL4" s="1235">
        <v>-5.605619E-5</v>
      </c>
      <c r="AM4" s="1236">
        <v>9.9999999999999995E-7</v>
      </c>
      <c r="AN4" s="1237">
        <v>-56.056190000000001</v>
      </c>
      <c r="AO4" s="1235">
        <v>-3.13486E-6</v>
      </c>
      <c r="AP4" s="1236">
        <v>9.9999999999999995E-7</v>
      </c>
      <c r="AQ4" s="1237">
        <v>-2.9870588235294115</v>
      </c>
      <c r="AR4" s="1235">
        <v>-1.1457399999999999E-4</v>
      </c>
      <c r="AS4" s="1236">
        <v>9.9999999999999995E-7</v>
      </c>
      <c r="AT4" s="1237">
        <v>-114.574</v>
      </c>
      <c r="AU4" s="1235">
        <v>-3.1857499999999998E-5</v>
      </c>
      <c r="AV4" s="1236">
        <v>9.9999999999999995E-7</v>
      </c>
      <c r="AW4" s="1237">
        <v>-30.072500000000002</v>
      </c>
      <c r="AX4" s="1235">
        <v>-1.4017430000000001E-4</v>
      </c>
      <c r="AY4" s="1236">
        <v>9.9999999999999995E-7</v>
      </c>
      <c r="AZ4" s="1237">
        <v>-136.43592857142858</v>
      </c>
      <c r="BA4" s="1235">
        <v>-1.58425E-5</v>
      </c>
      <c r="BB4" s="1236">
        <v>9.9999999999999995E-7</v>
      </c>
      <c r="BC4" s="1237">
        <v>-15.842499999999999</v>
      </c>
      <c r="BD4" s="1235">
        <v>-1.4779999999999999E-5</v>
      </c>
      <c r="BE4" s="1236">
        <v>9.9999999999999995E-7</v>
      </c>
      <c r="BF4" s="1237">
        <v>-14.78</v>
      </c>
      <c r="BG4" s="1235">
        <v>-2.1268799999999998E-6</v>
      </c>
      <c r="BH4" s="1236">
        <v>9.9999999999999995E-7</v>
      </c>
      <c r="BI4" s="1237">
        <v>-2.1268799999999999</v>
      </c>
      <c r="BJ4" s="1235">
        <v>-4.6675999999999998E-5</v>
      </c>
      <c r="BK4" s="1236">
        <v>9.9999999999999995E-7</v>
      </c>
      <c r="BL4" s="1237">
        <v>-46.676000000000002</v>
      </c>
      <c r="BM4" s="1235">
        <v>-1.9751183199999998E-5</v>
      </c>
      <c r="BN4" s="1236">
        <v>9.9999999999999995E-7</v>
      </c>
      <c r="BO4" s="1237">
        <v>-20.520893818181818</v>
      </c>
      <c r="BP4" s="1235">
        <v>-2.4949998000000001E-5</v>
      </c>
      <c r="BQ4" s="1236">
        <v>9.9999999999999995E-7</v>
      </c>
      <c r="BR4" s="1237">
        <v>-26.097999999999999</v>
      </c>
      <c r="BS4" s="1235">
        <v>-2.0912517777777774E-4</v>
      </c>
      <c r="BT4" s="1236">
        <v>9.9999999999999995E-7</v>
      </c>
      <c r="BU4" s="1237">
        <v>-218.24453636363637</v>
      </c>
      <c r="BV4" s="1235">
        <v>-6.8096917293233077E-5</v>
      </c>
      <c r="BW4" s="1236">
        <v>9.9999999999999995E-7</v>
      </c>
      <c r="BX4" s="1237">
        <v>-68.392750000000007</v>
      </c>
      <c r="BY4" s="1235">
        <v>-3.8535999999999998E-6</v>
      </c>
      <c r="BZ4" s="1236">
        <v>9.9999999999999995E-7</v>
      </c>
      <c r="CA4" s="1237"/>
      <c r="CB4" s="1235">
        <v>-5.0682999999999994E-6</v>
      </c>
      <c r="CC4" s="1236">
        <v>9.9999999999999995E-7</v>
      </c>
      <c r="CD4" s="1237">
        <v>-5.0682999999999998</v>
      </c>
      <c r="CE4" s="1235">
        <v>-7.1645336666666668E-5</v>
      </c>
      <c r="CF4" s="1236">
        <v>9.9999999999999995E-7</v>
      </c>
      <c r="CG4" s="1237">
        <v>-71.645336666666665</v>
      </c>
      <c r="CH4" s="1235">
        <v>-3.1901500980392158E-4</v>
      </c>
      <c r="CI4" s="1236">
        <v>9.9999999999999995E-7</v>
      </c>
      <c r="CJ4" s="1237">
        <v>-333.98097959183673</v>
      </c>
      <c r="CK4" s="1235">
        <v>-7.1074707619047617E-5</v>
      </c>
      <c r="CL4" s="1236">
        <v>9.9999999999999995E-7</v>
      </c>
      <c r="CM4" s="1237">
        <v>-71.000443000000004</v>
      </c>
      <c r="CN4" s="1235">
        <v>-4.5542095070422535E-5</v>
      </c>
      <c r="CO4" s="1236">
        <v>9.9999999999999995E-7</v>
      </c>
      <c r="CP4" s="1237">
        <v>-51.007316666666668</v>
      </c>
      <c r="CQ4" s="1235">
        <v>-1.12517E-3</v>
      </c>
      <c r="CR4" s="1236">
        <v>9.9999999999999995E-7</v>
      </c>
      <c r="CS4" s="1237">
        <v>-1135.346</v>
      </c>
      <c r="CT4" s="1235">
        <v>-9.4350833427082165E-6</v>
      </c>
      <c r="CU4" s="1236">
        <v>9.9999999999999995E-7</v>
      </c>
      <c r="CV4" s="1237">
        <v>-9.4350833427082161</v>
      </c>
      <c r="CW4" s="1235">
        <v>-2.4969999999999996E-5</v>
      </c>
      <c r="CX4" s="1236">
        <v>9.9999999999999995E-7</v>
      </c>
      <c r="CY4" s="1237">
        <v>-29.252500000000001</v>
      </c>
      <c r="CZ4" s="1235">
        <v>-6.2248999999999995E-6</v>
      </c>
      <c r="DA4" s="1236">
        <v>9.9999999999999995E-7</v>
      </c>
      <c r="DB4" s="1237">
        <v>-5.19</v>
      </c>
      <c r="DC4" s="1235">
        <v>-5.8097568222222218E-6</v>
      </c>
      <c r="DD4" s="1236">
        <v>9.9999999999999995E-7</v>
      </c>
      <c r="DE4" s="1237">
        <v>-5.725200148148148</v>
      </c>
      <c r="DF4" s="1235">
        <v>-1.06634002E-6</v>
      </c>
      <c r="DG4" s="1236">
        <v>9.9999999999999995E-7</v>
      </c>
      <c r="DH4" s="1237">
        <v>-1.0663400199999999</v>
      </c>
      <c r="DI4" s="1235">
        <v>-1.8649999999999999E-5</v>
      </c>
      <c r="DJ4" s="1236">
        <v>9.9999999999999995E-7</v>
      </c>
      <c r="DK4" s="1237">
        <v>-28.545245000000001</v>
      </c>
      <c r="DL4" s="1235">
        <v>-2.8370000000000001E-5</v>
      </c>
      <c r="DM4" s="1236">
        <v>9.9999999999999995E-7</v>
      </c>
      <c r="DN4" s="1237">
        <v>-28.37</v>
      </c>
      <c r="DO4" s="1235">
        <v>-2.4297792571428571E-4</v>
      </c>
      <c r="DP4" s="1236">
        <v>9.9999999999999995E-7</v>
      </c>
      <c r="DQ4" s="1237">
        <v>-240.53301315789471</v>
      </c>
      <c r="DR4" s="1235">
        <v>-1.7082313043478262E-5</v>
      </c>
      <c r="DS4" s="1236">
        <v>9.9999999999999995E-7</v>
      </c>
      <c r="DT4" s="1237">
        <v>-17.004960658082975</v>
      </c>
      <c r="DU4" s="1235">
        <v>-2.9196618125E-5</v>
      </c>
      <c r="DV4" s="1236">
        <v>9.9999999999999995E-7</v>
      </c>
      <c r="DW4" s="1237">
        <v>-29.196618125000001</v>
      </c>
      <c r="DX4" s="1235">
        <v>-3.3650999999999999E-4</v>
      </c>
      <c r="DY4" s="1236">
        <v>9.9999999999999995E-7</v>
      </c>
      <c r="DZ4" s="1237">
        <v>-336.51</v>
      </c>
      <c r="EA4" s="1235">
        <v>-1.8832192327272726E-4</v>
      </c>
      <c r="EB4" s="1236">
        <v>9.9999999999999995E-7</v>
      </c>
      <c r="EC4" s="1237">
        <v>-203.95281791666665</v>
      </c>
      <c r="ED4" s="1235">
        <v>-4.1599349999999997E-5</v>
      </c>
      <c r="EE4" s="1236">
        <v>9.9999999999999995E-7</v>
      </c>
      <c r="EF4" s="1237">
        <v>-41.599350000000001</v>
      </c>
      <c r="EG4" s="1235">
        <v>-8.6904112345883776E-6</v>
      </c>
      <c r="EH4" s="1236">
        <v>9.9999999999999995E-7</v>
      </c>
      <c r="EI4" s="1237">
        <v>-9.3000000000000007</v>
      </c>
      <c r="EJ4" s="1235">
        <v>-2.0479114283428572E-4</v>
      </c>
      <c r="EK4" s="1236">
        <v>9.9999999999999995E-7</v>
      </c>
      <c r="EL4" s="1237">
        <v>-204.79114283428572</v>
      </c>
      <c r="EM4" s="1235">
        <v>-2.4149999999999997E-5</v>
      </c>
      <c r="EN4" s="1236">
        <v>9.9999999999999995E-7</v>
      </c>
      <c r="EO4" s="1237">
        <v>-24.15</v>
      </c>
      <c r="EP4" s="1235">
        <v>-6.0039285714285705E-5</v>
      </c>
      <c r="EQ4" s="1236">
        <v>9.9999999999999995E-7</v>
      </c>
      <c r="ER4" s="1237">
        <v>-59.721249999999998</v>
      </c>
      <c r="ES4" s="1235">
        <v>-8.2300000000000008E-6</v>
      </c>
      <c r="ET4" s="1236">
        <v>9.9999999999999995E-7</v>
      </c>
      <c r="EU4" s="1237">
        <v>-9.4600000000000009</v>
      </c>
      <c r="EV4" s="1235">
        <v>-1.00599E-5</v>
      </c>
      <c r="EW4" s="1236">
        <v>9.9999999999999995E-7</v>
      </c>
      <c r="EX4" s="1237">
        <v>-10.059900000000001</v>
      </c>
      <c r="EY4" s="1235">
        <v>-1.0609E-4</v>
      </c>
      <c r="EZ4" s="1236">
        <v>9.9999999999999995E-7</v>
      </c>
      <c r="FA4" s="1237">
        <v>-112.93</v>
      </c>
      <c r="FB4" s="1235">
        <v>-9.8735999999999998E-6</v>
      </c>
      <c r="FC4" s="1236">
        <v>9.9999999999999995E-7</v>
      </c>
      <c r="FD4" s="1237">
        <v>-8.2667999999999999</v>
      </c>
      <c r="FE4" s="1235">
        <v>-1.2642075189584157E-6</v>
      </c>
      <c r="FF4" s="1236">
        <v>9.9999999999999995E-7</v>
      </c>
      <c r="FG4" s="1237">
        <v>-1.2642075189584159</v>
      </c>
      <c r="FH4" s="1235">
        <v>-2.4500000000000003E-6</v>
      </c>
      <c r="FI4" s="1236">
        <v>9.9999999999999995E-7</v>
      </c>
      <c r="FJ4" s="1237">
        <v>-2.4500000000000002</v>
      </c>
      <c r="FK4" s="1235">
        <v>-3.3637500000000004E-5</v>
      </c>
      <c r="FL4" s="1236">
        <v>9.9999999999999995E-7</v>
      </c>
      <c r="FM4" s="1237">
        <v>-33.637500000000003</v>
      </c>
      <c r="FN4" s="1235">
        <v>-1.1060000000000001E-5</v>
      </c>
      <c r="FO4" s="1236">
        <v>9.9999999999999995E-7</v>
      </c>
      <c r="FP4" s="1237">
        <v>-11.06</v>
      </c>
      <c r="FQ4" s="1235">
        <v>-1.3565495E-5</v>
      </c>
      <c r="FR4" s="1236">
        <v>9.9999999999999995E-7</v>
      </c>
      <c r="FS4" s="1237">
        <v>-13.428522222222222</v>
      </c>
      <c r="FT4" s="1235">
        <v>-2.5883333333333333E-6</v>
      </c>
      <c r="FU4" s="1236">
        <v>9.9999999999999995E-7</v>
      </c>
      <c r="FV4" s="1237">
        <v>-2.5883333333333334</v>
      </c>
      <c r="FW4" s="1235">
        <v>-5.8992499999999995E-5</v>
      </c>
      <c r="FX4" s="1236">
        <v>9.9999999999999995E-7</v>
      </c>
      <c r="FY4" s="1237">
        <v>-55.660714285714285</v>
      </c>
      <c r="FZ4" s="1235">
        <v>-1.1986190476190476E-5</v>
      </c>
      <c r="GA4" s="1236">
        <v>9.9999999999999995E-7</v>
      </c>
      <c r="GB4" s="1237">
        <v>-12.114848484848485</v>
      </c>
      <c r="GC4" s="1235">
        <v>-3.3094999999999994E-5</v>
      </c>
      <c r="GD4" s="1236">
        <v>9.9999999999999995E-7</v>
      </c>
      <c r="GE4" s="1237">
        <v>-33.094999999999999</v>
      </c>
      <c r="GF4" s="1235">
        <v>-2.5526902743142142E-4</v>
      </c>
      <c r="GG4" s="1236">
        <v>9.9999999999999995E-7</v>
      </c>
      <c r="GH4" s="1237">
        <v>-255.26902743142145</v>
      </c>
      <c r="GI4" s="1235">
        <v>-4.1940633928571429E-5</v>
      </c>
      <c r="GJ4" s="1236">
        <v>9.9999999999999995E-7</v>
      </c>
      <c r="GK4" s="1237">
        <v>-41.94063392857143</v>
      </c>
      <c r="GL4" s="1235">
        <v>-2.0138271439999999E-4</v>
      </c>
      <c r="GM4" s="1236">
        <v>9.9999999999999995E-7</v>
      </c>
      <c r="GN4" s="1237">
        <v>-199.85416914285713</v>
      </c>
      <c r="GO4" s="1235">
        <v>-1.999375E-4</v>
      </c>
      <c r="GP4" s="1236">
        <v>9.9999999999999995E-7</v>
      </c>
      <c r="GQ4" s="1237">
        <v>-204.7</v>
      </c>
      <c r="GR4" s="1235">
        <v>-6.7741965555555555E-4</v>
      </c>
      <c r="GS4" s="1236">
        <v>9.9999999999999995E-7</v>
      </c>
      <c r="GT4" s="1237">
        <v>-654.37295200000005</v>
      </c>
      <c r="GU4" s="1235">
        <v>-3.3399161570247931E-6</v>
      </c>
      <c r="GV4" s="1236">
        <v>9.9999999999999995E-7</v>
      </c>
      <c r="GW4" s="1237">
        <v>-3.2831954545454547</v>
      </c>
      <c r="GX4" s="1235">
        <v>-1.0860999999999999E-4</v>
      </c>
      <c r="GY4" s="1236">
        <v>9.9999999999999995E-7</v>
      </c>
      <c r="GZ4" s="1237">
        <v>-110.54008333333334</v>
      </c>
      <c r="HA4" s="1235">
        <v>-3.4780000000000002E-5</v>
      </c>
      <c r="HB4" s="1236">
        <v>9.9999999999999995E-7</v>
      </c>
      <c r="HC4" s="1237"/>
      <c r="HD4" s="1235">
        <v>-1.6259999999999999E-4</v>
      </c>
      <c r="HE4" s="1236">
        <v>9.9999999999999995E-7</v>
      </c>
      <c r="HF4" s="1237"/>
      <c r="HG4" s="1235">
        <v>-6.1734115099999995E-5</v>
      </c>
      <c r="HH4" s="1236">
        <v>9.9999999999999995E-7</v>
      </c>
      <c r="HI4" s="1237">
        <v>-61.734115100000004</v>
      </c>
      <c r="HJ4" s="1235">
        <v>-2.4438682812499997E-6</v>
      </c>
      <c r="HK4" s="1236">
        <v>9.9999999999999995E-7</v>
      </c>
      <c r="HL4" s="1237">
        <v>-2.1967833333333333</v>
      </c>
      <c r="HM4" s="1235">
        <v>-1.3977999999999999E-5</v>
      </c>
      <c r="HN4" s="1236">
        <v>9.9999999999999995E-7</v>
      </c>
      <c r="HO4" s="1237">
        <v>-14.811613636363637</v>
      </c>
      <c r="HP4" s="1235">
        <v>-5.0254999999999994E-4</v>
      </c>
      <c r="HQ4" s="1236">
        <v>9.9999999999999995E-7</v>
      </c>
      <c r="HR4" s="1237">
        <v>-460.97333333333336</v>
      </c>
      <c r="HS4" s="1235">
        <v>-9.2349999999999988E-6</v>
      </c>
      <c r="HT4" s="1236">
        <v>9.9999999999999995E-7</v>
      </c>
      <c r="HU4" s="1237"/>
      <c r="HV4" s="1235">
        <v>-1.9629999999999997E-5</v>
      </c>
      <c r="HW4" s="1239">
        <v>9.9999999999999995E-7</v>
      </c>
      <c r="HX4" s="1237"/>
      <c r="HY4" s="1235">
        <v>-1.8638999999999998E-4</v>
      </c>
      <c r="HZ4" s="1236">
        <v>9.9999999999999995E-7</v>
      </c>
      <c r="IA4" s="1237">
        <v>-180.93777777777777</v>
      </c>
      <c r="IB4" s="1235">
        <v>-3.5869999999999999E-4</v>
      </c>
      <c r="IC4" s="1236">
        <v>9.9999999999999995E-7</v>
      </c>
      <c r="ID4" s="1237"/>
      <c r="IE4" s="1235">
        <v>-2.1677332130429177E-5</v>
      </c>
      <c r="IF4" s="1236">
        <v>9.9999999999999995E-7</v>
      </c>
      <c r="IG4" s="1237">
        <v>-21.677332130429178</v>
      </c>
      <c r="IH4" s="1235">
        <v>-3.0697399999999995E-5</v>
      </c>
      <c r="II4" s="1236">
        <v>9.9999999999999995E-7</v>
      </c>
      <c r="IJ4" s="1237">
        <v>-30.697399999999998</v>
      </c>
      <c r="IK4" s="1235">
        <v>-5.468099999999999E-4</v>
      </c>
      <c r="IL4" s="1236">
        <v>9.9999999999999995E-7</v>
      </c>
      <c r="IM4" s="1237">
        <v>-556.35</v>
      </c>
      <c r="IN4" s="1235">
        <v>-8.9476727272727266E-6</v>
      </c>
      <c r="IO4" s="1236">
        <v>9.9999999999999995E-7</v>
      </c>
      <c r="IP4" s="1237">
        <v>-8.3922153846153833</v>
      </c>
      <c r="IQ4" s="1235">
        <v>-8.5849999999999986E-5</v>
      </c>
      <c r="IR4" s="1236">
        <v>9.9999999999999995E-7</v>
      </c>
      <c r="IS4" s="1237"/>
      <c r="IT4" s="1235">
        <v>-1.3744999999999998E-5</v>
      </c>
      <c r="IU4" s="1236">
        <v>9.9999999999999995E-7</v>
      </c>
      <c r="IV4" s="1237">
        <v>-13.744999999999999</v>
      </c>
      <c r="IW4" s="1235">
        <v>-5.4334474999999998E-5</v>
      </c>
      <c r="IX4" s="1236">
        <v>9.9999999999999995E-7</v>
      </c>
      <c r="IY4" s="1237">
        <v>-54.334474999999998</v>
      </c>
      <c r="IZ4" s="1235">
        <v>-2.4940000000000002E-5</v>
      </c>
      <c r="JA4" s="1236">
        <v>9.9999999999999995E-7</v>
      </c>
      <c r="JB4" s="1237">
        <v>-24.94</v>
      </c>
      <c r="JC4" s="1235">
        <v>-3.5515714285714285E-6</v>
      </c>
      <c r="JD4" s="1236">
        <v>9.9999999999999995E-7</v>
      </c>
      <c r="JE4" s="1237">
        <v>-3.5051041666666665</v>
      </c>
      <c r="JF4" s="1235">
        <v>-3.0309999999999996E-5</v>
      </c>
      <c r="JG4" s="1236">
        <v>9.9999999999999995E-7</v>
      </c>
      <c r="JH4" s="1237"/>
      <c r="JI4" s="1235">
        <v>-6.0139999999999997E-5</v>
      </c>
      <c r="JJ4" s="1236">
        <v>9.9999999999999995E-7</v>
      </c>
      <c r="JK4" s="1237">
        <v>-76.94</v>
      </c>
      <c r="JL4" s="1235">
        <v>-1.4477379545454544E-4</v>
      </c>
      <c r="JM4" s="1236">
        <v>9.9999999999999995E-7</v>
      </c>
      <c r="JN4" s="1237">
        <v>-160.48125666666667</v>
      </c>
      <c r="JO4" s="1235">
        <v>-3.0957205999999992E-5</v>
      </c>
      <c r="JP4" s="1236">
        <v>9.9999999999999995E-7</v>
      </c>
      <c r="JQ4" s="1237">
        <v>-30.957205999999996</v>
      </c>
      <c r="JR4" s="1240" t="s">
        <v>1133</v>
      </c>
      <c r="JS4" s="1241">
        <v>9.9999999999999995E-7</v>
      </c>
      <c r="JT4" s="1237">
        <v>-5.34</v>
      </c>
      <c r="JV4" s="83">
        <v>9.9999999999999995E-7</v>
      </c>
      <c r="JW4" s="1237">
        <v>-723.74</v>
      </c>
      <c r="JX4" s="1235">
        <v>-1.3669583333333334E-5</v>
      </c>
      <c r="JY4" s="1236">
        <v>9.9999999999999995E-7</v>
      </c>
      <c r="JZ4" s="1237">
        <v>-14.337085499999999</v>
      </c>
    </row>
    <row r="5" spans="1:301">
      <c r="A5">
        <v>2</v>
      </c>
      <c r="B5" s="1240">
        <v>-96714</v>
      </c>
      <c r="C5" s="1243">
        <v>500</v>
      </c>
      <c r="D5" s="1237">
        <v>-195.75</v>
      </c>
      <c r="E5" s="1240">
        <v>-27542.356800000001</v>
      </c>
      <c r="F5" s="1243">
        <v>2800</v>
      </c>
      <c r="G5" s="1237">
        <v>-13.02</v>
      </c>
      <c r="H5" s="1240">
        <v>-953036</v>
      </c>
      <c r="I5" s="1243">
        <v>23590</v>
      </c>
      <c r="J5" s="1237">
        <v>-40.4</v>
      </c>
      <c r="K5" s="1240">
        <v>-26510.000000000004</v>
      </c>
      <c r="L5" s="1243">
        <v>200</v>
      </c>
      <c r="M5" s="1237">
        <v>-173.55</v>
      </c>
      <c r="N5" s="1240">
        <v>-13950</v>
      </c>
      <c r="O5" s="1243">
        <v>15000</v>
      </c>
      <c r="P5" s="1237">
        <v>-0.93</v>
      </c>
      <c r="Q5" s="1240">
        <v>-299650</v>
      </c>
      <c r="R5" s="1243">
        <v>500</v>
      </c>
      <c r="S5" s="1237">
        <v>-599.29999999999995</v>
      </c>
      <c r="T5" s="1237"/>
      <c r="U5" s="1243">
        <v>110</v>
      </c>
      <c r="V5" s="1237">
        <v>-207.77</v>
      </c>
      <c r="W5" s="1244">
        <v>-54110</v>
      </c>
      <c r="X5" s="1243">
        <v>1000</v>
      </c>
      <c r="Y5" s="1237">
        <v>-54.11</v>
      </c>
      <c r="Z5" s="1244">
        <v>-18300</v>
      </c>
      <c r="AA5" s="1243">
        <v>10000</v>
      </c>
      <c r="AB5" s="1237">
        <v>-1.83</v>
      </c>
      <c r="AC5" s="1244">
        <v>-158995</v>
      </c>
      <c r="AD5" s="1243">
        <v>12500</v>
      </c>
      <c r="AE5" s="1237">
        <v>-12.7196</v>
      </c>
      <c r="AF5" s="1244">
        <v>-245.35</v>
      </c>
      <c r="AG5" s="1243">
        <v>5</v>
      </c>
      <c r="AH5" s="1237">
        <v>-62.75</v>
      </c>
      <c r="AI5" s="1244">
        <v>-39770</v>
      </c>
      <c r="AJ5" s="1243">
        <v>1000</v>
      </c>
      <c r="AK5" s="1237">
        <v>-67.2</v>
      </c>
      <c r="AL5" s="1244">
        <v>-11235</v>
      </c>
      <c r="AM5" s="1243">
        <v>1</v>
      </c>
      <c r="AN5" s="1237">
        <v>-56.056190000000001</v>
      </c>
      <c r="AO5" s="1244">
        <v>-38200</v>
      </c>
      <c r="AP5" s="1243">
        <v>20000</v>
      </c>
      <c r="AQ5" s="1237">
        <v>-1.91</v>
      </c>
      <c r="AR5" s="1244">
        <v>-19586</v>
      </c>
      <c r="AS5" s="1243">
        <v>200</v>
      </c>
      <c r="AT5" s="1237">
        <v>-109.28</v>
      </c>
      <c r="AU5" s="1244">
        <v>-2000</v>
      </c>
      <c r="AV5" s="1243">
        <v>2000</v>
      </c>
      <c r="AW5" s="1237">
        <v>-26.64</v>
      </c>
      <c r="AX5" s="1244">
        <v>-79398</v>
      </c>
      <c r="AY5" s="1243">
        <v>400</v>
      </c>
      <c r="AZ5" s="1237">
        <v>-127.09</v>
      </c>
      <c r="BA5" s="1244">
        <v>-57920</v>
      </c>
      <c r="BB5" s="1243">
        <v>4000</v>
      </c>
      <c r="BC5" s="1237">
        <v>-14.48</v>
      </c>
      <c r="BD5" s="1244">
        <v>-33675</v>
      </c>
      <c r="BE5" s="1243">
        <v>550</v>
      </c>
      <c r="BF5" s="1237">
        <v>-14.78</v>
      </c>
      <c r="BG5" s="1244">
        <v>-20640</v>
      </c>
      <c r="BH5" s="1243">
        <v>12000</v>
      </c>
      <c r="BI5" s="1237">
        <v>-1.72</v>
      </c>
      <c r="BJ5" s="1244">
        <v>-374</v>
      </c>
      <c r="BK5" s="1243">
        <v>10</v>
      </c>
      <c r="BL5" s="1237">
        <v>-46.676000000000002</v>
      </c>
      <c r="BM5" s="1244">
        <v>-22320</v>
      </c>
      <c r="BN5" s="1243">
        <v>2000</v>
      </c>
      <c r="BO5" s="1237">
        <v>-15.76</v>
      </c>
      <c r="BP5" s="1244">
        <v>-15700</v>
      </c>
      <c r="BQ5" s="1243">
        <v>4000</v>
      </c>
      <c r="BR5" s="1237">
        <v>-25.74</v>
      </c>
      <c r="BS5" s="1244">
        <v>-12825000</v>
      </c>
      <c r="BT5" s="1243">
        <v>40000</v>
      </c>
      <c r="BU5" s="1237">
        <v>-169</v>
      </c>
      <c r="BV5" s="1244">
        <v>-23456.399999999998</v>
      </c>
      <c r="BW5" s="1243">
        <v>660</v>
      </c>
      <c r="BX5" s="1237">
        <v>-67.180000000000007</v>
      </c>
      <c r="BY5" s="1244">
        <v>0</v>
      </c>
      <c r="BZ5" s="1243"/>
      <c r="CA5" s="1237"/>
      <c r="CB5" s="1244">
        <v>-1080</v>
      </c>
      <c r="CC5" s="1243">
        <v>10</v>
      </c>
      <c r="CD5" s="1237">
        <v>-5.0682999999999998</v>
      </c>
      <c r="CE5" s="1244"/>
      <c r="CF5" s="1243">
        <v>2300</v>
      </c>
      <c r="CG5" s="1237">
        <v>-39.67</v>
      </c>
      <c r="CH5" s="1244">
        <v>-326988</v>
      </c>
      <c r="CI5" s="1243">
        <v>2550</v>
      </c>
      <c r="CJ5" s="1237">
        <v>-105.48</v>
      </c>
      <c r="CK5" s="1244">
        <v>-265440</v>
      </c>
      <c r="CL5" s="1243">
        <v>400</v>
      </c>
      <c r="CM5" s="1237">
        <v>-71.000443000000004</v>
      </c>
      <c r="CN5" s="1244">
        <v>-57314.28</v>
      </c>
      <c r="CO5" s="1243">
        <v>3000</v>
      </c>
      <c r="CP5" s="1237">
        <v>-37.18</v>
      </c>
      <c r="CQ5" s="1244">
        <v>-78630</v>
      </c>
      <c r="CR5" s="1243">
        <v>500</v>
      </c>
      <c r="CS5" s="1237">
        <v>-1103.56</v>
      </c>
      <c r="CT5" s="1244">
        <v>-13500</v>
      </c>
      <c r="CU5" s="1243">
        <v>2500</v>
      </c>
      <c r="CV5" s="1237">
        <v>-5.4</v>
      </c>
      <c r="CW5" s="1244">
        <v>-22606.2</v>
      </c>
      <c r="CX5" s="1243">
        <v>500</v>
      </c>
      <c r="CY5" s="1237">
        <v>-22.96</v>
      </c>
      <c r="CZ5" s="1244">
        <v>-12449.8</v>
      </c>
      <c r="DA5" s="1243">
        <v>4000</v>
      </c>
      <c r="DB5" s="1237">
        <v>-5.19</v>
      </c>
      <c r="DC5" s="1244">
        <v>-17706</v>
      </c>
      <c r="DD5" s="1243">
        <v>5000</v>
      </c>
      <c r="DE5" s="1237">
        <v>-3.5411999999999999</v>
      </c>
      <c r="DF5" s="1244">
        <v>-2555.1</v>
      </c>
      <c r="DG5" s="1243">
        <v>3006</v>
      </c>
      <c r="DH5" s="1237">
        <v>-0.85</v>
      </c>
      <c r="DI5" s="1244">
        <v>-16404.599999999999</v>
      </c>
      <c r="DJ5" s="1243">
        <v>2000</v>
      </c>
      <c r="DK5" s="1237">
        <v>-28.545245000000001</v>
      </c>
      <c r="DL5" s="1244">
        <v>-1418.5</v>
      </c>
      <c r="DM5" s="1243">
        <v>50</v>
      </c>
      <c r="DN5" s="1237">
        <v>-28.37</v>
      </c>
      <c r="DO5" s="1244">
        <v>-93048.7</v>
      </c>
      <c r="DP5" s="1243">
        <v>1000</v>
      </c>
      <c r="DQ5" s="1237">
        <v>-227.55</v>
      </c>
      <c r="DR5" s="1244">
        <v>-44854.867200000001</v>
      </c>
      <c r="DS5" s="1243">
        <v>4000</v>
      </c>
      <c r="DT5" s="1237">
        <v>-14.1683</v>
      </c>
      <c r="DU5" s="1244">
        <v>-36466</v>
      </c>
      <c r="DV5" s="1243">
        <v>4000</v>
      </c>
      <c r="DW5" s="1237">
        <v>-9.1165000000000003</v>
      </c>
      <c r="DX5" s="1244">
        <v>-1725.48</v>
      </c>
      <c r="DY5" s="1243">
        <v>1</v>
      </c>
      <c r="DZ5" s="1237">
        <v>-336.51</v>
      </c>
      <c r="EA5" s="1244">
        <v>-1</v>
      </c>
      <c r="EB5" s="1243">
        <v>1000</v>
      </c>
      <c r="EC5" s="1237">
        <v>-152.32</v>
      </c>
      <c r="ED5" s="1244">
        <v>-13034.244999999999</v>
      </c>
      <c r="EE5" s="1243">
        <v>350</v>
      </c>
      <c r="EF5" s="1237">
        <v>-37.240699999999997</v>
      </c>
      <c r="EG5" s="1244">
        <v>-89897.968000000008</v>
      </c>
      <c r="EH5" s="1243">
        <v>7235</v>
      </c>
      <c r="EI5" s="1237">
        <v>-9.3000000000000007</v>
      </c>
      <c r="EJ5" s="1244">
        <v>-26316.316800000001</v>
      </c>
      <c r="EK5" s="1243">
        <v>240</v>
      </c>
      <c r="EL5" s="1237">
        <v>-109.65132</v>
      </c>
      <c r="EM5" s="1244">
        <v>-28695</v>
      </c>
      <c r="EN5" s="1243">
        <v>1500</v>
      </c>
      <c r="EO5" s="1237">
        <v>-24.15</v>
      </c>
      <c r="EP5" s="1244">
        <v>-98200</v>
      </c>
      <c r="EQ5" s="1243">
        <v>1000</v>
      </c>
      <c r="ER5" s="1237">
        <v>-58.89</v>
      </c>
      <c r="ES5" s="1244">
        <v>-41150</v>
      </c>
      <c r="ET5" s="1243">
        <v>5000</v>
      </c>
      <c r="EU5" s="1237">
        <v>-9.4600000000000009</v>
      </c>
      <c r="EV5" s="1244">
        <v>-30179.7</v>
      </c>
      <c r="EW5" s="1243">
        <v>3000</v>
      </c>
      <c r="EX5" s="1245">
        <v>-10.059900000000001</v>
      </c>
      <c r="EY5" s="1244">
        <v>-19902</v>
      </c>
      <c r="EZ5" s="1243">
        <v>200</v>
      </c>
      <c r="FA5" s="1245">
        <v>-106.09</v>
      </c>
      <c r="FB5" s="1244">
        <v>-6400</v>
      </c>
      <c r="FC5" s="1243">
        <v>5000</v>
      </c>
      <c r="FD5" s="1245">
        <v>-6.66</v>
      </c>
      <c r="FE5" s="1244">
        <v>-19165.73</v>
      </c>
      <c r="FF5" s="1243">
        <v>20000</v>
      </c>
      <c r="FG5" s="1237">
        <v>-0.95828650000000004</v>
      </c>
      <c r="FH5" s="1244">
        <v>-24500</v>
      </c>
      <c r="FI5" s="1243">
        <v>10000</v>
      </c>
      <c r="FJ5" s="1237">
        <v>-2.4500000000000002</v>
      </c>
      <c r="FK5" s="1244">
        <v>-45330</v>
      </c>
      <c r="FL5" s="1243">
        <v>1500</v>
      </c>
      <c r="FM5" s="1237">
        <v>-30.22</v>
      </c>
      <c r="FN5" s="1244">
        <v>-106.64999999999999</v>
      </c>
      <c r="FO5" s="1243">
        <v>10</v>
      </c>
      <c r="FP5" s="1237">
        <v>-11.06</v>
      </c>
      <c r="FQ5" s="1244">
        <v>-25180</v>
      </c>
      <c r="FR5" s="1243">
        <v>2000</v>
      </c>
      <c r="FS5" s="1237">
        <v>-12.59</v>
      </c>
      <c r="FT5" s="1244">
        <v>-17200</v>
      </c>
      <c r="FU5" s="1243">
        <v>10000</v>
      </c>
      <c r="FV5" s="1237">
        <v>-1.72</v>
      </c>
      <c r="FW5" s="1244">
        <v>-206.643</v>
      </c>
      <c r="FX5" s="1243">
        <v>10</v>
      </c>
      <c r="FY5" s="1237">
        <v>-39.590000000000003</v>
      </c>
      <c r="FZ5" s="1244">
        <v>-9582.9</v>
      </c>
      <c r="GA5" s="1243">
        <v>6000</v>
      </c>
      <c r="GB5" s="1237">
        <v>-10.87</v>
      </c>
      <c r="GC5" s="1244">
        <v>-28.21</v>
      </c>
      <c r="GD5" s="1243">
        <v>1</v>
      </c>
      <c r="GE5" s="1237">
        <v>-33.094999999999999</v>
      </c>
      <c r="GF5" s="1244">
        <v>-28912</v>
      </c>
      <c r="GG5" s="1243">
        <v>200</v>
      </c>
      <c r="GH5" s="1237">
        <v>-250.9</v>
      </c>
      <c r="GI5" s="1244">
        <v>-1459.5749999999998</v>
      </c>
      <c r="GJ5" s="1243">
        <v>39</v>
      </c>
      <c r="GK5" s="1237">
        <v>-37.424999999999997</v>
      </c>
      <c r="GL5" s="1244">
        <v>-19965.688000000013</v>
      </c>
      <c r="GM5" s="1243">
        <v>290</v>
      </c>
      <c r="GN5" s="1237">
        <v>-198.8</v>
      </c>
      <c r="GO5" s="1244">
        <v>-157140</v>
      </c>
      <c r="GP5" s="1243">
        <v>500</v>
      </c>
      <c r="GQ5" s="1237">
        <v>-185.65</v>
      </c>
      <c r="GR5" s="1244">
        <v>-20358.5</v>
      </c>
      <c r="GS5" s="1243">
        <v>70</v>
      </c>
      <c r="GT5" s="1237">
        <v>-595.11</v>
      </c>
      <c r="GU5" s="1244">
        <v>-40509</v>
      </c>
      <c r="GV5" s="1243">
        <v>21000</v>
      </c>
      <c r="GW5" s="1237">
        <v>-1.929</v>
      </c>
      <c r="GX5" s="1244">
        <v>-62276.5</v>
      </c>
      <c r="GY5" s="1243">
        <v>670</v>
      </c>
      <c r="GZ5" s="1237">
        <v>-108.61</v>
      </c>
      <c r="HA5" s="1244">
        <v>0</v>
      </c>
      <c r="HB5" s="1242"/>
      <c r="HC5" s="1237"/>
      <c r="HD5" s="1244">
        <v>0</v>
      </c>
      <c r="HE5" s="1242"/>
      <c r="HF5" s="1237"/>
      <c r="HG5" s="1244">
        <v>-116437.8</v>
      </c>
      <c r="HH5" s="1243">
        <v>3000</v>
      </c>
      <c r="HI5" s="1237">
        <v>-38.812600000000003</v>
      </c>
      <c r="HJ5" s="1244">
        <v>-40480</v>
      </c>
      <c r="HK5" s="1243">
        <v>40000</v>
      </c>
      <c r="HL5" s="1237">
        <v>-1.012</v>
      </c>
      <c r="HM5" s="1244">
        <v>-26740</v>
      </c>
      <c r="HN5" s="1243">
        <v>2000</v>
      </c>
      <c r="HO5" s="1237">
        <v>-13.978</v>
      </c>
      <c r="HP5" s="1244">
        <v>-4809000</v>
      </c>
      <c r="HQ5" s="1243">
        <v>20000</v>
      </c>
      <c r="HR5" s="1237">
        <v>-451.01</v>
      </c>
      <c r="HS5" s="1244">
        <v>-27705</v>
      </c>
      <c r="HT5" s="1243"/>
      <c r="HU5" s="1237"/>
      <c r="HV5" s="1244">
        <v>0</v>
      </c>
      <c r="HW5" s="1242"/>
      <c r="HX5" s="1237"/>
      <c r="HY5" s="1244">
        <v>-60906</v>
      </c>
      <c r="HZ5" s="1243">
        <v>200</v>
      </c>
      <c r="IA5" s="1237">
        <v>-166.7</v>
      </c>
      <c r="IB5" s="1244">
        <v>0</v>
      </c>
      <c r="IC5" s="1243"/>
      <c r="ID5" s="1237"/>
      <c r="IE5" s="1244">
        <v>-62126.68</v>
      </c>
      <c r="IF5" s="1243">
        <v>9647</v>
      </c>
      <c r="IG5" s="1237">
        <v>-6.44</v>
      </c>
      <c r="IH5" s="1244">
        <v>-33059.64</v>
      </c>
      <c r="II5" s="1243">
        <v>1200</v>
      </c>
      <c r="IJ5" s="1237">
        <v>-30.697399999999998</v>
      </c>
      <c r="IK5" s="1244">
        <v>-64604</v>
      </c>
      <c r="IL5" s="1243">
        <v>100</v>
      </c>
      <c r="IM5" s="1237">
        <v>-546.80999999999995</v>
      </c>
      <c r="IN5" s="1244">
        <v>-10679.8</v>
      </c>
      <c r="IO5" s="1243">
        <v>2000</v>
      </c>
      <c r="IP5" s="1237">
        <v>-5.3399000000000001</v>
      </c>
      <c r="IQ5" s="1244">
        <v>0</v>
      </c>
      <c r="IR5" s="1243"/>
      <c r="IS5" s="1237"/>
      <c r="IT5" s="1244">
        <v>-11515.2</v>
      </c>
      <c r="IU5" s="1243">
        <v>1200</v>
      </c>
      <c r="IV5" s="1237">
        <v>-13.744999999999999</v>
      </c>
      <c r="IW5" s="1244">
        <v>-47240</v>
      </c>
      <c r="IX5" s="1243">
        <v>1000</v>
      </c>
      <c r="IY5" s="1237">
        <v>-47.24</v>
      </c>
      <c r="IZ5" s="1244">
        <v>-39904</v>
      </c>
      <c r="JA5" s="1243">
        <v>1600</v>
      </c>
      <c r="JB5" s="1237">
        <v>-24.94</v>
      </c>
      <c r="JC5" s="1244">
        <v>-71750</v>
      </c>
      <c r="JD5" s="1243">
        <v>25000</v>
      </c>
      <c r="JE5" s="1237">
        <v>-3.04</v>
      </c>
      <c r="JF5" s="1244">
        <v>0</v>
      </c>
      <c r="JG5" s="1243"/>
      <c r="JH5" s="1237"/>
      <c r="JI5" s="1244">
        <v>0</v>
      </c>
      <c r="JJ5" s="1243">
        <v>600</v>
      </c>
      <c r="JK5" s="1237">
        <v>-76.94</v>
      </c>
      <c r="JL5" s="1244">
        <v>-25338.5</v>
      </c>
      <c r="JM5" s="1243">
        <v>150</v>
      </c>
      <c r="JN5" s="1237">
        <v>-140.46</v>
      </c>
      <c r="JO5" s="1244">
        <v>-262.10000000000002</v>
      </c>
      <c r="JP5" s="1243">
        <v>10</v>
      </c>
      <c r="JQ5" s="1237">
        <v>-30.957205999999999</v>
      </c>
      <c r="JR5" s="1244" t="s">
        <v>1133</v>
      </c>
      <c r="JS5" s="1246">
        <v>77100</v>
      </c>
      <c r="JT5" s="1237">
        <v>-5.34</v>
      </c>
      <c r="JV5" s="82">
        <v>200</v>
      </c>
      <c r="JW5" s="1237">
        <v>-723.74</v>
      </c>
      <c r="JX5" s="1244">
        <v>-45100</v>
      </c>
      <c r="JY5" s="1243">
        <v>3000</v>
      </c>
      <c r="JZ5" s="1237">
        <v>-11.005000000000001</v>
      </c>
    </row>
    <row r="6" spans="1:301">
      <c r="A6">
        <v>3</v>
      </c>
      <c r="B6" s="1240">
        <v>-97875</v>
      </c>
      <c r="C6" s="1243">
        <v>300</v>
      </c>
      <c r="D6" s="1237">
        <v>-196.66</v>
      </c>
      <c r="E6" s="1240">
        <v>-30309.599999999999</v>
      </c>
      <c r="F6" s="1243">
        <v>2010</v>
      </c>
      <c r="G6" s="1237">
        <v>-13.04</v>
      </c>
      <c r="H6" s="1240">
        <v>-784971.00471750007</v>
      </c>
      <c r="I6" s="1243">
        <v>19410</v>
      </c>
      <c r="J6" s="1237">
        <v>-41.404269999999997</v>
      </c>
      <c r="K6" s="1240">
        <v>-173550</v>
      </c>
      <c r="L6" s="1243">
        <v>800</v>
      </c>
      <c r="M6" s="1237">
        <v>-177.47720000000001</v>
      </c>
      <c r="N6" s="1240">
        <v>-19675</v>
      </c>
      <c r="O6" s="1243">
        <v>19675</v>
      </c>
      <c r="P6" s="1237">
        <v>-1</v>
      </c>
      <c r="Q6" s="1240">
        <v>-180765</v>
      </c>
      <c r="R6" s="1243">
        <v>300</v>
      </c>
      <c r="S6" s="1237">
        <v>-602.54999999999995</v>
      </c>
      <c r="T6" s="1237"/>
      <c r="U6" s="1243">
        <v>240</v>
      </c>
      <c r="V6" s="1237">
        <v>-203.43</v>
      </c>
      <c r="W6" s="1240">
        <v>0</v>
      </c>
      <c r="X6" s="1243"/>
      <c r="Y6" s="1237"/>
      <c r="Z6" s="1240">
        <v>-18700</v>
      </c>
      <c r="AA6" s="1243">
        <v>4000</v>
      </c>
      <c r="AB6" s="1237">
        <v>-1.87</v>
      </c>
      <c r="AC6" s="1240">
        <v>0</v>
      </c>
      <c r="AD6" s="1243"/>
      <c r="AE6" s="1237"/>
      <c r="AF6" s="1240">
        <v>0</v>
      </c>
      <c r="AG6" s="1243"/>
      <c r="AH6" s="1237"/>
      <c r="AI6" s="1240">
        <v>0</v>
      </c>
      <c r="AJ6" s="1243"/>
      <c r="AK6" s="1237"/>
      <c r="AL6" s="1240">
        <v>0</v>
      </c>
      <c r="AM6" s="1242"/>
      <c r="AN6" s="1237"/>
      <c r="AO6" s="1240">
        <v>-49200</v>
      </c>
      <c r="AP6" s="1243">
        <v>20000</v>
      </c>
      <c r="AQ6" s="1237">
        <v>-2.46</v>
      </c>
      <c r="AR6" s="1240">
        <v>-81893.600000000006</v>
      </c>
      <c r="AS6" s="1243">
        <v>800</v>
      </c>
      <c r="AT6" s="1237">
        <v>-115.89749999999999</v>
      </c>
      <c r="AU6" s="1240">
        <v>-13320</v>
      </c>
      <c r="AV6" s="1243">
        <v>500</v>
      </c>
      <c r="AW6" s="1237">
        <v>-30.95</v>
      </c>
      <c r="AX6" s="1240">
        <v>-1389.3000000000002</v>
      </c>
      <c r="AY6" s="1243">
        <v>990</v>
      </c>
      <c r="AZ6" s="1237">
        <v>-140.09</v>
      </c>
      <c r="BA6" s="1240">
        <v>-34794</v>
      </c>
      <c r="BB6" s="1243">
        <v>2000</v>
      </c>
      <c r="BC6" s="1237">
        <v>-18.567499999999999</v>
      </c>
      <c r="BD6" s="1240">
        <v>0</v>
      </c>
      <c r="BE6" s="1243"/>
      <c r="BF6" s="1237"/>
      <c r="BG6" s="1240">
        <v>-27300</v>
      </c>
      <c r="BH6" s="1243">
        <v>15000</v>
      </c>
      <c r="BI6" s="1237">
        <v>-1.82</v>
      </c>
      <c r="BJ6" s="1240">
        <v>0</v>
      </c>
      <c r="BK6" s="1243"/>
      <c r="BL6" s="1237"/>
      <c r="BM6" s="1240">
        <v>-60753.599999999999</v>
      </c>
      <c r="BN6" s="1243">
        <v>4000</v>
      </c>
      <c r="BO6" s="1237">
        <v>-20.287958</v>
      </c>
      <c r="BP6" s="1240">
        <v>0</v>
      </c>
      <c r="BQ6" s="1243">
        <v>1000</v>
      </c>
      <c r="BR6" s="1237">
        <v>-27.53</v>
      </c>
      <c r="BS6" s="1240">
        <v>-14494999.999999998</v>
      </c>
      <c r="BT6" s="1243">
        <v>100000</v>
      </c>
      <c r="BU6" s="1237">
        <v>-173.52</v>
      </c>
      <c r="BV6" s="1240">
        <v>-101100</v>
      </c>
      <c r="BW6" s="1243">
        <v>2000</v>
      </c>
      <c r="BX6" s="1237">
        <v>-68.399500000000003</v>
      </c>
      <c r="BY6" s="1240">
        <v>0</v>
      </c>
      <c r="BZ6" s="1242"/>
      <c r="CA6" s="1237"/>
      <c r="CB6" s="1240">
        <v>0</v>
      </c>
      <c r="CC6" s="1242"/>
      <c r="CD6" s="1237"/>
      <c r="CE6" s="1240"/>
      <c r="CF6" s="1243">
        <v>3000</v>
      </c>
      <c r="CG6" s="1237">
        <v>-41.35</v>
      </c>
      <c r="CH6" s="1240">
        <v>-56764.5</v>
      </c>
      <c r="CI6" s="1243">
        <v>150</v>
      </c>
      <c r="CJ6" s="1237">
        <v>-378.43</v>
      </c>
      <c r="CK6" s="1240">
        <v>-13606</v>
      </c>
      <c r="CL6" s="1243"/>
      <c r="CM6" s="1237"/>
      <c r="CN6" s="1240">
        <v>-74360</v>
      </c>
      <c r="CO6" s="1243">
        <v>2000</v>
      </c>
      <c r="CP6" s="1237">
        <v>-41.24</v>
      </c>
      <c r="CQ6" s="1240">
        <v>-240556</v>
      </c>
      <c r="CR6" s="1243">
        <v>1300</v>
      </c>
      <c r="CS6" s="1237">
        <v>-1117.45</v>
      </c>
      <c r="CT6" s="1240">
        <v>-238105.36749999999</v>
      </c>
      <c r="CU6" s="1243">
        <v>24167</v>
      </c>
      <c r="CV6" s="1237">
        <v>-9.8524999999999991</v>
      </c>
      <c r="CW6" s="1240">
        <v>-22960</v>
      </c>
      <c r="CX6" s="1243">
        <v>1000</v>
      </c>
      <c r="CY6" s="1237">
        <v>-24.42</v>
      </c>
      <c r="CZ6" s="1240">
        <v>0</v>
      </c>
      <c r="DA6" s="1243"/>
      <c r="DB6" s="1237"/>
      <c r="DC6" s="1240">
        <v>-26460</v>
      </c>
      <c r="DD6" s="1243">
        <v>7000</v>
      </c>
      <c r="DE6" s="1237">
        <v>-3.78</v>
      </c>
      <c r="DF6" s="1240">
        <v>-928.12720000000002</v>
      </c>
      <c r="DG6" s="1243">
        <v>988</v>
      </c>
      <c r="DH6" s="1237">
        <v>-0.93940000000000001</v>
      </c>
      <c r="DI6" s="1240">
        <v>0</v>
      </c>
      <c r="DJ6" s="1243"/>
      <c r="DK6" s="1237"/>
      <c r="DL6" s="1240">
        <v>0</v>
      </c>
      <c r="DM6" s="1243"/>
      <c r="DN6" s="1237"/>
      <c r="DO6" s="1240">
        <v>-66875.98000000001</v>
      </c>
      <c r="DP6" s="1243">
        <v>500</v>
      </c>
      <c r="DQ6" s="1237">
        <v>-232.35</v>
      </c>
      <c r="DR6" s="1240">
        <v>-56673.200000000004</v>
      </c>
      <c r="DS6" s="1243">
        <v>4000</v>
      </c>
      <c r="DT6" s="1237">
        <v>-14.89</v>
      </c>
      <c r="DU6" s="1240">
        <v>-27750</v>
      </c>
      <c r="DV6" s="1243">
        <v>3000</v>
      </c>
      <c r="DW6" s="1237">
        <v>-9.25</v>
      </c>
      <c r="DX6" s="1240">
        <v>0</v>
      </c>
      <c r="DY6" s="1243"/>
      <c r="DZ6" s="1237"/>
      <c r="EA6" s="1240">
        <v>-205632</v>
      </c>
      <c r="EB6" s="1243">
        <v>1350</v>
      </c>
      <c r="EC6" s="1237">
        <v>-157.44999999999999</v>
      </c>
      <c r="ED6" s="1240">
        <v>-5667.69</v>
      </c>
      <c r="EE6" s="1243">
        <v>137</v>
      </c>
      <c r="EF6" s="1237">
        <v>-41.37</v>
      </c>
      <c r="EG6" s="1240">
        <v>-67285.5</v>
      </c>
      <c r="EH6" s="1243"/>
      <c r="EI6" s="1237"/>
      <c r="EJ6" s="1240">
        <v>-22376.841662999999</v>
      </c>
      <c r="EK6" s="1243">
        <v>110</v>
      </c>
      <c r="EL6" s="1237">
        <v>-203.42583329999999</v>
      </c>
      <c r="EM6" s="1240">
        <v>0</v>
      </c>
      <c r="EN6" s="1242"/>
      <c r="EO6" s="1237"/>
      <c r="EP6" s="1240">
        <v>-303763.8</v>
      </c>
      <c r="EQ6" s="1243">
        <v>2000</v>
      </c>
      <c r="ER6" s="1237">
        <v>-59.1</v>
      </c>
      <c r="ES6" s="1240">
        <v>0</v>
      </c>
      <c r="ET6" s="1243"/>
      <c r="EU6" s="1237"/>
      <c r="EV6" s="1240">
        <v>0</v>
      </c>
      <c r="EW6" s="1243"/>
      <c r="EX6" s="1247"/>
      <c r="EY6" s="1240">
        <v>0</v>
      </c>
      <c r="EZ6" s="1243">
        <v>300</v>
      </c>
      <c r="FA6" s="1247">
        <v>-117.49</v>
      </c>
      <c r="FB6" s="1240">
        <v>-33796.980000000003</v>
      </c>
      <c r="FC6" s="1243">
        <v>800</v>
      </c>
      <c r="FD6" s="1247">
        <v>-9.84</v>
      </c>
      <c r="FE6" s="1240">
        <v>-20200</v>
      </c>
      <c r="FF6" s="1243">
        <v>20000</v>
      </c>
      <c r="FG6" s="1237">
        <v>-1.01</v>
      </c>
      <c r="FH6" s="1240">
        <v>0</v>
      </c>
      <c r="FI6" s="1243"/>
      <c r="FJ6" s="1237"/>
      <c r="FK6" s="1240">
        <v>-15680</v>
      </c>
      <c r="FL6" s="1243">
        <v>500</v>
      </c>
      <c r="FM6" s="1237">
        <v>-31.36</v>
      </c>
      <c r="FN6" s="1240">
        <v>0</v>
      </c>
      <c r="FO6" s="1243"/>
      <c r="FP6" s="1237"/>
      <c r="FQ6" s="1240">
        <v>-101274.4</v>
      </c>
      <c r="FR6" s="1243">
        <v>8000</v>
      </c>
      <c r="FS6" s="1237">
        <v>-12.6593</v>
      </c>
      <c r="FT6" s="1240">
        <v>-13860</v>
      </c>
      <c r="FU6" s="1243">
        <v>2000</v>
      </c>
      <c r="FV6" s="1237">
        <v>-6.93</v>
      </c>
      <c r="FW6" s="1240">
        <v>-42406.899999999994</v>
      </c>
      <c r="FX6" s="1243">
        <v>1000</v>
      </c>
      <c r="FY6" s="1237">
        <v>-54.02</v>
      </c>
      <c r="FZ6" s="1240">
        <v>-57900</v>
      </c>
      <c r="GA6" s="1243">
        <v>4800</v>
      </c>
      <c r="GB6" s="1237">
        <v>-10.93</v>
      </c>
      <c r="GC6" s="1240">
        <v>0</v>
      </c>
      <c r="GD6" s="1243"/>
      <c r="GE6" s="1237"/>
      <c r="GF6" s="1240">
        <v>-33579.760000000002</v>
      </c>
      <c r="GG6" s="1243">
        <v>200</v>
      </c>
      <c r="GH6" s="1237">
        <v>-259.60000000000002</v>
      </c>
      <c r="GI6" s="1240">
        <v>-341.09999999999997</v>
      </c>
      <c r="GJ6" s="1243">
        <v>9</v>
      </c>
      <c r="GK6" s="1237">
        <v>-37.9</v>
      </c>
      <c r="GL6" s="1240">
        <v>-39889.5</v>
      </c>
      <c r="GM6" s="1243">
        <v>60</v>
      </c>
      <c r="GN6" s="1237">
        <v>-204.94932</v>
      </c>
      <c r="GO6" s="1240">
        <v>-42980</v>
      </c>
      <c r="GP6" s="1243">
        <v>250</v>
      </c>
      <c r="GQ6" s="1237">
        <v>-193.49</v>
      </c>
      <c r="GR6" s="1240">
        <v>-80995.199999999997</v>
      </c>
      <c r="GS6" s="1243">
        <v>50</v>
      </c>
      <c r="GT6" s="1237">
        <v>-661.5</v>
      </c>
      <c r="GU6" s="1240">
        <v>-67282.5</v>
      </c>
      <c r="GV6" s="1243">
        <v>25000</v>
      </c>
      <c r="GW6" s="1237">
        <v>-2.6913</v>
      </c>
      <c r="GX6" s="1240">
        <v>0</v>
      </c>
      <c r="GY6" s="1243">
        <v>530</v>
      </c>
      <c r="GZ6" s="1237">
        <v>-112.98</v>
      </c>
      <c r="HA6" s="1240">
        <v>0</v>
      </c>
      <c r="HB6" s="1242"/>
      <c r="HC6" s="1237"/>
      <c r="HD6" s="1240">
        <v>0</v>
      </c>
      <c r="HE6" s="1242"/>
      <c r="HF6" s="1237"/>
      <c r="HG6" s="1240">
        <v>-72541.700000000012</v>
      </c>
      <c r="HH6" s="1243">
        <v>1000</v>
      </c>
      <c r="HI6" s="1237">
        <v>-72.541700000000006</v>
      </c>
      <c r="HJ6" s="1240">
        <v>-38800</v>
      </c>
      <c r="HK6" s="1243">
        <v>20000</v>
      </c>
      <c r="HL6" s="1237">
        <v>-1.94</v>
      </c>
      <c r="HM6" s="1240">
        <v>0</v>
      </c>
      <c r="HN6" s="1243">
        <v>10010</v>
      </c>
      <c r="HO6" s="1237">
        <v>-14.87</v>
      </c>
      <c r="HP6" s="1240">
        <v>-4821301</v>
      </c>
      <c r="HQ6" s="1243">
        <v>10000</v>
      </c>
      <c r="HR6" s="1237">
        <v>-480.9</v>
      </c>
      <c r="HS6" s="1240">
        <v>0</v>
      </c>
      <c r="HT6" s="1243"/>
      <c r="HU6" s="1237"/>
      <c r="HV6" s="1240">
        <v>0</v>
      </c>
      <c r="HW6" s="1242"/>
      <c r="HX6" s="1237"/>
      <c r="HY6" s="1240">
        <v>0</v>
      </c>
      <c r="HZ6" s="1243">
        <v>300</v>
      </c>
      <c r="IA6" s="1237">
        <v>-183.16</v>
      </c>
      <c r="IB6" s="1240">
        <v>0</v>
      </c>
      <c r="IC6" s="1242"/>
      <c r="ID6" s="1237"/>
      <c r="IE6" s="1240">
        <v>-22242.92</v>
      </c>
      <c r="IF6" s="1243">
        <v>518</v>
      </c>
      <c r="IG6" s="1237">
        <v>-42.94</v>
      </c>
      <c r="IH6" s="1240">
        <v>0</v>
      </c>
      <c r="II6" s="1243"/>
      <c r="IJ6" s="1237"/>
      <c r="IK6" s="1240">
        <v>0</v>
      </c>
      <c r="IL6" s="1243">
        <v>100</v>
      </c>
      <c r="IM6" s="1237">
        <v>-565.89</v>
      </c>
      <c r="IN6" s="1240">
        <v>-43869.599999999999</v>
      </c>
      <c r="IO6" s="1243">
        <v>4500</v>
      </c>
      <c r="IP6" s="1237">
        <v>-9.7487999999999992</v>
      </c>
      <c r="IQ6" s="1240">
        <v>0</v>
      </c>
      <c r="IR6" s="1243"/>
      <c r="IS6" s="1237"/>
      <c r="IT6" s="1240">
        <v>0</v>
      </c>
      <c r="IU6" s="1242"/>
      <c r="IV6" s="1237"/>
      <c r="IW6" s="1240">
        <v>-43281</v>
      </c>
      <c r="IX6" s="1243">
        <v>900</v>
      </c>
      <c r="IY6" s="1237">
        <v>-48.09</v>
      </c>
      <c r="IZ6" s="1240">
        <v>0</v>
      </c>
      <c r="JA6" s="1243"/>
      <c r="JB6" s="1237"/>
      <c r="JC6" s="1240">
        <v>-9120</v>
      </c>
      <c r="JD6" s="1243">
        <v>13000</v>
      </c>
      <c r="JE6" s="1237">
        <v>-3.38</v>
      </c>
      <c r="JF6" s="1240">
        <v>0</v>
      </c>
      <c r="JG6" s="1243"/>
      <c r="JH6" s="1237"/>
      <c r="JI6" s="1240">
        <v>0</v>
      </c>
      <c r="JJ6" s="1242"/>
      <c r="JK6" s="1237"/>
      <c r="JL6" s="1240">
        <v>-15763.5</v>
      </c>
      <c r="JM6" s="1243">
        <v>50</v>
      </c>
      <c r="JN6" s="1237">
        <v>-142.01769999999999</v>
      </c>
      <c r="JO6" s="1240">
        <v>0</v>
      </c>
      <c r="JP6" s="1243"/>
      <c r="JQ6" s="1237"/>
      <c r="JR6" s="1240"/>
      <c r="JS6" s="1243"/>
      <c r="JT6" s="1237"/>
      <c r="JU6" s="1240" t="s">
        <v>1133</v>
      </c>
      <c r="JV6" s="1246"/>
      <c r="JW6" s="1237"/>
      <c r="JX6" s="1240">
        <v>-24190</v>
      </c>
      <c r="JY6" s="1243">
        <v>2000</v>
      </c>
      <c r="JZ6" s="1237">
        <v>-14.73</v>
      </c>
    </row>
    <row r="7" spans="1:301">
      <c r="A7">
        <v>4</v>
      </c>
      <c r="B7" s="1240">
        <v>-58998</v>
      </c>
      <c r="C7" s="1243">
        <v>500</v>
      </c>
      <c r="D7" s="1237">
        <v>-197.42</v>
      </c>
      <c r="E7" s="1240">
        <v>-123.69999999999999</v>
      </c>
      <c r="F7" s="1243">
        <v>190</v>
      </c>
      <c r="G7" s="1237">
        <v>-14.25</v>
      </c>
      <c r="H7" s="1240">
        <v>-289829.88999999996</v>
      </c>
      <c r="I7" s="1243">
        <v>10000</v>
      </c>
      <c r="J7" s="1237">
        <v>-45.6</v>
      </c>
      <c r="K7" s="1240">
        <v>-354954.4</v>
      </c>
      <c r="L7" s="1243">
        <v>2000</v>
      </c>
      <c r="M7" s="1237">
        <v>-183.43340000000001</v>
      </c>
      <c r="N7" s="1240">
        <v>-22919.510000000002</v>
      </c>
      <c r="O7" s="1243">
        <v>20000</v>
      </c>
      <c r="P7" s="1237">
        <v>-1.1459755</v>
      </c>
      <c r="Q7" s="1240">
        <v>-120759.99999999999</v>
      </c>
      <c r="R7" s="1243">
        <v>200</v>
      </c>
      <c r="S7" s="1237">
        <v>-603.79999999999995</v>
      </c>
      <c r="T7" s="1237"/>
      <c r="U7" s="1243"/>
      <c r="V7" s="1237"/>
      <c r="W7" s="1240">
        <v>0</v>
      </c>
      <c r="X7" s="1243"/>
      <c r="Y7" s="1237"/>
      <c r="Z7" s="1240">
        <v>-13967.999999999998</v>
      </c>
      <c r="AA7" s="1243">
        <v>6000</v>
      </c>
      <c r="AB7" s="1237">
        <v>-2.85</v>
      </c>
      <c r="AC7" s="1240">
        <v>0</v>
      </c>
      <c r="AD7" s="1242"/>
      <c r="AE7" s="1237"/>
      <c r="AF7" s="1240">
        <v>0</v>
      </c>
      <c r="AG7" s="1243"/>
      <c r="AH7" s="1237"/>
      <c r="AI7" s="1240">
        <v>0</v>
      </c>
      <c r="AJ7" s="1242"/>
      <c r="AK7" s="1237"/>
      <c r="AL7" s="1240">
        <v>0</v>
      </c>
      <c r="AM7" s="1242"/>
      <c r="AN7" s="1237"/>
      <c r="AO7" s="1240">
        <v>-15600</v>
      </c>
      <c r="AP7" s="1243">
        <v>5000</v>
      </c>
      <c r="AQ7" s="1237">
        <v>-3.12</v>
      </c>
      <c r="AR7" s="1240">
        <v>0</v>
      </c>
      <c r="AS7" s="1243"/>
      <c r="AT7" s="1237"/>
      <c r="AU7" s="1240">
        <v>-15475</v>
      </c>
      <c r="AV7" s="1243">
        <v>500</v>
      </c>
      <c r="AW7" s="1237">
        <v>-31.34</v>
      </c>
      <c r="AX7" s="1240">
        <v>0</v>
      </c>
      <c r="AY7" s="1243">
        <v>10</v>
      </c>
      <c r="AZ7" s="1237">
        <v>-148.52000000000001</v>
      </c>
      <c r="BA7" s="1240">
        <v>0</v>
      </c>
      <c r="BB7" s="1242"/>
      <c r="BC7" s="1237"/>
      <c r="BD7" s="1240">
        <v>0</v>
      </c>
      <c r="BE7" s="1243"/>
      <c r="BF7" s="1237"/>
      <c r="BG7" s="1240">
        <v>-15610.5</v>
      </c>
      <c r="BH7" s="1243">
        <v>3000</v>
      </c>
      <c r="BI7" s="1237">
        <v>-5.2888000000000002</v>
      </c>
      <c r="BJ7" s="1240">
        <v>0</v>
      </c>
      <c r="BK7" s="1242"/>
      <c r="BL7" s="1237"/>
      <c r="BM7" s="1240">
        <v>-63040</v>
      </c>
      <c r="BN7" s="1243">
        <v>2000</v>
      </c>
      <c r="BO7" s="1237">
        <v>-21.21</v>
      </c>
      <c r="BP7" s="1240">
        <v>0</v>
      </c>
      <c r="BQ7" s="1243"/>
      <c r="BR7" s="1237"/>
      <c r="BS7" s="1240">
        <v>-3140000</v>
      </c>
      <c r="BT7" s="1243">
        <v>20000</v>
      </c>
      <c r="BU7" s="1237">
        <v>-249.012</v>
      </c>
      <c r="BV7" s="1240">
        <v>0</v>
      </c>
      <c r="BW7" s="1243">
        <v>1340</v>
      </c>
      <c r="BX7" s="1237">
        <v>-68.98</v>
      </c>
      <c r="BY7" s="1240">
        <v>0</v>
      </c>
      <c r="BZ7" s="1242"/>
      <c r="CA7" s="1237"/>
      <c r="CB7" s="1240">
        <v>0</v>
      </c>
      <c r="CC7" s="1242"/>
      <c r="CD7" s="1237"/>
      <c r="CE7" s="1240"/>
      <c r="CF7" s="1243">
        <v>1000</v>
      </c>
      <c r="CG7" s="1237">
        <v>-47.13</v>
      </c>
      <c r="CH7" s="1240">
        <v>-56814</v>
      </c>
      <c r="CI7" s="1243">
        <v>150</v>
      </c>
      <c r="CJ7" s="1237">
        <v>-378.76</v>
      </c>
      <c r="CK7" s="1240">
        <v>0</v>
      </c>
      <c r="CL7" s="1243"/>
      <c r="CM7" s="1237"/>
      <c r="CN7" s="1240">
        <v>-81466.600000000006</v>
      </c>
      <c r="CO7" s="1243">
        <v>2000</v>
      </c>
      <c r="CP7" s="1237">
        <v>-43.7</v>
      </c>
      <c r="CQ7" s="1240">
        <v>0</v>
      </c>
      <c r="CR7" s="1243">
        <v>200</v>
      </c>
      <c r="CS7" s="1237">
        <v>-1161.69</v>
      </c>
      <c r="CT7" s="1240">
        <v>0</v>
      </c>
      <c r="CU7" s="1243"/>
      <c r="CV7" s="1237"/>
      <c r="CW7" s="1240">
        <v>-23810</v>
      </c>
      <c r="CX7" s="1243">
        <v>1000</v>
      </c>
      <c r="CY7" s="1237">
        <v>-27.53</v>
      </c>
      <c r="CZ7" s="1240">
        <v>0</v>
      </c>
      <c r="DA7" s="1243"/>
      <c r="DB7" s="1237"/>
      <c r="DC7" s="1240">
        <v>-12800</v>
      </c>
      <c r="DD7" s="1243">
        <v>2500</v>
      </c>
      <c r="DE7" s="1237">
        <v>-5.12</v>
      </c>
      <c r="DF7" s="1240">
        <v>-7180.1729999999998</v>
      </c>
      <c r="DG7" s="1243">
        <v>6006</v>
      </c>
      <c r="DH7" s="1237">
        <v>-1.1955</v>
      </c>
      <c r="DI7" s="1240">
        <v>0</v>
      </c>
      <c r="DJ7" s="1243"/>
      <c r="DK7" s="1237"/>
      <c r="DL7" s="1240">
        <v>0</v>
      </c>
      <c r="DM7" s="1242"/>
      <c r="DN7" s="1237"/>
      <c r="DO7" s="1240">
        <v>-147120</v>
      </c>
      <c r="DP7" s="1243">
        <v>499</v>
      </c>
      <c r="DQ7" s="1237">
        <v>-232.45</v>
      </c>
      <c r="DR7" s="1240">
        <v>-44670</v>
      </c>
      <c r="DS7" s="1243">
        <v>3000</v>
      </c>
      <c r="DT7" s="1237">
        <v>-15.45</v>
      </c>
      <c r="DU7" s="1240">
        <v>-20026.599999999999</v>
      </c>
      <c r="DV7" s="1243">
        <v>2000</v>
      </c>
      <c r="DW7" s="1237">
        <v>-10.013299999999999</v>
      </c>
      <c r="DX7" s="1240">
        <v>0</v>
      </c>
      <c r="DY7" s="1243"/>
      <c r="DZ7" s="1237"/>
      <c r="EA7" s="1240">
        <v>-30516.000000000004</v>
      </c>
      <c r="EB7" s="1243">
        <v>150</v>
      </c>
      <c r="EC7" s="1237">
        <v>-193.52683999999999</v>
      </c>
      <c r="ED7" s="1240">
        <v>-15318.6</v>
      </c>
      <c r="EE7" s="1243">
        <v>363</v>
      </c>
      <c r="EF7" s="1237">
        <v>-42.2</v>
      </c>
      <c r="EG7" s="1240">
        <v>0</v>
      </c>
      <c r="EH7" s="1243"/>
      <c r="EI7" s="1237"/>
      <c r="EJ7" s="1240">
        <v>0</v>
      </c>
      <c r="EK7" s="1243"/>
      <c r="EL7" s="1237"/>
      <c r="EM7" s="1240">
        <v>0</v>
      </c>
      <c r="EN7" s="1242"/>
      <c r="EO7" s="1237"/>
      <c r="EP7" s="1240">
        <v>-52900</v>
      </c>
      <c r="EQ7" s="1243">
        <v>2000</v>
      </c>
      <c r="ER7" s="1237">
        <v>-59.2</v>
      </c>
      <c r="ES7" s="1240">
        <v>0</v>
      </c>
      <c r="ET7" s="1242"/>
      <c r="EU7" s="1237"/>
      <c r="EV7" s="1240">
        <v>0</v>
      </c>
      <c r="EW7" s="1242"/>
      <c r="EX7" s="1245"/>
      <c r="EY7" s="1240">
        <v>0</v>
      </c>
      <c r="EZ7" s="1242"/>
      <c r="FA7" s="1245"/>
      <c r="FB7" s="1240">
        <v>0</v>
      </c>
      <c r="FC7" s="1243">
        <v>4200</v>
      </c>
      <c r="FD7" s="1245">
        <v>-9.8800000000000008</v>
      </c>
      <c r="FE7" s="1240">
        <v>-21400</v>
      </c>
      <c r="FF7" s="1243">
        <v>20000</v>
      </c>
      <c r="FG7" s="1237">
        <v>-1.07</v>
      </c>
      <c r="FH7" s="1240">
        <v>0</v>
      </c>
      <c r="FI7" s="1243"/>
      <c r="FJ7" s="1237"/>
      <c r="FK7" s="1240">
        <v>-131800</v>
      </c>
      <c r="FL7" s="1243">
        <v>4000</v>
      </c>
      <c r="FM7" s="1237">
        <v>-32.950000000000003</v>
      </c>
      <c r="FN7" s="1240">
        <v>0</v>
      </c>
      <c r="FO7" s="1243"/>
      <c r="FP7" s="1237"/>
      <c r="FQ7" s="1240">
        <v>-103680</v>
      </c>
      <c r="FR7" s="1243">
        <v>8000</v>
      </c>
      <c r="FS7" s="1237">
        <v>-12.96</v>
      </c>
      <c r="FT7" s="1240">
        <v>0</v>
      </c>
      <c r="FU7" s="1243"/>
      <c r="FV7" s="1237"/>
      <c r="FW7" s="1240">
        <v>0</v>
      </c>
      <c r="FX7" s="1243">
        <v>2000</v>
      </c>
      <c r="FY7" s="1237">
        <v>-54.13</v>
      </c>
      <c r="FZ7" s="1240">
        <v>-52050</v>
      </c>
      <c r="GA7" s="1243">
        <v>6000</v>
      </c>
      <c r="GB7" s="1237">
        <v>-13.19</v>
      </c>
      <c r="GC7" s="1240">
        <v>0</v>
      </c>
      <c r="GD7" s="1243"/>
      <c r="GE7" s="1237"/>
      <c r="GF7" s="1240">
        <v>-169.08</v>
      </c>
      <c r="GG7" s="1243">
        <v>1</v>
      </c>
      <c r="GH7" s="1237">
        <v>-262.88</v>
      </c>
      <c r="GI7" s="1240">
        <v>-21100</v>
      </c>
      <c r="GJ7" s="1243">
        <v>500</v>
      </c>
      <c r="GK7" s="1237">
        <v>-42.2</v>
      </c>
      <c r="GL7" s="1240">
        <v>0</v>
      </c>
      <c r="GM7" s="1243"/>
      <c r="GN7" s="1237"/>
      <c r="GO7" s="1240">
        <v>-87110</v>
      </c>
      <c r="GP7" s="1243">
        <v>500</v>
      </c>
      <c r="GQ7" s="1237">
        <v>-213.25</v>
      </c>
      <c r="GR7" s="1240">
        <v>0</v>
      </c>
      <c r="GS7" s="1243">
        <v>130</v>
      </c>
      <c r="GT7" s="1237">
        <v>-683.54259999999999</v>
      </c>
      <c r="GU7" s="1240">
        <v>-68600</v>
      </c>
      <c r="GV7" s="1243">
        <v>20000</v>
      </c>
      <c r="GW7" s="1237">
        <v>-3.81</v>
      </c>
      <c r="GX7" s="1240">
        <v>0</v>
      </c>
      <c r="GY7" s="1243"/>
      <c r="GZ7" s="1237"/>
      <c r="HA7" s="1240">
        <v>0</v>
      </c>
      <c r="HB7" s="1242"/>
      <c r="HC7" s="1237"/>
      <c r="HD7" s="1240">
        <v>0</v>
      </c>
      <c r="HE7" s="1242"/>
      <c r="HF7" s="1237"/>
      <c r="HG7" s="1240">
        <v>-37166.850000000006</v>
      </c>
      <c r="HH7" s="1243">
        <v>399</v>
      </c>
      <c r="HI7" s="1237">
        <v>-117.4645</v>
      </c>
      <c r="HJ7" s="1240">
        <v>-58200</v>
      </c>
      <c r="HK7" s="1243">
        <v>20000</v>
      </c>
      <c r="HL7" s="1237">
        <v>-2.91</v>
      </c>
      <c r="HM7" s="1240">
        <v>0</v>
      </c>
      <c r="HN7" s="1243">
        <v>9990</v>
      </c>
      <c r="HO7" s="1237">
        <v>-14.92</v>
      </c>
      <c r="HP7" s="1240">
        <v>0</v>
      </c>
      <c r="HQ7" s="1243"/>
      <c r="HR7" s="1237"/>
      <c r="HS7" s="1240">
        <v>0</v>
      </c>
      <c r="HT7" s="1243"/>
      <c r="HU7" s="1237"/>
      <c r="HV7" s="1240">
        <v>0</v>
      </c>
      <c r="HW7" s="1242"/>
      <c r="HX7" s="1237"/>
      <c r="HY7" s="1240">
        <v>0</v>
      </c>
      <c r="HZ7" s="1243">
        <v>400</v>
      </c>
      <c r="IA7" s="1237">
        <v>-186.39</v>
      </c>
      <c r="IB7" s="1240">
        <v>0</v>
      </c>
      <c r="IC7" s="1242"/>
      <c r="ID7" s="1237"/>
      <c r="IE7" s="1240">
        <v>-252019.24</v>
      </c>
      <c r="IF7" s="1243">
        <v>5353</v>
      </c>
      <c r="IG7" s="1237">
        <v>-47.08</v>
      </c>
      <c r="IH7" s="1240">
        <v>0</v>
      </c>
      <c r="II7" s="1242"/>
      <c r="IJ7" s="1237"/>
      <c r="IK7" s="1240">
        <v>0</v>
      </c>
      <c r="IL7" s="1242"/>
      <c r="IM7" s="1237"/>
      <c r="IN7" s="1240">
        <v>-43875</v>
      </c>
      <c r="IO7" s="1243"/>
      <c r="IP7" s="1237"/>
      <c r="IQ7" s="1240">
        <v>0</v>
      </c>
      <c r="IR7" s="1242"/>
      <c r="IS7" s="1237"/>
      <c r="IT7" s="1240">
        <v>0</v>
      </c>
      <c r="IU7" s="1242"/>
      <c r="IV7" s="1237"/>
      <c r="IW7" s="1240">
        <v>-64436.9</v>
      </c>
      <c r="IX7" s="1243">
        <v>1100</v>
      </c>
      <c r="IY7" s="1237">
        <v>-58.579000000000001</v>
      </c>
      <c r="IZ7" s="1240">
        <v>0</v>
      </c>
      <c r="JA7" s="1243"/>
      <c r="JB7" s="1237"/>
      <c r="JC7" s="1240">
        <v>-25900</v>
      </c>
      <c r="JD7" s="1243">
        <v>3000</v>
      </c>
      <c r="JE7" s="1237">
        <v>-3.7</v>
      </c>
      <c r="JF7" s="1240">
        <v>0</v>
      </c>
      <c r="JG7" s="1242"/>
      <c r="JH7" s="1237"/>
      <c r="JI7" s="1240">
        <v>0</v>
      </c>
      <c r="JJ7" s="1242"/>
      <c r="JK7" s="1237"/>
      <c r="JL7" s="1240">
        <v>-61250</v>
      </c>
      <c r="JM7" s="1243">
        <v>1000</v>
      </c>
      <c r="JN7" s="1237">
        <v>-152.18</v>
      </c>
      <c r="JO7" s="1240">
        <v>0</v>
      </c>
      <c r="JP7" s="1243"/>
      <c r="JQ7" s="1237"/>
      <c r="JR7" s="1240"/>
      <c r="JS7" s="1243"/>
      <c r="JT7" s="1237"/>
      <c r="JU7" s="1240" t="s">
        <v>1133</v>
      </c>
      <c r="JV7" s="1246"/>
      <c r="JW7" s="1237"/>
      <c r="JX7" s="1240">
        <v>-73650</v>
      </c>
      <c r="JY7" s="1243">
        <v>5000</v>
      </c>
      <c r="JZ7" s="1237">
        <v>-14.82</v>
      </c>
    </row>
    <row r="8" spans="1:301">
      <c r="A8">
        <v>5</v>
      </c>
      <c r="B8" s="1240">
        <v>-98710</v>
      </c>
      <c r="C8" s="1243">
        <v>300</v>
      </c>
      <c r="D8" s="1237">
        <v>-200.7</v>
      </c>
      <c r="E8" s="1240">
        <v>-2473.7999999999997</v>
      </c>
      <c r="F8" s="1243"/>
      <c r="G8" s="1237"/>
      <c r="H8" s="1240">
        <v>-4650000</v>
      </c>
      <c r="I8" s="1243">
        <v>10000</v>
      </c>
      <c r="J8" s="1237">
        <v>-45.8</v>
      </c>
      <c r="K8" s="1240">
        <v>-269576.25</v>
      </c>
      <c r="L8" s="1243">
        <v>1500</v>
      </c>
      <c r="M8" s="1237">
        <v>-185.28</v>
      </c>
      <c r="N8" s="1240">
        <v>-11500</v>
      </c>
      <c r="O8" s="1243">
        <v>10000</v>
      </c>
      <c r="P8" s="1237">
        <v>-1.1499999999999999</v>
      </c>
      <c r="Q8" s="1240">
        <v>-311100</v>
      </c>
      <c r="R8" s="1243">
        <v>500</v>
      </c>
      <c r="S8" s="1237">
        <v>-622.20000000000005</v>
      </c>
      <c r="T8" s="1238"/>
      <c r="U8" s="1243"/>
      <c r="V8" s="1238"/>
      <c r="W8" s="1248">
        <v>0</v>
      </c>
      <c r="X8" s="1243"/>
      <c r="Y8" s="1237"/>
      <c r="Z8" s="1248">
        <v>0</v>
      </c>
      <c r="AA8" s="1243"/>
      <c r="AB8" s="1237"/>
      <c r="AC8" s="1248">
        <v>0</v>
      </c>
      <c r="AD8" s="1242"/>
      <c r="AE8" s="1237"/>
      <c r="AF8" s="1248">
        <v>0</v>
      </c>
      <c r="AG8" s="1243"/>
      <c r="AH8" s="1237"/>
      <c r="AI8" s="1248">
        <v>0</v>
      </c>
      <c r="AJ8" s="1242"/>
      <c r="AK8" s="1237"/>
      <c r="AL8" s="1248">
        <v>0</v>
      </c>
      <c r="AM8" s="1242"/>
      <c r="AN8" s="1237"/>
      <c r="AO8" s="1248">
        <v>-54900</v>
      </c>
      <c r="AP8" s="1243">
        <v>15000</v>
      </c>
      <c r="AQ8" s="1237">
        <v>-3.66</v>
      </c>
      <c r="AR8" s="1248">
        <v>0</v>
      </c>
      <c r="AS8" s="1243"/>
      <c r="AT8" s="1237"/>
      <c r="AU8" s="1248">
        <v>-15670</v>
      </c>
      <c r="AV8" s="1243">
        <v>500</v>
      </c>
      <c r="AW8" s="1237">
        <v>-32.950000000000003</v>
      </c>
      <c r="AX8" s="1248">
        <v>0</v>
      </c>
      <c r="AY8" s="1243"/>
      <c r="AZ8" s="1237"/>
      <c r="BA8" s="1248">
        <v>0</v>
      </c>
      <c r="BB8" s="1242"/>
      <c r="BC8" s="1237"/>
      <c r="BD8" s="1248">
        <v>0</v>
      </c>
      <c r="BE8" s="1243"/>
      <c r="BF8" s="1237"/>
      <c r="BG8" s="1248">
        <v>0</v>
      </c>
      <c r="BH8" s="1242"/>
      <c r="BI8" s="1237"/>
      <c r="BJ8" s="1248">
        <v>0</v>
      </c>
      <c r="BK8" s="1242"/>
      <c r="BL8" s="1237"/>
      <c r="BM8" s="1248">
        <v>0</v>
      </c>
      <c r="BN8" s="1243">
        <v>1800</v>
      </c>
      <c r="BO8" s="1237">
        <v>-22.63</v>
      </c>
      <c r="BP8" s="1248">
        <v>0</v>
      </c>
      <c r="BQ8" s="1243"/>
      <c r="BR8" s="1237"/>
      <c r="BS8" s="1248">
        <v>-3352000</v>
      </c>
      <c r="BT8" s="1243">
        <v>20000</v>
      </c>
      <c r="BU8" s="1237">
        <v>-284.47789999999998</v>
      </c>
      <c r="BV8" s="1248">
        <v>0</v>
      </c>
      <c r="BW8" s="1243"/>
      <c r="BX8" s="1237"/>
      <c r="BY8" s="1248">
        <v>0</v>
      </c>
      <c r="BZ8" s="1242"/>
      <c r="CA8" s="1237"/>
      <c r="CB8" s="1248">
        <v>0</v>
      </c>
      <c r="CC8" s="1242"/>
      <c r="CD8" s="1237"/>
      <c r="CE8" s="1248"/>
      <c r="CF8" s="1243">
        <v>2000</v>
      </c>
      <c r="CG8" s="1237">
        <v>-72.05</v>
      </c>
      <c r="CH8" s="1248">
        <v>-79068</v>
      </c>
      <c r="CI8" s="1243">
        <v>200</v>
      </c>
      <c r="CJ8" s="1237">
        <v>-395.34</v>
      </c>
      <c r="CK8" s="1248">
        <v>0</v>
      </c>
      <c r="CL8" s="1243"/>
      <c r="CM8" s="1237"/>
      <c r="CN8" s="1248">
        <v>-48890.64</v>
      </c>
      <c r="CO8" s="1243">
        <v>1000</v>
      </c>
      <c r="CP8" s="1237">
        <v>-49.98</v>
      </c>
      <c r="CQ8" s="1248">
        <v>0</v>
      </c>
      <c r="CR8" s="1243">
        <v>100</v>
      </c>
      <c r="CS8" s="1237">
        <v>-1179.6600000000001</v>
      </c>
      <c r="CT8" s="1248">
        <v>0</v>
      </c>
      <c r="CU8" s="1243"/>
      <c r="CV8" s="1237"/>
      <c r="CW8" s="1248">
        <v>0</v>
      </c>
      <c r="CX8" s="1243">
        <v>1500</v>
      </c>
      <c r="CY8" s="1237">
        <v>-35.72</v>
      </c>
      <c r="CZ8" s="1248">
        <v>0</v>
      </c>
      <c r="DA8" s="1243"/>
      <c r="DB8" s="1237"/>
      <c r="DC8" s="1248">
        <v>-229976.84111111111</v>
      </c>
      <c r="DD8" s="1243">
        <v>30000</v>
      </c>
      <c r="DE8" s="1237">
        <v>-6.5707668888888886</v>
      </c>
      <c r="DF8" s="1248">
        <v>0</v>
      </c>
      <c r="DG8" s="1243"/>
      <c r="DH8" s="1237"/>
      <c r="DI8" s="1248">
        <v>0</v>
      </c>
      <c r="DJ8" s="1242"/>
      <c r="DK8" s="1237"/>
      <c r="DL8" s="1248">
        <v>0</v>
      </c>
      <c r="DM8" s="1242"/>
      <c r="DN8" s="1237"/>
      <c r="DO8" s="1248">
        <v>-83950</v>
      </c>
      <c r="DP8" s="1243">
        <v>1000</v>
      </c>
      <c r="DQ8" s="1237">
        <v>-249.75</v>
      </c>
      <c r="DR8" s="1248">
        <v>-46350</v>
      </c>
      <c r="DS8" s="1243">
        <v>3000</v>
      </c>
      <c r="DT8" s="1237">
        <v>-16.41</v>
      </c>
      <c r="DU8" s="1248">
        <v>-382903.29000000004</v>
      </c>
      <c r="DV8" s="1243">
        <v>7000</v>
      </c>
      <c r="DW8" s="1237">
        <v>-54.700470000000003</v>
      </c>
      <c r="DX8" s="1248">
        <v>0</v>
      </c>
      <c r="DY8" s="1242"/>
      <c r="DZ8" s="1237"/>
      <c r="EA8" s="1248">
        <v>-125959.99999999999</v>
      </c>
      <c r="EB8" s="1243">
        <v>1000</v>
      </c>
      <c r="EC8" s="1237">
        <v>-235.25</v>
      </c>
      <c r="ED8" s="1248">
        <v>-90777.514999999999</v>
      </c>
      <c r="EE8" s="1243">
        <v>2150</v>
      </c>
      <c r="EF8" s="1237">
        <v>-42.222099999999998</v>
      </c>
      <c r="EG8" s="1248">
        <v>0</v>
      </c>
      <c r="EH8" s="1242"/>
      <c r="EI8" s="1237"/>
      <c r="EJ8" s="1248">
        <v>0</v>
      </c>
      <c r="EK8" s="1243"/>
      <c r="EL8" s="1237"/>
      <c r="EM8" s="1248">
        <v>0</v>
      </c>
      <c r="EN8" s="1242"/>
      <c r="EO8" s="1237"/>
      <c r="EP8" s="1248">
        <v>-268603.5</v>
      </c>
      <c r="EQ8" s="1243">
        <v>6000</v>
      </c>
      <c r="ER8" s="1237">
        <v>-59.5</v>
      </c>
      <c r="ES8" s="1248">
        <v>0</v>
      </c>
      <c r="ET8" s="1242"/>
      <c r="EU8" s="1237"/>
      <c r="EV8" s="1248">
        <v>0</v>
      </c>
      <c r="EW8" s="1242"/>
      <c r="EX8" s="1245"/>
      <c r="EY8" s="1248">
        <v>0</v>
      </c>
      <c r="EZ8" s="1242"/>
      <c r="FA8" s="1245"/>
      <c r="FB8" s="1248">
        <v>0</v>
      </c>
      <c r="FC8" s="1243"/>
      <c r="FD8" s="1245"/>
      <c r="FE8" s="1248">
        <v>-3159.7080000000001</v>
      </c>
      <c r="FF8" s="1243">
        <v>2942</v>
      </c>
      <c r="FG8" s="1237">
        <v>-1.0740000000000001</v>
      </c>
      <c r="FH8" s="1248">
        <v>0</v>
      </c>
      <c r="FI8" s="1243"/>
      <c r="FJ8" s="1237"/>
      <c r="FK8" s="1248">
        <v>-139960</v>
      </c>
      <c r="FL8" s="1243">
        <v>4000</v>
      </c>
      <c r="FM8" s="1237">
        <v>-34.99</v>
      </c>
      <c r="FN8" s="1248">
        <v>0</v>
      </c>
      <c r="FO8" s="1243"/>
      <c r="FP8" s="1237"/>
      <c r="FQ8" s="1248">
        <v>-54120</v>
      </c>
      <c r="FR8" s="1243">
        <v>4000</v>
      </c>
      <c r="FS8" s="1237">
        <v>-13.53</v>
      </c>
      <c r="FT8" s="1248">
        <v>0</v>
      </c>
      <c r="FU8" s="1243"/>
      <c r="FV8" s="1237"/>
      <c r="FW8" s="1248">
        <v>0</v>
      </c>
      <c r="FX8" s="1243">
        <v>2000</v>
      </c>
      <c r="FY8" s="1237">
        <v>-54.68</v>
      </c>
      <c r="FZ8" s="1248">
        <v>-63201.599999999999</v>
      </c>
      <c r="GA8" s="1243">
        <v>3000</v>
      </c>
      <c r="GB8" s="1237">
        <v>-14.35</v>
      </c>
      <c r="GC8" s="1248">
        <v>0</v>
      </c>
      <c r="GD8" s="1242"/>
      <c r="GE8" s="1237"/>
      <c r="GF8" s="1248">
        <v>0</v>
      </c>
      <c r="GG8" s="1242"/>
      <c r="GH8" s="1237"/>
      <c r="GI8" s="1248">
        <v>-519.80399999999997</v>
      </c>
      <c r="GJ8" s="1243">
        <v>12</v>
      </c>
      <c r="GK8" s="1237">
        <v>-48.84</v>
      </c>
      <c r="GL8" s="1248">
        <v>0</v>
      </c>
      <c r="GM8" s="1242"/>
      <c r="GN8" s="1237"/>
      <c r="GO8" s="1248">
        <v>-43640</v>
      </c>
      <c r="GP8" s="1243">
        <v>250</v>
      </c>
      <c r="GQ8" s="1237">
        <v>-236.91</v>
      </c>
      <c r="GR8" s="1248">
        <v>0</v>
      </c>
      <c r="GS8" s="1242"/>
      <c r="GT8" s="1237"/>
      <c r="GU8" s="1248">
        <v>-19050</v>
      </c>
      <c r="GV8" s="1243">
        <v>14000</v>
      </c>
      <c r="GW8" s="1237">
        <v>-3.96</v>
      </c>
      <c r="GX8" s="1248">
        <v>0</v>
      </c>
      <c r="GY8" s="1243"/>
      <c r="GZ8" s="1237"/>
      <c r="HA8" s="1248">
        <v>0</v>
      </c>
      <c r="HB8" s="1242"/>
      <c r="HC8" s="1237"/>
      <c r="HD8" s="1248">
        <v>0</v>
      </c>
      <c r="HE8" s="1242"/>
      <c r="HF8" s="1237"/>
      <c r="HG8" s="1248">
        <v>-9598.5942869999999</v>
      </c>
      <c r="HH8" s="1243">
        <v>101</v>
      </c>
      <c r="HI8" s="1237">
        <v>-118.74</v>
      </c>
      <c r="HJ8" s="1248">
        <v>-45384</v>
      </c>
      <c r="HK8" s="1243">
        <v>15000</v>
      </c>
      <c r="HL8" s="1237">
        <v>-3.0255999999999998</v>
      </c>
      <c r="HM8" s="1248">
        <v>0</v>
      </c>
      <c r="HN8" s="1243"/>
      <c r="HO8" s="1237"/>
      <c r="HP8" s="1248">
        <v>0</v>
      </c>
      <c r="HQ8" s="1242"/>
      <c r="HR8" s="1237"/>
      <c r="HS8" s="1248">
        <v>0</v>
      </c>
      <c r="HT8" s="1242"/>
      <c r="HU8" s="1237"/>
      <c r="HV8" s="1248">
        <v>0</v>
      </c>
      <c r="HW8" s="1242"/>
      <c r="HX8" s="1237"/>
      <c r="HY8" s="1248">
        <v>0</v>
      </c>
      <c r="HZ8" s="1242"/>
      <c r="IA8" s="1237"/>
      <c r="IB8" s="1248">
        <v>0</v>
      </c>
      <c r="IC8" s="1242"/>
      <c r="ID8" s="1237"/>
      <c r="IE8" s="1248">
        <v>0</v>
      </c>
      <c r="IF8" s="1242"/>
      <c r="IG8" s="1237"/>
      <c r="IH8" s="1248">
        <v>0</v>
      </c>
      <c r="II8" s="1242"/>
      <c r="IJ8" s="1237"/>
      <c r="IK8" s="1248">
        <v>0</v>
      </c>
      <c r="IL8" s="1242"/>
      <c r="IM8" s="1237"/>
      <c r="IN8" s="1248">
        <v>0</v>
      </c>
      <c r="IO8" s="1242"/>
      <c r="IP8" s="1237"/>
      <c r="IQ8" s="1248">
        <v>0</v>
      </c>
      <c r="IR8" s="1242"/>
      <c r="IS8" s="1237"/>
      <c r="IT8" s="1248">
        <v>0</v>
      </c>
      <c r="IU8" s="1242"/>
      <c r="IV8" s="1237"/>
      <c r="IW8" s="1248">
        <v>-62047.4</v>
      </c>
      <c r="IX8" s="1243">
        <v>1000</v>
      </c>
      <c r="IY8" s="1237">
        <v>-62.38</v>
      </c>
      <c r="IZ8" s="1248">
        <v>0</v>
      </c>
      <c r="JA8" s="1242"/>
      <c r="JB8" s="1237"/>
      <c r="JC8" s="1248">
        <v>0</v>
      </c>
      <c r="JD8" s="1243">
        <v>7000</v>
      </c>
      <c r="JE8" s="1237">
        <v>-5.3150000000000004</v>
      </c>
      <c r="JF8" s="1248">
        <v>0</v>
      </c>
      <c r="JG8" s="1242"/>
      <c r="JH8" s="1237"/>
      <c r="JI8" s="1248">
        <v>0</v>
      </c>
      <c r="JJ8" s="1242"/>
      <c r="JK8" s="1237"/>
      <c r="JL8" s="1248">
        <v>-130110.00000000001</v>
      </c>
      <c r="JM8" s="1243">
        <v>300</v>
      </c>
      <c r="JN8" s="1237">
        <v>-201.24</v>
      </c>
      <c r="JO8" s="1248">
        <v>0</v>
      </c>
      <c r="JP8" s="1242"/>
      <c r="JQ8" s="1237"/>
      <c r="JR8" s="1248"/>
      <c r="JS8" s="1242"/>
      <c r="JT8" s="1237"/>
      <c r="JU8" s="1248" t="s">
        <v>1133</v>
      </c>
      <c r="JV8" s="1249"/>
      <c r="JW8" s="1237"/>
      <c r="JX8" s="1248" t="s">
        <v>1133</v>
      </c>
      <c r="JY8" s="1243">
        <v>5000</v>
      </c>
      <c r="JZ8" s="1245">
        <v>-14.97</v>
      </c>
    </row>
    <row r="9" spans="1:301">
      <c r="A9">
        <v>6</v>
      </c>
      <c r="B9" s="1240">
        <v>-60210</v>
      </c>
      <c r="C9" s="1243">
        <v>3000</v>
      </c>
      <c r="D9" s="1237">
        <v>-201.75086999999999</v>
      </c>
      <c r="E9" s="1240">
        <v>0</v>
      </c>
      <c r="F9" s="1243"/>
      <c r="G9" s="1237"/>
      <c r="H9" s="1240">
        <v>-7194000</v>
      </c>
      <c r="I9" s="1243">
        <v>20000</v>
      </c>
      <c r="J9" s="1237">
        <v>-46</v>
      </c>
      <c r="K9" s="1240">
        <v>-91716.7</v>
      </c>
      <c r="L9" s="1243">
        <v>500</v>
      </c>
      <c r="M9" s="1237">
        <v>-192.82</v>
      </c>
      <c r="N9" s="1240">
        <v>-2858703.6387637169</v>
      </c>
      <c r="O9" s="1243">
        <v>2448050</v>
      </c>
      <c r="P9" s="1237">
        <v>-1.1677472432195899</v>
      </c>
      <c r="Q9" s="1240">
        <v>-189840</v>
      </c>
      <c r="R9" s="1243">
        <v>300</v>
      </c>
      <c r="S9" s="1237">
        <v>-632.79999999999995</v>
      </c>
      <c r="T9" s="1238"/>
      <c r="U9" s="1243"/>
      <c r="V9" s="1238"/>
      <c r="W9" s="1248">
        <v>0</v>
      </c>
      <c r="X9" s="1243"/>
      <c r="Y9" s="1237"/>
      <c r="Z9" s="1248">
        <v>0</v>
      </c>
      <c r="AA9" s="1243"/>
      <c r="AB9" s="1237"/>
      <c r="AC9" s="1248">
        <v>0</v>
      </c>
      <c r="AD9" s="1242"/>
      <c r="AE9" s="1237"/>
      <c r="AF9" s="1248">
        <v>0</v>
      </c>
      <c r="AG9" s="1243"/>
      <c r="AH9" s="1237"/>
      <c r="AI9" s="1248">
        <v>0</v>
      </c>
      <c r="AJ9" s="1242"/>
      <c r="AK9" s="1237"/>
      <c r="AL9" s="1248">
        <v>0</v>
      </c>
      <c r="AM9" s="1242"/>
      <c r="AN9" s="1237"/>
      <c r="AO9" s="1248">
        <v>-57300</v>
      </c>
      <c r="AP9" s="1243">
        <v>15000</v>
      </c>
      <c r="AQ9" s="1237">
        <v>-3.82</v>
      </c>
      <c r="AR9" s="1248">
        <v>0</v>
      </c>
      <c r="AS9" s="1243"/>
      <c r="AT9" s="1237"/>
      <c r="AU9" s="1248">
        <v>-49199.999999999993</v>
      </c>
      <c r="AV9" s="1243">
        <v>500</v>
      </c>
      <c r="AW9" s="1237">
        <v>-38.78</v>
      </c>
      <c r="AX9" s="1248">
        <v>0</v>
      </c>
      <c r="AY9" s="1242"/>
      <c r="AZ9" s="1237"/>
      <c r="BA9" s="1248">
        <v>0</v>
      </c>
      <c r="BB9" s="1242"/>
      <c r="BC9" s="1237"/>
      <c r="BD9" s="1248">
        <v>0</v>
      </c>
      <c r="BE9" s="1243"/>
      <c r="BF9" s="1237"/>
      <c r="BG9" s="1248">
        <v>0</v>
      </c>
      <c r="BH9" s="1242"/>
      <c r="BI9" s="1237"/>
      <c r="BJ9" s="1248">
        <v>0</v>
      </c>
      <c r="BK9" s="1242"/>
      <c r="BL9" s="1237"/>
      <c r="BM9" s="1248">
        <v>0</v>
      </c>
      <c r="BN9" s="1243">
        <v>1200</v>
      </c>
      <c r="BO9" s="1237">
        <v>-24.92</v>
      </c>
      <c r="BP9" s="1248">
        <v>0</v>
      </c>
      <c r="BQ9" s="1242"/>
      <c r="BR9" s="1237"/>
      <c r="BS9" s="1248">
        <v>-3380000</v>
      </c>
      <c r="BT9" s="1243">
        <v>20000</v>
      </c>
      <c r="BU9" s="1237">
        <v>-319.60000000000002</v>
      </c>
      <c r="BV9" s="1248">
        <v>0</v>
      </c>
      <c r="BW9" s="1243"/>
      <c r="BX9" s="1237"/>
      <c r="BY9" s="1248">
        <v>0</v>
      </c>
      <c r="BZ9" s="1242"/>
      <c r="CA9" s="1237"/>
      <c r="CB9" s="1248">
        <v>0</v>
      </c>
      <c r="CC9" s="1242"/>
      <c r="CD9" s="1237"/>
      <c r="CE9" s="1248"/>
      <c r="CF9" s="1243">
        <v>1000</v>
      </c>
      <c r="CG9" s="1237">
        <v>-121.971</v>
      </c>
      <c r="CH9" s="1248">
        <v>-396848</v>
      </c>
      <c r="CI9" s="1243">
        <v>1000</v>
      </c>
      <c r="CJ9" s="1237">
        <v>-396.84800000000001</v>
      </c>
      <c r="CK9" s="1248">
        <v>0</v>
      </c>
      <c r="CL9" s="1243"/>
      <c r="CM9" s="1237"/>
      <c r="CN9" s="1248">
        <v>-41240</v>
      </c>
      <c r="CO9" s="1243">
        <v>2000</v>
      </c>
      <c r="CP9" s="1237">
        <v>-50.63</v>
      </c>
      <c r="CQ9" s="1248">
        <v>0</v>
      </c>
      <c r="CR9" s="1243">
        <v>400</v>
      </c>
      <c r="CS9" s="1237">
        <v>-1208.99</v>
      </c>
      <c r="CT9" s="1248">
        <v>0</v>
      </c>
      <c r="CU9" s="1243"/>
      <c r="CV9" s="1237"/>
      <c r="CW9" s="1248">
        <v>0</v>
      </c>
      <c r="CX9" s="1243"/>
      <c r="CY9" s="1237"/>
      <c r="CZ9" s="1248">
        <v>0</v>
      </c>
      <c r="DA9" s="1242"/>
      <c r="DB9" s="1237"/>
      <c r="DC9" s="1248">
        <v>-3545</v>
      </c>
      <c r="DD9" s="1243">
        <v>500</v>
      </c>
      <c r="DE9" s="1237">
        <v>-7.09</v>
      </c>
      <c r="DF9" s="1248">
        <v>0</v>
      </c>
      <c r="DG9" s="1242"/>
      <c r="DH9" s="1237"/>
      <c r="DI9" s="1248">
        <v>0</v>
      </c>
      <c r="DJ9" s="1242"/>
      <c r="DK9" s="1237"/>
      <c r="DL9" s="1248">
        <v>0</v>
      </c>
      <c r="DM9" s="1242"/>
      <c r="DN9" s="1237"/>
      <c r="DO9" s="1248">
        <v>-184.04</v>
      </c>
      <c r="DP9" s="1243">
        <v>500</v>
      </c>
      <c r="DQ9" s="1237">
        <v>-250.85</v>
      </c>
      <c r="DR9" s="1248">
        <v>-49230</v>
      </c>
      <c r="DS9" s="1243">
        <v>2368</v>
      </c>
      <c r="DT9" s="1237">
        <v>-19.82</v>
      </c>
      <c r="DU9" s="1248">
        <v>0</v>
      </c>
      <c r="DV9" s="1243"/>
      <c r="DW9" s="1237"/>
      <c r="DX9" s="1248">
        <v>0</v>
      </c>
      <c r="DY9" s="1242"/>
      <c r="DZ9" s="1237"/>
      <c r="EA9" s="1248">
        <v>-73768.5</v>
      </c>
      <c r="EB9" s="1243">
        <v>500</v>
      </c>
      <c r="EC9" s="1237">
        <v>-241.39</v>
      </c>
      <c r="ED9" s="1248">
        <v>0</v>
      </c>
      <c r="EE9" s="1243"/>
      <c r="EF9" s="1237"/>
      <c r="EG9" s="1248">
        <v>0</v>
      </c>
      <c r="EH9" s="1242"/>
      <c r="EI9" s="1237"/>
      <c r="EJ9" s="1248">
        <v>0</v>
      </c>
      <c r="EK9" s="1242"/>
      <c r="EL9" s="1237"/>
      <c r="EM9" s="1248">
        <v>0</v>
      </c>
      <c r="EN9" s="1242"/>
      <c r="EO9" s="1237"/>
      <c r="EP9" s="1248">
        <v>0</v>
      </c>
      <c r="EQ9" s="1243">
        <v>1000</v>
      </c>
      <c r="ER9" s="1237">
        <v>-59.8</v>
      </c>
      <c r="ES9" s="1248">
        <v>0</v>
      </c>
      <c r="ET9" s="1242"/>
      <c r="EU9" s="1237"/>
      <c r="EV9" s="1248">
        <v>0</v>
      </c>
      <c r="EW9" s="1242"/>
      <c r="EX9" s="1245"/>
      <c r="EY9" s="1248">
        <v>0</v>
      </c>
      <c r="EZ9" s="1242"/>
      <c r="FA9" s="1245"/>
      <c r="FB9" s="1248">
        <v>0</v>
      </c>
      <c r="FC9" s="1242"/>
      <c r="FD9" s="1245"/>
      <c r="FE9" s="1248">
        <v>-5400</v>
      </c>
      <c r="FF9" s="1243">
        <v>5000</v>
      </c>
      <c r="FG9" s="1237">
        <v>-1.08</v>
      </c>
      <c r="FH9" s="1248">
        <v>0</v>
      </c>
      <c r="FI9" s="1243"/>
      <c r="FJ9" s="1237"/>
      <c r="FK9" s="1248">
        <v>-70700</v>
      </c>
      <c r="FL9" s="1243">
        <v>2000</v>
      </c>
      <c r="FM9" s="1237">
        <v>-35.44</v>
      </c>
      <c r="FN9" s="1248">
        <v>0</v>
      </c>
      <c r="FO9" s="1242"/>
      <c r="FP9" s="1237"/>
      <c r="FQ9" s="1248">
        <v>-55714</v>
      </c>
      <c r="FR9" s="1243">
        <v>2000</v>
      </c>
      <c r="FS9" s="1237">
        <v>-13.9285</v>
      </c>
      <c r="FT9" s="1248">
        <v>0</v>
      </c>
      <c r="FU9" s="1243"/>
      <c r="FV9" s="1237"/>
      <c r="FW9" s="1248">
        <v>0</v>
      </c>
      <c r="FX9" s="1243">
        <v>1990</v>
      </c>
      <c r="FY9" s="1237">
        <v>-59.09</v>
      </c>
      <c r="FZ9" s="1248">
        <v>-31844.1</v>
      </c>
      <c r="GA9" s="1243"/>
      <c r="GB9" s="1237"/>
      <c r="GC9" s="1248">
        <v>0</v>
      </c>
      <c r="GD9" s="1242"/>
      <c r="GE9" s="1237"/>
      <c r="GF9" s="1248">
        <v>0</v>
      </c>
      <c r="GG9" s="1242"/>
      <c r="GH9" s="1237"/>
      <c r="GI9" s="1248">
        <v>0</v>
      </c>
      <c r="GJ9" s="1242"/>
      <c r="GK9" s="1237"/>
      <c r="GL9" s="1248">
        <v>0</v>
      </c>
      <c r="GM9" s="1242"/>
      <c r="GN9" s="1237"/>
      <c r="GO9" s="1248">
        <v>0</v>
      </c>
      <c r="GP9" s="1242"/>
      <c r="GQ9" s="1237"/>
      <c r="GR9" s="1248">
        <v>0</v>
      </c>
      <c r="GS9" s="1242"/>
      <c r="GT9" s="1237"/>
      <c r="GU9" s="1248">
        <v>-76873.42</v>
      </c>
      <c r="GV9" s="1243">
        <v>20000</v>
      </c>
      <c r="GW9" s="1237">
        <v>-4.0185000000000004</v>
      </c>
      <c r="GX9" s="1248">
        <v>0</v>
      </c>
      <c r="GY9" s="1243"/>
      <c r="GZ9" s="1237"/>
      <c r="HA9" s="1248">
        <v>0</v>
      </c>
      <c r="HB9" s="1242"/>
      <c r="HC9" s="1237"/>
      <c r="HD9" s="1248">
        <v>0</v>
      </c>
      <c r="HE9" s="1242"/>
      <c r="HF9" s="1237"/>
      <c r="HG9" s="1248">
        <v>-50125</v>
      </c>
      <c r="HH9" s="1243">
        <v>500</v>
      </c>
      <c r="HI9" s="1237">
        <v>-121.66</v>
      </c>
      <c r="HJ9" s="1248">
        <v>-126000</v>
      </c>
      <c r="HK9" s="1243">
        <v>5000</v>
      </c>
      <c r="HL9" s="1237">
        <v>-3.15</v>
      </c>
      <c r="HM9" s="1248">
        <v>0</v>
      </c>
      <c r="HN9" s="1243"/>
      <c r="HO9" s="1237"/>
      <c r="HP9" s="1248">
        <v>0</v>
      </c>
      <c r="HQ9" s="1242"/>
      <c r="HR9" s="1237"/>
      <c r="HS9" s="1248">
        <v>0</v>
      </c>
      <c r="HT9" s="1242"/>
      <c r="HU9" s="1237"/>
      <c r="HV9" s="1248">
        <v>0</v>
      </c>
      <c r="HW9" s="1242"/>
      <c r="HX9" s="1237"/>
      <c r="HY9" s="1248">
        <v>0</v>
      </c>
      <c r="HZ9" s="1242"/>
      <c r="IA9" s="1237"/>
      <c r="IB9" s="1248">
        <v>0</v>
      </c>
      <c r="IC9" s="1242"/>
      <c r="ID9" s="1237"/>
      <c r="IE9" s="1248">
        <v>0</v>
      </c>
      <c r="IF9" s="1242"/>
      <c r="IG9" s="1237"/>
      <c r="IH9" s="1248">
        <v>0</v>
      </c>
      <c r="II9" s="1242"/>
      <c r="IJ9" s="1237"/>
      <c r="IK9" s="1248">
        <v>0</v>
      </c>
      <c r="IL9" s="1242"/>
      <c r="IM9" s="1237"/>
      <c r="IN9" s="1248">
        <v>0</v>
      </c>
      <c r="IO9" s="1242"/>
      <c r="IP9" s="1237"/>
      <c r="IQ9" s="1248">
        <v>0</v>
      </c>
      <c r="IR9" s="1242"/>
      <c r="IS9" s="1237"/>
      <c r="IT9" s="1248">
        <v>0</v>
      </c>
      <c r="IU9" s="1242"/>
      <c r="IV9" s="1237"/>
      <c r="IW9" s="1248">
        <v>0</v>
      </c>
      <c r="IX9" s="1242"/>
      <c r="IY9" s="1237"/>
      <c r="IZ9" s="1248">
        <v>0</v>
      </c>
      <c r="JA9" s="1242"/>
      <c r="JB9" s="1237"/>
      <c r="JC9" s="1248">
        <v>0</v>
      </c>
      <c r="JD9" s="1242"/>
      <c r="JE9" s="1237"/>
      <c r="JF9" s="1248">
        <v>0</v>
      </c>
      <c r="JG9" s="1242"/>
      <c r="JH9" s="1237"/>
      <c r="JI9" s="1248">
        <v>0</v>
      </c>
      <c r="JJ9" s="1242"/>
      <c r="JK9" s="1237"/>
      <c r="JL9" s="1248">
        <v>0</v>
      </c>
      <c r="JM9" s="1242"/>
      <c r="JN9" s="1237"/>
      <c r="JO9" s="1248">
        <v>0</v>
      </c>
      <c r="JP9" s="1242"/>
      <c r="JQ9" s="1237"/>
      <c r="JR9" s="1248"/>
      <c r="JS9" s="1242"/>
      <c r="JT9" s="1237"/>
      <c r="JU9" s="1248" t="s">
        <v>1133</v>
      </c>
      <c r="JV9" s="1249"/>
      <c r="JW9" s="1237"/>
      <c r="JX9" s="1248" t="s">
        <v>1133</v>
      </c>
      <c r="JY9" s="1243">
        <v>3000</v>
      </c>
      <c r="JZ9" s="1245">
        <v>-15.547513</v>
      </c>
    </row>
    <row r="10" spans="1:301">
      <c r="A10">
        <v>7</v>
      </c>
      <c r="B10" s="1240">
        <v>-605252.61</v>
      </c>
      <c r="C10" s="1243">
        <v>1000</v>
      </c>
      <c r="D10" s="1237">
        <v>-206.73</v>
      </c>
      <c r="E10" s="1240">
        <v>0</v>
      </c>
      <c r="F10" s="1243"/>
      <c r="G10" s="1237"/>
      <c r="H10" s="1240">
        <v>-7200000</v>
      </c>
      <c r="I10" s="1243">
        <v>7000</v>
      </c>
      <c r="J10" s="1237">
        <v>-46.5</v>
      </c>
      <c r="K10" s="1240">
        <v>-185280</v>
      </c>
      <c r="L10" s="1243">
        <v>1000</v>
      </c>
      <c r="M10" s="1237">
        <v>-204.0975</v>
      </c>
      <c r="N10" s="1240">
        <v>-18000</v>
      </c>
      <c r="O10" s="1243">
        <v>15000</v>
      </c>
      <c r="P10" s="1237">
        <v>-1.2</v>
      </c>
      <c r="Q10" s="1240">
        <v>-63295.000000000007</v>
      </c>
      <c r="R10" s="1243">
        <v>100</v>
      </c>
      <c r="S10" s="1237">
        <v>-632.95000000000005</v>
      </c>
      <c r="T10" s="1238"/>
      <c r="U10" s="1243"/>
      <c r="V10" s="1238"/>
      <c r="W10" s="1248">
        <v>0</v>
      </c>
      <c r="X10" s="1243"/>
      <c r="Y10" s="1237"/>
      <c r="Z10" s="1248">
        <v>0</v>
      </c>
      <c r="AA10" s="1243"/>
      <c r="AB10" s="1237"/>
      <c r="AC10" s="1248">
        <v>0</v>
      </c>
      <c r="AD10" s="1242"/>
      <c r="AE10" s="1237"/>
      <c r="AF10" s="1248">
        <v>0</v>
      </c>
      <c r="AG10" s="1243"/>
      <c r="AH10" s="1237"/>
      <c r="AI10" s="1248">
        <v>0</v>
      </c>
      <c r="AJ10" s="1242"/>
      <c r="AK10" s="1237"/>
      <c r="AL10" s="1248">
        <v>0</v>
      </c>
      <c r="AM10" s="1242"/>
      <c r="AN10" s="1237"/>
      <c r="AO10" s="1248">
        <v>-38700</v>
      </c>
      <c r="AP10" s="1243">
        <v>10000</v>
      </c>
      <c r="AQ10" s="1237">
        <v>-3.87</v>
      </c>
      <c r="AR10" s="1248">
        <v>0</v>
      </c>
      <c r="AS10" s="1243"/>
      <c r="AT10" s="1237"/>
      <c r="AU10" s="1248">
        <v>-32950</v>
      </c>
      <c r="AV10" s="1243"/>
      <c r="AW10" s="1237"/>
      <c r="AX10" s="1248">
        <v>0</v>
      </c>
      <c r="AY10" s="1242"/>
      <c r="AZ10" s="1237"/>
      <c r="BA10" s="1248">
        <v>0</v>
      </c>
      <c r="BB10" s="1242"/>
      <c r="BC10" s="1237"/>
      <c r="BD10" s="1248">
        <v>0</v>
      </c>
      <c r="BE10" s="1242"/>
      <c r="BF10" s="1237"/>
      <c r="BG10" s="1248">
        <v>0</v>
      </c>
      <c r="BH10" s="1242"/>
      <c r="BI10" s="1237"/>
      <c r="BJ10" s="1248">
        <v>0</v>
      </c>
      <c r="BK10" s="1242"/>
      <c r="BL10" s="1237"/>
      <c r="BM10" s="1248">
        <v>0</v>
      </c>
      <c r="BN10" s="1242"/>
      <c r="BO10" s="1237"/>
      <c r="BP10" s="1248">
        <v>0</v>
      </c>
      <c r="BQ10" s="1242"/>
      <c r="BR10" s="1237"/>
      <c r="BS10" s="1248">
        <v>-1705000</v>
      </c>
      <c r="BT10" s="1243">
        <v>10000</v>
      </c>
      <c r="BU10" s="1237">
        <v>-337</v>
      </c>
      <c r="BV10" s="1248">
        <v>0</v>
      </c>
      <c r="BW10" s="1243"/>
      <c r="BX10" s="1237"/>
      <c r="BY10" s="1248">
        <v>0</v>
      </c>
      <c r="BZ10" s="1242"/>
      <c r="CA10" s="1237"/>
      <c r="CB10" s="1248">
        <v>0</v>
      </c>
      <c r="CC10" s="1242"/>
      <c r="CD10" s="1237"/>
      <c r="CE10" s="1248"/>
      <c r="CF10" s="1243">
        <v>2500</v>
      </c>
      <c r="CG10" s="1237">
        <v>-122.57</v>
      </c>
      <c r="CH10" s="1248">
        <v>-800360.6</v>
      </c>
      <c r="CI10" s="1243">
        <v>2000</v>
      </c>
      <c r="CJ10" s="1237">
        <v>-400.18029999999999</v>
      </c>
      <c r="CK10" s="1248">
        <v>0</v>
      </c>
      <c r="CL10" s="1243"/>
      <c r="CM10" s="1237"/>
      <c r="CN10" s="1248">
        <v>-84034</v>
      </c>
      <c r="CO10" s="1243">
        <v>2000</v>
      </c>
      <c r="CP10" s="1237">
        <v>-51.829875000000001</v>
      </c>
      <c r="CQ10" s="1248">
        <v>0</v>
      </c>
      <c r="CR10" s="1243"/>
      <c r="CS10" s="1237"/>
      <c r="CT10" s="1248">
        <v>0</v>
      </c>
      <c r="CU10" s="1243"/>
      <c r="CV10" s="1237"/>
      <c r="CW10" s="1248">
        <v>0</v>
      </c>
      <c r="CX10" s="1243"/>
      <c r="CY10" s="1237"/>
      <c r="CZ10" s="1248">
        <v>0</v>
      </c>
      <c r="DA10" s="1242"/>
      <c r="DB10" s="1237"/>
      <c r="DC10" s="1248">
        <v>0</v>
      </c>
      <c r="DD10" s="1242"/>
      <c r="DE10" s="1237"/>
      <c r="DF10" s="1248">
        <v>0</v>
      </c>
      <c r="DG10" s="1242"/>
      <c r="DH10" s="1237"/>
      <c r="DI10" s="1248">
        <v>0</v>
      </c>
      <c r="DJ10" s="1242"/>
      <c r="DK10" s="1237"/>
      <c r="DL10" s="1248">
        <v>0</v>
      </c>
      <c r="DM10" s="1242"/>
      <c r="DN10" s="1237"/>
      <c r="DO10" s="1248">
        <v>-98000</v>
      </c>
      <c r="DP10" s="1243">
        <v>301</v>
      </c>
      <c r="DQ10" s="1237">
        <v>-262.89999999999998</v>
      </c>
      <c r="DR10" s="1248">
        <v>-115560.00000000001</v>
      </c>
      <c r="DS10" s="1243">
        <v>6000</v>
      </c>
      <c r="DT10" s="1237">
        <v>-20.27</v>
      </c>
      <c r="DU10" s="1248">
        <v>0</v>
      </c>
      <c r="DV10" s="1242"/>
      <c r="DW10" s="1237"/>
      <c r="DX10" s="1248">
        <v>0</v>
      </c>
      <c r="DY10" s="1242"/>
      <c r="DZ10" s="1237"/>
      <c r="EA10" s="1248">
        <v>-35662</v>
      </c>
      <c r="EB10" s="1243">
        <v>800</v>
      </c>
      <c r="EC10" s="1237">
        <v>-286.40249999999997</v>
      </c>
      <c r="ED10" s="1248">
        <v>0</v>
      </c>
      <c r="EE10" s="1243"/>
      <c r="EF10" s="1237"/>
      <c r="EG10" s="1248">
        <v>0</v>
      </c>
      <c r="EH10" s="1242"/>
      <c r="EI10" s="1237"/>
      <c r="EJ10" s="1248">
        <v>0</v>
      </c>
      <c r="EK10" s="1242"/>
      <c r="EL10" s="1237"/>
      <c r="EM10" s="1248">
        <v>0</v>
      </c>
      <c r="EN10" s="1242"/>
      <c r="EO10" s="1237"/>
      <c r="EP10" s="1248">
        <v>0</v>
      </c>
      <c r="EQ10" s="1243">
        <v>1000</v>
      </c>
      <c r="ER10" s="1237">
        <v>-60.1</v>
      </c>
      <c r="ES10" s="1248">
        <v>0</v>
      </c>
      <c r="ET10" s="1242"/>
      <c r="EU10" s="1237"/>
      <c r="EV10" s="1248">
        <v>0</v>
      </c>
      <c r="EW10" s="1242"/>
      <c r="EX10" s="1245"/>
      <c r="EY10" s="1248">
        <v>0</v>
      </c>
      <c r="EZ10" s="1242"/>
      <c r="FA10" s="1245"/>
      <c r="FB10" s="1248">
        <v>0</v>
      </c>
      <c r="FC10" s="1242"/>
      <c r="FD10" s="1245"/>
      <c r="FE10" s="1248">
        <v>-13221.030273999999</v>
      </c>
      <c r="FF10" s="1243">
        <v>12058</v>
      </c>
      <c r="FG10" s="1237">
        <v>-1.0964529999999999</v>
      </c>
      <c r="FH10" s="1248">
        <v>0</v>
      </c>
      <c r="FI10" s="1243"/>
      <c r="FJ10" s="1237"/>
      <c r="FK10" s="1248">
        <v>0</v>
      </c>
      <c r="FL10" s="1242"/>
      <c r="FM10" s="1237"/>
      <c r="FN10" s="1248">
        <v>0</v>
      </c>
      <c r="FO10" s="1242"/>
      <c r="FP10" s="1237"/>
      <c r="FQ10" s="1248">
        <v>-112720</v>
      </c>
      <c r="FR10" s="1243">
        <v>8000</v>
      </c>
      <c r="FS10" s="1237">
        <v>-14.09</v>
      </c>
      <c r="FT10" s="1248">
        <v>0</v>
      </c>
      <c r="FU10" s="1243"/>
      <c r="FV10" s="1237"/>
      <c r="FW10" s="1248">
        <v>0</v>
      </c>
      <c r="FX10" s="1242"/>
      <c r="FY10" s="1237"/>
      <c r="FZ10" s="1248">
        <v>0</v>
      </c>
      <c r="GA10" s="1243"/>
      <c r="GB10" s="1237"/>
      <c r="GC10" s="1248">
        <v>0</v>
      </c>
      <c r="GD10" s="1242"/>
      <c r="GE10" s="1237"/>
      <c r="GF10" s="1248">
        <v>0</v>
      </c>
      <c r="GG10" s="1242"/>
      <c r="GH10" s="1237"/>
      <c r="GI10" s="1248">
        <v>0</v>
      </c>
      <c r="GJ10" s="1242"/>
      <c r="GK10" s="1237"/>
      <c r="GL10" s="1248">
        <v>0</v>
      </c>
      <c r="GM10" s="1242"/>
      <c r="GN10" s="1237"/>
      <c r="GO10" s="1248">
        <v>0</v>
      </c>
      <c r="GP10" s="1242"/>
      <c r="GQ10" s="1237"/>
      <c r="GR10" s="1248">
        <v>0</v>
      </c>
      <c r="GS10" s="1242"/>
      <c r="GT10" s="1237"/>
      <c r="GU10" s="1248">
        <v>-79200</v>
      </c>
      <c r="GV10" s="1243">
        <v>10000</v>
      </c>
      <c r="GW10" s="1237">
        <v>-4.1349999999999998</v>
      </c>
      <c r="GX10" s="1248">
        <v>0</v>
      </c>
      <c r="GY10" s="1243"/>
      <c r="GZ10" s="1237"/>
      <c r="HA10" s="1248">
        <v>0</v>
      </c>
      <c r="HB10" s="1242"/>
      <c r="HC10" s="1237"/>
      <c r="HD10" s="1248">
        <v>0</v>
      </c>
      <c r="HE10" s="1242"/>
      <c r="HF10" s="1237"/>
      <c r="HG10" s="1248">
        <v>0</v>
      </c>
      <c r="HH10" s="1243"/>
      <c r="HI10" s="1237"/>
      <c r="HJ10" s="1248">
        <v>-65000</v>
      </c>
      <c r="HK10" s="1243">
        <v>20000</v>
      </c>
      <c r="HL10" s="1237">
        <v>-3.25</v>
      </c>
      <c r="HM10" s="1248">
        <v>0</v>
      </c>
      <c r="HN10" s="1243"/>
      <c r="HO10" s="1237"/>
      <c r="HP10" s="1248">
        <v>0</v>
      </c>
      <c r="HQ10" s="1242"/>
      <c r="HR10" s="1237"/>
      <c r="HS10" s="1248">
        <v>0</v>
      </c>
      <c r="HT10" s="1242"/>
      <c r="HU10" s="1237"/>
      <c r="HV10" s="1248">
        <v>0</v>
      </c>
      <c r="HW10" s="1242"/>
      <c r="HX10" s="1237"/>
      <c r="HY10" s="1248">
        <v>0</v>
      </c>
      <c r="HZ10" s="1242"/>
      <c r="IA10" s="1237"/>
      <c r="IB10" s="1248">
        <v>0</v>
      </c>
      <c r="IC10" s="1242"/>
      <c r="ID10" s="1237"/>
      <c r="IE10" s="1248">
        <v>0</v>
      </c>
      <c r="IF10" s="1242"/>
      <c r="IG10" s="1237"/>
      <c r="IH10" s="1248">
        <v>0</v>
      </c>
      <c r="II10" s="1242"/>
      <c r="IJ10" s="1237"/>
      <c r="IK10" s="1248">
        <v>0</v>
      </c>
      <c r="IL10" s="1242"/>
      <c r="IM10" s="1237"/>
      <c r="IN10" s="1248">
        <v>0</v>
      </c>
      <c r="IO10" s="1242"/>
      <c r="IP10" s="1237"/>
      <c r="IQ10" s="1248">
        <v>0</v>
      </c>
      <c r="IR10" s="1242"/>
      <c r="IS10" s="1237"/>
      <c r="IT10" s="1248">
        <v>0</v>
      </c>
      <c r="IU10" s="1242"/>
      <c r="IV10" s="1237"/>
      <c r="IW10" s="1248">
        <v>0</v>
      </c>
      <c r="IX10" s="1242"/>
      <c r="IY10" s="1237"/>
      <c r="IZ10" s="1248">
        <v>0</v>
      </c>
      <c r="JA10" s="1242"/>
      <c r="JB10" s="1237"/>
      <c r="JC10" s="1248">
        <v>0</v>
      </c>
      <c r="JD10" s="1242"/>
      <c r="JE10" s="1237"/>
      <c r="JF10" s="1248">
        <v>0</v>
      </c>
      <c r="JG10" s="1242"/>
      <c r="JH10" s="1237"/>
      <c r="JI10" s="1248">
        <v>0</v>
      </c>
      <c r="JJ10" s="1242"/>
      <c r="JK10" s="1237"/>
      <c r="JL10" s="1248">
        <v>0</v>
      </c>
      <c r="JM10" s="1242"/>
      <c r="JN10" s="1237"/>
      <c r="JO10" s="1248">
        <v>0</v>
      </c>
      <c r="JP10" s="1242"/>
      <c r="JQ10" s="1237"/>
      <c r="JR10" s="1248"/>
      <c r="JS10" s="1242"/>
      <c r="JT10" s="1237"/>
      <c r="JU10" s="1248" t="s">
        <v>1133</v>
      </c>
      <c r="JV10" s="1249"/>
      <c r="JW10" s="1237"/>
      <c r="JX10" s="1248" t="s">
        <v>1133</v>
      </c>
      <c r="JY10" s="1243"/>
      <c r="JZ10" s="1245"/>
    </row>
    <row r="11" spans="1:301">
      <c r="A11">
        <v>8</v>
      </c>
      <c r="B11" s="1240">
        <v>-206730</v>
      </c>
      <c r="C11" s="1243">
        <v>500</v>
      </c>
      <c r="D11" s="1237">
        <v>-220.36</v>
      </c>
      <c r="E11" s="1240">
        <v>0</v>
      </c>
      <c r="F11" s="1243"/>
      <c r="G11" s="1237"/>
      <c r="H11" s="1240">
        <v>-2400000</v>
      </c>
      <c r="I11" s="1243">
        <v>100000</v>
      </c>
      <c r="J11" s="1237">
        <v>-47.96</v>
      </c>
      <c r="K11" s="1240">
        <v>-148544</v>
      </c>
      <c r="L11" s="1243">
        <v>800</v>
      </c>
      <c r="M11" s="1237">
        <v>-206.18340000000001</v>
      </c>
      <c r="N11" s="1240">
        <v>-7672.8924999999999</v>
      </c>
      <c r="O11" s="1243">
        <v>2275</v>
      </c>
      <c r="P11" s="1237">
        <v>-3.3727</v>
      </c>
      <c r="Q11" s="1240">
        <v>-129100</v>
      </c>
      <c r="R11" s="1243">
        <v>200</v>
      </c>
      <c r="S11" s="1237">
        <v>-645.5</v>
      </c>
      <c r="T11" s="1238"/>
      <c r="U11" s="1243"/>
      <c r="V11" s="1238"/>
      <c r="W11" s="1248">
        <v>0</v>
      </c>
      <c r="X11" s="1243"/>
      <c r="Y11" s="1237"/>
      <c r="Z11" s="1248">
        <v>0</v>
      </c>
      <c r="AA11" s="1243"/>
      <c r="AB11" s="1237"/>
      <c r="AC11" s="1248">
        <v>0</v>
      </c>
      <c r="AD11" s="1242"/>
      <c r="AE11" s="1237"/>
      <c r="AF11" s="1248">
        <v>0</v>
      </c>
      <c r="AG11" s="1243"/>
      <c r="AH11" s="1237"/>
      <c r="AI11" s="1248">
        <v>0</v>
      </c>
      <c r="AJ11" s="1242"/>
      <c r="AK11" s="1237"/>
      <c r="AL11" s="1248">
        <v>0</v>
      </c>
      <c r="AM11" s="1242"/>
      <c r="AN11" s="1237"/>
      <c r="AO11" s="1248">
        <v>-19634</v>
      </c>
      <c r="AP11" s="1243"/>
      <c r="AQ11" s="1237"/>
      <c r="AR11" s="1248">
        <v>0</v>
      </c>
      <c r="AS11" s="1243"/>
      <c r="AT11" s="1237"/>
      <c r="AU11" s="1248">
        <v>0</v>
      </c>
      <c r="AV11" s="1242"/>
      <c r="AW11" s="1237"/>
      <c r="AX11" s="1248">
        <v>0</v>
      </c>
      <c r="AY11" s="1242"/>
      <c r="AZ11" s="1237"/>
      <c r="BA11" s="1248">
        <v>0</v>
      </c>
      <c r="BB11" s="1242"/>
      <c r="BC11" s="1237"/>
      <c r="BD11" s="1248">
        <v>0</v>
      </c>
      <c r="BE11" s="1242"/>
      <c r="BF11" s="1237"/>
      <c r="BG11" s="1248">
        <v>0</v>
      </c>
      <c r="BH11" s="1242"/>
      <c r="BI11" s="1237"/>
      <c r="BJ11" s="1248">
        <v>0</v>
      </c>
      <c r="BK11" s="1242"/>
      <c r="BL11" s="1237"/>
      <c r="BM11" s="1248">
        <v>0</v>
      </c>
      <c r="BN11" s="1242"/>
      <c r="BO11" s="1237"/>
      <c r="BP11" s="1248">
        <v>0</v>
      </c>
      <c r="BQ11" s="1242"/>
      <c r="BR11" s="1237"/>
      <c r="BS11" s="1248">
        <v>-1735200</v>
      </c>
      <c r="BT11" s="1243">
        <v>10000</v>
      </c>
      <c r="BU11" s="1237">
        <v>-347</v>
      </c>
      <c r="BV11" s="1248">
        <v>0</v>
      </c>
      <c r="BW11" s="1242"/>
      <c r="BX11" s="1237"/>
      <c r="BY11" s="1248">
        <v>0</v>
      </c>
      <c r="BZ11" s="1242"/>
      <c r="CA11" s="1237"/>
      <c r="CB11" s="1248">
        <v>0</v>
      </c>
      <c r="CC11" s="1242"/>
      <c r="CD11" s="1237"/>
      <c r="CE11" s="1248"/>
      <c r="CF11" s="1243">
        <v>200</v>
      </c>
      <c r="CG11" s="1237">
        <v>-124.1352</v>
      </c>
      <c r="CH11" s="1248"/>
      <c r="CI11" s="1243">
        <v>300</v>
      </c>
      <c r="CJ11" s="1237">
        <v>-403.05</v>
      </c>
      <c r="CK11" s="1248">
        <v>0</v>
      </c>
      <c r="CL11" s="1243"/>
      <c r="CM11" s="1237"/>
      <c r="CN11" s="1248">
        <v>-85120</v>
      </c>
      <c r="CO11" s="1243">
        <v>1000</v>
      </c>
      <c r="CP11" s="1237">
        <v>-55.97</v>
      </c>
      <c r="CQ11" s="1248">
        <v>0</v>
      </c>
      <c r="CR11" s="1243"/>
      <c r="CS11" s="1237"/>
      <c r="CT11" s="1248">
        <v>0</v>
      </c>
      <c r="CU11" s="1243"/>
      <c r="CV11" s="1237"/>
      <c r="CW11" s="1248">
        <v>0</v>
      </c>
      <c r="CX11" s="1243"/>
      <c r="CY11" s="1237"/>
      <c r="CZ11" s="1248">
        <v>0</v>
      </c>
      <c r="DA11" s="1242"/>
      <c r="DB11" s="1237"/>
      <c r="DC11" s="1248">
        <v>0</v>
      </c>
      <c r="DD11" s="1242"/>
      <c r="DE11" s="1237"/>
      <c r="DF11" s="1248">
        <v>0</v>
      </c>
      <c r="DG11" s="1242"/>
      <c r="DH11" s="1237"/>
      <c r="DI11" s="1248">
        <v>0</v>
      </c>
      <c r="DJ11" s="1242"/>
      <c r="DK11" s="1237"/>
      <c r="DL11" s="1248">
        <v>0</v>
      </c>
      <c r="DM11" s="1242"/>
      <c r="DN11" s="1237"/>
      <c r="DO11" s="1248">
        <v>0</v>
      </c>
      <c r="DP11" s="1243"/>
      <c r="DQ11" s="1237"/>
      <c r="DR11" s="1248">
        <v>0</v>
      </c>
      <c r="DS11" s="1242"/>
      <c r="DT11" s="1237"/>
      <c r="DU11" s="1248">
        <v>0</v>
      </c>
      <c r="DV11" s="1242"/>
      <c r="DW11" s="1237"/>
      <c r="DX11" s="1248">
        <v>0</v>
      </c>
      <c r="DY11" s="1242"/>
      <c r="DZ11" s="1237"/>
      <c r="EA11" s="1248">
        <v>-189888.75</v>
      </c>
      <c r="EB11" s="1243"/>
      <c r="EC11" s="1237"/>
      <c r="ED11" s="1248">
        <v>0</v>
      </c>
      <c r="EE11" s="1242"/>
      <c r="EF11" s="1237"/>
      <c r="EG11" s="1248">
        <v>0</v>
      </c>
      <c r="EH11" s="1242"/>
      <c r="EI11" s="1237"/>
      <c r="EJ11" s="1248">
        <v>0</v>
      </c>
      <c r="EK11" s="1242"/>
      <c r="EL11" s="1237"/>
      <c r="EM11" s="1248">
        <v>0</v>
      </c>
      <c r="EN11" s="1242"/>
      <c r="EO11" s="1237"/>
      <c r="EP11" s="1248">
        <v>0</v>
      </c>
      <c r="EQ11" s="1243">
        <v>3000</v>
      </c>
      <c r="ER11" s="1237">
        <v>-61.05</v>
      </c>
      <c r="ES11" s="1248">
        <v>0</v>
      </c>
      <c r="ET11" s="1242"/>
      <c r="EU11" s="1237"/>
      <c r="EV11" s="1248">
        <v>0</v>
      </c>
      <c r="EW11" s="1242"/>
      <c r="EX11" s="1245"/>
      <c r="EY11" s="1248">
        <v>0</v>
      </c>
      <c r="EZ11" s="1242"/>
      <c r="FA11" s="1245"/>
      <c r="FB11" s="1248">
        <v>0</v>
      </c>
      <c r="FC11" s="1242"/>
      <c r="FD11" s="1245"/>
      <c r="FE11" s="1248">
        <v>-11000</v>
      </c>
      <c r="FF11" s="1243">
        <v>10000</v>
      </c>
      <c r="FG11" s="1237">
        <v>-1.1000000000000001</v>
      </c>
      <c r="FH11" s="1248">
        <v>0</v>
      </c>
      <c r="FI11" s="1243"/>
      <c r="FJ11" s="1237"/>
      <c r="FK11" s="1248">
        <v>0</v>
      </c>
      <c r="FL11" s="1242"/>
      <c r="FM11" s="1237"/>
      <c r="FN11" s="1248">
        <v>0</v>
      </c>
      <c r="FO11" s="1242"/>
      <c r="FP11" s="1237"/>
      <c r="FQ11" s="1248">
        <v>-29087.399999999998</v>
      </c>
      <c r="FR11" s="1243">
        <v>2000</v>
      </c>
      <c r="FS11" s="1237">
        <v>-14.543699999999999</v>
      </c>
      <c r="FT11" s="1248">
        <v>0</v>
      </c>
      <c r="FU11" s="1243"/>
      <c r="FV11" s="1237"/>
      <c r="FW11" s="1248">
        <v>0</v>
      </c>
      <c r="FX11" s="1242"/>
      <c r="FY11" s="1237"/>
      <c r="FZ11" s="1248">
        <v>0</v>
      </c>
      <c r="GA11" s="1243"/>
      <c r="GB11" s="1237"/>
      <c r="GC11" s="1248">
        <v>0</v>
      </c>
      <c r="GD11" s="1242"/>
      <c r="GE11" s="1237"/>
      <c r="GF11" s="1248">
        <v>0</v>
      </c>
      <c r="GG11" s="1242"/>
      <c r="GH11" s="1237"/>
      <c r="GI11" s="1248">
        <v>0</v>
      </c>
      <c r="GJ11" s="1242"/>
      <c r="GK11" s="1237"/>
      <c r="GL11" s="1248">
        <v>0</v>
      </c>
      <c r="GM11" s="1242"/>
      <c r="GN11" s="1237"/>
      <c r="GO11" s="1248">
        <v>0</v>
      </c>
      <c r="GP11" s="1242"/>
      <c r="GQ11" s="1237"/>
      <c r="GR11" s="1248">
        <v>0</v>
      </c>
      <c r="GS11" s="1242"/>
      <c r="GT11" s="1237"/>
      <c r="GU11" s="1248">
        <v>-40185.000000000007</v>
      </c>
      <c r="GV11" s="1243"/>
      <c r="GW11" s="1237"/>
      <c r="GX11" s="1248">
        <v>0</v>
      </c>
      <c r="GY11" s="1242"/>
      <c r="GZ11" s="1237"/>
      <c r="HA11" s="1248">
        <v>0</v>
      </c>
      <c r="HB11" s="1242"/>
      <c r="HC11" s="1237"/>
      <c r="HD11" s="1248">
        <v>0</v>
      </c>
      <c r="HE11" s="1242"/>
      <c r="HF11" s="1237"/>
      <c r="HG11" s="1248">
        <v>0</v>
      </c>
      <c r="HH11" s="1243"/>
      <c r="HI11" s="1237"/>
      <c r="HJ11" s="1248">
        <v>-17154.924999999999</v>
      </c>
      <c r="HK11" s="1243"/>
      <c r="HL11" s="1237"/>
      <c r="HM11" s="1248">
        <v>0</v>
      </c>
      <c r="HN11" s="1242"/>
      <c r="HO11" s="1237"/>
      <c r="HP11" s="1248">
        <v>0</v>
      </c>
      <c r="HQ11" s="1242"/>
      <c r="HR11" s="1237"/>
      <c r="HS11" s="1248">
        <v>0</v>
      </c>
      <c r="HT11" s="1242"/>
      <c r="HU11" s="1237"/>
      <c r="HV11" s="1248">
        <v>0</v>
      </c>
      <c r="HW11" s="1242"/>
      <c r="HX11" s="1237"/>
      <c r="HY11" s="1248">
        <v>0</v>
      </c>
      <c r="HZ11" s="1242"/>
      <c r="IA11" s="1237"/>
      <c r="IB11" s="1248">
        <v>0</v>
      </c>
      <c r="IC11" s="1242"/>
      <c r="ID11" s="1237"/>
      <c r="IE11" s="1248">
        <v>0</v>
      </c>
      <c r="IF11" s="1242"/>
      <c r="IG11" s="1237"/>
      <c r="IH11" s="1248">
        <v>0</v>
      </c>
      <c r="II11" s="1242"/>
      <c r="IJ11" s="1237"/>
      <c r="IK11" s="1248">
        <v>0</v>
      </c>
      <c r="IL11" s="1242"/>
      <c r="IM11" s="1237"/>
      <c r="IN11" s="1248">
        <v>0</v>
      </c>
      <c r="IO11" s="1242"/>
      <c r="IP11" s="1237"/>
      <c r="IQ11" s="1248">
        <v>0</v>
      </c>
      <c r="IR11" s="1242"/>
      <c r="IS11" s="1237"/>
      <c r="IT11" s="1248">
        <v>0</v>
      </c>
      <c r="IU11" s="1242"/>
      <c r="IV11" s="1237"/>
      <c r="IW11" s="1248">
        <v>0</v>
      </c>
      <c r="IX11" s="1242"/>
      <c r="IY11" s="1237"/>
      <c r="IZ11" s="1248">
        <v>0</v>
      </c>
      <c r="JA11" s="1242"/>
      <c r="JB11" s="1237"/>
      <c r="JC11" s="1248">
        <v>0</v>
      </c>
      <c r="JD11" s="1242"/>
      <c r="JE11" s="1237"/>
      <c r="JF11" s="1248">
        <v>0</v>
      </c>
      <c r="JG11" s="1242"/>
      <c r="JH11" s="1237"/>
      <c r="JI11" s="1248">
        <v>0</v>
      </c>
      <c r="JJ11" s="1242"/>
      <c r="JK11" s="1237"/>
      <c r="JL11" s="1248">
        <v>0</v>
      </c>
      <c r="JM11" s="1242"/>
      <c r="JN11" s="1237"/>
      <c r="JO11" s="1248">
        <v>0</v>
      </c>
      <c r="JP11" s="1242"/>
      <c r="JQ11" s="1237"/>
      <c r="JR11" s="1248"/>
      <c r="JS11" s="1242"/>
      <c r="JT11" s="1237"/>
      <c r="JU11" s="1248" t="s">
        <v>1133</v>
      </c>
      <c r="JV11" s="1249"/>
      <c r="JW11" s="1237"/>
      <c r="JX11" s="1248" t="s">
        <v>1133</v>
      </c>
      <c r="JY11" s="1242"/>
      <c r="JZ11" s="1245"/>
    </row>
    <row r="12" spans="1:301">
      <c r="A12">
        <v>9</v>
      </c>
      <c r="B12" s="1240">
        <v>-110180</v>
      </c>
      <c r="C12" s="1243">
        <v>2900</v>
      </c>
      <c r="D12" s="1237">
        <v>-224.34</v>
      </c>
      <c r="E12" s="1240">
        <v>0</v>
      </c>
      <c r="F12" s="1243"/>
      <c r="G12" s="1237"/>
      <c r="H12" s="1240">
        <v>-4900000</v>
      </c>
      <c r="I12" s="1243">
        <v>150000</v>
      </c>
      <c r="J12" s="1237">
        <v>-48</v>
      </c>
      <c r="K12" s="1240">
        <v>-96410</v>
      </c>
      <c r="L12" s="1243">
        <v>500</v>
      </c>
      <c r="M12" s="1237">
        <v>-212.98</v>
      </c>
      <c r="N12" s="1240">
        <v>0</v>
      </c>
      <c r="O12" s="1243"/>
      <c r="P12" s="1237"/>
      <c r="Q12" s="1240">
        <v>-129420</v>
      </c>
      <c r="R12" s="1243">
        <v>200</v>
      </c>
      <c r="S12" s="1237">
        <v>-647.1</v>
      </c>
      <c r="T12" s="1238"/>
      <c r="U12" s="1243"/>
      <c r="V12" s="1238"/>
      <c r="W12" s="1248">
        <v>0</v>
      </c>
      <c r="X12" s="1243"/>
      <c r="Y12" s="1237"/>
      <c r="Z12" s="1248">
        <v>0</v>
      </c>
      <c r="AA12" s="1243"/>
      <c r="AB12" s="1237"/>
      <c r="AC12" s="1248">
        <v>0</v>
      </c>
      <c r="AD12" s="1242"/>
      <c r="AE12" s="1237"/>
      <c r="AF12" s="1248">
        <v>0</v>
      </c>
      <c r="AG12" s="1243"/>
      <c r="AH12" s="1237"/>
      <c r="AI12" s="1248">
        <v>0</v>
      </c>
      <c r="AJ12" s="1242"/>
      <c r="AK12" s="1237"/>
      <c r="AL12" s="1248">
        <v>0</v>
      </c>
      <c r="AM12" s="1242"/>
      <c r="AN12" s="1237"/>
      <c r="AO12" s="1248">
        <v>-39952</v>
      </c>
      <c r="AP12" s="1243"/>
      <c r="AQ12" s="1237"/>
      <c r="AR12" s="1248">
        <v>0</v>
      </c>
      <c r="AS12" s="1242"/>
      <c r="AT12" s="1237"/>
      <c r="AU12" s="1248">
        <v>0</v>
      </c>
      <c r="AV12" s="1242"/>
      <c r="AW12" s="1237"/>
      <c r="AX12" s="1248">
        <v>0</v>
      </c>
      <c r="AY12" s="1242"/>
      <c r="AZ12" s="1237"/>
      <c r="BA12" s="1248">
        <v>0</v>
      </c>
      <c r="BB12" s="1242"/>
      <c r="BC12" s="1237"/>
      <c r="BD12" s="1248">
        <v>0</v>
      </c>
      <c r="BE12" s="1242"/>
      <c r="BF12" s="1237"/>
      <c r="BG12" s="1248">
        <v>0</v>
      </c>
      <c r="BH12" s="1242"/>
      <c r="BI12" s="1237"/>
      <c r="BJ12" s="1248">
        <v>0</v>
      </c>
      <c r="BK12" s="1242"/>
      <c r="BL12" s="1237"/>
      <c r="BM12" s="1248">
        <v>0</v>
      </c>
      <c r="BN12" s="1242"/>
      <c r="BO12" s="1237"/>
      <c r="BP12" s="1248">
        <v>0</v>
      </c>
      <c r="BQ12" s="1242"/>
      <c r="BR12" s="1237"/>
      <c r="BS12" s="1248">
        <v>0</v>
      </c>
      <c r="BT12" s="1243"/>
      <c r="BU12" s="1237"/>
      <c r="BV12" s="1248">
        <v>0</v>
      </c>
      <c r="BW12" s="1242"/>
      <c r="BX12" s="1237"/>
      <c r="BY12" s="1248">
        <v>0</v>
      </c>
      <c r="BZ12" s="1242"/>
      <c r="CA12" s="1237"/>
      <c r="CB12" s="1248">
        <v>0</v>
      </c>
      <c r="CC12" s="1242"/>
      <c r="CD12" s="1237"/>
      <c r="CE12" s="1248"/>
      <c r="CF12" s="1242"/>
      <c r="CG12" s="1237"/>
      <c r="CH12" s="1248"/>
      <c r="CI12" s="1243">
        <v>1000</v>
      </c>
      <c r="CJ12" s="1237">
        <v>-409.15</v>
      </c>
      <c r="CK12" s="1248">
        <v>0</v>
      </c>
      <c r="CL12" s="1243"/>
      <c r="CM12" s="1237"/>
      <c r="CN12" s="1248">
        <v>-43700</v>
      </c>
      <c r="CO12" s="1243">
        <v>2000</v>
      </c>
      <c r="CP12" s="1237">
        <v>-86.41</v>
      </c>
      <c r="CQ12" s="1248">
        <v>0</v>
      </c>
      <c r="CR12" s="1243"/>
      <c r="CS12" s="1237"/>
      <c r="CT12" s="1248">
        <v>0</v>
      </c>
      <c r="CU12" s="1243"/>
      <c r="CV12" s="1237"/>
      <c r="CW12" s="1248">
        <v>0</v>
      </c>
      <c r="CX12" s="1243"/>
      <c r="CY12" s="1237"/>
      <c r="CZ12" s="1248">
        <v>0</v>
      </c>
      <c r="DA12" s="1242"/>
      <c r="DB12" s="1237"/>
      <c r="DC12" s="1248">
        <v>0</v>
      </c>
      <c r="DD12" s="1242"/>
      <c r="DE12" s="1237"/>
      <c r="DF12" s="1248">
        <v>0</v>
      </c>
      <c r="DG12" s="1242"/>
      <c r="DH12" s="1237"/>
      <c r="DI12" s="1248">
        <v>0</v>
      </c>
      <c r="DJ12" s="1242"/>
      <c r="DK12" s="1237"/>
      <c r="DL12" s="1248">
        <v>0</v>
      </c>
      <c r="DM12" s="1242"/>
      <c r="DN12" s="1237"/>
      <c r="DO12" s="1248">
        <v>0</v>
      </c>
      <c r="DP12" s="1242"/>
      <c r="DQ12" s="1237"/>
      <c r="DR12" s="1248">
        <v>0</v>
      </c>
      <c r="DS12" s="1242"/>
      <c r="DT12" s="1237"/>
      <c r="DU12" s="1248">
        <v>0</v>
      </c>
      <c r="DV12" s="1242"/>
      <c r="DW12" s="1237"/>
      <c r="DX12" s="1248">
        <v>0</v>
      </c>
      <c r="DY12" s="1242"/>
      <c r="DZ12" s="1237"/>
      <c r="EA12" s="1248">
        <v>-96763.42</v>
      </c>
      <c r="EB12" s="1243"/>
      <c r="EC12" s="1237"/>
      <c r="ED12" s="1248">
        <v>0</v>
      </c>
      <c r="EE12" s="1242"/>
      <c r="EF12" s="1237"/>
      <c r="EG12" s="1248">
        <v>0</v>
      </c>
      <c r="EH12" s="1242"/>
      <c r="EI12" s="1237"/>
      <c r="EJ12" s="1248">
        <v>0</v>
      </c>
      <c r="EK12" s="1242"/>
      <c r="EL12" s="1237"/>
      <c r="EM12" s="1248">
        <v>0</v>
      </c>
      <c r="EN12" s="1242"/>
      <c r="EO12" s="1237"/>
      <c r="EP12" s="1248">
        <v>0</v>
      </c>
      <c r="EQ12" s="1242"/>
      <c r="ER12" s="1237"/>
      <c r="ES12" s="1248">
        <v>0</v>
      </c>
      <c r="ET12" s="1242"/>
      <c r="EU12" s="1237"/>
      <c r="EV12" s="1248">
        <v>0</v>
      </c>
      <c r="EW12" s="1242"/>
      <c r="EX12" s="1245"/>
      <c r="EY12" s="1248">
        <v>0</v>
      </c>
      <c r="EZ12" s="1242"/>
      <c r="FA12" s="1245"/>
      <c r="FB12" s="1248">
        <v>0</v>
      </c>
      <c r="FC12" s="1242"/>
      <c r="FD12" s="1245"/>
      <c r="FE12" s="1248">
        <v>-462186.26999999996</v>
      </c>
      <c r="FF12" s="1243">
        <v>395031</v>
      </c>
      <c r="FG12" s="1237">
        <v>-1.17</v>
      </c>
      <c r="FH12" s="1248">
        <v>0</v>
      </c>
      <c r="FI12" s="1243"/>
      <c r="FJ12" s="1237"/>
      <c r="FK12" s="1248">
        <v>0</v>
      </c>
      <c r="FL12" s="1242"/>
      <c r="FM12" s="1237"/>
      <c r="FN12" s="1248">
        <v>0</v>
      </c>
      <c r="FO12" s="1242"/>
      <c r="FP12" s="1237"/>
      <c r="FQ12" s="1248">
        <v>-29508</v>
      </c>
      <c r="FR12" s="1243">
        <v>2000</v>
      </c>
      <c r="FS12" s="1237">
        <v>-14.754</v>
      </c>
      <c r="FT12" s="1248">
        <v>0</v>
      </c>
      <c r="FU12" s="1243"/>
      <c r="FV12" s="1237"/>
      <c r="FW12" s="1248">
        <v>0</v>
      </c>
      <c r="FX12" s="1242"/>
      <c r="FY12" s="1237"/>
      <c r="FZ12" s="1248">
        <v>0</v>
      </c>
      <c r="GA12" s="1243"/>
      <c r="GB12" s="1237"/>
      <c r="GC12" s="1248">
        <v>0</v>
      </c>
      <c r="GD12" s="1242"/>
      <c r="GE12" s="1237"/>
      <c r="GF12" s="1248">
        <v>0</v>
      </c>
      <c r="GG12" s="1242"/>
      <c r="GH12" s="1237"/>
      <c r="GI12" s="1248">
        <v>0</v>
      </c>
      <c r="GJ12" s="1242"/>
      <c r="GK12" s="1237"/>
      <c r="GL12" s="1248">
        <v>0</v>
      </c>
      <c r="GM12" s="1242"/>
      <c r="GN12" s="1237"/>
      <c r="GO12" s="1248">
        <v>0</v>
      </c>
      <c r="GP12" s="1242"/>
      <c r="GQ12" s="1237"/>
      <c r="GR12" s="1248">
        <v>0</v>
      </c>
      <c r="GS12" s="1242"/>
      <c r="GT12" s="1237"/>
      <c r="GU12" s="1248">
        <v>0</v>
      </c>
      <c r="GV12" s="1242"/>
      <c r="GW12" s="1237"/>
      <c r="GX12" s="1248">
        <v>0</v>
      </c>
      <c r="GY12" s="1242"/>
      <c r="GZ12" s="1237"/>
      <c r="HA12" s="1248">
        <v>0</v>
      </c>
      <c r="HB12" s="1242"/>
      <c r="HC12" s="1237"/>
      <c r="HD12" s="1248">
        <v>0</v>
      </c>
      <c r="HE12" s="1242"/>
      <c r="HF12" s="1237"/>
      <c r="HG12" s="1248">
        <v>0</v>
      </c>
      <c r="HH12" s="1243"/>
      <c r="HI12" s="1237"/>
      <c r="HJ12" s="1248">
        <v>0</v>
      </c>
      <c r="HK12" s="1242"/>
      <c r="HL12" s="1237"/>
      <c r="HM12" s="1248">
        <v>0</v>
      </c>
      <c r="HN12" s="1242"/>
      <c r="HO12" s="1237"/>
      <c r="HP12" s="1248">
        <v>0</v>
      </c>
      <c r="HQ12" s="1242"/>
      <c r="HR12" s="1237"/>
      <c r="HS12" s="1248">
        <v>0</v>
      </c>
      <c r="HT12" s="1242"/>
      <c r="HU12" s="1237"/>
      <c r="HV12" s="1248">
        <v>0</v>
      </c>
      <c r="HW12" s="1242"/>
      <c r="HX12" s="1237"/>
      <c r="HY12" s="1248">
        <v>0</v>
      </c>
      <c r="HZ12" s="1242"/>
      <c r="IA12" s="1237"/>
      <c r="IB12" s="1248">
        <v>0</v>
      </c>
      <c r="IC12" s="1242"/>
      <c r="ID12" s="1237"/>
      <c r="IE12" s="1248">
        <v>0</v>
      </c>
      <c r="IF12" s="1242"/>
      <c r="IG12" s="1237"/>
      <c r="IH12" s="1248">
        <v>0</v>
      </c>
      <c r="II12" s="1242"/>
      <c r="IJ12" s="1237"/>
      <c r="IK12" s="1248">
        <v>0</v>
      </c>
      <c r="IL12" s="1242"/>
      <c r="IM12" s="1237"/>
      <c r="IN12" s="1248">
        <v>0</v>
      </c>
      <c r="IO12" s="1242"/>
      <c r="IP12" s="1237"/>
      <c r="IQ12" s="1248">
        <v>0</v>
      </c>
      <c r="IR12" s="1242"/>
      <c r="IS12" s="1237"/>
      <c r="IT12" s="1248">
        <v>0</v>
      </c>
      <c r="IU12" s="1242"/>
      <c r="IV12" s="1237"/>
      <c r="IW12" s="1248">
        <v>0</v>
      </c>
      <c r="IX12" s="1242"/>
      <c r="IY12" s="1237"/>
      <c r="IZ12" s="1248">
        <v>0</v>
      </c>
      <c r="JA12" s="1242"/>
      <c r="JB12" s="1237"/>
      <c r="JC12" s="1248">
        <v>0</v>
      </c>
      <c r="JD12" s="1242"/>
      <c r="JE12" s="1237"/>
      <c r="JF12" s="1248">
        <v>0</v>
      </c>
      <c r="JG12" s="1242"/>
      <c r="JH12" s="1237"/>
      <c r="JI12" s="1248">
        <v>0</v>
      </c>
      <c r="JJ12" s="1242"/>
      <c r="JK12" s="1237"/>
      <c r="JL12" s="1248">
        <v>0</v>
      </c>
      <c r="JM12" s="1242"/>
      <c r="JN12" s="1237"/>
      <c r="JO12" s="1248">
        <v>0</v>
      </c>
      <c r="JP12" s="1242"/>
      <c r="JQ12" s="1237"/>
      <c r="JR12" s="1248"/>
      <c r="JS12" s="1242"/>
      <c r="JT12" s="1237"/>
      <c r="JU12" s="1248" t="s">
        <v>1133</v>
      </c>
      <c r="JV12" s="1249"/>
      <c r="JW12" s="1237"/>
      <c r="JX12" s="1248" t="s">
        <v>1133</v>
      </c>
      <c r="JY12" s="1242"/>
      <c r="JZ12" s="1245"/>
    </row>
    <row r="13" spans="1:301">
      <c r="A13">
        <v>10</v>
      </c>
      <c r="B13" s="1240">
        <v>-673020</v>
      </c>
      <c r="C13" s="1243">
        <v>300</v>
      </c>
      <c r="D13" s="1237">
        <v>-230.7</v>
      </c>
      <c r="E13" s="1240">
        <v>0</v>
      </c>
      <c r="F13" s="1243"/>
      <c r="G13" s="1237"/>
      <c r="H13" s="1240">
        <v>-9453942</v>
      </c>
      <c r="I13" s="1243">
        <v>150000</v>
      </c>
      <c r="J13" s="1237">
        <v>-48</v>
      </c>
      <c r="K13" s="1240">
        <v>-408195</v>
      </c>
      <c r="L13" s="1243">
        <v>2000</v>
      </c>
      <c r="M13" s="1237">
        <v>-215.02</v>
      </c>
      <c r="N13" s="1240">
        <v>0</v>
      </c>
      <c r="O13" s="1243"/>
      <c r="P13" s="1237"/>
      <c r="Q13" s="1240">
        <v>-194190</v>
      </c>
      <c r="R13" s="1243">
        <v>300</v>
      </c>
      <c r="S13" s="1237">
        <v>-647.29999999999995</v>
      </c>
      <c r="T13" s="1238"/>
      <c r="U13" s="1243"/>
      <c r="V13" s="1238"/>
      <c r="W13" s="1248">
        <v>0</v>
      </c>
      <c r="X13" s="1243"/>
      <c r="Y13" s="1237"/>
      <c r="Z13" s="1248">
        <v>0</v>
      </c>
      <c r="AA13" s="1243"/>
      <c r="AB13" s="1237"/>
      <c r="AC13" s="1248">
        <v>0</v>
      </c>
      <c r="AD13" s="1242"/>
      <c r="AE13" s="1237"/>
      <c r="AF13" s="1248">
        <v>0</v>
      </c>
      <c r="AG13" s="1243"/>
      <c r="AH13" s="1237"/>
      <c r="AI13" s="1248">
        <v>0</v>
      </c>
      <c r="AJ13" s="1242"/>
      <c r="AK13" s="1237"/>
      <c r="AL13" s="1248">
        <v>0</v>
      </c>
      <c r="AM13" s="1242"/>
      <c r="AN13" s="1237"/>
      <c r="AO13" s="1248">
        <v>0</v>
      </c>
      <c r="AP13" s="1242"/>
      <c r="AQ13" s="1237"/>
      <c r="AR13" s="1248">
        <v>0</v>
      </c>
      <c r="AS13" s="1242"/>
      <c r="AT13" s="1237"/>
      <c r="AU13" s="1248">
        <v>0</v>
      </c>
      <c r="AV13" s="1242"/>
      <c r="AW13" s="1237"/>
      <c r="AX13" s="1248">
        <v>0</v>
      </c>
      <c r="AY13" s="1242"/>
      <c r="AZ13" s="1237"/>
      <c r="BA13" s="1248">
        <v>0</v>
      </c>
      <c r="BB13" s="1242"/>
      <c r="BC13" s="1237"/>
      <c r="BD13" s="1248">
        <v>0</v>
      </c>
      <c r="BE13" s="1242"/>
      <c r="BF13" s="1237"/>
      <c r="BG13" s="1248">
        <v>0</v>
      </c>
      <c r="BH13" s="1242"/>
      <c r="BI13" s="1237"/>
      <c r="BJ13" s="1248">
        <v>0</v>
      </c>
      <c r="BK13" s="1242"/>
      <c r="BL13" s="1237"/>
      <c r="BM13" s="1248">
        <v>0</v>
      </c>
      <c r="BN13" s="1242"/>
      <c r="BO13" s="1237"/>
      <c r="BP13" s="1248">
        <v>0</v>
      </c>
      <c r="BQ13" s="1242"/>
      <c r="BR13" s="1237"/>
      <c r="BS13" s="1248">
        <v>0</v>
      </c>
      <c r="BT13" s="1243"/>
      <c r="BU13" s="1237"/>
      <c r="BV13" s="1248">
        <v>0</v>
      </c>
      <c r="BW13" s="1242"/>
      <c r="BX13" s="1237"/>
      <c r="BY13" s="1248">
        <v>0</v>
      </c>
      <c r="BZ13" s="1242"/>
      <c r="CA13" s="1237"/>
      <c r="CB13" s="1248">
        <v>0</v>
      </c>
      <c r="CC13" s="1242"/>
      <c r="CD13" s="1237"/>
      <c r="CE13" s="1248">
        <v>0</v>
      </c>
      <c r="CF13" s="1242"/>
      <c r="CG13" s="1237"/>
      <c r="CH13" s="1248"/>
      <c r="CI13" s="1243">
        <v>300</v>
      </c>
      <c r="CJ13" s="1237">
        <v>-416.55</v>
      </c>
      <c r="CK13" s="1248">
        <v>0</v>
      </c>
      <c r="CL13" s="1243"/>
      <c r="CM13" s="1237"/>
      <c r="CN13" s="1248">
        <v>0</v>
      </c>
      <c r="CO13" s="1243"/>
      <c r="CP13" s="1237"/>
      <c r="CQ13" s="1248">
        <v>0</v>
      </c>
      <c r="CR13" s="1242"/>
      <c r="CS13" s="1237"/>
      <c r="CT13" s="1248">
        <v>0</v>
      </c>
      <c r="CU13" s="1243"/>
      <c r="CV13" s="1237"/>
      <c r="CW13" s="1248">
        <v>0</v>
      </c>
      <c r="CX13" s="1243"/>
      <c r="CY13" s="1237"/>
      <c r="CZ13" s="1248">
        <v>0</v>
      </c>
      <c r="DA13" s="1242"/>
      <c r="DB13" s="1237"/>
      <c r="DC13" s="1248">
        <v>0</v>
      </c>
      <c r="DD13" s="1242"/>
      <c r="DE13" s="1237"/>
      <c r="DF13" s="1248">
        <v>0</v>
      </c>
      <c r="DG13" s="1242"/>
      <c r="DH13" s="1237"/>
      <c r="DI13" s="1248">
        <v>0</v>
      </c>
      <c r="DJ13" s="1242"/>
      <c r="DK13" s="1237"/>
      <c r="DL13" s="1248">
        <v>0</v>
      </c>
      <c r="DM13" s="1242"/>
      <c r="DN13" s="1237"/>
      <c r="DO13" s="1248">
        <v>0</v>
      </c>
      <c r="DP13" s="1242"/>
      <c r="DQ13" s="1237"/>
      <c r="DR13" s="1248">
        <v>0</v>
      </c>
      <c r="DS13" s="1242"/>
      <c r="DT13" s="1237"/>
      <c r="DU13" s="1248">
        <v>0</v>
      </c>
      <c r="DV13" s="1242"/>
      <c r="DW13" s="1237"/>
      <c r="DX13" s="1248">
        <v>0</v>
      </c>
      <c r="DY13" s="1242"/>
      <c r="DZ13" s="1237"/>
      <c r="EA13" s="1248">
        <v>0</v>
      </c>
      <c r="EB13" s="1242"/>
      <c r="EC13" s="1237"/>
      <c r="ED13" s="1248">
        <v>0</v>
      </c>
      <c r="EE13" s="1242"/>
      <c r="EF13" s="1237"/>
      <c r="EG13" s="1248">
        <v>0</v>
      </c>
      <c r="EH13" s="1242"/>
      <c r="EI13" s="1237"/>
      <c r="EJ13" s="1248">
        <v>0</v>
      </c>
      <c r="EK13" s="1242"/>
      <c r="EL13" s="1237"/>
      <c r="EM13" s="1248">
        <v>0</v>
      </c>
      <c r="EN13" s="1242"/>
      <c r="EO13" s="1237"/>
      <c r="EP13" s="1248">
        <v>0</v>
      </c>
      <c r="EQ13" s="1242"/>
      <c r="ER13" s="1237"/>
      <c r="ES13" s="1248">
        <v>0</v>
      </c>
      <c r="ET13" s="1242"/>
      <c r="EU13" s="1237"/>
      <c r="EV13" s="1248">
        <v>0</v>
      </c>
      <c r="EW13" s="1242"/>
      <c r="EX13" s="1245"/>
      <c r="EY13" s="1248">
        <v>0</v>
      </c>
      <c r="EZ13" s="1242"/>
      <c r="FA13" s="1245"/>
      <c r="FB13" s="1248">
        <v>0</v>
      </c>
      <c r="FC13" s="1242"/>
      <c r="FD13" s="1245"/>
      <c r="FE13" s="1248">
        <v>-17050</v>
      </c>
      <c r="FF13" s="1243">
        <v>5000</v>
      </c>
      <c r="FG13" s="1237">
        <v>-3.41</v>
      </c>
      <c r="FH13" s="1248">
        <v>0</v>
      </c>
      <c r="FI13" s="1243"/>
      <c r="FJ13" s="1237"/>
      <c r="FK13" s="1248">
        <v>0</v>
      </c>
      <c r="FL13" s="1242"/>
      <c r="FM13" s="1237"/>
      <c r="FN13" s="1248">
        <v>0</v>
      </c>
      <c r="FO13" s="1242"/>
      <c r="FP13" s="1237"/>
      <c r="FQ13" s="1248">
        <v>-31185.199999999997</v>
      </c>
      <c r="FR13" s="1243"/>
      <c r="FS13" s="1237"/>
      <c r="FT13" s="1248">
        <v>0</v>
      </c>
      <c r="FU13" s="1242"/>
      <c r="FV13" s="1237"/>
      <c r="FW13" s="1248">
        <v>0</v>
      </c>
      <c r="FX13" s="1242"/>
      <c r="FY13" s="1237"/>
      <c r="FZ13" s="1248">
        <v>0</v>
      </c>
      <c r="GA13" s="1243"/>
      <c r="GB13" s="1237"/>
      <c r="GC13" s="1248">
        <v>0</v>
      </c>
      <c r="GD13" s="1242"/>
      <c r="GE13" s="1237"/>
      <c r="GF13" s="1248">
        <v>0</v>
      </c>
      <c r="GG13" s="1242"/>
      <c r="GH13" s="1237"/>
      <c r="GI13" s="1248">
        <v>0</v>
      </c>
      <c r="GJ13" s="1242"/>
      <c r="GK13" s="1237"/>
      <c r="GL13" s="1248">
        <v>0</v>
      </c>
      <c r="GM13" s="1242"/>
      <c r="GN13" s="1237"/>
      <c r="GO13" s="1248">
        <v>0</v>
      </c>
      <c r="GP13" s="1242"/>
      <c r="GQ13" s="1237"/>
      <c r="GR13" s="1248">
        <v>0</v>
      </c>
      <c r="GS13" s="1242"/>
      <c r="GT13" s="1237"/>
      <c r="GU13" s="1248">
        <v>0</v>
      </c>
      <c r="GV13" s="1242"/>
      <c r="GW13" s="1237"/>
      <c r="GX13" s="1248">
        <v>0</v>
      </c>
      <c r="GY13" s="1242"/>
      <c r="GZ13" s="1237"/>
      <c r="HA13" s="1248">
        <v>0</v>
      </c>
      <c r="HB13" s="1242"/>
      <c r="HC13" s="1237"/>
      <c r="HD13" s="1248">
        <v>0</v>
      </c>
      <c r="HE13" s="1242"/>
      <c r="HF13" s="1237"/>
      <c r="HG13" s="1248">
        <v>0</v>
      </c>
      <c r="HH13" s="1243"/>
      <c r="HI13" s="1237"/>
      <c r="HJ13" s="1248">
        <v>0</v>
      </c>
      <c r="HK13" s="1242"/>
      <c r="HL13" s="1237"/>
      <c r="HM13" s="1248">
        <v>0</v>
      </c>
      <c r="HN13" s="1242"/>
      <c r="HO13" s="1237"/>
      <c r="HP13" s="1248">
        <v>0</v>
      </c>
      <c r="HQ13" s="1242"/>
      <c r="HR13" s="1237"/>
      <c r="HS13" s="1248">
        <v>0</v>
      </c>
      <c r="HT13" s="1242"/>
      <c r="HU13" s="1237"/>
      <c r="HV13" s="1248">
        <v>0</v>
      </c>
      <c r="HW13" s="1242"/>
      <c r="HX13" s="1237"/>
      <c r="HY13" s="1248">
        <v>0</v>
      </c>
      <c r="HZ13" s="1242"/>
      <c r="IA13" s="1237"/>
      <c r="IB13" s="1248">
        <v>0</v>
      </c>
      <c r="IC13" s="1242"/>
      <c r="ID13" s="1237"/>
      <c r="IE13" s="1248">
        <v>0</v>
      </c>
      <c r="IF13" s="1242"/>
      <c r="IG13" s="1237"/>
      <c r="IH13" s="1248">
        <v>0</v>
      </c>
      <c r="II13" s="1242"/>
      <c r="IJ13" s="1237"/>
      <c r="IK13" s="1248">
        <v>0</v>
      </c>
      <c r="IL13" s="1242"/>
      <c r="IM13" s="1237"/>
      <c r="IN13" s="1248">
        <v>0</v>
      </c>
      <c r="IO13" s="1242"/>
      <c r="IP13" s="1237"/>
      <c r="IQ13" s="1248">
        <v>0</v>
      </c>
      <c r="IR13" s="1242"/>
      <c r="IS13" s="1237"/>
      <c r="IT13" s="1248">
        <v>0</v>
      </c>
      <c r="IU13" s="1242"/>
      <c r="IV13" s="1237"/>
      <c r="IW13" s="1248">
        <v>0</v>
      </c>
      <c r="IX13" s="1242"/>
      <c r="IY13" s="1237"/>
      <c r="IZ13" s="1248">
        <v>0</v>
      </c>
      <c r="JA13" s="1242"/>
      <c r="JB13" s="1237"/>
      <c r="JC13" s="1248">
        <v>0</v>
      </c>
      <c r="JD13" s="1242"/>
      <c r="JE13" s="1237"/>
      <c r="JF13" s="1248">
        <v>0</v>
      </c>
      <c r="JG13" s="1242"/>
      <c r="JH13" s="1237"/>
      <c r="JI13" s="1248">
        <v>0</v>
      </c>
      <c r="JJ13" s="1242"/>
      <c r="JK13" s="1237"/>
      <c r="JL13" s="1248">
        <v>0</v>
      </c>
      <c r="JM13" s="1242"/>
      <c r="JN13" s="1237"/>
      <c r="JO13" s="1248">
        <v>0</v>
      </c>
      <c r="JP13" s="1242"/>
      <c r="JQ13" s="1237"/>
      <c r="JR13" s="1248"/>
      <c r="JS13" s="1242"/>
      <c r="JT13" s="1237"/>
      <c r="JU13" s="1248" t="s">
        <v>1133</v>
      </c>
      <c r="JV13" s="1249"/>
      <c r="JW13" s="1237"/>
      <c r="JX13" s="1248" t="s">
        <v>1133</v>
      </c>
      <c r="JY13" s="1242"/>
      <c r="JZ13" s="1245"/>
    </row>
    <row r="14" spans="1:301">
      <c r="A14">
        <v>11</v>
      </c>
      <c r="B14" s="1240">
        <v>-69210</v>
      </c>
      <c r="C14" s="1243">
        <v>200</v>
      </c>
      <c r="D14" s="1237">
        <v>-233.95</v>
      </c>
      <c r="E14" s="1240">
        <v>0</v>
      </c>
      <c r="F14" s="1243"/>
      <c r="G14" s="1237"/>
      <c r="H14" s="1240">
        <v>0</v>
      </c>
      <c r="I14" s="1243">
        <v>50000</v>
      </c>
      <c r="J14" s="1237">
        <v>-49</v>
      </c>
      <c r="K14" s="1240">
        <v>-103091.7</v>
      </c>
      <c r="L14" s="1243">
        <v>500</v>
      </c>
      <c r="M14" s="1237">
        <v>-215.45</v>
      </c>
      <c r="N14" s="1240">
        <v>0</v>
      </c>
      <c r="O14" s="1243"/>
      <c r="P14" s="1237"/>
      <c r="Q14" s="1240">
        <v>-195930</v>
      </c>
      <c r="R14" s="1243">
        <v>300</v>
      </c>
      <c r="S14" s="1237">
        <v>-690.9</v>
      </c>
      <c r="T14" s="1238"/>
      <c r="U14" s="1243"/>
      <c r="V14" s="1238"/>
      <c r="W14" s="1248">
        <v>0</v>
      </c>
      <c r="X14" s="1243"/>
      <c r="Y14" s="1237"/>
      <c r="Z14" s="1248">
        <v>0</v>
      </c>
      <c r="AA14" s="1243"/>
      <c r="AB14" s="1237"/>
      <c r="AC14" s="1248">
        <v>0</v>
      </c>
      <c r="AD14" s="1242"/>
      <c r="AE14" s="1237"/>
      <c r="AF14" s="1248">
        <v>0</v>
      </c>
      <c r="AG14" s="1243"/>
      <c r="AH14" s="1237"/>
      <c r="AI14" s="1248">
        <v>0</v>
      </c>
      <c r="AJ14" s="1242"/>
      <c r="AK14" s="1237"/>
      <c r="AL14" s="1248">
        <v>0</v>
      </c>
      <c r="AM14" s="1242"/>
      <c r="AN14" s="1237"/>
      <c r="AO14" s="1248">
        <v>0</v>
      </c>
      <c r="AP14" s="1242"/>
      <c r="AQ14" s="1237"/>
      <c r="AR14" s="1248">
        <v>0</v>
      </c>
      <c r="AS14" s="1242"/>
      <c r="AT14" s="1237"/>
      <c r="AU14" s="1248">
        <v>0</v>
      </c>
      <c r="AV14" s="1242"/>
      <c r="AW14" s="1237"/>
      <c r="AX14" s="1248">
        <v>0</v>
      </c>
      <c r="AY14" s="1242"/>
      <c r="AZ14" s="1237"/>
      <c r="BA14" s="1248">
        <v>0</v>
      </c>
      <c r="BB14" s="1242"/>
      <c r="BC14" s="1237"/>
      <c r="BD14" s="1248">
        <v>0</v>
      </c>
      <c r="BE14" s="1242"/>
      <c r="BF14" s="1237"/>
      <c r="BG14" s="1248">
        <v>0</v>
      </c>
      <c r="BH14" s="1242"/>
      <c r="BI14" s="1237"/>
      <c r="BJ14" s="1248">
        <v>0</v>
      </c>
      <c r="BK14" s="1242"/>
      <c r="BL14" s="1237"/>
      <c r="BM14" s="1248">
        <v>0</v>
      </c>
      <c r="BN14" s="1242"/>
      <c r="BO14" s="1237"/>
      <c r="BP14" s="1248">
        <v>0</v>
      </c>
      <c r="BQ14" s="1242"/>
      <c r="BR14" s="1237"/>
      <c r="BS14" s="1248">
        <v>0</v>
      </c>
      <c r="BT14" s="1243"/>
      <c r="BU14" s="1237"/>
      <c r="BV14" s="1248">
        <v>0</v>
      </c>
      <c r="BW14" s="1242"/>
      <c r="BX14" s="1237"/>
      <c r="BY14" s="1248">
        <v>0</v>
      </c>
      <c r="BZ14" s="1242"/>
      <c r="CA14" s="1237"/>
      <c r="CB14" s="1248">
        <v>0</v>
      </c>
      <c r="CC14" s="1242"/>
      <c r="CD14" s="1237"/>
      <c r="CE14" s="1248">
        <v>0</v>
      </c>
      <c r="CF14" s="1242"/>
      <c r="CG14" s="1237"/>
      <c r="CH14" s="1248">
        <v>-882080</v>
      </c>
      <c r="CI14" s="1243">
        <v>2000</v>
      </c>
      <c r="CJ14" s="1237">
        <v>-441.04</v>
      </c>
      <c r="CK14" s="1248">
        <v>0</v>
      </c>
      <c r="CL14" s="1242"/>
      <c r="CM14" s="1237"/>
      <c r="CN14" s="1248">
        <v>0</v>
      </c>
      <c r="CO14" s="1242"/>
      <c r="CP14" s="1237"/>
      <c r="CQ14" s="1248">
        <v>0</v>
      </c>
      <c r="CR14" s="1242"/>
      <c r="CS14" s="1237"/>
      <c r="CT14" s="1248">
        <v>0</v>
      </c>
      <c r="CU14" s="1243"/>
      <c r="CV14" s="1237"/>
      <c r="CW14" s="1248">
        <v>0</v>
      </c>
      <c r="CX14" s="1243"/>
      <c r="CY14" s="1237"/>
      <c r="CZ14" s="1248">
        <v>0</v>
      </c>
      <c r="DA14" s="1242"/>
      <c r="DB14" s="1237"/>
      <c r="DC14" s="1248">
        <v>0</v>
      </c>
      <c r="DD14" s="1242"/>
      <c r="DE14" s="1237"/>
      <c r="DF14" s="1248">
        <v>0</v>
      </c>
      <c r="DG14" s="1242"/>
      <c r="DH14" s="1237"/>
      <c r="DI14" s="1248">
        <v>0</v>
      </c>
      <c r="DJ14" s="1242"/>
      <c r="DK14" s="1237"/>
      <c r="DL14" s="1248">
        <v>0</v>
      </c>
      <c r="DM14" s="1242"/>
      <c r="DN14" s="1237"/>
      <c r="DO14" s="1248">
        <v>0</v>
      </c>
      <c r="DP14" s="1242"/>
      <c r="DQ14" s="1237"/>
      <c r="DR14" s="1248">
        <v>0</v>
      </c>
      <c r="DS14" s="1242"/>
      <c r="DT14" s="1237"/>
      <c r="DU14" s="1248">
        <v>0</v>
      </c>
      <c r="DV14" s="1242"/>
      <c r="DW14" s="1237"/>
      <c r="DX14" s="1248">
        <v>0</v>
      </c>
      <c r="DY14" s="1242"/>
      <c r="DZ14" s="1237"/>
      <c r="EA14" s="1248">
        <v>0</v>
      </c>
      <c r="EB14" s="1242"/>
      <c r="EC14" s="1237"/>
      <c r="ED14" s="1248">
        <v>0</v>
      </c>
      <c r="EE14" s="1242"/>
      <c r="EF14" s="1237"/>
      <c r="EG14" s="1248">
        <v>0</v>
      </c>
      <c r="EH14" s="1242"/>
      <c r="EI14" s="1237"/>
      <c r="EJ14" s="1248">
        <v>0</v>
      </c>
      <c r="EK14" s="1242"/>
      <c r="EL14" s="1237"/>
      <c r="EM14" s="1248">
        <v>0</v>
      </c>
      <c r="EN14" s="1242"/>
      <c r="EO14" s="1237"/>
      <c r="EP14" s="1248">
        <v>0</v>
      </c>
      <c r="EQ14" s="1242"/>
      <c r="ER14" s="1237"/>
      <c r="ES14" s="1248">
        <v>0</v>
      </c>
      <c r="ET14" s="1242"/>
      <c r="EU14" s="1237"/>
      <c r="EV14" s="1248">
        <v>0</v>
      </c>
      <c r="EW14" s="1242"/>
      <c r="EX14" s="1245"/>
      <c r="EY14" s="1248">
        <v>0</v>
      </c>
      <c r="EZ14" s="1242"/>
      <c r="FA14" s="1245"/>
      <c r="FB14" s="1248">
        <v>0</v>
      </c>
      <c r="FC14" s="1242"/>
      <c r="FD14" s="1245"/>
      <c r="FE14" s="1248">
        <v>-65642.058799999999</v>
      </c>
      <c r="FF14" s="1243">
        <v>14969</v>
      </c>
      <c r="FG14" s="1237">
        <v>-4.3852000000000002</v>
      </c>
      <c r="FH14" s="1248">
        <v>0</v>
      </c>
      <c r="FI14" s="1242"/>
      <c r="FJ14" s="1237"/>
      <c r="FK14" s="1248">
        <v>0</v>
      </c>
      <c r="FL14" s="1242"/>
      <c r="FM14" s="1237"/>
      <c r="FN14" s="1248">
        <v>0</v>
      </c>
      <c r="FO14" s="1242"/>
      <c r="FP14" s="1237"/>
      <c r="FQ14" s="1248">
        <v>0</v>
      </c>
      <c r="FR14" s="1243"/>
      <c r="FS14" s="1237"/>
      <c r="FT14" s="1248">
        <v>0</v>
      </c>
      <c r="FU14" s="1242"/>
      <c r="FV14" s="1237"/>
      <c r="FW14" s="1248">
        <v>0</v>
      </c>
      <c r="FX14" s="1242"/>
      <c r="FY14" s="1237"/>
      <c r="FZ14" s="1248">
        <v>0</v>
      </c>
      <c r="GA14" s="1242"/>
      <c r="GB14" s="1237"/>
      <c r="GC14" s="1248">
        <v>0</v>
      </c>
      <c r="GD14" s="1242"/>
      <c r="GE14" s="1237"/>
      <c r="GF14" s="1248">
        <v>0</v>
      </c>
      <c r="GG14" s="1242"/>
      <c r="GH14" s="1237"/>
      <c r="GI14" s="1248">
        <v>0</v>
      </c>
      <c r="GJ14" s="1242"/>
      <c r="GK14" s="1237"/>
      <c r="GL14" s="1248">
        <v>0</v>
      </c>
      <c r="GM14" s="1242"/>
      <c r="GN14" s="1237"/>
      <c r="GO14" s="1248">
        <v>0</v>
      </c>
      <c r="GP14" s="1242"/>
      <c r="GQ14" s="1237"/>
      <c r="GR14" s="1248">
        <v>0</v>
      </c>
      <c r="GS14" s="1242"/>
      <c r="GT14" s="1237"/>
      <c r="GU14" s="1248">
        <v>0</v>
      </c>
      <c r="GV14" s="1242"/>
      <c r="GW14" s="1237"/>
      <c r="GX14" s="1248">
        <v>0</v>
      </c>
      <c r="GY14" s="1242"/>
      <c r="GZ14" s="1237"/>
      <c r="HA14" s="1248">
        <v>0</v>
      </c>
      <c r="HB14" s="1242"/>
      <c r="HC14" s="1237"/>
      <c r="HD14" s="1248">
        <v>0</v>
      </c>
      <c r="HE14" s="1242"/>
      <c r="HF14" s="1237"/>
      <c r="HG14" s="1248">
        <v>0</v>
      </c>
      <c r="HH14" s="1243"/>
      <c r="HI14" s="1237"/>
      <c r="HJ14" s="1248">
        <v>0</v>
      </c>
      <c r="HK14" s="1242"/>
      <c r="HL14" s="1237"/>
      <c r="HM14" s="1248">
        <v>0</v>
      </c>
      <c r="HN14" s="1242"/>
      <c r="HO14" s="1237"/>
      <c r="HP14" s="1248">
        <v>0</v>
      </c>
      <c r="HQ14" s="1242"/>
      <c r="HR14" s="1237"/>
      <c r="HS14" s="1248">
        <v>0</v>
      </c>
      <c r="HT14" s="1242"/>
      <c r="HU14" s="1237"/>
      <c r="HV14" s="1248">
        <v>0</v>
      </c>
      <c r="HW14" s="1242"/>
      <c r="HX14" s="1237"/>
      <c r="HY14" s="1248">
        <v>0</v>
      </c>
      <c r="HZ14" s="1242"/>
      <c r="IA14" s="1237"/>
      <c r="IB14" s="1248">
        <v>0</v>
      </c>
      <c r="IC14" s="1242"/>
      <c r="ID14" s="1237"/>
      <c r="IE14" s="1248">
        <v>0</v>
      </c>
      <c r="IF14" s="1242"/>
      <c r="IG14" s="1237"/>
      <c r="IH14" s="1248">
        <v>0</v>
      </c>
      <c r="II14" s="1242"/>
      <c r="IJ14" s="1237"/>
      <c r="IK14" s="1248">
        <v>0</v>
      </c>
      <c r="IL14" s="1242"/>
      <c r="IM14" s="1237"/>
      <c r="IN14" s="1248">
        <v>0</v>
      </c>
      <c r="IO14" s="1242"/>
      <c r="IP14" s="1237"/>
      <c r="IQ14" s="1248">
        <v>0</v>
      </c>
      <c r="IR14" s="1242"/>
      <c r="IS14" s="1237"/>
      <c r="IT14" s="1248">
        <v>0</v>
      </c>
      <c r="IU14" s="1242"/>
      <c r="IV14" s="1237"/>
      <c r="IW14" s="1248">
        <v>0</v>
      </c>
      <c r="IX14" s="1242"/>
      <c r="IY14" s="1237"/>
      <c r="IZ14" s="1248">
        <v>0</v>
      </c>
      <c r="JA14" s="1242"/>
      <c r="JB14" s="1237"/>
      <c r="JC14" s="1248">
        <v>0</v>
      </c>
      <c r="JD14" s="1242"/>
      <c r="JE14" s="1237"/>
      <c r="JF14" s="1248">
        <v>0</v>
      </c>
      <c r="JG14" s="1242"/>
      <c r="JH14" s="1237"/>
      <c r="JI14" s="1248">
        <v>0</v>
      </c>
      <c r="JJ14" s="1242"/>
      <c r="JK14" s="1237"/>
      <c r="JL14" s="1248">
        <v>0</v>
      </c>
      <c r="JM14" s="1242"/>
      <c r="JN14" s="1237"/>
      <c r="JO14" s="1248">
        <v>0</v>
      </c>
      <c r="JP14" s="1242"/>
      <c r="JQ14" s="1237"/>
      <c r="JR14" s="1248"/>
      <c r="JS14" s="1242"/>
      <c r="JT14" s="1237"/>
      <c r="JU14" s="1248" t="s">
        <v>1133</v>
      </c>
      <c r="JV14" s="1249"/>
      <c r="JW14" s="1237"/>
      <c r="JX14" s="1248" t="s">
        <v>1133</v>
      </c>
      <c r="JY14" s="1242"/>
      <c r="JZ14" s="1245"/>
    </row>
    <row r="15" spans="1:301">
      <c r="A15">
        <v>12</v>
      </c>
      <c r="B15" s="1240">
        <v>-46790</v>
      </c>
      <c r="C15" s="1243">
        <v>300</v>
      </c>
      <c r="D15" s="1237">
        <v>-240.34</v>
      </c>
      <c r="E15" s="1240">
        <v>0</v>
      </c>
      <c r="F15" s="1243"/>
      <c r="G15" s="1237"/>
      <c r="H15" s="1240">
        <v>0</v>
      </c>
      <c r="I15" s="1243">
        <v>100000</v>
      </c>
      <c r="J15" s="1237">
        <v>-52.521900000000002</v>
      </c>
      <c r="K15" s="1240">
        <v>-42596</v>
      </c>
      <c r="L15" s="1243">
        <v>200</v>
      </c>
      <c r="M15" s="1237">
        <v>-224.55</v>
      </c>
      <c r="N15" s="1240">
        <v>0</v>
      </c>
      <c r="O15" s="1243"/>
      <c r="P15" s="1237"/>
      <c r="Q15" s="1240">
        <v>-130740.00000000001</v>
      </c>
      <c r="R15" s="1243">
        <v>200</v>
      </c>
      <c r="S15" s="1237">
        <v>-695.5</v>
      </c>
      <c r="T15" s="1238"/>
      <c r="U15" s="1243"/>
      <c r="V15" s="1238"/>
      <c r="W15" s="1248">
        <v>0</v>
      </c>
      <c r="X15" s="1243"/>
      <c r="Y15" s="1237"/>
      <c r="Z15" s="1248">
        <v>0</v>
      </c>
      <c r="AA15" s="1243"/>
      <c r="AB15" s="1237"/>
      <c r="AC15" s="1248">
        <v>0</v>
      </c>
      <c r="AD15" s="1242"/>
      <c r="AE15" s="1237"/>
      <c r="AF15" s="1248">
        <v>0</v>
      </c>
      <c r="AG15" s="1243"/>
      <c r="AH15" s="1237"/>
      <c r="AI15" s="1248">
        <v>0</v>
      </c>
      <c r="AJ15" s="1242"/>
      <c r="AK15" s="1237"/>
      <c r="AL15" s="1248">
        <v>0</v>
      </c>
      <c r="AM15" s="1242"/>
      <c r="AN15" s="1237"/>
      <c r="AO15" s="1248">
        <v>0</v>
      </c>
      <c r="AP15" s="1242"/>
      <c r="AQ15" s="1237"/>
      <c r="AR15" s="1248">
        <v>0</v>
      </c>
      <c r="AS15" s="1242"/>
      <c r="AT15" s="1237"/>
      <c r="AU15" s="1248">
        <v>0</v>
      </c>
      <c r="AV15" s="1242"/>
      <c r="AW15" s="1237"/>
      <c r="AX15" s="1248">
        <v>0</v>
      </c>
      <c r="AY15" s="1242"/>
      <c r="AZ15" s="1237"/>
      <c r="BA15" s="1248">
        <v>0</v>
      </c>
      <c r="BB15" s="1242"/>
      <c r="BC15" s="1237"/>
      <c r="BD15" s="1248">
        <v>0</v>
      </c>
      <c r="BE15" s="1242"/>
      <c r="BF15" s="1237"/>
      <c r="BG15" s="1248">
        <v>0</v>
      </c>
      <c r="BH15" s="1242"/>
      <c r="BI15" s="1237"/>
      <c r="BJ15" s="1248">
        <v>0</v>
      </c>
      <c r="BK15" s="1242"/>
      <c r="BL15" s="1237"/>
      <c r="BM15" s="1248">
        <v>0</v>
      </c>
      <c r="BN15" s="1242"/>
      <c r="BO15" s="1237"/>
      <c r="BP15" s="1248">
        <v>0</v>
      </c>
      <c r="BQ15" s="1242"/>
      <c r="BR15" s="1237"/>
      <c r="BS15" s="1248">
        <v>0</v>
      </c>
      <c r="BT15" s="1243"/>
      <c r="BU15" s="1237"/>
      <c r="BV15" s="1248">
        <v>0</v>
      </c>
      <c r="BW15" s="1242"/>
      <c r="BX15" s="1237"/>
      <c r="BY15" s="1248">
        <v>0</v>
      </c>
      <c r="BZ15" s="1242"/>
      <c r="CA15" s="1237"/>
      <c r="CB15" s="1248">
        <v>0</v>
      </c>
      <c r="CC15" s="1242"/>
      <c r="CD15" s="1237"/>
      <c r="CE15" s="1248">
        <v>0</v>
      </c>
      <c r="CF15" s="1242"/>
      <c r="CG15" s="1237"/>
      <c r="CH15" s="1248">
        <v>0</v>
      </c>
      <c r="CI15" s="1243">
        <v>150</v>
      </c>
      <c r="CJ15" s="1237">
        <v>-513.83000000000004</v>
      </c>
      <c r="CK15" s="1248">
        <v>0</v>
      </c>
      <c r="CL15" s="1242"/>
      <c r="CM15" s="1237"/>
      <c r="CN15" s="1248">
        <v>0</v>
      </c>
      <c r="CO15" s="1242"/>
      <c r="CP15" s="1237"/>
      <c r="CQ15" s="1248">
        <v>0</v>
      </c>
      <c r="CR15" s="1242"/>
      <c r="CS15" s="1237"/>
      <c r="CT15" s="1248">
        <v>0</v>
      </c>
      <c r="CU15" s="1243"/>
      <c r="CV15" s="1237"/>
      <c r="CW15" s="1248">
        <v>0</v>
      </c>
      <c r="CX15" s="1243"/>
      <c r="CY15" s="1237"/>
      <c r="CZ15" s="1248">
        <v>0</v>
      </c>
      <c r="DA15" s="1242"/>
      <c r="DB15" s="1237"/>
      <c r="DC15" s="1248">
        <v>0</v>
      </c>
      <c r="DD15" s="1242"/>
      <c r="DE15" s="1237"/>
      <c r="DF15" s="1248">
        <v>0</v>
      </c>
      <c r="DG15" s="1242"/>
      <c r="DH15" s="1237"/>
      <c r="DI15" s="1248">
        <v>0</v>
      </c>
      <c r="DJ15" s="1242"/>
      <c r="DK15" s="1237"/>
      <c r="DL15" s="1248">
        <v>0</v>
      </c>
      <c r="DM15" s="1242"/>
      <c r="DN15" s="1237"/>
      <c r="DO15" s="1248">
        <v>0</v>
      </c>
      <c r="DP15" s="1242"/>
      <c r="DQ15" s="1237"/>
      <c r="DR15" s="1248">
        <v>0</v>
      </c>
      <c r="DS15" s="1242"/>
      <c r="DT15" s="1237"/>
      <c r="DU15" s="1248">
        <v>0</v>
      </c>
      <c r="DV15" s="1242"/>
      <c r="DW15" s="1237"/>
      <c r="DX15" s="1248">
        <v>0</v>
      </c>
      <c r="DY15" s="1242"/>
      <c r="DZ15" s="1237"/>
      <c r="EA15" s="1248">
        <v>0</v>
      </c>
      <c r="EB15" s="1242"/>
      <c r="EC15" s="1237"/>
      <c r="ED15" s="1248">
        <v>0</v>
      </c>
      <c r="EE15" s="1242"/>
      <c r="EF15" s="1237"/>
      <c r="EG15" s="1248">
        <v>0</v>
      </c>
      <c r="EH15" s="1242"/>
      <c r="EI15" s="1237"/>
      <c r="EJ15" s="1248">
        <v>0</v>
      </c>
      <c r="EK15" s="1242"/>
      <c r="EL15" s="1237"/>
      <c r="EM15" s="1248">
        <v>0</v>
      </c>
      <c r="EN15" s="1242"/>
      <c r="EO15" s="1237"/>
      <c r="EP15" s="1248">
        <v>0</v>
      </c>
      <c r="EQ15" s="1242"/>
      <c r="ER15" s="1237"/>
      <c r="ES15" s="1248">
        <v>0</v>
      </c>
      <c r="ET15" s="1242"/>
      <c r="EU15" s="1237"/>
      <c r="EV15" s="1248">
        <v>0</v>
      </c>
      <c r="EW15" s="1242"/>
      <c r="EX15" s="1245"/>
      <c r="EY15" s="1248">
        <v>0</v>
      </c>
      <c r="EZ15" s="1242"/>
      <c r="FA15" s="1245"/>
      <c r="FB15" s="1248">
        <v>0</v>
      </c>
      <c r="FC15" s="1242"/>
      <c r="FD15" s="1245"/>
      <c r="FE15" s="1248">
        <v>0</v>
      </c>
      <c r="FF15" s="1242"/>
      <c r="FG15" s="1237"/>
      <c r="FH15" s="1248">
        <v>0</v>
      </c>
      <c r="FI15" s="1242"/>
      <c r="FJ15" s="1237"/>
      <c r="FK15" s="1248">
        <v>0</v>
      </c>
      <c r="FL15" s="1242"/>
      <c r="FM15" s="1237"/>
      <c r="FN15" s="1248">
        <v>0</v>
      </c>
      <c r="FO15" s="1242"/>
      <c r="FP15" s="1237"/>
      <c r="FQ15" s="1248">
        <v>0</v>
      </c>
      <c r="FR15" s="1242"/>
      <c r="FS15" s="1237"/>
      <c r="FT15" s="1248">
        <v>0</v>
      </c>
      <c r="FU15" s="1242"/>
      <c r="FV15" s="1237"/>
      <c r="FW15" s="1248">
        <v>0</v>
      </c>
      <c r="FX15" s="1242"/>
      <c r="FY15" s="1237"/>
      <c r="FZ15" s="1248">
        <v>0</v>
      </c>
      <c r="GA15" s="1242"/>
      <c r="GB15" s="1237"/>
      <c r="GC15" s="1248">
        <v>0</v>
      </c>
      <c r="GD15" s="1242"/>
      <c r="GE15" s="1237"/>
      <c r="GF15" s="1248">
        <v>0</v>
      </c>
      <c r="GG15" s="1242"/>
      <c r="GH15" s="1237"/>
      <c r="GI15" s="1248">
        <v>0</v>
      </c>
      <c r="GJ15" s="1242"/>
      <c r="GK15" s="1237"/>
      <c r="GL15" s="1248">
        <v>0</v>
      </c>
      <c r="GM15" s="1242"/>
      <c r="GN15" s="1237"/>
      <c r="GO15" s="1248">
        <v>0</v>
      </c>
      <c r="GP15" s="1242"/>
      <c r="GQ15" s="1237"/>
      <c r="GR15" s="1248">
        <v>0</v>
      </c>
      <c r="GS15" s="1242"/>
      <c r="GT15" s="1237"/>
      <c r="GU15" s="1248">
        <v>0</v>
      </c>
      <c r="GV15" s="1242"/>
      <c r="GW15" s="1237"/>
      <c r="GX15" s="1248">
        <v>0</v>
      </c>
      <c r="GY15" s="1242"/>
      <c r="GZ15" s="1237"/>
      <c r="HA15" s="1248">
        <v>0</v>
      </c>
      <c r="HB15" s="1242"/>
      <c r="HC15" s="1237"/>
      <c r="HD15" s="1248">
        <v>0</v>
      </c>
      <c r="HE15" s="1242"/>
      <c r="HF15" s="1237"/>
      <c r="HG15" s="1248">
        <v>0</v>
      </c>
      <c r="HH15" s="1243"/>
      <c r="HI15" s="1237"/>
      <c r="HJ15" s="1248">
        <v>0</v>
      </c>
      <c r="HK15" s="1242"/>
      <c r="HL15" s="1237"/>
      <c r="HM15" s="1248">
        <v>0</v>
      </c>
      <c r="HN15" s="1242"/>
      <c r="HO15" s="1237"/>
      <c r="HP15" s="1248">
        <v>0</v>
      </c>
      <c r="HQ15" s="1242"/>
      <c r="HR15" s="1237"/>
      <c r="HS15" s="1248">
        <v>0</v>
      </c>
      <c r="HT15" s="1242"/>
      <c r="HU15" s="1237"/>
      <c r="HV15" s="1248">
        <v>0</v>
      </c>
      <c r="HW15" s="1242"/>
      <c r="HX15" s="1237"/>
      <c r="HY15" s="1248">
        <v>0</v>
      </c>
      <c r="HZ15" s="1242"/>
      <c r="IA15" s="1237"/>
      <c r="IB15" s="1248">
        <v>0</v>
      </c>
      <c r="IC15" s="1242"/>
      <c r="ID15" s="1237"/>
      <c r="IE15" s="1248">
        <v>0</v>
      </c>
      <c r="IF15" s="1242"/>
      <c r="IG15" s="1237"/>
      <c r="IH15" s="1248">
        <v>0</v>
      </c>
      <c r="II15" s="1242"/>
      <c r="IJ15" s="1237"/>
      <c r="IK15" s="1248">
        <v>0</v>
      </c>
      <c r="IL15" s="1242"/>
      <c r="IM15" s="1237"/>
      <c r="IN15" s="1248">
        <v>0</v>
      </c>
      <c r="IO15" s="1242"/>
      <c r="IP15" s="1237"/>
      <c r="IQ15" s="1248">
        <v>0</v>
      </c>
      <c r="IR15" s="1242"/>
      <c r="IS15" s="1237"/>
      <c r="IT15" s="1248">
        <v>0</v>
      </c>
      <c r="IU15" s="1242"/>
      <c r="IV15" s="1237"/>
      <c r="IW15" s="1248">
        <v>0</v>
      </c>
      <c r="IX15" s="1242"/>
      <c r="IY15" s="1237"/>
      <c r="IZ15" s="1248">
        <v>0</v>
      </c>
      <c r="JA15" s="1242"/>
      <c r="JB15" s="1237"/>
      <c r="JC15" s="1248">
        <v>0</v>
      </c>
      <c r="JD15" s="1242"/>
      <c r="JE15" s="1237"/>
      <c r="JF15" s="1248">
        <v>0</v>
      </c>
      <c r="JG15" s="1242"/>
      <c r="JH15" s="1237"/>
      <c r="JI15" s="1248">
        <v>0</v>
      </c>
      <c r="JJ15" s="1242"/>
      <c r="JK15" s="1237"/>
      <c r="JL15" s="1248">
        <v>0</v>
      </c>
      <c r="JM15" s="1242"/>
      <c r="JN15" s="1237"/>
      <c r="JO15" s="1248">
        <v>0</v>
      </c>
      <c r="JP15" s="1242"/>
      <c r="JQ15" s="1237"/>
      <c r="JR15" s="1248"/>
      <c r="JS15" s="1242"/>
      <c r="JT15" s="1237"/>
      <c r="JU15" s="1248" t="s">
        <v>1133</v>
      </c>
      <c r="JV15" s="1249"/>
      <c r="JW15" s="1237"/>
      <c r="JX15" s="1248" t="s">
        <v>1133</v>
      </c>
      <c r="JY15" s="1242"/>
      <c r="JZ15" s="1245"/>
    </row>
    <row r="16" spans="1:301">
      <c r="A16">
        <v>13</v>
      </c>
      <c r="B16" s="1240">
        <v>-72102</v>
      </c>
      <c r="C16" s="1243">
        <v>200</v>
      </c>
      <c r="D16" s="1237">
        <v>-248.52</v>
      </c>
      <c r="E16" s="1240">
        <v>0</v>
      </c>
      <c r="F16" s="1243"/>
      <c r="G16" s="1237"/>
      <c r="H16" s="1240">
        <v>0</v>
      </c>
      <c r="I16" s="1243">
        <v>180000</v>
      </c>
      <c r="J16" s="1237">
        <v>-53.110999999999997</v>
      </c>
      <c r="K16" s="1240">
        <v>-107510</v>
      </c>
      <c r="L16" s="1243">
        <v>500</v>
      </c>
      <c r="M16" s="1237">
        <v>-228.54</v>
      </c>
      <c r="N16" s="1240">
        <v>0</v>
      </c>
      <c r="O16" s="1243"/>
      <c r="P16" s="1237"/>
      <c r="Q16" s="1240">
        <v>-345450</v>
      </c>
      <c r="R16" s="1243">
        <v>100</v>
      </c>
      <c r="S16" s="1237">
        <v>-706.6</v>
      </c>
      <c r="T16" s="1238"/>
      <c r="U16" s="1243"/>
      <c r="V16" s="1238"/>
      <c r="W16" s="1248">
        <v>0</v>
      </c>
      <c r="X16" s="1243"/>
      <c r="Y16" s="1237"/>
      <c r="Z16" s="1248">
        <v>0</v>
      </c>
      <c r="AA16" s="1243"/>
      <c r="AB16" s="1237"/>
      <c r="AC16" s="1248">
        <v>0</v>
      </c>
      <c r="AD16" s="1242"/>
      <c r="AE16" s="1237"/>
      <c r="AF16" s="1248">
        <v>0</v>
      </c>
      <c r="AG16" s="1242"/>
      <c r="AH16" s="1237"/>
      <c r="AI16" s="1248">
        <v>0</v>
      </c>
      <c r="AJ16" s="1242"/>
      <c r="AK16" s="1237"/>
      <c r="AL16" s="1248">
        <v>0</v>
      </c>
      <c r="AM16" s="1242"/>
      <c r="AN16" s="1237"/>
      <c r="AO16" s="1248">
        <v>0</v>
      </c>
      <c r="AP16" s="1242"/>
      <c r="AQ16" s="1237"/>
      <c r="AR16" s="1248">
        <v>0</v>
      </c>
      <c r="AS16" s="1242"/>
      <c r="AT16" s="1237"/>
      <c r="AU16" s="1248">
        <v>0</v>
      </c>
      <c r="AV16" s="1242"/>
      <c r="AW16" s="1237"/>
      <c r="AX16" s="1248">
        <v>0</v>
      </c>
      <c r="AY16" s="1242"/>
      <c r="AZ16" s="1237"/>
      <c r="BA16" s="1248">
        <v>0</v>
      </c>
      <c r="BB16" s="1242"/>
      <c r="BC16" s="1237"/>
      <c r="BD16" s="1248">
        <v>0</v>
      </c>
      <c r="BE16" s="1242"/>
      <c r="BF16" s="1237"/>
      <c r="BG16" s="1248">
        <v>0</v>
      </c>
      <c r="BH16" s="1242"/>
      <c r="BI16" s="1237"/>
      <c r="BJ16" s="1248">
        <v>0</v>
      </c>
      <c r="BK16" s="1242"/>
      <c r="BL16" s="1237"/>
      <c r="BM16" s="1248">
        <v>0</v>
      </c>
      <c r="BN16" s="1242"/>
      <c r="BO16" s="1237"/>
      <c r="BP16" s="1248">
        <v>0</v>
      </c>
      <c r="BQ16" s="1242"/>
      <c r="BR16" s="1237"/>
      <c r="BS16" s="1248">
        <v>0</v>
      </c>
      <c r="BT16" s="1242"/>
      <c r="BU16" s="1237"/>
      <c r="BV16" s="1248">
        <v>0</v>
      </c>
      <c r="BW16" s="1242"/>
      <c r="BX16" s="1237"/>
      <c r="BY16" s="1248">
        <v>0</v>
      </c>
      <c r="BZ16" s="1242"/>
      <c r="CA16" s="1237"/>
      <c r="CB16" s="1248">
        <v>0</v>
      </c>
      <c r="CC16" s="1242"/>
      <c r="CD16" s="1237"/>
      <c r="CE16" s="1248">
        <v>0</v>
      </c>
      <c r="CF16" s="1242"/>
      <c r="CG16" s="1237"/>
      <c r="CH16" s="1248">
        <v>0</v>
      </c>
      <c r="CI16" s="1243"/>
      <c r="CJ16" s="1237"/>
      <c r="CK16" s="1248">
        <v>0</v>
      </c>
      <c r="CL16" s="1242"/>
      <c r="CM16" s="1237"/>
      <c r="CN16" s="1248">
        <v>0</v>
      </c>
      <c r="CO16" s="1242"/>
      <c r="CP16" s="1237"/>
      <c r="CQ16" s="1248">
        <v>0</v>
      </c>
      <c r="CR16" s="1242"/>
      <c r="CS16" s="1237"/>
      <c r="CT16" s="1248">
        <v>0</v>
      </c>
      <c r="CU16" s="1243"/>
      <c r="CV16" s="1237"/>
      <c r="CW16" s="1248">
        <v>0</v>
      </c>
      <c r="CX16" s="1242"/>
      <c r="CY16" s="1237"/>
      <c r="CZ16" s="1248">
        <v>0</v>
      </c>
      <c r="DA16" s="1242"/>
      <c r="DB16" s="1237"/>
      <c r="DC16" s="1248">
        <v>0</v>
      </c>
      <c r="DD16" s="1242"/>
      <c r="DE16" s="1237"/>
      <c r="DF16" s="1248">
        <v>0</v>
      </c>
      <c r="DG16" s="1242"/>
      <c r="DH16" s="1237"/>
      <c r="DI16" s="1248">
        <v>0</v>
      </c>
      <c r="DJ16" s="1242"/>
      <c r="DK16" s="1237"/>
      <c r="DL16" s="1248">
        <v>0</v>
      </c>
      <c r="DM16" s="1242"/>
      <c r="DN16" s="1237"/>
      <c r="DO16" s="1248">
        <v>0</v>
      </c>
      <c r="DP16" s="1242"/>
      <c r="DQ16" s="1237"/>
      <c r="DR16" s="1248">
        <v>0</v>
      </c>
      <c r="DS16" s="1242"/>
      <c r="DT16" s="1237"/>
      <c r="DU16" s="1248">
        <v>0</v>
      </c>
      <c r="DV16" s="1242"/>
      <c r="DW16" s="1237"/>
      <c r="DX16" s="1248">
        <v>0</v>
      </c>
      <c r="DY16" s="1242"/>
      <c r="DZ16" s="1237"/>
      <c r="EA16" s="1248">
        <v>0</v>
      </c>
      <c r="EB16" s="1242"/>
      <c r="EC16" s="1237"/>
      <c r="ED16" s="1248">
        <v>0</v>
      </c>
      <c r="EE16" s="1242"/>
      <c r="EF16" s="1237"/>
      <c r="EG16" s="1248">
        <v>0</v>
      </c>
      <c r="EH16" s="1242"/>
      <c r="EI16" s="1237"/>
      <c r="EJ16" s="1248">
        <v>0</v>
      </c>
      <c r="EK16" s="1242"/>
      <c r="EL16" s="1237"/>
      <c r="EM16" s="1248">
        <v>0</v>
      </c>
      <c r="EN16" s="1242"/>
      <c r="EO16" s="1237"/>
      <c r="EP16" s="1248">
        <v>0</v>
      </c>
      <c r="EQ16" s="1242"/>
      <c r="ER16" s="1237"/>
      <c r="ES16" s="1248">
        <v>0</v>
      </c>
      <c r="ET16" s="1242"/>
      <c r="EU16" s="1237"/>
      <c r="EV16" s="1248">
        <v>0</v>
      </c>
      <c r="EW16" s="1242"/>
      <c r="EX16" s="1245"/>
      <c r="EY16" s="1248">
        <v>0</v>
      </c>
      <c r="EZ16" s="1242"/>
      <c r="FA16" s="1245"/>
      <c r="FB16" s="1248">
        <v>0</v>
      </c>
      <c r="FC16" s="1242"/>
      <c r="FD16" s="1245"/>
      <c r="FE16" s="1248">
        <v>0</v>
      </c>
      <c r="FF16" s="1242"/>
      <c r="FG16" s="1237"/>
      <c r="FH16" s="1248">
        <v>0</v>
      </c>
      <c r="FI16" s="1242"/>
      <c r="FJ16" s="1237"/>
      <c r="FK16" s="1248">
        <v>0</v>
      </c>
      <c r="FL16" s="1242"/>
      <c r="FM16" s="1237"/>
      <c r="FN16" s="1248">
        <v>0</v>
      </c>
      <c r="FO16" s="1242"/>
      <c r="FP16" s="1237"/>
      <c r="FQ16" s="1248">
        <v>0</v>
      </c>
      <c r="FR16" s="1242"/>
      <c r="FS16" s="1237"/>
      <c r="FT16" s="1248">
        <v>0</v>
      </c>
      <c r="FU16" s="1242"/>
      <c r="FV16" s="1237"/>
      <c r="FW16" s="1248">
        <v>0</v>
      </c>
      <c r="FX16" s="1242"/>
      <c r="FY16" s="1237"/>
      <c r="FZ16" s="1248">
        <v>0</v>
      </c>
      <c r="GA16" s="1242"/>
      <c r="GB16" s="1237"/>
      <c r="GC16" s="1248">
        <v>0</v>
      </c>
      <c r="GD16" s="1242"/>
      <c r="GE16" s="1237"/>
      <c r="GF16" s="1248">
        <v>0</v>
      </c>
      <c r="GG16" s="1242"/>
      <c r="GH16" s="1237"/>
      <c r="GI16" s="1248">
        <v>0</v>
      </c>
      <c r="GJ16" s="1242"/>
      <c r="GK16" s="1237"/>
      <c r="GL16" s="1248">
        <v>0</v>
      </c>
      <c r="GM16" s="1242"/>
      <c r="GN16" s="1237"/>
      <c r="GO16" s="1248">
        <v>0</v>
      </c>
      <c r="GP16" s="1242"/>
      <c r="GQ16" s="1237"/>
      <c r="GR16" s="1248">
        <v>0</v>
      </c>
      <c r="GS16" s="1242"/>
      <c r="GT16" s="1237"/>
      <c r="GU16" s="1248">
        <v>0</v>
      </c>
      <c r="GV16" s="1242"/>
      <c r="GW16" s="1237"/>
      <c r="GX16" s="1248">
        <v>0</v>
      </c>
      <c r="GY16" s="1242"/>
      <c r="GZ16" s="1237"/>
      <c r="HA16" s="1248">
        <v>0</v>
      </c>
      <c r="HB16" s="1242"/>
      <c r="HC16" s="1237"/>
      <c r="HD16" s="1248">
        <v>0</v>
      </c>
      <c r="HE16" s="1242"/>
      <c r="HF16" s="1237"/>
      <c r="HG16" s="1248">
        <v>0</v>
      </c>
      <c r="HH16" s="1242"/>
      <c r="HI16" s="1237"/>
      <c r="HJ16" s="1248">
        <v>0</v>
      </c>
      <c r="HK16" s="1242"/>
      <c r="HL16" s="1237"/>
      <c r="HM16" s="1248">
        <v>0</v>
      </c>
      <c r="HN16" s="1242"/>
      <c r="HO16" s="1237"/>
      <c r="HP16" s="1248">
        <v>0</v>
      </c>
      <c r="HQ16" s="1242"/>
      <c r="HR16" s="1237"/>
      <c r="HS16" s="1248">
        <v>0</v>
      </c>
      <c r="HT16" s="1242"/>
      <c r="HU16" s="1237"/>
      <c r="HV16" s="1248">
        <v>0</v>
      </c>
      <c r="HW16" s="1242"/>
      <c r="HX16" s="1237"/>
      <c r="HY16" s="1248">
        <v>0</v>
      </c>
      <c r="HZ16" s="1242"/>
      <c r="IA16" s="1237"/>
      <c r="IB16" s="1248">
        <v>0</v>
      </c>
      <c r="IC16" s="1242"/>
      <c r="ID16" s="1237"/>
      <c r="IE16" s="1248">
        <v>0</v>
      </c>
      <c r="IF16" s="1242"/>
      <c r="IG16" s="1237"/>
      <c r="IH16" s="1248">
        <v>0</v>
      </c>
      <c r="II16" s="1242"/>
      <c r="IJ16" s="1237"/>
      <c r="IK16" s="1248">
        <v>0</v>
      </c>
      <c r="IL16" s="1242"/>
      <c r="IM16" s="1237"/>
      <c r="IN16" s="1248">
        <v>0</v>
      </c>
      <c r="IO16" s="1242"/>
      <c r="IP16" s="1237"/>
      <c r="IQ16" s="1248">
        <v>0</v>
      </c>
      <c r="IR16" s="1242"/>
      <c r="IS16" s="1237"/>
      <c r="IT16" s="1248">
        <v>0</v>
      </c>
      <c r="IU16" s="1242"/>
      <c r="IV16" s="1237"/>
      <c r="IW16" s="1248">
        <v>0</v>
      </c>
      <c r="IX16" s="1242"/>
      <c r="IY16" s="1237"/>
      <c r="IZ16" s="1248">
        <v>0</v>
      </c>
      <c r="JA16" s="1242"/>
      <c r="JB16" s="1237"/>
      <c r="JC16" s="1248">
        <v>0</v>
      </c>
      <c r="JD16" s="1242"/>
      <c r="JE16" s="1237"/>
      <c r="JF16" s="1248">
        <v>0</v>
      </c>
      <c r="JG16" s="1242"/>
      <c r="JH16" s="1237"/>
      <c r="JI16" s="1248">
        <v>0</v>
      </c>
      <c r="JJ16" s="1242"/>
      <c r="JK16" s="1237"/>
      <c r="JL16" s="1248">
        <v>0</v>
      </c>
      <c r="JM16" s="1242"/>
      <c r="JN16" s="1237"/>
      <c r="JO16" s="1248">
        <v>0</v>
      </c>
      <c r="JP16" s="1242"/>
      <c r="JQ16" s="1237"/>
      <c r="JR16" s="1248"/>
      <c r="JS16" s="1242"/>
      <c r="JT16" s="1237"/>
      <c r="JU16" s="1248" t="s">
        <v>1133</v>
      </c>
      <c r="JV16" s="1249"/>
      <c r="JW16" s="1237"/>
      <c r="JX16" s="1248" t="s">
        <v>1133</v>
      </c>
      <c r="JY16" s="1242"/>
      <c r="JZ16" s="1245"/>
    </row>
    <row r="17" spans="1:286">
      <c r="A17">
        <v>14</v>
      </c>
      <c r="B17" s="1240">
        <v>0</v>
      </c>
      <c r="C17" s="1243"/>
      <c r="D17" s="1237"/>
      <c r="E17" s="1240">
        <v>0</v>
      </c>
      <c r="F17" s="1242"/>
      <c r="G17" s="1237"/>
      <c r="H17" s="1240">
        <v>0</v>
      </c>
      <c r="I17" s="1243"/>
      <c r="J17" s="1237"/>
      <c r="K17" s="1240">
        <v>-96952.5</v>
      </c>
      <c r="L17" s="1243">
        <v>450</v>
      </c>
      <c r="M17" s="1237">
        <v>-228.95</v>
      </c>
      <c r="N17" s="1240">
        <v>0</v>
      </c>
      <c r="O17" s="1243"/>
      <c r="P17" s="1237"/>
      <c r="Q17" s="1240">
        <v>-139100</v>
      </c>
      <c r="R17" s="1243">
        <v>100</v>
      </c>
      <c r="S17" s="1237">
        <v>-717.1</v>
      </c>
      <c r="T17" s="1238"/>
      <c r="U17" s="1243"/>
      <c r="V17" s="1238"/>
      <c r="W17" s="1248">
        <v>0</v>
      </c>
      <c r="X17" s="1243"/>
      <c r="Y17" s="1237"/>
      <c r="Z17" s="1248">
        <v>0</v>
      </c>
      <c r="AA17" s="1243"/>
      <c r="AB17" s="1237"/>
      <c r="AC17" s="1248">
        <v>0</v>
      </c>
      <c r="AD17" s="1242"/>
      <c r="AE17" s="1237"/>
      <c r="AF17" s="1248">
        <v>0</v>
      </c>
      <c r="AG17" s="1242"/>
      <c r="AH17" s="1237"/>
      <c r="AI17" s="1248">
        <v>0</v>
      </c>
      <c r="AJ17" s="1242"/>
      <c r="AK17" s="1237"/>
      <c r="AL17" s="1248">
        <v>0</v>
      </c>
      <c r="AM17" s="1242"/>
      <c r="AN17" s="1237"/>
      <c r="AO17" s="1248">
        <v>0</v>
      </c>
      <c r="AP17" s="1242"/>
      <c r="AQ17" s="1237"/>
      <c r="AR17" s="1248">
        <v>0</v>
      </c>
      <c r="AS17" s="1242"/>
      <c r="AT17" s="1237"/>
      <c r="AU17" s="1248">
        <v>0</v>
      </c>
      <c r="AV17" s="1242"/>
      <c r="AW17" s="1237"/>
      <c r="AX17" s="1248">
        <v>0</v>
      </c>
      <c r="AY17" s="1242"/>
      <c r="AZ17" s="1237"/>
      <c r="BA17" s="1248">
        <v>0</v>
      </c>
      <c r="BB17" s="1242"/>
      <c r="BC17" s="1237"/>
      <c r="BD17" s="1248">
        <v>0</v>
      </c>
      <c r="BE17" s="1242"/>
      <c r="BF17" s="1237"/>
      <c r="BG17" s="1248">
        <v>0</v>
      </c>
      <c r="BH17" s="1242"/>
      <c r="BI17" s="1237"/>
      <c r="BJ17" s="1248">
        <v>0</v>
      </c>
      <c r="BK17" s="1242"/>
      <c r="BL17" s="1237"/>
      <c r="BM17" s="1248">
        <v>0</v>
      </c>
      <c r="BN17" s="1242"/>
      <c r="BO17" s="1237"/>
      <c r="BP17" s="1248">
        <v>0</v>
      </c>
      <c r="BQ17" s="1242"/>
      <c r="BR17" s="1237"/>
      <c r="BS17" s="1248">
        <v>0</v>
      </c>
      <c r="BT17" s="1242"/>
      <c r="BU17" s="1237"/>
      <c r="BV17" s="1248">
        <v>0</v>
      </c>
      <c r="BW17" s="1242"/>
      <c r="BX17" s="1237"/>
      <c r="BY17" s="1248">
        <v>0</v>
      </c>
      <c r="BZ17" s="1242"/>
      <c r="CA17" s="1237"/>
      <c r="CB17" s="1248">
        <v>0</v>
      </c>
      <c r="CC17" s="1242"/>
      <c r="CD17" s="1237"/>
      <c r="CE17" s="1248">
        <v>0</v>
      </c>
      <c r="CF17" s="1242"/>
      <c r="CG17" s="1237"/>
      <c r="CH17" s="1248">
        <v>0</v>
      </c>
      <c r="CI17" s="1243"/>
      <c r="CJ17" s="1237"/>
      <c r="CK17" s="1248">
        <v>0</v>
      </c>
      <c r="CL17" s="1242"/>
      <c r="CM17" s="1237"/>
      <c r="CN17" s="1248">
        <v>0</v>
      </c>
      <c r="CO17" s="1242"/>
      <c r="CP17" s="1237"/>
      <c r="CQ17" s="1248">
        <v>0</v>
      </c>
      <c r="CR17" s="1242"/>
      <c r="CS17" s="1237"/>
      <c r="CT17" s="1248">
        <v>0</v>
      </c>
      <c r="CU17" s="1243"/>
      <c r="CV17" s="1237"/>
      <c r="CW17" s="1248">
        <v>0</v>
      </c>
      <c r="CX17" s="1242"/>
      <c r="CY17" s="1237"/>
      <c r="CZ17" s="1248">
        <v>0</v>
      </c>
      <c r="DA17" s="1242"/>
      <c r="DB17" s="1237"/>
      <c r="DC17" s="1248">
        <v>0</v>
      </c>
      <c r="DD17" s="1242"/>
      <c r="DE17" s="1237"/>
      <c r="DF17" s="1248">
        <v>0</v>
      </c>
      <c r="DG17" s="1242"/>
      <c r="DH17" s="1237"/>
      <c r="DI17" s="1248">
        <v>0</v>
      </c>
      <c r="DJ17" s="1242"/>
      <c r="DK17" s="1237"/>
      <c r="DL17" s="1248">
        <v>0</v>
      </c>
      <c r="DM17" s="1242"/>
      <c r="DN17" s="1237"/>
      <c r="DO17" s="1248">
        <v>0</v>
      </c>
      <c r="DP17" s="1242"/>
      <c r="DQ17" s="1237"/>
      <c r="DR17" s="1248">
        <v>0</v>
      </c>
      <c r="DS17" s="1242"/>
      <c r="DT17" s="1237"/>
      <c r="DU17" s="1248">
        <v>0</v>
      </c>
      <c r="DV17" s="1242"/>
      <c r="DW17" s="1237"/>
      <c r="DX17" s="1248">
        <v>0</v>
      </c>
      <c r="DY17" s="1242"/>
      <c r="DZ17" s="1237"/>
      <c r="EA17" s="1248">
        <v>0</v>
      </c>
      <c r="EB17" s="1242"/>
      <c r="EC17" s="1237"/>
      <c r="ED17" s="1248">
        <v>0</v>
      </c>
      <c r="EE17" s="1242"/>
      <c r="EF17" s="1237"/>
      <c r="EG17" s="1248">
        <v>0</v>
      </c>
      <c r="EH17" s="1242"/>
      <c r="EI17" s="1237"/>
      <c r="EJ17" s="1248">
        <v>0</v>
      </c>
      <c r="EK17" s="1242"/>
      <c r="EL17" s="1237"/>
      <c r="EM17" s="1248">
        <v>0</v>
      </c>
      <c r="EN17" s="1242"/>
      <c r="EO17" s="1237"/>
      <c r="EP17" s="1248">
        <v>0</v>
      </c>
      <c r="EQ17" s="1242"/>
      <c r="ER17" s="1237"/>
      <c r="ES17" s="1248">
        <v>0</v>
      </c>
      <c r="ET17" s="1242"/>
      <c r="EU17" s="1237"/>
      <c r="EV17" s="1248">
        <v>0</v>
      </c>
      <c r="EW17" s="1242"/>
      <c r="EX17" s="1245"/>
      <c r="EY17" s="1248">
        <v>0</v>
      </c>
      <c r="EZ17" s="1242"/>
      <c r="FA17" s="1245"/>
      <c r="FB17" s="1248">
        <v>0</v>
      </c>
      <c r="FC17" s="1242"/>
      <c r="FD17" s="1245"/>
      <c r="FE17" s="1248">
        <v>0</v>
      </c>
      <c r="FF17" s="1242"/>
      <c r="FG17" s="1237"/>
      <c r="FH17" s="1248">
        <v>0</v>
      </c>
      <c r="FI17" s="1242"/>
      <c r="FJ17" s="1237"/>
      <c r="FK17" s="1248">
        <v>0</v>
      </c>
      <c r="FL17" s="1242"/>
      <c r="FM17" s="1237"/>
      <c r="FN17" s="1248">
        <v>0</v>
      </c>
      <c r="FO17" s="1242"/>
      <c r="FP17" s="1237"/>
      <c r="FQ17" s="1248">
        <v>0</v>
      </c>
      <c r="FR17" s="1242"/>
      <c r="FS17" s="1237"/>
      <c r="FT17" s="1248">
        <v>0</v>
      </c>
      <c r="FU17" s="1242"/>
      <c r="FV17" s="1237"/>
      <c r="FW17" s="1248">
        <v>0</v>
      </c>
      <c r="FX17" s="1242"/>
      <c r="FY17" s="1237"/>
      <c r="FZ17" s="1248">
        <v>0</v>
      </c>
      <c r="GA17" s="1242"/>
      <c r="GB17" s="1237"/>
      <c r="GC17" s="1248">
        <v>0</v>
      </c>
      <c r="GD17" s="1242"/>
      <c r="GE17" s="1237"/>
      <c r="GF17" s="1248">
        <v>0</v>
      </c>
      <c r="GG17" s="1242"/>
      <c r="GH17" s="1237"/>
      <c r="GI17" s="1248">
        <v>0</v>
      </c>
      <c r="GJ17" s="1242"/>
      <c r="GK17" s="1237"/>
      <c r="GL17" s="1248">
        <v>0</v>
      </c>
      <c r="GM17" s="1242"/>
      <c r="GN17" s="1237"/>
      <c r="GO17" s="1248">
        <v>0</v>
      </c>
      <c r="GP17" s="1242"/>
      <c r="GQ17" s="1237"/>
      <c r="GR17" s="1248">
        <v>0</v>
      </c>
      <c r="GS17" s="1242"/>
      <c r="GT17" s="1237"/>
      <c r="GU17" s="1248">
        <v>0</v>
      </c>
      <c r="GV17" s="1242"/>
      <c r="GW17" s="1237"/>
      <c r="GX17" s="1248">
        <v>0</v>
      </c>
      <c r="GY17" s="1242"/>
      <c r="GZ17" s="1237"/>
      <c r="HA17" s="1248">
        <v>0</v>
      </c>
      <c r="HB17" s="1242"/>
      <c r="HC17" s="1237"/>
      <c r="HD17" s="1248">
        <v>0</v>
      </c>
      <c r="HE17" s="1242"/>
      <c r="HF17" s="1237"/>
      <c r="HG17" s="1248">
        <v>0</v>
      </c>
      <c r="HH17" s="1242"/>
      <c r="HI17" s="1237"/>
      <c r="HJ17" s="1248">
        <v>0</v>
      </c>
      <c r="HK17" s="1242"/>
      <c r="HL17" s="1237"/>
      <c r="HM17" s="1248">
        <v>0</v>
      </c>
      <c r="HN17" s="1242"/>
      <c r="HO17" s="1237"/>
      <c r="HP17" s="1248">
        <v>0</v>
      </c>
      <c r="HQ17" s="1242"/>
      <c r="HR17" s="1237"/>
      <c r="HS17" s="1248">
        <v>0</v>
      </c>
      <c r="HT17" s="1242"/>
      <c r="HU17" s="1237"/>
      <c r="HV17" s="1248">
        <v>0</v>
      </c>
      <c r="HW17" s="1242"/>
      <c r="HX17" s="1237"/>
      <c r="HY17" s="1248">
        <v>0</v>
      </c>
      <c r="HZ17" s="1242"/>
      <c r="IA17" s="1237"/>
      <c r="IB17" s="1248">
        <v>0</v>
      </c>
      <c r="IC17" s="1242"/>
      <c r="ID17" s="1237"/>
      <c r="IE17" s="1248">
        <v>0</v>
      </c>
      <c r="IF17" s="1242"/>
      <c r="IG17" s="1237"/>
      <c r="IH17" s="1248">
        <v>0</v>
      </c>
      <c r="II17" s="1242"/>
      <c r="IJ17" s="1237"/>
      <c r="IK17" s="1248">
        <v>0</v>
      </c>
      <c r="IL17" s="1242"/>
      <c r="IM17" s="1237"/>
      <c r="IN17" s="1248">
        <v>0</v>
      </c>
      <c r="IO17" s="1242"/>
      <c r="IP17" s="1237"/>
      <c r="IQ17" s="1248">
        <v>0</v>
      </c>
      <c r="IR17" s="1242"/>
      <c r="IS17" s="1237"/>
      <c r="IT17" s="1248">
        <v>0</v>
      </c>
      <c r="IU17" s="1242"/>
      <c r="IV17" s="1237"/>
      <c r="IW17" s="1248">
        <v>0</v>
      </c>
      <c r="IX17" s="1242"/>
      <c r="IY17" s="1237"/>
      <c r="IZ17" s="1248">
        <v>0</v>
      </c>
      <c r="JA17" s="1242"/>
      <c r="JB17" s="1237"/>
      <c r="JC17" s="1248">
        <v>0</v>
      </c>
      <c r="JD17" s="1242"/>
      <c r="JE17" s="1237"/>
      <c r="JF17" s="1248">
        <v>0</v>
      </c>
      <c r="JG17" s="1242"/>
      <c r="JH17" s="1237"/>
      <c r="JI17" s="1248">
        <v>0</v>
      </c>
      <c r="JJ17" s="1242"/>
      <c r="JK17" s="1237"/>
      <c r="JL17" s="1248">
        <v>0</v>
      </c>
      <c r="JM17" s="1242"/>
      <c r="JN17" s="1237"/>
      <c r="JO17" s="1248">
        <v>0</v>
      </c>
      <c r="JP17" s="1242"/>
      <c r="JQ17" s="1237"/>
      <c r="JR17" s="1248"/>
      <c r="JS17" s="1242"/>
      <c r="JT17" s="1237"/>
      <c r="JU17" s="1248" t="s">
        <v>1133</v>
      </c>
      <c r="JV17" s="1249"/>
      <c r="JW17" s="1237"/>
      <c r="JX17" s="1248" t="s">
        <v>1133</v>
      </c>
      <c r="JY17" s="1242"/>
      <c r="JZ17" s="1245"/>
    </row>
    <row r="18" spans="1:286">
      <c r="A18">
        <v>15</v>
      </c>
      <c r="B18" s="1240">
        <v>0</v>
      </c>
      <c r="C18" s="1243"/>
      <c r="D18" s="1237"/>
      <c r="E18" s="1240">
        <v>0</v>
      </c>
      <c r="F18" s="1242"/>
      <c r="G18" s="1237"/>
      <c r="H18" s="1240">
        <v>0</v>
      </c>
      <c r="I18" s="1243"/>
      <c r="J18" s="1237"/>
      <c r="K18" s="1240">
        <v>-89820</v>
      </c>
      <c r="L18" s="1243">
        <v>400</v>
      </c>
      <c r="M18" s="1237">
        <v>-229.005</v>
      </c>
      <c r="N18" s="1240">
        <v>0</v>
      </c>
      <c r="O18" s="1243"/>
      <c r="P18" s="1237"/>
      <c r="Q18" s="1240">
        <v>-70105</v>
      </c>
      <c r="R18" s="1243">
        <v>100</v>
      </c>
      <c r="S18" s="1237">
        <v>-724.24</v>
      </c>
      <c r="T18" s="1238"/>
      <c r="U18" s="1243"/>
      <c r="V18" s="1238"/>
      <c r="W18" s="1248">
        <v>0</v>
      </c>
      <c r="X18" s="1243"/>
      <c r="Y18" s="1237"/>
      <c r="Z18" s="1248">
        <v>0</v>
      </c>
      <c r="AA18" s="1243"/>
      <c r="AB18" s="1237"/>
      <c r="AC18" s="1248">
        <v>0</v>
      </c>
      <c r="AD18" s="1242"/>
      <c r="AE18" s="1237"/>
      <c r="AF18" s="1248">
        <v>0</v>
      </c>
      <c r="AG18" s="1242"/>
      <c r="AH18" s="1237"/>
      <c r="AI18" s="1248">
        <v>0</v>
      </c>
      <c r="AJ18" s="1242"/>
      <c r="AK18" s="1237"/>
      <c r="AL18" s="1248">
        <v>0</v>
      </c>
      <c r="AM18" s="1242"/>
      <c r="AN18" s="1237"/>
      <c r="AO18" s="1248">
        <v>0</v>
      </c>
      <c r="AP18" s="1242"/>
      <c r="AQ18" s="1237"/>
      <c r="AR18" s="1248">
        <v>0</v>
      </c>
      <c r="AS18" s="1242"/>
      <c r="AT18" s="1237"/>
      <c r="AU18" s="1248">
        <v>0</v>
      </c>
      <c r="AV18" s="1242"/>
      <c r="AW18" s="1237"/>
      <c r="AX18" s="1248">
        <v>0</v>
      </c>
      <c r="AY18" s="1242"/>
      <c r="AZ18" s="1237"/>
      <c r="BA18" s="1248">
        <v>0</v>
      </c>
      <c r="BB18" s="1242"/>
      <c r="BC18" s="1237"/>
      <c r="BD18" s="1248">
        <v>0</v>
      </c>
      <c r="BE18" s="1242"/>
      <c r="BF18" s="1237"/>
      <c r="BG18" s="1248">
        <v>0</v>
      </c>
      <c r="BH18" s="1242"/>
      <c r="BI18" s="1237"/>
      <c r="BJ18" s="1248">
        <v>0</v>
      </c>
      <c r="BK18" s="1242"/>
      <c r="BL18" s="1237"/>
      <c r="BM18" s="1248">
        <v>0</v>
      </c>
      <c r="BN18" s="1242"/>
      <c r="BO18" s="1237"/>
      <c r="BP18" s="1248">
        <v>0</v>
      </c>
      <c r="BQ18" s="1242"/>
      <c r="BR18" s="1237"/>
      <c r="BS18" s="1248">
        <v>0</v>
      </c>
      <c r="BT18" s="1242"/>
      <c r="BU18" s="1237"/>
      <c r="BV18" s="1248">
        <v>0</v>
      </c>
      <c r="BW18" s="1242"/>
      <c r="BX18" s="1237"/>
      <c r="BY18" s="1248">
        <v>0</v>
      </c>
      <c r="BZ18" s="1242"/>
      <c r="CA18" s="1237"/>
      <c r="CB18" s="1248">
        <v>0</v>
      </c>
      <c r="CC18" s="1242"/>
      <c r="CD18" s="1237"/>
      <c r="CE18" s="1248">
        <v>0</v>
      </c>
      <c r="CF18" s="1242"/>
      <c r="CG18" s="1237"/>
      <c r="CH18" s="1248">
        <v>0</v>
      </c>
      <c r="CI18" s="1243"/>
      <c r="CJ18" s="1237"/>
      <c r="CK18" s="1248">
        <v>0</v>
      </c>
      <c r="CL18" s="1242"/>
      <c r="CM18" s="1237"/>
      <c r="CN18" s="1248">
        <v>0</v>
      </c>
      <c r="CO18" s="1242"/>
      <c r="CP18" s="1237"/>
      <c r="CQ18" s="1248">
        <v>0</v>
      </c>
      <c r="CR18" s="1242"/>
      <c r="CS18" s="1237"/>
      <c r="CT18" s="1248">
        <v>0</v>
      </c>
      <c r="CU18" s="1243"/>
      <c r="CV18" s="1237"/>
      <c r="CW18" s="1248">
        <v>0</v>
      </c>
      <c r="CX18" s="1242"/>
      <c r="CY18" s="1237"/>
      <c r="CZ18" s="1248">
        <v>0</v>
      </c>
      <c r="DA18" s="1242"/>
      <c r="DB18" s="1237"/>
      <c r="DC18" s="1248">
        <v>0</v>
      </c>
      <c r="DD18" s="1242"/>
      <c r="DE18" s="1237"/>
      <c r="DF18" s="1248">
        <v>0</v>
      </c>
      <c r="DG18" s="1242"/>
      <c r="DH18" s="1237"/>
      <c r="DI18" s="1248">
        <v>0</v>
      </c>
      <c r="DJ18" s="1242"/>
      <c r="DK18" s="1237"/>
      <c r="DL18" s="1248">
        <v>0</v>
      </c>
      <c r="DM18" s="1242"/>
      <c r="DN18" s="1237"/>
      <c r="DO18" s="1248">
        <v>0</v>
      </c>
      <c r="DP18" s="1242"/>
      <c r="DQ18" s="1237"/>
      <c r="DR18" s="1248">
        <v>0</v>
      </c>
      <c r="DS18" s="1242"/>
      <c r="DT18" s="1237"/>
      <c r="DU18" s="1248">
        <v>0</v>
      </c>
      <c r="DV18" s="1242"/>
      <c r="DW18" s="1237"/>
      <c r="DX18" s="1248">
        <v>0</v>
      </c>
      <c r="DY18" s="1242"/>
      <c r="DZ18" s="1237"/>
      <c r="EA18" s="1248">
        <v>0</v>
      </c>
      <c r="EB18" s="1242"/>
      <c r="EC18" s="1237"/>
      <c r="ED18" s="1248">
        <v>0</v>
      </c>
      <c r="EE18" s="1242"/>
      <c r="EF18" s="1237"/>
      <c r="EG18" s="1248">
        <v>0</v>
      </c>
      <c r="EH18" s="1242"/>
      <c r="EI18" s="1237"/>
      <c r="EJ18" s="1248">
        <v>0</v>
      </c>
      <c r="EK18" s="1242"/>
      <c r="EL18" s="1237"/>
      <c r="EM18" s="1248">
        <v>0</v>
      </c>
      <c r="EN18" s="1242"/>
      <c r="EO18" s="1237"/>
      <c r="EP18" s="1248">
        <v>0</v>
      </c>
      <c r="EQ18" s="1242"/>
      <c r="ER18" s="1237"/>
      <c r="ES18" s="1248">
        <v>0</v>
      </c>
      <c r="ET18" s="1242"/>
      <c r="EU18" s="1237"/>
      <c r="EV18" s="1248">
        <v>0</v>
      </c>
      <c r="EW18" s="1242"/>
      <c r="EX18" s="1245"/>
      <c r="EY18" s="1248">
        <v>0</v>
      </c>
      <c r="EZ18" s="1242"/>
      <c r="FA18" s="1245"/>
      <c r="FB18" s="1248">
        <v>0</v>
      </c>
      <c r="FC18" s="1242"/>
      <c r="FD18" s="1245"/>
      <c r="FE18" s="1248">
        <v>0</v>
      </c>
      <c r="FF18" s="1242"/>
      <c r="FG18" s="1237"/>
      <c r="FH18" s="1248">
        <v>0</v>
      </c>
      <c r="FI18" s="1242"/>
      <c r="FJ18" s="1237"/>
      <c r="FK18" s="1248">
        <v>0</v>
      </c>
      <c r="FL18" s="1242"/>
      <c r="FM18" s="1237"/>
      <c r="FN18" s="1248">
        <v>0</v>
      </c>
      <c r="FO18" s="1242"/>
      <c r="FP18" s="1237"/>
      <c r="FQ18" s="1248">
        <v>0</v>
      </c>
      <c r="FR18" s="1242"/>
      <c r="FS18" s="1237"/>
      <c r="FT18" s="1248">
        <v>0</v>
      </c>
      <c r="FU18" s="1242"/>
      <c r="FV18" s="1237"/>
      <c r="FW18" s="1248">
        <v>0</v>
      </c>
      <c r="FX18" s="1242"/>
      <c r="FY18" s="1237"/>
      <c r="FZ18" s="1248">
        <v>0</v>
      </c>
      <c r="GA18" s="1242"/>
      <c r="GB18" s="1237"/>
      <c r="GC18" s="1248">
        <v>0</v>
      </c>
      <c r="GD18" s="1242"/>
      <c r="GE18" s="1237"/>
      <c r="GF18" s="1248">
        <v>0</v>
      </c>
      <c r="GG18" s="1242"/>
      <c r="GH18" s="1237"/>
      <c r="GI18" s="1248">
        <v>0</v>
      </c>
      <c r="GJ18" s="1242"/>
      <c r="GK18" s="1237"/>
      <c r="GL18" s="1248">
        <v>0</v>
      </c>
      <c r="GM18" s="1242"/>
      <c r="GN18" s="1237"/>
      <c r="GO18" s="1248">
        <v>0</v>
      </c>
      <c r="GP18" s="1242"/>
      <c r="GQ18" s="1237"/>
      <c r="GR18" s="1248">
        <v>0</v>
      </c>
      <c r="GS18" s="1242"/>
      <c r="GT18" s="1237"/>
      <c r="GU18" s="1248">
        <v>0</v>
      </c>
      <c r="GV18" s="1242"/>
      <c r="GW18" s="1237"/>
      <c r="GX18" s="1248">
        <v>0</v>
      </c>
      <c r="GY18" s="1242"/>
      <c r="GZ18" s="1237"/>
      <c r="HA18" s="1248">
        <v>0</v>
      </c>
      <c r="HB18" s="1242"/>
      <c r="HC18" s="1237"/>
      <c r="HD18" s="1248">
        <v>0</v>
      </c>
      <c r="HE18" s="1242"/>
      <c r="HF18" s="1237"/>
      <c r="HG18" s="1248">
        <v>0</v>
      </c>
      <c r="HH18" s="1242"/>
      <c r="HI18" s="1237"/>
      <c r="HJ18" s="1248">
        <v>0</v>
      </c>
      <c r="HK18" s="1242"/>
      <c r="HL18" s="1237"/>
      <c r="HM18" s="1248">
        <v>0</v>
      </c>
      <c r="HN18" s="1242"/>
      <c r="HO18" s="1237"/>
      <c r="HP18" s="1248">
        <v>0</v>
      </c>
      <c r="HQ18" s="1242"/>
      <c r="HR18" s="1237"/>
      <c r="HS18" s="1248">
        <v>0</v>
      </c>
      <c r="HT18" s="1242"/>
      <c r="HU18" s="1237"/>
      <c r="HV18" s="1248">
        <v>0</v>
      </c>
      <c r="HW18" s="1242"/>
      <c r="HX18" s="1237"/>
      <c r="HY18" s="1248">
        <v>0</v>
      </c>
      <c r="HZ18" s="1242"/>
      <c r="IA18" s="1237"/>
      <c r="IB18" s="1248">
        <v>0</v>
      </c>
      <c r="IC18" s="1242"/>
      <c r="ID18" s="1237"/>
      <c r="IE18" s="1248">
        <v>0</v>
      </c>
      <c r="IF18" s="1242"/>
      <c r="IG18" s="1237"/>
      <c r="IH18" s="1248">
        <v>0</v>
      </c>
      <c r="II18" s="1242"/>
      <c r="IJ18" s="1237"/>
      <c r="IK18" s="1248">
        <v>0</v>
      </c>
      <c r="IL18" s="1242"/>
      <c r="IM18" s="1237"/>
      <c r="IN18" s="1248">
        <v>0</v>
      </c>
      <c r="IO18" s="1242"/>
      <c r="IP18" s="1237"/>
      <c r="IQ18" s="1248">
        <v>0</v>
      </c>
      <c r="IR18" s="1242"/>
      <c r="IS18" s="1237"/>
      <c r="IT18" s="1248">
        <v>0</v>
      </c>
      <c r="IU18" s="1242"/>
      <c r="IV18" s="1237"/>
      <c r="IW18" s="1248">
        <v>0</v>
      </c>
      <c r="IX18" s="1242"/>
      <c r="IY18" s="1237"/>
      <c r="IZ18" s="1248">
        <v>0</v>
      </c>
      <c r="JA18" s="1242"/>
      <c r="JB18" s="1237"/>
      <c r="JC18" s="1248">
        <v>0</v>
      </c>
      <c r="JD18" s="1242"/>
      <c r="JE18" s="1237"/>
      <c r="JF18" s="1248">
        <v>0</v>
      </c>
      <c r="JG18" s="1242"/>
      <c r="JH18" s="1237"/>
      <c r="JI18" s="1248">
        <v>0</v>
      </c>
      <c r="JJ18" s="1242"/>
      <c r="JK18" s="1237"/>
      <c r="JL18" s="1248">
        <v>0</v>
      </c>
      <c r="JM18" s="1242"/>
      <c r="JN18" s="1237"/>
      <c r="JO18" s="1248">
        <v>0</v>
      </c>
      <c r="JP18" s="1242"/>
      <c r="JQ18" s="1237"/>
      <c r="JR18" s="1248"/>
      <c r="JS18" s="1242"/>
      <c r="JT18" s="1237"/>
      <c r="JU18" s="1248" t="s">
        <v>1133</v>
      </c>
      <c r="JV18" s="1249"/>
      <c r="JW18" s="1237"/>
      <c r="JX18" s="1248" t="s">
        <v>1133</v>
      </c>
      <c r="JY18" s="1242"/>
      <c r="JZ18" s="1245"/>
    </row>
    <row r="19" spans="1:286">
      <c r="A19">
        <v>16</v>
      </c>
      <c r="B19" s="1240">
        <v>0</v>
      </c>
      <c r="C19" s="1243"/>
      <c r="D19" s="1237"/>
      <c r="E19" s="1240">
        <v>0</v>
      </c>
      <c r="F19" s="1242"/>
      <c r="G19" s="1237"/>
      <c r="H19" s="1240">
        <v>0</v>
      </c>
      <c r="I19" s="1243"/>
      <c r="J19" s="1237"/>
      <c r="K19" s="1240">
        <v>-57135</v>
      </c>
      <c r="L19" s="1243">
        <v>250</v>
      </c>
      <c r="M19" s="1237">
        <v>-232.89</v>
      </c>
      <c r="N19" s="1240">
        <v>0</v>
      </c>
      <c r="O19" s="1242"/>
      <c r="P19" s="1237"/>
      <c r="Q19" s="1240">
        <v>-141240</v>
      </c>
      <c r="R19" s="1243">
        <v>200</v>
      </c>
      <c r="S19" s="1237">
        <v>-804.9</v>
      </c>
      <c r="T19" s="1238"/>
      <c r="U19" s="1243"/>
      <c r="V19" s="1238"/>
      <c r="W19" s="1248">
        <v>0</v>
      </c>
      <c r="X19" s="1243"/>
      <c r="Y19" s="1237"/>
      <c r="Z19" s="1248">
        <v>0</v>
      </c>
      <c r="AA19" s="1243"/>
      <c r="AB19" s="1237"/>
      <c r="AC19" s="1248">
        <v>0</v>
      </c>
      <c r="AD19" s="1242"/>
      <c r="AE19" s="1237"/>
      <c r="AF19" s="1248">
        <v>0</v>
      </c>
      <c r="AG19" s="1242"/>
      <c r="AH19" s="1237"/>
      <c r="AI19" s="1248">
        <v>0</v>
      </c>
      <c r="AJ19" s="1242"/>
      <c r="AK19" s="1237"/>
      <c r="AL19" s="1248">
        <v>0</v>
      </c>
      <c r="AM19" s="1242"/>
      <c r="AN19" s="1237"/>
      <c r="AO19" s="1248">
        <v>0</v>
      </c>
      <c r="AP19" s="1242"/>
      <c r="AQ19" s="1237"/>
      <c r="AR19" s="1248">
        <v>0</v>
      </c>
      <c r="AS19" s="1242"/>
      <c r="AT19" s="1237"/>
      <c r="AU19" s="1248">
        <v>0</v>
      </c>
      <c r="AV19" s="1242"/>
      <c r="AW19" s="1237"/>
      <c r="AX19" s="1248">
        <v>0</v>
      </c>
      <c r="AY19" s="1242"/>
      <c r="AZ19" s="1237"/>
      <c r="BA19" s="1248">
        <v>0</v>
      </c>
      <c r="BB19" s="1242"/>
      <c r="BC19" s="1237"/>
      <c r="BD19" s="1248">
        <v>0</v>
      </c>
      <c r="BE19" s="1242"/>
      <c r="BF19" s="1237"/>
      <c r="BG19" s="1248">
        <v>0</v>
      </c>
      <c r="BH19" s="1242"/>
      <c r="BI19" s="1237"/>
      <c r="BJ19" s="1248">
        <v>0</v>
      </c>
      <c r="BK19" s="1242"/>
      <c r="BL19" s="1237"/>
      <c r="BM19" s="1248">
        <v>0</v>
      </c>
      <c r="BN19" s="1242"/>
      <c r="BO19" s="1237"/>
      <c r="BP19" s="1248">
        <v>0</v>
      </c>
      <c r="BQ19" s="1242"/>
      <c r="BR19" s="1237"/>
      <c r="BS19" s="1248">
        <v>0</v>
      </c>
      <c r="BT19" s="1242"/>
      <c r="BU19" s="1237"/>
      <c r="BV19" s="1248">
        <v>0</v>
      </c>
      <c r="BW19" s="1242"/>
      <c r="BX19" s="1237"/>
      <c r="BY19" s="1248">
        <v>0</v>
      </c>
      <c r="BZ19" s="1242"/>
      <c r="CA19" s="1237"/>
      <c r="CB19" s="1248">
        <v>0</v>
      </c>
      <c r="CC19" s="1242"/>
      <c r="CD19" s="1237"/>
      <c r="CE19" s="1248">
        <v>0</v>
      </c>
      <c r="CF19" s="1242"/>
      <c r="CG19" s="1237"/>
      <c r="CH19" s="1248">
        <v>0</v>
      </c>
      <c r="CI19" s="1242"/>
      <c r="CJ19" s="1237"/>
      <c r="CK19" s="1248">
        <v>0</v>
      </c>
      <c r="CL19" s="1242"/>
      <c r="CM19" s="1237"/>
      <c r="CN19" s="1248">
        <v>0</v>
      </c>
      <c r="CO19" s="1242"/>
      <c r="CP19" s="1237"/>
      <c r="CQ19" s="1248">
        <v>0</v>
      </c>
      <c r="CR19" s="1242"/>
      <c r="CS19" s="1237"/>
      <c r="CT19" s="1248">
        <v>0</v>
      </c>
      <c r="CU19" s="1242"/>
      <c r="CV19" s="1237"/>
      <c r="CW19" s="1248">
        <v>0</v>
      </c>
      <c r="CX19" s="1242"/>
      <c r="CY19" s="1237"/>
      <c r="CZ19" s="1248">
        <v>0</v>
      </c>
      <c r="DA19" s="1242"/>
      <c r="DB19" s="1237"/>
      <c r="DC19" s="1248">
        <v>0</v>
      </c>
      <c r="DD19" s="1242"/>
      <c r="DE19" s="1237"/>
      <c r="DF19" s="1248">
        <v>0</v>
      </c>
      <c r="DG19" s="1242"/>
      <c r="DH19" s="1237"/>
      <c r="DI19" s="1248">
        <v>0</v>
      </c>
      <c r="DJ19" s="1242"/>
      <c r="DK19" s="1237"/>
      <c r="DL19" s="1248">
        <v>0</v>
      </c>
      <c r="DM19" s="1242"/>
      <c r="DN19" s="1237"/>
      <c r="DO19" s="1248">
        <v>0</v>
      </c>
      <c r="DP19" s="1242"/>
      <c r="DQ19" s="1237"/>
      <c r="DR19" s="1248">
        <v>0</v>
      </c>
      <c r="DS19" s="1242"/>
      <c r="DT19" s="1237"/>
      <c r="DU19" s="1248">
        <v>0</v>
      </c>
      <c r="DV19" s="1242"/>
      <c r="DW19" s="1237"/>
      <c r="DX19" s="1248">
        <v>0</v>
      </c>
      <c r="DY19" s="1242"/>
      <c r="DZ19" s="1237"/>
      <c r="EA19" s="1248">
        <v>0</v>
      </c>
      <c r="EB19" s="1242"/>
      <c r="EC19" s="1237"/>
      <c r="ED19" s="1248">
        <v>0</v>
      </c>
      <c r="EE19" s="1242"/>
      <c r="EF19" s="1237"/>
      <c r="EG19" s="1248">
        <v>0</v>
      </c>
      <c r="EH19" s="1242"/>
      <c r="EI19" s="1237"/>
      <c r="EJ19" s="1248">
        <v>0</v>
      </c>
      <c r="EK19" s="1242"/>
      <c r="EL19" s="1237"/>
      <c r="EM19" s="1248">
        <v>0</v>
      </c>
      <c r="EN19" s="1242"/>
      <c r="EO19" s="1237"/>
      <c r="EP19" s="1248">
        <v>0</v>
      </c>
      <c r="EQ19" s="1242"/>
      <c r="ER19" s="1237"/>
      <c r="ES19" s="1248">
        <v>0</v>
      </c>
      <c r="ET19" s="1242"/>
      <c r="EU19" s="1237"/>
      <c r="EV19" s="1248">
        <v>0</v>
      </c>
      <c r="EW19" s="1242"/>
      <c r="EX19" s="1245"/>
      <c r="EY19" s="1248">
        <v>0</v>
      </c>
      <c r="EZ19" s="1242"/>
      <c r="FA19" s="1245"/>
      <c r="FB19" s="1248">
        <v>0</v>
      </c>
      <c r="FC19" s="1242"/>
      <c r="FD19" s="1245"/>
      <c r="FE19" s="1248">
        <v>0</v>
      </c>
      <c r="FF19" s="1242"/>
      <c r="FG19" s="1237"/>
      <c r="FH19" s="1248">
        <v>0</v>
      </c>
      <c r="FI19" s="1242"/>
      <c r="FJ19" s="1237"/>
      <c r="FK19" s="1248">
        <v>0</v>
      </c>
      <c r="FL19" s="1242"/>
      <c r="FM19" s="1237"/>
      <c r="FN19" s="1248">
        <v>0</v>
      </c>
      <c r="FO19" s="1242"/>
      <c r="FP19" s="1237"/>
      <c r="FQ19" s="1248">
        <v>0</v>
      </c>
      <c r="FR19" s="1242"/>
      <c r="FS19" s="1237"/>
      <c r="FT19" s="1248">
        <v>0</v>
      </c>
      <c r="FU19" s="1242"/>
      <c r="FV19" s="1237"/>
      <c r="FW19" s="1248">
        <v>0</v>
      </c>
      <c r="FX19" s="1242"/>
      <c r="FY19" s="1237"/>
      <c r="FZ19" s="1248">
        <v>0</v>
      </c>
      <c r="GA19" s="1242"/>
      <c r="GB19" s="1237"/>
      <c r="GC19" s="1248">
        <v>0</v>
      </c>
      <c r="GD19" s="1242"/>
      <c r="GE19" s="1237"/>
      <c r="GF19" s="1248">
        <v>0</v>
      </c>
      <c r="GG19" s="1242"/>
      <c r="GH19" s="1237"/>
      <c r="GI19" s="1248">
        <v>0</v>
      </c>
      <c r="GJ19" s="1242"/>
      <c r="GK19" s="1237"/>
      <c r="GL19" s="1248">
        <v>0</v>
      </c>
      <c r="GM19" s="1242"/>
      <c r="GN19" s="1237"/>
      <c r="GO19" s="1248">
        <v>0</v>
      </c>
      <c r="GP19" s="1242"/>
      <c r="GQ19" s="1237"/>
      <c r="GR19" s="1248">
        <v>0</v>
      </c>
      <c r="GS19" s="1242"/>
      <c r="GT19" s="1237"/>
      <c r="GU19" s="1248">
        <v>0</v>
      </c>
      <c r="GV19" s="1242"/>
      <c r="GW19" s="1237"/>
      <c r="GX19" s="1248">
        <v>0</v>
      </c>
      <c r="GY19" s="1242"/>
      <c r="GZ19" s="1237"/>
      <c r="HA19" s="1248">
        <v>0</v>
      </c>
      <c r="HB19" s="1242"/>
      <c r="HC19" s="1237"/>
      <c r="HD19" s="1248">
        <v>0</v>
      </c>
      <c r="HE19" s="1242"/>
      <c r="HF19" s="1237"/>
      <c r="HG19" s="1248">
        <v>0</v>
      </c>
      <c r="HH19" s="1242"/>
      <c r="HI19" s="1237"/>
      <c r="HJ19" s="1248">
        <v>0</v>
      </c>
      <c r="HK19" s="1242"/>
      <c r="HL19" s="1237"/>
      <c r="HM19" s="1248">
        <v>0</v>
      </c>
      <c r="HN19" s="1242"/>
      <c r="HO19" s="1237"/>
      <c r="HP19" s="1248">
        <v>0</v>
      </c>
      <c r="HQ19" s="1242"/>
      <c r="HR19" s="1237"/>
      <c r="HS19" s="1248">
        <v>0</v>
      </c>
      <c r="HT19" s="1242"/>
      <c r="HU19" s="1237"/>
      <c r="HV19" s="1248">
        <v>0</v>
      </c>
      <c r="HW19" s="1242"/>
      <c r="HX19" s="1237"/>
      <c r="HY19" s="1248">
        <v>0</v>
      </c>
      <c r="HZ19" s="1242"/>
      <c r="IA19" s="1237"/>
      <c r="IB19" s="1248">
        <v>0</v>
      </c>
      <c r="IC19" s="1242"/>
      <c r="ID19" s="1237"/>
      <c r="IE19" s="1248">
        <v>0</v>
      </c>
      <c r="IF19" s="1242"/>
      <c r="IG19" s="1237"/>
      <c r="IH19" s="1248">
        <v>0</v>
      </c>
      <c r="II19" s="1242"/>
      <c r="IJ19" s="1237"/>
      <c r="IK19" s="1248">
        <v>0</v>
      </c>
      <c r="IL19" s="1242"/>
      <c r="IM19" s="1237"/>
      <c r="IN19" s="1248">
        <v>0</v>
      </c>
      <c r="IO19" s="1242"/>
      <c r="IP19" s="1237"/>
      <c r="IQ19" s="1248">
        <v>0</v>
      </c>
      <c r="IR19" s="1242"/>
      <c r="IS19" s="1237"/>
      <c r="IT19" s="1248">
        <v>0</v>
      </c>
      <c r="IU19" s="1242"/>
      <c r="IV19" s="1237"/>
      <c r="IW19" s="1248">
        <v>0</v>
      </c>
      <c r="IX19" s="1242"/>
      <c r="IY19" s="1237"/>
      <c r="IZ19" s="1248">
        <v>0</v>
      </c>
      <c r="JA19" s="1242"/>
      <c r="JB19" s="1237"/>
      <c r="JC19" s="1248">
        <v>0</v>
      </c>
      <c r="JD19" s="1242"/>
      <c r="JE19" s="1237"/>
      <c r="JF19" s="1248">
        <v>0</v>
      </c>
      <c r="JG19" s="1242"/>
      <c r="JH19" s="1237"/>
      <c r="JI19" s="1248"/>
      <c r="JJ19" s="1242"/>
      <c r="JK19" s="1237"/>
      <c r="JL19" s="1248">
        <v>0</v>
      </c>
      <c r="JM19" s="1242"/>
      <c r="JN19" s="1237"/>
      <c r="JO19" s="1248">
        <v>0</v>
      </c>
      <c r="JP19" s="1242"/>
      <c r="JQ19" s="1237"/>
      <c r="JR19" s="1248"/>
      <c r="JS19" s="1242"/>
      <c r="JT19" s="1237"/>
      <c r="JU19" s="1248" t="s">
        <v>1133</v>
      </c>
      <c r="JV19" s="1249"/>
      <c r="JW19" s="1237"/>
      <c r="JX19" s="1248" t="s">
        <v>1133</v>
      </c>
      <c r="JY19" s="1242"/>
      <c r="JZ19" s="1245"/>
    </row>
    <row r="20" spans="1:286">
      <c r="A20">
        <v>17</v>
      </c>
      <c r="B20" s="1240">
        <v>0</v>
      </c>
      <c r="C20" s="1243"/>
      <c r="D20" s="1237"/>
      <c r="E20" s="1240">
        <v>0</v>
      </c>
      <c r="F20" s="1242"/>
      <c r="G20" s="1237"/>
      <c r="H20" s="1240">
        <v>0</v>
      </c>
      <c r="I20" s="1243"/>
      <c r="J20" s="1237"/>
      <c r="K20" s="1240">
        <v>-91580</v>
      </c>
      <c r="L20" s="1243">
        <v>400</v>
      </c>
      <c r="M20" s="1237">
        <v>-236.70750000000001</v>
      </c>
      <c r="N20" s="1240">
        <v>0</v>
      </c>
      <c r="O20" s="1242"/>
      <c r="P20" s="1237"/>
      <c r="Q20" s="1240">
        <v>-70660</v>
      </c>
      <c r="R20" s="1243">
        <v>200</v>
      </c>
      <c r="S20" s="1237">
        <v>-813.9</v>
      </c>
      <c r="T20" s="1238"/>
      <c r="U20" s="1243"/>
      <c r="V20" s="1238"/>
      <c r="W20" s="1248">
        <v>0</v>
      </c>
      <c r="X20" s="1243"/>
      <c r="Y20" s="1237"/>
      <c r="Z20" s="1248">
        <v>0</v>
      </c>
      <c r="AA20" s="1243"/>
      <c r="AB20" s="1237"/>
      <c r="AC20" s="1248">
        <v>0</v>
      </c>
      <c r="AD20" s="1242"/>
      <c r="AE20" s="1237"/>
      <c r="AF20" s="1248">
        <v>0</v>
      </c>
      <c r="AG20" s="1242"/>
      <c r="AH20" s="1237"/>
      <c r="AI20" s="1248">
        <v>0</v>
      </c>
      <c r="AJ20" s="1242"/>
      <c r="AK20" s="1237"/>
      <c r="AL20" s="1248">
        <v>0</v>
      </c>
      <c r="AM20" s="1242"/>
      <c r="AN20" s="1237"/>
      <c r="AO20" s="1248">
        <v>0</v>
      </c>
      <c r="AP20" s="1242"/>
      <c r="AQ20" s="1237"/>
      <c r="AR20" s="1248">
        <v>0</v>
      </c>
      <c r="AS20" s="1242"/>
      <c r="AT20" s="1237"/>
      <c r="AU20" s="1248">
        <v>0</v>
      </c>
      <c r="AV20" s="1242"/>
      <c r="AW20" s="1237"/>
      <c r="AX20" s="1248">
        <v>0</v>
      </c>
      <c r="AY20" s="1242"/>
      <c r="AZ20" s="1237"/>
      <c r="BA20" s="1248">
        <v>0</v>
      </c>
      <c r="BB20" s="1242"/>
      <c r="BC20" s="1237"/>
      <c r="BD20" s="1248">
        <v>0</v>
      </c>
      <c r="BE20" s="1242"/>
      <c r="BF20" s="1237"/>
      <c r="BG20" s="1248">
        <v>0</v>
      </c>
      <c r="BH20" s="1242"/>
      <c r="BI20" s="1237"/>
      <c r="BJ20" s="1248">
        <v>0</v>
      </c>
      <c r="BK20" s="1242"/>
      <c r="BL20" s="1237"/>
      <c r="BM20" s="1248">
        <v>0</v>
      </c>
      <c r="BN20" s="1242"/>
      <c r="BO20" s="1237"/>
      <c r="BP20" s="1248">
        <v>0</v>
      </c>
      <c r="BQ20" s="1242"/>
      <c r="BR20" s="1237"/>
      <c r="BS20" s="1248">
        <v>0</v>
      </c>
      <c r="BT20" s="1242"/>
      <c r="BU20" s="1237"/>
      <c r="BV20" s="1248">
        <v>0</v>
      </c>
      <c r="BW20" s="1242"/>
      <c r="BX20" s="1237"/>
      <c r="BY20" s="1248">
        <v>0</v>
      </c>
      <c r="BZ20" s="1242"/>
      <c r="CA20" s="1237"/>
      <c r="CB20" s="1248">
        <v>0</v>
      </c>
      <c r="CC20" s="1242"/>
      <c r="CD20" s="1237"/>
      <c r="CE20" s="1248">
        <v>0</v>
      </c>
      <c r="CF20" s="1242"/>
      <c r="CG20" s="1237"/>
      <c r="CH20" s="1248">
        <v>0</v>
      </c>
      <c r="CI20" s="1242"/>
      <c r="CJ20" s="1237"/>
      <c r="CK20" s="1248">
        <v>0</v>
      </c>
      <c r="CL20" s="1242"/>
      <c r="CM20" s="1237"/>
      <c r="CN20" s="1248">
        <v>0</v>
      </c>
      <c r="CO20" s="1242"/>
      <c r="CP20" s="1237"/>
      <c r="CQ20" s="1248">
        <v>0</v>
      </c>
      <c r="CR20" s="1242"/>
      <c r="CS20" s="1237"/>
      <c r="CT20" s="1248">
        <v>0</v>
      </c>
      <c r="CU20" s="1242"/>
      <c r="CV20" s="1237"/>
      <c r="CW20" s="1248">
        <v>0</v>
      </c>
      <c r="CX20" s="1242"/>
      <c r="CY20" s="1237"/>
      <c r="CZ20" s="1248">
        <v>0</v>
      </c>
      <c r="DA20" s="1242"/>
      <c r="DB20" s="1237"/>
      <c r="DC20" s="1248">
        <v>0</v>
      </c>
      <c r="DD20" s="1242"/>
      <c r="DE20" s="1237"/>
      <c r="DF20" s="1248">
        <v>0</v>
      </c>
      <c r="DG20" s="1242"/>
      <c r="DH20" s="1237"/>
      <c r="DI20" s="1248">
        <v>0</v>
      </c>
      <c r="DJ20" s="1242"/>
      <c r="DK20" s="1237"/>
      <c r="DL20" s="1248">
        <v>0</v>
      </c>
      <c r="DM20" s="1242"/>
      <c r="DN20" s="1237"/>
      <c r="DO20" s="1248">
        <v>0</v>
      </c>
      <c r="DP20" s="1242"/>
      <c r="DQ20" s="1237"/>
      <c r="DR20" s="1248">
        <v>0</v>
      </c>
      <c r="DS20" s="1242"/>
      <c r="DT20" s="1237"/>
      <c r="DU20" s="1248">
        <v>0</v>
      </c>
      <c r="DV20" s="1242"/>
      <c r="DW20" s="1237"/>
      <c r="DX20" s="1248">
        <v>0</v>
      </c>
      <c r="DY20" s="1242"/>
      <c r="DZ20" s="1237"/>
      <c r="EA20" s="1248">
        <v>0</v>
      </c>
      <c r="EB20" s="1242"/>
      <c r="EC20" s="1237"/>
      <c r="ED20" s="1248">
        <v>0</v>
      </c>
      <c r="EE20" s="1242"/>
      <c r="EF20" s="1237"/>
      <c r="EG20" s="1248">
        <v>0</v>
      </c>
      <c r="EH20" s="1242"/>
      <c r="EI20" s="1237"/>
      <c r="EJ20" s="1248">
        <v>0</v>
      </c>
      <c r="EK20" s="1242"/>
      <c r="EL20" s="1237"/>
      <c r="EM20" s="1248">
        <v>0</v>
      </c>
      <c r="EN20" s="1242"/>
      <c r="EO20" s="1237"/>
      <c r="EP20" s="1248">
        <v>0</v>
      </c>
      <c r="EQ20" s="1242"/>
      <c r="ER20" s="1237"/>
      <c r="ES20" s="1248">
        <v>0</v>
      </c>
      <c r="ET20" s="1242"/>
      <c r="EU20" s="1237"/>
      <c r="EV20" s="1248">
        <v>0</v>
      </c>
      <c r="EW20" s="1242"/>
      <c r="EX20" s="1245"/>
      <c r="EY20" s="1248">
        <v>0</v>
      </c>
      <c r="EZ20" s="1242"/>
      <c r="FA20" s="1245"/>
      <c r="FB20" s="1248">
        <v>0</v>
      </c>
      <c r="FC20" s="1242"/>
      <c r="FD20" s="1245"/>
      <c r="FE20" s="1248">
        <v>0</v>
      </c>
      <c r="FF20" s="1242"/>
      <c r="FG20" s="1237"/>
      <c r="FH20" s="1248">
        <v>0</v>
      </c>
      <c r="FI20" s="1242"/>
      <c r="FJ20" s="1237"/>
      <c r="FK20" s="1248">
        <v>0</v>
      </c>
      <c r="FL20" s="1242"/>
      <c r="FM20" s="1237"/>
      <c r="FN20" s="1248">
        <v>0</v>
      </c>
      <c r="FO20" s="1242"/>
      <c r="FP20" s="1237"/>
      <c r="FQ20" s="1248">
        <v>0</v>
      </c>
      <c r="FR20" s="1242"/>
      <c r="FS20" s="1237"/>
      <c r="FT20" s="1248">
        <v>0</v>
      </c>
      <c r="FU20" s="1242"/>
      <c r="FV20" s="1237"/>
      <c r="FW20" s="1248">
        <v>0</v>
      </c>
      <c r="FX20" s="1242"/>
      <c r="FY20" s="1237"/>
      <c r="FZ20" s="1248">
        <v>0</v>
      </c>
      <c r="GA20" s="1242"/>
      <c r="GB20" s="1237"/>
      <c r="GC20" s="1248">
        <v>0</v>
      </c>
      <c r="GD20" s="1242"/>
      <c r="GE20" s="1237"/>
      <c r="GF20" s="1248">
        <v>0</v>
      </c>
      <c r="GG20" s="1242"/>
      <c r="GH20" s="1237"/>
      <c r="GI20" s="1248">
        <v>0</v>
      </c>
      <c r="GJ20" s="1242"/>
      <c r="GK20" s="1237"/>
      <c r="GL20" s="1248">
        <v>0</v>
      </c>
      <c r="GM20" s="1242"/>
      <c r="GN20" s="1237"/>
      <c r="GO20" s="1248">
        <v>0</v>
      </c>
      <c r="GP20" s="1242"/>
      <c r="GQ20" s="1237"/>
      <c r="GR20" s="1248">
        <v>0</v>
      </c>
      <c r="GS20" s="1242"/>
      <c r="GT20" s="1237"/>
      <c r="GU20" s="1248">
        <v>0</v>
      </c>
      <c r="GV20" s="1242"/>
      <c r="GW20" s="1237"/>
      <c r="GX20" s="1248">
        <v>0</v>
      </c>
      <c r="GY20" s="1242"/>
      <c r="GZ20" s="1237"/>
      <c r="HA20" s="1248">
        <v>0</v>
      </c>
      <c r="HB20" s="1242"/>
      <c r="HC20" s="1237"/>
      <c r="HD20" s="1248">
        <v>0</v>
      </c>
      <c r="HE20" s="1242"/>
      <c r="HF20" s="1237"/>
      <c r="HG20" s="1248">
        <v>0</v>
      </c>
      <c r="HH20" s="1242"/>
      <c r="HI20" s="1237"/>
      <c r="HJ20" s="1248">
        <v>0</v>
      </c>
      <c r="HK20" s="1242"/>
      <c r="HL20" s="1237"/>
      <c r="HM20" s="1248">
        <v>0</v>
      </c>
      <c r="HN20" s="1242"/>
      <c r="HO20" s="1237"/>
      <c r="HP20" s="1248">
        <v>0</v>
      </c>
      <c r="HQ20" s="1242"/>
      <c r="HR20" s="1237"/>
      <c r="HS20" s="1248">
        <v>0</v>
      </c>
      <c r="HT20" s="1242"/>
      <c r="HU20" s="1237"/>
      <c r="HV20" s="1248">
        <v>0</v>
      </c>
      <c r="HW20" s="1242"/>
      <c r="HX20" s="1237"/>
      <c r="HY20" s="1248">
        <v>0</v>
      </c>
      <c r="HZ20" s="1242"/>
      <c r="IA20" s="1237"/>
      <c r="IB20" s="1248">
        <v>0</v>
      </c>
      <c r="IC20" s="1242"/>
      <c r="ID20" s="1237"/>
      <c r="IE20" s="1248">
        <v>0</v>
      </c>
      <c r="IF20" s="1242"/>
      <c r="IG20" s="1237"/>
      <c r="IH20" s="1248">
        <v>0</v>
      </c>
      <c r="II20" s="1242"/>
      <c r="IJ20" s="1237"/>
      <c r="IK20" s="1248">
        <v>0</v>
      </c>
      <c r="IL20" s="1242"/>
      <c r="IM20" s="1237"/>
      <c r="IN20" s="1248">
        <v>0</v>
      </c>
      <c r="IO20" s="1242"/>
      <c r="IP20" s="1237"/>
      <c r="IQ20" s="1248">
        <v>0</v>
      </c>
      <c r="IR20" s="1242"/>
      <c r="IS20" s="1237"/>
      <c r="IT20" s="1248">
        <v>0</v>
      </c>
      <c r="IU20" s="1242"/>
      <c r="IV20" s="1237"/>
      <c r="IW20" s="1248">
        <v>0</v>
      </c>
      <c r="IX20" s="1242"/>
      <c r="IY20" s="1237"/>
      <c r="IZ20" s="1248">
        <v>0</v>
      </c>
      <c r="JA20" s="1242"/>
      <c r="JB20" s="1237"/>
      <c r="JC20" s="1248">
        <v>0</v>
      </c>
      <c r="JD20" s="1242"/>
      <c r="JE20" s="1237"/>
      <c r="JF20" s="1248">
        <v>0</v>
      </c>
      <c r="JG20" s="1242"/>
      <c r="JH20" s="1237"/>
      <c r="JI20" s="1248"/>
      <c r="JJ20" s="1242"/>
      <c r="JK20" s="1237"/>
      <c r="JL20" s="1248">
        <v>0</v>
      </c>
      <c r="JM20" s="1242"/>
      <c r="JN20" s="1237"/>
      <c r="JO20" s="1248">
        <v>0</v>
      </c>
      <c r="JP20" s="1242"/>
      <c r="JQ20" s="1237"/>
      <c r="JR20" s="1248"/>
      <c r="JS20" s="1242"/>
      <c r="JT20" s="1237"/>
      <c r="JU20" s="1248" t="s">
        <v>1133</v>
      </c>
      <c r="JV20" s="1249"/>
      <c r="JW20" s="1237"/>
      <c r="JX20" s="1248" t="s">
        <v>1133</v>
      </c>
      <c r="JY20" s="1242"/>
      <c r="JZ20" s="1245"/>
    </row>
    <row r="21" spans="1:286">
      <c r="A21">
        <v>18</v>
      </c>
      <c r="B21" s="1240">
        <v>0</v>
      </c>
      <c r="C21" s="1243"/>
      <c r="D21" s="1237"/>
      <c r="E21" s="1240">
        <v>0</v>
      </c>
      <c r="F21" s="1242"/>
      <c r="G21" s="1237"/>
      <c r="H21" s="1240">
        <v>0</v>
      </c>
      <c r="I21" s="1243"/>
      <c r="J21" s="1237"/>
      <c r="K21" s="1240">
        <v>0</v>
      </c>
      <c r="L21" s="1243"/>
      <c r="M21" s="1237"/>
      <c r="N21" s="1240">
        <v>0</v>
      </c>
      <c r="O21" s="1242"/>
      <c r="P21" s="1237"/>
      <c r="Q21" s="1240"/>
      <c r="R21" s="1243"/>
      <c r="S21" s="1237"/>
      <c r="T21" s="1238"/>
      <c r="U21" s="1243"/>
      <c r="V21" s="1238"/>
      <c r="W21" s="1248">
        <v>0</v>
      </c>
      <c r="X21" s="1243"/>
      <c r="Y21" s="1237"/>
      <c r="Z21" s="1248">
        <v>0</v>
      </c>
      <c r="AA21" s="1243"/>
      <c r="AB21" s="1237"/>
      <c r="AC21" s="1248">
        <v>0</v>
      </c>
      <c r="AD21" s="1242"/>
      <c r="AE21" s="1237"/>
      <c r="AF21" s="1248">
        <v>0</v>
      </c>
      <c r="AG21" s="1242"/>
      <c r="AH21" s="1237"/>
      <c r="AI21" s="1248">
        <v>0</v>
      </c>
      <c r="AJ21" s="1242"/>
      <c r="AK21" s="1237"/>
      <c r="AL21" s="1248">
        <v>0</v>
      </c>
      <c r="AM21" s="1242"/>
      <c r="AN21" s="1237"/>
      <c r="AO21" s="1248">
        <v>0</v>
      </c>
      <c r="AP21" s="1242"/>
      <c r="AQ21" s="1237"/>
      <c r="AR21" s="1248">
        <v>0</v>
      </c>
      <c r="AS21" s="1242"/>
      <c r="AT21" s="1237"/>
      <c r="AU21" s="1248">
        <v>0</v>
      </c>
      <c r="AV21" s="1242"/>
      <c r="AW21" s="1237"/>
      <c r="AX21" s="1248">
        <v>0</v>
      </c>
      <c r="AY21" s="1242"/>
      <c r="AZ21" s="1237"/>
      <c r="BA21" s="1248">
        <v>0</v>
      </c>
      <c r="BB21" s="1242"/>
      <c r="BC21" s="1237"/>
      <c r="BD21" s="1248">
        <v>0</v>
      </c>
      <c r="BE21" s="1242"/>
      <c r="BF21" s="1237"/>
      <c r="BG21" s="1248">
        <v>0</v>
      </c>
      <c r="BH21" s="1242"/>
      <c r="BI21" s="1237"/>
      <c r="BJ21" s="1248">
        <v>0</v>
      </c>
      <c r="BK21" s="1242"/>
      <c r="BL21" s="1237"/>
      <c r="BM21" s="1248">
        <v>0</v>
      </c>
      <c r="BN21" s="1242"/>
      <c r="BO21" s="1237"/>
      <c r="BP21" s="1248">
        <v>0</v>
      </c>
      <c r="BQ21" s="1242"/>
      <c r="BR21" s="1237"/>
      <c r="BS21" s="1248">
        <v>0</v>
      </c>
      <c r="BT21" s="1242"/>
      <c r="BU21" s="1237"/>
      <c r="BV21" s="1248">
        <v>0</v>
      </c>
      <c r="BW21" s="1242"/>
      <c r="BX21" s="1237"/>
      <c r="BY21" s="1248">
        <v>0</v>
      </c>
      <c r="BZ21" s="1242"/>
      <c r="CA21" s="1237"/>
      <c r="CB21" s="1248">
        <v>0</v>
      </c>
      <c r="CC21" s="1242"/>
      <c r="CD21" s="1237"/>
      <c r="CE21" s="1248">
        <v>0</v>
      </c>
      <c r="CF21" s="1242"/>
      <c r="CG21" s="1237"/>
      <c r="CH21" s="1248">
        <v>0</v>
      </c>
      <c r="CI21" s="1242"/>
      <c r="CJ21" s="1237"/>
      <c r="CK21" s="1248">
        <v>0</v>
      </c>
      <c r="CL21" s="1242"/>
      <c r="CM21" s="1237"/>
      <c r="CN21" s="1248">
        <v>0</v>
      </c>
      <c r="CO21" s="1242"/>
      <c r="CP21" s="1237"/>
      <c r="CQ21" s="1248">
        <v>0</v>
      </c>
      <c r="CR21" s="1242"/>
      <c r="CS21" s="1237"/>
      <c r="CT21" s="1248">
        <v>0</v>
      </c>
      <c r="CU21" s="1242"/>
      <c r="CV21" s="1237"/>
      <c r="CW21" s="1248">
        <v>0</v>
      </c>
      <c r="CX21" s="1242"/>
      <c r="CY21" s="1237"/>
      <c r="CZ21" s="1248">
        <v>0</v>
      </c>
      <c r="DA21" s="1242"/>
      <c r="DB21" s="1237"/>
      <c r="DC21" s="1248">
        <v>0</v>
      </c>
      <c r="DD21" s="1242"/>
      <c r="DE21" s="1237"/>
      <c r="DF21" s="1248">
        <v>0</v>
      </c>
      <c r="DG21" s="1242"/>
      <c r="DH21" s="1237"/>
      <c r="DI21" s="1248">
        <v>0</v>
      </c>
      <c r="DJ21" s="1242"/>
      <c r="DK21" s="1237"/>
      <c r="DL21" s="1248">
        <v>0</v>
      </c>
      <c r="DM21" s="1242"/>
      <c r="DN21" s="1237"/>
      <c r="DO21" s="1248">
        <v>0</v>
      </c>
      <c r="DP21" s="1242"/>
      <c r="DQ21" s="1237"/>
      <c r="DR21" s="1248">
        <v>0</v>
      </c>
      <c r="DS21" s="1242"/>
      <c r="DT21" s="1237"/>
      <c r="DU21" s="1248">
        <v>0</v>
      </c>
      <c r="DV21" s="1242"/>
      <c r="DW21" s="1237"/>
      <c r="DX21" s="1248">
        <v>0</v>
      </c>
      <c r="DY21" s="1242"/>
      <c r="DZ21" s="1237"/>
      <c r="EA21" s="1248">
        <v>0</v>
      </c>
      <c r="EB21" s="1242"/>
      <c r="EC21" s="1237"/>
      <c r="ED21" s="1248">
        <v>0</v>
      </c>
      <c r="EE21" s="1242"/>
      <c r="EF21" s="1237"/>
      <c r="EG21" s="1248">
        <v>0</v>
      </c>
      <c r="EH21" s="1242"/>
      <c r="EI21" s="1237"/>
      <c r="EJ21" s="1248">
        <v>0</v>
      </c>
      <c r="EK21" s="1242"/>
      <c r="EL21" s="1237"/>
      <c r="EM21" s="1248">
        <v>0</v>
      </c>
      <c r="EN21" s="1242"/>
      <c r="EO21" s="1237"/>
      <c r="EP21" s="1248">
        <v>0</v>
      </c>
      <c r="EQ21" s="1242"/>
      <c r="ER21" s="1237"/>
      <c r="ES21" s="1248">
        <v>0</v>
      </c>
      <c r="ET21" s="1242"/>
      <c r="EU21" s="1237"/>
      <c r="EV21" s="1248">
        <v>0</v>
      </c>
      <c r="EW21" s="1242"/>
      <c r="EX21" s="1245"/>
      <c r="EY21" s="1248">
        <v>0</v>
      </c>
      <c r="EZ21" s="1242"/>
      <c r="FA21" s="1245"/>
      <c r="FB21" s="1248">
        <v>0</v>
      </c>
      <c r="FC21" s="1242"/>
      <c r="FD21" s="1245"/>
      <c r="FE21" s="1248">
        <v>0</v>
      </c>
      <c r="FF21" s="1242"/>
      <c r="FG21" s="1237"/>
      <c r="FH21" s="1248">
        <v>0</v>
      </c>
      <c r="FI21" s="1242"/>
      <c r="FJ21" s="1237"/>
      <c r="FK21" s="1248">
        <v>0</v>
      </c>
      <c r="FL21" s="1242"/>
      <c r="FM21" s="1237"/>
      <c r="FN21" s="1248">
        <v>0</v>
      </c>
      <c r="FO21" s="1242"/>
      <c r="FP21" s="1237"/>
      <c r="FQ21" s="1248">
        <v>0</v>
      </c>
      <c r="FR21" s="1242"/>
      <c r="FS21" s="1237"/>
      <c r="FT21" s="1248">
        <v>0</v>
      </c>
      <c r="FU21" s="1242"/>
      <c r="FV21" s="1237"/>
      <c r="FW21" s="1248">
        <v>0</v>
      </c>
      <c r="FX21" s="1242"/>
      <c r="FY21" s="1237"/>
      <c r="FZ21" s="1248">
        <v>0</v>
      </c>
      <c r="GA21" s="1242"/>
      <c r="GB21" s="1237"/>
      <c r="GC21" s="1248">
        <v>0</v>
      </c>
      <c r="GD21" s="1242"/>
      <c r="GE21" s="1237"/>
      <c r="GF21" s="1248">
        <v>0</v>
      </c>
      <c r="GG21" s="1242"/>
      <c r="GH21" s="1237"/>
      <c r="GI21" s="1248">
        <v>0</v>
      </c>
      <c r="GJ21" s="1242"/>
      <c r="GK21" s="1237"/>
      <c r="GL21" s="1248">
        <v>0</v>
      </c>
      <c r="GM21" s="1242"/>
      <c r="GN21" s="1237"/>
      <c r="GO21" s="1248">
        <v>0</v>
      </c>
      <c r="GP21" s="1242"/>
      <c r="GQ21" s="1237"/>
      <c r="GR21" s="1248">
        <v>0</v>
      </c>
      <c r="GS21" s="1242"/>
      <c r="GT21" s="1237"/>
      <c r="GU21" s="1248">
        <v>0</v>
      </c>
      <c r="GV21" s="1242"/>
      <c r="GW21" s="1237"/>
      <c r="GX21" s="1248">
        <v>0</v>
      </c>
      <c r="GY21" s="1242"/>
      <c r="GZ21" s="1237"/>
      <c r="HA21" s="1248">
        <v>0</v>
      </c>
      <c r="HB21" s="1242"/>
      <c r="HC21" s="1237"/>
      <c r="HD21" s="1248">
        <v>0</v>
      </c>
      <c r="HE21" s="1242"/>
      <c r="HF21" s="1237"/>
      <c r="HG21" s="1248">
        <v>0</v>
      </c>
      <c r="HH21" s="1242"/>
      <c r="HI21" s="1237"/>
      <c r="HJ21" s="1248">
        <v>0</v>
      </c>
      <c r="HK21" s="1242"/>
      <c r="HL21" s="1237"/>
      <c r="HM21" s="1248">
        <v>0</v>
      </c>
      <c r="HN21" s="1242"/>
      <c r="HO21" s="1237"/>
      <c r="HP21" s="1248">
        <v>0</v>
      </c>
      <c r="HQ21" s="1242"/>
      <c r="HR21" s="1237"/>
      <c r="HS21" s="1248">
        <v>0</v>
      </c>
      <c r="HT21" s="1242"/>
      <c r="HU21" s="1237"/>
      <c r="HV21" s="1248">
        <v>0</v>
      </c>
      <c r="HW21" s="1242"/>
      <c r="HX21" s="1237"/>
      <c r="HY21" s="1248">
        <v>0</v>
      </c>
      <c r="HZ21" s="1242"/>
      <c r="IA21" s="1237"/>
      <c r="IB21" s="1248">
        <v>0</v>
      </c>
      <c r="IC21" s="1242"/>
      <c r="ID21" s="1237"/>
      <c r="IE21" s="1248">
        <v>0</v>
      </c>
      <c r="IF21" s="1242"/>
      <c r="IG21" s="1237"/>
      <c r="IH21" s="1248">
        <v>0</v>
      </c>
      <c r="II21" s="1242"/>
      <c r="IJ21" s="1237"/>
      <c r="IK21" s="1248">
        <v>0</v>
      </c>
      <c r="IL21" s="1242"/>
      <c r="IM21" s="1237"/>
      <c r="IN21" s="1248">
        <v>0</v>
      </c>
      <c r="IO21" s="1242"/>
      <c r="IP21" s="1237"/>
      <c r="IQ21" s="1248">
        <v>0</v>
      </c>
      <c r="IR21" s="1242"/>
      <c r="IS21" s="1237"/>
      <c r="IT21" s="1248">
        <v>0</v>
      </c>
      <c r="IU21" s="1242"/>
      <c r="IV21" s="1237"/>
      <c r="IW21" s="1248">
        <v>0</v>
      </c>
      <c r="IX21" s="1242"/>
      <c r="IY21" s="1237"/>
      <c r="IZ21" s="1248">
        <v>0</v>
      </c>
      <c r="JA21" s="1242"/>
      <c r="JB21" s="1237"/>
      <c r="JC21" s="1248">
        <v>0</v>
      </c>
      <c r="JD21" s="1242"/>
      <c r="JE21" s="1237"/>
      <c r="JF21" s="1248">
        <v>0</v>
      </c>
      <c r="JG21" s="1242"/>
      <c r="JH21" s="1237"/>
      <c r="JI21" s="1248"/>
      <c r="JJ21" s="1242"/>
      <c r="JK21" s="1237"/>
      <c r="JL21" s="1248">
        <v>0</v>
      </c>
      <c r="JM21" s="1242"/>
      <c r="JN21" s="1237"/>
      <c r="JO21" s="1248">
        <v>0</v>
      </c>
      <c r="JP21" s="1242"/>
      <c r="JQ21" s="1237"/>
      <c r="JR21" s="1248"/>
      <c r="JS21" s="1242"/>
      <c r="JT21" s="1237"/>
      <c r="JU21" s="1248" t="s">
        <v>1133</v>
      </c>
      <c r="JV21" s="1249"/>
      <c r="JW21" s="1237"/>
      <c r="JX21" s="1248" t="s">
        <v>1133</v>
      </c>
      <c r="JY21" s="1242"/>
      <c r="JZ21" s="1245"/>
    </row>
    <row r="22" spans="1:286">
      <c r="A22">
        <v>19</v>
      </c>
      <c r="B22" s="1240">
        <v>0</v>
      </c>
      <c r="C22" s="1243"/>
      <c r="D22" s="1237"/>
      <c r="E22" s="1240">
        <v>0</v>
      </c>
      <c r="F22" s="1242"/>
      <c r="G22" s="1237"/>
      <c r="H22" s="1240">
        <v>0</v>
      </c>
      <c r="I22" s="1243"/>
      <c r="J22" s="1237"/>
      <c r="K22" s="1240">
        <v>0</v>
      </c>
      <c r="L22" s="1243"/>
      <c r="M22" s="1237"/>
      <c r="N22" s="1240">
        <v>0</v>
      </c>
      <c r="O22" s="1242"/>
      <c r="P22" s="1237"/>
      <c r="Q22" s="1240">
        <v>0</v>
      </c>
      <c r="R22" s="1243"/>
      <c r="S22" s="1237"/>
      <c r="T22" s="1238"/>
      <c r="U22" s="1243"/>
      <c r="V22" s="1238"/>
      <c r="W22" s="1248">
        <v>0</v>
      </c>
      <c r="X22" s="1243"/>
      <c r="Y22" s="1237"/>
      <c r="Z22" s="1248">
        <v>0</v>
      </c>
      <c r="AA22" s="1243"/>
      <c r="AB22" s="1237"/>
      <c r="AC22" s="1248">
        <v>0</v>
      </c>
      <c r="AD22" s="1242"/>
      <c r="AE22" s="1237"/>
      <c r="AF22" s="1248">
        <v>0</v>
      </c>
      <c r="AG22" s="1242"/>
      <c r="AH22" s="1237"/>
      <c r="AI22" s="1248">
        <v>0</v>
      </c>
      <c r="AJ22" s="1242"/>
      <c r="AK22" s="1237"/>
      <c r="AL22" s="1248">
        <v>0</v>
      </c>
      <c r="AM22" s="1242"/>
      <c r="AN22" s="1237"/>
      <c r="AO22" s="1248">
        <v>0</v>
      </c>
      <c r="AP22" s="1242"/>
      <c r="AQ22" s="1237"/>
      <c r="AR22" s="1248">
        <v>0</v>
      </c>
      <c r="AS22" s="1242"/>
      <c r="AT22" s="1237"/>
      <c r="AU22" s="1248">
        <v>0</v>
      </c>
      <c r="AV22" s="1242"/>
      <c r="AW22" s="1237"/>
      <c r="AX22" s="1248">
        <v>0</v>
      </c>
      <c r="AY22" s="1242"/>
      <c r="AZ22" s="1237"/>
      <c r="BA22" s="1248">
        <v>0</v>
      </c>
      <c r="BB22" s="1242"/>
      <c r="BC22" s="1237"/>
      <c r="BD22" s="1248">
        <v>0</v>
      </c>
      <c r="BE22" s="1242"/>
      <c r="BF22" s="1237"/>
      <c r="BG22" s="1248">
        <v>0</v>
      </c>
      <c r="BH22" s="1242"/>
      <c r="BI22" s="1237"/>
      <c r="BJ22" s="1248">
        <v>0</v>
      </c>
      <c r="BK22" s="1242"/>
      <c r="BL22" s="1237"/>
      <c r="BM22" s="1248">
        <v>0</v>
      </c>
      <c r="BN22" s="1242"/>
      <c r="BO22" s="1237"/>
      <c r="BP22" s="1248">
        <v>0</v>
      </c>
      <c r="BQ22" s="1242"/>
      <c r="BR22" s="1237"/>
      <c r="BS22" s="1248">
        <v>0</v>
      </c>
      <c r="BT22" s="1242"/>
      <c r="BU22" s="1237"/>
      <c r="BV22" s="1248">
        <v>0</v>
      </c>
      <c r="BW22" s="1242"/>
      <c r="BX22" s="1237"/>
      <c r="BY22" s="1248">
        <v>0</v>
      </c>
      <c r="BZ22" s="1242"/>
      <c r="CA22" s="1237"/>
      <c r="CB22" s="1248">
        <v>0</v>
      </c>
      <c r="CC22" s="1242"/>
      <c r="CD22" s="1237"/>
      <c r="CE22" s="1248">
        <v>0</v>
      </c>
      <c r="CF22" s="1242"/>
      <c r="CG22" s="1237"/>
      <c r="CH22" s="1248">
        <v>0</v>
      </c>
      <c r="CI22" s="1242"/>
      <c r="CJ22" s="1237"/>
      <c r="CK22" s="1248">
        <v>0</v>
      </c>
      <c r="CL22" s="1242"/>
      <c r="CM22" s="1237"/>
      <c r="CN22" s="1248">
        <v>0</v>
      </c>
      <c r="CO22" s="1242"/>
      <c r="CP22" s="1237"/>
      <c r="CQ22" s="1248">
        <v>0</v>
      </c>
      <c r="CR22" s="1242"/>
      <c r="CS22" s="1237"/>
      <c r="CT22" s="1248">
        <v>0</v>
      </c>
      <c r="CU22" s="1242"/>
      <c r="CV22" s="1237"/>
      <c r="CW22" s="1248">
        <v>0</v>
      </c>
      <c r="CX22" s="1242"/>
      <c r="CY22" s="1237"/>
      <c r="CZ22" s="1248">
        <v>0</v>
      </c>
      <c r="DA22" s="1242"/>
      <c r="DB22" s="1237"/>
      <c r="DC22" s="1248">
        <v>0</v>
      </c>
      <c r="DD22" s="1242"/>
      <c r="DE22" s="1237"/>
      <c r="DF22" s="1248">
        <v>0</v>
      </c>
      <c r="DG22" s="1242"/>
      <c r="DH22" s="1237"/>
      <c r="DI22" s="1248">
        <v>0</v>
      </c>
      <c r="DJ22" s="1242"/>
      <c r="DK22" s="1237"/>
      <c r="DL22" s="1248">
        <v>0</v>
      </c>
      <c r="DM22" s="1242"/>
      <c r="DN22" s="1237"/>
      <c r="DO22" s="1248">
        <v>0</v>
      </c>
      <c r="DP22" s="1242"/>
      <c r="DQ22" s="1237"/>
      <c r="DR22" s="1248">
        <v>0</v>
      </c>
      <c r="DS22" s="1242"/>
      <c r="DT22" s="1237"/>
      <c r="DU22" s="1248">
        <v>0</v>
      </c>
      <c r="DV22" s="1242"/>
      <c r="DW22" s="1237"/>
      <c r="DX22" s="1248">
        <v>0</v>
      </c>
      <c r="DY22" s="1242"/>
      <c r="DZ22" s="1237"/>
      <c r="EA22" s="1248">
        <v>0</v>
      </c>
      <c r="EB22" s="1242"/>
      <c r="EC22" s="1237"/>
      <c r="ED22" s="1248">
        <v>0</v>
      </c>
      <c r="EE22" s="1242"/>
      <c r="EF22" s="1237"/>
      <c r="EG22" s="1248">
        <v>0</v>
      </c>
      <c r="EH22" s="1242"/>
      <c r="EI22" s="1237"/>
      <c r="EJ22" s="1248">
        <v>0</v>
      </c>
      <c r="EK22" s="1242"/>
      <c r="EL22" s="1237"/>
      <c r="EM22" s="1248">
        <v>0</v>
      </c>
      <c r="EN22" s="1242"/>
      <c r="EO22" s="1237"/>
      <c r="EP22" s="1248">
        <v>0</v>
      </c>
      <c r="EQ22" s="1242"/>
      <c r="ER22" s="1237"/>
      <c r="ES22" s="1248">
        <v>0</v>
      </c>
      <c r="ET22" s="1242"/>
      <c r="EU22" s="1237"/>
      <c r="EV22" s="1248">
        <v>0</v>
      </c>
      <c r="EW22" s="1242"/>
      <c r="EX22" s="1245"/>
      <c r="EY22" s="1248">
        <v>0</v>
      </c>
      <c r="EZ22" s="1242"/>
      <c r="FA22" s="1245"/>
      <c r="FB22" s="1248">
        <v>0</v>
      </c>
      <c r="FC22" s="1242"/>
      <c r="FD22" s="1245"/>
      <c r="FE22" s="1248">
        <v>0</v>
      </c>
      <c r="FF22" s="1242"/>
      <c r="FG22" s="1237"/>
      <c r="FH22" s="1248">
        <v>0</v>
      </c>
      <c r="FI22" s="1242"/>
      <c r="FJ22" s="1237"/>
      <c r="FK22" s="1248">
        <v>0</v>
      </c>
      <c r="FL22" s="1242"/>
      <c r="FM22" s="1237"/>
      <c r="FN22" s="1248">
        <v>0</v>
      </c>
      <c r="FO22" s="1242"/>
      <c r="FP22" s="1237"/>
      <c r="FQ22" s="1248">
        <v>0</v>
      </c>
      <c r="FR22" s="1242"/>
      <c r="FS22" s="1237"/>
      <c r="FT22" s="1248">
        <v>0</v>
      </c>
      <c r="FU22" s="1242"/>
      <c r="FV22" s="1237"/>
      <c r="FW22" s="1248">
        <v>0</v>
      </c>
      <c r="FX22" s="1242"/>
      <c r="FY22" s="1237"/>
      <c r="FZ22" s="1248">
        <v>0</v>
      </c>
      <c r="GA22" s="1242"/>
      <c r="GB22" s="1237"/>
      <c r="GC22" s="1248">
        <v>0</v>
      </c>
      <c r="GD22" s="1242"/>
      <c r="GE22" s="1237"/>
      <c r="GF22" s="1248">
        <v>0</v>
      </c>
      <c r="GG22" s="1242"/>
      <c r="GH22" s="1237"/>
      <c r="GI22" s="1248">
        <v>0</v>
      </c>
      <c r="GJ22" s="1242"/>
      <c r="GK22" s="1237"/>
      <c r="GL22" s="1248">
        <v>0</v>
      </c>
      <c r="GM22" s="1242"/>
      <c r="GN22" s="1237"/>
      <c r="GO22" s="1248">
        <v>0</v>
      </c>
      <c r="GP22" s="1242"/>
      <c r="GQ22" s="1237"/>
      <c r="GR22" s="1248">
        <v>0</v>
      </c>
      <c r="GS22" s="1242"/>
      <c r="GT22" s="1237"/>
      <c r="GU22" s="1248">
        <v>0</v>
      </c>
      <c r="GV22" s="1242"/>
      <c r="GW22" s="1237"/>
      <c r="GX22" s="1248">
        <v>0</v>
      </c>
      <c r="GY22" s="1242"/>
      <c r="GZ22" s="1237"/>
      <c r="HA22" s="1248">
        <v>0</v>
      </c>
      <c r="HB22" s="1242"/>
      <c r="HC22" s="1237"/>
      <c r="HD22" s="1248">
        <v>0</v>
      </c>
      <c r="HE22" s="1242"/>
      <c r="HF22" s="1237"/>
      <c r="HG22" s="1248">
        <v>0</v>
      </c>
      <c r="HH22" s="1242"/>
      <c r="HI22" s="1237"/>
      <c r="HJ22" s="1248">
        <v>0</v>
      </c>
      <c r="HK22" s="1242"/>
      <c r="HL22" s="1237"/>
      <c r="HM22" s="1248">
        <v>0</v>
      </c>
      <c r="HN22" s="1242"/>
      <c r="HO22" s="1237"/>
      <c r="HP22" s="1248">
        <v>0</v>
      </c>
      <c r="HQ22" s="1242"/>
      <c r="HR22" s="1237"/>
      <c r="HS22" s="1248">
        <v>0</v>
      </c>
      <c r="HT22" s="1242"/>
      <c r="HU22" s="1237"/>
      <c r="HV22" s="1248">
        <v>0</v>
      </c>
      <c r="HW22" s="1242"/>
      <c r="HX22" s="1237"/>
      <c r="HY22" s="1248">
        <v>0</v>
      </c>
      <c r="HZ22" s="1242"/>
      <c r="IA22" s="1237"/>
      <c r="IB22" s="1248">
        <v>0</v>
      </c>
      <c r="IC22" s="1242"/>
      <c r="ID22" s="1237"/>
      <c r="IE22" s="1248">
        <v>0</v>
      </c>
      <c r="IF22" s="1242"/>
      <c r="IG22" s="1237"/>
      <c r="IH22" s="1248">
        <v>0</v>
      </c>
      <c r="II22" s="1242"/>
      <c r="IJ22" s="1237"/>
      <c r="IK22" s="1248">
        <v>0</v>
      </c>
      <c r="IL22" s="1242"/>
      <c r="IM22" s="1237"/>
      <c r="IN22" s="1248">
        <v>0</v>
      </c>
      <c r="IO22" s="1242"/>
      <c r="IP22" s="1237"/>
      <c r="IQ22" s="1248">
        <v>0</v>
      </c>
      <c r="IR22" s="1242"/>
      <c r="IS22" s="1237"/>
      <c r="IT22" s="1248">
        <v>0</v>
      </c>
      <c r="IU22" s="1242"/>
      <c r="IV22" s="1237"/>
      <c r="IW22" s="1248">
        <v>0</v>
      </c>
      <c r="IX22" s="1242"/>
      <c r="IY22" s="1237"/>
      <c r="IZ22" s="1248">
        <v>0</v>
      </c>
      <c r="JA22" s="1242"/>
      <c r="JB22" s="1237"/>
      <c r="JC22" s="1248">
        <v>0</v>
      </c>
      <c r="JD22" s="1242"/>
      <c r="JE22" s="1237"/>
      <c r="JF22" s="1248">
        <v>0</v>
      </c>
      <c r="JG22" s="1242"/>
      <c r="JH22" s="1237"/>
      <c r="JI22" s="1248"/>
      <c r="JJ22" s="1242"/>
      <c r="JK22" s="1237"/>
      <c r="JL22" s="1248">
        <v>0</v>
      </c>
      <c r="JM22" s="1242"/>
      <c r="JN22" s="1237"/>
      <c r="JO22" s="1248">
        <v>0</v>
      </c>
      <c r="JP22" s="1242"/>
      <c r="JQ22" s="1237"/>
      <c r="JR22" s="1248"/>
      <c r="JS22" s="1242"/>
      <c r="JT22" s="1237"/>
      <c r="JU22" s="1248" t="s">
        <v>1133</v>
      </c>
      <c r="JV22" s="1249"/>
      <c r="JW22" s="1237"/>
      <c r="JX22" s="1248" t="s">
        <v>1133</v>
      </c>
      <c r="JY22" s="1242"/>
      <c r="JZ22" s="1245"/>
    </row>
    <row r="23" spans="1:286">
      <c r="A23">
        <v>20</v>
      </c>
      <c r="B23" s="1240">
        <v>0</v>
      </c>
      <c r="C23" s="1243"/>
      <c r="D23" s="1237"/>
      <c r="E23" s="1240">
        <v>0</v>
      </c>
      <c r="F23" s="1242"/>
      <c r="G23" s="1237"/>
      <c r="H23" s="1240">
        <v>0</v>
      </c>
      <c r="I23" s="1243"/>
      <c r="J23" s="1237"/>
      <c r="K23" s="1240">
        <v>0</v>
      </c>
      <c r="L23" s="1243"/>
      <c r="M23" s="1237"/>
      <c r="N23" s="1240">
        <v>0</v>
      </c>
      <c r="O23" s="1242"/>
      <c r="P23" s="1237"/>
      <c r="Q23" s="1240">
        <v>0</v>
      </c>
      <c r="R23" s="1243"/>
      <c r="S23" s="1237"/>
      <c r="T23" s="1238"/>
      <c r="U23" s="1243"/>
      <c r="V23" s="1238"/>
      <c r="W23" s="1248">
        <v>0</v>
      </c>
      <c r="X23" s="1243"/>
      <c r="Y23" s="1237"/>
      <c r="Z23" s="1248">
        <v>0</v>
      </c>
      <c r="AA23" s="1243"/>
      <c r="AB23" s="1237"/>
      <c r="AC23" s="1248">
        <v>0</v>
      </c>
      <c r="AD23" s="1242"/>
      <c r="AE23" s="1237"/>
      <c r="AF23" s="1248">
        <v>0</v>
      </c>
      <c r="AG23" s="1242"/>
      <c r="AH23" s="1237"/>
      <c r="AI23" s="1248">
        <v>0</v>
      </c>
      <c r="AJ23" s="1242"/>
      <c r="AK23" s="1237"/>
      <c r="AL23" s="1248">
        <v>0</v>
      </c>
      <c r="AM23" s="1242"/>
      <c r="AN23" s="1237"/>
      <c r="AO23" s="1248">
        <v>0</v>
      </c>
      <c r="AP23" s="1242"/>
      <c r="AQ23" s="1237"/>
      <c r="AR23" s="1248">
        <v>0</v>
      </c>
      <c r="AS23" s="1242"/>
      <c r="AT23" s="1237"/>
      <c r="AU23" s="1248">
        <v>0</v>
      </c>
      <c r="AV23" s="1242"/>
      <c r="AW23" s="1237"/>
      <c r="AX23" s="1248">
        <v>0</v>
      </c>
      <c r="AY23" s="1242"/>
      <c r="AZ23" s="1237"/>
      <c r="BA23" s="1248">
        <v>0</v>
      </c>
      <c r="BB23" s="1242"/>
      <c r="BC23" s="1237"/>
      <c r="BD23" s="1248">
        <v>0</v>
      </c>
      <c r="BE23" s="1242"/>
      <c r="BF23" s="1237"/>
      <c r="BG23" s="1248">
        <v>0</v>
      </c>
      <c r="BH23" s="1242"/>
      <c r="BI23" s="1237"/>
      <c r="BJ23" s="1248">
        <v>0</v>
      </c>
      <c r="BK23" s="1242"/>
      <c r="BL23" s="1237"/>
      <c r="BM23" s="1248">
        <v>0</v>
      </c>
      <c r="BN23" s="1242"/>
      <c r="BO23" s="1237"/>
      <c r="BP23" s="1248">
        <v>0</v>
      </c>
      <c r="BQ23" s="1242"/>
      <c r="BR23" s="1237"/>
      <c r="BS23" s="1248">
        <v>0</v>
      </c>
      <c r="BT23" s="1242"/>
      <c r="BU23" s="1237"/>
      <c r="BV23" s="1248">
        <v>0</v>
      </c>
      <c r="BW23" s="1242"/>
      <c r="BX23" s="1237"/>
      <c r="BY23" s="1248">
        <v>0</v>
      </c>
      <c r="BZ23" s="1242"/>
      <c r="CA23" s="1237"/>
      <c r="CB23" s="1248">
        <v>0</v>
      </c>
      <c r="CC23" s="1242"/>
      <c r="CD23" s="1237"/>
      <c r="CE23" s="1248">
        <v>0</v>
      </c>
      <c r="CF23" s="1242"/>
      <c r="CG23" s="1237"/>
      <c r="CH23" s="1248">
        <v>0</v>
      </c>
      <c r="CI23" s="1242"/>
      <c r="CJ23" s="1237"/>
      <c r="CK23" s="1248">
        <v>0</v>
      </c>
      <c r="CL23" s="1242"/>
      <c r="CM23" s="1237"/>
      <c r="CN23" s="1248">
        <v>0</v>
      </c>
      <c r="CO23" s="1242"/>
      <c r="CP23" s="1237"/>
      <c r="CQ23" s="1248">
        <v>0</v>
      </c>
      <c r="CR23" s="1242"/>
      <c r="CS23" s="1237"/>
      <c r="CT23" s="1248">
        <v>0</v>
      </c>
      <c r="CU23" s="1242"/>
      <c r="CV23" s="1237"/>
      <c r="CW23" s="1248">
        <v>0</v>
      </c>
      <c r="CX23" s="1242"/>
      <c r="CY23" s="1237"/>
      <c r="CZ23" s="1248">
        <v>0</v>
      </c>
      <c r="DA23" s="1242"/>
      <c r="DB23" s="1237"/>
      <c r="DC23" s="1248">
        <v>0</v>
      </c>
      <c r="DD23" s="1242"/>
      <c r="DE23" s="1237"/>
      <c r="DF23" s="1248">
        <v>0</v>
      </c>
      <c r="DG23" s="1242"/>
      <c r="DH23" s="1237"/>
      <c r="DI23" s="1248">
        <v>0</v>
      </c>
      <c r="DJ23" s="1242"/>
      <c r="DK23" s="1237"/>
      <c r="DL23" s="1248">
        <v>0</v>
      </c>
      <c r="DM23" s="1242"/>
      <c r="DN23" s="1237"/>
      <c r="DO23" s="1248">
        <v>0</v>
      </c>
      <c r="DP23" s="1242"/>
      <c r="DQ23" s="1237"/>
      <c r="DR23" s="1248">
        <v>0</v>
      </c>
      <c r="DS23" s="1242"/>
      <c r="DT23" s="1237"/>
      <c r="DU23" s="1248">
        <v>0</v>
      </c>
      <c r="DV23" s="1242"/>
      <c r="DW23" s="1237"/>
      <c r="DX23" s="1248">
        <v>0</v>
      </c>
      <c r="DY23" s="1242"/>
      <c r="DZ23" s="1237"/>
      <c r="EA23" s="1248">
        <v>0</v>
      </c>
      <c r="EB23" s="1242"/>
      <c r="EC23" s="1237"/>
      <c r="ED23" s="1248">
        <v>0</v>
      </c>
      <c r="EE23" s="1242"/>
      <c r="EF23" s="1237"/>
      <c r="EG23" s="1248">
        <v>0</v>
      </c>
      <c r="EH23" s="1242"/>
      <c r="EI23" s="1237"/>
      <c r="EJ23" s="1248">
        <v>0</v>
      </c>
      <c r="EK23" s="1242"/>
      <c r="EL23" s="1237"/>
      <c r="EM23" s="1248">
        <v>0</v>
      </c>
      <c r="EN23" s="1242"/>
      <c r="EO23" s="1237"/>
      <c r="EP23" s="1248">
        <v>0</v>
      </c>
      <c r="EQ23" s="1242"/>
      <c r="ER23" s="1237"/>
      <c r="ES23" s="1248">
        <v>0</v>
      </c>
      <c r="ET23" s="1242"/>
      <c r="EU23" s="1237"/>
      <c r="EV23" s="1248">
        <v>0</v>
      </c>
      <c r="EW23" s="1242"/>
      <c r="EX23" s="1245"/>
      <c r="EY23" s="1248">
        <v>0</v>
      </c>
      <c r="EZ23" s="1242"/>
      <c r="FA23" s="1245"/>
      <c r="FB23" s="1248">
        <v>0</v>
      </c>
      <c r="FC23" s="1242"/>
      <c r="FD23" s="1245"/>
      <c r="FE23" s="1248">
        <v>0</v>
      </c>
      <c r="FF23" s="1242"/>
      <c r="FG23" s="1237"/>
      <c r="FH23" s="1248">
        <v>0</v>
      </c>
      <c r="FI23" s="1242"/>
      <c r="FJ23" s="1237"/>
      <c r="FK23" s="1248">
        <v>0</v>
      </c>
      <c r="FL23" s="1242"/>
      <c r="FM23" s="1237"/>
      <c r="FN23" s="1248">
        <v>0</v>
      </c>
      <c r="FO23" s="1242"/>
      <c r="FP23" s="1237"/>
      <c r="FQ23" s="1248">
        <v>0</v>
      </c>
      <c r="FR23" s="1242"/>
      <c r="FS23" s="1237"/>
      <c r="FT23" s="1248">
        <v>0</v>
      </c>
      <c r="FU23" s="1242"/>
      <c r="FV23" s="1237"/>
      <c r="FW23" s="1248">
        <v>0</v>
      </c>
      <c r="FX23" s="1242"/>
      <c r="FY23" s="1237"/>
      <c r="FZ23" s="1248">
        <v>0</v>
      </c>
      <c r="GA23" s="1242"/>
      <c r="GB23" s="1237"/>
      <c r="GC23" s="1248">
        <v>0</v>
      </c>
      <c r="GD23" s="1242"/>
      <c r="GE23" s="1237"/>
      <c r="GF23" s="1248">
        <v>0</v>
      </c>
      <c r="GG23" s="1242"/>
      <c r="GH23" s="1237"/>
      <c r="GI23" s="1248">
        <v>0</v>
      </c>
      <c r="GJ23" s="1242"/>
      <c r="GK23" s="1237"/>
      <c r="GL23" s="1248">
        <v>0</v>
      </c>
      <c r="GM23" s="1242"/>
      <c r="GN23" s="1237"/>
      <c r="GO23" s="1248">
        <v>0</v>
      </c>
      <c r="GP23" s="1242"/>
      <c r="GQ23" s="1237"/>
      <c r="GR23" s="1248">
        <v>0</v>
      </c>
      <c r="GS23" s="1242"/>
      <c r="GT23" s="1237"/>
      <c r="GU23" s="1248">
        <v>0</v>
      </c>
      <c r="GV23" s="1242"/>
      <c r="GW23" s="1237"/>
      <c r="GX23" s="1248">
        <v>0</v>
      </c>
      <c r="GY23" s="1242"/>
      <c r="GZ23" s="1237"/>
      <c r="HA23" s="1248">
        <v>0</v>
      </c>
      <c r="HB23" s="1242"/>
      <c r="HC23" s="1237"/>
      <c r="HD23" s="1248">
        <v>0</v>
      </c>
      <c r="HE23" s="1242"/>
      <c r="HF23" s="1237"/>
      <c r="HG23" s="1248">
        <v>0</v>
      </c>
      <c r="HH23" s="1242"/>
      <c r="HI23" s="1237"/>
      <c r="HJ23" s="1248">
        <v>0</v>
      </c>
      <c r="HK23" s="1242"/>
      <c r="HL23" s="1237"/>
      <c r="HM23" s="1248">
        <v>0</v>
      </c>
      <c r="HN23" s="1242"/>
      <c r="HO23" s="1237"/>
      <c r="HP23" s="1248">
        <v>0</v>
      </c>
      <c r="HQ23" s="1242"/>
      <c r="HR23" s="1237"/>
      <c r="HS23" s="1248">
        <v>0</v>
      </c>
      <c r="HT23" s="1242"/>
      <c r="HU23" s="1237"/>
      <c r="HV23" s="1248">
        <v>0</v>
      </c>
      <c r="HW23" s="1242"/>
      <c r="HX23" s="1237"/>
      <c r="HY23" s="1248">
        <v>0</v>
      </c>
      <c r="HZ23" s="1242"/>
      <c r="IA23" s="1237"/>
      <c r="IB23" s="1248">
        <v>0</v>
      </c>
      <c r="IC23" s="1242"/>
      <c r="ID23" s="1237"/>
      <c r="IE23" s="1248">
        <v>0</v>
      </c>
      <c r="IF23" s="1242"/>
      <c r="IG23" s="1237"/>
      <c r="IH23" s="1248">
        <v>0</v>
      </c>
      <c r="II23" s="1242"/>
      <c r="IJ23" s="1237"/>
      <c r="IK23" s="1248">
        <v>0</v>
      </c>
      <c r="IL23" s="1242"/>
      <c r="IM23" s="1237"/>
      <c r="IN23" s="1248">
        <v>0</v>
      </c>
      <c r="IO23" s="1242"/>
      <c r="IP23" s="1237"/>
      <c r="IQ23" s="1248">
        <v>0</v>
      </c>
      <c r="IR23" s="1242"/>
      <c r="IS23" s="1237"/>
      <c r="IT23" s="1248">
        <v>0</v>
      </c>
      <c r="IU23" s="1242"/>
      <c r="IV23" s="1237"/>
      <c r="IW23" s="1248">
        <v>0</v>
      </c>
      <c r="IX23" s="1242"/>
      <c r="IY23" s="1237"/>
      <c r="IZ23" s="1248">
        <v>0</v>
      </c>
      <c r="JA23" s="1242"/>
      <c r="JB23" s="1237"/>
      <c r="JC23" s="1248">
        <v>0</v>
      </c>
      <c r="JD23" s="1242"/>
      <c r="JE23" s="1237"/>
      <c r="JF23" s="1248">
        <v>0</v>
      </c>
      <c r="JG23" s="1242"/>
      <c r="JH23" s="1237"/>
      <c r="JI23" s="1248"/>
      <c r="JJ23" s="1242"/>
      <c r="JK23" s="1237"/>
      <c r="JL23" s="1248">
        <v>0</v>
      </c>
      <c r="JM23" s="1242"/>
      <c r="JN23" s="1237"/>
      <c r="JO23" s="1248">
        <v>0</v>
      </c>
      <c r="JP23" s="1242"/>
      <c r="JQ23" s="1237"/>
      <c r="JR23" s="1248"/>
      <c r="JS23" s="1242"/>
      <c r="JT23" s="1237"/>
      <c r="JU23" s="1248" t="s">
        <v>1133</v>
      </c>
      <c r="JV23" s="1249"/>
      <c r="JW23" s="1237"/>
      <c r="JX23" s="1248" t="s">
        <v>1133</v>
      </c>
      <c r="JY23" s="1242"/>
      <c r="JZ23" s="1245"/>
    </row>
    <row r="24" spans="1:286">
      <c r="A24">
        <v>21</v>
      </c>
      <c r="B24" s="1240">
        <v>0</v>
      </c>
      <c r="C24" s="1242"/>
      <c r="D24" s="1237"/>
      <c r="E24" s="1240">
        <v>0</v>
      </c>
      <c r="F24" s="1242"/>
      <c r="G24" s="1237"/>
      <c r="H24" s="1240">
        <v>0</v>
      </c>
      <c r="I24" s="1242"/>
      <c r="J24" s="1237"/>
      <c r="K24" s="1240">
        <v>0</v>
      </c>
      <c r="L24" s="1242"/>
      <c r="M24" s="1237"/>
      <c r="N24" s="1240">
        <v>0</v>
      </c>
      <c r="O24" s="1242"/>
      <c r="P24" s="1237"/>
      <c r="Q24" s="1240">
        <v>0</v>
      </c>
      <c r="R24" s="1243"/>
      <c r="S24" s="1237"/>
      <c r="T24" s="1238"/>
      <c r="U24" s="1243"/>
      <c r="V24" s="1238"/>
      <c r="W24" s="1248">
        <v>0</v>
      </c>
      <c r="X24" s="1242"/>
      <c r="Y24" s="1237"/>
      <c r="Z24" s="1248">
        <v>0</v>
      </c>
      <c r="AA24" s="1243"/>
      <c r="AB24" s="1237"/>
      <c r="AC24" s="1248">
        <v>0</v>
      </c>
      <c r="AD24" s="1242"/>
      <c r="AE24" s="1237"/>
      <c r="AF24" s="1248">
        <v>0</v>
      </c>
      <c r="AG24" s="1242"/>
      <c r="AH24" s="1237"/>
      <c r="AI24" s="1248">
        <v>0</v>
      </c>
      <c r="AJ24" s="1242"/>
      <c r="AK24" s="1237"/>
      <c r="AL24" s="1248">
        <v>0</v>
      </c>
      <c r="AM24" s="1242"/>
      <c r="AN24" s="1237"/>
      <c r="AO24" s="1248">
        <v>0</v>
      </c>
      <c r="AP24" s="1242"/>
      <c r="AQ24" s="1237"/>
      <c r="AR24" s="1248">
        <v>0</v>
      </c>
      <c r="AS24" s="1242"/>
      <c r="AT24" s="1237"/>
      <c r="AU24" s="1248">
        <v>0</v>
      </c>
      <c r="AV24" s="1242"/>
      <c r="AW24" s="1237"/>
      <c r="AX24" s="1248">
        <v>0</v>
      </c>
      <c r="AY24" s="1242"/>
      <c r="AZ24" s="1237"/>
      <c r="BA24" s="1248">
        <v>0</v>
      </c>
      <c r="BB24" s="1242"/>
      <c r="BC24" s="1237"/>
      <c r="BD24" s="1248">
        <v>0</v>
      </c>
      <c r="BE24" s="1242"/>
      <c r="BF24" s="1237"/>
      <c r="BG24" s="1248">
        <v>0</v>
      </c>
      <c r="BH24" s="1242"/>
      <c r="BI24" s="1237"/>
      <c r="BJ24" s="1248">
        <v>0</v>
      </c>
      <c r="BK24" s="1242"/>
      <c r="BL24" s="1237"/>
      <c r="BM24" s="1248">
        <v>0</v>
      </c>
      <c r="BN24" s="1242"/>
      <c r="BO24" s="1237"/>
      <c r="BP24" s="1248">
        <v>0</v>
      </c>
      <c r="BQ24" s="1242"/>
      <c r="BR24" s="1237"/>
      <c r="BS24" s="1248">
        <v>0</v>
      </c>
      <c r="BT24" s="1242"/>
      <c r="BU24" s="1237"/>
      <c r="BV24" s="1248">
        <v>0</v>
      </c>
      <c r="BW24" s="1242"/>
      <c r="BX24" s="1237"/>
      <c r="BY24" s="1248">
        <v>0</v>
      </c>
      <c r="BZ24" s="1242"/>
      <c r="CA24" s="1237"/>
      <c r="CB24" s="1248">
        <v>0</v>
      </c>
      <c r="CC24" s="1242"/>
      <c r="CD24" s="1237"/>
      <c r="CE24" s="1248">
        <v>0</v>
      </c>
      <c r="CF24" s="1242"/>
      <c r="CG24" s="1237"/>
      <c r="CH24" s="1248">
        <v>0</v>
      </c>
      <c r="CI24" s="1242"/>
      <c r="CJ24" s="1237"/>
      <c r="CK24" s="1248">
        <v>0</v>
      </c>
      <c r="CL24" s="1242"/>
      <c r="CM24" s="1237"/>
      <c r="CN24" s="1248">
        <v>0</v>
      </c>
      <c r="CO24" s="1242"/>
      <c r="CP24" s="1237"/>
      <c r="CQ24" s="1248">
        <v>0</v>
      </c>
      <c r="CR24" s="1242"/>
      <c r="CS24" s="1237"/>
      <c r="CT24" s="1248">
        <v>0</v>
      </c>
      <c r="CU24" s="1242"/>
      <c r="CV24" s="1237"/>
      <c r="CW24" s="1248">
        <v>0</v>
      </c>
      <c r="CX24" s="1242"/>
      <c r="CY24" s="1237"/>
      <c r="CZ24" s="1248">
        <v>0</v>
      </c>
      <c r="DA24" s="1242"/>
      <c r="DB24" s="1237"/>
      <c r="DC24" s="1248">
        <v>0</v>
      </c>
      <c r="DD24" s="1242"/>
      <c r="DE24" s="1237"/>
      <c r="DF24" s="1248">
        <v>0</v>
      </c>
      <c r="DG24" s="1242"/>
      <c r="DH24" s="1237"/>
      <c r="DI24" s="1248">
        <v>0</v>
      </c>
      <c r="DJ24" s="1242"/>
      <c r="DK24" s="1237"/>
      <c r="DL24" s="1248">
        <v>0</v>
      </c>
      <c r="DM24" s="1242"/>
      <c r="DN24" s="1237"/>
      <c r="DO24" s="1248">
        <v>0</v>
      </c>
      <c r="DP24" s="1242"/>
      <c r="DQ24" s="1237"/>
      <c r="DR24" s="1248">
        <v>0</v>
      </c>
      <c r="DS24" s="1242"/>
      <c r="DT24" s="1237"/>
      <c r="DU24" s="1248">
        <v>0</v>
      </c>
      <c r="DV24" s="1242"/>
      <c r="DW24" s="1237"/>
      <c r="DX24" s="1248">
        <v>0</v>
      </c>
      <c r="DY24" s="1242"/>
      <c r="DZ24" s="1237"/>
      <c r="EA24" s="1248">
        <v>0</v>
      </c>
      <c r="EB24" s="1242"/>
      <c r="EC24" s="1237"/>
      <c r="ED24" s="1248">
        <v>0</v>
      </c>
      <c r="EE24" s="1242"/>
      <c r="EF24" s="1237"/>
      <c r="EG24" s="1248">
        <v>0</v>
      </c>
      <c r="EH24" s="1242"/>
      <c r="EI24" s="1237"/>
      <c r="EJ24" s="1248">
        <v>0</v>
      </c>
      <c r="EK24" s="1242"/>
      <c r="EL24" s="1237"/>
      <c r="EM24" s="1248">
        <v>0</v>
      </c>
      <c r="EN24" s="1242"/>
      <c r="EO24" s="1237"/>
      <c r="EP24" s="1248">
        <v>0</v>
      </c>
      <c r="EQ24" s="1242"/>
      <c r="ER24" s="1237"/>
      <c r="ES24" s="1248">
        <v>0</v>
      </c>
      <c r="ET24" s="1242"/>
      <c r="EU24" s="1237"/>
      <c r="EV24" s="1248">
        <v>0</v>
      </c>
      <c r="EW24" s="1242"/>
      <c r="EX24" s="1245"/>
      <c r="EY24" s="1248">
        <v>0</v>
      </c>
      <c r="EZ24" s="1242"/>
      <c r="FA24" s="1245"/>
      <c r="FB24" s="1248">
        <v>0</v>
      </c>
      <c r="FC24" s="1242"/>
      <c r="FD24" s="1245"/>
      <c r="FE24" s="1248">
        <v>0</v>
      </c>
      <c r="FF24" s="1242"/>
      <c r="FG24" s="1237"/>
      <c r="FH24" s="1248">
        <v>0</v>
      </c>
      <c r="FI24" s="1242"/>
      <c r="FJ24" s="1237"/>
      <c r="FK24" s="1248">
        <v>0</v>
      </c>
      <c r="FL24" s="1242"/>
      <c r="FM24" s="1237"/>
      <c r="FN24" s="1248">
        <v>0</v>
      </c>
      <c r="FO24" s="1242"/>
      <c r="FP24" s="1237"/>
      <c r="FQ24" s="1248">
        <v>0</v>
      </c>
      <c r="FR24" s="1242"/>
      <c r="FS24" s="1237"/>
      <c r="FT24" s="1248">
        <v>0</v>
      </c>
      <c r="FU24" s="1242"/>
      <c r="FV24" s="1237"/>
      <c r="FW24" s="1248">
        <v>0</v>
      </c>
      <c r="FX24" s="1242"/>
      <c r="FY24" s="1237"/>
      <c r="FZ24" s="1248">
        <v>0</v>
      </c>
      <c r="GA24" s="1242"/>
      <c r="GB24" s="1237"/>
      <c r="GC24" s="1248">
        <v>0</v>
      </c>
      <c r="GD24" s="1242"/>
      <c r="GE24" s="1237"/>
      <c r="GF24" s="1248">
        <v>0</v>
      </c>
      <c r="GG24" s="1242"/>
      <c r="GH24" s="1237"/>
      <c r="GI24" s="1248">
        <v>0</v>
      </c>
      <c r="GJ24" s="1242"/>
      <c r="GK24" s="1237"/>
      <c r="GL24" s="1248">
        <v>0</v>
      </c>
      <c r="GM24" s="1242"/>
      <c r="GN24" s="1237"/>
      <c r="GO24" s="1248">
        <v>0</v>
      </c>
      <c r="GP24" s="1242"/>
      <c r="GQ24" s="1237"/>
      <c r="GR24" s="1248">
        <v>0</v>
      </c>
      <c r="GS24" s="1242"/>
      <c r="GT24" s="1237"/>
      <c r="GU24" s="1248">
        <v>0</v>
      </c>
      <c r="GV24" s="1242"/>
      <c r="GW24" s="1237"/>
      <c r="GX24" s="1248">
        <v>0</v>
      </c>
      <c r="GY24" s="1242"/>
      <c r="GZ24" s="1237"/>
      <c r="HA24" s="1248">
        <v>0</v>
      </c>
      <c r="HB24" s="1242"/>
      <c r="HC24" s="1237"/>
      <c r="HD24" s="1248">
        <v>0</v>
      </c>
      <c r="HE24" s="1242"/>
      <c r="HF24" s="1237"/>
      <c r="HG24" s="1248">
        <v>0</v>
      </c>
      <c r="HH24" s="1242"/>
      <c r="HI24" s="1237"/>
      <c r="HJ24" s="1248">
        <v>0</v>
      </c>
      <c r="HK24" s="1242"/>
      <c r="HL24" s="1237"/>
      <c r="HM24" s="1248">
        <v>0</v>
      </c>
      <c r="HN24" s="1242"/>
      <c r="HO24" s="1237"/>
      <c r="HP24" s="1248">
        <v>0</v>
      </c>
      <c r="HQ24" s="1242"/>
      <c r="HR24" s="1237"/>
      <c r="HS24" s="1248">
        <v>0</v>
      </c>
      <c r="HT24" s="1242"/>
      <c r="HU24" s="1237"/>
      <c r="HV24" s="1248">
        <v>0</v>
      </c>
      <c r="HW24" s="1242"/>
      <c r="HX24" s="1237"/>
      <c r="HY24" s="1248">
        <v>0</v>
      </c>
      <c r="HZ24" s="1242"/>
      <c r="IA24" s="1237"/>
      <c r="IB24" s="1248">
        <v>0</v>
      </c>
      <c r="IC24" s="1242"/>
      <c r="ID24" s="1237"/>
      <c r="IE24" s="1248">
        <v>0</v>
      </c>
      <c r="IF24" s="1242"/>
      <c r="IG24" s="1237"/>
      <c r="IH24" s="1248">
        <v>0</v>
      </c>
      <c r="II24" s="1242"/>
      <c r="IJ24" s="1237"/>
      <c r="IK24" s="1248">
        <v>0</v>
      </c>
      <c r="IL24" s="1242"/>
      <c r="IM24" s="1237"/>
      <c r="IN24" s="1248">
        <v>0</v>
      </c>
      <c r="IO24" s="1242"/>
      <c r="IP24" s="1237"/>
      <c r="IQ24" s="1248">
        <v>0</v>
      </c>
      <c r="IR24" s="1242"/>
      <c r="IS24" s="1237"/>
      <c r="IT24" s="1248">
        <v>0</v>
      </c>
      <c r="IU24" s="1242"/>
      <c r="IV24" s="1237"/>
      <c r="IW24" s="1248">
        <v>0</v>
      </c>
      <c r="IX24" s="1242"/>
      <c r="IY24" s="1237"/>
      <c r="IZ24" s="1248">
        <v>0</v>
      </c>
      <c r="JA24" s="1242"/>
      <c r="JB24" s="1237"/>
      <c r="JC24" s="1248">
        <v>0</v>
      </c>
      <c r="JD24" s="1242"/>
      <c r="JE24" s="1237"/>
      <c r="JF24" s="1248">
        <v>0</v>
      </c>
      <c r="JG24" s="1242"/>
      <c r="JH24" s="1237"/>
      <c r="JI24" s="1248"/>
      <c r="JJ24" s="1242"/>
      <c r="JK24" s="1237"/>
      <c r="JL24" s="1248">
        <v>0</v>
      </c>
      <c r="JM24" s="1242"/>
      <c r="JN24" s="1237"/>
      <c r="JO24" s="1248">
        <v>0</v>
      </c>
      <c r="JP24" s="1242"/>
      <c r="JQ24" s="1237"/>
      <c r="JR24" s="1248">
        <v>0</v>
      </c>
      <c r="JS24" s="1242"/>
      <c r="JT24" s="1237"/>
      <c r="JU24" s="1248" t="s">
        <v>1133</v>
      </c>
      <c r="JV24" s="1249"/>
      <c r="JW24" s="1237"/>
      <c r="JX24" s="1248" t="s">
        <v>1133</v>
      </c>
      <c r="JY24" s="1242"/>
      <c r="JZ24" s="1245"/>
    </row>
    <row r="25" spans="1:286">
      <c r="A25">
        <v>22</v>
      </c>
      <c r="B25" s="1240">
        <v>0</v>
      </c>
      <c r="C25" s="1242"/>
      <c r="D25" s="1237"/>
      <c r="E25" s="1240">
        <v>0</v>
      </c>
      <c r="F25" s="1242"/>
      <c r="G25" s="1237"/>
      <c r="H25" s="1240">
        <v>0</v>
      </c>
      <c r="I25" s="1242"/>
      <c r="J25" s="1237"/>
      <c r="K25" s="1240">
        <v>0</v>
      </c>
      <c r="L25" s="1242"/>
      <c r="M25" s="1237"/>
      <c r="N25" s="1240">
        <v>0</v>
      </c>
      <c r="O25" s="1242"/>
      <c r="P25" s="1237"/>
      <c r="Q25" s="1240">
        <v>0</v>
      </c>
      <c r="R25" s="1243"/>
      <c r="S25" s="1237"/>
      <c r="T25" s="1238"/>
      <c r="U25" s="1243"/>
      <c r="V25" s="1238"/>
      <c r="W25" s="1248">
        <v>0</v>
      </c>
      <c r="X25" s="1242"/>
      <c r="Y25" s="1237"/>
      <c r="Z25" s="1248">
        <v>0</v>
      </c>
      <c r="AA25" s="1243"/>
      <c r="AB25" s="1237"/>
      <c r="AC25" s="1248">
        <v>0</v>
      </c>
      <c r="AD25" s="1242"/>
      <c r="AE25" s="1237"/>
      <c r="AF25" s="1248">
        <v>0</v>
      </c>
      <c r="AG25" s="1242"/>
      <c r="AH25" s="1237"/>
      <c r="AI25" s="1248">
        <v>0</v>
      </c>
      <c r="AJ25" s="1242"/>
      <c r="AK25" s="1237"/>
      <c r="AL25" s="1248">
        <v>0</v>
      </c>
      <c r="AM25" s="1242"/>
      <c r="AN25" s="1237"/>
      <c r="AO25" s="1248">
        <v>0</v>
      </c>
      <c r="AP25" s="1242"/>
      <c r="AQ25" s="1237"/>
      <c r="AR25" s="1248">
        <v>0</v>
      </c>
      <c r="AS25" s="1242"/>
      <c r="AT25" s="1237"/>
      <c r="AU25" s="1248">
        <v>0</v>
      </c>
      <c r="AV25" s="1242"/>
      <c r="AW25" s="1237"/>
      <c r="AX25" s="1248">
        <v>0</v>
      </c>
      <c r="AY25" s="1242"/>
      <c r="AZ25" s="1237"/>
      <c r="BA25" s="1248">
        <v>0</v>
      </c>
      <c r="BB25" s="1242"/>
      <c r="BC25" s="1237"/>
      <c r="BD25" s="1248">
        <v>0</v>
      </c>
      <c r="BE25" s="1242"/>
      <c r="BF25" s="1237"/>
      <c r="BG25" s="1248">
        <v>0</v>
      </c>
      <c r="BH25" s="1242"/>
      <c r="BI25" s="1237"/>
      <c r="BJ25" s="1248">
        <v>0</v>
      </c>
      <c r="BK25" s="1242"/>
      <c r="BL25" s="1237"/>
      <c r="BM25" s="1248">
        <v>0</v>
      </c>
      <c r="BN25" s="1242"/>
      <c r="BO25" s="1237"/>
      <c r="BP25" s="1248">
        <v>0</v>
      </c>
      <c r="BQ25" s="1242"/>
      <c r="BR25" s="1237"/>
      <c r="BS25" s="1248">
        <v>0</v>
      </c>
      <c r="BT25" s="1242"/>
      <c r="BU25" s="1237"/>
      <c r="BV25" s="1248">
        <v>0</v>
      </c>
      <c r="BW25" s="1242"/>
      <c r="BX25" s="1237"/>
      <c r="BY25" s="1248">
        <v>0</v>
      </c>
      <c r="BZ25" s="1242"/>
      <c r="CA25" s="1237"/>
      <c r="CB25" s="1248">
        <v>0</v>
      </c>
      <c r="CC25" s="1242"/>
      <c r="CD25" s="1237"/>
      <c r="CE25" s="1248">
        <v>0</v>
      </c>
      <c r="CF25" s="1242"/>
      <c r="CG25" s="1237"/>
      <c r="CH25" s="1248">
        <v>0</v>
      </c>
      <c r="CI25" s="1242"/>
      <c r="CJ25" s="1237"/>
      <c r="CK25" s="1248">
        <v>0</v>
      </c>
      <c r="CL25" s="1242"/>
      <c r="CM25" s="1237"/>
      <c r="CN25" s="1248">
        <v>0</v>
      </c>
      <c r="CO25" s="1242"/>
      <c r="CP25" s="1237"/>
      <c r="CQ25" s="1248">
        <v>0</v>
      </c>
      <c r="CR25" s="1242"/>
      <c r="CS25" s="1237"/>
      <c r="CT25" s="1248">
        <v>0</v>
      </c>
      <c r="CU25" s="1242"/>
      <c r="CV25" s="1237"/>
      <c r="CW25" s="1248">
        <v>0</v>
      </c>
      <c r="CX25" s="1242"/>
      <c r="CY25" s="1237"/>
      <c r="CZ25" s="1248">
        <v>0</v>
      </c>
      <c r="DA25" s="1242"/>
      <c r="DB25" s="1237"/>
      <c r="DC25" s="1248">
        <v>0</v>
      </c>
      <c r="DD25" s="1242"/>
      <c r="DE25" s="1237"/>
      <c r="DF25" s="1248">
        <v>0</v>
      </c>
      <c r="DG25" s="1242"/>
      <c r="DH25" s="1237"/>
      <c r="DI25" s="1248">
        <v>0</v>
      </c>
      <c r="DJ25" s="1242"/>
      <c r="DK25" s="1237"/>
      <c r="DL25" s="1248">
        <v>0</v>
      </c>
      <c r="DM25" s="1242"/>
      <c r="DN25" s="1237"/>
      <c r="DO25" s="1248">
        <v>0</v>
      </c>
      <c r="DP25" s="1242"/>
      <c r="DQ25" s="1237"/>
      <c r="DR25" s="1248">
        <v>0</v>
      </c>
      <c r="DS25" s="1242"/>
      <c r="DT25" s="1237"/>
      <c r="DU25" s="1248">
        <v>0</v>
      </c>
      <c r="DV25" s="1242"/>
      <c r="DW25" s="1237"/>
      <c r="DX25" s="1248">
        <v>0</v>
      </c>
      <c r="DY25" s="1242"/>
      <c r="DZ25" s="1237"/>
      <c r="EA25" s="1248">
        <v>0</v>
      </c>
      <c r="EB25" s="1242"/>
      <c r="EC25" s="1237"/>
      <c r="ED25" s="1248">
        <v>0</v>
      </c>
      <c r="EE25" s="1242"/>
      <c r="EF25" s="1237"/>
      <c r="EG25" s="1248">
        <v>0</v>
      </c>
      <c r="EH25" s="1242"/>
      <c r="EI25" s="1237"/>
      <c r="EJ25" s="1248">
        <v>0</v>
      </c>
      <c r="EK25" s="1242"/>
      <c r="EL25" s="1237"/>
      <c r="EM25" s="1248">
        <v>0</v>
      </c>
      <c r="EN25" s="1242"/>
      <c r="EO25" s="1237"/>
      <c r="EP25" s="1248">
        <v>0</v>
      </c>
      <c r="EQ25" s="1242"/>
      <c r="ER25" s="1237"/>
      <c r="ES25" s="1248">
        <v>0</v>
      </c>
      <c r="ET25" s="1242"/>
      <c r="EU25" s="1237"/>
      <c r="EV25" s="1248">
        <v>0</v>
      </c>
      <c r="EW25" s="1242"/>
      <c r="EX25" s="1245"/>
      <c r="EY25" s="1248">
        <v>0</v>
      </c>
      <c r="EZ25" s="1242"/>
      <c r="FA25" s="1245"/>
      <c r="FB25" s="1248">
        <v>0</v>
      </c>
      <c r="FC25" s="1242"/>
      <c r="FD25" s="1245"/>
      <c r="FE25" s="1248">
        <v>0</v>
      </c>
      <c r="FF25" s="1242"/>
      <c r="FG25" s="1237"/>
      <c r="FH25" s="1248">
        <v>0</v>
      </c>
      <c r="FI25" s="1242"/>
      <c r="FJ25" s="1237"/>
      <c r="FK25" s="1248">
        <v>0</v>
      </c>
      <c r="FL25" s="1242"/>
      <c r="FM25" s="1237"/>
      <c r="FN25" s="1248">
        <v>0</v>
      </c>
      <c r="FO25" s="1242"/>
      <c r="FP25" s="1237"/>
      <c r="FQ25" s="1248">
        <v>0</v>
      </c>
      <c r="FR25" s="1242"/>
      <c r="FS25" s="1237"/>
      <c r="FT25" s="1248">
        <v>0</v>
      </c>
      <c r="FU25" s="1242"/>
      <c r="FV25" s="1237"/>
      <c r="FW25" s="1248">
        <v>0</v>
      </c>
      <c r="FX25" s="1242"/>
      <c r="FY25" s="1237"/>
      <c r="FZ25" s="1248">
        <v>0</v>
      </c>
      <c r="GA25" s="1242"/>
      <c r="GB25" s="1237"/>
      <c r="GC25" s="1248">
        <v>0</v>
      </c>
      <c r="GD25" s="1242"/>
      <c r="GE25" s="1237"/>
      <c r="GF25" s="1248">
        <v>0</v>
      </c>
      <c r="GG25" s="1242"/>
      <c r="GH25" s="1237"/>
      <c r="GI25" s="1248">
        <v>0</v>
      </c>
      <c r="GJ25" s="1242"/>
      <c r="GK25" s="1237"/>
      <c r="GL25" s="1248">
        <v>0</v>
      </c>
      <c r="GM25" s="1242"/>
      <c r="GN25" s="1237"/>
      <c r="GO25" s="1248">
        <v>0</v>
      </c>
      <c r="GP25" s="1242"/>
      <c r="GQ25" s="1237"/>
      <c r="GR25" s="1248">
        <v>0</v>
      </c>
      <c r="GS25" s="1242"/>
      <c r="GT25" s="1237"/>
      <c r="GU25" s="1248">
        <v>0</v>
      </c>
      <c r="GV25" s="1242"/>
      <c r="GW25" s="1237"/>
      <c r="GX25" s="1248">
        <v>0</v>
      </c>
      <c r="GY25" s="1242"/>
      <c r="GZ25" s="1237"/>
      <c r="HA25" s="1248">
        <v>0</v>
      </c>
      <c r="HB25" s="1242"/>
      <c r="HC25" s="1237"/>
      <c r="HD25" s="1248">
        <v>0</v>
      </c>
      <c r="HE25" s="1242"/>
      <c r="HF25" s="1237"/>
      <c r="HG25" s="1248">
        <v>0</v>
      </c>
      <c r="HH25" s="1242"/>
      <c r="HI25" s="1237"/>
      <c r="HJ25" s="1248">
        <v>0</v>
      </c>
      <c r="HK25" s="1242"/>
      <c r="HL25" s="1237"/>
      <c r="HM25" s="1248">
        <v>0</v>
      </c>
      <c r="HN25" s="1242"/>
      <c r="HO25" s="1237"/>
      <c r="HP25" s="1248">
        <v>0</v>
      </c>
      <c r="HQ25" s="1242"/>
      <c r="HR25" s="1237"/>
      <c r="HS25" s="1248">
        <v>0</v>
      </c>
      <c r="HT25" s="1242"/>
      <c r="HU25" s="1237"/>
      <c r="HV25" s="1248">
        <v>0</v>
      </c>
      <c r="HW25" s="1242"/>
      <c r="HX25" s="1237"/>
      <c r="HY25" s="1248">
        <v>0</v>
      </c>
      <c r="HZ25" s="1242"/>
      <c r="IA25" s="1237"/>
      <c r="IB25" s="1248">
        <v>0</v>
      </c>
      <c r="IC25" s="1242"/>
      <c r="ID25" s="1237"/>
      <c r="IE25" s="1248">
        <v>0</v>
      </c>
      <c r="IF25" s="1242"/>
      <c r="IG25" s="1237"/>
      <c r="IH25" s="1248">
        <v>0</v>
      </c>
      <c r="II25" s="1242"/>
      <c r="IJ25" s="1237"/>
      <c r="IK25" s="1248">
        <v>0</v>
      </c>
      <c r="IL25" s="1242"/>
      <c r="IM25" s="1237"/>
      <c r="IN25" s="1248">
        <v>0</v>
      </c>
      <c r="IO25" s="1242"/>
      <c r="IP25" s="1237"/>
      <c r="IQ25" s="1248">
        <v>0</v>
      </c>
      <c r="IR25" s="1242"/>
      <c r="IS25" s="1237"/>
      <c r="IT25" s="1248">
        <v>0</v>
      </c>
      <c r="IU25" s="1242"/>
      <c r="IV25" s="1237"/>
      <c r="IW25" s="1248">
        <v>0</v>
      </c>
      <c r="IX25" s="1242"/>
      <c r="IY25" s="1237"/>
      <c r="IZ25" s="1248">
        <v>0</v>
      </c>
      <c r="JA25" s="1242"/>
      <c r="JB25" s="1237"/>
      <c r="JC25" s="1248">
        <v>0</v>
      </c>
      <c r="JD25" s="1242"/>
      <c r="JE25" s="1237"/>
      <c r="JF25" s="1248">
        <v>0</v>
      </c>
      <c r="JG25" s="1242"/>
      <c r="JH25" s="1237"/>
      <c r="JI25" s="1248"/>
      <c r="JJ25" s="1242"/>
      <c r="JK25" s="1237"/>
      <c r="JL25" s="1248">
        <v>0</v>
      </c>
      <c r="JM25" s="1242"/>
      <c r="JN25" s="1237"/>
      <c r="JO25" s="1248">
        <v>0</v>
      </c>
      <c r="JP25" s="1242"/>
      <c r="JQ25" s="1237"/>
      <c r="JR25" s="1248">
        <v>0</v>
      </c>
      <c r="JS25" s="1242"/>
      <c r="JT25" s="1237"/>
      <c r="JU25" s="1248" t="s">
        <v>1133</v>
      </c>
      <c r="JV25" s="1249"/>
      <c r="JW25" s="1237"/>
      <c r="JX25" s="1248" t="s">
        <v>1133</v>
      </c>
      <c r="JY25" s="1242"/>
      <c r="JZ25" s="1245"/>
    </row>
    <row r="26" spans="1:286">
      <c r="A26">
        <v>23</v>
      </c>
      <c r="B26" s="1240">
        <v>0</v>
      </c>
      <c r="C26" s="1242"/>
      <c r="D26" s="1237"/>
      <c r="E26" s="1240">
        <v>0</v>
      </c>
      <c r="F26" s="1242"/>
      <c r="G26" s="1237"/>
      <c r="H26" s="1240">
        <v>0</v>
      </c>
      <c r="I26" s="1242"/>
      <c r="J26" s="1237"/>
      <c r="K26" s="1240">
        <v>0</v>
      </c>
      <c r="L26" s="1242"/>
      <c r="M26" s="1237"/>
      <c r="N26" s="1240">
        <v>0</v>
      </c>
      <c r="O26" s="1242"/>
      <c r="P26" s="1237"/>
      <c r="Q26" s="1240">
        <v>0</v>
      </c>
      <c r="R26" s="1242"/>
      <c r="S26" s="1237"/>
      <c r="T26" s="1238"/>
      <c r="U26" s="1242"/>
      <c r="V26" s="1238"/>
      <c r="W26" s="1248">
        <v>0</v>
      </c>
      <c r="X26" s="1242"/>
      <c r="Y26" s="1237"/>
      <c r="Z26" s="1248">
        <v>0</v>
      </c>
      <c r="AA26" s="1243"/>
      <c r="AB26" s="1237"/>
      <c r="AC26" s="1248">
        <v>0</v>
      </c>
      <c r="AD26" s="1242"/>
      <c r="AE26" s="1237"/>
      <c r="AF26" s="1248">
        <v>0</v>
      </c>
      <c r="AG26" s="1242"/>
      <c r="AH26" s="1237"/>
      <c r="AI26" s="1248">
        <v>0</v>
      </c>
      <c r="AJ26" s="1242"/>
      <c r="AK26" s="1237"/>
      <c r="AL26" s="1248">
        <v>0</v>
      </c>
      <c r="AM26" s="1242"/>
      <c r="AN26" s="1237"/>
      <c r="AO26" s="1248">
        <v>0</v>
      </c>
      <c r="AP26" s="1242"/>
      <c r="AQ26" s="1237"/>
      <c r="AR26" s="1248">
        <v>0</v>
      </c>
      <c r="AS26" s="1242"/>
      <c r="AT26" s="1237"/>
      <c r="AU26" s="1248">
        <v>0</v>
      </c>
      <c r="AV26" s="1242"/>
      <c r="AW26" s="1237"/>
      <c r="AX26" s="1248">
        <v>0</v>
      </c>
      <c r="AY26" s="1242"/>
      <c r="AZ26" s="1237"/>
      <c r="BA26" s="1248">
        <v>0</v>
      </c>
      <c r="BB26" s="1242"/>
      <c r="BC26" s="1237"/>
      <c r="BD26" s="1248">
        <v>0</v>
      </c>
      <c r="BE26" s="1242"/>
      <c r="BF26" s="1237"/>
      <c r="BG26" s="1248">
        <v>0</v>
      </c>
      <c r="BH26" s="1242"/>
      <c r="BI26" s="1237"/>
      <c r="BJ26" s="1248">
        <v>0</v>
      </c>
      <c r="BK26" s="1242"/>
      <c r="BL26" s="1237"/>
      <c r="BM26" s="1248">
        <v>0</v>
      </c>
      <c r="BN26" s="1242"/>
      <c r="BO26" s="1237"/>
      <c r="BP26" s="1248">
        <v>0</v>
      </c>
      <c r="BQ26" s="1242"/>
      <c r="BR26" s="1237"/>
      <c r="BS26" s="1248">
        <v>0</v>
      </c>
      <c r="BT26" s="1242"/>
      <c r="BU26" s="1237"/>
      <c r="BV26" s="1248">
        <v>0</v>
      </c>
      <c r="BW26" s="1242"/>
      <c r="BX26" s="1237"/>
      <c r="BY26" s="1248">
        <v>0</v>
      </c>
      <c r="BZ26" s="1242"/>
      <c r="CA26" s="1237"/>
      <c r="CB26" s="1248">
        <v>0</v>
      </c>
      <c r="CC26" s="1242"/>
      <c r="CD26" s="1237"/>
      <c r="CE26" s="1248">
        <v>0</v>
      </c>
      <c r="CF26" s="1242"/>
      <c r="CG26" s="1237"/>
      <c r="CH26" s="1248">
        <v>0</v>
      </c>
      <c r="CI26" s="1242"/>
      <c r="CJ26" s="1237"/>
      <c r="CK26" s="1248">
        <v>0</v>
      </c>
      <c r="CL26" s="1242"/>
      <c r="CM26" s="1237"/>
      <c r="CN26" s="1248">
        <v>0</v>
      </c>
      <c r="CO26" s="1242"/>
      <c r="CP26" s="1237"/>
      <c r="CQ26" s="1248">
        <v>0</v>
      </c>
      <c r="CR26" s="1242"/>
      <c r="CS26" s="1237"/>
      <c r="CT26" s="1248">
        <v>0</v>
      </c>
      <c r="CU26" s="1242"/>
      <c r="CV26" s="1237"/>
      <c r="CW26" s="1248">
        <v>0</v>
      </c>
      <c r="CX26" s="1242"/>
      <c r="CY26" s="1237"/>
      <c r="CZ26" s="1248">
        <v>0</v>
      </c>
      <c r="DA26" s="1242"/>
      <c r="DB26" s="1237"/>
      <c r="DC26" s="1248">
        <v>0</v>
      </c>
      <c r="DD26" s="1242"/>
      <c r="DE26" s="1237"/>
      <c r="DF26" s="1248">
        <v>0</v>
      </c>
      <c r="DG26" s="1242"/>
      <c r="DH26" s="1237"/>
      <c r="DI26" s="1248">
        <v>0</v>
      </c>
      <c r="DJ26" s="1242"/>
      <c r="DK26" s="1237"/>
      <c r="DL26" s="1248">
        <v>0</v>
      </c>
      <c r="DM26" s="1242"/>
      <c r="DN26" s="1237"/>
      <c r="DO26" s="1248">
        <v>0</v>
      </c>
      <c r="DP26" s="1242"/>
      <c r="DQ26" s="1237"/>
      <c r="DR26" s="1248">
        <v>0</v>
      </c>
      <c r="DS26" s="1242"/>
      <c r="DT26" s="1237"/>
      <c r="DU26" s="1248">
        <v>0</v>
      </c>
      <c r="DV26" s="1242"/>
      <c r="DW26" s="1237"/>
      <c r="DX26" s="1248">
        <v>0</v>
      </c>
      <c r="DY26" s="1242"/>
      <c r="DZ26" s="1237"/>
      <c r="EA26" s="1248">
        <v>0</v>
      </c>
      <c r="EB26" s="1242"/>
      <c r="EC26" s="1237"/>
      <c r="ED26" s="1248">
        <v>0</v>
      </c>
      <c r="EE26" s="1242"/>
      <c r="EF26" s="1237"/>
      <c r="EG26" s="1248">
        <v>0</v>
      </c>
      <c r="EH26" s="1242"/>
      <c r="EI26" s="1237"/>
      <c r="EJ26" s="1248">
        <v>0</v>
      </c>
      <c r="EK26" s="1242"/>
      <c r="EL26" s="1237"/>
      <c r="EM26" s="1248">
        <v>0</v>
      </c>
      <c r="EN26" s="1242"/>
      <c r="EO26" s="1237"/>
      <c r="EP26" s="1248">
        <v>0</v>
      </c>
      <c r="EQ26" s="1242"/>
      <c r="ER26" s="1237"/>
      <c r="ES26" s="1248">
        <v>0</v>
      </c>
      <c r="ET26" s="1242"/>
      <c r="EU26" s="1237"/>
      <c r="EV26" s="1248">
        <v>0</v>
      </c>
      <c r="EW26" s="1242"/>
      <c r="EX26" s="1245"/>
      <c r="EY26" s="1248">
        <v>0</v>
      </c>
      <c r="EZ26" s="1242"/>
      <c r="FA26" s="1245"/>
      <c r="FB26" s="1248">
        <v>0</v>
      </c>
      <c r="FC26" s="1242"/>
      <c r="FD26" s="1245"/>
      <c r="FE26" s="1248">
        <v>0</v>
      </c>
      <c r="FF26" s="1242"/>
      <c r="FG26" s="1237"/>
      <c r="FH26" s="1248">
        <v>0</v>
      </c>
      <c r="FI26" s="1242"/>
      <c r="FJ26" s="1237"/>
      <c r="FK26" s="1248">
        <v>0</v>
      </c>
      <c r="FL26" s="1242"/>
      <c r="FM26" s="1237"/>
      <c r="FN26" s="1248">
        <v>0</v>
      </c>
      <c r="FO26" s="1242"/>
      <c r="FP26" s="1237"/>
      <c r="FQ26" s="1248">
        <v>0</v>
      </c>
      <c r="FR26" s="1242"/>
      <c r="FS26" s="1237"/>
      <c r="FT26" s="1248">
        <v>0</v>
      </c>
      <c r="FU26" s="1242"/>
      <c r="FV26" s="1237"/>
      <c r="FW26" s="1248">
        <v>0</v>
      </c>
      <c r="FX26" s="1242"/>
      <c r="FY26" s="1237"/>
      <c r="FZ26" s="1248">
        <v>0</v>
      </c>
      <c r="GA26" s="1242"/>
      <c r="GB26" s="1237"/>
      <c r="GC26" s="1248">
        <v>0</v>
      </c>
      <c r="GD26" s="1242"/>
      <c r="GE26" s="1237"/>
      <c r="GF26" s="1248">
        <v>0</v>
      </c>
      <c r="GG26" s="1242"/>
      <c r="GH26" s="1237"/>
      <c r="GI26" s="1248">
        <v>0</v>
      </c>
      <c r="GJ26" s="1242"/>
      <c r="GK26" s="1237"/>
      <c r="GL26" s="1248">
        <v>0</v>
      </c>
      <c r="GM26" s="1242"/>
      <c r="GN26" s="1237"/>
      <c r="GO26" s="1248">
        <v>0</v>
      </c>
      <c r="GP26" s="1242"/>
      <c r="GQ26" s="1237"/>
      <c r="GR26" s="1248">
        <v>0</v>
      </c>
      <c r="GS26" s="1242"/>
      <c r="GT26" s="1237"/>
      <c r="GU26" s="1248">
        <v>0</v>
      </c>
      <c r="GV26" s="1242"/>
      <c r="GW26" s="1237"/>
      <c r="GX26" s="1248">
        <v>0</v>
      </c>
      <c r="GY26" s="1242"/>
      <c r="GZ26" s="1237"/>
      <c r="HA26" s="1248">
        <v>0</v>
      </c>
      <c r="HB26" s="1242"/>
      <c r="HC26" s="1237"/>
      <c r="HD26" s="1248">
        <v>0</v>
      </c>
      <c r="HE26" s="1242"/>
      <c r="HF26" s="1237"/>
      <c r="HG26" s="1248">
        <v>0</v>
      </c>
      <c r="HH26" s="1242"/>
      <c r="HI26" s="1237"/>
      <c r="HJ26" s="1248">
        <v>0</v>
      </c>
      <c r="HK26" s="1242"/>
      <c r="HL26" s="1237"/>
      <c r="HM26" s="1248">
        <v>0</v>
      </c>
      <c r="HN26" s="1242"/>
      <c r="HO26" s="1237"/>
      <c r="HP26" s="1248">
        <v>0</v>
      </c>
      <c r="HQ26" s="1242"/>
      <c r="HR26" s="1237"/>
      <c r="HS26" s="1248">
        <v>0</v>
      </c>
      <c r="HT26" s="1242"/>
      <c r="HU26" s="1237"/>
      <c r="HV26" s="1248">
        <v>0</v>
      </c>
      <c r="HW26" s="1242"/>
      <c r="HX26" s="1237"/>
      <c r="HY26" s="1248">
        <v>0</v>
      </c>
      <c r="HZ26" s="1242"/>
      <c r="IA26" s="1237"/>
      <c r="IB26" s="1248">
        <v>0</v>
      </c>
      <c r="IC26" s="1242"/>
      <c r="ID26" s="1237"/>
      <c r="IE26" s="1248">
        <v>0</v>
      </c>
      <c r="IF26" s="1242"/>
      <c r="IG26" s="1237"/>
      <c r="IH26" s="1248">
        <v>0</v>
      </c>
      <c r="II26" s="1242"/>
      <c r="IJ26" s="1237"/>
      <c r="IK26" s="1248">
        <v>0</v>
      </c>
      <c r="IL26" s="1242"/>
      <c r="IM26" s="1237"/>
      <c r="IN26" s="1248">
        <v>0</v>
      </c>
      <c r="IO26" s="1242"/>
      <c r="IP26" s="1237"/>
      <c r="IQ26" s="1248">
        <v>0</v>
      </c>
      <c r="IR26" s="1242"/>
      <c r="IS26" s="1237"/>
      <c r="IT26" s="1248">
        <v>0</v>
      </c>
      <c r="IU26" s="1242"/>
      <c r="IV26" s="1237"/>
      <c r="IW26" s="1248">
        <v>0</v>
      </c>
      <c r="IX26" s="1242"/>
      <c r="IY26" s="1237"/>
      <c r="IZ26" s="1248">
        <v>0</v>
      </c>
      <c r="JA26" s="1242"/>
      <c r="JB26" s="1237"/>
      <c r="JC26" s="1248">
        <v>0</v>
      </c>
      <c r="JD26" s="1242"/>
      <c r="JE26" s="1237"/>
      <c r="JF26" s="1248">
        <v>0</v>
      </c>
      <c r="JG26" s="1242"/>
      <c r="JH26" s="1237"/>
      <c r="JI26" s="1248"/>
      <c r="JJ26" s="1242"/>
      <c r="JK26" s="1237"/>
      <c r="JL26" s="1248">
        <v>0</v>
      </c>
      <c r="JM26" s="1242"/>
      <c r="JN26" s="1237"/>
      <c r="JO26" s="1248">
        <v>0</v>
      </c>
      <c r="JP26" s="1242"/>
      <c r="JQ26" s="1237"/>
      <c r="JR26" s="1248">
        <v>0</v>
      </c>
      <c r="JS26" s="1242"/>
      <c r="JT26" s="1237"/>
      <c r="JU26" s="1248" t="s">
        <v>1133</v>
      </c>
      <c r="JV26" s="1249"/>
      <c r="JW26" s="1237"/>
      <c r="JX26" s="1248" t="s">
        <v>1133</v>
      </c>
      <c r="JY26" s="1242"/>
      <c r="JZ26" s="1245"/>
    </row>
    <row r="27" spans="1:286">
      <c r="A27">
        <v>24</v>
      </c>
      <c r="B27" s="1240">
        <v>0</v>
      </c>
      <c r="C27" s="1242"/>
      <c r="D27" s="1237"/>
      <c r="E27" s="1240">
        <v>0</v>
      </c>
      <c r="F27" s="1242"/>
      <c r="G27" s="1237"/>
      <c r="H27" s="1240">
        <v>0</v>
      </c>
      <c r="I27" s="1242"/>
      <c r="J27" s="1237"/>
      <c r="K27" s="1240">
        <v>0</v>
      </c>
      <c r="L27" s="1242"/>
      <c r="M27" s="1237"/>
      <c r="N27" s="1240">
        <v>0</v>
      </c>
      <c r="O27" s="1242"/>
      <c r="P27" s="1237"/>
      <c r="Q27" s="1240">
        <v>0</v>
      </c>
      <c r="R27" s="1242"/>
      <c r="S27" s="1237"/>
      <c r="T27" s="1238"/>
      <c r="U27" s="1242"/>
      <c r="V27" s="1238"/>
      <c r="W27" s="1248">
        <v>0</v>
      </c>
      <c r="X27" s="1242"/>
      <c r="Y27" s="1237"/>
      <c r="Z27" s="1248">
        <v>0</v>
      </c>
      <c r="AA27" s="1243"/>
      <c r="AB27" s="1237"/>
      <c r="AC27" s="1248">
        <v>0</v>
      </c>
      <c r="AD27" s="1242"/>
      <c r="AE27" s="1237"/>
      <c r="AF27" s="1248">
        <v>0</v>
      </c>
      <c r="AG27" s="1242"/>
      <c r="AH27" s="1237"/>
      <c r="AI27" s="1248">
        <v>0</v>
      </c>
      <c r="AJ27" s="1242"/>
      <c r="AK27" s="1237"/>
      <c r="AL27" s="1248">
        <v>0</v>
      </c>
      <c r="AM27" s="1242"/>
      <c r="AN27" s="1237"/>
      <c r="AO27" s="1248">
        <v>0</v>
      </c>
      <c r="AP27" s="1242"/>
      <c r="AQ27" s="1237"/>
      <c r="AR27" s="1248">
        <v>0</v>
      </c>
      <c r="AS27" s="1242"/>
      <c r="AT27" s="1237"/>
      <c r="AU27" s="1248">
        <v>0</v>
      </c>
      <c r="AV27" s="1242"/>
      <c r="AW27" s="1237"/>
      <c r="AX27" s="1248">
        <v>0</v>
      </c>
      <c r="AY27" s="1242"/>
      <c r="AZ27" s="1237"/>
      <c r="BA27" s="1248">
        <v>0</v>
      </c>
      <c r="BB27" s="1242"/>
      <c r="BC27" s="1237"/>
      <c r="BD27" s="1248">
        <v>0</v>
      </c>
      <c r="BE27" s="1242"/>
      <c r="BF27" s="1237"/>
      <c r="BG27" s="1248">
        <v>0</v>
      </c>
      <c r="BH27" s="1242"/>
      <c r="BI27" s="1237"/>
      <c r="BJ27" s="1248">
        <v>0</v>
      </c>
      <c r="BK27" s="1242"/>
      <c r="BL27" s="1237"/>
      <c r="BM27" s="1248">
        <v>0</v>
      </c>
      <c r="BN27" s="1242"/>
      <c r="BO27" s="1237"/>
      <c r="BP27" s="1248">
        <v>0</v>
      </c>
      <c r="BQ27" s="1242"/>
      <c r="BR27" s="1237"/>
      <c r="BS27" s="1248">
        <v>0</v>
      </c>
      <c r="BT27" s="1242"/>
      <c r="BU27" s="1237"/>
      <c r="BV27" s="1248">
        <v>0</v>
      </c>
      <c r="BW27" s="1242"/>
      <c r="BX27" s="1237"/>
      <c r="BY27" s="1248">
        <v>0</v>
      </c>
      <c r="BZ27" s="1242"/>
      <c r="CA27" s="1237"/>
      <c r="CB27" s="1248">
        <v>0</v>
      </c>
      <c r="CC27" s="1242"/>
      <c r="CD27" s="1237"/>
      <c r="CE27" s="1248">
        <v>0</v>
      </c>
      <c r="CF27" s="1242"/>
      <c r="CG27" s="1237"/>
      <c r="CH27" s="1248">
        <v>0</v>
      </c>
      <c r="CI27" s="1242"/>
      <c r="CJ27" s="1237"/>
      <c r="CK27" s="1248">
        <v>0</v>
      </c>
      <c r="CL27" s="1242"/>
      <c r="CM27" s="1237"/>
      <c r="CN27" s="1248">
        <v>0</v>
      </c>
      <c r="CO27" s="1242"/>
      <c r="CP27" s="1237"/>
      <c r="CQ27" s="1248">
        <v>0</v>
      </c>
      <c r="CR27" s="1242"/>
      <c r="CS27" s="1237"/>
      <c r="CT27" s="1248">
        <v>0</v>
      </c>
      <c r="CU27" s="1242"/>
      <c r="CV27" s="1237"/>
      <c r="CW27" s="1248">
        <v>0</v>
      </c>
      <c r="CX27" s="1242"/>
      <c r="CY27" s="1237"/>
      <c r="CZ27" s="1248">
        <v>0</v>
      </c>
      <c r="DA27" s="1242"/>
      <c r="DB27" s="1237"/>
      <c r="DC27" s="1248">
        <v>0</v>
      </c>
      <c r="DD27" s="1242"/>
      <c r="DE27" s="1237"/>
      <c r="DF27" s="1248">
        <v>0</v>
      </c>
      <c r="DG27" s="1242"/>
      <c r="DH27" s="1237"/>
      <c r="DI27" s="1248">
        <v>0</v>
      </c>
      <c r="DJ27" s="1242"/>
      <c r="DK27" s="1237"/>
      <c r="DL27" s="1248">
        <v>0</v>
      </c>
      <c r="DM27" s="1242"/>
      <c r="DN27" s="1237"/>
      <c r="DO27" s="1248">
        <v>0</v>
      </c>
      <c r="DP27" s="1242"/>
      <c r="DQ27" s="1237"/>
      <c r="DR27" s="1248">
        <v>0</v>
      </c>
      <c r="DS27" s="1242"/>
      <c r="DT27" s="1237"/>
      <c r="DU27" s="1248">
        <v>0</v>
      </c>
      <c r="DV27" s="1242"/>
      <c r="DW27" s="1237"/>
      <c r="DX27" s="1248">
        <v>0</v>
      </c>
      <c r="DY27" s="1242"/>
      <c r="DZ27" s="1237"/>
      <c r="EA27" s="1248">
        <v>0</v>
      </c>
      <c r="EB27" s="1242"/>
      <c r="EC27" s="1237"/>
      <c r="ED27" s="1248">
        <v>0</v>
      </c>
      <c r="EE27" s="1242"/>
      <c r="EF27" s="1237"/>
      <c r="EG27" s="1248">
        <v>0</v>
      </c>
      <c r="EH27" s="1242"/>
      <c r="EI27" s="1237"/>
      <c r="EJ27" s="1248">
        <v>0</v>
      </c>
      <c r="EK27" s="1242"/>
      <c r="EL27" s="1237"/>
      <c r="EM27" s="1248">
        <v>0</v>
      </c>
      <c r="EN27" s="1242"/>
      <c r="EO27" s="1237"/>
      <c r="EP27" s="1248">
        <v>0</v>
      </c>
      <c r="EQ27" s="1242"/>
      <c r="ER27" s="1237"/>
      <c r="ES27" s="1248">
        <v>0</v>
      </c>
      <c r="ET27" s="1242"/>
      <c r="EU27" s="1237"/>
      <c r="EV27" s="1248">
        <v>0</v>
      </c>
      <c r="EW27" s="1242"/>
      <c r="EX27" s="1245"/>
      <c r="EY27" s="1248">
        <v>0</v>
      </c>
      <c r="EZ27" s="1242"/>
      <c r="FA27" s="1245"/>
      <c r="FB27" s="1248">
        <v>0</v>
      </c>
      <c r="FC27" s="1242"/>
      <c r="FD27" s="1245"/>
      <c r="FE27" s="1248">
        <v>0</v>
      </c>
      <c r="FF27" s="1242"/>
      <c r="FG27" s="1237"/>
      <c r="FH27" s="1248">
        <v>0</v>
      </c>
      <c r="FI27" s="1242"/>
      <c r="FJ27" s="1237"/>
      <c r="FK27" s="1248">
        <v>0</v>
      </c>
      <c r="FL27" s="1242"/>
      <c r="FM27" s="1237"/>
      <c r="FN27" s="1248">
        <v>0</v>
      </c>
      <c r="FO27" s="1242"/>
      <c r="FP27" s="1237"/>
      <c r="FQ27" s="1248">
        <v>0</v>
      </c>
      <c r="FR27" s="1242"/>
      <c r="FS27" s="1237"/>
      <c r="FT27" s="1248">
        <v>0</v>
      </c>
      <c r="FU27" s="1242"/>
      <c r="FV27" s="1237"/>
      <c r="FW27" s="1248">
        <v>0</v>
      </c>
      <c r="FX27" s="1242"/>
      <c r="FY27" s="1237"/>
      <c r="FZ27" s="1248">
        <v>0</v>
      </c>
      <c r="GA27" s="1242"/>
      <c r="GB27" s="1237"/>
      <c r="GC27" s="1248">
        <v>0</v>
      </c>
      <c r="GD27" s="1242"/>
      <c r="GE27" s="1237"/>
      <c r="GF27" s="1248">
        <v>0</v>
      </c>
      <c r="GG27" s="1242"/>
      <c r="GH27" s="1237"/>
      <c r="GI27" s="1248">
        <v>0</v>
      </c>
      <c r="GJ27" s="1242"/>
      <c r="GK27" s="1237"/>
      <c r="GL27" s="1248">
        <v>0</v>
      </c>
      <c r="GM27" s="1242"/>
      <c r="GN27" s="1237"/>
      <c r="GO27" s="1248">
        <v>0</v>
      </c>
      <c r="GP27" s="1242"/>
      <c r="GQ27" s="1237"/>
      <c r="GR27" s="1248">
        <v>0</v>
      </c>
      <c r="GS27" s="1242"/>
      <c r="GT27" s="1237"/>
      <c r="GU27" s="1248">
        <v>0</v>
      </c>
      <c r="GV27" s="1242"/>
      <c r="GW27" s="1237"/>
      <c r="GX27" s="1248">
        <v>0</v>
      </c>
      <c r="GY27" s="1242"/>
      <c r="GZ27" s="1237"/>
      <c r="HA27" s="1248">
        <v>0</v>
      </c>
      <c r="HB27" s="1242"/>
      <c r="HC27" s="1237"/>
      <c r="HD27" s="1248">
        <v>0</v>
      </c>
      <c r="HE27" s="1242"/>
      <c r="HF27" s="1237"/>
      <c r="HG27" s="1248">
        <v>0</v>
      </c>
      <c r="HH27" s="1242"/>
      <c r="HI27" s="1237"/>
      <c r="HJ27" s="1248">
        <v>0</v>
      </c>
      <c r="HK27" s="1242"/>
      <c r="HL27" s="1237"/>
      <c r="HM27" s="1248">
        <v>0</v>
      </c>
      <c r="HN27" s="1242"/>
      <c r="HO27" s="1237"/>
      <c r="HP27" s="1248">
        <v>0</v>
      </c>
      <c r="HQ27" s="1242"/>
      <c r="HR27" s="1237"/>
      <c r="HS27" s="1248">
        <v>0</v>
      </c>
      <c r="HT27" s="1242"/>
      <c r="HU27" s="1237"/>
      <c r="HV27" s="1248">
        <v>0</v>
      </c>
      <c r="HW27" s="1242"/>
      <c r="HX27" s="1237"/>
      <c r="HY27" s="1248">
        <v>0</v>
      </c>
      <c r="HZ27" s="1242"/>
      <c r="IA27" s="1237"/>
      <c r="IB27" s="1248">
        <v>0</v>
      </c>
      <c r="IC27" s="1242"/>
      <c r="ID27" s="1237"/>
      <c r="IE27" s="1248">
        <v>0</v>
      </c>
      <c r="IF27" s="1242"/>
      <c r="IG27" s="1237"/>
      <c r="IH27" s="1248">
        <v>0</v>
      </c>
      <c r="II27" s="1242"/>
      <c r="IJ27" s="1237"/>
      <c r="IK27" s="1248">
        <v>0</v>
      </c>
      <c r="IL27" s="1242"/>
      <c r="IM27" s="1237"/>
      <c r="IN27" s="1248">
        <v>0</v>
      </c>
      <c r="IO27" s="1242"/>
      <c r="IP27" s="1237"/>
      <c r="IQ27" s="1248">
        <v>0</v>
      </c>
      <c r="IR27" s="1242"/>
      <c r="IS27" s="1237"/>
      <c r="IT27" s="1248">
        <v>0</v>
      </c>
      <c r="IU27" s="1242"/>
      <c r="IV27" s="1237"/>
      <c r="IW27" s="1248">
        <v>0</v>
      </c>
      <c r="IX27" s="1242"/>
      <c r="IY27" s="1237"/>
      <c r="IZ27" s="1248">
        <v>0</v>
      </c>
      <c r="JA27" s="1242"/>
      <c r="JB27" s="1237"/>
      <c r="JC27" s="1248">
        <v>0</v>
      </c>
      <c r="JD27" s="1242"/>
      <c r="JE27" s="1237"/>
      <c r="JF27" s="1248">
        <v>0</v>
      </c>
      <c r="JG27" s="1242"/>
      <c r="JH27" s="1237"/>
      <c r="JI27" s="1248"/>
      <c r="JJ27" s="1242"/>
      <c r="JK27" s="1237"/>
      <c r="JL27" s="1248">
        <v>0</v>
      </c>
      <c r="JM27" s="1242"/>
      <c r="JN27" s="1237"/>
      <c r="JO27" s="1248">
        <v>0</v>
      </c>
      <c r="JP27" s="1242"/>
      <c r="JQ27" s="1237"/>
      <c r="JR27" s="1248">
        <v>0</v>
      </c>
      <c r="JS27" s="1242"/>
      <c r="JT27" s="1237"/>
      <c r="JU27" s="1248" t="s">
        <v>1133</v>
      </c>
      <c r="JV27" s="1249"/>
      <c r="JW27" s="1237"/>
      <c r="JX27" s="1248" t="s">
        <v>1133</v>
      </c>
      <c r="JY27" s="1242"/>
      <c r="JZ27" s="1245"/>
    </row>
    <row r="28" spans="1:286">
      <c r="A28">
        <v>25</v>
      </c>
      <c r="B28" s="1240">
        <v>0</v>
      </c>
      <c r="C28" s="1242"/>
      <c r="D28" s="1237"/>
      <c r="E28" s="1240">
        <v>0</v>
      </c>
      <c r="F28" s="1242"/>
      <c r="G28" s="1237"/>
      <c r="H28" s="1240">
        <v>0</v>
      </c>
      <c r="I28" s="1242"/>
      <c r="J28" s="1237"/>
      <c r="K28" s="1240">
        <v>0</v>
      </c>
      <c r="L28" s="1242"/>
      <c r="M28" s="1237"/>
      <c r="N28" s="1240">
        <v>0</v>
      </c>
      <c r="O28" s="1242"/>
      <c r="P28" s="1237"/>
      <c r="Q28" s="1240">
        <v>0</v>
      </c>
      <c r="R28" s="1242"/>
      <c r="S28" s="1237"/>
      <c r="T28" s="1238"/>
      <c r="U28" s="1242"/>
      <c r="V28" s="1238"/>
      <c r="W28" s="1248">
        <v>0</v>
      </c>
      <c r="X28" s="1242"/>
      <c r="Y28" s="1237"/>
      <c r="Z28" s="1248">
        <v>0</v>
      </c>
      <c r="AA28" s="1243"/>
      <c r="AB28" s="1237"/>
      <c r="AC28" s="1248">
        <v>0</v>
      </c>
      <c r="AD28" s="1242"/>
      <c r="AE28" s="1237"/>
      <c r="AF28" s="1248">
        <v>0</v>
      </c>
      <c r="AG28" s="1242"/>
      <c r="AH28" s="1237"/>
      <c r="AI28" s="1248">
        <v>0</v>
      </c>
      <c r="AJ28" s="1242"/>
      <c r="AK28" s="1237"/>
      <c r="AL28" s="1248">
        <v>0</v>
      </c>
      <c r="AM28" s="1242"/>
      <c r="AN28" s="1237"/>
      <c r="AO28" s="1248">
        <v>0</v>
      </c>
      <c r="AP28" s="1242"/>
      <c r="AQ28" s="1237"/>
      <c r="AR28" s="1248">
        <v>0</v>
      </c>
      <c r="AS28" s="1242"/>
      <c r="AT28" s="1237"/>
      <c r="AU28" s="1248">
        <v>0</v>
      </c>
      <c r="AV28" s="1242"/>
      <c r="AW28" s="1237"/>
      <c r="AX28" s="1248">
        <v>0</v>
      </c>
      <c r="AY28" s="1242"/>
      <c r="AZ28" s="1237"/>
      <c r="BA28" s="1248">
        <v>0</v>
      </c>
      <c r="BB28" s="1242"/>
      <c r="BC28" s="1237"/>
      <c r="BD28" s="1248">
        <v>0</v>
      </c>
      <c r="BE28" s="1242"/>
      <c r="BF28" s="1237"/>
      <c r="BG28" s="1248">
        <v>0</v>
      </c>
      <c r="BH28" s="1242"/>
      <c r="BI28" s="1237"/>
      <c r="BJ28" s="1248">
        <v>0</v>
      </c>
      <c r="BK28" s="1242"/>
      <c r="BL28" s="1237"/>
      <c r="BM28" s="1248">
        <v>0</v>
      </c>
      <c r="BN28" s="1242"/>
      <c r="BO28" s="1237"/>
      <c r="BP28" s="1248">
        <v>0</v>
      </c>
      <c r="BQ28" s="1242"/>
      <c r="BR28" s="1237"/>
      <c r="BS28" s="1248">
        <v>0</v>
      </c>
      <c r="BT28" s="1242"/>
      <c r="BU28" s="1237"/>
      <c r="BV28" s="1248">
        <v>0</v>
      </c>
      <c r="BW28" s="1242"/>
      <c r="BX28" s="1237"/>
      <c r="BY28" s="1248">
        <v>0</v>
      </c>
      <c r="BZ28" s="1242"/>
      <c r="CA28" s="1237"/>
      <c r="CB28" s="1248">
        <v>0</v>
      </c>
      <c r="CC28" s="1242"/>
      <c r="CD28" s="1237"/>
      <c r="CE28" s="1248">
        <v>0</v>
      </c>
      <c r="CF28" s="1242"/>
      <c r="CG28" s="1237"/>
      <c r="CH28" s="1248">
        <v>0</v>
      </c>
      <c r="CI28" s="1242"/>
      <c r="CJ28" s="1237"/>
      <c r="CK28" s="1248">
        <v>0</v>
      </c>
      <c r="CL28" s="1242"/>
      <c r="CM28" s="1237"/>
      <c r="CN28" s="1248">
        <v>0</v>
      </c>
      <c r="CO28" s="1242"/>
      <c r="CP28" s="1237"/>
      <c r="CQ28" s="1248">
        <v>0</v>
      </c>
      <c r="CR28" s="1242"/>
      <c r="CS28" s="1237"/>
      <c r="CT28" s="1248">
        <v>0</v>
      </c>
      <c r="CU28" s="1242"/>
      <c r="CV28" s="1237"/>
      <c r="CW28" s="1248">
        <v>0</v>
      </c>
      <c r="CX28" s="1242"/>
      <c r="CY28" s="1237"/>
      <c r="CZ28" s="1248">
        <v>0</v>
      </c>
      <c r="DA28" s="1242"/>
      <c r="DB28" s="1237"/>
      <c r="DC28" s="1248">
        <v>0</v>
      </c>
      <c r="DD28" s="1242"/>
      <c r="DE28" s="1237"/>
      <c r="DF28" s="1248">
        <v>0</v>
      </c>
      <c r="DG28" s="1242"/>
      <c r="DH28" s="1237"/>
      <c r="DI28" s="1248">
        <v>0</v>
      </c>
      <c r="DJ28" s="1242"/>
      <c r="DK28" s="1237"/>
      <c r="DL28" s="1248">
        <v>0</v>
      </c>
      <c r="DM28" s="1242"/>
      <c r="DN28" s="1237"/>
      <c r="DO28" s="1248">
        <v>0</v>
      </c>
      <c r="DP28" s="1242"/>
      <c r="DQ28" s="1237"/>
      <c r="DR28" s="1248">
        <v>0</v>
      </c>
      <c r="DS28" s="1242"/>
      <c r="DT28" s="1237"/>
      <c r="DU28" s="1248">
        <v>0</v>
      </c>
      <c r="DV28" s="1242"/>
      <c r="DW28" s="1237"/>
      <c r="DX28" s="1248">
        <v>0</v>
      </c>
      <c r="DY28" s="1242"/>
      <c r="DZ28" s="1237"/>
      <c r="EA28" s="1248">
        <v>0</v>
      </c>
      <c r="EB28" s="1242"/>
      <c r="EC28" s="1237"/>
      <c r="ED28" s="1248">
        <v>0</v>
      </c>
      <c r="EE28" s="1242"/>
      <c r="EF28" s="1237"/>
      <c r="EG28" s="1248">
        <v>0</v>
      </c>
      <c r="EH28" s="1242"/>
      <c r="EI28" s="1237"/>
      <c r="EJ28" s="1248">
        <v>0</v>
      </c>
      <c r="EK28" s="1242"/>
      <c r="EL28" s="1237"/>
      <c r="EM28" s="1248">
        <v>0</v>
      </c>
      <c r="EN28" s="1242"/>
      <c r="EO28" s="1237"/>
      <c r="EP28" s="1248">
        <v>0</v>
      </c>
      <c r="EQ28" s="1242"/>
      <c r="ER28" s="1237"/>
      <c r="ES28" s="1248">
        <v>0</v>
      </c>
      <c r="ET28" s="1242"/>
      <c r="EU28" s="1237"/>
      <c r="EV28" s="1248">
        <v>0</v>
      </c>
      <c r="EW28" s="1242"/>
      <c r="EX28" s="1245"/>
      <c r="EY28" s="1248">
        <v>0</v>
      </c>
      <c r="EZ28" s="1242"/>
      <c r="FA28" s="1245"/>
      <c r="FB28" s="1248">
        <v>0</v>
      </c>
      <c r="FC28" s="1242"/>
      <c r="FD28" s="1245"/>
      <c r="FE28" s="1248">
        <v>0</v>
      </c>
      <c r="FF28" s="1242"/>
      <c r="FG28" s="1237"/>
      <c r="FH28" s="1248">
        <v>0</v>
      </c>
      <c r="FI28" s="1242"/>
      <c r="FJ28" s="1237"/>
      <c r="FK28" s="1248">
        <v>0</v>
      </c>
      <c r="FL28" s="1242"/>
      <c r="FM28" s="1237"/>
      <c r="FN28" s="1248">
        <v>0</v>
      </c>
      <c r="FO28" s="1242"/>
      <c r="FP28" s="1237"/>
      <c r="FQ28" s="1248">
        <v>0</v>
      </c>
      <c r="FR28" s="1242"/>
      <c r="FS28" s="1237"/>
      <c r="FT28" s="1248">
        <v>0</v>
      </c>
      <c r="FU28" s="1242"/>
      <c r="FV28" s="1237"/>
      <c r="FW28" s="1248">
        <v>0</v>
      </c>
      <c r="FX28" s="1242"/>
      <c r="FY28" s="1237"/>
      <c r="FZ28" s="1248">
        <v>0</v>
      </c>
      <c r="GA28" s="1242"/>
      <c r="GB28" s="1237"/>
      <c r="GC28" s="1248">
        <v>0</v>
      </c>
      <c r="GD28" s="1242"/>
      <c r="GE28" s="1237"/>
      <c r="GF28" s="1248">
        <v>0</v>
      </c>
      <c r="GG28" s="1242"/>
      <c r="GH28" s="1237"/>
      <c r="GI28" s="1248">
        <v>0</v>
      </c>
      <c r="GJ28" s="1242"/>
      <c r="GK28" s="1237"/>
      <c r="GL28" s="1248">
        <v>0</v>
      </c>
      <c r="GM28" s="1242"/>
      <c r="GN28" s="1237"/>
      <c r="GO28" s="1248">
        <v>0</v>
      </c>
      <c r="GP28" s="1242"/>
      <c r="GQ28" s="1237"/>
      <c r="GR28" s="1248">
        <v>0</v>
      </c>
      <c r="GS28" s="1242"/>
      <c r="GT28" s="1237"/>
      <c r="GU28" s="1248">
        <v>0</v>
      </c>
      <c r="GV28" s="1242"/>
      <c r="GW28" s="1237"/>
      <c r="GX28" s="1248">
        <v>0</v>
      </c>
      <c r="GY28" s="1242"/>
      <c r="GZ28" s="1237"/>
      <c r="HA28" s="1248">
        <v>0</v>
      </c>
      <c r="HB28" s="1242"/>
      <c r="HC28" s="1237"/>
      <c r="HD28" s="1248">
        <v>0</v>
      </c>
      <c r="HE28" s="1242"/>
      <c r="HF28" s="1237"/>
      <c r="HG28" s="1248">
        <v>0</v>
      </c>
      <c r="HH28" s="1242"/>
      <c r="HI28" s="1237"/>
      <c r="HJ28" s="1248">
        <v>0</v>
      </c>
      <c r="HK28" s="1242"/>
      <c r="HL28" s="1237"/>
      <c r="HM28" s="1248">
        <v>0</v>
      </c>
      <c r="HN28" s="1242"/>
      <c r="HO28" s="1237"/>
      <c r="HP28" s="1248">
        <v>0</v>
      </c>
      <c r="HQ28" s="1242"/>
      <c r="HR28" s="1237"/>
      <c r="HS28" s="1248">
        <v>0</v>
      </c>
      <c r="HT28" s="1242"/>
      <c r="HU28" s="1237"/>
      <c r="HV28" s="1248">
        <v>0</v>
      </c>
      <c r="HW28" s="1242"/>
      <c r="HX28" s="1237"/>
      <c r="HY28" s="1248">
        <v>0</v>
      </c>
      <c r="HZ28" s="1242"/>
      <c r="IA28" s="1237"/>
      <c r="IB28" s="1248">
        <v>0</v>
      </c>
      <c r="IC28" s="1242"/>
      <c r="ID28" s="1237"/>
      <c r="IE28" s="1248">
        <v>0</v>
      </c>
      <c r="IF28" s="1242"/>
      <c r="IG28" s="1237"/>
      <c r="IH28" s="1248">
        <v>0</v>
      </c>
      <c r="II28" s="1242"/>
      <c r="IJ28" s="1237"/>
      <c r="IK28" s="1248">
        <v>0</v>
      </c>
      <c r="IL28" s="1242"/>
      <c r="IM28" s="1237"/>
      <c r="IN28" s="1248">
        <v>0</v>
      </c>
      <c r="IO28" s="1242"/>
      <c r="IP28" s="1237"/>
      <c r="IQ28" s="1248">
        <v>0</v>
      </c>
      <c r="IR28" s="1242"/>
      <c r="IS28" s="1237"/>
      <c r="IT28" s="1248">
        <v>0</v>
      </c>
      <c r="IU28" s="1242"/>
      <c r="IV28" s="1237"/>
      <c r="IW28" s="1248">
        <v>0</v>
      </c>
      <c r="IX28" s="1242"/>
      <c r="IY28" s="1237"/>
      <c r="IZ28" s="1248">
        <v>0</v>
      </c>
      <c r="JA28" s="1242"/>
      <c r="JB28" s="1237"/>
      <c r="JC28" s="1248">
        <v>0</v>
      </c>
      <c r="JD28" s="1242"/>
      <c r="JE28" s="1237"/>
      <c r="JF28" s="1248">
        <v>0</v>
      </c>
      <c r="JG28" s="1242"/>
      <c r="JH28" s="1237"/>
      <c r="JI28" s="1248"/>
      <c r="JJ28" s="1242"/>
      <c r="JK28" s="1237"/>
      <c r="JL28" s="1248">
        <v>0</v>
      </c>
      <c r="JM28" s="1242"/>
      <c r="JN28" s="1237"/>
      <c r="JO28" s="1248">
        <v>0</v>
      </c>
      <c r="JP28" s="1242"/>
      <c r="JQ28" s="1237"/>
      <c r="JR28" s="1248">
        <v>0</v>
      </c>
      <c r="JS28" s="1242"/>
      <c r="JT28" s="1237"/>
      <c r="JU28" s="1248" t="s">
        <v>1133</v>
      </c>
      <c r="JV28" s="1249"/>
      <c r="JW28" s="1237"/>
      <c r="JX28" s="1248" t="s">
        <v>1133</v>
      </c>
      <c r="JY28" s="1242"/>
      <c r="JZ28" s="1245"/>
    </row>
    <row r="29" spans="1:286">
      <c r="A29">
        <v>26</v>
      </c>
      <c r="B29" s="1240">
        <v>0</v>
      </c>
      <c r="C29" s="1242"/>
      <c r="D29" s="1237"/>
      <c r="E29" s="1240">
        <v>0</v>
      </c>
      <c r="F29" s="1242"/>
      <c r="G29" s="1237"/>
      <c r="H29" s="1240">
        <v>0</v>
      </c>
      <c r="I29" s="1242"/>
      <c r="J29" s="1237"/>
      <c r="K29" s="1240">
        <v>0</v>
      </c>
      <c r="L29" s="1242"/>
      <c r="M29" s="1237"/>
      <c r="N29" s="1240">
        <v>0</v>
      </c>
      <c r="O29" s="1242"/>
      <c r="P29" s="1237"/>
      <c r="Q29" s="1240">
        <v>0</v>
      </c>
      <c r="R29" s="1242"/>
      <c r="S29" s="1237"/>
      <c r="T29" s="1238"/>
      <c r="U29" s="1242"/>
      <c r="V29" s="1238"/>
      <c r="W29" s="1248">
        <v>0</v>
      </c>
      <c r="X29" s="1242"/>
      <c r="Y29" s="1237"/>
      <c r="Z29" s="1248">
        <v>0</v>
      </c>
      <c r="AA29" s="1243"/>
      <c r="AB29" s="1237"/>
      <c r="AC29" s="1248">
        <v>0</v>
      </c>
      <c r="AD29" s="1242"/>
      <c r="AE29" s="1237"/>
      <c r="AF29" s="1248">
        <v>0</v>
      </c>
      <c r="AG29" s="1242"/>
      <c r="AH29" s="1237"/>
      <c r="AI29" s="1248">
        <v>0</v>
      </c>
      <c r="AJ29" s="1242"/>
      <c r="AK29" s="1237"/>
      <c r="AL29" s="1248">
        <v>0</v>
      </c>
      <c r="AM29" s="1242"/>
      <c r="AN29" s="1237"/>
      <c r="AO29" s="1248">
        <v>0</v>
      </c>
      <c r="AP29" s="1242"/>
      <c r="AQ29" s="1237"/>
      <c r="AR29" s="1248">
        <v>0</v>
      </c>
      <c r="AS29" s="1242"/>
      <c r="AT29" s="1237"/>
      <c r="AU29" s="1248">
        <v>0</v>
      </c>
      <c r="AV29" s="1242"/>
      <c r="AW29" s="1237"/>
      <c r="AX29" s="1248">
        <v>0</v>
      </c>
      <c r="AY29" s="1242"/>
      <c r="AZ29" s="1237"/>
      <c r="BA29" s="1248">
        <v>0</v>
      </c>
      <c r="BB29" s="1242"/>
      <c r="BC29" s="1237"/>
      <c r="BD29" s="1248">
        <v>0</v>
      </c>
      <c r="BE29" s="1242"/>
      <c r="BF29" s="1237"/>
      <c r="BG29" s="1248">
        <v>0</v>
      </c>
      <c r="BH29" s="1242"/>
      <c r="BI29" s="1237"/>
      <c r="BJ29" s="1248">
        <v>0</v>
      </c>
      <c r="BK29" s="1242"/>
      <c r="BL29" s="1237"/>
      <c r="BM29" s="1248">
        <v>0</v>
      </c>
      <c r="BN29" s="1242"/>
      <c r="BO29" s="1237"/>
      <c r="BP29" s="1248">
        <v>0</v>
      </c>
      <c r="BQ29" s="1242"/>
      <c r="BR29" s="1237"/>
      <c r="BS29" s="1248">
        <v>0</v>
      </c>
      <c r="BT29" s="1242"/>
      <c r="BU29" s="1237"/>
      <c r="BV29" s="1248">
        <v>0</v>
      </c>
      <c r="BW29" s="1242"/>
      <c r="BX29" s="1237"/>
      <c r="BY29" s="1248">
        <v>0</v>
      </c>
      <c r="BZ29" s="1242"/>
      <c r="CA29" s="1237"/>
      <c r="CB29" s="1248">
        <v>0</v>
      </c>
      <c r="CC29" s="1242"/>
      <c r="CD29" s="1237"/>
      <c r="CE29" s="1248">
        <v>0</v>
      </c>
      <c r="CF29" s="1242"/>
      <c r="CG29" s="1237"/>
      <c r="CH29" s="1248">
        <v>0</v>
      </c>
      <c r="CI29" s="1242"/>
      <c r="CJ29" s="1237"/>
      <c r="CK29" s="1248">
        <v>0</v>
      </c>
      <c r="CL29" s="1242"/>
      <c r="CM29" s="1237"/>
      <c r="CN29" s="1248">
        <v>0</v>
      </c>
      <c r="CO29" s="1242"/>
      <c r="CP29" s="1237"/>
      <c r="CQ29" s="1248">
        <v>0</v>
      </c>
      <c r="CR29" s="1242"/>
      <c r="CS29" s="1237"/>
      <c r="CT29" s="1248">
        <v>0</v>
      </c>
      <c r="CU29" s="1242"/>
      <c r="CV29" s="1237"/>
      <c r="CW29" s="1248">
        <v>0</v>
      </c>
      <c r="CX29" s="1242"/>
      <c r="CY29" s="1237"/>
      <c r="CZ29" s="1248">
        <v>0</v>
      </c>
      <c r="DA29" s="1242"/>
      <c r="DB29" s="1237"/>
      <c r="DC29" s="1248">
        <v>0</v>
      </c>
      <c r="DD29" s="1242"/>
      <c r="DE29" s="1237"/>
      <c r="DF29" s="1248">
        <v>0</v>
      </c>
      <c r="DG29" s="1242"/>
      <c r="DH29" s="1237"/>
      <c r="DI29" s="1248">
        <v>0</v>
      </c>
      <c r="DJ29" s="1242"/>
      <c r="DK29" s="1237"/>
      <c r="DL29" s="1248">
        <v>0</v>
      </c>
      <c r="DM29" s="1242"/>
      <c r="DN29" s="1237"/>
      <c r="DO29" s="1248">
        <v>0</v>
      </c>
      <c r="DP29" s="1242"/>
      <c r="DQ29" s="1237"/>
      <c r="DR29" s="1248">
        <v>0</v>
      </c>
      <c r="DS29" s="1242"/>
      <c r="DT29" s="1237"/>
      <c r="DU29" s="1248">
        <v>0</v>
      </c>
      <c r="DV29" s="1242"/>
      <c r="DW29" s="1237"/>
      <c r="DX29" s="1248">
        <v>0</v>
      </c>
      <c r="DY29" s="1242"/>
      <c r="DZ29" s="1237"/>
      <c r="EA29" s="1248">
        <v>0</v>
      </c>
      <c r="EB29" s="1242"/>
      <c r="EC29" s="1237"/>
      <c r="ED29" s="1248">
        <v>0</v>
      </c>
      <c r="EE29" s="1242"/>
      <c r="EF29" s="1237"/>
      <c r="EG29" s="1248">
        <v>0</v>
      </c>
      <c r="EH29" s="1242"/>
      <c r="EI29" s="1237"/>
      <c r="EJ29" s="1248">
        <v>0</v>
      </c>
      <c r="EK29" s="1242"/>
      <c r="EL29" s="1237"/>
      <c r="EM29" s="1248">
        <v>0</v>
      </c>
      <c r="EN29" s="1242"/>
      <c r="EO29" s="1237"/>
      <c r="EP29" s="1248">
        <v>0</v>
      </c>
      <c r="EQ29" s="1242"/>
      <c r="ER29" s="1237"/>
      <c r="ES29" s="1248">
        <v>0</v>
      </c>
      <c r="ET29" s="1242"/>
      <c r="EU29" s="1237"/>
      <c r="EV29" s="1248">
        <v>0</v>
      </c>
      <c r="EW29" s="1242"/>
      <c r="EX29" s="1245"/>
      <c r="EY29" s="1248">
        <v>0</v>
      </c>
      <c r="EZ29" s="1242"/>
      <c r="FA29" s="1245"/>
      <c r="FB29" s="1248">
        <v>0</v>
      </c>
      <c r="FC29" s="1242"/>
      <c r="FD29" s="1245"/>
      <c r="FE29" s="1248">
        <v>0</v>
      </c>
      <c r="FF29" s="1242"/>
      <c r="FG29" s="1237"/>
      <c r="FH29" s="1248">
        <v>0</v>
      </c>
      <c r="FI29" s="1242"/>
      <c r="FJ29" s="1237"/>
      <c r="FK29" s="1248">
        <v>0</v>
      </c>
      <c r="FL29" s="1242"/>
      <c r="FM29" s="1237"/>
      <c r="FN29" s="1248">
        <v>0</v>
      </c>
      <c r="FO29" s="1242"/>
      <c r="FP29" s="1237"/>
      <c r="FQ29" s="1248">
        <v>0</v>
      </c>
      <c r="FR29" s="1242"/>
      <c r="FS29" s="1237"/>
      <c r="FT29" s="1248">
        <v>0</v>
      </c>
      <c r="FU29" s="1242"/>
      <c r="FV29" s="1237"/>
      <c r="FW29" s="1248">
        <v>0</v>
      </c>
      <c r="FX29" s="1242"/>
      <c r="FY29" s="1237"/>
      <c r="FZ29" s="1248">
        <v>0</v>
      </c>
      <c r="GA29" s="1242"/>
      <c r="GB29" s="1237"/>
      <c r="GC29" s="1248">
        <v>0</v>
      </c>
      <c r="GD29" s="1242"/>
      <c r="GE29" s="1237"/>
      <c r="GF29" s="1248">
        <v>0</v>
      </c>
      <c r="GG29" s="1242"/>
      <c r="GH29" s="1237"/>
      <c r="GI29" s="1248">
        <v>0</v>
      </c>
      <c r="GJ29" s="1242"/>
      <c r="GK29" s="1237"/>
      <c r="GL29" s="1248">
        <v>0</v>
      </c>
      <c r="GM29" s="1242"/>
      <c r="GN29" s="1237"/>
      <c r="GO29" s="1248">
        <v>0</v>
      </c>
      <c r="GP29" s="1242"/>
      <c r="GQ29" s="1237"/>
      <c r="GR29" s="1248">
        <v>0</v>
      </c>
      <c r="GS29" s="1242"/>
      <c r="GT29" s="1237"/>
      <c r="GU29" s="1248">
        <v>0</v>
      </c>
      <c r="GV29" s="1242"/>
      <c r="GW29" s="1237"/>
      <c r="GX29" s="1248">
        <v>0</v>
      </c>
      <c r="GY29" s="1242"/>
      <c r="GZ29" s="1237"/>
      <c r="HA29" s="1248">
        <v>0</v>
      </c>
      <c r="HB29" s="1242"/>
      <c r="HC29" s="1237"/>
      <c r="HD29" s="1248">
        <v>0</v>
      </c>
      <c r="HE29" s="1242"/>
      <c r="HF29" s="1237"/>
      <c r="HG29" s="1248">
        <v>0</v>
      </c>
      <c r="HH29" s="1242"/>
      <c r="HI29" s="1237"/>
      <c r="HJ29" s="1248">
        <v>0</v>
      </c>
      <c r="HK29" s="1242"/>
      <c r="HL29" s="1237"/>
      <c r="HM29" s="1248">
        <v>0</v>
      </c>
      <c r="HN29" s="1242"/>
      <c r="HO29" s="1237"/>
      <c r="HP29" s="1248">
        <v>0</v>
      </c>
      <c r="HQ29" s="1242"/>
      <c r="HR29" s="1237"/>
      <c r="HS29" s="1248">
        <v>0</v>
      </c>
      <c r="HT29" s="1242"/>
      <c r="HU29" s="1237"/>
      <c r="HV29" s="1248">
        <v>0</v>
      </c>
      <c r="HW29" s="1242"/>
      <c r="HX29" s="1237"/>
      <c r="HY29" s="1248">
        <v>0</v>
      </c>
      <c r="HZ29" s="1242"/>
      <c r="IA29" s="1237"/>
      <c r="IB29" s="1248">
        <v>0</v>
      </c>
      <c r="IC29" s="1242"/>
      <c r="ID29" s="1237"/>
      <c r="IE29" s="1248">
        <v>0</v>
      </c>
      <c r="IF29" s="1242"/>
      <c r="IG29" s="1237"/>
      <c r="IH29" s="1248">
        <v>0</v>
      </c>
      <c r="II29" s="1242"/>
      <c r="IJ29" s="1237"/>
      <c r="IK29" s="1248">
        <v>0</v>
      </c>
      <c r="IL29" s="1242"/>
      <c r="IM29" s="1237"/>
      <c r="IN29" s="1248">
        <v>0</v>
      </c>
      <c r="IO29" s="1242"/>
      <c r="IP29" s="1237"/>
      <c r="IQ29" s="1248">
        <v>0</v>
      </c>
      <c r="IR29" s="1242"/>
      <c r="IS29" s="1237"/>
      <c r="IT29" s="1248">
        <v>0</v>
      </c>
      <c r="IU29" s="1242"/>
      <c r="IV29" s="1237"/>
      <c r="IW29" s="1248">
        <v>0</v>
      </c>
      <c r="IX29" s="1242"/>
      <c r="IY29" s="1237"/>
      <c r="IZ29" s="1248">
        <v>0</v>
      </c>
      <c r="JA29" s="1242"/>
      <c r="JB29" s="1237"/>
      <c r="JC29" s="1248">
        <v>0</v>
      </c>
      <c r="JD29" s="1242"/>
      <c r="JE29" s="1237"/>
      <c r="JF29" s="1248">
        <v>0</v>
      </c>
      <c r="JG29" s="1242"/>
      <c r="JH29" s="1237"/>
      <c r="JI29" s="1248"/>
      <c r="JJ29" s="1242"/>
      <c r="JK29" s="1237"/>
      <c r="JL29" s="1248">
        <v>0</v>
      </c>
      <c r="JM29" s="1242"/>
      <c r="JN29" s="1237"/>
      <c r="JO29" s="1248">
        <v>0</v>
      </c>
      <c r="JP29" s="1242"/>
      <c r="JQ29" s="1237"/>
      <c r="JR29" s="1248">
        <v>0</v>
      </c>
      <c r="JS29" s="1242"/>
      <c r="JT29" s="1237"/>
      <c r="JU29" s="1248" t="s">
        <v>1133</v>
      </c>
      <c r="JV29" s="1249"/>
      <c r="JW29" s="1237"/>
      <c r="JX29" s="1248" t="s">
        <v>1133</v>
      </c>
      <c r="JY29" s="1242"/>
      <c r="JZ29" s="1245"/>
    </row>
    <row r="30" spans="1:286">
      <c r="A30">
        <v>27</v>
      </c>
      <c r="B30" s="1240">
        <v>0</v>
      </c>
      <c r="C30" s="1242"/>
      <c r="D30" s="1237"/>
      <c r="E30" s="1240">
        <v>0</v>
      </c>
      <c r="F30" s="1242"/>
      <c r="G30" s="1237"/>
      <c r="H30" s="1240">
        <v>0</v>
      </c>
      <c r="I30" s="1242"/>
      <c r="J30" s="1237"/>
      <c r="K30" s="1240">
        <v>0</v>
      </c>
      <c r="L30" s="1242"/>
      <c r="M30" s="1237"/>
      <c r="N30" s="1240">
        <v>0</v>
      </c>
      <c r="O30" s="1242"/>
      <c r="P30" s="1237"/>
      <c r="Q30" s="1240">
        <v>0</v>
      </c>
      <c r="R30" s="1242"/>
      <c r="S30" s="1237"/>
      <c r="T30" s="1238"/>
      <c r="U30" s="1242"/>
      <c r="V30" s="1238"/>
      <c r="W30" s="1248">
        <v>0</v>
      </c>
      <c r="X30" s="1242"/>
      <c r="Y30" s="1237"/>
      <c r="Z30" s="1248">
        <v>0</v>
      </c>
      <c r="AA30" s="1243"/>
      <c r="AB30" s="1237"/>
      <c r="AC30" s="1248">
        <v>0</v>
      </c>
      <c r="AD30" s="1242"/>
      <c r="AE30" s="1237"/>
      <c r="AF30" s="1248">
        <v>0</v>
      </c>
      <c r="AG30" s="1242"/>
      <c r="AH30" s="1237"/>
      <c r="AI30" s="1248">
        <v>0</v>
      </c>
      <c r="AJ30" s="1242"/>
      <c r="AK30" s="1237"/>
      <c r="AL30" s="1248">
        <v>0</v>
      </c>
      <c r="AM30" s="1242"/>
      <c r="AN30" s="1237"/>
      <c r="AO30" s="1248">
        <v>0</v>
      </c>
      <c r="AP30" s="1242"/>
      <c r="AQ30" s="1237"/>
      <c r="AR30" s="1248">
        <v>0</v>
      </c>
      <c r="AS30" s="1242"/>
      <c r="AT30" s="1237"/>
      <c r="AU30" s="1248">
        <v>0</v>
      </c>
      <c r="AV30" s="1242"/>
      <c r="AW30" s="1237"/>
      <c r="AX30" s="1248">
        <v>0</v>
      </c>
      <c r="AY30" s="1242"/>
      <c r="AZ30" s="1237"/>
      <c r="BA30" s="1248">
        <v>0</v>
      </c>
      <c r="BB30" s="1242"/>
      <c r="BC30" s="1237"/>
      <c r="BD30" s="1248">
        <v>0</v>
      </c>
      <c r="BE30" s="1242"/>
      <c r="BF30" s="1237"/>
      <c r="BG30" s="1248">
        <v>0</v>
      </c>
      <c r="BH30" s="1242"/>
      <c r="BI30" s="1237"/>
      <c r="BJ30" s="1248">
        <v>0</v>
      </c>
      <c r="BK30" s="1242"/>
      <c r="BL30" s="1237"/>
      <c r="BM30" s="1248">
        <v>0</v>
      </c>
      <c r="BN30" s="1242"/>
      <c r="BO30" s="1237"/>
      <c r="BP30" s="1248">
        <v>0</v>
      </c>
      <c r="BQ30" s="1242"/>
      <c r="BR30" s="1237"/>
      <c r="BS30" s="1248">
        <v>0</v>
      </c>
      <c r="BT30" s="1242"/>
      <c r="BU30" s="1237"/>
      <c r="BV30" s="1248">
        <v>0</v>
      </c>
      <c r="BW30" s="1242"/>
      <c r="BX30" s="1237"/>
      <c r="BY30" s="1248">
        <v>0</v>
      </c>
      <c r="BZ30" s="1242"/>
      <c r="CA30" s="1237"/>
      <c r="CB30" s="1248">
        <v>0</v>
      </c>
      <c r="CC30" s="1242"/>
      <c r="CD30" s="1237"/>
      <c r="CE30" s="1248">
        <v>0</v>
      </c>
      <c r="CF30" s="1242"/>
      <c r="CG30" s="1237"/>
      <c r="CH30" s="1248">
        <v>0</v>
      </c>
      <c r="CI30" s="1242"/>
      <c r="CJ30" s="1237"/>
      <c r="CK30" s="1248">
        <v>0</v>
      </c>
      <c r="CL30" s="1242"/>
      <c r="CM30" s="1237"/>
      <c r="CN30" s="1248">
        <v>0</v>
      </c>
      <c r="CO30" s="1242"/>
      <c r="CP30" s="1237"/>
      <c r="CQ30" s="1248">
        <v>0</v>
      </c>
      <c r="CR30" s="1242"/>
      <c r="CS30" s="1237"/>
      <c r="CT30" s="1248">
        <v>0</v>
      </c>
      <c r="CU30" s="1242"/>
      <c r="CV30" s="1237"/>
      <c r="CW30" s="1248">
        <v>0</v>
      </c>
      <c r="CX30" s="1242"/>
      <c r="CY30" s="1237"/>
      <c r="CZ30" s="1248">
        <v>0</v>
      </c>
      <c r="DA30" s="1242"/>
      <c r="DB30" s="1237"/>
      <c r="DC30" s="1248">
        <v>0</v>
      </c>
      <c r="DD30" s="1242"/>
      <c r="DE30" s="1237"/>
      <c r="DF30" s="1248">
        <v>0</v>
      </c>
      <c r="DG30" s="1242"/>
      <c r="DH30" s="1237"/>
      <c r="DI30" s="1248">
        <v>0</v>
      </c>
      <c r="DJ30" s="1242"/>
      <c r="DK30" s="1237"/>
      <c r="DL30" s="1248">
        <v>0</v>
      </c>
      <c r="DM30" s="1242"/>
      <c r="DN30" s="1237"/>
      <c r="DO30" s="1248">
        <v>0</v>
      </c>
      <c r="DP30" s="1242"/>
      <c r="DQ30" s="1237"/>
      <c r="DR30" s="1248">
        <v>0</v>
      </c>
      <c r="DS30" s="1242"/>
      <c r="DT30" s="1237"/>
      <c r="DU30" s="1248">
        <v>0</v>
      </c>
      <c r="DV30" s="1242"/>
      <c r="DW30" s="1237"/>
      <c r="DX30" s="1248">
        <v>0</v>
      </c>
      <c r="DY30" s="1242"/>
      <c r="DZ30" s="1237"/>
      <c r="EA30" s="1248">
        <v>0</v>
      </c>
      <c r="EB30" s="1242"/>
      <c r="EC30" s="1237"/>
      <c r="ED30" s="1248">
        <v>0</v>
      </c>
      <c r="EE30" s="1242"/>
      <c r="EF30" s="1237"/>
      <c r="EG30" s="1248">
        <v>0</v>
      </c>
      <c r="EH30" s="1242"/>
      <c r="EI30" s="1237"/>
      <c r="EJ30" s="1248">
        <v>0</v>
      </c>
      <c r="EK30" s="1242"/>
      <c r="EL30" s="1237"/>
      <c r="EM30" s="1248">
        <v>0</v>
      </c>
      <c r="EN30" s="1242"/>
      <c r="EO30" s="1237"/>
      <c r="EP30" s="1248">
        <v>0</v>
      </c>
      <c r="EQ30" s="1242"/>
      <c r="ER30" s="1237"/>
      <c r="ES30" s="1248">
        <v>0</v>
      </c>
      <c r="ET30" s="1242"/>
      <c r="EU30" s="1237"/>
      <c r="EV30" s="1248">
        <v>0</v>
      </c>
      <c r="EW30" s="1242"/>
      <c r="EX30" s="1245"/>
      <c r="EY30" s="1248">
        <v>0</v>
      </c>
      <c r="EZ30" s="1242"/>
      <c r="FA30" s="1245"/>
      <c r="FB30" s="1248">
        <v>0</v>
      </c>
      <c r="FC30" s="1242"/>
      <c r="FD30" s="1245"/>
      <c r="FE30" s="1248">
        <v>0</v>
      </c>
      <c r="FF30" s="1242"/>
      <c r="FG30" s="1237"/>
      <c r="FH30" s="1248">
        <v>0</v>
      </c>
      <c r="FI30" s="1242"/>
      <c r="FJ30" s="1237"/>
      <c r="FK30" s="1248">
        <v>0</v>
      </c>
      <c r="FL30" s="1242"/>
      <c r="FM30" s="1237"/>
      <c r="FN30" s="1248">
        <v>0</v>
      </c>
      <c r="FO30" s="1242"/>
      <c r="FP30" s="1237"/>
      <c r="FQ30" s="1248">
        <v>0</v>
      </c>
      <c r="FR30" s="1242"/>
      <c r="FS30" s="1237"/>
      <c r="FT30" s="1248">
        <v>0</v>
      </c>
      <c r="FU30" s="1242"/>
      <c r="FV30" s="1237"/>
      <c r="FW30" s="1248">
        <v>0</v>
      </c>
      <c r="FX30" s="1242"/>
      <c r="FY30" s="1237"/>
      <c r="FZ30" s="1248">
        <v>0</v>
      </c>
      <c r="GA30" s="1242"/>
      <c r="GB30" s="1237"/>
      <c r="GC30" s="1248">
        <v>0</v>
      </c>
      <c r="GD30" s="1242"/>
      <c r="GE30" s="1237"/>
      <c r="GF30" s="1248">
        <v>0</v>
      </c>
      <c r="GG30" s="1242"/>
      <c r="GH30" s="1237"/>
      <c r="GI30" s="1248">
        <v>0</v>
      </c>
      <c r="GJ30" s="1242"/>
      <c r="GK30" s="1237"/>
      <c r="GL30" s="1248">
        <v>0</v>
      </c>
      <c r="GM30" s="1242"/>
      <c r="GN30" s="1237"/>
      <c r="GO30" s="1248">
        <v>0</v>
      </c>
      <c r="GP30" s="1242"/>
      <c r="GQ30" s="1237"/>
      <c r="GR30" s="1248">
        <v>0</v>
      </c>
      <c r="GS30" s="1242"/>
      <c r="GT30" s="1237"/>
      <c r="GU30" s="1248">
        <v>0</v>
      </c>
      <c r="GV30" s="1242"/>
      <c r="GW30" s="1237"/>
      <c r="GX30" s="1248">
        <v>0</v>
      </c>
      <c r="GY30" s="1242"/>
      <c r="GZ30" s="1237"/>
      <c r="HA30" s="1248">
        <v>0</v>
      </c>
      <c r="HB30" s="1242"/>
      <c r="HC30" s="1237"/>
      <c r="HD30" s="1248">
        <v>0</v>
      </c>
      <c r="HE30" s="1242"/>
      <c r="HF30" s="1237"/>
      <c r="HG30" s="1248">
        <v>0</v>
      </c>
      <c r="HH30" s="1242"/>
      <c r="HI30" s="1237"/>
      <c r="HJ30" s="1248">
        <v>0</v>
      </c>
      <c r="HK30" s="1242"/>
      <c r="HL30" s="1237"/>
      <c r="HM30" s="1248">
        <v>0</v>
      </c>
      <c r="HN30" s="1242"/>
      <c r="HO30" s="1237"/>
      <c r="HP30" s="1248">
        <v>0</v>
      </c>
      <c r="HQ30" s="1242"/>
      <c r="HR30" s="1237"/>
      <c r="HS30" s="1248">
        <v>0</v>
      </c>
      <c r="HT30" s="1242"/>
      <c r="HU30" s="1237"/>
      <c r="HV30" s="1248">
        <v>0</v>
      </c>
      <c r="HW30" s="1242"/>
      <c r="HX30" s="1237"/>
      <c r="HY30" s="1248">
        <v>0</v>
      </c>
      <c r="HZ30" s="1242"/>
      <c r="IA30" s="1237"/>
      <c r="IB30" s="1248">
        <v>0</v>
      </c>
      <c r="IC30" s="1242"/>
      <c r="ID30" s="1237"/>
      <c r="IE30" s="1248">
        <v>0</v>
      </c>
      <c r="IF30" s="1242"/>
      <c r="IG30" s="1237"/>
      <c r="IH30" s="1248">
        <v>0</v>
      </c>
      <c r="II30" s="1242"/>
      <c r="IJ30" s="1237"/>
      <c r="IK30" s="1248">
        <v>0</v>
      </c>
      <c r="IL30" s="1242"/>
      <c r="IM30" s="1237"/>
      <c r="IN30" s="1248">
        <v>0</v>
      </c>
      <c r="IO30" s="1242"/>
      <c r="IP30" s="1237"/>
      <c r="IQ30" s="1248">
        <v>0</v>
      </c>
      <c r="IR30" s="1242"/>
      <c r="IS30" s="1237"/>
      <c r="IT30" s="1248">
        <v>0</v>
      </c>
      <c r="IU30" s="1242"/>
      <c r="IV30" s="1237"/>
      <c r="IW30" s="1248">
        <v>0</v>
      </c>
      <c r="IX30" s="1242"/>
      <c r="IY30" s="1237"/>
      <c r="IZ30" s="1248">
        <v>0</v>
      </c>
      <c r="JA30" s="1242"/>
      <c r="JB30" s="1237"/>
      <c r="JC30" s="1248">
        <v>0</v>
      </c>
      <c r="JD30" s="1242"/>
      <c r="JE30" s="1237"/>
      <c r="JF30" s="1248">
        <v>0</v>
      </c>
      <c r="JG30" s="1242"/>
      <c r="JH30" s="1237"/>
      <c r="JI30" s="1248"/>
      <c r="JJ30" s="1242"/>
      <c r="JK30" s="1237"/>
      <c r="JL30" s="1248">
        <v>0</v>
      </c>
      <c r="JM30" s="1242"/>
      <c r="JN30" s="1237"/>
      <c r="JO30" s="1248">
        <v>0</v>
      </c>
      <c r="JP30" s="1242"/>
      <c r="JQ30" s="1237"/>
      <c r="JR30" s="1248">
        <v>0</v>
      </c>
      <c r="JS30" s="1242"/>
      <c r="JT30" s="1237"/>
      <c r="JU30" s="1248" t="s">
        <v>1133</v>
      </c>
      <c r="JV30" s="1249"/>
      <c r="JW30" s="1237"/>
      <c r="JX30" s="1248" t="s">
        <v>1133</v>
      </c>
      <c r="JY30" s="1242"/>
      <c r="JZ30" s="1245"/>
    </row>
    <row r="31" spans="1:286">
      <c r="A31">
        <v>28</v>
      </c>
      <c r="B31" s="1240">
        <v>0</v>
      </c>
      <c r="C31" s="1242"/>
      <c r="D31" s="1237"/>
      <c r="E31" s="1240">
        <v>0</v>
      </c>
      <c r="F31" s="1242"/>
      <c r="G31" s="1237"/>
      <c r="H31" s="1240">
        <v>0</v>
      </c>
      <c r="I31" s="1242"/>
      <c r="J31" s="1237"/>
      <c r="K31" s="1240">
        <v>0</v>
      </c>
      <c r="L31" s="1242"/>
      <c r="M31" s="1237"/>
      <c r="N31" s="1240">
        <v>0</v>
      </c>
      <c r="O31" s="1242"/>
      <c r="P31" s="1237"/>
      <c r="Q31" s="1240">
        <v>0</v>
      </c>
      <c r="R31" s="1242"/>
      <c r="S31" s="1237"/>
      <c r="T31" s="1238"/>
      <c r="U31" s="1242"/>
      <c r="V31" s="1238"/>
      <c r="W31" s="1248">
        <v>0</v>
      </c>
      <c r="X31" s="1242"/>
      <c r="Y31" s="1237"/>
      <c r="Z31" s="1248">
        <v>0</v>
      </c>
      <c r="AA31" s="1243"/>
      <c r="AB31" s="1237"/>
      <c r="AC31" s="1248">
        <v>0</v>
      </c>
      <c r="AD31" s="1242"/>
      <c r="AE31" s="1237"/>
      <c r="AF31" s="1248">
        <v>0</v>
      </c>
      <c r="AG31" s="1242"/>
      <c r="AH31" s="1237"/>
      <c r="AI31" s="1248">
        <v>0</v>
      </c>
      <c r="AJ31" s="1242"/>
      <c r="AK31" s="1237"/>
      <c r="AL31" s="1248">
        <v>0</v>
      </c>
      <c r="AM31" s="1242"/>
      <c r="AN31" s="1237"/>
      <c r="AO31" s="1248">
        <v>0</v>
      </c>
      <c r="AP31" s="1242"/>
      <c r="AQ31" s="1237"/>
      <c r="AR31" s="1248">
        <v>0</v>
      </c>
      <c r="AS31" s="1242"/>
      <c r="AT31" s="1237"/>
      <c r="AU31" s="1248">
        <v>0</v>
      </c>
      <c r="AV31" s="1242"/>
      <c r="AW31" s="1237"/>
      <c r="AX31" s="1248">
        <v>0</v>
      </c>
      <c r="AY31" s="1242"/>
      <c r="AZ31" s="1237"/>
      <c r="BA31" s="1248">
        <v>0</v>
      </c>
      <c r="BB31" s="1242"/>
      <c r="BC31" s="1237"/>
      <c r="BD31" s="1248">
        <v>0</v>
      </c>
      <c r="BE31" s="1242"/>
      <c r="BF31" s="1237"/>
      <c r="BG31" s="1248">
        <v>0</v>
      </c>
      <c r="BH31" s="1242"/>
      <c r="BI31" s="1237"/>
      <c r="BJ31" s="1248">
        <v>0</v>
      </c>
      <c r="BK31" s="1242"/>
      <c r="BL31" s="1237"/>
      <c r="BM31" s="1248">
        <v>0</v>
      </c>
      <c r="BN31" s="1242"/>
      <c r="BO31" s="1237"/>
      <c r="BP31" s="1248">
        <v>0</v>
      </c>
      <c r="BQ31" s="1242"/>
      <c r="BR31" s="1237"/>
      <c r="BS31" s="1248">
        <v>0</v>
      </c>
      <c r="BT31" s="1242"/>
      <c r="BU31" s="1237"/>
      <c r="BV31" s="1248">
        <v>0</v>
      </c>
      <c r="BW31" s="1242"/>
      <c r="BX31" s="1237"/>
      <c r="BY31" s="1248">
        <v>0</v>
      </c>
      <c r="BZ31" s="1242"/>
      <c r="CA31" s="1237"/>
      <c r="CB31" s="1248">
        <v>0</v>
      </c>
      <c r="CC31" s="1242"/>
      <c r="CD31" s="1237"/>
      <c r="CE31" s="1248">
        <v>0</v>
      </c>
      <c r="CF31" s="1242"/>
      <c r="CG31" s="1237"/>
      <c r="CH31" s="1248">
        <v>0</v>
      </c>
      <c r="CI31" s="1242"/>
      <c r="CJ31" s="1237"/>
      <c r="CK31" s="1248">
        <v>0</v>
      </c>
      <c r="CL31" s="1242"/>
      <c r="CM31" s="1237"/>
      <c r="CN31" s="1248">
        <v>0</v>
      </c>
      <c r="CO31" s="1242"/>
      <c r="CP31" s="1237"/>
      <c r="CQ31" s="1248">
        <v>0</v>
      </c>
      <c r="CR31" s="1242"/>
      <c r="CS31" s="1237"/>
      <c r="CT31" s="1248">
        <v>0</v>
      </c>
      <c r="CU31" s="1242"/>
      <c r="CV31" s="1237"/>
      <c r="CW31" s="1248">
        <v>0</v>
      </c>
      <c r="CX31" s="1242"/>
      <c r="CY31" s="1237"/>
      <c r="CZ31" s="1248">
        <v>0</v>
      </c>
      <c r="DA31" s="1242"/>
      <c r="DB31" s="1237"/>
      <c r="DC31" s="1248">
        <v>0</v>
      </c>
      <c r="DD31" s="1242"/>
      <c r="DE31" s="1237"/>
      <c r="DF31" s="1248">
        <v>0</v>
      </c>
      <c r="DG31" s="1242"/>
      <c r="DH31" s="1237"/>
      <c r="DI31" s="1248">
        <v>0</v>
      </c>
      <c r="DJ31" s="1242"/>
      <c r="DK31" s="1237"/>
      <c r="DL31" s="1248">
        <v>0</v>
      </c>
      <c r="DM31" s="1242"/>
      <c r="DN31" s="1237"/>
      <c r="DO31" s="1248">
        <v>0</v>
      </c>
      <c r="DP31" s="1242"/>
      <c r="DQ31" s="1237"/>
      <c r="DR31" s="1248">
        <v>0</v>
      </c>
      <c r="DS31" s="1242"/>
      <c r="DT31" s="1237"/>
      <c r="DU31" s="1248">
        <v>0</v>
      </c>
      <c r="DV31" s="1242"/>
      <c r="DW31" s="1237"/>
      <c r="DX31" s="1248">
        <v>0</v>
      </c>
      <c r="DY31" s="1242"/>
      <c r="DZ31" s="1237"/>
      <c r="EA31" s="1248">
        <v>0</v>
      </c>
      <c r="EB31" s="1242"/>
      <c r="EC31" s="1237"/>
      <c r="ED31" s="1248">
        <v>0</v>
      </c>
      <c r="EE31" s="1242"/>
      <c r="EF31" s="1237"/>
      <c r="EG31" s="1248">
        <v>0</v>
      </c>
      <c r="EH31" s="1242"/>
      <c r="EI31" s="1237"/>
      <c r="EJ31" s="1248">
        <v>0</v>
      </c>
      <c r="EK31" s="1242"/>
      <c r="EL31" s="1237"/>
      <c r="EM31" s="1248">
        <v>0</v>
      </c>
      <c r="EN31" s="1242"/>
      <c r="EO31" s="1237"/>
      <c r="EP31" s="1248">
        <v>0</v>
      </c>
      <c r="EQ31" s="1242"/>
      <c r="ER31" s="1237"/>
      <c r="ES31" s="1248">
        <v>0</v>
      </c>
      <c r="ET31" s="1242"/>
      <c r="EU31" s="1237"/>
      <c r="EV31" s="1248">
        <v>0</v>
      </c>
      <c r="EW31" s="1242"/>
      <c r="EX31" s="1245"/>
      <c r="EY31" s="1248">
        <v>0</v>
      </c>
      <c r="EZ31" s="1242"/>
      <c r="FA31" s="1245"/>
      <c r="FB31" s="1248">
        <v>0</v>
      </c>
      <c r="FC31" s="1242"/>
      <c r="FD31" s="1245"/>
      <c r="FE31" s="1248">
        <v>0</v>
      </c>
      <c r="FF31" s="1242"/>
      <c r="FG31" s="1237"/>
      <c r="FH31" s="1248">
        <v>0</v>
      </c>
      <c r="FI31" s="1242"/>
      <c r="FJ31" s="1237"/>
      <c r="FK31" s="1248">
        <v>0</v>
      </c>
      <c r="FL31" s="1242"/>
      <c r="FM31" s="1237"/>
      <c r="FN31" s="1248">
        <v>0</v>
      </c>
      <c r="FO31" s="1242"/>
      <c r="FP31" s="1237"/>
      <c r="FQ31" s="1248">
        <v>0</v>
      </c>
      <c r="FR31" s="1242"/>
      <c r="FS31" s="1237"/>
      <c r="FT31" s="1248">
        <v>0</v>
      </c>
      <c r="FU31" s="1242"/>
      <c r="FV31" s="1237"/>
      <c r="FW31" s="1248">
        <v>0</v>
      </c>
      <c r="FX31" s="1242"/>
      <c r="FY31" s="1237"/>
      <c r="FZ31" s="1248">
        <v>0</v>
      </c>
      <c r="GA31" s="1242"/>
      <c r="GB31" s="1237"/>
      <c r="GC31" s="1248">
        <v>0</v>
      </c>
      <c r="GD31" s="1242"/>
      <c r="GE31" s="1237"/>
      <c r="GF31" s="1248">
        <v>0</v>
      </c>
      <c r="GG31" s="1242"/>
      <c r="GH31" s="1237"/>
      <c r="GI31" s="1248">
        <v>0</v>
      </c>
      <c r="GJ31" s="1242"/>
      <c r="GK31" s="1237"/>
      <c r="GL31" s="1248">
        <v>0</v>
      </c>
      <c r="GM31" s="1242"/>
      <c r="GN31" s="1237"/>
      <c r="GO31" s="1248">
        <v>0</v>
      </c>
      <c r="GP31" s="1242"/>
      <c r="GQ31" s="1237"/>
      <c r="GR31" s="1248">
        <v>0</v>
      </c>
      <c r="GS31" s="1242"/>
      <c r="GT31" s="1237"/>
      <c r="GU31" s="1248">
        <v>0</v>
      </c>
      <c r="GV31" s="1242"/>
      <c r="GW31" s="1237"/>
      <c r="GX31" s="1248">
        <v>0</v>
      </c>
      <c r="GY31" s="1242"/>
      <c r="GZ31" s="1237"/>
      <c r="HA31" s="1248">
        <v>0</v>
      </c>
      <c r="HB31" s="1242"/>
      <c r="HC31" s="1237"/>
      <c r="HD31" s="1248">
        <v>0</v>
      </c>
      <c r="HE31" s="1242"/>
      <c r="HF31" s="1237"/>
      <c r="HG31" s="1248">
        <v>0</v>
      </c>
      <c r="HH31" s="1242"/>
      <c r="HI31" s="1237"/>
      <c r="HJ31" s="1248">
        <v>0</v>
      </c>
      <c r="HK31" s="1242"/>
      <c r="HL31" s="1237"/>
      <c r="HM31" s="1248">
        <v>0</v>
      </c>
      <c r="HN31" s="1242"/>
      <c r="HO31" s="1237"/>
      <c r="HP31" s="1248">
        <v>0</v>
      </c>
      <c r="HQ31" s="1242"/>
      <c r="HR31" s="1237"/>
      <c r="HS31" s="1248">
        <v>0</v>
      </c>
      <c r="HT31" s="1242"/>
      <c r="HU31" s="1237"/>
      <c r="HV31" s="1248">
        <v>0</v>
      </c>
      <c r="HW31" s="1242"/>
      <c r="HX31" s="1237"/>
      <c r="HY31" s="1248">
        <v>0</v>
      </c>
      <c r="HZ31" s="1242"/>
      <c r="IA31" s="1237"/>
      <c r="IB31" s="1248">
        <v>0</v>
      </c>
      <c r="IC31" s="1242"/>
      <c r="ID31" s="1237"/>
      <c r="IE31" s="1248">
        <v>0</v>
      </c>
      <c r="IF31" s="1242"/>
      <c r="IG31" s="1237"/>
      <c r="IH31" s="1248">
        <v>0</v>
      </c>
      <c r="II31" s="1242"/>
      <c r="IJ31" s="1237"/>
      <c r="IK31" s="1248">
        <v>0</v>
      </c>
      <c r="IL31" s="1242"/>
      <c r="IM31" s="1237"/>
      <c r="IN31" s="1248">
        <v>0</v>
      </c>
      <c r="IO31" s="1242"/>
      <c r="IP31" s="1237"/>
      <c r="IQ31" s="1248">
        <v>0</v>
      </c>
      <c r="IR31" s="1242"/>
      <c r="IS31" s="1237"/>
      <c r="IT31" s="1248">
        <v>0</v>
      </c>
      <c r="IU31" s="1242"/>
      <c r="IV31" s="1237"/>
      <c r="IW31" s="1248">
        <v>0</v>
      </c>
      <c r="IX31" s="1242"/>
      <c r="IY31" s="1237"/>
      <c r="IZ31" s="1248">
        <v>0</v>
      </c>
      <c r="JA31" s="1242"/>
      <c r="JB31" s="1237"/>
      <c r="JC31" s="1248">
        <v>0</v>
      </c>
      <c r="JD31" s="1242"/>
      <c r="JE31" s="1237"/>
      <c r="JF31" s="1248">
        <v>0</v>
      </c>
      <c r="JG31" s="1242"/>
      <c r="JH31" s="1237"/>
      <c r="JI31" s="1248"/>
      <c r="JJ31" s="1242"/>
      <c r="JK31" s="1237"/>
      <c r="JL31" s="1248">
        <v>0</v>
      </c>
      <c r="JM31" s="1242"/>
      <c r="JN31" s="1237"/>
      <c r="JO31" s="1248">
        <v>0</v>
      </c>
      <c r="JP31" s="1242"/>
      <c r="JQ31" s="1237"/>
      <c r="JR31" s="1248">
        <v>0</v>
      </c>
      <c r="JS31" s="1242"/>
      <c r="JT31" s="1237"/>
      <c r="JU31" s="1248" t="s">
        <v>1133</v>
      </c>
      <c r="JV31" s="1249"/>
      <c r="JW31" s="1237"/>
      <c r="JX31" s="1248" t="s">
        <v>1133</v>
      </c>
      <c r="JY31" s="1242"/>
      <c r="JZ31" s="1245"/>
    </row>
    <row r="32" spans="1:286">
      <c r="A32">
        <v>29</v>
      </c>
      <c r="B32" s="1240">
        <v>0</v>
      </c>
      <c r="C32" s="1242"/>
      <c r="D32" s="1237"/>
      <c r="E32" s="1240">
        <v>0</v>
      </c>
      <c r="F32" s="1242"/>
      <c r="G32" s="1237"/>
      <c r="H32" s="1240">
        <v>0</v>
      </c>
      <c r="I32" s="1242"/>
      <c r="J32" s="1237"/>
      <c r="K32" s="1240">
        <v>0</v>
      </c>
      <c r="L32" s="1242"/>
      <c r="M32" s="1237"/>
      <c r="N32" s="1240">
        <v>0</v>
      </c>
      <c r="O32" s="1242"/>
      <c r="P32" s="1237"/>
      <c r="Q32" s="1240">
        <v>0</v>
      </c>
      <c r="R32" s="1242"/>
      <c r="S32" s="1237"/>
      <c r="T32" s="1238"/>
      <c r="U32" s="1242"/>
      <c r="V32" s="1238"/>
      <c r="W32" s="1248">
        <v>0</v>
      </c>
      <c r="X32" s="1242"/>
      <c r="Y32" s="1237"/>
      <c r="Z32" s="1248">
        <v>0</v>
      </c>
      <c r="AA32" s="1243"/>
      <c r="AB32" s="1237"/>
      <c r="AC32" s="1248">
        <v>0</v>
      </c>
      <c r="AD32" s="1242"/>
      <c r="AE32" s="1237"/>
      <c r="AF32" s="1248">
        <v>0</v>
      </c>
      <c r="AG32" s="1242"/>
      <c r="AH32" s="1237"/>
      <c r="AI32" s="1248">
        <v>0</v>
      </c>
      <c r="AJ32" s="1242"/>
      <c r="AK32" s="1237"/>
      <c r="AL32" s="1248">
        <v>0</v>
      </c>
      <c r="AM32" s="1242"/>
      <c r="AN32" s="1237"/>
      <c r="AO32" s="1248">
        <v>0</v>
      </c>
      <c r="AP32" s="1242"/>
      <c r="AQ32" s="1237"/>
      <c r="AR32" s="1248">
        <v>0</v>
      </c>
      <c r="AS32" s="1242"/>
      <c r="AT32" s="1237"/>
      <c r="AU32" s="1248">
        <v>0</v>
      </c>
      <c r="AV32" s="1242"/>
      <c r="AW32" s="1237"/>
      <c r="AX32" s="1248">
        <v>0</v>
      </c>
      <c r="AY32" s="1242"/>
      <c r="AZ32" s="1237"/>
      <c r="BA32" s="1248">
        <v>0</v>
      </c>
      <c r="BB32" s="1242"/>
      <c r="BC32" s="1237"/>
      <c r="BD32" s="1248">
        <v>0</v>
      </c>
      <c r="BE32" s="1242"/>
      <c r="BF32" s="1237"/>
      <c r="BG32" s="1248">
        <v>0</v>
      </c>
      <c r="BH32" s="1242"/>
      <c r="BI32" s="1237"/>
      <c r="BJ32" s="1248">
        <v>0</v>
      </c>
      <c r="BK32" s="1242"/>
      <c r="BL32" s="1237"/>
      <c r="BM32" s="1248">
        <v>0</v>
      </c>
      <c r="BN32" s="1242"/>
      <c r="BO32" s="1237"/>
      <c r="BP32" s="1248">
        <v>0</v>
      </c>
      <c r="BQ32" s="1242"/>
      <c r="BR32" s="1237"/>
      <c r="BS32" s="1248">
        <v>0</v>
      </c>
      <c r="BT32" s="1242"/>
      <c r="BU32" s="1237"/>
      <c r="BV32" s="1248">
        <v>0</v>
      </c>
      <c r="BW32" s="1242"/>
      <c r="BX32" s="1237"/>
      <c r="BY32" s="1248">
        <v>0</v>
      </c>
      <c r="BZ32" s="1242"/>
      <c r="CA32" s="1237"/>
      <c r="CB32" s="1248">
        <v>0</v>
      </c>
      <c r="CC32" s="1242"/>
      <c r="CD32" s="1237"/>
      <c r="CE32" s="1248">
        <v>0</v>
      </c>
      <c r="CF32" s="1242"/>
      <c r="CG32" s="1237"/>
      <c r="CH32" s="1248">
        <v>0</v>
      </c>
      <c r="CI32" s="1242"/>
      <c r="CJ32" s="1237"/>
      <c r="CK32" s="1248">
        <v>0</v>
      </c>
      <c r="CL32" s="1242"/>
      <c r="CM32" s="1237"/>
      <c r="CN32" s="1248">
        <v>0</v>
      </c>
      <c r="CO32" s="1242"/>
      <c r="CP32" s="1237"/>
      <c r="CQ32" s="1248">
        <v>0</v>
      </c>
      <c r="CR32" s="1242"/>
      <c r="CS32" s="1237"/>
      <c r="CT32" s="1248">
        <v>0</v>
      </c>
      <c r="CU32" s="1242"/>
      <c r="CV32" s="1237"/>
      <c r="CW32" s="1248">
        <v>0</v>
      </c>
      <c r="CX32" s="1242"/>
      <c r="CY32" s="1237"/>
      <c r="CZ32" s="1248">
        <v>0</v>
      </c>
      <c r="DA32" s="1242"/>
      <c r="DB32" s="1237"/>
      <c r="DC32" s="1248">
        <v>0</v>
      </c>
      <c r="DD32" s="1242"/>
      <c r="DE32" s="1237"/>
      <c r="DF32" s="1248">
        <v>0</v>
      </c>
      <c r="DG32" s="1242"/>
      <c r="DH32" s="1237"/>
      <c r="DI32" s="1248">
        <v>0</v>
      </c>
      <c r="DJ32" s="1242"/>
      <c r="DK32" s="1237"/>
      <c r="DL32" s="1248">
        <v>0</v>
      </c>
      <c r="DM32" s="1242"/>
      <c r="DN32" s="1237"/>
      <c r="DO32" s="1248">
        <v>0</v>
      </c>
      <c r="DP32" s="1242"/>
      <c r="DQ32" s="1237"/>
      <c r="DR32" s="1248">
        <v>0</v>
      </c>
      <c r="DS32" s="1242"/>
      <c r="DT32" s="1237"/>
      <c r="DU32" s="1248">
        <v>0</v>
      </c>
      <c r="DV32" s="1242"/>
      <c r="DW32" s="1237"/>
      <c r="DX32" s="1248">
        <v>0</v>
      </c>
      <c r="DY32" s="1242"/>
      <c r="DZ32" s="1237"/>
      <c r="EA32" s="1248">
        <v>0</v>
      </c>
      <c r="EB32" s="1242"/>
      <c r="EC32" s="1237"/>
      <c r="ED32" s="1248">
        <v>0</v>
      </c>
      <c r="EE32" s="1242"/>
      <c r="EF32" s="1237"/>
      <c r="EG32" s="1248">
        <v>0</v>
      </c>
      <c r="EH32" s="1242"/>
      <c r="EI32" s="1237"/>
      <c r="EJ32" s="1248">
        <v>0</v>
      </c>
      <c r="EK32" s="1242"/>
      <c r="EL32" s="1237"/>
      <c r="EM32" s="1248">
        <v>0</v>
      </c>
      <c r="EN32" s="1242"/>
      <c r="EO32" s="1237"/>
      <c r="EP32" s="1248">
        <v>0</v>
      </c>
      <c r="EQ32" s="1242"/>
      <c r="ER32" s="1237"/>
      <c r="ES32" s="1248">
        <v>0</v>
      </c>
      <c r="ET32" s="1242"/>
      <c r="EU32" s="1237"/>
      <c r="EV32" s="1248">
        <v>0</v>
      </c>
      <c r="EW32" s="1242"/>
      <c r="EX32" s="1245"/>
      <c r="EY32" s="1248">
        <v>0</v>
      </c>
      <c r="EZ32" s="1242"/>
      <c r="FA32" s="1245"/>
      <c r="FB32" s="1248">
        <v>0</v>
      </c>
      <c r="FC32" s="1242"/>
      <c r="FD32" s="1245"/>
      <c r="FE32" s="1248">
        <v>0</v>
      </c>
      <c r="FF32" s="1242"/>
      <c r="FG32" s="1237"/>
      <c r="FH32" s="1248">
        <v>0</v>
      </c>
      <c r="FI32" s="1242"/>
      <c r="FJ32" s="1237"/>
      <c r="FK32" s="1248">
        <v>0</v>
      </c>
      <c r="FL32" s="1242"/>
      <c r="FM32" s="1237"/>
      <c r="FN32" s="1248">
        <v>0</v>
      </c>
      <c r="FO32" s="1242"/>
      <c r="FP32" s="1237"/>
      <c r="FQ32" s="1248">
        <v>0</v>
      </c>
      <c r="FR32" s="1242"/>
      <c r="FS32" s="1237"/>
      <c r="FT32" s="1248">
        <v>0</v>
      </c>
      <c r="FU32" s="1242"/>
      <c r="FV32" s="1237"/>
      <c r="FW32" s="1248">
        <v>0</v>
      </c>
      <c r="FX32" s="1242"/>
      <c r="FY32" s="1237"/>
      <c r="FZ32" s="1248">
        <v>0</v>
      </c>
      <c r="GA32" s="1242"/>
      <c r="GB32" s="1237"/>
      <c r="GC32" s="1248">
        <v>0</v>
      </c>
      <c r="GD32" s="1242"/>
      <c r="GE32" s="1237"/>
      <c r="GF32" s="1248">
        <v>0</v>
      </c>
      <c r="GG32" s="1242"/>
      <c r="GH32" s="1237"/>
      <c r="GI32" s="1248">
        <v>0</v>
      </c>
      <c r="GJ32" s="1242"/>
      <c r="GK32" s="1237"/>
      <c r="GL32" s="1248">
        <v>0</v>
      </c>
      <c r="GM32" s="1242"/>
      <c r="GN32" s="1237"/>
      <c r="GO32" s="1248">
        <v>0</v>
      </c>
      <c r="GP32" s="1242"/>
      <c r="GQ32" s="1237"/>
      <c r="GR32" s="1248">
        <v>0</v>
      </c>
      <c r="GS32" s="1242"/>
      <c r="GT32" s="1237"/>
      <c r="GU32" s="1248">
        <v>0</v>
      </c>
      <c r="GV32" s="1242"/>
      <c r="GW32" s="1237"/>
      <c r="GX32" s="1248">
        <v>0</v>
      </c>
      <c r="GY32" s="1242"/>
      <c r="GZ32" s="1237"/>
      <c r="HA32" s="1248">
        <v>0</v>
      </c>
      <c r="HB32" s="1242"/>
      <c r="HC32" s="1237"/>
      <c r="HD32" s="1248">
        <v>0</v>
      </c>
      <c r="HE32" s="1242"/>
      <c r="HF32" s="1237"/>
      <c r="HG32" s="1248">
        <v>0</v>
      </c>
      <c r="HH32" s="1242"/>
      <c r="HI32" s="1237"/>
      <c r="HJ32" s="1248">
        <v>0</v>
      </c>
      <c r="HK32" s="1242"/>
      <c r="HL32" s="1237"/>
      <c r="HM32" s="1248">
        <v>0</v>
      </c>
      <c r="HN32" s="1242"/>
      <c r="HO32" s="1237"/>
      <c r="HP32" s="1248">
        <v>0</v>
      </c>
      <c r="HQ32" s="1242"/>
      <c r="HR32" s="1237"/>
      <c r="HS32" s="1248">
        <v>0</v>
      </c>
      <c r="HT32" s="1242"/>
      <c r="HU32" s="1237"/>
      <c r="HV32" s="1248">
        <v>0</v>
      </c>
      <c r="HW32" s="1242"/>
      <c r="HX32" s="1237"/>
      <c r="HY32" s="1248">
        <v>0</v>
      </c>
      <c r="HZ32" s="1242"/>
      <c r="IA32" s="1237"/>
      <c r="IB32" s="1248">
        <v>0</v>
      </c>
      <c r="IC32" s="1242"/>
      <c r="ID32" s="1237"/>
      <c r="IE32" s="1248">
        <v>0</v>
      </c>
      <c r="IF32" s="1242"/>
      <c r="IG32" s="1237"/>
      <c r="IH32" s="1248">
        <v>0</v>
      </c>
      <c r="II32" s="1242"/>
      <c r="IJ32" s="1237"/>
      <c r="IK32" s="1248">
        <v>0</v>
      </c>
      <c r="IL32" s="1242"/>
      <c r="IM32" s="1237"/>
      <c r="IN32" s="1248">
        <v>0</v>
      </c>
      <c r="IO32" s="1242"/>
      <c r="IP32" s="1237"/>
      <c r="IQ32" s="1248">
        <v>0</v>
      </c>
      <c r="IR32" s="1242"/>
      <c r="IS32" s="1237"/>
      <c r="IT32" s="1248">
        <v>0</v>
      </c>
      <c r="IU32" s="1242"/>
      <c r="IV32" s="1237"/>
      <c r="IW32" s="1248">
        <v>0</v>
      </c>
      <c r="IX32" s="1242"/>
      <c r="IY32" s="1237"/>
      <c r="IZ32" s="1248">
        <v>0</v>
      </c>
      <c r="JA32" s="1242"/>
      <c r="JB32" s="1237"/>
      <c r="JC32" s="1248">
        <v>0</v>
      </c>
      <c r="JD32" s="1242"/>
      <c r="JE32" s="1237"/>
      <c r="JF32" s="1248">
        <v>0</v>
      </c>
      <c r="JG32" s="1242"/>
      <c r="JH32" s="1237"/>
      <c r="JI32" s="1248"/>
      <c r="JJ32" s="1242"/>
      <c r="JK32" s="1237"/>
      <c r="JL32" s="1248">
        <v>0</v>
      </c>
      <c r="JM32" s="1242"/>
      <c r="JN32" s="1237"/>
      <c r="JO32" s="1248">
        <v>0</v>
      </c>
      <c r="JP32" s="1242"/>
      <c r="JQ32" s="1237"/>
      <c r="JR32" s="1248">
        <v>0</v>
      </c>
      <c r="JS32" s="1242"/>
      <c r="JT32" s="1237"/>
      <c r="JU32" s="1248" t="s">
        <v>1133</v>
      </c>
      <c r="JV32" s="1249"/>
      <c r="JW32" s="1237"/>
      <c r="JX32" s="1248" t="s">
        <v>1133</v>
      </c>
      <c r="JY32" s="1242"/>
      <c r="JZ32" s="1245"/>
    </row>
    <row r="33" spans="1:286">
      <c r="A33">
        <v>30</v>
      </c>
      <c r="B33" s="1240">
        <v>0</v>
      </c>
      <c r="C33" s="1242"/>
      <c r="D33" s="1237"/>
      <c r="E33" s="1240">
        <v>0</v>
      </c>
      <c r="F33" s="1242"/>
      <c r="G33" s="1237"/>
      <c r="H33" s="1240">
        <v>0</v>
      </c>
      <c r="I33" s="1242"/>
      <c r="J33" s="1237"/>
      <c r="K33" s="1240">
        <v>0</v>
      </c>
      <c r="L33" s="1242"/>
      <c r="M33" s="1237"/>
      <c r="N33" s="1240">
        <v>0</v>
      </c>
      <c r="O33" s="1242"/>
      <c r="P33" s="1237"/>
      <c r="Q33" s="1240">
        <v>0</v>
      </c>
      <c r="R33" s="1242"/>
      <c r="S33" s="1237"/>
      <c r="T33" s="1238"/>
      <c r="U33" s="1242"/>
      <c r="V33" s="1238"/>
      <c r="W33" s="1248">
        <v>0</v>
      </c>
      <c r="X33" s="1242"/>
      <c r="Y33" s="1237"/>
      <c r="Z33" s="1248">
        <v>0</v>
      </c>
      <c r="AA33" s="1243"/>
      <c r="AB33" s="1237"/>
      <c r="AC33" s="1248">
        <v>0</v>
      </c>
      <c r="AD33" s="1242"/>
      <c r="AE33" s="1237"/>
      <c r="AF33" s="1248">
        <v>0</v>
      </c>
      <c r="AG33" s="1242"/>
      <c r="AH33" s="1237"/>
      <c r="AI33" s="1248">
        <v>0</v>
      </c>
      <c r="AJ33" s="1242"/>
      <c r="AK33" s="1237"/>
      <c r="AL33" s="1248">
        <v>0</v>
      </c>
      <c r="AM33" s="1242"/>
      <c r="AN33" s="1237"/>
      <c r="AO33" s="1248">
        <v>0</v>
      </c>
      <c r="AP33" s="1242"/>
      <c r="AQ33" s="1237"/>
      <c r="AR33" s="1248">
        <v>0</v>
      </c>
      <c r="AS33" s="1242"/>
      <c r="AT33" s="1237"/>
      <c r="AU33" s="1248">
        <v>0</v>
      </c>
      <c r="AV33" s="1242"/>
      <c r="AW33" s="1237"/>
      <c r="AX33" s="1248">
        <v>0</v>
      </c>
      <c r="AY33" s="1242"/>
      <c r="AZ33" s="1237"/>
      <c r="BA33" s="1248">
        <v>0</v>
      </c>
      <c r="BB33" s="1242"/>
      <c r="BC33" s="1237"/>
      <c r="BD33" s="1248">
        <v>0</v>
      </c>
      <c r="BE33" s="1242"/>
      <c r="BF33" s="1237"/>
      <c r="BG33" s="1248">
        <v>0</v>
      </c>
      <c r="BH33" s="1242"/>
      <c r="BI33" s="1237"/>
      <c r="BJ33" s="1248">
        <v>0</v>
      </c>
      <c r="BK33" s="1242"/>
      <c r="BL33" s="1237"/>
      <c r="BM33" s="1248">
        <v>0</v>
      </c>
      <c r="BN33" s="1242"/>
      <c r="BO33" s="1237"/>
      <c r="BP33" s="1248">
        <v>0</v>
      </c>
      <c r="BQ33" s="1242"/>
      <c r="BR33" s="1237"/>
      <c r="BS33" s="1248">
        <v>0</v>
      </c>
      <c r="BT33" s="1242"/>
      <c r="BU33" s="1237"/>
      <c r="BV33" s="1248">
        <v>0</v>
      </c>
      <c r="BW33" s="1242"/>
      <c r="BX33" s="1237"/>
      <c r="BY33" s="1248">
        <v>0</v>
      </c>
      <c r="BZ33" s="1242"/>
      <c r="CA33" s="1237"/>
      <c r="CB33" s="1248">
        <v>0</v>
      </c>
      <c r="CC33" s="1242"/>
      <c r="CD33" s="1237"/>
      <c r="CE33" s="1248">
        <v>0</v>
      </c>
      <c r="CF33" s="1242"/>
      <c r="CG33" s="1237"/>
      <c r="CH33" s="1248">
        <v>0</v>
      </c>
      <c r="CI33" s="1242"/>
      <c r="CJ33" s="1237"/>
      <c r="CK33" s="1248">
        <v>0</v>
      </c>
      <c r="CL33" s="1242"/>
      <c r="CM33" s="1237"/>
      <c r="CN33" s="1248">
        <v>0</v>
      </c>
      <c r="CO33" s="1242"/>
      <c r="CP33" s="1237"/>
      <c r="CQ33" s="1248">
        <v>0</v>
      </c>
      <c r="CR33" s="1242"/>
      <c r="CS33" s="1237"/>
      <c r="CT33" s="1248">
        <v>0</v>
      </c>
      <c r="CU33" s="1242"/>
      <c r="CV33" s="1237"/>
      <c r="CW33" s="1248">
        <v>0</v>
      </c>
      <c r="CX33" s="1242"/>
      <c r="CY33" s="1237"/>
      <c r="CZ33" s="1248">
        <v>0</v>
      </c>
      <c r="DA33" s="1242"/>
      <c r="DB33" s="1237"/>
      <c r="DC33" s="1248">
        <v>0</v>
      </c>
      <c r="DD33" s="1242"/>
      <c r="DE33" s="1237"/>
      <c r="DF33" s="1248">
        <v>0</v>
      </c>
      <c r="DG33" s="1242"/>
      <c r="DH33" s="1237"/>
      <c r="DI33" s="1248">
        <v>0</v>
      </c>
      <c r="DJ33" s="1242"/>
      <c r="DK33" s="1237"/>
      <c r="DL33" s="1248">
        <v>0</v>
      </c>
      <c r="DM33" s="1242"/>
      <c r="DN33" s="1237"/>
      <c r="DO33" s="1248">
        <v>0</v>
      </c>
      <c r="DP33" s="1242"/>
      <c r="DQ33" s="1237"/>
      <c r="DR33" s="1248">
        <v>0</v>
      </c>
      <c r="DS33" s="1242"/>
      <c r="DT33" s="1237"/>
      <c r="DU33" s="1248">
        <v>0</v>
      </c>
      <c r="DV33" s="1242"/>
      <c r="DW33" s="1237"/>
      <c r="DX33" s="1248">
        <v>0</v>
      </c>
      <c r="DY33" s="1242"/>
      <c r="DZ33" s="1237"/>
      <c r="EA33" s="1248">
        <v>0</v>
      </c>
      <c r="EB33" s="1242"/>
      <c r="EC33" s="1237"/>
      <c r="ED33" s="1248">
        <v>0</v>
      </c>
      <c r="EE33" s="1242"/>
      <c r="EF33" s="1237"/>
      <c r="EG33" s="1248">
        <v>0</v>
      </c>
      <c r="EH33" s="1242"/>
      <c r="EI33" s="1237"/>
      <c r="EJ33" s="1248">
        <v>0</v>
      </c>
      <c r="EK33" s="1242"/>
      <c r="EL33" s="1237"/>
      <c r="EM33" s="1248">
        <v>0</v>
      </c>
      <c r="EN33" s="1242"/>
      <c r="EO33" s="1237"/>
      <c r="EP33" s="1248">
        <v>0</v>
      </c>
      <c r="EQ33" s="1242"/>
      <c r="ER33" s="1237"/>
      <c r="ES33" s="1248">
        <v>0</v>
      </c>
      <c r="ET33" s="1242"/>
      <c r="EU33" s="1237"/>
      <c r="EV33" s="1248">
        <v>0</v>
      </c>
      <c r="EW33" s="1242"/>
      <c r="EX33" s="1245"/>
      <c r="EY33" s="1248">
        <v>0</v>
      </c>
      <c r="EZ33" s="1242"/>
      <c r="FA33" s="1245"/>
      <c r="FB33" s="1248">
        <v>0</v>
      </c>
      <c r="FC33" s="1242"/>
      <c r="FD33" s="1245"/>
      <c r="FE33" s="1248">
        <v>0</v>
      </c>
      <c r="FF33" s="1242"/>
      <c r="FG33" s="1237"/>
      <c r="FH33" s="1248">
        <v>0</v>
      </c>
      <c r="FI33" s="1242"/>
      <c r="FJ33" s="1237"/>
      <c r="FK33" s="1248">
        <v>0</v>
      </c>
      <c r="FL33" s="1242"/>
      <c r="FM33" s="1237"/>
      <c r="FN33" s="1248">
        <v>0</v>
      </c>
      <c r="FO33" s="1242"/>
      <c r="FP33" s="1237"/>
      <c r="FQ33" s="1248">
        <v>0</v>
      </c>
      <c r="FR33" s="1242"/>
      <c r="FS33" s="1237"/>
      <c r="FT33" s="1248">
        <v>0</v>
      </c>
      <c r="FU33" s="1242"/>
      <c r="FV33" s="1237"/>
      <c r="FW33" s="1248">
        <v>0</v>
      </c>
      <c r="FX33" s="1242"/>
      <c r="FY33" s="1237"/>
      <c r="FZ33" s="1248">
        <v>0</v>
      </c>
      <c r="GA33" s="1242"/>
      <c r="GB33" s="1237"/>
      <c r="GC33" s="1248">
        <v>0</v>
      </c>
      <c r="GD33" s="1242"/>
      <c r="GE33" s="1237"/>
      <c r="GF33" s="1248">
        <v>0</v>
      </c>
      <c r="GG33" s="1242"/>
      <c r="GH33" s="1237"/>
      <c r="GI33" s="1248">
        <v>0</v>
      </c>
      <c r="GJ33" s="1242"/>
      <c r="GK33" s="1237"/>
      <c r="GL33" s="1248">
        <v>0</v>
      </c>
      <c r="GM33" s="1242"/>
      <c r="GN33" s="1237"/>
      <c r="GO33" s="1248">
        <v>0</v>
      </c>
      <c r="GP33" s="1242"/>
      <c r="GQ33" s="1237"/>
      <c r="GR33" s="1248">
        <v>0</v>
      </c>
      <c r="GS33" s="1242"/>
      <c r="GT33" s="1237"/>
      <c r="GU33" s="1248">
        <v>0</v>
      </c>
      <c r="GV33" s="1242"/>
      <c r="GW33" s="1237"/>
      <c r="GX33" s="1248">
        <v>0</v>
      </c>
      <c r="GY33" s="1242"/>
      <c r="GZ33" s="1237"/>
      <c r="HA33" s="1248">
        <v>0</v>
      </c>
      <c r="HB33" s="1242"/>
      <c r="HC33" s="1237"/>
      <c r="HD33" s="1248">
        <v>0</v>
      </c>
      <c r="HE33" s="1242"/>
      <c r="HF33" s="1237"/>
      <c r="HG33" s="1248">
        <v>0</v>
      </c>
      <c r="HH33" s="1242"/>
      <c r="HI33" s="1237"/>
      <c r="HJ33" s="1248">
        <v>0</v>
      </c>
      <c r="HK33" s="1242"/>
      <c r="HL33" s="1237"/>
      <c r="HM33" s="1248">
        <v>0</v>
      </c>
      <c r="HN33" s="1242"/>
      <c r="HO33" s="1237"/>
      <c r="HP33" s="1248">
        <v>0</v>
      </c>
      <c r="HQ33" s="1242"/>
      <c r="HR33" s="1237"/>
      <c r="HS33" s="1248">
        <v>0</v>
      </c>
      <c r="HT33" s="1242"/>
      <c r="HU33" s="1237"/>
      <c r="HV33" s="1248">
        <v>0</v>
      </c>
      <c r="HW33" s="1242"/>
      <c r="HX33" s="1237"/>
      <c r="HY33" s="1248">
        <v>0</v>
      </c>
      <c r="HZ33" s="1242"/>
      <c r="IA33" s="1237"/>
      <c r="IB33" s="1248">
        <v>0</v>
      </c>
      <c r="IC33" s="1242"/>
      <c r="ID33" s="1237"/>
      <c r="IE33" s="1248">
        <v>0</v>
      </c>
      <c r="IF33" s="1242"/>
      <c r="IG33" s="1237"/>
      <c r="IH33" s="1248">
        <v>0</v>
      </c>
      <c r="II33" s="1242"/>
      <c r="IJ33" s="1237"/>
      <c r="IK33" s="1248">
        <v>0</v>
      </c>
      <c r="IL33" s="1242"/>
      <c r="IM33" s="1237"/>
      <c r="IN33" s="1248">
        <v>0</v>
      </c>
      <c r="IO33" s="1242"/>
      <c r="IP33" s="1237"/>
      <c r="IQ33" s="1248">
        <v>0</v>
      </c>
      <c r="IR33" s="1242"/>
      <c r="IS33" s="1237"/>
      <c r="IT33" s="1248">
        <v>0</v>
      </c>
      <c r="IU33" s="1242"/>
      <c r="IV33" s="1237"/>
      <c r="IW33" s="1248">
        <v>0</v>
      </c>
      <c r="IX33" s="1242"/>
      <c r="IY33" s="1237"/>
      <c r="IZ33" s="1248">
        <v>0</v>
      </c>
      <c r="JA33" s="1242"/>
      <c r="JB33" s="1237"/>
      <c r="JC33" s="1248">
        <v>0</v>
      </c>
      <c r="JD33" s="1242"/>
      <c r="JE33" s="1237"/>
      <c r="JF33" s="1248">
        <v>0</v>
      </c>
      <c r="JG33" s="1242"/>
      <c r="JH33" s="1237"/>
      <c r="JI33" s="1248"/>
      <c r="JJ33" s="1242"/>
      <c r="JK33" s="1237"/>
      <c r="JL33" s="1248">
        <v>0</v>
      </c>
      <c r="JM33" s="1242"/>
      <c r="JN33" s="1237"/>
      <c r="JO33" s="1248">
        <v>0</v>
      </c>
      <c r="JP33" s="1242"/>
      <c r="JQ33" s="1237"/>
      <c r="JR33" s="1248">
        <v>0</v>
      </c>
      <c r="JS33" s="1242"/>
      <c r="JT33" s="1237"/>
      <c r="JU33" s="1248" t="s">
        <v>1133</v>
      </c>
      <c r="JV33" s="1249"/>
      <c r="JW33" s="1237"/>
      <c r="JX33" s="1248" t="s">
        <v>1133</v>
      </c>
      <c r="JY33" s="1242"/>
      <c r="JZ33" s="1245"/>
    </row>
    <row r="34" spans="1:286">
      <c r="A34">
        <v>31</v>
      </c>
      <c r="B34" s="1240"/>
      <c r="C34" s="1242"/>
      <c r="D34" s="1237"/>
      <c r="E34" s="1240"/>
      <c r="F34" s="1242"/>
      <c r="G34" s="1237"/>
      <c r="H34" s="1240"/>
      <c r="I34" s="1242"/>
      <c r="J34" s="1237"/>
      <c r="K34" s="1240"/>
      <c r="L34" s="1242"/>
      <c r="M34" s="1237"/>
      <c r="N34" s="1240"/>
      <c r="O34" s="1242"/>
      <c r="P34" s="1237"/>
      <c r="Q34" s="1240"/>
      <c r="R34" s="1242"/>
      <c r="S34" s="1237"/>
      <c r="T34" s="1238"/>
      <c r="U34" s="1242"/>
      <c r="V34" s="1238"/>
      <c r="W34" s="1248"/>
      <c r="X34" s="1242"/>
      <c r="Y34" s="1237"/>
      <c r="Z34" s="1248"/>
      <c r="AA34" s="1243"/>
      <c r="AB34" s="1237"/>
      <c r="AC34" s="1248"/>
      <c r="AD34" s="1242"/>
      <c r="AE34" s="1237"/>
      <c r="AF34" s="1248"/>
      <c r="AG34" s="1242"/>
      <c r="AH34" s="1237"/>
      <c r="AI34" s="1248"/>
      <c r="AJ34" s="1242"/>
      <c r="AK34" s="1237"/>
      <c r="AL34" s="1248"/>
      <c r="AM34" s="1242"/>
      <c r="AN34" s="1237"/>
      <c r="AO34" s="1248"/>
      <c r="AP34" s="1242"/>
      <c r="AQ34" s="1237"/>
      <c r="AR34" s="1248"/>
      <c r="AS34" s="1242"/>
      <c r="AT34" s="1237"/>
      <c r="AU34" s="1248"/>
      <c r="AV34" s="1242"/>
      <c r="AW34" s="1237"/>
      <c r="AX34" s="1248"/>
      <c r="AY34" s="1242"/>
      <c r="AZ34" s="1237"/>
      <c r="BA34" s="1248"/>
      <c r="BB34" s="1242"/>
      <c r="BC34" s="1237"/>
      <c r="BD34" s="1248"/>
      <c r="BE34" s="1242"/>
      <c r="BF34" s="1237"/>
      <c r="BG34" s="1248"/>
      <c r="BH34" s="1242"/>
      <c r="BI34" s="1237"/>
      <c r="BJ34" s="1248"/>
      <c r="BK34" s="1242"/>
      <c r="BL34" s="1237"/>
      <c r="BM34" s="1248"/>
      <c r="BN34" s="1242"/>
      <c r="BO34" s="1237"/>
      <c r="BP34" s="1248"/>
      <c r="BQ34" s="1242"/>
      <c r="BR34" s="1237"/>
      <c r="BS34" s="1248"/>
      <c r="BT34" s="1242"/>
      <c r="BU34" s="1237"/>
      <c r="BV34" s="1248"/>
      <c r="BW34" s="1242"/>
      <c r="BX34" s="1237"/>
      <c r="BY34" s="1248"/>
      <c r="BZ34" s="1242"/>
      <c r="CA34" s="1237"/>
      <c r="CB34" s="1248"/>
      <c r="CC34" s="1242"/>
      <c r="CD34" s="1237"/>
      <c r="CE34" s="1248"/>
      <c r="CF34" s="1242"/>
      <c r="CG34" s="1237"/>
      <c r="CH34" s="1248"/>
      <c r="CI34" s="1242"/>
      <c r="CJ34" s="1237"/>
      <c r="CK34" s="1248"/>
      <c r="CL34" s="1242"/>
      <c r="CM34" s="1237"/>
      <c r="CN34" s="1248"/>
      <c r="CO34" s="1242"/>
      <c r="CP34" s="1237"/>
      <c r="CQ34" s="1248"/>
      <c r="CR34" s="1242"/>
      <c r="CS34" s="1237"/>
      <c r="CT34" s="1248"/>
      <c r="CU34" s="1242"/>
      <c r="CV34" s="1237"/>
      <c r="CW34" s="1248"/>
      <c r="CX34" s="1242"/>
      <c r="CY34" s="1237"/>
      <c r="CZ34" s="1248"/>
      <c r="DA34" s="1242"/>
      <c r="DB34" s="1237"/>
      <c r="DC34" s="1248"/>
      <c r="DD34" s="1242"/>
      <c r="DE34" s="1237"/>
      <c r="DF34" s="1248"/>
      <c r="DG34" s="1242"/>
      <c r="DH34" s="1237"/>
      <c r="DI34" s="1248"/>
      <c r="DJ34" s="1242"/>
      <c r="DK34" s="1237"/>
      <c r="DL34" s="1248"/>
      <c r="DM34" s="1242"/>
      <c r="DN34" s="1237"/>
      <c r="DO34" s="1248"/>
      <c r="DP34" s="1242"/>
      <c r="DQ34" s="1237"/>
      <c r="DR34" s="1248"/>
      <c r="DS34" s="1242"/>
      <c r="DT34" s="1237"/>
      <c r="DU34" s="1248"/>
      <c r="DV34" s="1242"/>
      <c r="DW34" s="1237"/>
      <c r="DX34" s="1248"/>
      <c r="DY34" s="1242"/>
      <c r="DZ34" s="1237"/>
      <c r="EA34" s="1248"/>
      <c r="EB34" s="1242"/>
      <c r="EC34" s="1237"/>
      <c r="ED34" s="1248"/>
      <c r="EE34" s="1242"/>
      <c r="EF34" s="1237"/>
      <c r="EG34" s="1248"/>
      <c r="EH34" s="1242"/>
      <c r="EI34" s="1237"/>
      <c r="EJ34" s="1248"/>
      <c r="EK34" s="1242"/>
      <c r="EL34" s="1237"/>
      <c r="EM34" s="1248"/>
      <c r="EN34" s="1242"/>
      <c r="EO34" s="1237"/>
      <c r="EP34" s="1248"/>
      <c r="EQ34" s="1242"/>
      <c r="ER34" s="1237"/>
      <c r="ES34" s="1248"/>
      <c r="ET34" s="1242"/>
      <c r="EU34" s="1237"/>
      <c r="EV34" s="1248"/>
      <c r="EW34" s="1242"/>
      <c r="EX34" s="1245"/>
      <c r="EY34" s="1248"/>
      <c r="EZ34" s="1242"/>
      <c r="FA34" s="1245"/>
      <c r="FB34" s="1248"/>
      <c r="FC34" s="1242"/>
      <c r="FD34" s="1245"/>
      <c r="FE34" s="1248"/>
      <c r="FF34" s="1242"/>
      <c r="FG34" s="1237"/>
      <c r="FH34" s="1248"/>
      <c r="FI34" s="1242"/>
      <c r="FJ34" s="1237"/>
      <c r="FK34" s="1248"/>
      <c r="FL34" s="1242"/>
      <c r="FM34" s="1237"/>
      <c r="FN34" s="1248"/>
      <c r="FO34" s="1242"/>
      <c r="FP34" s="1237"/>
      <c r="FQ34" s="1248"/>
      <c r="FR34" s="1242"/>
      <c r="FS34" s="1237"/>
      <c r="FT34" s="1248"/>
      <c r="FU34" s="1242"/>
      <c r="FV34" s="1237"/>
      <c r="FW34" s="1248"/>
      <c r="FX34" s="1242"/>
      <c r="FY34" s="1237"/>
      <c r="FZ34" s="1248"/>
      <c r="GA34" s="1242"/>
      <c r="GB34" s="1237"/>
      <c r="GC34" s="1248"/>
      <c r="GD34" s="1242"/>
      <c r="GE34" s="1237"/>
      <c r="GF34" s="1248"/>
      <c r="GG34" s="1242"/>
      <c r="GH34" s="1237"/>
      <c r="GI34" s="1248"/>
      <c r="GJ34" s="1242"/>
      <c r="GK34" s="1237"/>
      <c r="GL34" s="1248"/>
      <c r="GM34" s="1242"/>
      <c r="GN34" s="1237"/>
      <c r="GO34" s="1248"/>
      <c r="GP34" s="1242"/>
      <c r="GQ34" s="1237"/>
      <c r="GR34" s="1248"/>
      <c r="GS34" s="1242"/>
      <c r="GT34" s="1237"/>
      <c r="GU34" s="1248"/>
      <c r="GV34" s="1242"/>
      <c r="GW34" s="1237"/>
      <c r="GX34" s="1248"/>
      <c r="GY34" s="1242"/>
      <c r="GZ34" s="1237"/>
      <c r="HA34" s="1248"/>
      <c r="HB34" s="1242"/>
      <c r="HC34" s="1237"/>
      <c r="HD34" s="1248"/>
      <c r="HE34" s="1242"/>
      <c r="HF34" s="1237"/>
      <c r="HG34" s="1248"/>
      <c r="HH34" s="1242"/>
      <c r="HI34" s="1237"/>
      <c r="HJ34" s="1248"/>
      <c r="HK34" s="1242"/>
      <c r="HL34" s="1237"/>
      <c r="HM34" s="1248"/>
      <c r="HN34" s="1242"/>
      <c r="HO34" s="1237"/>
      <c r="HP34" s="1248"/>
      <c r="HQ34" s="1242"/>
      <c r="HR34" s="1237"/>
      <c r="HS34" s="1248"/>
      <c r="HT34" s="1242"/>
      <c r="HU34" s="1237"/>
      <c r="HV34" s="1248"/>
      <c r="HW34" s="1242"/>
      <c r="HX34" s="1237"/>
      <c r="HY34" s="1248"/>
      <c r="HZ34" s="1242"/>
      <c r="IA34" s="1237"/>
      <c r="IB34" s="1248"/>
      <c r="IC34" s="1242"/>
      <c r="ID34" s="1237"/>
      <c r="IE34" s="1248"/>
      <c r="IF34" s="1242"/>
      <c r="IG34" s="1237"/>
      <c r="IH34" s="1248"/>
      <c r="II34" s="1242"/>
      <c r="IJ34" s="1237"/>
      <c r="IK34" s="1248"/>
      <c r="IL34" s="1242"/>
      <c r="IM34" s="1237"/>
      <c r="IN34" s="1248"/>
      <c r="IO34" s="1242"/>
      <c r="IP34" s="1237"/>
      <c r="IQ34" s="1248"/>
      <c r="IR34" s="1242"/>
      <c r="IS34" s="1237"/>
      <c r="IT34" s="1248"/>
      <c r="IU34" s="1242"/>
      <c r="IV34" s="1237"/>
      <c r="IW34" s="1248"/>
      <c r="IX34" s="1242"/>
      <c r="IY34" s="1237"/>
      <c r="IZ34" s="1248"/>
      <c r="JA34" s="1242"/>
      <c r="JB34" s="1237"/>
      <c r="JC34" s="1248"/>
      <c r="JD34" s="1242"/>
      <c r="JE34" s="1237"/>
      <c r="JF34" s="1248"/>
      <c r="JG34" s="1242"/>
      <c r="JH34" s="1237"/>
      <c r="JI34" s="1248"/>
      <c r="JJ34" s="1242"/>
      <c r="JK34" s="1237"/>
      <c r="JL34" s="1248"/>
      <c r="JM34" s="1242"/>
      <c r="JN34" s="1237"/>
      <c r="JO34" s="1248"/>
      <c r="JP34" s="1242"/>
      <c r="JQ34" s="1237"/>
      <c r="JR34" s="1248"/>
      <c r="JS34" s="1242"/>
      <c r="JT34" s="1237"/>
      <c r="JU34" s="1248"/>
      <c r="JV34" s="1249"/>
      <c r="JW34" s="1237"/>
      <c r="JX34" s="1248"/>
      <c r="JY34" s="1242"/>
      <c r="JZ34" s="1245"/>
    </row>
    <row r="35" spans="1:286">
      <c r="A35">
        <v>32</v>
      </c>
      <c r="B35" s="1240"/>
      <c r="C35" s="1242"/>
      <c r="D35" s="1237"/>
      <c r="E35" s="1240"/>
      <c r="F35" s="1242"/>
      <c r="G35" s="1237"/>
      <c r="H35" s="1240"/>
      <c r="I35" s="1242"/>
      <c r="J35" s="1237"/>
      <c r="K35" s="1240"/>
      <c r="L35" s="1242"/>
      <c r="M35" s="1237"/>
      <c r="N35" s="1240"/>
      <c r="O35" s="1242"/>
      <c r="P35" s="1237"/>
      <c r="Q35" s="1240"/>
      <c r="R35" s="1242"/>
      <c r="S35" s="1237"/>
      <c r="T35" s="1238"/>
      <c r="U35" s="1242"/>
      <c r="V35" s="1238"/>
      <c r="W35" s="1248"/>
      <c r="X35" s="1242"/>
      <c r="Y35" s="1237"/>
      <c r="Z35" s="1248"/>
      <c r="AA35" s="1243"/>
      <c r="AB35" s="1237"/>
      <c r="AC35" s="1248"/>
      <c r="AD35" s="1242"/>
      <c r="AE35" s="1237"/>
      <c r="AF35" s="1248"/>
      <c r="AG35" s="1242"/>
      <c r="AH35" s="1237"/>
      <c r="AI35" s="1248"/>
      <c r="AJ35" s="1242"/>
      <c r="AK35" s="1237"/>
      <c r="AL35" s="1248"/>
      <c r="AM35" s="1242"/>
      <c r="AN35" s="1237"/>
      <c r="AO35" s="1248"/>
      <c r="AP35" s="1242"/>
      <c r="AQ35" s="1237"/>
      <c r="AR35" s="1248"/>
      <c r="AS35" s="1242"/>
      <c r="AT35" s="1237"/>
      <c r="AU35" s="1248"/>
      <c r="AV35" s="1242"/>
      <c r="AW35" s="1237"/>
      <c r="AX35" s="1248"/>
      <c r="AY35" s="1242"/>
      <c r="AZ35" s="1237"/>
      <c r="BA35" s="1248"/>
      <c r="BB35" s="1242"/>
      <c r="BC35" s="1237"/>
      <c r="BD35" s="1248"/>
      <c r="BE35" s="1242"/>
      <c r="BF35" s="1237"/>
      <c r="BG35" s="1248"/>
      <c r="BH35" s="1242"/>
      <c r="BI35" s="1237"/>
      <c r="BJ35" s="1248"/>
      <c r="BK35" s="1242"/>
      <c r="BL35" s="1237"/>
      <c r="BM35" s="1248"/>
      <c r="BN35" s="1242"/>
      <c r="BO35" s="1237"/>
      <c r="BP35" s="1248"/>
      <c r="BQ35" s="1242"/>
      <c r="BR35" s="1237"/>
      <c r="BS35" s="1248"/>
      <c r="BT35" s="1242"/>
      <c r="BU35" s="1237"/>
      <c r="BV35" s="1248"/>
      <c r="BW35" s="1242"/>
      <c r="BX35" s="1237"/>
      <c r="BY35" s="1248"/>
      <c r="BZ35" s="1242"/>
      <c r="CA35" s="1237"/>
      <c r="CB35" s="1248"/>
      <c r="CC35" s="1242"/>
      <c r="CD35" s="1237"/>
      <c r="CE35" s="1248"/>
      <c r="CF35" s="1242"/>
      <c r="CG35" s="1237"/>
      <c r="CH35" s="1248"/>
      <c r="CI35" s="1242"/>
      <c r="CJ35" s="1237"/>
      <c r="CK35" s="1248"/>
      <c r="CL35" s="1242"/>
      <c r="CM35" s="1237"/>
      <c r="CN35" s="1248"/>
      <c r="CO35" s="1242"/>
      <c r="CP35" s="1237"/>
      <c r="CQ35" s="1248"/>
      <c r="CR35" s="1242"/>
      <c r="CS35" s="1237"/>
      <c r="CT35" s="1248"/>
      <c r="CU35" s="1242"/>
      <c r="CV35" s="1237"/>
      <c r="CW35" s="1248"/>
      <c r="CX35" s="1242"/>
      <c r="CY35" s="1237"/>
      <c r="CZ35" s="1248"/>
      <c r="DA35" s="1242"/>
      <c r="DB35" s="1237"/>
      <c r="DC35" s="1248"/>
      <c r="DD35" s="1242"/>
      <c r="DE35" s="1237"/>
      <c r="DF35" s="1248"/>
      <c r="DG35" s="1242"/>
      <c r="DH35" s="1237"/>
      <c r="DI35" s="1248"/>
      <c r="DJ35" s="1242"/>
      <c r="DK35" s="1237"/>
      <c r="DL35" s="1248"/>
      <c r="DM35" s="1242"/>
      <c r="DN35" s="1237"/>
      <c r="DO35" s="1248"/>
      <c r="DP35" s="1242"/>
      <c r="DQ35" s="1237"/>
      <c r="DR35" s="1248"/>
      <c r="DS35" s="1242"/>
      <c r="DT35" s="1237"/>
      <c r="DU35" s="1248"/>
      <c r="DV35" s="1242"/>
      <c r="DW35" s="1237"/>
      <c r="DX35" s="1248"/>
      <c r="DY35" s="1242"/>
      <c r="DZ35" s="1237"/>
      <c r="EA35" s="1248"/>
      <c r="EB35" s="1242"/>
      <c r="EC35" s="1237"/>
      <c r="ED35" s="1248"/>
      <c r="EE35" s="1242"/>
      <c r="EF35" s="1237"/>
      <c r="EG35" s="1248"/>
      <c r="EH35" s="1242"/>
      <c r="EI35" s="1237"/>
      <c r="EJ35" s="1248"/>
      <c r="EK35" s="1242"/>
      <c r="EL35" s="1237"/>
      <c r="EM35" s="1248"/>
      <c r="EN35" s="1242"/>
      <c r="EO35" s="1237"/>
      <c r="EP35" s="1248"/>
      <c r="EQ35" s="1242"/>
      <c r="ER35" s="1237"/>
      <c r="ES35" s="1248"/>
      <c r="ET35" s="1242"/>
      <c r="EU35" s="1237"/>
      <c r="EV35" s="1248"/>
      <c r="EW35" s="1242"/>
      <c r="EX35" s="1245"/>
      <c r="EY35" s="1248"/>
      <c r="EZ35" s="1242"/>
      <c r="FA35" s="1245"/>
      <c r="FB35" s="1248"/>
      <c r="FC35" s="1242"/>
      <c r="FD35" s="1245"/>
      <c r="FE35" s="1248"/>
      <c r="FF35" s="1242"/>
      <c r="FG35" s="1237"/>
      <c r="FH35" s="1248"/>
      <c r="FI35" s="1242"/>
      <c r="FJ35" s="1237"/>
      <c r="FK35" s="1248"/>
      <c r="FL35" s="1242"/>
      <c r="FM35" s="1237"/>
      <c r="FN35" s="1248"/>
      <c r="FO35" s="1242"/>
      <c r="FP35" s="1237"/>
      <c r="FQ35" s="1248"/>
      <c r="FR35" s="1242"/>
      <c r="FS35" s="1237"/>
      <c r="FT35" s="1248"/>
      <c r="FU35" s="1242"/>
      <c r="FV35" s="1237"/>
      <c r="FW35" s="1248"/>
      <c r="FX35" s="1242"/>
      <c r="FY35" s="1237"/>
      <c r="FZ35" s="1248"/>
      <c r="GA35" s="1242"/>
      <c r="GB35" s="1237"/>
      <c r="GC35" s="1248"/>
      <c r="GD35" s="1242"/>
      <c r="GE35" s="1237"/>
      <c r="GF35" s="1248"/>
      <c r="GG35" s="1242"/>
      <c r="GH35" s="1237"/>
      <c r="GI35" s="1248"/>
      <c r="GJ35" s="1242"/>
      <c r="GK35" s="1237"/>
      <c r="GL35" s="1248"/>
      <c r="GM35" s="1242"/>
      <c r="GN35" s="1237"/>
      <c r="GO35" s="1248"/>
      <c r="GP35" s="1242"/>
      <c r="GQ35" s="1237"/>
      <c r="GR35" s="1248"/>
      <c r="GS35" s="1242"/>
      <c r="GT35" s="1237"/>
      <c r="GU35" s="1248"/>
      <c r="GV35" s="1242"/>
      <c r="GW35" s="1237"/>
      <c r="GX35" s="1248"/>
      <c r="GY35" s="1242"/>
      <c r="GZ35" s="1237"/>
      <c r="HA35" s="1248"/>
      <c r="HB35" s="1242"/>
      <c r="HC35" s="1237"/>
      <c r="HD35" s="1248"/>
      <c r="HE35" s="1242"/>
      <c r="HF35" s="1237"/>
      <c r="HG35" s="1248"/>
      <c r="HH35" s="1242"/>
      <c r="HI35" s="1237"/>
      <c r="HJ35" s="1248"/>
      <c r="HK35" s="1242"/>
      <c r="HL35" s="1237"/>
      <c r="HM35" s="1248"/>
      <c r="HN35" s="1242"/>
      <c r="HO35" s="1237"/>
      <c r="HP35" s="1248"/>
      <c r="HQ35" s="1242"/>
      <c r="HR35" s="1237"/>
      <c r="HS35" s="1248"/>
      <c r="HT35" s="1242"/>
      <c r="HU35" s="1237"/>
      <c r="HV35" s="1248"/>
      <c r="HW35" s="1242"/>
      <c r="HX35" s="1237"/>
      <c r="HY35" s="1248"/>
      <c r="HZ35" s="1242"/>
      <c r="IA35" s="1237"/>
      <c r="IB35" s="1248"/>
      <c r="IC35" s="1242"/>
      <c r="ID35" s="1237"/>
      <c r="IE35" s="1248"/>
      <c r="IF35" s="1242"/>
      <c r="IG35" s="1237"/>
      <c r="IH35" s="1248"/>
      <c r="II35" s="1242"/>
      <c r="IJ35" s="1237"/>
      <c r="IK35" s="1248"/>
      <c r="IL35" s="1242"/>
      <c r="IM35" s="1237"/>
      <c r="IN35" s="1248"/>
      <c r="IO35" s="1242"/>
      <c r="IP35" s="1237"/>
      <c r="IQ35" s="1248"/>
      <c r="IR35" s="1242"/>
      <c r="IS35" s="1237"/>
      <c r="IT35" s="1248"/>
      <c r="IU35" s="1242"/>
      <c r="IV35" s="1237"/>
      <c r="IW35" s="1248"/>
      <c r="IX35" s="1242"/>
      <c r="IY35" s="1237"/>
      <c r="IZ35" s="1248"/>
      <c r="JA35" s="1242"/>
      <c r="JB35" s="1237"/>
      <c r="JC35" s="1248"/>
      <c r="JD35" s="1242"/>
      <c r="JE35" s="1237"/>
      <c r="JF35" s="1248"/>
      <c r="JG35" s="1242"/>
      <c r="JH35" s="1237"/>
      <c r="JI35" s="1248"/>
      <c r="JJ35" s="1242"/>
      <c r="JK35" s="1237"/>
      <c r="JL35" s="1248"/>
      <c r="JM35" s="1242"/>
      <c r="JN35" s="1237"/>
      <c r="JO35" s="1248"/>
      <c r="JP35" s="1242"/>
      <c r="JQ35" s="1237"/>
      <c r="JR35" s="1248"/>
      <c r="JS35" s="1242"/>
      <c r="JT35" s="1237"/>
      <c r="JU35" s="1248"/>
      <c r="JV35" s="1249"/>
      <c r="JW35" s="1237"/>
      <c r="JX35" s="1248"/>
      <c r="JY35" s="1242"/>
      <c r="JZ35" s="1245"/>
    </row>
    <row r="36" spans="1:286">
      <c r="A36">
        <v>33</v>
      </c>
      <c r="B36" s="1251">
        <v>-2195791.6102033141</v>
      </c>
      <c r="C36" s="1252">
        <v>10800.000001</v>
      </c>
      <c r="D36" s="1238">
        <v>-240.34</v>
      </c>
      <c r="E36" s="1251">
        <v>-60449.456813070254</v>
      </c>
      <c r="F36" s="1256">
        <v>6000.0000010000003</v>
      </c>
      <c r="G36" s="1238">
        <v>-13.070250763666666</v>
      </c>
      <c r="H36" s="1251">
        <v>-37825778.894766912</v>
      </c>
      <c r="I36" s="1256">
        <v>780000.00000100001</v>
      </c>
      <c r="J36" s="1238">
        <v>-52.521900000000002</v>
      </c>
      <c r="K36" s="1251">
        <v>-2343421.5502027376</v>
      </c>
      <c r="L36" s="1256">
        <v>12200.000001</v>
      </c>
      <c r="M36" s="1238">
        <v>-228.95</v>
      </c>
      <c r="N36" s="1251">
        <v>-2952421.0412648842</v>
      </c>
      <c r="O36" s="1256">
        <v>2530000.0000009998</v>
      </c>
      <c r="P36" s="1238">
        <v>-3.3727</v>
      </c>
      <c r="Q36" s="1251">
        <v>-2782900.0006544553</v>
      </c>
      <c r="R36" s="1256">
        <v>4300.0000010000003</v>
      </c>
      <c r="S36" s="1238">
        <v>-715.55</v>
      </c>
      <c r="T36" s="1257"/>
      <c r="U36" s="1257"/>
      <c r="V36" s="1257"/>
      <c r="W36" s="1251">
        <v>-54110.000069840004</v>
      </c>
      <c r="X36" s="1256">
        <v>1000.000001</v>
      </c>
      <c r="Y36" s="1238">
        <v>-69.84</v>
      </c>
      <c r="Z36" s="1251">
        <v>-50968.000002080764</v>
      </c>
      <c r="AA36" s="1258">
        <v>26000.000001</v>
      </c>
      <c r="AB36" s="1238">
        <v>-2.3279999999999998</v>
      </c>
      <c r="AC36" s="1251">
        <v>-158995.0000127196</v>
      </c>
      <c r="AD36" s="1256">
        <v>12500.000001</v>
      </c>
      <c r="AE36" s="1238">
        <v>-12.7196</v>
      </c>
      <c r="AF36" s="1251">
        <v>-245.35006275000001</v>
      </c>
      <c r="AG36" s="1256">
        <v>5.0000010000000001</v>
      </c>
      <c r="AH36" s="1238">
        <v>-62.75</v>
      </c>
      <c r="AI36" s="1251">
        <v>-39770.000058935002</v>
      </c>
      <c r="AJ36" s="1256">
        <v>1000.000001</v>
      </c>
      <c r="AK36" s="1238">
        <v>-58.935000000000002</v>
      </c>
      <c r="AL36" s="1251">
        <v>-11235.000056056189</v>
      </c>
      <c r="AM36" s="1256">
        <v>250.000001</v>
      </c>
      <c r="AN36" s="1238">
        <v>-56.056190000000001</v>
      </c>
      <c r="AO36" s="1251">
        <v>-313486.00000313483</v>
      </c>
      <c r="AP36" s="1256">
        <v>100000.00000100001</v>
      </c>
      <c r="AQ36" s="1238">
        <v>-3.9952000000000001</v>
      </c>
      <c r="AR36" s="1251">
        <v>-101479.600114574</v>
      </c>
      <c r="AS36" s="1256">
        <v>1000.000001</v>
      </c>
      <c r="AT36" s="1238">
        <v>-114.574</v>
      </c>
      <c r="AU36" s="1251">
        <v>-128615.00003185749</v>
      </c>
      <c r="AV36" s="1256">
        <v>6000.0000010000003</v>
      </c>
      <c r="AW36" s="1238">
        <v>-32.950000000000003</v>
      </c>
      <c r="AX36" s="1251">
        <v>-80787.300140174309</v>
      </c>
      <c r="AY36" s="1256">
        <v>1000.000001</v>
      </c>
      <c r="AZ36" s="1238">
        <v>-140.17430000000002</v>
      </c>
      <c r="BA36" s="1251">
        <v>-92714.000015842495</v>
      </c>
      <c r="BB36" s="1256">
        <v>6000.0000010000003</v>
      </c>
      <c r="BC36" s="1238">
        <v>-17.396999999999998</v>
      </c>
      <c r="BD36" s="1251">
        <v>-33675.000014780002</v>
      </c>
      <c r="BE36" s="1256">
        <v>3750.0000009999999</v>
      </c>
      <c r="BF36" s="1238">
        <v>-14.78</v>
      </c>
      <c r="BG36" s="1251">
        <v>-63550.500002126879</v>
      </c>
      <c r="BH36" s="1256">
        <v>30000.000001</v>
      </c>
      <c r="BI36" s="1238">
        <v>-5.2035</v>
      </c>
      <c r="BJ36" s="1251">
        <v>-374.00004667600001</v>
      </c>
      <c r="BK36" s="1256">
        <v>10.000000999999999</v>
      </c>
      <c r="BL36" s="1238">
        <v>-46.676000000000002</v>
      </c>
      <c r="BM36" s="1251">
        <v>-146113.60001975117</v>
      </c>
      <c r="BN36" s="1256">
        <v>10000.000001</v>
      </c>
      <c r="BO36" s="1238">
        <v>-19.7511832</v>
      </c>
      <c r="BP36" s="1251">
        <v>-15700.000024949997</v>
      </c>
      <c r="BQ36" s="1256">
        <v>1000.000001</v>
      </c>
      <c r="BR36" s="1238">
        <v>-24.949998000000001</v>
      </c>
      <c r="BS36" s="1251">
        <v>-40632200.000209123</v>
      </c>
      <c r="BT36" s="1256">
        <v>270000.00000100001</v>
      </c>
      <c r="BU36" s="1238">
        <v>-209.12517777777776</v>
      </c>
      <c r="BV36" s="1251">
        <v>-124556.40006809692</v>
      </c>
      <c r="BW36" s="1256">
        <v>2660.0000009999999</v>
      </c>
      <c r="BX36" s="1238">
        <v>-68.096917293233076</v>
      </c>
      <c r="BY36" s="1251">
        <v>-3.8535999999999998E-6</v>
      </c>
      <c r="BZ36" s="1256">
        <v>9.9999999999999995E-7</v>
      </c>
      <c r="CA36" s="1238">
        <v>-3.8536000000000001</v>
      </c>
      <c r="CB36" s="1251">
        <v>-1080.0000050683</v>
      </c>
      <c r="CC36" s="1256">
        <v>1000.000001</v>
      </c>
      <c r="CD36" s="1238">
        <v>-5.0682999999999998</v>
      </c>
      <c r="CE36" s="1251">
        <v>-7.1645336666666668E-5</v>
      </c>
      <c r="CF36" s="1256">
        <v>12000.000001</v>
      </c>
      <c r="CG36" s="1238">
        <v>-122.57</v>
      </c>
      <c r="CH36" s="1251">
        <v>-2598923.1003190149</v>
      </c>
      <c r="CI36" s="1256">
        <v>10200.000001</v>
      </c>
      <c r="CJ36" s="1238">
        <v>-441.04</v>
      </c>
      <c r="CK36" s="1251">
        <v>-279046.0000710747</v>
      </c>
      <c r="CL36" s="1256">
        <v>4200.0000010000003</v>
      </c>
      <c r="CM36" s="1238">
        <v>-71.074707619047615</v>
      </c>
      <c r="CN36" s="1251">
        <v>-516125.5200455421</v>
      </c>
      <c r="CO36" s="1256">
        <v>14200.000001</v>
      </c>
      <c r="CP36" s="1238">
        <v>-45.542095070422533</v>
      </c>
      <c r="CQ36" s="1251">
        <v>-319186.00112517003</v>
      </c>
      <c r="CR36" s="1256">
        <v>600.000001</v>
      </c>
      <c r="CS36" s="1238">
        <v>-1125.17</v>
      </c>
      <c r="CT36" s="1251">
        <v>-251605.36750943508</v>
      </c>
      <c r="CU36" s="1256">
        <v>26667.000001</v>
      </c>
      <c r="CV36" s="1238">
        <v>-9.8524999999999991</v>
      </c>
      <c r="CW36" s="1251">
        <v>-69376.200024969992</v>
      </c>
      <c r="CX36" s="1256">
        <v>3000.0000009999999</v>
      </c>
      <c r="CY36" s="1238">
        <v>-24.97</v>
      </c>
      <c r="CZ36" s="1251">
        <v>-12449.800006224899</v>
      </c>
      <c r="DA36" s="1256">
        <v>2000.0000010000001</v>
      </c>
      <c r="DB36" s="1238">
        <v>-6.2248999999999999</v>
      </c>
      <c r="DC36" s="1251">
        <v>-290487.84111692087</v>
      </c>
      <c r="DD36" s="1256">
        <v>50000.000001</v>
      </c>
      <c r="DE36" s="1238">
        <v>-7.09</v>
      </c>
      <c r="DF36" s="1251">
        <v>-10663.400201066339</v>
      </c>
      <c r="DG36" s="1256">
        <v>10000.000001</v>
      </c>
      <c r="DH36" s="1238">
        <v>-1.1955</v>
      </c>
      <c r="DI36" s="1251">
        <v>-16404.600018649999</v>
      </c>
      <c r="DJ36" s="1256">
        <v>2000.0000010000001</v>
      </c>
      <c r="DK36" s="1238">
        <v>-18.649999999999999</v>
      </c>
      <c r="DL36" s="1251">
        <v>-1418.5000283700001</v>
      </c>
      <c r="DM36" s="1256">
        <v>50.000000999999997</v>
      </c>
      <c r="DN36" s="1238">
        <v>-28.37</v>
      </c>
      <c r="DO36" s="1251">
        <v>-489178.7202429779</v>
      </c>
      <c r="DP36" s="1256">
        <v>3500.0000009999999</v>
      </c>
      <c r="DQ36" s="1238">
        <v>-242.9779257142857</v>
      </c>
      <c r="DR36" s="1251">
        <v>-357338.06721708231</v>
      </c>
      <c r="DS36" s="1256">
        <v>23000.000001</v>
      </c>
      <c r="DT36" s="1238">
        <v>-19.260000000000002</v>
      </c>
      <c r="DU36" s="1251">
        <v>-467145.89002919663</v>
      </c>
      <c r="DV36" s="1256">
        <v>16000.000001</v>
      </c>
      <c r="DW36" s="1238">
        <v>-54.700470000000003</v>
      </c>
      <c r="DX36" s="1251">
        <v>-1725.4803365099999</v>
      </c>
      <c r="DY36" s="1256">
        <v>10.000000999999999</v>
      </c>
      <c r="DZ36" s="1238">
        <v>-336.51</v>
      </c>
      <c r="EA36" s="1251">
        <v>-758191.67018832196</v>
      </c>
      <c r="EB36" s="1256">
        <v>5500.0000010000003</v>
      </c>
      <c r="EC36" s="1238">
        <v>-193.52683999999999</v>
      </c>
      <c r="ED36" s="1251">
        <v>-124798.05004159934</v>
      </c>
      <c r="EE36" s="1256">
        <v>3000.0000009999999</v>
      </c>
      <c r="EF36" s="1238">
        <v>-42.222099999999998</v>
      </c>
      <c r="EG36" s="1251">
        <v>-157183.46800869043</v>
      </c>
      <c r="EH36" s="1256">
        <v>18087.000001</v>
      </c>
      <c r="EI36" s="1238">
        <v>-9.3000000000000007</v>
      </c>
      <c r="EJ36" s="1251">
        <v>-48693.15866779114</v>
      </c>
      <c r="EK36" s="1256">
        <v>350.000001</v>
      </c>
      <c r="EL36" s="1238">
        <v>-204.79114283428572</v>
      </c>
      <c r="EM36" s="1251">
        <v>-28695.000024149998</v>
      </c>
      <c r="EN36" s="1256">
        <v>1500.0000010000001</v>
      </c>
      <c r="EO36" s="1238">
        <v>-24.15</v>
      </c>
      <c r="EP36" s="1251">
        <v>-723467.30006003927</v>
      </c>
      <c r="EQ36" s="1256">
        <v>14000.000001</v>
      </c>
      <c r="ER36" s="1238">
        <v>-60.039285714285711</v>
      </c>
      <c r="ES36" s="1251">
        <v>-41150.000008230003</v>
      </c>
      <c r="ET36" s="1256">
        <v>5000.0000010000003</v>
      </c>
      <c r="EU36" s="1238">
        <v>-8.23</v>
      </c>
      <c r="EV36" s="1251">
        <v>-30179.7000100599</v>
      </c>
      <c r="EW36" s="1256">
        <v>3000.0000009999999</v>
      </c>
      <c r="EX36" s="1238">
        <v>-10.059900000000001</v>
      </c>
      <c r="EY36" s="1251">
        <v>-19902.000106089999</v>
      </c>
      <c r="EZ36" s="1256">
        <v>200.000001</v>
      </c>
      <c r="FA36" s="1238">
        <v>-106.09</v>
      </c>
      <c r="FB36" s="1251">
        <v>-40196.980009873601</v>
      </c>
      <c r="FC36" s="1256">
        <v>5000.0000010000003</v>
      </c>
      <c r="FD36" s="1238">
        <v>-9.8735999999999997</v>
      </c>
      <c r="FE36" s="1251">
        <v>-638424.79707526416</v>
      </c>
      <c r="FF36" s="1256">
        <v>505000.00000100001</v>
      </c>
      <c r="FG36" s="1238">
        <v>-4.3852000000000002</v>
      </c>
      <c r="FH36" s="1251">
        <v>-24500.00000245</v>
      </c>
      <c r="FI36" s="1256">
        <v>10000.000001</v>
      </c>
      <c r="FJ36" s="1238">
        <v>-2.4500000000000002</v>
      </c>
      <c r="FK36" s="1251">
        <v>-403470.00003363751</v>
      </c>
      <c r="FL36" s="1256">
        <v>12000.000001</v>
      </c>
      <c r="FM36" s="1238">
        <v>-35.35</v>
      </c>
      <c r="FN36" s="1251">
        <v>-106.65001106</v>
      </c>
      <c r="FO36" s="1256">
        <v>10.000000999999999</v>
      </c>
      <c r="FP36" s="1238">
        <v>-11.06</v>
      </c>
      <c r="FQ36" s="1251">
        <v>-542469.00001356553</v>
      </c>
      <c r="FR36" s="1256">
        <v>40000.000001</v>
      </c>
      <c r="FS36" s="1238">
        <v>-15.592599999999999</v>
      </c>
      <c r="FT36" s="1251">
        <v>-31060.000002588335</v>
      </c>
      <c r="FU36" s="1256">
        <v>12000.000001</v>
      </c>
      <c r="FV36" s="1238">
        <v>-6.93</v>
      </c>
      <c r="FW36" s="1251">
        <v>-42613.543058992494</v>
      </c>
      <c r="FX36" s="1256">
        <v>2000.0000010000001</v>
      </c>
      <c r="FY36" s="1238">
        <v>-58.9925</v>
      </c>
      <c r="FZ36" s="1251">
        <v>-214578.60001198619</v>
      </c>
      <c r="GA36" s="1256">
        <v>21000.000001</v>
      </c>
      <c r="GB36" s="1238">
        <v>-11.986190476190476</v>
      </c>
      <c r="GC36" s="1251">
        <v>-28.210033095</v>
      </c>
      <c r="GD36" s="1256">
        <v>1.0000009999999999</v>
      </c>
      <c r="GE36" s="1238">
        <v>-33.094999999999999</v>
      </c>
      <c r="GF36" s="1251">
        <v>-62660.840255269031</v>
      </c>
      <c r="GG36" s="1256">
        <v>401.000001</v>
      </c>
      <c r="GH36" s="1238">
        <v>-255.26902743142145</v>
      </c>
      <c r="GI36" s="1251">
        <v>-23420.479041940634</v>
      </c>
      <c r="GJ36" s="1256">
        <v>560.000001</v>
      </c>
      <c r="GK36" s="1238">
        <v>-43.317</v>
      </c>
      <c r="GL36" s="1251">
        <v>-59855.188201382727</v>
      </c>
      <c r="GM36" s="1256">
        <v>500.000001</v>
      </c>
      <c r="GN36" s="1238">
        <v>-201.3827144</v>
      </c>
      <c r="GO36" s="1251">
        <v>-330870.00019993749</v>
      </c>
      <c r="GP36" s="1256">
        <v>2000.0000009999999</v>
      </c>
      <c r="GQ36" s="1238">
        <v>-199.9375</v>
      </c>
      <c r="GR36" s="1251">
        <v>-101353.70067741965</v>
      </c>
      <c r="GS36" s="1256">
        <v>180.000001</v>
      </c>
      <c r="GT36" s="1238">
        <v>-677.41965555555555</v>
      </c>
      <c r="GU36" s="1251">
        <v>-391699.92000333994</v>
      </c>
      <c r="GV36" s="1256">
        <v>121000.00000100001</v>
      </c>
      <c r="GW36" s="1238">
        <v>-4.0185000000000004</v>
      </c>
      <c r="GX36" s="1251">
        <v>-62276.500108610002</v>
      </c>
      <c r="GY36" s="1256">
        <v>670.000001</v>
      </c>
      <c r="GZ36" s="1238">
        <v>-108.61</v>
      </c>
      <c r="HA36" s="1251">
        <v>-3.4780000000000002E-5</v>
      </c>
      <c r="HB36" s="1256">
        <v>9.9999999999999995E-7</v>
      </c>
      <c r="HC36" s="1238">
        <v>-34.78</v>
      </c>
      <c r="HD36" s="1251">
        <v>-1.6259999999999999E-4</v>
      </c>
      <c r="HE36" s="1256">
        <v>9.9999999999999995E-7</v>
      </c>
      <c r="HF36" s="1238">
        <v>-162.6</v>
      </c>
      <c r="HG36" s="1251">
        <v>-285869.94434873411</v>
      </c>
      <c r="HH36" s="1256">
        <v>5000.0000010000003</v>
      </c>
      <c r="HI36" s="1238">
        <v>-100.25</v>
      </c>
      <c r="HJ36" s="1251">
        <v>-391018.9250024439</v>
      </c>
      <c r="HK36" s="1256">
        <v>160000.00000100001</v>
      </c>
      <c r="HL36" s="1238">
        <v>-3.4309850000000002</v>
      </c>
      <c r="HM36" s="1251">
        <v>-26740.000013977999</v>
      </c>
      <c r="HN36" s="1256">
        <v>2000.0000010000001</v>
      </c>
      <c r="HO36" s="1238">
        <v>-13.978</v>
      </c>
      <c r="HP36" s="1251">
        <v>-9630301.0005025491</v>
      </c>
      <c r="HQ36" s="1256">
        <v>20000.000001</v>
      </c>
      <c r="HR36" s="1238">
        <v>-502.55</v>
      </c>
      <c r="HS36" s="1251">
        <v>-27705.000009234998</v>
      </c>
      <c r="HT36" s="1256">
        <v>3000.0000009999999</v>
      </c>
      <c r="HU36" s="1238">
        <v>-9.2349999999999994</v>
      </c>
      <c r="HV36" s="1251">
        <v>-1.9629999999999997E-5</v>
      </c>
      <c r="HW36" s="1256">
        <v>9.9999999999999995E-7</v>
      </c>
      <c r="HX36" s="1238">
        <v>-19.63</v>
      </c>
      <c r="HY36" s="1251">
        <v>-60906.000186390003</v>
      </c>
      <c r="HZ36" s="1256">
        <v>600.000001</v>
      </c>
      <c r="IA36" s="1238">
        <v>-186.39</v>
      </c>
      <c r="IB36" s="1251">
        <v>-3.5869999999999999E-4</v>
      </c>
      <c r="IC36" s="1256">
        <v>9.9999999999999995E-7</v>
      </c>
      <c r="ID36" s="1238">
        <v>-358.7</v>
      </c>
      <c r="IE36" s="1251">
        <v>-336388.84002167732</v>
      </c>
      <c r="IF36" s="1256">
        <v>15518.000001</v>
      </c>
      <c r="IG36" s="1238">
        <v>-47.08</v>
      </c>
      <c r="IH36" s="1251">
        <v>-33059.640030697403</v>
      </c>
      <c r="II36" s="1256">
        <v>1200.0000010000001</v>
      </c>
      <c r="IJ36" s="1238">
        <v>-30.697399999999998</v>
      </c>
      <c r="IK36" s="1251">
        <v>-64604.000546809999</v>
      </c>
      <c r="IL36" s="1256">
        <v>200.000001</v>
      </c>
      <c r="IM36" s="1238">
        <v>-546.80999999999995</v>
      </c>
      <c r="IN36" s="1251">
        <v>-98424.400008947676</v>
      </c>
      <c r="IO36" s="1256">
        <v>11000.000001</v>
      </c>
      <c r="IP36" s="1238">
        <v>-9.75</v>
      </c>
      <c r="IQ36" s="1251">
        <v>-8.5849999999999986E-5</v>
      </c>
      <c r="IR36" s="1256">
        <v>9.9999999999999995E-7</v>
      </c>
      <c r="IS36" s="1238">
        <v>-85.85</v>
      </c>
      <c r="IT36" s="1251">
        <v>-11515.200013745001</v>
      </c>
      <c r="IU36" s="1256">
        <v>1200.0000010000001</v>
      </c>
      <c r="IV36" s="1238">
        <v>-13.744999999999999</v>
      </c>
      <c r="IW36" s="1251">
        <v>-217005.30005433445</v>
      </c>
      <c r="IX36" s="1256">
        <v>4000.0000009999999</v>
      </c>
      <c r="IY36" s="1238">
        <v>-62.047400000000003</v>
      </c>
      <c r="IZ36" s="1251">
        <v>-39904.000024939996</v>
      </c>
      <c r="JA36" s="1256">
        <v>1600.0000010000001</v>
      </c>
      <c r="JB36" s="1238">
        <v>-24.94</v>
      </c>
      <c r="JC36" s="1251">
        <v>-106770.00000355157</v>
      </c>
      <c r="JD36" s="1256">
        <v>35000.000001</v>
      </c>
      <c r="JE36" s="1238">
        <v>-3.7</v>
      </c>
      <c r="JF36" s="1251">
        <v>-3.0309999999999996E-5</v>
      </c>
      <c r="JG36" s="1256">
        <v>9.9999999999999995E-7</v>
      </c>
      <c r="JH36" s="1238">
        <v>-30.31</v>
      </c>
      <c r="JI36" s="1251">
        <v>-6.0139999999999997E-5</v>
      </c>
      <c r="JJ36" s="1256">
        <v>9.9999999999999995E-7</v>
      </c>
      <c r="JK36" s="1238">
        <v>-60.14</v>
      </c>
      <c r="JL36" s="1251">
        <v>-232462.0001447738</v>
      </c>
      <c r="JM36" s="1256">
        <v>2200.0000009999999</v>
      </c>
      <c r="JN36" s="1238">
        <v>-144.77379545454545</v>
      </c>
      <c r="JO36" s="1251">
        <v>-262.100030957206</v>
      </c>
      <c r="JP36" s="1256">
        <v>10.000000999999999</v>
      </c>
      <c r="JQ36" s="1238">
        <v>-30.957205999999996</v>
      </c>
      <c r="JR36" s="1251">
        <v>-142940.00001366957</v>
      </c>
      <c r="JS36" s="1256">
        <v>12000.000001</v>
      </c>
      <c r="JT36" s="1238">
        <v>-14.73</v>
      </c>
      <c r="JU36" s="1251">
        <v>0</v>
      </c>
      <c r="JV36" s="1259">
        <v>77100.000000999993</v>
      </c>
      <c r="JW36" s="1238">
        <v>-5.34</v>
      </c>
      <c r="JX36" s="1251"/>
      <c r="JY36" s="1251"/>
      <c r="JZ36" s="1251"/>
    </row>
    <row r="37" spans="1:286">
      <c r="A37">
        <v>34</v>
      </c>
      <c r="B37" s="1251">
        <v>2</v>
      </c>
      <c r="C37" s="1251">
        <v>3</v>
      </c>
      <c r="D37" s="1250">
        <v>4</v>
      </c>
      <c r="E37" s="1251">
        <v>5</v>
      </c>
      <c r="F37" s="1251">
        <v>6</v>
      </c>
      <c r="G37" s="1251">
        <v>7</v>
      </c>
      <c r="H37" s="1251">
        <v>8</v>
      </c>
      <c r="I37" s="1251">
        <v>9</v>
      </c>
      <c r="J37" s="1251">
        <v>10</v>
      </c>
      <c r="K37" s="1251">
        <v>11</v>
      </c>
      <c r="L37" s="1251">
        <v>12</v>
      </c>
      <c r="M37" s="1251">
        <v>13</v>
      </c>
      <c r="N37" s="1251">
        <v>14</v>
      </c>
      <c r="O37" s="1251">
        <v>15</v>
      </c>
      <c r="P37" s="1251">
        <v>16</v>
      </c>
      <c r="Q37" s="1251">
        <v>17</v>
      </c>
      <c r="R37" s="1251">
        <v>18</v>
      </c>
      <c r="S37" s="1251">
        <v>19</v>
      </c>
      <c r="T37" s="1251">
        <v>20</v>
      </c>
      <c r="U37" s="1251">
        <v>21</v>
      </c>
      <c r="V37" s="1251">
        <v>22</v>
      </c>
      <c r="W37" s="1251">
        <v>23</v>
      </c>
      <c r="X37" s="1251">
        <v>24</v>
      </c>
      <c r="Y37" s="1251">
        <v>25</v>
      </c>
      <c r="Z37" s="1251">
        <v>26</v>
      </c>
      <c r="AA37" s="1251">
        <v>27</v>
      </c>
      <c r="AB37" s="1251">
        <v>28</v>
      </c>
      <c r="AC37" s="1251">
        <v>29</v>
      </c>
      <c r="AD37" s="1251">
        <v>30</v>
      </c>
      <c r="AE37" s="1251">
        <v>31</v>
      </c>
      <c r="AF37" s="1251">
        <v>32</v>
      </c>
      <c r="AG37" s="1251">
        <v>33</v>
      </c>
      <c r="AH37" s="1251">
        <v>34</v>
      </c>
      <c r="AI37" s="1251">
        <v>35</v>
      </c>
      <c r="AJ37" s="1251">
        <v>36</v>
      </c>
      <c r="AK37" s="1251">
        <v>37</v>
      </c>
      <c r="AL37" s="1251">
        <v>38</v>
      </c>
      <c r="AM37" s="1251">
        <v>39</v>
      </c>
      <c r="AN37" s="1251">
        <v>40</v>
      </c>
      <c r="AO37" s="1251">
        <v>41</v>
      </c>
      <c r="AP37" s="1251">
        <v>42</v>
      </c>
      <c r="AQ37" s="1251">
        <v>43</v>
      </c>
      <c r="AR37" s="1251">
        <v>44</v>
      </c>
      <c r="AS37" s="1251">
        <v>45</v>
      </c>
      <c r="AT37" s="1251">
        <v>46</v>
      </c>
      <c r="AU37" s="1251">
        <v>47</v>
      </c>
      <c r="AV37" s="1251">
        <v>48</v>
      </c>
      <c r="AW37" s="1251">
        <v>49</v>
      </c>
      <c r="AX37" s="1251">
        <v>50</v>
      </c>
      <c r="AY37" s="1251">
        <v>51</v>
      </c>
      <c r="AZ37" s="1251">
        <v>52</v>
      </c>
      <c r="BA37" s="1251">
        <v>53</v>
      </c>
      <c r="BB37" s="1251">
        <v>54</v>
      </c>
      <c r="BC37" s="1251">
        <v>55</v>
      </c>
      <c r="BD37" s="1251">
        <v>56</v>
      </c>
      <c r="BE37" s="1251">
        <v>57</v>
      </c>
      <c r="BF37" s="1251">
        <v>58</v>
      </c>
      <c r="BG37" s="1251">
        <v>59</v>
      </c>
      <c r="BH37" s="1251">
        <v>60</v>
      </c>
      <c r="BI37" s="1251">
        <v>61</v>
      </c>
      <c r="BJ37" s="1251">
        <v>62</v>
      </c>
      <c r="BK37" s="1251">
        <v>63</v>
      </c>
      <c r="BL37" s="1251">
        <v>64</v>
      </c>
      <c r="BM37" s="1251">
        <v>65</v>
      </c>
      <c r="BN37" s="1251">
        <v>66</v>
      </c>
      <c r="BO37" s="1251">
        <v>67</v>
      </c>
      <c r="BP37" s="1251">
        <v>68</v>
      </c>
      <c r="BQ37" s="1251">
        <v>69</v>
      </c>
      <c r="BR37" s="1251">
        <v>70</v>
      </c>
      <c r="BS37" s="1251">
        <v>71</v>
      </c>
      <c r="BT37" s="1251">
        <v>72</v>
      </c>
      <c r="BU37" s="1251">
        <v>73</v>
      </c>
      <c r="BV37" s="1251">
        <v>74</v>
      </c>
      <c r="BW37" s="1251">
        <v>75</v>
      </c>
      <c r="BX37" s="1251">
        <v>76</v>
      </c>
      <c r="BY37" s="1251">
        <v>77</v>
      </c>
      <c r="BZ37" s="1251">
        <v>78</v>
      </c>
      <c r="CA37" s="1251">
        <v>79</v>
      </c>
      <c r="CB37" s="1251">
        <v>80</v>
      </c>
      <c r="CC37" s="1251">
        <v>81</v>
      </c>
      <c r="CD37" s="1251">
        <v>82</v>
      </c>
      <c r="CE37" s="1251">
        <v>83</v>
      </c>
      <c r="CF37" s="1251">
        <v>84</v>
      </c>
      <c r="CG37" s="1251">
        <v>85</v>
      </c>
      <c r="CH37" s="1251">
        <v>86</v>
      </c>
      <c r="CI37" s="1251">
        <v>87</v>
      </c>
      <c r="CJ37" s="1251">
        <v>88</v>
      </c>
      <c r="CK37" s="1251">
        <v>89</v>
      </c>
      <c r="CL37" s="1251">
        <v>90</v>
      </c>
      <c r="CM37" s="1251">
        <v>91</v>
      </c>
      <c r="CN37" s="1251">
        <v>92</v>
      </c>
      <c r="CO37" s="1251">
        <v>93</v>
      </c>
      <c r="CP37" s="1251">
        <v>94</v>
      </c>
      <c r="CQ37" s="1251">
        <v>95</v>
      </c>
      <c r="CR37" s="1251">
        <v>96</v>
      </c>
      <c r="CS37" s="1251">
        <v>97</v>
      </c>
      <c r="CT37" s="1251">
        <v>98</v>
      </c>
      <c r="CU37" s="1251">
        <v>99</v>
      </c>
      <c r="CV37" s="1251">
        <v>100</v>
      </c>
      <c r="CW37" s="1251">
        <v>101</v>
      </c>
      <c r="CX37" s="1251">
        <v>102</v>
      </c>
      <c r="CY37" s="1251">
        <v>103</v>
      </c>
      <c r="CZ37" s="1251">
        <v>104</v>
      </c>
      <c r="DA37" s="1251">
        <v>105</v>
      </c>
      <c r="DB37" s="1251">
        <v>106</v>
      </c>
      <c r="DC37" s="1251">
        <v>107</v>
      </c>
      <c r="DD37" s="1251">
        <v>108</v>
      </c>
      <c r="DE37" s="1251">
        <v>109</v>
      </c>
      <c r="DF37" s="1251">
        <v>110</v>
      </c>
      <c r="DG37" s="1251">
        <v>111</v>
      </c>
      <c r="DH37" s="1251">
        <v>112</v>
      </c>
      <c r="DI37" s="1251">
        <v>113</v>
      </c>
      <c r="DJ37" s="1251">
        <v>114</v>
      </c>
      <c r="DK37" s="1251">
        <v>115</v>
      </c>
      <c r="DL37" s="1251">
        <v>116</v>
      </c>
      <c r="DM37" s="1251">
        <v>117</v>
      </c>
      <c r="DN37" s="1251">
        <v>118</v>
      </c>
      <c r="DO37" s="1251">
        <v>119</v>
      </c>
      <c r="DP37" s="1251">
        <v>120</v>
      </c>
      <c r="DQ37" s="1251">
        <v>121</v>
      </c>
      <c r="DR37" s="1251">
        <v>122</v>
      </c>
      <c r="DS37" s="1251">
        <v>123</v>
      </c>
      <c r="DT37" s="1251">
        <v>124</v>
      </c>
      <c r="DU37" s="1251">
        <v>125</v>
      </c>
      <c r="DV37" s="1251">
        <v>126</v>
      </c>
      <c r="DW37" s="1251">
        <v>127</v>
      </c>
      <c r="DX37" s="1251">
        <v>128</v>
      </c>
      <c r="DY37" s="1251">
        <v>129</v>
      </c>
      <c r="DZ37" s="1251">
        <v>130</v>
      </c>
      <c r="EA37" s="1251">
        <v>131</v>
      </c>
      <c r="EB37" s="1251">
        <v>132</v>
      </c>
      <c r="EC37" s="1251">
        <v>133</v>
      </c>
      <c r="ED37" s="1251">
        <v>134</v>
      </c>
      <c r="EE37" s="1251">
        <v>135</v>
      </c>
      <c r="EF37" s="1251">
        <v>136</v>
      </c>
      <c r="EG37" s="1251">
        <v>137</v>
      </c>
      <c r="EH37" s="1251">
        <v>138</v>
      </c>
      <c r="EI37" s="1251">
        <v>139</v>
      </c>
      <c r="EJ37" s="1251">
        <v>140</v>
      </c>
      <c r="EK37" s="1251">
        <v>141</v>
      </c>
      <c r="EL37" s="1251">
        <v>142</v>
      </c>
      <c r="EM37" s="1251">
        <v>143</v>
      </c>
      <c r="EN37" s="1251">
        <v>144</v>
      </c>
      <c r="EO37" s="1251">
        <v>145</v>
      </c>
      <c r="EP37" s="1251">
        <v>146</v>
      </c>
      <c r="EQ37" s="1251">
        <v>147</v>
      </c>
      <c r="ER37" s="1251">
        <v>148</v>
      </c>
      <c r="ES37" s="1251">
        <v>149</v>
      </c>
      <c r="ET37" s="1251">
        <v>150</v>
      </c>
      <c r="EU37" s="1251">
        <v>151</v>
      </c>
      <c r="EV37" s="1251">
        <v>152</v>
      </c>
      <c r="EW37" s="1251">
        <v>153</v>
      </c>
      <c r="EX37" s="1251">
        <v>154</v>
      </c>
      <c r="EY37" s="1251">
        <v>155</v>
      </c>
      <c r="EZ37" s="1251">
        <v>156</v>
      </c>
      <c r="FA37" s="1251">
        <v>157</v>
      </c>
      <c r="FB37" s="1251">
        <v>158</v>
      </c>
      <c r="FC37" s="1251">
        <v>159</v>
      </c>
      <c r="FD37" s="1251">
        <v>160</v>
      </c>
      <c r="FE37" s="1251">
        <v>161</v>
      </c>
      <c r="FF37" s="1251">
        <v>162</v>
      </c>
      <c r="FG37" s="1251">
        <v>163</v>
      </c>
      <c r="FH37" s="1251">
        <v>164</v>
      </c>
      <c r="FI37" s="1251">
        <v>165</v>
      </c>
      <c r="FJ37" s="1251">
        <v>166</v>
      </c>
      <c r="FK37" s="1251">
        <v>167</v>
      </c>
      <c r="FL37" s="1251">
        <v>168</v>
      </c>
      <c r="FM37" s="1251">
        <v>169</v>
      </c>
      <c r="FN37" s="1251">
        <v>170</v>
      </c>
      <c r="FO37" s="1251">
        <v>171</v>
      </c>
      <c r="FP37" s="1251">
        <v>172</v>
      </c>
      <c r="FQ37" s="1251">
        <v>173</v>
      </c>
      <c r="FR37" s="1251">
        <v>174</v>
      </c>
      <c r="FS37" s="1251">
        <v>175</v>
      </c>
      <c r="FT37" s="1251">
        <v>176</v>
      </c>
      <c r="FU37" s="1251">
        <v>177</v>
      </c>
      <c r="FV37" s="1251">
        <v>178</v>
      </c>
      <c r="FW37" s="1251">
        <v>179</v>
      </c>
      <c r="FX37" s="1251">
        <v>180</v>
      </c>
      <c r="FY37" s="1251">
        <v>181</v>
      </c>
      <c r="FZ37" s="1251">
        <v>182</v>
      </c>
      <c r="GA37" s="1251">
        <v>183</v>
      </c>
      <c r="GB37" s="1251">
        <v>184</v>
      </c>
      <c r="GC37" s="1251">
        <v>185</v>
      </c>
      <c r="GD37" s="1251">
        <v>186</v>
      </c>
      <c r="GE37" s="1251">
        <v>187</v>
      </c>
      <c r="GF37" s="1251">
        <v>188</v>
      </c>
      <c r="GG37" s="1251">
        <v>189</v>
      </c>
      <c r="GH37" s="1251">
        <v>190</v>
      </c>
      <c r="GI37" s="1251">
        <v>191</v>
      </c>
      <c r="GJ37" s="1251">
        <v>192</v>
      </c>
      <c r="GK37" s="1251">
        <v>193</v>
      </c>
      <c r="GL37" s="1251">
        <v>194</v>
      </c>
      <c r="GM37" s="1251">
        <v>195</v>
      </c>
      <c r="GN37" s="1251">
        <v>196</v>
      </c>
      <c r="GO37" s="1251">
        <v>197</v>
      </c>
      <c r="GP37" s="1251">
        <v>198</v>
      </c>
      <c r="GQ37" s="1251">
        <v>199</v>
      </c>
      <c r="GR37" s="1251">
        <v>200</v>
      </c>
      <c r="GS37" s="1251">
        <v>201</v>
      </c>
      <c r="GT37" s="1251">
        <v>202</v>
      </c>
      <c r="GU37" s="1251">
        <v>203</v>
      </c>
      <c r="GV37" s="1251">
        <v>204</v>
      </c>
      <c r="GW37" s="1251">
        <v>205</v>
      </c>
      <c r="GX37" s="1251">
        <v>206</v>
      </c>
      <c r="GY37" s="1251">
        <v>207</v>
      </c>
      <c r="GZ37" s="1251">
        <v>208</v>
      </c>
      <c r="HA37" s="1251">
        <v>209</v>
      </c>
      <c r="HB37" s="1251">
        <v>210</v>
      </c>
      <c r="HC37" s="1251">
        <v>211</v>
      </c>
      <c r="HD37" s="1251">
        <v>212</v>
      </c>
      <c r="HE37" s="1251">
        <v>213</v>
      </c>
      <c r="HF37" s="1251">
        <v>214</v>
      </c>
      <c r="HG37" s="1251">
        <v>215</v>
      </c>
      <c r="HH37" s="1251">
        <v>216</v>
      </c>
      <c r="HI37" s="1251">
        <v>217</v>
      </c>
      <c r="HJ37" s="1251">
        <v>218</v>
      </c>
      <c r="HK37" s="1251">
        <v>219</v>
      </c>
      <c r="HL37" s="1251">
        <v>220</v>
      </c>
      <c r="HM37" s="1251">
        <v>221</v>
      </c>
      <c r="HN37" s="1251">
        <v>222</v>
      </c>
      <c r="HO37" s="1251">
        <v>223</v>
      </c>
      <c r="HP37" s="1251">
        <v>224</v>
      </c>
      <c r="HQ37" s="1251">
        <v>225</v>
      </c>
      <c r="HR37" s="1251">
        <v>226</v>
      </c>
      <c r="HS37" s="1251">
        <v>227</v>
      </c>
      <c r="HT37" s="1251">
        <v>228</v>
      </c>
      <c r="HU37" s="1251">
        <v>229</v>
      </c>
      <c r="HV37" s="1251">
        <v>230</v>
      </c>
      <c r="HW37" s="1251">
        <v>231</v>
      </c>
      <c r="HX37" s="1251">
        <v>232</v>
      </c>
      <c r="HY37" s="1251">
        <v>233</v>
      </c>
      <c r="HZ37" s="1251">
        <v>234</v>
      </c>
      <c r="IA37" s="1251">
        <v>235</v>
      </c>
      <c r="IB37" s="1251">
        <v>236</v>
      </c>
      <c r="IC37" s="1251">
        <v>237</v>
      </c>
      <c r="ID37" s="1251">
        <v>238</v>
      </c>
      <c r="IE37" s="1251">
        <v>239</v>
      </c>
      <c r="IF37" s="1251">
        <v>240</v>
      </c>
      <c r="IG37" s="1251">
        <v>241</v>
      </c>
      <c r="IH37" s="1251">
        <v>242</v>
      </c>
      <c r="II37" s="1251">
        <v>243</v>
      </c>
      <c r="IJ37" s="1251">
        <v>244</v>
      </c>
      <c r="IK37" s="1251">
        <v>245</v>
      </c>
      <c r="IL37" s="1251">
        <v>246</v>
      </c>
      <c r="IM37" s="1251">
        <v>247</v>
      </c>
      <c r="IN37" s="1251">
        <v>248</v>
      </c>
      <c r="IO37" s="1251">
        <v>249</v>
      </c>
      <c r="IP37" s="1251">
        <v>250</v>
      </c>
      <c r="IQ37" s="1251">
        <v>251</v>
      </c>
      <c r="IR37" s="1251">
        <v>252</v>
      </c>
      <c r="IS37" s="1251">
        <v>253</v>
      </c>
      <c r="IT37" s="1251">
        <v>254</v>
      </c>
      <c r="IU37" s="1251">
        <v>255</v>
      </c>
      <c r="IV37" s="1251">
        <v>256</v>
      </c>
      <c r="IW37" s="1251">
        <v>257</v>
      </c>
      <c r="IX37" s="1251">
        <v>258</v>
      </c>
      <c r="IY37" s="1251">
        <v>259</v>
      </c>
      <c r="IZ37" s="1251">
        <v>260</v>
      </c>
      <c r="JA37" s="1251">
        <v>261</v>
      </c>
      <c r="JB37" s="1251">
        <v>262</v>
      </c>
      <c r="JC37" s="1251">
        <v>263</v>
      </c>
      <c r="JD37" s="1251">
        <v>264</v>
      </c>
      <c r="JE37" s="1251">
        <v>265</v>
      </c>
      <c r="JF37" s="1251">
        <v>266</v>
      </c>
      <c r="JG37" s="1251">
        <v>267</v>
      </c>
      <c r="JH37" s="1251">
        <v>268</v>
      </c>
      <c r="JI37" s="1251">
        <v>269</v>
      </c>
      <c r="JJ37" s="1251">
        <v>270</v>
      </c>
      <c r="JK37" s="1251">
        <v>271</v>
      </c>
      <c r="JL37" s="1251">
        <v>272</v>
      </c>
      <c r="JM37" s="1251">
        <v>273</v>
      </c>
      <c r="JN37" s="1251">
        <v>274</v>
      </c>
      <c r="JO37" s="1251">
        <v>275</v>
      </c>
      <c r="JP37" s="1251">
        <v>276</v>
      </c>
      <c r="JQ37" s="1251"/>
      <c r="JR37" s="1251"/>
      <c r="JS37" s="1251"/>
      <c r="JT37" s="1251"/>
      <c r="JU37" s="1251"/>
      <c r="JV37" s="1252"/>
      <c r="JW37" s="1252"/>
      <c r="JX37" s="1251"/>
      <c r="JY37" s="1251"/>
      <c r="JZ37" s="1251"/>
    </row>
    <row r="38" spans="1:286">
      <c r="A38">
        <v>35</v>
      </c>
    </row>
    <row r="39" spans="1:286">
      <c r="A39">
        <v>36</v>
      </c>
    </row>
    <row r="40" spans="1:286">
      <c r="A40">
        <v>37</v>
      </c>
    </row>
    <row r="41" spans="1:286">
      <c r="A41">
        <v>38</v>
      </c>
    </row>
    <row r="42" spans="1:286">
      <c r="A42">
        <v>39</v>
      </c>
    </row>
    <row r="43" spans="1:286">
      <c r="A43">
        <v>40</v>
      </c>
    </row>
    <row r="44" spans="1:286">
      <c r="A44">
        <v>41</v>
      </c>
    </row>
    <row r="45" spans="1:286">
      <c r="A45">
        <v>42</v>
      </c>
    </row>
    <row r="46" spans="1:286">
      <c r="A46">
        <v>43</v>
      </c>
    </row>
    <row r="47" spans="1:286">
      <c r="A47">
        <v>44</v>
      </c>
    </row>
    <row r="48" spans="1:286">
      <c r="A48">
        <v>45</v>
      </c>
    </row>
    <row r="49" spans="1:1">
      <c r="A49">
        <v>46</v>
      </c>
    </row>
    <row r="50" spans="1:1">
      <c r="A50">
        <v>47</v>
      </c>
    </row>
    <row r="51" spans="1:1">
      <c r="A51">
        <v>48</v>
      </c>
    </row>
    <row r="52" spans="1:1">
      <c r="A52">
        <v>49</v>
      </c>
    </row>
    <row r="53" spans="1:1">
      <c r="A53">
        <v>50</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3E3AE-FE4D-D04E-A0B7-A6685DB24E33}">
  <sheetPr codeName="Sheet19"/>
  <dimension ref="B1:Z103"/>
  <sheetViews>
    <sheetView topLeftCell="B1" zoomScale="90" zoomScaleNormal="90" workbookViewId="0">
      <pane xSplit="1" ySplit="1" topLeftCell="D53" activePane="bottomRight" state="frozen"/>
      <selection activeCell="B1" sqref="B1"/>
      <selection pane="topRight" activeCell="C1" sqref="C1"/>
      <selection pane="bottomLeft" activeCell="B2" sqref="B2"/>
      <selection pane="bottomRight" activeCell="B1" sqref="B1:R72"/>
    </sheetView>
  </sheetViews>
  <sheetFormatPr baseColWidth="10" defaultRowHeight="22"/>
  <cols>
    <col min="2" max="2" width="21.625" customWidth="1"/>
    <col min="3" max="3" width="15.875" customWidth="1"/>
    <col min="4" max="4" width="9.125" customWidth="1"/>
    <col min="5" max="5" width="9.875" customWidth="1"/>
    <col min="6" max="7" width="7.875" customWidth="1"/>
    <col min="8" max="8" width="10.625" customWidth="1"/>
    <col min="9" max="9" width="8.625" customWidth="1"/>
    <col min="10" max="10" width="10.625" customWidth="1"/>
    <col min="11" max="11" width="8.625" customWidth="1"/>
    <col min="12" max="12" width="10.625" customWidth="1"/>
    <col min="13" max="13" width="10.125" customWidth="1"/>
    <col min="14" max="16" width="10.625" customWidth="1"/>
    <col min="17" max="17" width="10.5" customWidth="1"/>
    <col min="18" max="18" width="8.875" customWidth="1"/>
    <col min="19" max="19" width="10.625" customWidth="1"/>
    <col min="23" max="23" width="12.625" bestFit="1" customWidth="1"/>
    <col min="24" max="24" width="11.125" bestFit="1" customWidth="1"/>
  </cols>
  <sheetData>
    <row r="1" spans="2:25">
      <c r="B1" s="290" t="s">
        <v>2768</v>
      </c>
      <c r="C1" s="290" t="s">
        <v>1118</v>
      </c>
      <c r="D1" s="290" t="s">
        <v>1119</v>
      </c>
      <c r="E1" s="290" t="s">
        <v>1120</v>
      </c>
      <c r="F1" s="290" t="s">
        <v>1784</v>
      </c>
      <c r="G1" s="290" t="s">
        <v>1121</v>
      </c>
      <c r="H1" s="290" t="s">
        <v>1122</v>
      </c>
      <c r="I1" s="290" t="s">
        <v>1123</v>
      </c>
      <c r="J1" s="290" t="s">
        <v>1124</v>
      </c>
      <c r="K1" s="290" t="s">
        <v>1125</v>
      </c>
      <c r="L1" s="290" t="s">
        <v>1124</v>
      </c>
      <c r="M1" s="290" t="s">
        <v>1126</v>
      </c>
      <c r="N1" s="290" t="s">
        <v>1127</v>
      </c>
      <c r="O1" s="290" t="s">
        <v>1128</v>
      </c>
      <c r="P1" s="290" t="s">
        <v>1129</v>
      </c>
      <c r="Q1" s="290" t="s">
        <v>1697</v>
      </c>
      <c r="R1" s="290" t="s">
        <v>1131</v>
      </c>
    </row>
    <row r="2" spans="2:25">
      <c r="B2" s="290" t="s">
        <v>1136</v>
      </c>
      <c r="C2" s="290" t="s">
        <v>1137</v>
      </c>
      <c r="D2" s="291">
        <v>1220726.72</v>
      </c>
      <c r="E2" s="290" t="s">
        <v>1134</v>
      </c>
      <c r="F2" s="290" t="s">
        <v>1134</v>
      </c>
      <c r="G2" s="290" t="s">
        <v>1133</v>
      </c>
      <c r="H2" s="290" t="s">
        <v>1133</v>
      </c>
      <c r="I2" s="290" t="s">
        <v>1698</v>
      </c>
      <c r="J2" s="567">
        <v>0.85270000000000001</v>
      </c>
      <c r="K2" s="290" t="s">
        <v>1698</v>
      </c>
      <c r="L2" s="567">
        <v>0.7954</v>
      </c>
      <c r="M2" s="291">
        <v>1220726.72</v>
      </c>
      <c r="N2" s="291">
        <v>0</v>
      </c>
      <c r="O2" s="290" t="s">
        <v>1698</v>
      </c>
      <c r="P2" s="290" t="s">
        <v>1698</v>
      </c>
      <c r="Q2" s="291">
        <v>1534733.12</v>
      </c>
      <c r="R2" s="293">
        <v>4.3790750776975883E-2</v>
      </c>
    </row>
    <row r="3" spans="2:25">
      <c r="B3" s="290" t="s">
        <v>1139</v>
      </c>
      <c r="C3" s="290" t="s">
        <v>1140</v>
      </c>
      <c r="D3" s="291">
        <v>994732.93</v>
      </c>
      <c r="E3" s="290" t="s">
        <v>1141</v>
      </c>
      <c r="F3" s="290" t="s">
        <v>1141</v>
      </c>
      <c r="G3" s="290" t="s">
        <v>1133</v>
      </c>
      <c r="H3" s="290" t="s">
        <v>1133</v>
      </c>
      <c r="I3" s="290" t="s">
        <v>1698</v>
      </c>
      <c r="J3" s="567">
        <v>1.3299000000000001</v>
      </c>
      <c r="K3" s="290" t="s">
        <v>1698</v>
      </c>
      <c r="L3" s="567">
        <v>1.3322000000000001</v>
      </c>
      <c r="M3" s="291">
        <v>994732.93</v>
      </c>
      <c r="N3" s="291">
        <v>0</v>
      </c>
      <c r="O3" s="290" t="s">
        <v>1698</v>
      </c>
      <c r="P3" s="290" t="s">
        <v>1698</v>
      </c>
      <c r="Q3" s="291">
        <v>1325230.8899999999</v>
      </c>
      <c r="R3" s="293">
        <v>3.7812994891215958E-2</v>
      </c>
    </row>
    <row r="4" spans="2:25">
      <c r="B4" s="290" t="s">
        <v>1142</v>
      </c>
      <c r="C4" s="290" t="s">
        <v>1143</v>
      </c>
      <c r="D4" s="291">
        <v>46460.39</v>
      </c>
      <c r="E4" s="290" t="s">
        <v>1132</v>
      </c>
      <c r="F4" s="290" t="s">
        <v>1132</v>
      </c>
      <c r="G4" s="290" t="s">
        <v>1133</v>
      </c>
      <c r="H4" s="290" t="s">
        <v>1133</v>
      </c>
      <c r="I4" s="290" t="s">
        <v>1698</v>
      </c>
      <c r="J4" s="290" t="s">
        <v>1698</v>
      </c>
      <c r="K4" s="290" t="s">
        <v>1698</v>
      </c>
      <c r="L4" s="290" t="s">
        <v>1698</v>
      </c>
      <c r="M4" s="291">
        <v>44998.83</v>
      </c>
      <c r="N4" s="291">
        <v>-1461.56</v>
      </c>
      <c r="O4" s="290" t="s">
        <v>1698</v>
      </c>
      <c r="P4" s="290" t="s">
        <v>1698</v>
      </c>
      <c r="Q4" s="291">
        <v>44998.83</v>
      </c>
      <c r="R4" s="293">
        <v>1.28395779312139E-3</v>
      </c>
    </row>
    <row r="5" spans="2:25">
      <c r="B5" s="290" t="s">
        <v>1144</v>
      </c>
      <c r="C5" s="290" t="s">
        <v>1145</v>
      </c>
      <c r="D5" s="291">
        <v>0</v>
      </c>
      <c r="E5" s="290" t="s">
        <v>1146</v>
      </c>
      <c r="F5" s="290" t="s">
        <v>1146</v>
      </c>
      <c r="G5" s="290" t="s">
        <v>1133</v>
      </c>
      <c r="H5" s="290" t="s">
        <v>1133</v>
      </c>
      <c r="I5" s="290" t="s">
        <v>1698</v>
      </c>
      <c r="J5" s="290" t="s">
        <v>1133</v>
      </c>
      <c r="K5" s="290" t="s">
        <v>1698</v>
      </c>
      <c r="L5" s="567">
        <v>0.65169999999999995</v>
      </c>
      <c r="M5" s="291">
        <v>0</v>
      </c>
      <c r="N5" s="291">
        <v>0</v>
      </c>
      <c r="O5" s="290" t="s">
        <v>1698</v>
      </c>
      <c r="P5" s="290" t="s">
        <v>1698</v>
      </c>
      <c r="Q5" s="291">
        <v>0</v>
      </c>
      <c r="R5" s="293">
        <v>0</v>
      </c>
    </row>
    <row r="6" spans="2:25">
      <c r="B6" s="290" t="s">
        <v>1147</v>
      </c>
      <c r="C6" s="290" t="s">
        <v>1148</v>
      </c>
      <c r="D6" s="291">
        <v>2197573.87</v>
      </c>
      <c r="E6" s="290" t="s">
        <v>1135</v>
      </c>
      <c r="F6" s="290" t="s">
        <v>1135</v>
      </c>
      <c r="G6" s="290" t="s">
        <v>1133</v>
      </c>
      <c r="H6" s="290" t="s">
        <v>1133</v>
      </c>
      <c r="I6" s="290" t="s">
        <v>1698</v>
      </c>
      <c r="J6" s="567">
        <v>1.1662999999999999</v>
      </c>
      <c r="K6" s="290" t="s">
        <v>1698</v>
      </c>
      <c r="L6" s="567">
        <v>1.1614</v>
      </c>
      <c r="M6" s="291">
        <v>2197573.87</v>
      </c>
      <c r="N6" s="291">
        <v>0</v>
      </c>
      <c r="O6" s="290" t="s">
        <v>1698</v>
      </c>
      <c r="P6" s="290" t="s">
        <v>1698</v>
      </c>
      <c r="Q6" s="291">
        <v>2552269.04</v>
      </c>
      <c r="R6" s="293">
        <v>7.2824242853657503E-2</v>
      </c>
    </row>
    <row r="7" spans="2:25">
      <c r="B7" s="290" t="s">
        <v>1149</v>
      </c>
      <c r="C7" s="290" t="s">
        <v>1150</v>
      </c>
      <c r="D7" s="291">
        <v>0</v>
      </c>
      <c r="E7" s="290" t="s">
        <v>1151</v>
      </c>
      <c r="F7" s="290" t="s">
        <v>1151</v>
      </c>
      <c r="G7" s="290" t="s">
        <v>1133</v>
      </c>
      <c r="H7" s="290" t="s">
        <v>1133</v>
      </c>
      <c r="I7" s="290" t="s">
        <v>1698</v>
      </c>
      <c r="J7" s="290" t="s">
        <v>1133</v>
      </c>
      <c r="K7" s="290" t="s">
        <v>1698</v>
      </c>
      <c r="L7" s="567">
        <v>152.61519999999999</v>
      </c>
      <c r="M7" s="291">
        <v>-4362</v>
      </c>
      <c r="N7" s="291">
        <v>-4362</v>
      </c>
      <c r="O7" s="290" t="s">
        <v>1698</v>
      </c>
      <c r="P7" s="290" t="s">
        <v>1698</v>
      </c>
      <c r="Q7" s="291">
        <v>-28.58</v>
      </c>
      <c r="R7" s="293">
        <v>-8.1547706301273449E-7</v>
      </c>
    </row>
    <row r="8" spans="2:25">
      <c r="B8" s="290" t="s">
        <v>2525</v>
      </c>
      <c r="C8" s="290" t="s">
        <v>1698</v>
      </c>
      <c r="D8" s="291">
        <v>300000</v>
      </c>
      <c r="E8" s="290" t="s">
        <v>1132</v>
      </c>
      <c r="F8" s="290" t="s">
        <v>1132</v>
      </c>
      <c r="G8" s="290" t="s">
        <v>1133</v>
      </c>
      <c r="H8" s="290" t="s">
        <v>1133</v>
      </c>
      <c r="I8" s="294">
        <v>1</v>
      </c>
      <c r="J8" s="290" t="s">
        <v>1698</v>
      </c>
      <c r="K8" s="290" t="s">
        <v>1133</v>
      </c>
      <c r="L8" s="290" t="s">
        <v>1698</v>
      </c>
      <c r="M8" s="291">
        <v>300710</v>
      </c>
      <c r="N8" s="291">
        <v>710</v>
      </c>
      <c r="O8" s="293">
        <v>0</v>
      </c>
      <c r="P8" s="291">
        <v>0</v>
      </c>
      <c r="Q8" s="291">
        <v>300710</v>
      </c>
      <c r="R8" s="293">
        <v>8.5801997067375575E-3</v>
      </c>
      <c r="W8" s="1" t="s">
        <v>958</v>
      </c>
      <c r="X8" s="1" t="s">
        <v>1789</v>
      </c>
      <c r="Y8" s="493"/>
    </row>
    <row r="9" spans="2:25">
      <c r="B9" s="290" t="s">
        <v>1152</v>
      </c>
      <c r="C9" s="290" t="s">
        <v>1153</v>
      </c>
      <c r="D9" s="294">
        <v>85000</v>
      </c>
      <c r="E9" s="290" t="s">
        <v>1132</v>
      </c>
      <c r="F9" s="290" t="s">
        <v>1132</v>
      </c>
      <c r="G9" s="290" t="s">
        <v>1133</v>
      </c>
      <c r="H9" s="290" t="s">
        <v>1133</v>
      </c>
      <c r="I9" s="291">
        <v>4.4157116470588234</v>
      </c>
      <c r="J9" s="290" t="s">
        <v>1698</v>
      </c>
      <c r="K9" s="291">
        <v>3.08</v>
      </c>
      <c r="L9" s="290" t="s">
        <v>1698</v>
      </c>
      <c r="M9" s="291">
        <v>261800</v>
      </c>
      <c r="N9" s="291">
        <v>0</v>
      </c>
      <c r="O9" s="293">
        <v>-0.30249068639898669</v>
      </c>
      <c r="P9" s="291">
        <v>-113535.49</v>
      </c>
      <c r="Q9" s="291">
        <v>261800</v>
      </c>
      <c r="R9" s="293">
        <v>7.4699753357849504E-3</v>
      </c>
      <c r="V9" s="295" t="str">
        <f ca="1">IFERROR(IF(D5=_xlfn.XLOOKUP(S9,Calc!H$3:H$56,Calc!G$3:G$56),"","Stock "&amp;TEXT(_xlfn.XLOOKUP(S5,Calc!H$3:H$56,Calc!G$3:G$56),"#,#0")),"!")</f>
        <v>!</v>
      </c>
      <c r="W9" s="87" t="str">
        <f ca="1">IFERROR(_xlfn.XLOOKUP(S9,Calc!H$3:H$56,Calc!G$3:G$56),"")</f>
        <v/>
      </c>
      <c r="X9" s="87">
        <f t="shared" ref="X9:X43" si="0">_xlfn.XLOOKUP(T9,B$9:B$75,D$9:D$75,"")</f>
        <v>0</v>
      </c>
      <c r="Y9" t="str">
        <f t="shared" ref="Y9:Y43" ca="1" si="1">IF(OR(W9=X9,W9=""),"","ERROR")</f>
        <v/>
      </c>
    </row>
    <row r="10" spans="2:25">
      <c r="B10" s="290" t="s">
        <v>1154</v>
      </c>
      <c r="C10" s="290" t="s">
        <v>1155</v>
      </c>
      <c r="D10" s="294">
        <v>5000</v>
      </c>
      <c r="E10" s="290" t="s">
        <v>1132</v>
      </c>
      <c r="F10" s="290" t="s">
        <v>1132</v>
      </c>
      <c r="G10" s="290" t="s">
        <v>1133</v>
      </c>
      <c r="H10" s="290" t="s">
        <v>1133</v>
      </c>
      <c r="I10" s="291">
        <v>13.089854000000001</v>
      </c>
      <c r="J10" s="290" t="s">
        <v>1698</v>
      </c>
      <c r="K10" s="291">
        <v>16.77</v>
      </c>
      <c r="L10" s="290" t="s">
        <v>1698</v>
      </c>
      <c r="M10" s="291">
        <v>83850</v>
      </c>
      <c r="N10" s="291">
        <v>0</v>
      </c>
      <c r="O10" s="293">
        <v>0.28114492338875591</v>
      </c>
      <c r="P10" s="291">
        <v>18400.73</v>
      </c>
      <c r="Q10" s="291">
        <v>83850</v>
      </c>
      <c r="R10" s="293">
        <v>2.3925035596087398E-3</v>
      </c>
      <c r="V10" s="295" t="str">
        <f ca="1">IFERROR(IF(D6=_xlfn.XLOOKUP(S10,Calc!H$3:H$56,Calc!G$3:G$56),"","Stock "&amp;TEXT(_xlfn.XLOOKUP(S6,Calc!H$3:H$56,Calc!G$3:G$56),"#,#0")),"!")</f>
        <v>!</v>
      </c>
      <c r="W10" s="87" t="str">
        <f ca="1">IFERROR(_xlfn.XLOOKUP(S10,Calc!H$3:H$56,Calc!G$3:G$56),"")</f>
        <v/>
      </c>
      <c r="X10" s="87">
        <f t="shared" si="0"/>
        <v>0</v>
      </c>
      <c r="Y10" t="str">
        <f t="shared" ca="1" si="1"/>
        <v/>
      </c>
    </row>
    <row r="11" spans="2:25">
      <c r="B11" s="290" t="s">
        <v>1156</v>
      </c>
      <c r="C11" s="290" t="s">
        <v>1157</v>
      </c>
      <c r="D11" s="294">
        <v>820000</v>
      </c>
      <c r="E11" s="290" t="s">
        <v>1141</v>
      </c>
      <c r="F11" s="290" t="s">
        <v>1141</v>
      </c>
      <c r="G11" s="290" t="s">
        <v>1133</v>
      </c>
      <c r="H11" s="290" t="s">
        <v>1133</v>
      </c>
      <c r="I11" s="291">
        <v>0.49017041463414635</v>
      </c>
      <c r="J11" s="567">
        <v>1.2855000000000001</v>
      </c>
      <c r="K11" s="291">
        <v>0.44400000000000001</v>
      </c>
      <c r="L11" s="567">
        <v>1.3322000000000001</v>
      </c>
      <c r="M11" s="291">
        <v>364080</v>
      </c>
      <c r="N11" s="291">
        <v>0</v>
      </c>
      <c r="O11" s="293">
        <v>-6.1275582254840276E-2</v>
      </c>
      <c r="P11" s="291">
        <v>-31661.48</v>
      </c>
      <c r="Q11" s="291">
        <v>485044.83</v>
      </c>
      <c r="R11" s="293">
        <v>1.3839850713712775E-2</v>
      </c>
      <c r="V11" s="295" t="str">
        <f ca="1">IFERROR(IF(D7=_xlfn.XLOOKUP(S11,Calc!H$3:H$56,Calc!G$3:G$56),"","Stock "&amp;TEXT(_xlfn.XLOOKUP(S7,Calc!H$3:H$56,Calc!G$3:G$56),"#,#0")),"!")</f>
        <v>!</v>
      </c>
      <c r="W11" s="87" t="str">
        <f ca="1">IFERROR(_xlfn.XLOOKUP(S11,Calc!H$3:H$56,Calc!G$3:G$56),"")</f>
        <v/>
      </c>
      <c r="X11" s="87">
        <f t="shared" si="0"/>
        <v>0</v>
      </c>
      <c r="Y11" t="str">
        <f t="shared" ca="1" si="1"/>
        <v/>
      </c>
    </row>
    <row r="12" spans="2:25">
      <c r="B12" s="290" t="s">
        <v>1158</v>
      </c>
      <c r="C12" s="290" t="s">
        <v>1159</v>
      </c>
      <c r="D12" s="294">
        <v>12000</v>
      </c>
      <c r="E12" s="290" t="s">
        <v>1132</v>
      </c>
      <c r="F12" s="290" t="s">
        <v>1132</v>
      </c>
      <c r="G12" s="290" t="s">
        <v>1133</v>
      </c>
      <c r="H12" s="290" t="s">
        <v>1133</v>
      </c>
      <c r="I12" s="291">
        <v>196.75931750000001</v>
      </c>
      <c r="J12" s="290" t="s">
        <v>1698</v>
      </c>
      <c r="K12" s="291">
        <v>221.09</v>
      </c>
      <c r="L12" s="290" t="s">
        <v>1698</v>
      </c>
      <c r="M12" s="291">
        <v>2653080</v>
      </c>
      <c r="N12" s="291">
        <v>0</v>
      </c>
      <c r="O12" s="293">
        <v>0.12365707916221044</v>
      </c>
      <c r="P12" s="291">
        <v>291968.19</v>
      </c>
      <c r="Q12" s="291">
        <v>2653080</v>
      </c>
      <c r="R12" s="293">
        <v>7.5700695813079977E-2</v>
      </c>
      <c r="V12" s="295" t="str">
        <f ca="1">IFERROR(IF(D8=_xlfn.XLOOKUP(S12,Calc!H$3:H$56,Calc!G$3:G$56),"","Stock "&amp;TEXT(_xlfn.XLOOKUP(S8,Calc!H$3:H$56,Calc!G$3:G$56),"#,#0")),"!")</f>
        <v>!</v>
      </c>
      <c r="W12" s="87" t="str">
        <f ca="1">IFERROR(_xlfn.XLOOKUP(S12,Calc!H$3:H$56,Calc!G$3:G$56),"")</f>
        <v/>
      </c>
      <c r="X12" s="87">
        <f t="shared" si="0"/>
        <v>0</v>
      </c>
      <c r="Y12" t="str">
        <f t="shared" ca="1" si="1"/>
        <v/>
      </c>
    </row>
    <row r="13" spans="2:25">
      <c r="B13" s="290" t="s">
        <v>1160</v>
      </c>
      <c r="C13" s="290" t="s">
        <v>1161</v>
      </c>
      <c r="D13" s="294">
        <v>10000</v>
      </c>
      <c r="E13" s="290" t="s">
        <v>1132</v>
      </c>
      <c r="F13" s="290" t="s">
        <v>1132</v>
      </c>
      <c r="G13" s="290" t="s">
        <v>1133</v>
      </c>
      <c r="H13" s="290" t="s">
        <v>1133</v>
      </c>
      <c r="I13" s="291">
        <v>196.71171799999999</v>
      </c>
      <c r="J13" s="290" t="s">
        <v>1698</v>
      </c>
      <c r="K13" s="291">
        <v>259.58</v>
      </c>
      <c r="L13" s="290" t="s">
        <v>1698</v>
      </c>
      <c r="M13" s="291">
        <v>2595800</v>
      </c>
      <c r="N13" s="291">
        <v>0</v>
      </c>
      <c r="O13" s="293">
        <v>0.31959601918580161</v>
      </c>
      <c r="P13" s="291">
        <v>628682.81999999995</v>
      </c>
      <c r="Q13" s="291">
        <v>2595800</v>
      </c>
      <c r="R13" s="293">
        <v>7.4066317710582794E-2</v>
      </c>
      <c r="S13" t="s">
        <v>11</v>
      </c>
      <c r="T13" s="290" t="s">
        <v>1152</v>
      </c>
      <c r="V13" s="295" t="str">
        <f ca="1">IFERROR(IF(D9=_xlfn.XLOOKUP(S13,Calc!H$3:H$56,Calc!G$3:G$56),"","Stock "&amp;TEXT(_xlfn.XLOOKUP(S9,Calc!H$3:H$56,Calc!G$3:G$56),"#,#0")),"!")</f>
        <v/>
      </c>
      <c r="W13" s="87">
        <f ca="1">IFERROR(_xlfn.XLOOKUP(S13,Calc!H$3:H$56,Calc!G$3:G$56),"")</f>
        <v>85000</v>
      </c>
      <c r="X13" s="87">
        <f t="shared" si="0"/>
        <v>85000</v>
      </c>
      <c r="Y13" t="str">
        <f t="shared" ca="1" si="1"/>
        <v/>
      </c>
    </row>
    <row r="14" spans="2:25">
      <c r="B14" s="290" t="s">
        <v>1162</v>
      </c>
      <c r="C14" s="290" t="s">
        <v>1163</v>
      </c>
      <c r="D14" s="294">
        <v>3500</v>
      </c>
      <c r="E14" s="290" t="s">
        <v>1135</v>
      </c>
      <c r="F14" s="290" t="s">
        <v>1135</v>
      </c>
      <c r="G14" s="290" t="s">
        <v>1133</v>
      </c>
      <c r="H14" s="290" t="s">
        <v>1133</v>
      </c>
      <c r="I14" s="291">
        <v>703.12185714285715</v>
      </c>
      <c r="J14" s="567">
        <v>1.1052</v>
      </c>
      <c r="K14" s="291">
        <v>887.7</v>
      </c>
      <c r="L14" s="567">
        <v>1.1614</v>
      </c>
      <c r="M14" s="291">
        <v>3106950</v>
      </c>
      <c r="N14" s="291">
        <v>0</v>
      </c>
      <c r="O14" s="293">
        <v>0.32673284935175917</v>
      </c>
      <c r="P14" s="291">
        <v>888641.42</v>
      </c>
      <c r="Q14" s="291">
        <v>3608421.27</v>
      </c>
      <c r="R14" s="293">
        <v>0.10295957940420859</v>
      </c>
      <c r="S14" t="s">
        <v>1</v>
      </c>
      <c r="T14" s="290" t="s">
        <v>1154</v>
      </c>
      <c r="V14" s="295" t="str">
        <f ca="1">IFERROR(IF(D10=_xlfn.XLOOKUP(S14,Calc!H$3:H$56,Calc!G$3:G$56),"","Stock "&amp;TEXT(_xlfn.XLOOKUP(S10,Calc!H$3:H$56,Calc!G$3:G$56),"#,#0")),"!")</f>
        <v/>
      </c>
      <c r="W14" s="87">
        <f ca="1">IFERROR(_xlfn.XLOOKUP(S14,Calc!H$3:H$56,Calc!G$3:G$56),"")</f>
        <v>5000</v>
      </c>
      <c r="X14" s="87">
        <f t="shared" si="0"/>
        <v>5000</v>
      </c>
      <c r="Y14" t="str">
        <f t="shared" ca="1" si="1"/>
        <v/>
      </c>
    </row>
    <row r="15" spans="2:25">
      <c r="B15" s="290" t="s">
        <v>1164</v>
      </c>
      <c r="C15" s="290" t="s">
        <v>1165</v>
      </c>
      <c r="D15" s="294">
        <v>500</v>
      </c>
      <c r="E15" s="290" t="s">
        <v>1132</v>
      </c>
      <c r="F15" s="290" t="s">
        <v>1132</v>
      </c>
      <c r="G15" s="290" t="s">
        <v>1133</v>
      </c>
      <c r="H15" s="290" t="s">
        <v>1133</v>
      </c>
      <c r="I15" s="291">
        <v>71.100239999999999</v>
      </c>
      <c r="J15" s="290" t="s">
        <v>1698</v>
      </c>
      <c r="K15" s="291">
        <v>83.4</v>
      </c>
      <c r="L15" s="290" t="s">
        <v>1698</v>
      </c>
      <c r="M15" s="291">
        <v>41700</v>
      </c>
      <c r="N15" s="291">
        <v>0</v>
      </c>
      <c r="O15" s="293">
        <v>0.17299182112465442</v>
      </c>
      <c r="P15" s="291">
        <v>6149.88</v>
      </c>
      <c r="Q15" s="291">
        <v>41700</v>
      </c>
      <c r="R15" s="293">
        <v>1.1898318239199101E-3</v>
      </c>
      <c r="S15" t="s">
        <v>2</v>
      </c>
      <c r="T15" s="290" t="s">
        <v>1156</v>
      </c>
      <c r="V15" s="295" t="str">
        <f ca="1">IFERROR(IF(D11=_xlfn.XLOOKUP(S15,Calc!H$3:H$56,Calc!G$3:G$56),"","Stock "&amp;TEXT(_xlfn.XLOOKUP(S11,Calc!H$3:H$56,Calc!G$3:G$56),"#,#0")),"!")</f>
        <v/>
      </c>
      <c r="W15" s="87">
        <f ca="1">IFERROR(_xlfn.XLOOKUP(S15,Calc!H$3:H$56,Calc!G$3:G$56),"")</f>
        <v>820000</v>
      </c>
      <c r="X15" s="87">
        <f t="shared" si="0"/>
        <v>820000</v>
      </c>
      <c r="Y15" t="str">
        <f t="shared" ca="1" si="1"/>
        <v/>
      </c>
    </row>
    <row r="16" spans="2:25">
      <c r="B16" s="290" t="s">
        <v>1166</v>
      </c>
      <c r="C16" s="290" t="s">
        <v>1167</v>
      </c>
      <c r="D16" s="294">
        <v>20000</v>
      </c>
      <c r="E16" s="290" t="s">
        <v>1138</v>
      </c>
      <c r="F16" s="290" t="s">
        <v>1132</v>
      </c>
      <c r="G16" s="290" t="s">
        <v>1133</v>
      </c>
      <c r="H16" s="290" t="s">
        <v>1133</v>
      </c>
      <c r="I16" s="291">
        <v>1.9096820000000001</v>
      </c>
      <c r="J16" s="290" t="s">
        <v>1698</v>
      </c>
      <c r="K16" s="291">
        <v>3.28</v>
      </c>
      <c r="L16" s="290" t="s">
        <v>1698</v>
      </c>
      <c r="M16" s="291">
        <v>65600</v>
      </c>
      <c r="N16" s="291">
        <v>0</v>
      </c>
      <c r="O16" s="293">
        <v>0.71756344773632463</v>
      </c>
      <c r="P16" s="291">
        <v>27406.36</v>
      </c>
      <c r="Q16" s="291">
        <v>65600</v>
      </c>
      <c r="R16" s="293">
        <v>1.8717738045358776E-3</v>
      </c>
      <c r="S16" t="s">
        <v>3</v>
      </c>
      <c r="T16" s="290" t="s">
        <v>1158</v>
      </c>
      <c r="V16" s="295" t="str">
        <f ca="1">IFERROR(IF(D12=_xlfn.XLOOKUP(S16,Calc!H$3:H$56,Calc!G$3:G$56),"","Stock "&amp;TEXT(_xlfn.XLOOKUP(S12,Calc!H$3:H$56,Calc!G$3:G$56),"#,#0")),"!")</f>
        <v/>
      </c>
      <c r="W16" s="87">
        <f ca="1">IFERROR(_xlfn.XLOOKUP(S16,Calc!H$3:H$56,Calc!G$3:G$56),"")</f>
        <v>12000</v>
      </c>
      <c r="X16" s="87">
        <f t="shared" si="0"/>
        <v>12000</v>
      </c>
      <c r="Y16" t="str">
        <f t="shared" ca="1" si="1"/>
        <v/>
      </c>
    </row>
    <row r="17" spans="2:25">
      <c r="B17" s="290" t="s">
        <v>1168</v>
      </c>
      <c r="C17" s="290" t="s">
        <v>1786</v>
      </c>
      <c r="D17" s="294">
        <v>12500</v>
      </c>
      <c r="E17" s="290" t="s">
        <v>1132</v>
      </c>
      <c r="F17" s="290" t="s">
        <v>1132</v>
      </c>
      <c r="G17" s="290" t="s">
        <v>1133</v>
      </c>
      <c r="H17" s="290" t="s">
        <v>1133</v>
      </c>
      <c r="I17" s="291">
        <v>12.719616800000001</v>
      </c>
      <c r="J17" s="290" t="s">
        <v>1698</v>
      </c>
      <c r="K17" s="291">
        <v>2.91</v>
      </c>
      <c r="L17" s="290" t="s">
        <v>1698</v>
      </c>
      <c r="M17" s="291">
        <v>36375</v>
      </c>
      <c r="N17" s="291">
        <v>0</v>
      </c>
      <c r="O17" s="293">
        <v>-0.7712195229026082</v>
      </c>
      <c r="P17" s="291">
        <v>-122620.21</v>
      </c>
      <c r="Q17" s="291">
        <v>36375</v>
      </c>
      <c r="R17" s="293">
        <v>1.0378928679876914E-3</v>
      </c>
      <c r="S17" t="s">
        <v>0</v>
      </c>
      <c r="T17" s="290" t="s">
        <v>1160</v>
      </c>
      <c r="V17" s="295" t="str">
        <f ca="1">IFERROR(IF(D13=_xlfn.XLOOKUP(S17,Calc!H$3:H$56,Calc!G$3:G$56),"","Stock "&amp;TEXT(_xlfn.XLOOKUP(S13,Calc!H$3:H$56,Calc!G$3:G$56),"#,#0")),"!")</f>
        <v/>
      </c>
      <c r="W17" s="87">
        <f ca="1">IFERROR(_xlfn.XLOOKUP(S17,Calc!H$3:H$56,Calc!G$3:G$56),"")</f>
        <v>10000</v>
      </c>
      <c r="X17" s="87">
        <f t="shared" si="0"/>
        <v>10000</v>
      </c>
      <c r="Y17" t="str">
        <f t="shared" ca="1" si="1"/>
        <v/>
      </c>
    </row>
    <row r="18" spans="2:25">
      <c r="B18" s="290" t="s">
        <v>1169</v>
      </c>
      <c r="C18" s="290" t="s">
        <v>1170</v>
      </c>
      <c r="D18" s="294">
        <v>400</v>
      </c>
      <c r="E18" s="290" t="s">
        <v>1132</v>
      </c>
      <c r="F18" s="290" t="s">
        <v>1132</v>
      </c>
      <c r="G18" s="290" t="s">
        <v>1133</v>
      </c>
      <c r="H18" s="290" t="s">
        <v>1133</v>
      </c>
      <c r="I18" s="291">
        <v>275.16309999999999</v>
      </c>
      <c r="J18" s="290" t="s">
        <v>1698</v>
      </c>
      <c r="K18" s="291">
        <v>344.29</v>
      </c>
      <c r="L18" s="290" t="s">
        <v>1698</v>
      </c>
      <c r="M18" s="291">
        <v>137716</v>
      </c>
      <c r="N18" s="291">
        <v>0</v>
      </c>
      <c r="O18" s="293">
        <v>0.25122154823811771</v>
      </c>
      <c r="P18" s="291">
        <v>27650.76</v>
      </c>
      <c r="Q18" s="291">
        <v>137716</v>
      </c>
      <c r="R18" s="293">
        <v>3.9294695314857154E-3</v>
      </c>
      <c r="S18" t="s">
        <v>32</v>
      </c>
      <c r="T18" s="290" t="s">
        <v>1162</v>
      </c>
      <c r="V18" s="569" t="str">
        <f ca="1">IFERROR(IF(D14=_xlfn.XLOOKUP(S18,Calc!H$3:H$56,Calc!G$3:G$56),"","Stock "&amp;TEXT(_xlfn.XLOOKUP(S18,Calc!H$3:H$56,Calc!G$3:G$56),"#,#0")),"!")</f>
        <v>Stock 3,700</v>
      </c>
      <c r="W18" s="87">
        <f ca="1">IFERROR(_xlfn.XLOOKUP(S18,Calc!H$3:H$56,Calc!G$3:G$56),"")</f>
        <v>3700</v>
      </c>
      <c r="X18" s="87">
        <f t="shared" si="0"/>
        <v>3500</v>
      </c>
      <c r="Y18" s="166" t="str">
        <f t="shared" ca="1" si="1"/>
        <v>ERROR</v>
      </c>
    </row>
    <row r="19" spans="2:25">
      <c r="B19" s="290" t="s">
        <v>1171</v>
      </c>
      <c r="C19" s="290" t="s">
        <v>1172</v>
      </c>
      <c r="D19" s="294">
        <v>1000</v>
      </c>
      <c r="E19" s="290" t="s">
        <v>1132</v>
      </c>
      <c r="F19" s="290" t="s">
        <v>1132</v>
      </c>
      <c r="G19" s="290" t="s">
        <v>1133</v>
      </c>
      <c r="H19" s="290" t="s">
        <v>1133</v>
      </c>
      <c r="I19" s="291">
        <v>63.14284</v>
      </c>
      <c r="J19" s="290" t="s">
        <v>1698</v>
      </c>
      <c r="K19" s="291">
        <v>70.27</v>
      </c>
      <c r="L19" s="290" t="s">
        <v>1698</v>
      </c>
      <c r="M19" s="291">
        <v>70270</v>
      </c>
      <c r="N19" s="291">
        <v>0</v>
      </c>
      <c r="O19" s="293">
        <v>0.11287360530505122</v>
      </c>
      <c r="P19" s="291">
        <v>7127.16</v>
      </c>
      <c r="Q19" s="291">
        <v>70270</v>
      </c>
      <c r="R19" s="293">
        <v>2.005023555560002E-3</v>
      </c>
      <c r="S19" t="s">
        <v>5</v>
      </c>
      <c r="T19" s="290" t="s">
        <v>1164</v>
      </c>
      <c r="V19" s="295" t="str">
        <f ca="1">IFERROR(IF(D15=_xlfn.XLOOKUP(S19,Calc!H$3:H$56,Calc!G$3:G$56),"","Stock "&amp;TEXT(_xlfn.XLOOKUP(S19,Calc!H$3:H$56,Calc!G$3:G$56),"#,#0")),"!")</f>
        <v/>
      </c>
      <c r="W19" s="87">
        <f ca="1">IFERROR(_xlfn.XLOOKUP(S19,Calc!H$3:H$56,Calc!G$3:G$56),"")</f>
        <v>500</v>
      </c>
      <c r="X19" s="87">
        <f t="shared" si="0"/>
        <v>500</v>
      </c>
      <c r="Y19" t="str">
        <f t="shared" ca="1" si="1"/>
        <v/>
      </c>
    </row>
    <row r="20" spans="2:25">
      <c r="B20" s="290" t="s">
        <v>1173</v>
      </c>
      <c r="C20" s="290" t="s">
        <v>1174</v>
      </c>
      <c r="D20" s="294">
        <v>5</v>
      </c>
      <c r="E20" s="290" t="s">
        <v>1132</v>
      </c>
      <c r="F20" s="290" t="s">
        <v>1132</v>
      </c>
      <c r="G20" s="290" t="s">
        <v>1133</v>
      </c>
      <c r="H20" s="290" t="s">
        <v>1133</v>
      </c>
      <c r="I20" s="291">
        <v>66.45</v>
      </c>
      <c r="J20" s="290" t="s">
        <v>1698</v>
      </c>
      <c r="K20" s="291">
        <v>96.69</v>
      </c>
      <c r="L20" s="290" t="s">
        <v>1698</v>
      </c>
      <c r="M20" s="291">
        <v>483.45</v>
      </c>
      <c r="N20" s="291">
        <v>0</v>
      </c>
      <c r="O20" s="293">
        <v>0.45507900677200902</v>
      </c>
      <c r="P20" s="291">
        <v>151.19999999999999</v>
      </c>
      <c r="Q20" s="291">
        <v>483.45</v>
      </c>
      <c r="R20" s="293">
        <v>1.3794345210409604E-5</v>
      </c>
      <c r="S20" t="s">
        <v>6</v>
      </c>
      <c r="T20" s="290" t="s">
        <v>1166</v>
      </c>
      <c r="V20" s="295" t="str">
        <f ca="1">IFERROR(IF(D16=_xlfn.XLOOKUP(S20,Calc!H$3:H$56,Calc!G$3:G$56),"","Stock "&amp;TEXT(_xlfn.XLOOKUP(S20,Calc!H$3:H$56,Calc!G$3:G$56),"#,#0")),"!")</f>
        <v/>
      </c>
      <c r="W20" s="87">
        <f ca="1">IFERROR(_xlfn.XLOOKUP(S20,Calc!H$3:H$56,Calc!G$3:G$56),"")</f>
        <v>20000</v>
      </c>
      <c r="X20" s="87">
        <f t="shared" si="0"/>
        <v>20000</v>
      </c>
      <c r="Y20" t="str">
        <f t="shared" ca="1" si="1"/>
        <v/>
      </c>
    </row>
    <row r="21" spans="2:25">
      <c r="B21" s="290" t="s">
        <v>1175</v>
      </c>
      <c r="C21" s="290" t="s">
        <v>1176</v>
      </c>
      <c r="D21" s="294">
        <v>1</v>
      </c>
      <c r="E21" s="290" t="s">
        <v>1132</v>
      </c>
      <c r="F21" s="290" t="s">
        <v>1132</v>
      </c>
      <c r="G21" s="290" t="s">
        <v>1133</v>
      </c>
      <c r="H21" s="290" t="s">
        <v>1133</v>
      </c>
      <c r="I21" s="291">
        <v>56.14</v>
      </c>
      <c r="J21" s="290" t="s">
        <v>1698</v>
      </c>
      <c r="K21" s="291">
        <v>81.069999999999993</v>
      </c>
      <c r="L21" s="290" t="s">
        <v>1698</v>
      </c>
      <c r="M21" s="291">
        <v>81.069999999999993</v>
      </c>
      <c r="N21" s="291">
        <v>0</v>
      </c>
      <c r="O21" s="293">
        <v>0.44406840042750267</v>
      </c>
      <c r="P21" s="291">
        <v>24.93</v>
      </c>
      <c r="Q21" s="291">
        <v>81.069999999999993</v>
      </c>
      <c r="R21" s="293">
        <v>2.3131814380140789E-6</v>
      </c>
      <c r="S21" t="s">
        <v>7</v>
      </c>
      <c r="T21" s="290" t="s">
        <v>1168</v>
      </c>
      <c r="V21" s="295" t="str">
        <f ca="1">IFERROR(IF(D17=_xlfn.XLOOKUP(S21,Calc!H$3:H$56,Calc!G$3:G$56),"","Stock "&amp;TEXT(_xlfn.XLOOKUP(S21,Calc!H$3:H$56,Calc!G$3:G$56),"#,#0")),"!")</f>
        <v/>
      </c>
      <c r="W21" s="87">
        <f ca="1">IFERROR(_xlfn.XLOOKUP(S21,Calc!H$3:H$56,Calc!G$3:G$56),"")</f>
        <v>12500</v>
      </c>
      <c r="X21" s="87">
        <f t="shared" si="0"/>
        <v>12500</v>
      </c>
      <c r="Y21" t="str">
        <f t="shared" ca="1" si="1"/>
        <v/>
      </c>
    </row>
    <row r="22" spans="2:25">
      <c r="B22" s="290" t="s">
        <v>1177</v>
      </c>
      <c r="C22" s="290" t="s">
        <v>1178</v>
      </c>
      <c r="D22" s="294">
        <v>4000</v>
      </c>
      <c r="E22" s="290" t="s">
        <v>1135</v>
      </c>
      <c r="F22" s="290" t="s">
        <v>1135</v>
      </c>
      <c r="G22" s="290" t="s">
        <v>1133</v>
      </c>
      <c r="H22" s="290" t="s">
        <v>1133</v>
      </c>
      <c r="I22" s="291">
        <v>32.086192500000003</v>
      </c>
      <c r="J22" s="567">
        <v>1.1214999999999999</v>
      </c>
      <c r="K22" s="291">
        <v>26.21</v>
      </c>
      <c r="L22" s="567">
        <v>1.1614</v>
      </c>
      <c r="M22" s="291">
        <v>104840</v>
      </c>
      <c r="N22" s="291">
        <v>0</v>
      </c>
      <c r="O22" s="293">
        <v>-0.1540844414243692</v>
      </c>
      <c r="P22" s="291">
        <v>-22178.99</v>
      </c>
      <c r="Q22" s="291">
        <v>121761.5</v>
      </c>
      <c r="R22" s="293">
        <v>3.4742375930029764E-3</v>
      </c>
      <c r="S22" t="s">
        <v>46</v>
      </c>
      <c r="T22" s="290" t="s">
        <v>1169</v>
      </c>
      <c r="V22" s="295" t="str">
        <f ca="1">IFERROR(IF(D18=_xlfn.XLOOKUP(S22,Calc!H$3:H$56,Calc!G$3:G$56),"","Stock "&amp;TEXT(_xlfn.XLOOKUP(S22,Calc!H$3:H$56,Calc!G$3:G$56),"#,#0")),"!")</f>
        <v/>
      </c>
      <c r="W22" s="87">
        <f ca="1">IFERROR(_xlfn.XLOOKUP(S22,Calc!H$3:H$56,Calc!G$3:G$56),"")</f>
        <v>400</v>
      </c>
      <c r="X22" s="87">
        <f t="shared" si="0"/>
        <v>400</v>
      </c>
      <c r="Y22" t="str">
        <f t="shared" ca="1" si="1"/>
        <v/>
      </c>
    </row>
    <row r="23" spans="2:25">
      <c r="B23" s="290" t="s">
        <v>1179</v>
      </c>
      <c r="C23" s="290" t="s">
        <v>1180</v>
      </c>
      <c r="D23" s="294">
        <v>1400</v>
      </c>
      <c r="E23" s="290" t="s">
        <v>1132</v>
      </c>
      <c r="F23" s="290" t="s">
        <v>1132</v>
      </c>
      <c r="G23" s="290" t="s">
        <v>1133</v>
      </c>
      <c r="H23" s="290" t="s">
        <v>1133</v>
      </c>
      <c r="I23" s="291">
        <v>136.63829999999999</v>
      </c>
      <c r="J23" s="290" t="s">
        <v>1698</v>
      </c>
      <c r="K23" s="291">
        <v>128.02000000000001</v>
      </c>
      <c r="L23" s="290" t="s">
        <v>1698</v>
      </c>
      <c r="M23" s="291">
        <v>179228</v>
      </c>
      <c r="N23" s="291">
        <v>0</v>
      </c>
      <c r="O23" s="293">
        <v>-6.3073823371631532E-2</v>
      </c>
      <c r="P23" s="291">
        <v>-12065.62</v>
      </c>
      <c r="Q23" s="291">
        <v>179228</v>
      </c>
      <c r="R23" s="293">
        <v>5.1139371255999435E-3</v>
      </c>
      <c r="S23" t="s">
        <v>9</v>
      </c>
      <c r="T23" s="290" t="s">
        <v>1171</v>
      </c>
      <c r="V23" s="295" t="str">
        <f ca="1">IFERROR(IF(D19=_xlfn.XLOOKUP(S23,Calc!H$3:H$56,Calc!G$3:G$56),"","Stock "&amp;TEXT(_xlfn.XLOOKUP(S23,Calc!H$3:H$56,Calc!G$3:G$56),"#,#0")),"!")</f>
        <v/>
      </c>
      <c r="W23" s="87">
        <f ca="1">IFERROR(_xlfn.XLOOKUP(S23,Calc!H$3:H$56,Calc!G$3:G$56),"")</f>
        <v>1000</v>
      </c>
      <c r="X23" s="87">
        <f t="shared" si="0"/>
        <v>1000</v>
      </c>
      <c r="Y23" t="str">
        <f t="shared" ca="1" si="1"/>
        <v/>
      </c>
    </row>
    <row r="24" spans="2:25">
      <c r="B24" s="290" t="s">
        <v>1181</v>
      </c>
      <c r="C24" s="290" t="s">
        <v>1182</v>
      </c>
      <c r="D24" s="294">
        <v>66950</v>
      </c>
      <c r="E24" s="290" t="s">
        <v>1135</v>
      </c>
      <c r="F24" s="290" t="s">
        <v>1135</v>
      </c>
      <c r="G24" s="290" t="s">
        <v>1133</v>
      </c>
      <c r="H24" s="290" t="s">
        <v>1133</v>
      </c>
      <c r="I24" s="291">
        <v>1.152673637042569</v>
      </c>
      <c r="J24" s="567">
        <v>1.0482</v>
      </c>
      <c r="K24" s="291">
        <v>0.83799999999999997</v>
      </c>
      <c r="L24" s="567">
        <v>1.1614</v>
      </c>
      <c r="M24" s="291">
        <v>56104.1</v>
      </c>
      <c r="N24" s="291">
        <v>0</v>
      </c>
      <c r="O24" s="293">
        <v>-0.19444994243286751</v>
      </c>
      <c r="P24" s="291">
        <v>-15728.7</v>
      </c>
      <c r="Q24" s="291">
        <v>65159.47</v>
      </c>
      <c r="R24" s="293">
        <v>1.8592041015768504E-3</v>
      </c>
      <c r="S24" t="s">
        <v>8</v>
      </c>
      <c r="T24" s="290" t="s">
        <v>1173</v>
      </c>
      <c r="V24" s="295" t="str">
        <f ca="1">IFERROR(IF(D20=_xlfn.XLOOKUP(S24,Calc!H$3:H$56,Calc!G$3:G$56),"","Stock "&amp;TEXT(_xlfn.XLOOKUP(S24,Calc!H$3:H$56,Calc!G$3:G$56),"#,#0")),"!")</f>
        <v/>
      </c>
      <c r="W24" s="87">
        <f ca="1">IFERROR(_xlfn.XLOOKUP(S24,Calc!H$3:H$56,Calc!G$3:G$56),"")</f>
        <v>5</v>
      </c>
      <c r="X24" s="87">
        <f t="shared" si="0"/>
        <v>5</v>
      </c>
      <c r="Y24" t="str">
        <f t="shared" ca="1" si="1"/>
        <v/>
      </c>
    </row>
    <row r="25" spans="2:25">
      <c r="B25" s="290" t="s">
        <v>1183</v>
      </c>
      <c r="C25" s="290" t="s">
        <v>1184</v>
      </c>
      <c r="D25" s="294">
        <v>6000</v>
      </c>
      <c r="E25" s="290" t="s">
        <v>1132</v>
      </c>
      <c r="F25" s="290" t="s">
        <v>1132</v>
      </c>
      <c r="G25" s="290" t="s">
        <v>1133</v>
      </c>
      <c r="H25" s="290" t="s">
        <v>1133</v>
      </c>
      <c r="I25" s="291">
        <v>16.735063333333333</v>
      </c>
      <c r="J25" s="290" t="s">
        <v>1698</v>
      </c>
      <c r="K25" s="291">
        <v>13.37</v>
      </c>
      <c r="L25" s="290" t="s">
        <v>1698</v>
      </c>
      <c r="M25" s="291">
        <v>80220</v>
      </c>
      <c r="N25" s="291">
        <v>0</v>
      </c>
      <c r="O25" s="293">
        <v>-0.20107861358556753</v>
      </c>
      <c r="P25" s="291">
        <v>-20190.38</v>
      </c>
      <c r="Q25" s="291">
        <v>80220</v>
      </c>
      <c r="R25" s="293">
        <v>2.2889282713394526E-3</v>
      </c>
      <c r="S25" t="s">
        <v>10</v>
      </c>
      <c r="T25" s="290" t="s">
        <v>1175</v>
      </c>
      <c r="V25" s="295" t="str">
        <f ca="1">IFERROR(IF(D21=_xlfn.XLOOKUP(S25,Calc!H$3:H$56,Calc!G$3:G$56),"","Stock "&amp;TEXT(_xlfn.XLOOKUP(S25,Calc!H$3:H$56,Calc!G$3:G$56),"#,#0")),"!")</f>
        <v/>
      </c>
      <c r="W25" s="87">
        <f ca="1">IFERROR(_xlfn.XLOOKUP(S25,Calc!H$3:H$56,Calc!G$3:G$56),"")</f>
        <v>1</v>
      </c>
      <c r="X25" s="87">
        <f t="shared" si="0"/>
        <v>1</v>
      </c>
      <c r="Y25" t="str">
        <f t="shared" ca="1" si="1"/>
        <v/>
      </c>
    </row>
    <row r="26" spans="2:25">
      <c r="B26" s="290" t="s">
        <v>1185</v>
      </c>
      <c r="C26" s="290" t="s">
        <v>1186</v>
      </c>
      <c r="D26" s="294">
        <v>550</v>
      </c>
      <c r="E26" s="290" t="s">
        <v>1135</v>
      </c>
      <c r="F26" s="290" t="s">
        <v>1135</v>
      </c>
      <c r="G26" s="290" t="s">
        <v>1133</v>
      </c>
      <c r="H26" s="290" t="s">
        <v>1133</v>
      </c>
      <c r="I26" s="291">
        <v>13.106836363636363</v>
      </c>
      <c r="J26" s="567">
        <v>1.1213</v>
      </c>
      <c r="K26" s="291">
        <v>16.035</v>
      </c>
      <c r="L26" s="567">
        <v>1.1614</v>
      </c>
      <c r="M26" s="291">
        <v>8819.25</v>
      </c>
      <c r="N26" s="291">
        <v>0</v>
      </c>
      <c r="O26" s="293">
        <v>0.26711515337453673</v>
      </c>
      <c r="P26" s="291">
        <v>2159.2199999999998</v>
      </c>
      <c r="Q26" s="291">
        <v>10242.700000000001</v>
      </c>
      <c r="R26" s="293">
        <v>2.9225636505670173E-4</v>
      </c>
      <c r="S26" t="s">
        <v>13</v>
      </c>
      <c r="T26" s="290" t="s">
        <v>1177</v>
      </c>
      <c r="V26" s="295" t="str">
        <f ca="1">IFERROR(IF(D22=_xlfn.XLOOKUP(S26,Calc!H$3:H$56,Calc!G$3:G$56),"","Stock "&amp;TEXT(_xlfn.XLOOKUP(S26,Calc!H$3:H$56,Calc!G$3:G$56),"#,#0")),"!")</f>
        <v/>
      </c>
      <c r="W26" s="87">
        <f ca="1">IFERROR(_xlfn.XLOOKUP(S26,Calc!H$3:H$56,Calc!G$3:G$56),"")</f>
        <v>4000</v>
      </c>
      <c r="X26" s="87">
        <f t="shared" si="0"/>
        <v>4000</v>
      </c>
      <c r="Y26" t="str">
        <f t="shared" ca="1" si="1"/>
        <v/>
      </c>
    </row>
    <row r="27" spans="2:25">
      <c r="B27" s="290" t="s">
        <v>2232</v>
      </c>
      <c r="C27" s="290" t="s">
        <v>2233</v>
      </c>
      <c r="D27" s="294">
        <v>30000</v>
      </c>
      <c r="E27" s="290" t="s">
        <v>1141</v>
      </c>
      <c r="F27" s="290" t="s">
        <v>1141</v>
      </c>
      <c r="G27" s="290" t="s">
        <v>1133</v>
      </c>
      <c r="H27" s="290" t="s">
        <v>1133</v>
      </c>
      <c r="I27" s="291">
        <v>4.7135143333333334</v>
      </c>
      <c r="J27" s="567">
        <v>1.3436999999999999</v>
      </c>
      <c r="K27" s="291">
        <v>4.7949999999999999</v>
      </c>
      <c r="L27" s="567">
        <v>1.3322000000000001</v>
      </c>
      <c r="M27" s="291">
        <v>143850</v>
      </c>
      <c r="N27" s="291">
        <v>0</v>
      </c>
      <c r="O27" s="293">
        <v>8.6286962768277395E-3</v>
      </c>
      <c r="P27" s="291">
        <v>1639.49</v>
      </c>
      <c r="Q27" s="291">
        <v>191643.86</v>
      </c>
      <c r="R27" s="293">
        <v>5.4682005632338574E-3</v>
      </c>
      <c r="S27" t="s">
        <v>14</v>
      </c>
      <c r="T27" s="290" t="s">
        <v>1179</v>
      </c>
      <c r="V27" s="295" t="str">
        <f ca="1">IFERROR(IF(D23=_xlfn.XLOOKUP(S27,Calc!H$3:H$56,Calc!G$3:G$56),"","Stock "&amp;TEXT(_xlfn.XLOOKUP(S27,Calc!H$3:H$56,Calc!G$3:G$56),"#,#0")),"!")</f>
        <v/>
      </c>
      <c r="W27" s="87">
        <f ca="1">IFERROR(_xlfn.XLOOKUP(S27,Calc!H$3:H$56,Calc!G$3:G$56),"")</f>
        <v>1400</v>
      </c>
      <c r="X27" s="87">
        <f t="shared" si="0"/>
        <v>1400</v>
      </c>
      <c r="Y27" t="str">
        <f t="shared" ca="1" si="1"/>
        <v/>
      </c>
    </row>
    <row r="28" spans="2:25">
      <c r="B28" s="290" t="s">
        <v>1187</v>
      </c>
      <c r="C28" s="290" t="s">
        <v>1188</v>
      </c>
      <c r="D28" s="294">
        <v>100000</v>
      </c>
      <c r="E28" s="290" t="s">
        <v>1132</v>
      </c>
      <c r="F28" s="290" t="s">
        <v>1132</v>
      </c>
      <c r="G28" s="290" t="s">
        <v>1133</v>
      </c>
      <c r="H28" s="290" t="s">
        <v>1133</v>
      </c>
      <c r="I28" s="291">
        <v>0.27</v>
      </c>
      <c r="J28" s="290" t="s">
        <v>1698</v>
      </c>
      <c r="K28" s="291">
        <v>5.0000000000000001E-4</v>
      </c>
      <c r="L28" s="290" t="s">
        <v>1698</v>
      </c>
      <c r="M28" s="291">
        <v>50</v>
      </c>
      <c r="N28" s="291">
        <v>0</v>
      </c>
      <c r="O28" s="293">
        <v>-0.99814814814814812</v>
      </c>
      <c r="P28" s="291">
        <v>-26950</v>
      </c>
      <c r="Q28" s="291">
        <v>50</v>
      </c>
      <c r="R28" s="293">
        <v>1.4266568632133214E-6</v>
      </c>
      <c r="S28" t="s">
        <v>4</v>
      </c>
      <c r="T28" s="290" t="s">
        <v>1181</v>
      </c>
      <c r="V28" s="569" t="str">
        <f ca="1">IFERROR(IF(D24=_xlfn.XLOOKUP(S28,Calc!H$3:H$56,Calc!G$3:G$56),"","Stock "&amp;TEXT(_xlfn.XLOOKUP(S28,Calc!H$3:H$56,Calc!G$3:G$56),"#,#0")),"!")</f>
        <v>Stock 2,530,000</v>
      </c>
      <c r="W28" s="87">
        <f ca="1">IFERROR(_xlfn.XLOOKUP(S28,Calc!H$3:H$56,Calc!G$3:G$56),"")</f>
        <v>2530000</v>
      </c>
      <c r="X28" s="87">
        <f t="shared" si="0"/>
        <v>66950</v>
      </c>
      <c r="Y28" s="166" t="str">
        <f t="shared" ca="1" si="1"/>
        <v>ERROR</v>
      </c>
    </row>
    <row r="29" spans="2:25">
      <c r="B29" s="290" t="s">
        <v>1189</v>
      </c>
      <c r="C29" s="290" t="s">
        <v>1190</v>
      </c>
      <c r="D29" s="294">
        <v>450000</v>
      </c>
      <c r="E29" s="290" t="s">
        <v>1132</v>
      </c>
      <c r="F29" s="290" t="s">
        <v>1132</v>
      </c>
      <c r="G29" s="290" t="s">
        <v>1133</v>
      </c>
      <c r="H29" s="290" t="s">
        <v>1133</v>
      </c>
      <c r="I29" s="291">
        <v>1.9E-2</v>
      </c>
      <c r="J29" s="290" t="s">
        <v>1698</v>
      </c>
      <c r="K29" s="291">
        <v>1.9E-2</v>
      </c>
      <c r="L29" s="290" t="s">
        <v>1698</v>
      </c>
      <c r="M29" s="291">
        <v>8550</v>
      </c>
      <c r="N29" s="291">
        <v>0</v>
      </c>
      <c r="O29" s="293">
        <v>0</v>
      </c>
      <c r="P29" s="291">
        <v>0</v>
      </c>
      <c r="Q29" s="291">
        <v>8550</v>
      </c>
      <c r="R29" s="293">
        <v>2.4395832360947796E-4</v>
      </c>
      <c r="S29" t="s">
        <v>15</v>
      </c>
      <c r="T29" s="290" t="s">
        <v>1183</v>
      </c>
      <c r="V29" s="295" t="str">
        <f ca="1">IFERROR(IF(D25=_xlfn.XLOOKUP(S29,Calc!H$3:H$56,Calc!G$3:G$56),"","Stock "&amp;TEXT(_xlfn.XLOOKUP(S29,Calc!H$3:H$56,Calc!G$3:G$56),"#,#0")),"!")</f>
        <v/>
      </c>
      <c r="W29" s="87">
        <f ca="1">IFERROR(_xlfn.XLOOKUP(S29,Calc!H$3:H$56,Calc!G$3:G$56),"")</f>
        <v>6000</v>
      </c>
      <c r="X29" s="87">
        <f t="shared" si="0"/>
        <v>6000</v>
      </c>
      <c r="Y29" t="str">
        <f t="shared" ca="1" si="1"/>
        <v/>
      </c>
    </row>
    <row r="30" spans="2:25">
      <c r="B30" s="290" t="s">
        <v>1191</v>
      </c>
      <c r="C30" s="290" t="s">
        <v>1192</v>
      </c>
      <c r="D30" s="294">
        <v>20000</v>
      </c>
      <c r="E30" s="290" t="s">
        <v>1135</v>
      </c>
      <c r="F30" s="290" t="s">
        <v>1135</v>
      </c>
      <c r="G30" s="290" t="s">
        <v>1133</v>
      </c>
      <c r="H30" s="290" t="s">
        <v>1133</v>
      </c>
      <c r="I30" s="291">
        <v>14.928981500000001</v>
      </c>
      <c r="J30" s="567">
        <v>1.1776</v>
      </c>
      <c r="K30" s="291">
        <v>15.586</v>
      </c>
      <c r="L30" s="567">
        <v>1.1614</v>
      </c>
      <c r="M30" s="291">
        <v>311720</v>
      </c>
      <c r="N30" s="291">
        <v>0</v>
      </c>
      <c r="O30" s="293">
        <v>2.9687018088665487E-2</v>
      </c>
      <c r="P30" s="291">
        <v>10437.799999999999</v>
      </c>
      <c r="Q30" s="291">
        <v>362032.56</v>
      </c>
      <c r="R30" s="293">
        <v>1.0329924728613771E-2</v>
      </c>
      <c r="S30" t="s">
        <v>16</v>
      </c>
      <c r="T30" s="290" t="s">
        <v>1185</v>
      </c>
      <c r="V30" s="295" t="str">
        <f ca="1">IFERROR(IF(D26=_xlfn.XLOOKUP(S30,Calc!H$3:H$56,Calc!G$3:G$56),"","Stock "&amp;TEXT(_xlfn.XLOOKUP(S30,Calc!H$3:H$56,Calc!G$3:G$56),"#,#0")),"!")</f>
        <v/>
      </c>
      <c r="W30" s="87">
        <f ca="1">IFERROR(_xlfn.XLOOKUP(S30,Calc!H$3:H$56,Calc!G$3:G$56),"")</f>
        <v>550</v>
      </c>
      <c r="X30" s="87">
        <f t="shared" si="0"/>
        <v>550</v>
      </c>
      <c r="Y30" t="str">
        <f t="shared" ca="1" si="1"/>
        <v/>
      </c>
    </row>
    <row r="31" spans="2:25">
      <c r="B31" s="290" t="s">
        <v>1193</v>
      </c>
      <c r="C31" s="290" t="s">
        <v>1194</v>
      </c>
      <c r="D31" s="294">
        <v>30000</v>
      </c>
      <c r="E31" s="290" t="s">
        <v>1138</v>
      </c>
      <c r="F31" s="290" t="s">
        <v>1132</v>
      </c>
      <c r="G31" s="290" t="s">
        <v>1133</v>
      </c>
      <c r="H31" s="290" t="s">
        <v>1133</v>
      </c>
      <c r="I31" s="291">
        <v>2.180104</v>
      </c>
      <c r="J31" s="290" t="s">
        <v>1698</v>
      </c>
      <c r="K31" s="291">
        <v>0.20119999999999999</v>
      </c>
      <c r="L31" s="290" t="s">
        <v>1698</v>
      </c>
      <c r="M31" s="291">
        <v>6036</v>
      </c>
      <c r="N31" s="291">
        <v>0</v>
      </c>
      <c r="O31" s="293">
        <v>-0.90771082480468823</v>
      </c>
      <c r="P31" s="291">
        <v>-59367.12</v>
      </c>
      <c r="Q31" s="291">
        <v>6036</v>
      </c>
      <c r="R31" s="293">
        <v>1.7222601652711216E-4</v>
      </c>
      <c r="T31" s="290" t="s">
        <v>1187</v>
      </c>
      <c r="V31" s="295" t="str">
        <f ca="1">IFERROR(IF(D27=_xlfn.XLOOKUP(S31,Calc!H$3:H$56,Calc!G$3:G$56),"","Stock "&amp;TEXT(_xlfn.XLOOKUP(S31,Calc!H$3:H$56,Calc!G$3:G$56),"#,#0")),"!")</f>
        <v>!</v>
      </c>
      <c r="W31" s="87" t="str">
        <f ca="1">IFERROR(_xlfn.XLOOKUP(S31,Calc!H$3:H$56,Calc!G$3:G$56),"")</f>
        <v/>
      </c>
      <c r="X31" s="87">
        <f t="shared" si="0"/>
        <v>100000</v>
      </c>
      <c r="Y31" t="str">
        <f t="shared" ca="1" si="1"/>
        <v/>
      </c>
    </row>
    <row r="32" spans="2:25">
      <c r="B32" s="290" t="s">
        <v>1195</v>
      </c>
      <c r="C32" s="290" t="s">
        <v>1196</v>
      </c>
      <c r="D32" s="294">
        <v>2</v>
      </c>
      <c r="E32" s="290" t="s">
        <v>1132</v>
      </c>
      <c r="F32" s="290" t="s">
        <v>1132</v>
      </c>
      <c r="G32" s="290" t="s">
        <v>1133</v>
      </c>
      <c r="H32" s="290" t="s">
        <v>1133</v>
      </c>
      <c r="I32" s="291">
        <v>18820.834999999999</v>
      </c>
      <c r="J32" s="290" t="s">
        <v>1698</v>
      </c>
      <c r="K32" s="291">
        <v>1.01E-2</v>
      </c>
      <c r="L32" s="290" t="s">
        <v>1698</v>
      </c>
      <c r="M32" s="291">
        <v>0.02</v>
      </c>
      <c r="N32" s="291">
        <v>0</v>
      </c>
      <c r="O32" s="293">
        <v>-0.99999946867394574</v>
      </c>
      <c r="P32" s="291">
        <v>-37641.65</v>
      </c>
      <c r="Q32" s="291">
        <v>0.02</v>
      </c>
      <c r="R32" s="293">
        <v>5.7066274528532851E-10</v>
      </c>
      <c r="T32" s="290" t="s">
        <v>1189</v>
      </c>
      <c r="V32" s="295" t="str">
        <f ca="1">IFERROR(IF(D28=_xlfn.XLOOKUP(S32,Calc!H$3:H$56,Calc!G$3:G$56),"","Stock "&amp;TEXT(_xlfn.XLOOKUP(S32,Calc!H$3:H$56,Calc!G$3:G$56),"#,#0")),"!")</f>
        <v>!</v>
      </c>
      <c r="W32" s="87" t="str">
        <f ca="1">IFERROR(_xlfn.XLOOKUP(S32,Calc!H$3:H$56,Calc!G$3:G$56),"")</f>
        <v/>
      </c>
      <c r="X32" s="87">
        <f t="shared" si="0"/>
        <v>450000</v>
      </c>
      <c r="Y32" t="str">
        <f t="shared" ca="1" si="1"/>
        <v/>
      </c>
    </row>
    <row r="33" spans="2:25">
      <c r="B33" s="290" t="s">
        <v>1197</v>
      </c>
      <c r="C33" s="290" t="s">
        <v>1198</v>
      </c>
      <c r="D33" s="294">
        <v>500</v>
      </c>
      <c r="E33" s="290" t="s">
        <v>1132</v>
      </c>
      <c r="F33" s="290" t="s">
        <v>1132</v>
      </c>
      <c r="G33" s="290" t="s">
        <v>1133</v>
      </c>
      <c r="H33" s="290" t="s">
        <v>1133</v>
      </c>
      <c r="I33" s="291">
        <v>113.32787999999999</v>
      </c>
      <c r="J33" s="290" t="s">
        <v>1698</v>
      </c>
      <c r="K33" s="291">
        <v>115.98</v>
      </c>
      <c r="L33" s="290" t="s">
        <v>1698</v>
      </c>
      <c r="M33" s="291">
        <v>57990</v>
      </c>
      <c r="N33" s="291">
        <v>0</v>
      </c>
      <c r="O33" s="293">
        <v>2.3402184881601951E-2</v>
      </c>
      <c r="P33" s="291">
        <v>1326.06</v>
      </c>
      <c r="Q33" s="291">
        <v>57990</v>
      </c>
      <c r="R33" s="293">
        <v>1.6546366299548102E-3</v>
      </c>
      <c r="S33" t="s">
        <v>74</v>
      </c>
      <c r="T33" s="290" t="s">
        <v>1191</v>
      </c>
      <c r="V33" s="295" t="str">
        <f ca="1">IFERROR(IF(D29=_xlfn.XLOOKUP(S33,Calc!H$3:H$56,Calc!G$3:G$56),"","Stock "&amp;TEXT(_xlfn.XLOOKUP(S33,Calc!H$3:H$56,Calc!G$3:G$56),"#,#0")),"!")</f>
        <v>!</v>
      </c>
      <c r="W33" s="87" t="str">
        <f ca="1">IFERROR(_xlfn.XLOOKUP(S33,Calc!H$3:H$56,Calc!G$3:G$56),"")</f>
        <v/>
      </c>
      <c r="X33" s="87">
        <f t="shared" si="0"/>
        <v>20000</v>
      </c>
      <c r="Y33" t="str">
        <f t="shared" ca="1" si="1"/>
        <v/>
      </c>
    </row>
    <row r="34" spans="2:25">
      <c r="B34" s="290" t="s">
        <v>1199</v>
      </c>
      <c r="C34" s="290" t="s">
        <v>2383</v>
      </c>
      <c r="D34" s="294">
        <v>26667</v>
      </c>
      <c r="E34" s="290" t="s">
        <v>1132</v>
      </c>
      <c r="F34" s="290" t="s">
        <v>1132</v>
      </c>
      <c r="G34" s="290" t="s">
        <v>1133</v>
      </c>
      <c r="H34" s="290" t="s">
        <v>1133</v>
      </c>
      <c r="I34" s="291">
        <v>9.8524625942175721</v>
      </c>
      <c r="J34" s="290" t="s">
        <v>1698</v>
      </c>
      <c r="K34" s="291">
        <v>4.45</v>
      </c>
      <c r="L34" s="290" t="s">
        <v>1698</v>
      </c>
      <c r="M34" s="291">
        <v>118668.15</v>
      </c>
      <c r="N34" s="291">
        <v>0</v>
      </c>
      <c r="O34" s="293">
        <v>-0.54833627050645051</v>
      </c>
      <c r="P34" s="291">
        <v>-144067.47</v>
      </c>
      <c r="Q34" s="291">
        <v>118668.15</v>
      </c>
      <c r="R34" s="293">
        <v>3.3859746128465577E-3</v>
      </c>
      <c r="S34" t="s">
        <v>17</v>
      </c>
      <c r="T34" s="290" t="s">
        <v>1193</v>
      </c>
      <c r="V34" s="295" t="str">
        <f ca="1">IFERROR(IF(D30=_xlfn.XLOOKUP(S34,Calc!H$3:H$56,Calc!G$3:G$56),"","Stock "&amp;TEXT(_xlfn.XLOOKUP(S34,Calc!H$3:H$56,Calc!G$3:G$56),"#,#0")),"!")</f>
        <v>Stock 30,000</v>
      </c>
      <c r="W34" s="87">
        <f ca="1">IFERROR(_xlfn.XLOOKUP(S34,Calc!H$3:H$56,Calc!G$3:G$56),"")</f>
        <v>30000</v>
      </c>
      <c r="X34" s="87">
        <f t="shared" si="0"/>
        <v>30000</v>
      </c>
      <c r="Y34" t="str">
        <f t="shared" ca="1" si="1"/>
        <v/>
      </c>
    </row>
    <row r="35" spans="2:25">
      <c r="B35" s="290" t="s">
        <v>1200</v>
      </c>
      <c r="C35" s="290" t="s">
        <v>1201</v>
      </c>
      <c r="D35" s="294">
        <v>10</v>
      </c>
      <c r="E35" s="290" t="s">
        <v>1132</v>
      </c>
      <c r="F35" s="290" t="s">
        <v>1132</v>
      </c>
      <c r="G35" s="290" t="s">
        <v>1133</v>
      </c>
      <c r="H35" s="290" t="s">
        <v>1133</v>
      </c>
      <c r="I35" s="291">
        <v>46.701999999999998</v>
      </c>
      <c r="J35" s="290" t="s">
        <v>1698</v>
      </c>
      <c r="K35" s="291">
        <v>66.849999999999994</v>
      </c>
      <c r="L35" s="290" t="s">
        <v>1698</v>
      </c>
      <c r="M35" s="291">
        <v>668.5</v>
      </c>
      <c r="N35" s="291">
        <v>0</v>
      </c>
      <c r="O35" s="293">
        <v>0.43141621343839665</v>
      </c>
      <c r="P35" s="291">
        <v>201.48</v>
      </c>
      <c r="Q35" s="291">
        <v>668.5</v>
      </c>
      <c r="R35" s="293">
        <v>1.9074402261162108E-5</v>
      </c>
      <c r="T35" s="290" t="s">
        <v>1195</v>
      </c>
      <c r="V35" s="295" t="str">
        <f ca="1">IFERROR(IF(D31=_xlfn.XLOOKUP(S35,Calc!H$3:H$56,Calc!G$3:G$56),"","Stock "&amp;TEXT(_xlfn.XLOOKUP(S35,Calc!H$3:H$56,Calc!G$3:G$56),"#,#0")),"!")</f>
        <v>!</v>
      </c>
      <c r="W35" s="87" t="str">
        <f ca="1">IFERROR(_xlfn.XLOOKUP(S35,Calc!H$3:H$56,Calc!G$3:G$56),"")</f>
        <v/>
      </c>
      <c r="X35" s="87">
        <f t="shared" si="0"/>
        <v>2</v>
      </c>
      <c r="Y35" t="str">
        <f t="shared" ca="1" si="1"/>
        <v/>
      </c>
    </row>
    <row r="36" spans="2:25">
      <c r="B36" s="290" t="s">
        <v>1202</v>
      </c>
      <c r="C36" s="290" t="s">
        <v>1203</v>
      </c>
      <c r="D36" s="294">
        <v>11000</v>
      </c>
      <c r="E36" s="290" t="s">
        <v>1132</v>
      </c>
      <c r="F36" s="290" t="s">
        <v>1132</v>
      </c>
      <c r="G36" s="290" t="s">
        <v>1133</v>
      </c>
      <c r="H36" s="290" t="s">
        <v>1133</v>
      </c>
      <c r="I36" s="291">
        <v>20.696420909090911</v>
      </c>
      <c r="J36" s="290" t="s">
        <v>1698</v>
      </c>
      <c r="K36" s="291">
        <v>23.19</v>
      </c>
      <c r="L36" s="290" t="s">
        <v>1698</v>
      </c>
      <c r="M36" s="291">
        <v>255090</v>
      </c>
      <c r="N36" s="291">
        <v>0</v>
      </c>
      <c r="O36" s="293">
        <v>0.12048358998215898</v>
      </c>
      <c r="P36" s="291">
        <v>27429.37</v>
      </c>
      <c r="Q36" s="291">
        <v>255090</v>
      </c>
      <c r="R36" s="293">
        <v>7.2785179847417222E-3</v>
      </c>
      <c r="S36" t="s">
        <v>51</v>
      </c>
      <c r="T36" s="290" t="s">
        <v>1197</v>
      </c>
      <c r="V36" s="295" t="str">
        <f ca="1">IFERROR(IF(D32=_xlfn.XLOOKUP(S36,Calc!H$3:H$56,Calc!G$3:G$56),"","Stock "&amp;TEXT(_xlfn.XLOOKUP(S36,Calc!H$3:H$56,Calc!G$3:G$56),"#,#0")),"!")</f>
        <v>Stock 500</v>
      </c>
      <c r="W36" s="87">
        <f ca="1">IFERROR(_xlfn.XLOOKUP(S36,Calc!H$3:H$56,Calc!G$3:G$56),"")</f>
        <v>500</v>
      </c>
      <c r="X36" s="87">
        <f t="shared" si="0"/>
        <v>500</v>
      </c>
      <c r="Y36" t="str">
        <f t="shared" ca="1" si="1"/>
        <v/>
      </c>
    </row>
    <row r="37" spans="2:25">
      <c r="B37" s="290" t="s">
        <v>1204</v>
      </c>
      <c r="C37" s="290" t="s">
        <v>1205</v>
      </c>
      <c r="D37" s="294">
        <v>5000</v>
      </c>
      <c r="E37" s="290" t="s">
        <v>1132</v>
      </c>
      <c r="F37" s="290" t="s">
        <v>1132</v>
      </c>
      <c r="G37" s="290" t="s">
        <v>1133</v>
      </c>
      <c r="H37" s="290" t="s">
        <v>1133</v>
      </c>
      <c r="I37" s="291">
        <v>26.015339999999998</v>
      </c>
      <c r="J37" s="290" t="s">
        <v>1698</v>
      </c>
      <c r="K37" s="291">
        <v>27.83</v>
      </c>
      <c r="L37" s="290" t="s">
        <v>1698</v>
      </c>
      <c r="M37" s="291">
        <v>139150</v>
      </c>
      <c r="N37" s="291">
        <v>0</v>
      </c>
      <c r="O37" s="293">
        <v>6.9753460842718176E-2</v>
      </c>
      <c r="P37" s="291">
        <v>9073.2999999999993</v>
      </c>
      <c r="Q37" s="291">
        <v>139150</v>
      </c>
      <c r="R37" s="293">
        <v>3.9703860503226733E-3</v>
      </c>
      <c r="S37" t="s">
        <v>53</v>
      </c>
      <c r="T37" s="290" t="s">
        <v>1199</v>
      </c>
      <c r="V37" s="295" t="str">
        <f ca="1">IFERROR(IF(D33=_xlfn.XLOOKUP(S37,Calc!H$3:H$56,Calc!G$3:G$56),"","Stock "&amp;TEXT(_xlfn.XLOOKUP(S37,Calc!H$3:H$56,Calc!G$3:G$56),"#,#0")),"!")</f>
        <v>Stock 26,667</v>
      </c>
      <c r="W37" s="87">
        <f ca="1">IFERROR(_xlfn.XLOOKUP(S37,Calc!H$3:H$56,Calc!G$3:G$56),"")</f>
        <v>26667</v>
      </c>
      <c r="X37" s="87">
        <f t="shared" si="0"/>
        <v>26667</v>
      </c>
      <c r="Y37" t="str">
        <f t="shared" ca="1" si="1"/>
        <v/>
      </c>
    </row>
    <row r="38" spans="2:25">
      <c r="B38" s="290" t="s">
        <v>1206</v>
      </c>
      <c r="C38" s="290" t="s">
        <v>1207</v>
      </c>
      <c r="D38" s="294">
        <v>200000</v>
      </c>
      <c r="E38" s="290" t="s">
        <v>1135</v>
      </c>
      <c r="F38" s="290" t="s">
        <v>1141</v>
      </c>
      <c r="G38" s="290" t="s">
        <v>1133</v>
      </c>
      <c r="H38" s="290" t="s">
        <v>1133</v>
      </c>
      <c r="I38" s="291">
        <v>1.8542310500000001</v>
      </c>
      <c r="J38" s="568">
        <v>1.3149999999999999</v>
      </c>
      <c r="K38" s="291">
        <v>4.0350000000000001</v>
      </c>
      <c r="L38" s="567">
        <v>1.3322000000000001</v>
      </c>
      <c r="M38" s="291">
        <v>807000</v>
      </c>
      <c r="N38" s="291">
        <v>0</v>
      </c>
      <c r="O38" s="293">
        <v>1.204663894715764</v>
      </c>
      <c r="P38" s="291">
        <v>587465.13</v>
      </c>
      <c r="Q38" s="291">
        <v>1075124.08</v>
      </c>
      <c r="R38" s="293">
        <v>3.0676662950758164E-2</v>
      </c>
      <c r="S38" t="s">
        <v>19</v>
      </c>
      <c r="T38" s="290" t="s">
        <v>1200</v>
      </c>
      <c r="V38" s="295" t="str">
        <f ca="1">IFERROR(IF(D34=_xlfn.XLOOKUP(S38,Calc!H$3:H$56,Calc!G$3:G$56),"","Stock "&amp;TEXT(_xlfn.XLOOKUP(S38,Calc!H$3:H$56,Calc!G$3:G$56),"#,#0")),"!")</f>
        <v>Stock 10</v>
      </c>
      <c r="W38" s="87">
        <f ca="1">IFERROR(_xlfn.XLOOKUP(S38,Calc!H$3:H$56,Calc!G$3:G$56),"")</f>
        <v>10</v>
      </c>
      <c r="X38" s="87">
        <f t="shared" si="0"/>
        <v>10</v>
      </c>
      <c r="Y38" t="str">
        <f t="shared" ca="1" si="1"/>
        <v/>
      </c>
    </row>
    <row r="39" spans="2:25">
      <c r="B39" s="290" t="s">
        <v>1208</v>
      </c>
      <c r="C39" s="290" t="s">
        <v>1209</v>
      </c>
      <c r="D39" s="294">
        <v>5000</v>
      </c>
      <c r="E39" s="290" t="s">
        <v>1132</v>
      </c>
      <c r="F39" s="290" t="s">
        <v>1132</v>
      </c>
      <c r="G39" s="290" t="s">
        <v>1133</v>
      </c>
      <c r="H39" s="290" t="s">
        <v>1133</v>
      </c>
      <c r="I39" s="291">
        <v>66.560079999999999</v>
      </c>
      <c r="J39" s="290" t="s">
        <v>1698</v>
      </c>
      <c r="K39" s="291">
        <v>68.66</v>
      </c>
      <c r="L39" s="290" t="s">
        <v>1698</v>
      </c>
      <c r="M39" s="291">
        <v>343300</v>
      </c>
      <c r="N39" s="291">
        <v>0</v>
      </c>
      <c r="O39" s="293">
        <v>3.1549240926393114E-2</v>
      </c>
      <c r="P39" s="291">
        <v>10499.6</v>
      </c>
      <c r="Q39" s="291">
        <v>343300</v>
      </c>
      <c r="R39" s="293">
        <v>9.7954260228226651E-3</v>
      </c>
      <c r="S39" t="s">
        <v>20</v>
      </c>
      <c r="T39" s="290" t="s">
        <v>1202</v>
      </c>
      <c r="V39" s="295" t="str">
        <f ca="1">IFERROR(IF(D35=_xlfn.XLOOKUP(S39,Calc!H$3:H$56,Calc!G$3:G$56),"","Stock "&amp;TEXT(_xlfn.XLOOKUP(S39,Calc!H$3:H$56,Calc!G$3:G$56),"#,#0")),"!")</f>
        <v>Stock 11,000</v>
      </c>
      <c r="W39" s="87">
        <f ca="1">IFERROR(_xlfn.XLOOKUP(S39,Calc!H$3:H$56,Calc!G$3:G$56),"")</f>
        <v>11000</v>
      </c>
      <c r="X39" s="87">
        <f t="shared" si="0"/>
        <v>11000</v>
      </c>
      <c r="Y39" t="str">
        <f t="shared" ca="1" si="1"/>
        <v/>
      </c>
    </row>
    <row r="40" spans="2:25">
      <c r="B40" s="290" t="s">
        <v>1210</v>
      </c>
      <c r="C40" s="290" t="s">
        <v>1211</v>
      </c>
      <c r="D40" s="294">
        <v>10</v>
      </c>
      <c r="E40" s="290" t="s">
        <v>1132</v>
      </c>
      <c r="F40" s="290" t="s">
        <v>1132</v>
      </c>
      <c r="G40" s="290" t="s">
        <v>1133</v>
      </c>
      <c r="H40" s="290" t="s">
        <v>1133</v>
      </c>
      <c r="I40" s="291">
        <v>4.4660000000000002</v>
      </c>
      <c r="J40" s="290" t="s">
        <v>1698</v>
      </c>
      <c r="K40" s="291">
        <v>7.79</v>
      </c>
      <c r="L40" s="290" t="s">
        <v>1698</v>
      </c>
      <c r="M40" s="291">
        <v>77.900000000000006</v>
      </c>
      <c r="N40" s="291">
        <v>0</v>
      </c>
      <c r="O40" s="293">
        <v>0.74429019256605455</v>
      </c>
      <c r="P40" s="291">
        <v>33.24</v>
      </c>
      <c r="Q40" s="291">
        <v>77.900000000000006</v>
      </c>
      <c r="R40" s="293">
        <v>2.2227313928863546E-6</v>
      </c>
      <c r="S40" t="s">
        <v>21</v>
      </c>
      <c r="T40" s="290" t="s">
        <v>1204</v>
      </c>
      <c r="V40" s="295" t="str">
        <f ca="1">IFERROR(IF(D36=_xlfn.XLOOKUP(S40,Calc!H$3:H$56,Calc!G$3:G$56),"","Stock "&amp;TEXT(_xlfn.XLOOKUP(S40,Calc!H$3:H$56,Calc!G$3:G$56),"#,#0")),"!")</f>
        <v>Stock 5,000</v>
      </c>
      <c r="W40" s="87">
        <f ca="1">IFERROR(_xlfn.XLOOKUP(S40,Calc!H$3:H$56,Calc!G$3:G$56),"")</f>
        <v>5000</v>
      </c>
      <c r="X40" s="87">
        <f t="shared" si="0"/>
        <v>5000</v>
      </c>
      <c r="Y40" t="str">
        <f t="shared" ca="1" si="1"/>
        <v/>
      </c>
    </row>
    <row r="41" spans="2:25">
      <c r="B41" s="290" t="s">
        <v>1212</v>
      </c>
      <c r="C41" s="290" t="s">
        <v>1213</v>
      </c>
      <c r="D41" s="294">
        <v>518</v>
      </c>
      <c r="E41" s="290" t="s">
        <v>1132</v>
      </c>
      <c r="F41" s="290" t="s">
        <v>1132</v>
      </c>
      <c r="G41" s="290" t="s">
        <v>1133</v>
      </c>
      <c r="H41" s="290" t="s">
        <v>1133</v>
      </c>
      <c r="I41" s="291">
        <v>42.444073359073357</v>
      </c>
      <c r="J41" s="290" t="s">
        <v>1698</v>
      </c>
      <c r="K41" s="291">
        <v>1.69</v>
      </c>
      <c r="L41" s="290" t="s">
        <v>1698</v>
      </c>
      <c r="M41" s="291">
        <v>875.42</v>
      </c>
      <c r="N41" s="291">
        <v>0</v>
      </c>
      <c r="O41" s="293">
        <v>-0.96018289795838541</v>
      </c>
      <c r="P41" s="291">
        <v>-21110.61</v>
      </c>
      <c r="Q41" s="291">
        <v>875.42</v>
      </c>
      <c r="R41" s="293">
        <v>2.4978479023884114E-5</v>
      </c>
      <c r="S41" t="s">
        <v>22</v>
      </c>
      <c r="T41" s="290" t="s">
        <v>1206</v>
      </c>
      <c r="V41" s="295" t="str">
        <f ca="1">IFERROR(IF(D37=_xlfn.XLOOKUP(S41,Calc!H$3:H$56,Calc!G$3:G$56),"","Stock "&amp;TEXT(_xlfn.XLOOKUP(S41,Calc!H$3:H$56,Calc!G$3:G$56),"#,#0")),"!")</f>
        <v>Stock 200,000</v>
      </c>
      <c r="W41" s="87">
        <f ca="1">IFERROR(_xlfn.XLOOKUP(S41,Calc!H$3:H$56,Calc!G$3:G$56),"")</f>
        <v>200000</v>
      </c>
      <c r="X41" s="87">
        <f t="shared" si="0"/>
        <v>200000</v>
      </c>
      <c r="Y41" t="str">
        <f t="shared" ca="1" si="1"/>
        <v/>
      </c>
    </row>
    <row r="42" spans="2:25">
      <c r="B42" s="290" t="s">
        <v>1214</v>
      </c>
      <c r="C42" s="290" t="s">
        <v>1215</v>
      </c>
      <c r="D42" s="294">
        <v>9800</v>
      </c>
      <c r="E42" s="290" t="s">
        <v>1132</v>
      </c>
      <c r="F42" s="290" t="s">
        <v>1132</v>
      </c>
      <c r="G42" s="290" t="s">
        <v>1133</v>
      </c>
      <c r="H42" s="290" t="s">
        <v>1133</v>
      </c>
      <c r="I42" s="291">
        <v>299.13175408163266</v>
      </c>
      <c r="J42" s="290" t="s">
        <v>1698</v>
      </c>
      <c r="K42" s="291">
        <v>520.55999999999995</v>
      </c>
      <c r="L42" s="290" t="s">
        <v>1698</v>
      </c>
      <c r="M42" s="291">
        <v>5101488</v>
      </c>
      <c r="N42" s="291">
        <v>0</v>
      </c>
      <c r="O42" s="293">
        <v>0.74023651082505892</v>
      </c>
      <c r="P42" s="291">
        <v>2169996.81</v>
      </c>
      <c r="Q42" s="291">
        <v>5101488</v>
      </c>
      <c r="R42" s="293">
        <v>0.14556145735600801</v>
      </c>
      <c r="S42" t="s">
        <v>23</v>
      </c>
      <c r="T42" s="290" t="s">
        <v>1208</v>
      </c>
      <c r="V42" s="295" t="str">
        <f ca="1">IFERROR(IF(D39=_xlfn.XLOOKUP(S42,Calc!H$3:H$56,Calc!G$3:G$56),"","Stock "&amp;TEXT(_xlfn.XLOOKUP(S42,Calc!H$3:H$56,Calc!G$3:G$56),"#,#0")),"!")</f>
        <v/>
      </c>
      <c r="W42" s="87">
        <f ca="1">IFERROR(_xlfn.XLOOKUP(S42,Calc!H$3:H$56,Calc!G$3:G$56),"")</f>
        <v>5000</v>
      </c>
      <c r="X42" s="87">
        <f t="shared" si="0"/>
        <v>5000</v>
      </c>
      <c r="Y42" t="str">
        <f t="shared" ca="1" si="1"/>
        <v/>
      </c>
    </row>
    <row r="43" spans="2:25">
      <c r="B43" s="290" t="s">
        <v>1216</v>
      </c>
      <c r="C43" s="290" t="s">
        <v>1217</v>
      </c>
      <c r="D43" s="294">
        <v>15000</v>
      </c>
      <c r="E43" s="290" t="s">
        <v>1151</v>
      </c>
      <c r="F43" s="290" t="s">
        <v>1151</v>
      </c>
      <c r="G43" s="290" t="s">
        <v>1133</v>
      </c>
      <c r="H43" s="290" t="s">
        <v>1133</v>
      </c>
      <c r="I43" s="291">
        <v>2203.3000000000002</v>
      </c>
      <c r="J43" s="567">
        <v>156.41380000000001</v>
      </c>
      <c r="K43" s="291">
        <v>4452</v>
      </c>
      <c r="L43" s="567">
        <v>152.61519999999999</v>
      </c>
      <c r="M43" s="291">
        <v>66780000</v>
      </c>
      <c r="N43" s="291">
        <v>0</v>
      </c>
      <c r="O43" s="293">
        <v>1.0708986122499204</v>
      </c>
      <c r="P43" s="291">
        <v>226275.79</v>
      </c>
      <c r="Q43" s="291">
        <v>437571.04</v>
      </c>
      <c r="R43" s="293">
        <v>1.2485274547187815E-2</v>
      </c>
      <c r="S43" t="s">
        <v>25</v>
      </c>
      <c r="T43" s="290" t="s">
        <v>1210</v>
      </c>
      <c r="V43" s="295" t="str">
        <f ca="1">IFERROR(IF(D40=_xlfn.XLOOKUP(S43,Calc!H$3:H$56,Calc!G$3:G$56),"","Stock "&amp;TEXT(_xlfn.XLOOKUP(S43,Calc!H$3:H$56,Calc!G$3:G$56),"#,#0")),"!")</f>
        <v/>
      </c>
      <c r="W43" s="87">
        <f ca="1">IFERROR(_xlfn.XLOOKUP(S43,Calc!H$3:H$56,Calc!G$3:G$56),"")</f>
        <v>10</v>
      </c>
      <c r="X43" s="87">
        <f t="shared" si="0"/>
        <v>10</v>
      </c>
      <c r="Y43" t="str">
        <f t="shared" ca="1" si="1"/>
        <v/>
      </c>
    </row>
    <row r="44" spans="2:25">
      <c r="B44" s="290" t="s">
        <v>1218</v>
      </c>
      <c r="C44" s="290" t="s">
        <v>1219</v>
      </c>
      <c r="D44" s="294">
        <v>12000</v>
      </c>
      <c r="E44" s="290" t="s">
        <v>1132</v>
      </c>
      <c r="F44" s="290" t="s">
        <v>1132</v>
      </c>
      <c r="G44" s="290" t="s">
        <v>1133</v>
      </c>
      <c r="H44" s="290" t="s">
        <v>1133</v>
      </c>
      <c r="I44" s="291">
        <v>71.361860833333338</v>
      </c>
      <c r="J44" s="290" t="s">
        <v>1698</v>
      </c>
      <c r="K44" s="291">
        <v>26.25</v>
      </c>
      <c r="L44" s="290" t="s">
        <v>1698</v>
      </c>
      <c r="M44" s="291">
        <v>315000</v>
      </c>
      <c r="N44" s="291">
        <v>0</v>
      </c>
      <c r="O44" s="293">
        <v>-0.63215645313247559</v>
      </c>
      <c r="P44" s="291">
        <v>-541342.32999999996</v>
      </c>
      <c r="Q44" s="291">
        <v>315000</v>
      </c>
      <c r="R44" s="293">
        <v>8.9879382382439237E-3</v>
      </c>
      <c r="S44" t="s">
        <v>81</v>
      </c>
      <c r="T44" s="290" t="s">
        <v>1212</v>
      </c>
      <c r="V44" s="295" t="str">
        <f ca="1">IFERROR(IF(D41=_xlfn.XLOOKUP(S44,Calc!H$3:H$56,Calc!G$3:G$56),"","Stock "&amp;TEXT(_xlfn.XLOOKUP(S44,Calc!H$3:H$56,Calc!G$3:G$56),"#,#0")),"!")</f>
        <v>!</v>
      </c>
      <c r="W44" s="87" t="str">
        <f ca="1">IFERROR(_xlfn.XLOOKUP(S44,Calc!H$3:H$56,Calc!G$3:G$56),"")</f>
        <v/>
      </c>
      <c r="X44" s="87">
        <f t="shared" ref="X44" si="2">_xlfn.XLOOKUP(T44,B$9:B$75,D$9:D$75,"")</f>
        <v>518</v>
      </c>
      <c r="Y44" t="str">
        <f ca="1">IF(OR(W44=X44,W44=""),"","ERROR")</f>
        <v/>
      </c>
    </row>
    <row r="45" spans="2:25">
      <c r="B45" s="290" t="s">
        <v>1220</v>
      </c>
      <c r="C45" s="290" t="s">
        <v>1221</v>
      </c>
      <c r="D45" s="294">
        <v>3000</v>
      </c>
      <c r="E45" s="290" t="s">
        <v>1132</v>
      </c>
      <c r="F45" s="290" t="s">
        <v>1132</v>
      </c>
      <c r="G45" s="290" t="s">
        <v>1133</v>
      </c>
      <c r="H45" s="290" t="s">
        <v>1133</v>
      </c>
      <c r="I45" s="291">
        <v>1102.3509566666667</v>
      </c>
      <c r="J45" s="290" t="s">
        <v>1698</v>
      </c>
      <c r="K45" s="291">
        <v>1113.5899999999999</v>
      </c>
      <c r="L45" s="290" t="s">
        <v>1698</v>
      </c>
      <c r="M45" s="291">
        <v>3340770</v>
      </c>
      <c r="N45" s="291">
        <v>0</v>
      </c>
      <c r="O45" s="293">
        <v>1.0195521911931212E-2</v>
      </c>
      <c r="P45" s="291">
        <v>33717.129999999997</v>
      </c>
      <c r="Q45" s="291">
        <v>3340770</v>
      </c>
      <c r="R45" s="293">
        <v>9.5322648978343347E-2</v>
      </c>
      <c r="S45" t="s">
        <v>27</v>
      </c>
      <c r="T45" s="290" t="s">
        <v>1214</v>
      </c>
      <c r="V45" s="295" t="str">
        <f ca="1">IFERROR(IF(D42=_xlfn.XLOOKUP(S45,Calc!H$3:H$56,Calc!G$3:G$56),"","Stock "&amp;TEXT(_xlfn.XLOOKUP(S45,Calc!H$3:H$56,Calc!G$3:G$56),"#,#0")),"!")</f>
        <v/>
      </c>
      <c r="W45" s="87">
        <f ca="1">IFERROR(_xlfn.XLOOKUP(S45,Calc!H$3:H$56,Calc!G$3:G$56),"")</f>
        <v>9800</v>
      </c>
      <c r="X45" s="87">
        <f t="shared" ref="X45:X74" si="3">_xlfn.XLOOKUP(T45,B$9:B$75,D$9:D$75,"")</f>
        <v>9800</v>
      </c>
      <c r="Y45" t="str">
        <f t="shared" ref="Y45:Y77" ca="1" si="4">IF(OR(W45=X45,W45=""),"","ERROR")</f>
        <v/>
      </c>
    </row>
    <row r="46" spans="2:25">
      <c r="B46" s="290" t="s">
        <v>1222</v>
      </c>
      <c r="C46" s="290" t="s">
        <v>1223</v>
      </c>
      <c r="D46" s="294">
        <v>17000</v>
      </c>
      <c r="E46" s="290" t="s">
        <v>1132</v>
      </c>
      <c r="F46" s="290" t="s">
        <v>1132</v>
      </c>
      <c r="G46" s="290" t="s">
        <v>1133</v>
      </c>
      <c r="H46" s="290" t="s">
        <v>1133</v>
      </c>
      <c r="I46" s="291">
        <v>53.696622352941176</v>
      </c>
      <c r="J46" s="290" t="s">
        <v>1698</v>
      </c>
      <c r="K46" s="291">
        <v>88.91</v>
      </c>
      <c r="L46" s="290" t="s">
        <v>1698</v>
      </c>
      <c r="M46" s="291">
        <v>1511470</v>
      </c>
      <c r="N46" s="291">
        <v>0</v>
      </c>
      <c r="O46" s="293">
        <v>0.65578384829506975</v>
      </c>
      <c r="P46" s="291">
        <v>598627.42000000004</v>
      </c>
      <c r="Q46" s="291">
        <v>1511470</v>
      </c>
      <c r="R46" s="293">
        <v>4.3126980980820774E-2</v>
      </c>
      <c r="T46" s="290" t="s">
        <v>1216</v>
      </c>
      <c r="V46" s="295" t="str">
        <f ca="1">IFERROR(IF(D43=_xlfn.XLOOKUP(S46,Calc!H$3:H$56,Calc!G$3:G$56),"","Stock "&amp;TEXT(_xlfn.XLOOKUP(S46,Calc!H$3:H$56,Calc!G$3:G$56),"#,#0")),"!")</f>
        <v>!</v>
      </c>
      <c r="W46" s="87" t="str">
        <f ca="1">IFERROR(_xlfn.XLOOKUP(S46,Calc!H$3:H$56,Calc!G$3:G$56),"")</f>
        <v/>
      </c>
      <c r="X46" s="87">
        <f t="shared" si="3"/>
        <v>15000</v>
      </c>
      <c r="Y46" t="str">
        <f t="shared" ca="1" si="4"/>
        <v/>
      </c>
    </row>
    <row r="47" spans="2:25">
      <c r="B47" s="290" t="s">
        <v>1224</v>
      </c>
      <c r="C47" s="290" t="s">
        <v>1225</v>
      </c>
      <c r="D47" s="294">
        <v>400</v>
      </c>
      <c r="E47" s="290" t="s">
        <v>1132</v>
      </c>
      <c r="F47" s="290" t="s">
        <v>1132</v>
      </c>
      <c r="G47" s="290" t="s">
        <v>1133</v>
      </c>
      <c r="H47" s="290" t="s">
        <v>1133</v>
      </c>
      <c r="I47" s="291">
        <v>71.106875000000002</v>
      </c>
      <c r="J47" s="290" t="s">
        <v>1698</v>
      </c>
      <c r="K47" s="291">
        <v>83.25</v>
      </c>
      <c r="L47" s="290" t="s">
        <v>1698</v>
      </c>
      <c r="M47" s="291">
        <v>33300</v>
      </c>
      <c r="N47" s="291">
        <v>0</v>
      </c>
      <c r="O47" s="293">
        <v>0.17077286830563149</v>
      </c>
      <c r="P47" s="291">
        <v>4857.25</v>
      </c>
      <c r="Q47" s="291">
        <v>33300</v>
      </c>
      <c r="R47" s="293">
        <v>9.50153470900072E-4</v>
      </c>
      <c r="S47" t="s">
        <v>26</v>
      </c>
      <c r="T47" s="290" t="s">
        <v>1218</v>
      </c>
      <c r="V47" s="295" t="str">
        <f ca="1">IFERROR(IF(D44=_xlfn.XLOOKUP(S47,Calc!H$3:H$56,Calc!G$3:G$56),"","Stock "&amp;TEXT(_xlfn.XLOOKUP(S47,Calc!H$3:H$56,Calc!G$3:G$56),"#,#0")),"!")</f>
        <v/>
      </c>
      <c r="W47" s="87">
        <f ca="1">IFERROR(_xlfn.XLOOKUP(S47,Calc!H$3:H$56,Calc!G$3:G$56),"")</f>
        <v>12000</v>
      </c>
      <c r="X47" s="87">
        <f t="shared" si="3"/>
        <v>12000</v>
      </c>
      <c r="Y47" t="str">
        <f t="shared" ca="1" si="4"/>
        <v/>
      </c>
    </row>
    <row r="48" spans="2:25">
      <c r="B48" s="290" t="s">
        <v>1226</v>
      </c>
      <c r="C48" s="290" t="s">
        <v>1227</v>
      </c>
      <c r="D48" s="294">
        <v>2000</v>
      </c>
      <c r="E48" s="290" t="s">
        <v>1132</v>
      </c>
      <c r="F48" s="290" t="s">
        <v>1132</v>
      </c>
      <c r="G48" s="290" t="s">
        <v>1133</v>
      </c>
      <c r="H48" s="290" t="s">
        <v>1133</v>
      </c>
      <c r="I48" s="291">
        <v>5.3479099999999997</v>
      </c>
      <c r="J48" s="290" t="s">
        <v>1698</v>
      </c>
      <c r="K48" s="291">
        <v>8.36</v>
      </c>
      <c r="L48" s="290" t="s">
        <v>1698</v>
      </c>
      <c r="M48" s="291">
        <v>16720</v>
      </c>
      <c r="N48" s="291">
        <v>0</v>
      </c>
      <c r="O48" s="293">
        <v>0.56322750382859843</v>
      </c>
      <c r="P48" s="291">
        <v>6024.18</v>
      </c>
      <c r="Q48" s="291">
        <v>16720</v>
      </c>
      <c r="R48" s="293">
        <v>4.7707405505853474E-4</v>
      </c>
      <c r="S48" t="s">
        <v>30</v>
      </c>
      <c r="T48" s="290" t="s">
        <v>1220</v>
      </c>
      <c r="V48" s="295" t="str">
        <f ca="1">IFERROR(IF(D45=_xlfn.XLOOKUP(S48,Calc!H$3:H$56,Calc!G$3:G$56),"","Stock "&amp;TEXT(_xlfn.XLOOKUP(S48,Calc!H$3:H$56,Calc!G$3:G$56),"#,#0")),"!")</f>
        <v/>
      </c>
      <c r="W48" s="87">
        <f ca="1">IFERROR(_xlfn.XLOOKUP(S48,Calc!H$3:H$56,Calc!G$3:G$56),"")</f>
        <v>3000</v>
      </c>
      <c r="X48" s="87">
        <f t="shared" si="3"/>
        <v>3000</v>
      </c>
      <c r="Y48" t="str">
        <f t="shared" ca="1" si="4"/>
        <v/>
      </c>
    </row>
    <row r="49" spans="2:25">
      <c r="B49" s="290" t="s">
        <v>1228</v>
      </c>
      <c r="C49" s="290" t="s">
        <v>1229</v>
      </c>
      <c r="D49" s="294">
        <v>4000</v>
      </c>
      <c r="E49" s="290" t="s">
        <v>1138</v>
      </c>
      <c r="F49" s="290" t="s">
        <v>1132</v>
      </c>
      <c r="G49" s="290" t="s">
        <v>1133</v>
      </c>
      <c r="H49" s="290" t="s">
        <v>1133</v>
      </c>
      <c r="I49" s="291">
        <v>28.616140000000001</v>
      </c>
      <c r="J49" s="290" t="s">
        <v>1698</v>
      </c>
      <c r="K49" s="291">
        <v>36.22</v>
      </c>
      <c r="L49" s="290" t="s">
        <v>1698</v>
      </c>
      <c r="M49" s="291">
        <v>144880</v>
      </c>
      <c r="N49" s="291">
        <v>0</v>
      </c>
      <c r="O49" s="293">
        <v>0.26571927590513605</v>
      </c>
      <c r="P49" s="291">
        <v>30415.439999999999</v>
      </c>
      <c r="Q49" s="291">
        <v>144880</v>
      </c>
      <c r="R49" s="293">
        <v>4.1338809268469199E-3</v>
      </c>
      <c r="S49" t="s">
        <v>29</v>
      </c>
      <c r="T49" s="290" t="s">
        <v>1222</v>
      </c>
      <c r="V49" s="295" t="str">
        <f ca="1">IFERROR(IF(D46=_xlfn.XLOOKUP(S49,Calc!H$3:H$56,Calc!G$3:G$56),"","Stock "&amp;TEXT(_xlfn.XLOOKUP(S49,Calc!H$3:H$56,Calc!G$3:G$56),"#,#0")),"!")</f>
        <v/>
      </c>
      <c r="W49" s="87">
        <f ca="1">IFERROR(_xlfn.XLOOKUP(S49,Calc!H$3:H$56,Calc!G$3:G$56),"")</f>
        <v>17000</v>
      </c>
      <c r="X49" s="87">
        <f t="shared" si="3"/>
        <v>17000</v>
      </c>
      <c r="Y49" t="str">
        <f t="shared" ca="1" si="4"/>
        <v/>
      </c>
    </row>
    <row r="50" spans="2:25">
      <c r="B50" s="290" t="s">
        <v>1230</v>
      </c>
      <c r="C50" s="290" t="s">
        <v>1231</v>
      </c>
      <c r="D50" s="294">
        <v>30000</v>
      </c>
      <c r="E50" s="290" t="s">
        <v>1132</v>
      </c>
      <c r="F50" s="290" t="s">
        <v>1132</v>
      </c>
      <c r="G50" s="290" t="s">
        <v>1133</v>
      </c>
      <c r="H50" s="290" t="s">
        <v>1133</v>
      </c>
      <c r="I50" s="291">
        <v>2.5992890000000002</v>
      </c>
      <c r="J50" s="290" t="s">
        <v>1698</v>
      </c>
      <c r="K50" s="291">
        <v>0</v>
      </c>
      <c r="L50" s="290" t="s">
        <v>1698</v>
      </c>
      <c r="M50" s="291">
        <v>0</v>
      </c>
      <c r="N50" s="291">
        <v>0</v>
      </c>
      <c r="O50" s="290" t="s">
        <v>1133</v>
      </c>
      <c r="P50" s="290" t="s">
        <v>1133</v>
      </c>
      <c r="Q50" s="291">
        <v>0</v>
      </c>
      <c r="R50" s="293">
        <v>0</v>
      </c>
      <c r="S50" t="s">
        <v>28</v>
      </c>
      <c r="T50" s="290" t="s">
        <v>1224</v>
      </c>
      <c r="V50" s="295" t="str">
        <f ca="1">IFERROR(IF(D47=_xlfn.XLOOKUP(S50,Calc!H$3:H$56,Calc!G$3:G$56),"","Stock "&amp;TEXT(_xlfn.XLOOKUP(S50,Calc!H$3:H$56,Calc!G$3:G$56),"#,#0")),"!")</f>
        <v/>
      </c>
      <c r="W50" s="87">
        <f ca="1">IFERROR(_xlfn.XLOOKUP(S50,Calc!H$3:H$56,Calc!G$3:G$56),"")</f>
        <v>400</v>
      </c>
      <c r="X50" s="87">
        <f t="shared" si="3"/>
        <v>400</v>
      </c>
      <c r="Y50" t="str">
        <f t="shared" ca="1" si="4"/>
        <v/>
      </c>
    </row>
    <row r="51" spans="2:25">
      <c r="B51" s="290" t="s">
        <v>1232</v>
      </c>
      <c r="C51" s="290" t="s">
        <v>1233</v>
      </c>
      <c r="D51" s="294">
        <v>45000</v>
      </c>
      <c r="E51" s="290" t="s">
        <v>1138</v>
      </c>
      <c r="F51" s="290" t="s">
        <v>1132</v>
      </c>
      <c r="G51" s="290" t="s">
        <v>1133</v>
      </c>
      <c r="H51" s="290" t="s">
        <v>1133</v>
      </c>
      <c r="I51" s="291">
        <v>4.6992139999999996</v>
      </c>
      <c r="J51" s="290" t="s">
        <v>1698</v>
      </c>
      <c r="K51" s="291">
        <v>7.31</v>
      </c>
      <c r="L51" s="290" t="s">
        <v>1698</v>
      </c>
      <c r="M51" s="291">
        <v>328950</v>
      </c>
      <c r="N51" s="291">
        <v>0</v>
      </c>
      <c r="O51" s="293">
        <v>0.55557929475014334</v>
      </c>
      <c r="P51" s="291">
        <v>117485.37</v>
      </c>
      <c r="Q51" s="291">
        <v>328950</v>
      </c>
      <c r="R51" s="293">
        <v>9.3859755030804414E-3</v>
      </c>
      <c r="S51" t="s">
        <v>83</v>
      </c>
      <c r="T51" s="290" t="s">
        <v>1226</v>
      </c>
      <c r="V51" s="295" t="str">
        <f ca="1">IFERROR(IF(D48=_xlfn.XLOOKUP(S51,Calc!H$3:H$56,Calc!G$3:G$56),"","Stock "&amp;TEXT(_xlfn.XLOOKUP(S51,Calc!H$3:H$56,Calc!G$3:G$56),"#,#0")),"!")</f>
        <v>!</v>
      </c>
      <c r="W51" s="87" t="str">
        <f ca="1">IFERROR(_xlfn.XLOOKUP(S51,Calc!H$3:H$56,Calc!G$3:G$56),"")</f>
        <v/>
      </c>
      <c r="X51" s="87">
        <f t="shared" si="3"/>
        <v>2000</v>
      </c>
      <c r="Y51" t="str">
        <f t="shared" ca="1" si="4"/>
        <v/>
      </c>
    </row>
    <row r="52" spans="2:25">
      <c r="B52" s="290" t="s">
        <v>1234</v>
      </c>
      <c r="C52" s="290" t="s">
        <v>1235</v>
      </c>
      <c r="D52" s="294">
        <v>10000</v>
      </c>
      <c r="E52" s="290" t="s">
        <v>1132</v>
      </c>
      <c r="F52" s="290" t="s">
        <v>1132</v>
      </c>
      <c r="G52" s="290" t="s">
        <v>1133</v>
      </c>
      <c r="H52" s="290" t="s">
        <v>1133</v>
      </c>
      <c r="I52" s="291">
        <v>1.087636</v>
      </c>
      <c r="J52" s="290" t="s">
        <v>1698</v>
      </c>
      <c r="K52" s="291">
        <v>0.70289999999999997</v>
      </c>
      <c r="L52" s="290" t="s">
        <v>1698</v>
      </c>
      <c r="M52" s="291">
        <v>7029</v>
      </c>
      <c r="N52" s="291">
        <v>0</v>
      </c>
      <c r="O52" s="293">
        <v>-0.35373599255633315</v>
      </c>
      <c r="P52" s="291">
        <v>-3847.36</v>
      </c>
      <c r="Q52" s="291">
        <v>7029</v>
      </c>
      <c r="R52" s="293">
        <v>2.0055942183052871E-4</v>
      </c>
      <c r="S52" t="s">
        <v>31</v>
      </c>
      <c r="T52" s="290" t="s">
        <v>1228</v>
      </c>
      <c r="V52" s="295" t="str">
        <f ca="1">IFERROR(IF(D49=_xlfn.XLOOKUP(S52,Calc!H$3:H$56,Calc!G$3:G$56),"","Stock "&amp;TEXT(_xlfn.XLOOKUP(S52,Calc!H$3:H$56,Calc!G$3:G$56),"#,#0")),"!")</f>
        <v/>
      </c>
      <c r="W52" s="87">
        <f ca="1">IFERROR(_xlfn.XLOOKUP(S52,Calc!H$3:H$56,Calc!G$3:G$56),"")</f>
        <v>4000</v>
      </c>
      <c r="X52" s="87">
        <f t="shared" si="3"/>
        <v>4000</v>
      </c>
      <c r="Y52" t="str">
        <f t="shared" ca="1" si="4"/>
        <v/>
      </c>
    </row>
    <row r="53" spans="2:25">
      <c r="B53" s="290" t="s">
        <v>1236</v>
      </c>
      <c r="C53" s="290" t="s">
        <v>1237</v>
      </c>
      <c r="D53" s="294">
        <v>4000</v>
      </c>
      <c r="E53" s="290" t="s">
        <v>1138</v>
      </c>
      <c r="F53" s="290" t="s">
        <v>1132</v>
      </c>
      <c r="G53" s="290" t="s">
        <v>1133</v>
      </c>
      <c r="H53" s="290" t="s">
        <v>1133</v>
      </c>
      <c r="I53" s="291">
        <v>5.8391975</v>
      </c>
      <c r="J53" s="290" t="s">
        <v>1698</v>
      </c>
      <c r="K53" s="291">
        <v>5.31</v>
      </c>
      <c r="L53" s="290" t="s">
        <v>1698</v>
      </c>
      <c r="M53" s="291">
        <v>21240</v>
      </c>
      <c r="N53" s="291">
        <v>0</v>
      </c>
      <c r="O53" s="293">
        <v>-9.0628463928476483E-2</v>
      </c>
      <c r="P53" s="291">
        <v>-2116.79</v>
      </c>
      <c r="Q53" s="291">
        <v>21240</v>
      </c>
      <c r="R53" s="293">
        <v>6.0604383549301886E-4</v>
      </c>
      <c r="T53" s="290" t="s">
        <v>1230</v>
      </c>
      <c r="V53" s="295" t="str">
        <f ca="1">IFERROR(IF(D50=_xlfn.XLOOKUP(S53,Calc!H$3:H$56,Calc!G$3:G$56),"","Stock "&amp;TEXT(_xlfn.XLOOKUP(S53,Calc!H$3:H$56,Calc!G$3:G$56),"#,#0")),"!")</f>
        <v>!</v>
      </c>
      <c r="W53" s="87" t="str">
        <f ca="1">IFERROR(_xlfn.XLOOKUP(S53,Calc!H$3:H$56,Calc!G$3:G$56),"")</f>
        <v/>
      </c>
      <c r="X53" s="87">
        <f t="shared" si="3"/>
        <v>30000</v>
      </c>
      <c r="Y53" t="str">
        <f t="shared" ca="1" si="4"/>
        <v/>
      </c>
    </row>
    <row r="54" spans="2:25">
      <c r="B54" s="290" t="s">
        <v>1238</v>
      </c>
      <c r="C54" s="290" t="s">
        <v>1239</v>
      </c>
      <c r="D54" s="294">
        <v>2000</v>
      </c>
      <c r="E54" s="290" t="s">
        <v>1132</v>
      </c>
      <c r="F54" s="290" t="s">
        <v>1132</v>
      </c>
      <c r="G54" s="290" t="s">
        <v>1133</v>
      </c>
      <c r="H54" s="290" t="s">
        <v>1133</v>
      </c>
      <c r="I54" s="291">
        <v>23.801375</v>
      </c>
      <c r="J54" s="290" t="s">
        <v>1698</v>
      </c>
      <c r="K54" s="291">
        <v>29.39</v>
      </c>
      <c r="L54" s="290" t="s">
        <v>1698</v>
      </c>
      <c r="M54" s="291">
        <v>58780</v>
      </c>
      <c r="N54" s="291">
        <v>0</v>
      </c>
      <c r="O54" s="293">
        <v>0.23480261119368107</v>
      </c>
      <c r="P54" s="291">
        <v>11177.25</v>
      </c>
      <c r="Q54" s="291">
        <v>58780</v>
      </c>
      <c r="R54" s="293">
        <v>1.6771778083935806E-3</v>
      </c>
      <c r="S54" t="s">
        <v>1089</v>
      </c>
      <c r="T54" s="290" t="s">
        <v>1232</v>
      </c>
      <c r="V54" s="295" t="str">
        <f ca="1">IFERROR(IF(D51=_xlfn.XLOOKUP(S54,Calc!H$3:H$56,Calc!G$3:G$56),"","Stock "&amp;TEXT(_xlfn.XLOOKUP(S54,Calc!H$3:H$56,Calc!G$3:G$56),"#,#0")),"!")</f>
        <v/>
      </c>
      <c r="W54" s="87">
        <f ca="1">IFERROR(_xlfn.XLOOKUP(S54,Calc!H$3:H$56,Calc!G$3:G$56),"")</f>
        <v>45000</v>
      </c>
      <c r="X54" s="87">
        <f t="shared" si="3"/>
        <v>45000</v>
      </c>
      <c r="Y54" t="str">
        <f t="shared" ca="1" si="4"/>
        <v/>
      </c>
    </row>
    <row r="55" spans="2:25">
      <c r="B55" s="290" t="s">
        <v>2465</v>
      </c>
      <c r="C55" s="290" t="s">
        <v>2385</v>
      </c>
      <c r="D55" s="294">
        <v>3000</v>
      </c>
      <c r="E55" s="290" t="s">
        <v>1132</v>
      </c>
      <c r="F55" s="290" t="s">
        <v>1132</v>
      </c>
      <c r="G55" s="290" t="s">
        <v>1133</v>
      </c>
      <c r="H55" s="290" t="s">
        <v>1133</v>
      </c>
      <c r="I55" s="291">
        <v>0.26746666666666669</v>
      </c>
      <c r="J55" s="290" t="s">
        <v>1698</v>
      </c>
      <c r="K55" s="290" t="s">
        <v>1133</v>
      </c>
      <c r="L55" s="290" t="s">
        <v>1698</v>
      </c>
      <c r="M55" s="291">
        <v>0</v>
      </c>
      <c r="N55" s="291">
        <v>0</v>
      </c>
      <c r="O55" s="290" t="s">
        <v>1133</v>
      </c>
      <c r="P55" s="290" t="s">
        <v>1133</v>
      </c>
      <c r="Q55" s="291">
        <v>0</v>
      </c>
      <c r="R55" s="293">
        <v>0</v>
      </c>
      <c r="S55" t="s">
        <v>34</v>
      </c>
      <c r="T55" s="290" t="s">
        <v>1234</v>
      </c>
      <c r="V55" s="295" t="str">
        <f ca="1">IFERROR(IF(D52=_xlfn.XLOOKUP(S55,Calc!H$3:H$56,Calc!G$3:G$56),"","Stock "&amp;TEXT(_xlfn.XLOOKUP(S55,Calc!H$3:H$56,Calc!G$3:G$56),"#,#0")),"!")</f>
        <v/>
      </c>
      <c r="W55" s="87">
        <f ca="1">IFERROR(_xlfn.XLOOKUP(S55,Calc!H$3:H$56,Calc!G$3:G$56),"")</f>
        <v>10000</v>
      </c>
      <c r="X55" s="87">
        <f t="shared" si="3"/>
        <v>10000</v>
      </c>
      <c r="Y55" t="str">
        <f t="shared" ca="1" si="4"/>
        <v/>
      </c>
    </row>
    <row r="56" spans="2:25">
      <c r="B56" s="290" t="s">
        <v>1240</v>
      </c>
      <c r="C56" s="290" t="s">
        <v>1241</v>
      </c>
      <c r="D56" s="294">
        <v>20000</v>
      </c>
      <c r="E56" s="290" t="s">
        <v>1132</v>
      </c>
      <c r="F56" s="290" t="s">
        <v>1132</v>
      </c>
      <c r="G56" s="290" t="s">
        <v>1133</v>
      </c>
      <c r="H56" s="290" t="s">
        <v>1133</v>
      </c>
      <c r="I56" s="291">
        <v>6.9995254999999998</v>
      </c>
      <c r="J56" s="290" t="s">
        <v>1698</v>
      </c>
      <c r="K56" s="291">
        <v>9.9999999999999995E-7</v>
      </c>
      <c r="L56" s="290" t="s">
        <v>1698</v>
      </c>
      <c r="M56" s="291">
        <v>0.02</v>
      </c>
      <c r="N56" s="291">
        <v>0</v>
      </c>
      <c r="O56" s="293">
        <v>-0.99999985713317285</v>
      </c>
      <c r="P56" s="291">
        <v>-139990.49</v>
      </c>
      <c r="Q56" s="291">
        <v>0.02</v>
      </c>
      <c r="R56" s="293">
        <v>5.7066274528532851E-10</v>
      </c>
      <c r="S56" t="s">
        <v>33</v>
      </c>
      <c r="T56" s="290" t="s">
        <v>1236</v>
      </c>
      <c r="V56" s="295" t="str">
        <f ca="1">IFERROR(IF(D53=_xlfn.XLOOKUP(S56,Calc!H$3:H$56,Calc!G$3:G$56),"","Stock "&amp;TEXT(_xlfn.XLOOKUP(S56,Calc!H$3:H$56,Calc!G$3:G$56),"#,#0")),"!")</f>
        <v/>
      </c>
      <c r="W56" s="87">
        <f ca="1">IFERROR(_xlfn.XLOOKUP(S56,Calc!H$3:H$56,Calc!G$3:G$56),"")</f>
        <v>4000</v>
      </c>
      <c r="X56" s="87">
        <f t="shared" si="3"/>
        <v>4000</v>
      </c>
      <c r="Y56" t="str">
        <f t="shared" ca="1" si="4"/>
        <v/>
      </c>
    </row>
    <row r="57" spans="2:25">
      <c r="B57" s="290" t="s">
        <v>1242</v>
      </c>
      <c r="C57" s="290" t="s">
        <v>1243</v>
      </c>
      <c r="D57" s="294">
        <v>50</v>
      </c>
      <c r="E57" s="290" t="s">
        <v>1135</v>
      </c>
      <c r="F57" s="290" t="s">
        <v>1135</v>
      </c>
      <c r="G57" s="290" t="s">
        <v>1133</v>
      </c>
      <c r="H57" s="290" t="s">
        <v>1133</v>
      </c>
      <c r="I57" s="291">
        <v>29.1782</v>
      </c>
      <c r="J57" s="567">
        <v>1.0455000000000001</v>
      </c>
      <c r="K57" s="291">
        <v>40.44</v>
      </c>
      <c r="L57" s="567">
        <v>1.1614</v>
      </c>
      <c r="M57" s="291">
        <v>2022</v>
      </c>
      <c r="N57" s="291">
        <v>0</v>
      </c>
      <c r="O57" s="293">
        <v>0.53966588864703258</v>
      </c>
      <c r="P57" s="291">
        <v>823.12</v>
      </c>
      <c r="Q57" s="291">
        <v>2348.36</v>
      </c>
      <c r="R57" s="293">
        <v>6.7006078225912715E-5</v>
      </c>
      <c r="S57" t="s">
        <v>35</v>
      </c>
      <c r="T57" s="290" t="s">
        <v>1238</v>
      </c>
      <c r="V57" s="295" t="str">
        <f ca="1">IFERROR(IF(D54=_xlfn.XLOOKUP(S57,Calc!H$3:H$56,Calc!G$3:G$56),"","Stock "&amp;TEXT(_xlfn.XLOOKUP(S57,Calc!H$3:H$56,Calc!G$3:G$56),"#,#0")),"!")</f>
        <v/>
      </c>
      <c r="W57" s="87">
        <f ca="1">IFERROR(_xlfn.XLOOKUP(S57,Calc!H$3:H$56,Calc!G$3:G$56),"")</f>
        <v>2000</v>
      </c>
      <c r="X57" s="87">
        <f t="shared" si="3"/>
        <v>2000</v>
      </c>
      <c r="Y57" t="str">
        <f t="shared" ca="1" si="4"/>
        <v/>
      </c>
    </row>
    <row r="58" spans="2:25">
      <c r="B58" s="290" t="s">
        <v>1244</v>
      </c>
      <c r="C58" s="290" t="s">
        <v>1245</v>
      </c>
      <c r="D58" s="294">
        <v>3800</v>
      </c>
      <c r="E58" s="290" t="s">
        <v>1135</v>
      </c>
      <c r="F58" s="290" t="s">
        <v>1135</v>
      </c>
      <c r="G58" s="290" t="s">
        <v>1133</v>
      </c>
      <c r="H58" s="290" t="s">
        <v>1133</v>
      </c>
      <c r="I58" s="291">
        <v>241.63239473684212</v>
      </c>
      <c r="J58" s="567">
        <v>1.1534</v>
      </c>
      <c r="K58" s="291">
        <v>242</v>
      </c>
      <c r="L58" s="567">
        <v>1.1614</v>
      </c>
      <c r="M58" s="291">
        <v>919600</v>
      </c>
      <c r="N58" s="291">
        <v>0</v>
      </c>
      <c r="O58" s="293">
        <v>8.441914819817908E-3</v>
      </c>
      <c r="P58" s="291">
        <v>8940.7099999999991</v>
      </c>
      <c r="Q58" s="291">
        <v>1068026.26</v>
      </c>
      <c r="R58" s="293">
        <v>3.0474139878421104E-2</v>
      </c>
      <c r="T58" s="290" t="s">
        <v>1240</v>
      </c>
      <c r="V58" s="295" t="str">
        <f ca="1">IFERROR(IF(D55=_xlfn.XLOOKUP(S58,Calc!H$3:H$56,Calc!G$3:G$56),"","Stock "&amp;TEXT(_xlfn.XLOOKUP(S58,Calc!H$3:H$56,Calc!G$3:G$56),"#,#0")),"!")</f>
        <v>!</v>
      </c>
      <c r="W58" s="87" t="str">
        <f ca="1">IFERROR(_xlfn.XLOOKUP(S58,Calc!H$3:H$56,Calc!G$3:G$56),"")</f>
        <v/>
      </c>
      <c r="X58" s="87">
        <f t="shared" si="3"/>
        <v>20000</v>
      </c>
      <c r="Y58" t="str">
        <f t="shared" ca="1" si="4"/>
        <v/>
      </c>
    </row>
    <row r="59" spans="2:25">
      <c r="B59" s="290" t="s">
        <v>1246</v>
      </c>
      <c r="C59" s="290" t="s">
        <v>1247</v>
      </c>
      <c r="D59" s="294">
        <v>22368</v>
      </c>
      <c r="E59" s="290" t="s">
        <v>1151</v>
      </c>
      <c r="F59" s="290" t="s">
        <v>1132</v>
      </c>
      <c r="G59" s="290" t="s">
        <v>1133</v>
      </c>
      <c r="H59" s="290" t="s">
        <v>1133</v>
      </c>
      <c r="I59" s="291">
        <v>16.715614270386265</v>
      </c>
      <c r="J59" s="290" t="s">
        <v>1698</v>
      </c>
      <c r="K59" s="291">
        <v>16.149999999999999</v>
      </c>
      <c r="L59" s="290" t="s">
        <v>1698</v>
      </c>
      <c r="M59" s="291">
        <v>361243.2</v>
      </c>
      <c r="N59" s="291">
        <v>0</v>
      </c>
      <c r="O59" s="293">
        <v>-3.3837480408262365E-2</v>
      </c>
      <c r="P59" s="291">
        <v>-12651.66</v>
      </c>
      <c r="Q59" s="291">
        <v>361243.2</v>
      </c>
      <c r="R59" s="293">
        <v>1.0307401811382851E-2</v>
      </c>
      <c r="S59" t="s">
        <v>37</v>
      </c>
      <c r="T59" s="290" t="s">
        <v>1242</v>
      </c>
      <c r="V59" s="295" t="str">
        <f ca="1">IFERROR(IF(D56=_xlfn.XLOOKUP(S59,Calc!H$3:H$56,Calc!G$3:G$56),"","Stock "&amp;TEXT(_xlfn.XLOOKUP(S59,Calc!H$3:H$56,Calc!G$3:G$56),"#,#0")),"!")</f>
        <v>Stock 50</v>
      </c>
      <c r="W59" s="87">
        <f ca="1">IFERROR(_xlfn.XLOOKUP(S59,Calc!H$3:H$56,Calc!G$3:G$56),"")</f>
        <v>50</v>
      </c>
      <c r="X59" s="87">
        <f t="shared" si="3"/>
        <v>50</v>
      </c>
      <c r="Y59" t="str">
        <f t="shared" ca="1" si="4"/>
        <v/>
      </c>
    </row>
    <row r="60" spans="2:25">
      <c r="B60" s="290" t="s">
        <v>1281</v>
      </c>
      <c r="C60" s="290" t="s">
        <v>1874</v>
      </c>
      <c r="D60" s="294">
        <v>4000</v>
      </c>
      <c r="E60" s="290" t="s">
        <v>1135</v>
      </c>
      <c r="F60" s="290" t="s">
        <v>1135</v>
      </c>
      <c r="G60" s="290" t="s">
        <v>1133</v>
      </c>
      <c r="H60" s="290" t="s">
        <v>1133</v>
      </c>
      <c r="I60" s="291">
        <v>54.703672500000003</v>
      </c>
      <c r="J60" s="567">
        <v>1.1641999999999999</v>
      </c>
      <c r="K60" s="291">
        <v>53.58</v>
      </c>
      <c r="L60" s="567">
        <v>1.1614</v>
      </c>
      <c r="M60" s="291">
        <v>214320</v>
      </c>
      <c r="N60" s="291">
        <v>0</v>
      </c>
      <c r="O60" s="293">
        <v>-2.292978679181255E-2</v>
      </c>
      <c r="P60" s="291">
        <v>-5841.44</v>
      </c>
      <c r="Q60" s="291">
        <v>248911.91</v>
      </c>
      <c r="R60" s="293">
        <v>7.102237694740731E-3</v>
      </c>
      <c r="S60" t="s">
        <v>38</v>
      </c>
      <c r="T60" s="290" t="s">
        <v>1244</v>
      </c>
      <c r="V60" s="295" t="str">
        <f ca="1">IFERROR(IF(D57=_xlfn.XLOOKUP(S60,Calc!H$3:H$56,Calc!G$3:G$56),"","Stock "&amp;TEXT(_xlfn.XLOOKUP(S60,Calc!H$3:H$56,Calc!G$3:G$56),"#,#0")),"!")</f>
        <v>Stock 3,800</v>
      </c>
      <c r="W60" s="87">
        <f ca="1">IFERROR(_xlfn.XLOOKUP(S60,Calc!H$3:H$56,Calc!G$3:G$56),"")</f>
        <v>3800</v>
      </c>
      <c r="X60" s="87">
        <f>_xlfn.XLOOKUP(T60,B$9:B$75,D$9:D$75,"")</f>
        <v>3800</v>
      </c>
      <c r="Y60" t="str">
        <f t="shared" ca="1" si="4"/>
        <v/>
      </c>
    </row>
    <row r="61" spans="2:25">
      <c r="B61" s="290" t="s">
        <v>1249</v>
      </c>
      <c r="C61" s="290" t="s">
        <v>1250</v>
      </c>
      <c r="D61" s="294">
        <v>16000</v>
      </c>
      <c r="E61" s="290" t="s">
        <v>1251</v>
      </c>
      <c r="F61" s="290" t="s">
        <v>1132</v>
      </c>
      <c r="G61" s="290" t="s">
        <v>1133</v>
      </c>
      <c r="H61" s="290" t="s">
        <v>1133</v>
      </c>
      <c r="I61" s="291">
        <v>36.088869375000002</v>
      </c>
      <c r="J61" s="290" t="s">
        <v>1698</v>
      </c>
      <c r="K61" s="291">
        <v>11.78</v>
      </c>
      <c r="L61" s="290" t="s">
        <v>1698</v>
      </c>
      <c r="M61" s="291">
        <v>188480</v>
      </c>
      <c r="N61" s="291">
        <v>0</v>
      </c>
      <c r="O61" s="293">
        <v>-0.67358356734333125</v>
      </c>
      <c r="P61" s="291">
        <v>-388941.91</v>
      </c>
      <c r="Q61" s="291">
        <v>188480</v>
      </c>
      <c r="R61" s="293">
        <v>5.3779257115689361E-3</v>
      </c>
      <c r="S61" t="s">
        <v>39</v>
      </c>
      <c r="T61" s="290" t="s">
        <v>1246</v>
      </c>
      <c r="V61" s="295" t="str">
        <f ca="1">IFERROR(IF(D58=_xlfn.XLOOKUP(S61,Calc!H$3:H$56,Calc!G$3:G$56),"","Stock "&amp;TEXT(_xlfn.XLOOKUP(S61,Calc!H$3:H$56,Calc!G$3:G$56),"#,#0")),"!")</f>
        <v>Stock 22,368</v>
      </c>
      <c r="W61" s="87">
        <f ca="1">IFERROR(_xlfn.XLOOKUP(S61,Calc!H$3:H$56,Calc!G$3:G$56),"")</f>
        <v>22368</v>
      </c>
      <c r="X61" s="87">
        <f t="shared" si="3"/>
        <v>22368</v>
      </c>
      <c r="Y61" t="str">
        <f t="shared" ca="1" si="4"/>
        <v/>
      </c>
    </row>
    <row r="62" spans="2:25">
      <c r="B62" s="290" t="s">
        <v>1252</v>
      </c>
      <c r="C62" s="290" t="s">
        <v>1253</v>
      </c>
      <c r="D62" s="294">
        <v>4800</v>
      </c>
      <c r="E62" s="290" t="s">
        <v>1132</v>
      </c>
      <c r="F62" s="290" t="s">
        <v>1132</v>
      </c>
      <c r="G62" s="290" t="s">
        <v>1133</v>
      </c>
      <c r="H62" s="290" t="s">
        <v>1133</v>
      </c>
      <c r="I62" s="291">
        <v>203.76487291666666</v>
      </c>
      <c r="J62" s="290" t="s">
        <v>1698</v>
      </c>
      <c r="K62" s="291">
        <v>290.73</v>
      </c>
      <c r="L62" s="290" t="s">
        <v>1698</v>
      </c>
      <c r="M62" s="291">
        <v>1395504</v>
      </c>
      <c r="N62" s="291">
        <v>0</v>
      </c>
      <c r="O62" s="293">
        <v>0.42679155557346382</v>
      </c>
      <c r="P62" s="291">
        <v>417432.61</v>
      </c>
      <c r="Q62" s="291">
        <v>1395504</v>
      </c>
      <c r="R62" s="293">
        <v>3.9818107184832856E-2</v>
      </c>
      <c r="T62" s="290" t="s">
        <v>1248</v>
      </c>
      <c r="V62" s="295" t="str">
        <f ca="1">IFERROR(IF(D59=_xlfn.XLOOKUP(S62,Calc!H$3:H$56,Calc!G$3:G$56),"","Stock "&amp;TEXT(_xlfn.XLOOKUP(S62,Calc!H$3:H$56,Calc!G$3:G$56),"#,#0")),"!")</f>
        <v>!</v>
      </c>
      <c r="W62" s="87" t="str">
        <f ca="1">IFERROR(_xlfn.XLOOKUP(S62,Calc!H$3:H$56,Calc!G$3:G$56),"")</f>
        <v/>
      </c>
      <c r="X62" s="87" t="str">
        <f t="shared" si="3"/>
        <v/>
      </c>
      <c r="Y62" t="str">
        <f t="shared" ca="1" si="4"/>
        <v/>
      </c>
    </row>
    <row r="63" spans="2:25">
      <c r="B63" s="290" t="s">
        <v>1254</v>
      </c>
      <c r="C63" s="290" t="s">
        <v>1255</v>
      </c>
      <c r="D63" s="294">
        <v>425</v>
      </c>
      <c r="E63" s="290" t="s">
        <v>1132</v>
      </c>
      <c r="F63" s="290" t="s">
        <v>1132</v>
      </c>
      <c r="G63" s="290" t="s">
        <v>1133</v>
      </c>
      <c r="H63" s="290" t="s">
        <v>1133</v>
      </c>
      <c r="I63" s="291">
        <v>39.830847058823529</v>
      </c>
      <c r="J63" s="290" t="s">
        <v>1698</v>
      </c>
      <c r="K63" s="291">
        <v>0.33989999999999998</v>
      </c>
      <c r="L63" s="290" t="s">
        <v>1698</v>
      </c>
      <c r="M63" s="291">
        <v>144.46</v>
      </c>
      <c r="N63" s="291">
        <v>0</v>
      </c>
      <c r="O63" s="293">
        <v>-0.99146626528301152</v>
      </c>
      <c r="P63" s="291">
        <v>-16783.650000000001</v>
      </c>
      <c r="Q63" s="291">
        <v>144.46</v>
      </c>
      <c r="R63" s="293">
        <v>4.121897009195928E-6</v>
      </c>
      <c r="S63" t="s">
        <v>40</v>
      </c>
      <c r="T63" s="290" t="s">
        <v>1249</v>
      </c>
      <c r="V63" s="295" t="str">
        <f ca="1">IFERROR(IF(D60=_xlfn.XLOOKUP(S63,Calc!H$3:H$56,Calc!G$3:G$56),"","Stock "&amp;TEXT(_xlfn.XLOOKUP(S63,Calc!H$3:H$56,Calc!G$3:G$56),"#,#0")),"!")</f>
        <v>Stock 16,000</v>
      </c>
      <c r="W63" s="87">
        <f ca="1">IFERROR(_xlfn.XLOOKUP(S63,Calc!H$3:H$56,Calc!G$3:G$56),"")</f>
        <v>16000</v>
      </c>
      <c r="X63" s="87">
        <f t="shared" si="3"/>
        <v>16000</v>
      </c>
      <c r="Y63" t="str">
        <f t="shared" ca="1" si="4"/>
        <v/>
      </c>
    </row>
    <row r="64" spans="2:25">
      <c r="B64" s="290" t="s">
        <v>1256</v>
      </c>
      <c r="C64" s="290" t="s">
        <v>1257</v>
      </c>
      <c r="D64" s="294">
        <v>1</v>
      </c>
      <c r="E64" s="290" t="s">
        <v>1132</v>
      </c>
      <c r="F64" s="290" t="s">
        <v>1132</v>
      </c>
      <c r="G64" s="290" t="s">
        <v>1133</v>
      </c>
      <c r="H64" s="290" t="s">
        <v>1133</v>
      </c>
      <c r="I64" s="291">
        <v>326.54000000000002</v>
      </c>
      <c r="J64" s="290" t="s">
        <v>1698</v>
      </c>
      <c r="K64" s="291">
        <v>448.98</v>
      </c>
      <c r="L64" s="290" t="s">
        <v>1698</v>
      </c>
      <c r="M64" s="291">
        <v>448.98</v>
      </c>
      <c r="N64" s="291">
        <v>0</v>
      </c>
      <c r="O64" s="293">
        <v>0.37496171985055432</v>
      </c>
      <c r="P64" s="291">
        <v>122.44</v>
      </c>
      <c r="Q64" s="291">
        <v>448.98</v>
      </c>
      <c r="R64" s="293">
        <v>1.281080796891034E-5</v>
      </c>
      <c r="S64" t="s">
        <v>43</v>
      </c>
      <c r="T64" s="290" t="s">
        <v>1252</v>
      </c>
      <c r="V64" s="295" t="str">
        <f ca="1">IFERROR(IF(D61=_xlfn.XLOOKUP(S64,Calc!H$3:H$56,Calc!G$3:G$56),"","Stock "&amp;TEXT(_xlfn.XLOOKUP(S64,Calc!H$3:H$56,Calc!G$3:G$56),"#,#0")),"!")</f>
        <v>Stock 4,800</v>
      </c>
      <c r="W64" s="87">
        <f ca="1">IFERROR(_xlfn.XLOOKUP(S64,Calc!H$3:H$56,Calc!G$3:G$56),"")</f>
        <v>4800</v>
      </c>
      <c r="X64" s="87">
        <f t="shared" si="3"/>
        <v>4800</v>
      </c>
      <c r="Y64" t="str">
        <f t="shared" ca="1" si="4"/>
        <v/>
      </c>
    </row>
    <row r="65" spans="2:26">
      <c r="B65" s="290" t="s">
        <v>1258</v>
      </c>
      <c r="C65" s="290" t="s">
        <v>1259</v>
      </c>
      <c r="D65" s="294">
        <v>715</v>
      </c>
      <c r="E65" s="290" t="s">
        <v>1132</v>
      </c>
      <c r="F65" s="290" t="s">
        <v>1132</v>
      </c>
      <c r="G65" s="290" t="s">
        <v>1133</v>
      </c>
      <c r="H65" s="290" t="s">
        <v>1133</v>
      </c>
      <c r="I65" s="291">
        <v>10.20979020979021</v>
      </c>
      <c r="J65" s="290" t="s">
        <v>1698</v>
      </c>
      <c r="K65" s="291">
        <v>1E-4</v>
      </c>
      <c r="L65" s="290" t="s">
        <v>1698</v>
      </c>
      <c r="M65" s="291">
        <v>7.0000000000000007E-2</v>
      </c>
      <c r="N65" s="291">
        <v>0</v>
      </c>
      <c r="O65" s="293">
        <v>-0.99999041095890406</v>
      </c>
      <c r="P65" s="291">
        <v>-7299.93</v>
      </c>
      <c r="Q65" s="291">
        <v>7.0000000000000007E-2</v>
      </c>
      <c r="R65" s="293">
        <v>1.9973196084986502E-9</v>
      </c>
      <c r="T65" s="290" t="s">
        <v>1254</v>
      </c>
      <c r="V65" s="295" t="str">
        <f ca="1">IFERROR(IF(D62=_xlfn.XLOOKUP(S65,Calc!H$3:H$56,Calc!G$3:G$56),"","Stock "&amp;TEXT(_xlfn.XLOOKUP(S65,Calc!H$3:H$56,Calc!G$3:G$56),"#,#0")),"!")</f>
        <v>!</v>
      </c>
      <c r="W65" s="87" t="str">
        <f ca="1">IFERROR(_xlfn.XLOOKUP(S65,Calc!H$3:H$56,Calc!G$3:G$56),"")</f>
        <v/>
      </c>
      <c r="X65" s="87">
        <f t="shared" si="3"/>
        <v>425</v>
      </c>
      <c r="Y65" t="str">
        <f t="shared" ca="1" si="4"/>
        <v/>
      </c>
    </row>
    <row r="66" spans="2:26">
      <c r="B66" s="290" t="s">
        <v>1260</v>
      </c>
      <c r="C66" s="290" t="s">
        <v>1261</v>
      </c>
      <c r="D66" s="294">
        <v>1000</v>
      </c>
      <c r="E66" s="290" t="s">
        <v>1132</v>
      </c>
      <c r="F66" s="290" t="s">
        <v>1132</v>
      </c>
      <c r="G66" s="290" t="s">
        <v>1133</v>
      </c>
      <c r="H66" s="290" t="s">
        <v>1133</v>
      </c>
      <c r="I66" s="291">
        <v>114.54101</v>
      </c>
      <c r="J66" s="290" t="s">
        <v>1698</v>
      </c>
      <c r="K66" s="291">
        <v>113.03</v>
      </c>
      <c r="L66" s="290" t="s">
        <v>1698</v>
      </c>
      <c r="M66" s="291">
        <v>113030</v>
      </c>
      <c r="N66" s="291">
        <v>0</v>
      </c>
      <c r="O66" s="293">
        <v>-1.3191869008314141E-2</v>
      </c>
      <c r="P66" s="291">
        <v>-1511.01</v>
      </c>
      <c r="Q66" s="291">
        <v>113030</v>
      </c>
      <c r="R66" s="293">
        <v>3.2251005049800342E-3</v>
      </c>
      <c r="S66" t="s">
        <v>36</v>
      </c>
      <c r="T66" s="290" t="s">
        <v>1256</v>
      </c>
      <c r="V66" s="295" t="str">
        <f ca="1">IFERROR(IF(D63=_xlfn.XLOOKUP(S66,Calc!H$3:H$56,Calc!G$3:G$56),"","Stock "&amp;TEXT(_xlfn.XLOOKUP(S66,Calc!H$3:H$56,Calc!G$3:G$56),"#,#0")),"!")</f>
        <v>Stock 1</v>
      </c>
      <c r="W66" s="87">
        <f ca="1">IFERROR(_xlfn.XLOOKUP(S66,Calc!H$3:H$56,Calc!G$3:G$56),"")</f>
        <v>1</v>
      </c>
      <c r="X66" s="87">
        <f t="shared" si="3"/>
        <v>1</v>
      </c>
      <c r="Y66" t="str">
        <f t="shared" ca="1" si="4"/>
        <v/>
      </c>
    </row>
    <row r="67" spans="2:26">
      <c r="B67" s="290" t="s">
        <v>1262</v>
      </c>
      <c r="C67" s="290" t="s">
        <v>1263</v>
      </c>
      <c r="D67" s="294">
        <v>3000</v>
      </c>
      <c r="E67" s="290" t="s">
        <v>1135</v>
      </c>
      <c r="F67" s="290" t="s">
        <v>1135</v>
      </c>
      <c r="G67" s="290" t="s">
        <v>1133</v>
      </c>
      <c r="H67" s="290" t="s">
        <v>1133</v>
      </c>
      <c r="I67" s="291">
        <v>47.484806666666664</v>
      </c>
      <c r="J67" s="567">
        <v>1.0868</v>
      </c>
      <c r="K67" s="291">
        <v>30.95</v>
      </c>
      <c r="L67" s="567">
        <v>1.1614</v>
      </c>
      <c r="M67" s="291">
        <v>92850</v>
      </c>
      <c r="N67" s="291">
        <v>0</v>
      </c>
      <c r="O67" s="293">
        <v>-0.30345510844552348</v>
      </c>
      <c r="P67" s="291">
        <v>-46979.7</v>
      </c>
      <c r="Q67" s="291">
        <v>107836.28</v>
      </c>
      <c r="R67" s="293">
        <v>3.0769073793078684E-3</v>
      </c>
      <c r="T67" s="290" t="s">
        <v>1258</v>
      </c>
      <c r="V67" s="295" t="str">
        <f ca="1">IFERROR(IF(D64=_xlfn.XLOOKUP(S67,Calc!H$3:H$56,Calc!G$3:G$56),"","Stock "&amp;TEXT(_xlfn.XLOOKUP(S67,Calc!H$3:H$56,Calc!G$3:G$56),"#,#0")),"!")</f>
        <v>!</v>
      </c>
      <c r="W67" s="87" t="str">
        <f ca="1">IFERROR(_xlfn.XLOOKUP(S67,Calc!H$3:H$56,Calc!G$3:G$56),"")</f>
        <v/>
      </c>
      <c r="X67" s="87">
        <f t="shared" si="3"/>
        <v>715</v>
      </c>
      <c r="Y67" t="str">
        <f t="shared" ca="1" si="4"/>
        <v/>
      </c>
    </row>
    <row r="68" spans="2:26">
      <c r="B68" s="290" t="s">
        <v>1264</v>
      </c>
      <c r="C68" s="290" t="s">
        <v>2238</v>
      </c>
      <c r="D68" s="294">
        <v>7235</v>
      </c>
      <c r="E68" s="290" t="s">
        <v>1132</v>
      </c>
      <c r="F68" s="290" t="s">
        <v>1132</v>
      </c>
      <c r="G68" s="290" t="s">
        <v>1133</v>
      </c>
      <c r="H68" s="290" t="s">
        <v>1133</v>
      </c>
      <c r="I68" s="291">
        <v>9.3022031789910162</v>
      </c>
      <c r="J68" s="290" t="s">
        <v>1698</v>
      </c>
      <c r="K68" s="291">
        <v>5.8</v>
      </c>
      <c r="L68" s="290" t="s">
        <v>1698</v>
      </c>
      <c r="M68" s="291">
        <v>41963</v>
      </c>
      <c r="N68" s="291">
        <v>0</v>
      </c>
      <c r="O68" s="293">
        <v>-0.37649179571789254</v>
      </c>
      <c r="P68" s="291">
        <v>-25338.44</v>
      </c>
      <c r="Q68" s="291">
        <v>41963</v>
      </c>
      <c r="R68" s="293">
        <v>1.1973360390204121E-3</v>
      </c>
      <c r="S68" t="s">
        <v>12</v>
      </c>
      <c r="T68" s="290" t="s">
        <v>1260</v>
      </c>
      <c r="V68" s="295" t="str">
        <f ca="1">IFERROR(IF(D65=_xlfn.XLOOKUP(S68,Calc!H$3:H$56,Calc!G$3:G$56),"","Stock "&amp;TEXT(_xlfn.XLOOKUP(S68,Calc!H$3:H$56,Calc!G$3:G$56),"#,#0")),"!")</f>
        <v>Stock 1,000</v>
      </c>
      <c r="W68" s="87">
        <f ca="1">IFERROR(_xlfn.XLOOKUP(S68,Calc!H$3:H$56,Calc!G$3:G$56),"")</f>
        <v>1000</v>
      </c>
      <c r="X68" s="87">
        <f t="shared" si="3"/>
        <v>1000</v>
      </c>
      <c r="Y68" t="str">
        <f t="shared" ca="1" si="4"/>
        <v/>
      </c>
    </row>
    <row r="69" spans="2:26">
      <c r="B69" s="290" t="s">
        <v>1265</v>
      </c>
      <c r="C69" s="290" t="s">
        <v>1266</v>
      </c>
      <c r="D69" s="294">
        <v>5000</v>
      </c>
      <c r="E69" s="290" t="s">
        <v>1132</v>
      </c>
      <c r="F69" s="290" t="s">
        <v>1132</v>
      </c>
      <c r="G69" s="290" t="s">
        <v>1133</v>
      </c>
      <c r="H69" s="290" t="s">
        <v>1133</v>
      </c>
      <c r="I69" s="291">
        <v>11.212911999999999</v>
      </c>
      <c r="J69" s="290" t="s">
        <v>1698</v>
      </c>
      <c r="K69" s="291">
        <v>10.31</v>
      </c>
      <c r="L69" s="290" t="s">
        <v>1698</v>
      </c>
      <c r="M69" s="291">
        <v>51550</v>
      </c>
      <c r="N69" s="291">
        <v>0</v>
      </c>
      <c r="O69" s="293">
        <v>-8.0524309831380106E-2</v>
      </c>
      <c r="P69" s="291">
        <v>-4514.5600000000004</v>
      </c>
      <c r="Q69" s="291">
        <v>51550</v>
      </c>
      <c r="R69" s="293">
        <v>1.4708832259729342E-3</v>
      </c>
      <c r="S69" t="s">
        <v>44</v>
      </c>
      <c r="T69" s="290" t="s">
        <v>1262</v>
      </c>
      <c r="V69" s="295" t="str">
        <f ca="1">IFERROR(IF(D66=_xlfn.XLOOKUP(S69,Calc!H$3:H$56,Calc!G$3:G$56),"","Stock "&amp;TEXT(_xlfn.XLOOKUP(S69,Calc!H$3:H$56,Calc!G$3:G$56),"#,#0")),"!")</f>
        <v>Stock 3,000</v>
      </c>
      <c r="W69" s="87">
        <f ca="1">IFERROR(_xlfn.XLOOKUP(S69,Calc!H$3:H$56,Calc!G$3:G$56),"")</f>
        <v>3000</v>
      </c>
      <c r="X69" s="87">
        <f t="shared" si="3"/>
        <v>3000</v>
      </c>
      <c r="Y69" t="str">
        <f t="shared" ca="1" si="4"/>
        <v/>
      </c>
    </row>
    <row r="70" spans="2:26">
      <c r="B70" s="290" t="s">
        <v>1267</v>
      </c>
      <c r="C70" s="290" t="s">
        <v>1268</v>
      </c>
      <c r="D70" s="294">
        <v>1500</v>
      </c>
      <c r="E70" s="290" t="s">
        <v>1269</v>
      </c>
      <c r="F70" s="290" t="s">
        <v>1132</v>
      </c>
      <c r="G70" s="290" t="s">
        <v>1133</v>
      </c>
      <c r="H70" s="290" t="s">
        <v>1133</v>
      </c>
      <c r="I70" s="291">
        <v>24.736013333333332</v>
      </c>
      <c r="J70" s="290" t="s">
        <v>1698</v>
      </c>
      <c r="K70" s="291">
        <v>27.41</v>
      </c>
      <c r="L70" s="290" t="s">
        <v>1698</v>
      </c>
      <c r="M70" s="291">
        <v>41115</v>
      </c>
      <c r="N70" s="291">
        <v>0</v>
      </c>
      <c r="O70" s="293">
        <v>0.10810095509866587</v>
      </c>
      <c r="P70" s="291">
        <v>4010.98</v>
      </c>
      <c r="Q70" s="291">
        <v>41115</v>
      </c>
      <c r="R70" s="293">
        <v>1.1731399386203142E-3</v>
      </c>
      <c r="S70" t="s">
        <v>45</v>
      </c>
      <c r="T70" s="290" t="s">
        <v>1264</v>
      </c>
      <c r="V70" s="295" t="str">
        <f ca="1">IFERROR(IF(D67=_xlfn.XLOOKUP(S70,Calc!H$3:H$56,Calc!G$3:G$56),"","Stock "&amp;TEXT(_xlfn.XLOOKUP(S70,Calc!H$3:H$56,Calc!G$3:G$56),"#,#0")),"!")</f>
        <v>Stock 7,235</v>
      </c>
      <c r="W70" s="87">
        <f ca="1">IFERROR(_xlfn.XLOOKUP(S70,Calc!H$3:H$56,Calc!G$3:G$56),"")</f>
        <v>7235</v>
      </c>
      <c r="X70" s="87">
        <f t="shared" si="3"/>
        <v>7235</v>
      </c>
      <c r="Y70" t="str">
        <f t="shared" ca="1" si="4"/>
        <v/>
      </c>
    </row>
    <row r="71" spans="2:26">
      <c r="B71" s="290" t="s">
        <v>1270</v>
      </c>
      <c r="C71" s="290" t="s">
        <v>1271</v>
      </c>
      <c r="D71" s="294">
        <v>16000</v>
      </c>
      <c r="E71" s="290" t="s">
        <v>1134</v>
      </c>
      <c r="F71" s="290" t="s">
        <v>1134</v>
      </c>
      <c r="G71" s="290" t="s">
        <v>1133</v>
      </c>
      <c r="H71" s="290" t="s">
        <v>1133</v>
      </c>
      <c r="I71" s="291">
        <v>59.958618749999999</v>
      </c>
      <c r="J71" s="567">
        <v>0.79949999999999999</v>
      </c>
      <c r="K71" s="291">
        <v>61.1</v>
      </c>
      <c r="L71" s="567">
        <v>0.7954</v>
      </c>
      <c r="M71" s="291">
        <v>977600</v>
      </c>
      <c r="N71" s="291">
        <v>0</v>
      </c>
      <c r="O71" s="293">
        <v>2.4301812268451892E-2</v>
      </c>
      <c r="P71" s="291">
        <v>29159.919999999998</v>
      </c>
      <c r="Q71" s="291">
        <v>1229067.1399999999</v>
      </c>
      <c r="R71" s="293">
        <v>3.506914141261936E-2</v>
      </c>
      <c r="S71" t="s">
        <v>49</v>
      </c>
      <c r="T71" s="290" t="s">
        <v>1265</v>
      </c>
      <c r="V71" s="295" t="str">
        <f ca="1">IFERROR(IF(D68=_xlfn.XLOOKUP(S71,Calc!H$3:H$56,Calc!G$3:G$56),"","Stock "&amp;TEXT(_xlfn.XLOOKUP(S71,Calc!H$3:H$56,Calc!G$3:G$56),"#,#0")),"!")</f>
        <v>Stock 5,000</v>
      </c>
      <c r="W71" s="87">
        <f ca="1">IFERROR(_xlfn.XLOOKUP(S71,Calc!H$3:H$56,Calc!G$3:G$56),"")</f>
        <v>5000</v>
      </c>
      <c r="X71" s="87">
        <f t="shared" si="3"/>
        <v>5000</v>
      </c>
      <c r="Y71" t="str">
        <f t="shared" ca="1" si="4"/>
        <v/>
      </c>
    </row>
    <row r="72" spans="2:26">
      <c r="B72" s="290" t="s">
        <v>1272</v>
      </c>
      <c r="C72" s="290" t="s">
        <v>1273</v>
      </c>
      <c r="D72" s="294">
        <v>10000</v>
      </c>
      <c r="E72" s="290" t="s">
        <v>1132</v>
      </c>
      <c r="F72" s="290" t="s">
        <v>1132</v>
      </c>
      <c r="G72" s="290" t="s">
        <v>1133</v>
      </c>
      <c r="H72" s="290" t="s">
        <v>1133</v>
      </c>
      <c r="I72" s="291">
        <v>8.2811760000000003</v>
      </c>
      <c r="J72" s="290" t="s">
        <v>1698</v>
      </c>
      <c r="K72" s="291">
        <v>6.61</v>
      </c>
      <c r="L72" s="290" t="s">
        <v>1698</v>
      </c>
      <c r="M72" s="291">
        <v>66100</v>
      </c>
      <c r="N72" s="291">
        <v>0</v>
      </c>
      <c r="O72" s="293">
        <v>-0.2018041881974251</v>
      </c>
      <c r="P72" s="291">
        <v>-16711.759999999998</v>
      </c>
      <c r="Q72" s="291">
        <v>66100</v>
      </c>
      <c r="R72" s="293">
        <v>1.8860403731680109E-3</v>
      </c>
      <c r="S72" t="s">
        <v>47</v>
      </c>
      <c r="T72" s="290" t="s">
        <v>1267</v>
      </c>
      <c r="V72" s="295" t="str">
        <f ca="1">IFERROR(IF(D69=_xlfn.XLOOKUP(S72,Calc!H$3:H$56,Calc!G$3:G$56),"","Stock "&amp;TEXT(_xlfn.XLOOKUP(S72,Calc!H$3:H$56,Calc!G$3:G$56),"#,#0")),"!")</f>
        <v>Stock 1,500</v>
      </c>
      <c r="W72" s="87">
        <f ca="1">IFERROR(_xlfn.XLOOKUP(S72,Calc!H$3:H$56,Calc!G$3:G$56),"")</f>
        <v>1500</v>
      </c>
      <c r="X72" s="87">
        <f t="shared" si="3"/>
        <v>1500</v>
      </c>
      <c r="Y72" t="str">
        <f t="shared" ca="1" si="4"/>
        <v/>
      </c>
    </row>
    <row r="73" spans="2:26">
      <c r="B73" s="290" t="s">
        <v>1272</v>
      </c>
      <c r="C73" s="290" t="s">
        <v>1273</v>
      </c>
      <c r="D73" s="294">
        <v>10000</v>
      </c>
      <c r="E73" s="290" t="s">
        <v>1132</v>
      </c>
      <c r="F73" s="290" t="s">
        <v>1132</v>
      </c>
      <c r="G73" s="290" t="s">
        <v>1133</v>
      </c>
      <c r="H73" s="290" t="s">
        <v>1133</v>
      </c>
      <c r="I73" s="291">
        <v>8.2811760000000003</v>
      </c>
      <c r="J73" s="290" t="s">
        <v>1698</v>
      </c>
      <c r="K73" s="291">
        <v>6.61</v>
      </c>
      <c r="L73" s="290" t="s">
        <v>1698</v>
      </c>
      <c r="M73" s="291">
        <v>66100</v>
      </c>
      <c r="N73" s="291">
        <v>0</v>
      </c>
      <c r="O73" s="293">
        <v>-0.2018041881974251</v>
      </c>
      <c r="P73" s="291">
        <v>-16711.759999999998</v>
      </c>
      <c r="Q73" s="291">
        <v>66100</v>
      </c>
      <c r="R73" s="293">
        <v>1.9069191711946645E-3</v>
      </c>
      <c r="S73" t="s">
        <v>48</v>
      </c>
      <c r="T73" s="290" t="s">
        <v>1270</v>
      </c>
      <c r="V73" s="295" t="str">
        <f ca="1">IFERROR(IF(D70=_xlfn.XLOOKUP(S73,Calc!H$3:H$56,Calc!G$3:G$56),"","Stock "&amp;TEXT(_xlfn.XLOOKUP(S73,Calc!H$3:H$56,Calc!G$3:G$56),"#,#0")),"!")</f>
        <v>Stock 16,000</v>
      </c>
      <c r="W73" s="87">
        <f ca="1">IFERROR(_xlfn.XLOOKUP(S73,Calc!H$3:H$56,Calc!G$3:G$56),"")</f>
        <v>16000</v>
      </c>
      <c r="X73" s="87">
        <f>_xlfn.XLOOKUP(T73,B$9:B$75,D$9:D$75,"")</f>
        <v>16000</v>
      </c>
      <c r="Y73" t="str">
        <f ca="1">IF(OR(W73=X73,W73=""),"","ERROR")</f>
        <v/>
      </c>
    </row>
    <row r="74" spans="2:26">
      <c r="B74" s="290"/>
      <c r="C74" s="290"/>
      <c r="D74" s="294"/>
      <c r="E74" s="290"/>
      <c r="F74" s="290"/>
      <c r="G74" s="292"/>
      <c r="H74" s="291"/>
      <c r="I74" s="290"/>
      <c r="J74" s="291"/>
      <c r="K74" s="290"/>
      <c r="L74" s="291"/>
      <c r="M74" s="291"/>
      <c r="N74" s="293"/>
      <c r="O74" s="291"/>
      <c r="P74" s="291"/>
      <c r="Q74" s="293"/>
      <c r="S74" t="s">
        <v>50</v>
      </c>
      <c r="T74" s="290" t="s">
        <v>2384</v>
      </c>
      <c r="V74" s="295" t="str">
        <f ca="1">IFERROR(IF(D71=_xlfn.XLOOKUP(S74,Calc!H$3:H$56,Calc!G$3:G$56),"","Stock "&amp;TEXT(_xlfn.XLOOKUP(S74,Calc!H$3:H$56,Calc!G$3:G$56),"#,#0")),"!")</f>
        <v>Stock 3,000</v>
      </c>
      <c r="W74" s="87">
        <f ca="1">IFERROR(_xlfn.XLOOKUP(S74,Calc!H$3:H$56,Calc!G$3:G$56),"")</f>
        <v>3000</v>
      </c>
      <c r="X74" s="87" t="str">
        <f t="shared" si="3"/>
        <v/>
      </c>
      <c r="Y74" s="166" t="str">
        <f t="shared" ca="1" si="4"/>
        <v>ERROR</v>
      </c>
    </row>
    <row r="75" spans="2:26">
      <c r="B75" s="290"/>
      <c r="C75" s="290"/>
      <c r="D75" s="294"/>
      <c r="E75" s="290"/>
      <c r="F75" s="290"/>
      <c r="G75" s="292"/>
      <c r="H75" s="291"/>
      <c r="I75" s="290"/>
      <c r="J75" s="291"/>
      <c r="K75" s="290"/>
      <c r="L75" s="291"/>
      <c r="M75" s="291"/>
      <c r="N75" s="293"/>
      <c r="O75" s="291"/>
      <c r="P75" s="291"/>
      <c r="Q75" s="293"/>
      <c r="S75" t="s">
        <v>52</v>
      </c>
      <c r="T75" s="290" t="s">
        <v>1272</v>
      </c>
      <c r="V75" s="295" t="str">
        <f ca="1">IFERROR(IF(D72=_xlfn.XLOOKUP(S75,Calc!H$3:H$56,Calc!G$3:G$56),"","Stock "&amp;TEXT(_xlfn.XLOOKUP(S75,Calc!H$3:H$56,Calc!G$3:G$56),"#,#0")),"!")</f>
        <v/>
      </c>
      <c r="W75" s="87">
        <f ca="1">IFERROR(_xlfn.XLOOKUP(S75,Calc!H$3:H$56,Calc!G$3:G$56),"")</f>
        <v>10000</v>
      </c>
      <c r="X75" s="87">
        <f>_xlfn.XLOOKUP(T75,B$9:B$75,D$9:D$75,"")</f>
        <v>10000</v>
      </c>
    </row>
    <row r="76" spans="2:26">
      <c r="S76" t="s">
        <v>77</v>
      </c>
      <c r="T76" t="s">
        <v>2232</v>
      </c>
      <c r="V76" s="295" t="str">
        <f ca="1">IFERROR(IF(D73=_xlfn.XLOOKUP(S76,Calc!H$3:H$56,Calc!G$3:G$56),"","Stock "&amp;TEXT(_xlfn.XLOOKUP(S76,Calc!H$3:H$56,Calc!G$3:G$56),"#,#0")),"!")</f>
        <v>!</v>
      </c>
      <c r="W76" s="87" t="str">
        <f ca="1">IFERROR(_xlfn.XLOOKUP(S76,Calc!H$3:H$56,Calc!G$3:G$56),"")</f>
        <v/>
      </c>
      <c r="X76" s="87">
        <f>_xlfn.XLOOKUP(T76,B$9:B$75,D$9:D$75,"")</f>
        <v>30000</v>
      </c>
      <c r="Y76" s="166" t="str">
        <f t="shared" ca="1" si="4"/>
        <v/>
      </c>
      <c r="Z76" t="s">
        <v>2669</v>
      </c>
    </row>
    <row r="77" spans="2:26">
      <c r="S77" t="s">
        <v>60</v>
      </c>
      <c r="T77" s="290" t="s">
        <v>1281</v>
      </c>
      <c r="W77" s="87" t="str">
        <f ca="1">IFERROR(_xlfn.XLOOKUP(S77,Calc!H$3:H$56,Calc!G$3:G$56),"")</f>
        <v/>
      </c>
      <c r="X77" s="87">
        <f>_xlfn.XLOOKUP(T77,B$9:B$75,D$9:D$75,"")</f>
        <v>4000</v>
      </c>
      <c r="Y77" s="166" t="str">
        <f t="shared" ca="1" si="4"/>
        <v/>
      </c>
      <c r="Z77" t="s">
        <v>60</v>
      </c>
    </row>
    <row r="81" spans="2:26">
      <c r="P81" t="b">
        <f>ISNUMBER(P87)</f>
        <v>1</v>
      </c>
    </row>
    <row r="83" spans="2:26">
      <c r="B83" s="290" t="s">
        <v>2733</v>
      </c>
      <c r="C83" s="290" t="s">
        <v>1118</v>
      </c>
      <c r="D83" s="290" t="s">
        <v>1119</v>
      </c>
      <c r="E83" s="290" t="s">
        <v>1120</v>
      </c>
      <c r="F83" s="290" t="s">
        <v>1784</v>
      </c>
      <c r="G83" s="290" t="s">
        <v>1121</v>
      </c>
      <c r="H83" s="290" t="s">
        <v>1122</v>
      </c>
      <c r="I83" s="290" t="s">
        <v>1123</v>
      </c>
      <c r="J83" s="290" t="s">
        <v>1124</v>
      </c>
      <c r="K83" s="290" t="s">
        <v>1125</v>
      </c>
      <c r="L83" s="290" t="s">
        <v>1124</v>
      </c>
      <c r="M83" s="290" t="s">
        <v>1126</v>
      </c>
      <c r="N83" s="290" t="s">
        <v>1127</v>
      </c>
      <c r="O83" s="290" t="s">
        <v>1128</v>
      </c>
      <c r="P83" s="290" t="s">
        <v>1129</v>
      </c>
      <c r="Q83" s="290" t="s">
        <v>1130</v>
      </c>
      <c r="R83" s="290" t="s">
        <v>1131</v>
      </c>
      <c r="W83" t="s">
        <v>958</v>
      </c>
      <c r="X83" t="s">
        <v>1002</v>
      </c>
    </row>
    <row r="84" spans="2:26">
      <c r="B84" s="290" t="s">
        <v>1274</v>
      </c>
      <c r="C84" s="290" t="s">
        <v>1275</v>
      </c>
      <c r="D84" s="291">
        <v>3876.14</v>
      </c>
      <c r="E84" s="290" t="s">
        <v>1134</v>
      </c>
      <c r="F84" s="290" t="s">
        <v>1134</v>
      </c>
      <c r="G84" s="290" t="s">
        <v>1133</v>
      </c>
      <c r="H84" s="290" t="s">
        <v>1133</v>
      </c>
      <c r="I84" s="290" t="s">
        <v>1698</v>
      </c>
      <c r="J84" s="567">
        <v>0.95550000000000002</v>
      </c>
      <c r="K84" s="290" t="s">
        <v>1698</v>
      </c>
      <c r="L84" s="567">
        <v>0.92469999999999997</v>
      </c>
      <c r="M84" s="291">
        <v>3876.14</v>
      </c>
      <c r="N84" s="291">
        <v>0</v>
      </c>
      <c r="O84" s="290" t="s">
        <v>1698</v>
      </c>
      <c r="P84" s="290" t="s">
        <v>1698</v>
      </c>
      <c r="Q84" s="291">
        <v>4191.74</v>
      </c>
      <c r="R84" s="293">
        <v>2.3504663708173788E-3</v>
      </c>
    </row>
    <row r="85" spans="2:26">
      <c r="B85" s="290" t="s">
        <v>1276</v>
      </c>
      <c r="C85" s="290" t="s">
        <v>1277</v>
      </c>
      <c r="D85" s="291">
        <v>12091.55</v>
      </c>
      <c r="E85" s="290" t="s">
        <v>1135</v>
      </c>
      <c r="F85" s="290" t="s">
        <v>1135</v>
      </c>
      <c r="G85" s="290" t="s">
        <v>1133</v>
      </c>
      <c r="H85" s="290" t="s">
        <v>1133</v>
      </c>
      <c r="I85" s="290" t="s">
        <v>1698</v>
      </c>
      <c r="J85" s="290" t="s">
        <v>1698</v>
      </c>
      <c r="K85" s="290" t="s">
        <v>1698</v>
      </c>
      <c r="L85" s="290" t="s">
        <v>1698</v>
      </c>
      <c r="M85" s="291">
        <v>12091.55</v>
      </c>
      <c r="N85" s="291">
        <v>0</v>
      </c>
      <c r="O85" s="290" t="s">
        <v>1698</v>
      </c>
      <c r="P85" s="290" t="s">
        <v>1698</v>
      </c>
      <c r="Q85" s="291">
        <v>12091.55</v>
      </c>
      <c r="R85" s="293">
        <v>6.7801871409144832E-3</v>
      </c>
    </row>
    <row r="86" spans="2:26">
      <c r="B86" s="290" t="s">
        <v>1278</v>
      </c>
      <c r="C86" s="290" t="s">
        <v>1279</v>
      </c>
      <c r="D86" s="291">
        <v>20639.46</v>
      </c>
      <c r="E86" s="290" t="s">
        <v>1132</v>
      </c>
      <c r="F86" s="290" t="s">
        <v>1132</v>
      </c>
      <c r="G86" s="290" t="s">
        <v>1133</v>
      </c>
      <c r="H86" s="290" t="s">
        <v>1133</v>
      </c>
      <c r="I86" s="290" t="s">
        <v>1698</v>
      </c>
      <c r="J86" s="567">
        <v>1.1702999999999999</v>
      </c>
      <c r="K86" s="290" t="s">
        <v>1698</v>
      </c>
      <c r="L86" s="567">
        <v>1.1668000000000001</v>
      </c>
      <c r="M86" s="291">
        <v>20639.46</v>
      </c>
      <c r="N86" s="291">
        <v>0</v>
      </c>
      <c r="O86" s="290" t="s">
        <v>1698</v>
      </c>
      <c r="P86" s="290" t="s">
        <v>1698</v>
      </c>
      <c r="Q86" s="291">
        <v>17689.66</v>
      </c>
      <c r="R86" s="293">
        <v>9.9192580983537507E-3</v>
      </c>
      <c r="S86" s="355" t="s">
        <v>2665</v>
      </c>
      <c r="T86" s="355" t="s">
        <v>2666</v>
      </c>
    </row>
    <row r="87" spans="2:26">
      <c r="B87" s="290" t="s">
        <v>1152</v>
      </c>
      <c r="C87" s="290" t="s">
        <v>1153</v>
      </c>
      <c r="D87" s="294">
        <v>10000</v>
      </c>
      <c r="E87" s="290" t="s">
        <v>1132</v>
      </c>
      <c r="F87" s="290" t="s">
        <v>1132</v>
      </c>
      <c r="G87" s="290" t="s">
        <v>1133</v>
      </c>
      <c r="H87" s="290" t="s">
        <v>1133</v>
      </c>
      <c r="I87" s="291">
        <v>2.9287420000000002</v>
      </c>
      <c r="J87" s="568">
        <v>1.093</v>
      </c>
      <c r="K87" s="291">
        <v>3.11</v>
      </c>
      <c r="L87" s="567">
        <v>1.1668000000000001</v>
      </c>
      <c r="M87" s="291">
        <v>31100</v>
      </c>
      <c r="N87" s="291">
        <v>0</v>
      </c>
      <c r="O87" s="293">
        <v>-5.2515516372100349E-3</v>
      </c>
      <c r="P87" s="291">
        <v>-140.72</v>
      </c>
      <c r="Q87" s="291">
        <v>26655.17</v>
      </c>
      <c r="R87" s="293">
        <v>1.4946556965226914E-2</v>
      </c>
      <c r="S87" t="str">
        <f ca="1">Calc!H55</f>
        <v>MVEALDNE</v>
      </c>
      <c r="T87" s="1308" t="s">
        <v>1181</v>
      </c>
      <c r="V87" s="295"/>
      <c r="W87" s="87">
        <f ca="1">IFERROR(_xlfn.XLOOKUP(S87,Calc!H$55:H$65,Calc!G$55:G$65),"")</f>
        <v>505000</v>
      </c>
      <c r="X87" s="87">
        <f>_xlfn.XLOOKUP(T87,B$87:B$98,D$87:D$98,"")</f>
        <v>124969</v>
      </c>
      <c r="Y87" s="166" t="str">
        <f t="shared" ref="Y87:Y98" ca="1" si="5">IF(OR(W87=X87,W87=""),"","ERROR")</f>
        <v>ERROR</v>
      </c>
      <c r="Z87" t="s">
        <v>2386</v>
      </c>
    </row>
    <row r="88" spans="2:26">
      <c r="B88" s="290" t="s">
        <v>1162</v>
      </c>
      <c r="C88" s="290" t="s">
        <v>1163</v>
      </c>
      <c r="D88" s="294">
        <v>200</v>
      </c>
      <c r="E88" s="290" t="s">
        <v>1135</v>
      </c>
      <c r="F88" s="290" t="s">
        <v>1135</v>
      </c>
      <c r="G88" s="290" t="s">
        <v>1133</v>
      </c>
      <c r="H88" s="290" t="s">
        <v>1133</v>
      </c>
      <c r="I88" s="291">
        <v>670.78155000000004</v>
      </c>
      <c r="J88" s="290" t="s">
        <v>1698</v>
      </c>
      <c r="K88" s="291">
        <v>875.7</v>
      </c>
      <c r="L88" s="290" t="s">
        <v>1698</v>
      </c>
      <c r="M88" s="291">
        <v>175140</v>
      </c>
      <c r="N88" s="291">
        <v>0</v>
      </c>
      <c r="O88" s="293">
        <v>0.3054920786059187</v>
      </c>
      <c r="P88" s="291">
        <v>40983.69</v>
      </c>
      <c r="Q88" s="291">
        <v>175140</v>
      </c>
      <c r="R88" s="293">
        <v>9.8207589255286762E-2</v>
      </c>
      <c r="S88" t="str">
        <f ca="1">Calc!H56</f>
        <v>MVEDDD</v>
      </c>
      <c r="T88" s="1308" t="s">
        <v>1152</v>
      </c>
      <c r="V88" s="296"/>
      <c r="W88" s="87">
        <f ca="1">IFERROR(_xlfn.XLOOKUP(S88,Calc!H$55:H$65,Calc!G$55:G$65),"")</f>
        <v>10000</v>
      </c>
      <c r="X88" s="87">
        <f t="shared" ref="X88:X89" si="6">_xlfn.XLOOKUP(T88,B$87:B$98,D$87:D$98,"")</f>
        <v>10000</v>
      </c>
    </row>
    <row r="89" spans="2:26">
      <c r="B89" s="290" t="s">
        <v>1177</v>
      </c>
      <c r="C89" s="290" t="s">
        <v>1178</v>
      </c>
      <c r="D89" s="294">
        <v>12000</v>
      </c>
      <c r="E89" s="290" t="s">
        <v>1135</v>
      </c>
      <c r="F89" s="290" t="s">
        <v>1135</v>
      </c>
      <c r="G89" s="290" t="s">
        <v>1133</v>
      </c>
      <c r="H89" s="290" t="s">
        <v>1133</v>
      </c>
      <c r="I89" s="291">
        <v>34.517789999999998</v>
      </c>
      <c r="J89" s="290" t="s">
        <v>1698</v>
      </c>
      <c r="K89" s="291">
        <v>29.33</v>
      </c>
      <c r="L89" s="290" t="s">
        <v>1698</v>
      </c>
      <c r="M89" s="291">
        <v>351960</v>
      </c>
      <c r="N89" s="291">
        <v>0</v>
      </c>
      <c r="O89" s="293">
        <v>-0.15029322560917138</v>
      </c>
      <c r="P89" s="291">
        <v>-62253.48</v>
      </c>
      <c r="Q89" s="291">
        <v>351960</v>
      </c>
      <c r="R89" s="293">
        <v>0.19735721773604389</v>
      </c>
      <c r="S89" t="str">
        <f ca="1">Calc!H57</f>
        <v>MVEDSY</v>
      </c>
      <c r="T89" s="1308" t="s">
        <v>1177</v>
      </c>
      <c r="V89" s="295"/>
      <c r="W89" s="87">
        <f ca="1">IFERROR(_xlfn.XLOOKUP(S89,Calc!H$55:H$65,Calc!G$55:G$65),"")</f>
        <v>12000</v>
      </c>
      <c r="X89" s="87">
        <f t="shared" si="6"/>
        <v>12000</v>
      </c>
      <c r="Y89" t="str">
        <f t="shared" ca="1" si="5"/>
        <v/>
      </c>
    </row>
    <row r="90" spans="2:26">
      <c r="B90" s="290" t="s">
        <v>1181</v>
      </c>
      <c r="C90" s="290" t="s">
        <v>1182</v>
      </c>
      <c r="D90" s="294">
        <v>124969</v>
      </c>
      <c r="E90" s="290" t="s">
        <v>1135</v>
      </c>
      <c r="F90" s="290" t="s">
        <v>1135</v>
      </c>
      <c r="G90" s="290" t="s">
        <v>1133</v>
      </c>
      <c r="H90" s="290" t="s">
        <v>1133</v>
      </c>
      <c r="I90" s="291">
        <v>1.5241275036208979</v>
      </c>
      <c r="J90" s="290" t="s">
        <v>1698</v>
      </c>
      <c r="K90" s="291">
        <v>0.83</v>
      </c>
      <c r="L90" s="290" t="s">
        <v>1698</v>
      </c>
      <c r="M90" s="291">
        <v>103724.27</v>
      </c>
      <c r="N90" s="291">
        <v>0</v>
      </c>
      <c r="O90" s="293">
        <v>-0.45542613854277048</v>
      </c>
      <c r="P90" s="291">
        <v>-86744.42</v>
      </c>
      <c r="Q90" s="291">
        <v>103724.27</v>
      </c>
      <c r="R90" s="293">
        <v>5.8162101769809654E-2</v>
      </c>
      <c r="S90" t="str">
        <f ca="1">Calc!H58</f>
        <v>MVEEOAN</v>
      </c>
      <c r="T90" s="1308" t="s">
        <v>1185</v>
      </c>
      <c r="V90" s="304"/>
      <c r="W90" s="87">
        <f ca="1">IFERROR(_xlfn.XLOOKUP(S90,Calc!H$55:H$65,Calc!G$55:G$65),"")</f>
        <v>10</v>
      </c>
      <c r="X90" s="87">
        <f>_xlfn.XLOOKUP(T90,B$87:B$98,D$87:D$98,"")</f>
        <v>10</v>
      </c>
      <c r="Y90" s="81"/>
      <c r="Z90" s="81">
        <f ca="1">W90-X90</f>
        <v>0</v>
      </c>
    </row>
    <row r="91" spans="2:26">
      <c r="B91" s="290" t="s">
        <v>1185</v>
      </c>
      <c r="C91" s="290" t="s">
        <v>1186</v>
      </c>
      <c r="D91" s="294">
        <v>10</v>
      </c>
      <c r="E91" s="290" t="s">
        <v>1135</v>
      </c>
      <c r="F91" s="290" t="s">
        <v>1135</v>
      </c>
      <c r="G91" s="290" t="s">
        <v>1133</v>
      </c>
      <c r="H91" s="290" t="s">
        <v>1133</v>
      </c>
      <c r="I91" s="291">
        <v>11.071999999999999</v>
      </c>
      <c r="J91" s="290" t="s">
        <v>1698</v>
      </c>
      <c r="K91" s="291">
        <v>16.265000000000001</v>
      </c>
      <c r="L91" s="290" t="s">
        <v>1698</v>
      </c>
      <c r="M91" s="291">
        <v>162.65</v>
      </c>
      <c r="N91" s="291">
        <v>0</v>
      </c>
      <c r="O91" s="293">
        <v>0.46902095375722547</v>
      </c>
      <c r="P91" s="291">
        <v>51.93</v>
      </c>
      <c r="Q91" s="291">
        <v>162.65</v>
      </c>
      <c r="R91" s="293">
        <v>9.1203976204021862E-5</v>
      </c>
      <c r="S91" t="str">
        <f ca="1">Calc!H59</f>
        <v>MVEENI</v>
      </c>
      <c r="T91" s="1308" t="s">
        <v>1191</v>
      </c>
      <c r="V91" s="295"/>
      <c r="W91" s="87">
        <f ca="1">IFERROR(_xlfn.XLOOKUP(S91,Calc!H$55:H$65,Calc!G$55:G$65),"")</f>
        <v>36000</v>
      </c>
      <c r="X91" s="87">
        <f t="shared" ref="X91:X98" si="7">_xlfn.XLOOKUP(T91,B$87:B$98,D$87:D$98,"")</f>
        <v>36000</v>
      </c>
      <c r="Y91" t="str">
        <f t="shared" ca="1" si="5"/>
        <v/>
      </c>
    </row>
    <row r="92" spans="2:26">
      <c r="B92" s="290" t="s">
        <v>1191</v>
      </c>
      <c r="C92" s="290" t="s">
        <v>1192</v>
      </c>
      <c r="D92" s="294">
        <v>36000</v>
      </c>
      <c r="E92" s="290" t="s">
        <v>1135</v>
      </c>
      <c r="F92" s="290" t="s">
        <v>1135</v>
      </c>
      <c r="G92" s="290" t="s">
        <v>1133</v>
      </c>
      <c r="H92" s="290" t="s">
        <v>1133</v>
      </c>
      <c r="I92" s="291">
        <v>13.992592500000001</v>
      </c>
      <c r="J92" s="290" t="s">
        <v>1698</v>
      </c>
      <c r="K92" s="291">
        <v>14.843999999999999</v>
      </c>
      <c r="L92" s="290" t="s">
        <v>1698</v>
      </c>
      <c r="M92" s="291">
        <v>534384</v>
      </c>
      <c r="N92" s="291">
        <v>0</v>
      </c>
      <c r="O92" s="293">
        <v>6.0847016019368816E-2</v>
      </c>
      <c r="P92" s="291">
        <v>30650.67</v>
      </c>
      <c r="Q92" s="291">
        <v>534384</v>
      </c>
      <c r="R92" s="293">
        <v>0.29964921991890581</v>
      </c>
      <c r="S92" t="str">
        <f ca="1">Calc!H60</f>
        <v>MVEEPIX</v>
      </c>
      <c r="T92" s="1308" t="s">
        <v>1193</v>
      </c>
      <c r="V92" s="295"/>
      <c r="W92" s="87">
        <f ca="1">IFERROR(_xlfn.XLOOKUP(S92,Calc!H$55:H$65,Calc!G$55:G$65),"")</f>
        <v>12000</v>
      </c>
      <c r="X92" s="87">
        <f t="shared" si="7"/>
        <v>12000</v>
      </c>
      <c r="Y92" t="str">
        <f t="shared" ca="1" si="5"/>
        <v/>
      </c>
    </row>
    <row r="93" spans="2:26">
      <c r="B93" s="290" t="s">
        <v>1193</v>
      </c>
      <c r="C93" s="290" t="s">
        <v>1194</v>
      </c>
      <c r="D93" s="294">
        <v>12000</v>
      </c>
      <c r="E93" s="290" t="s">
        <v>1138</v>
      </c>
      <c r="F93" s="290" t="s">
        <v>1132</v>
      </c>
      <c r="G93" s="290" t="s">
        <v>1133</v>
      </c>
      <c r="H93" s="290" t="s">
        <v>1133</v>
      </c>
      <c r="I93" s="291">
        <v>2.590455</v>
      </c>
      <c r="J93" s="567">
        <v>1.0561</v>
      </c>
      <c r="K93" s="291">
        <v>0.20119999999999999</v>
      </c>
      <c r="L93" s="567">
        <v>1.1668000000000001</v>
      </c>
      <c r="M93" s="291">
        <v>2414.4</v>
      </c>
      <c r="N93" s="291">
        <v>0</v>
      </c>
      <c r="O93" s="293">
        <v>-0.92969652700510463</v>
      </c>
      <c r="P93" s="291">
        <v>-27364.92</v>
      </c>
      <c r="Q93" s="291">
        <v>2069.33</v>
      </c>
      <c r="R93" s="293">
        <v>1.1603512085967941E-3</v>
      </c>
      <c r="S93" t="str">
        <f ca="1">Calc!H61</f>
        <v>MVEGLE</v>
      </c>
      <c r="T93" s="1308" t="s">
        <v>1281</v>
      </c>
      <c r="V93" s="295"/>
      <c r="W93" s="87">
        <f ca="1">IFERROR(_xlfn.XLOOKUP(S93,Calc!H$55:H$65,Calc!G$55:G$65),"")</f>
        <v>7000</v>
      </c>
      <c r="X93" s="87">
        <f t="shared" si="7"/>
        <v>3000</v>
      </c>
      <c r="Y93" s="166" t="str">
        <f t="shared" ca="1" si="5"/>
        <v>ERROR</v>
      </c>
      <c r="Z93" t="s">
        <v>2668</v>
      </c>
    </row>
    <row r="94" spans="2:26">
      <c r="B94" s="290" t="s">
        <v>1280</v>
      </c>
      <c r="C94" s="290" t="s">
        <v>1873</v>
      </c>
      <c r="D94" s="294">
        <v>19800</v>
      </c>
      <c r="E94" s="290" t="s">
        <v>1135</v>
      </c>
      <c r="F94" s="290" t="s">
        <v>1135</v>
      </c>
      <c r="G94" s="290" t="s">
        <v>1133</v>
      </c>
      <c r="H94" s="290" t="s">
        <v>1133</v>
      </c>
      <c r="I94" s="291">
        <v>11.766015656565656</v>
      </c>
      <c r="J94" s="290" t="s">
        <v>1698</v>
      </c>
      <c r="K94" s="291">
        <v>14.335000000000001</v>
      </c>
      <c r="L94" s="290" t="s">
        <v>1698</v>
      </c>
      <c r="M94" s="291">
        <v>283833</v>
      </c>
      <c r="N94" s="291">
        <v>0</v>
      </c>
      <c r="O94" s="293">
        <v>0.21833936129439047</v>
      </c>
      <c r="P94" s="291">
        <v>50865.89</v>
      </c>
      <c r="Q94" s="291">
        <v>283833</v>
      </c>
      <c r="R94" s="293">
        <v>0.15915584493031751</v>
      </c>
      <c r="S94" t="str">
        <f ca="1">Calc!H62</f>
        <v>MVEORA</v>
      </c>
      <c r="T94" s="1308" t="s">
        <v>1280</v>
      </c>
      <c r="V94" s="295"/>
      <c r="W94" s="87">
        <f ca="1">IFERROR(_xlfn.XLOOKUP(S94,Calc!H$55:H$65,Calc!G$55:G$65),"")</f>
        <v>19800</v>
      </c>
      <c r="X94" s="87">
        <f t="shared" si="7"/>
        <v>19800</v>
      </c>
      <c r="Y94" t="str">
        <f t="shared" ca="1" si="5"/>
        <v/>
      </c>
    </row>
    <row r="95" spans="2:26">
      <c r="B95" s="290" t="s">
        <v>1242</v>
      </c>
      <c r="C95" s="290" t="s">
        <v>1243</v>
      </c>
      <c r="D95" s="294">
        <v>1</v>
      </c>
      <c r="E95" s="290" t="s">
        <v>1135</v>
      </c>
      <c r="F95" s="290" t="s">
        <v>1135</v>
      </c>
      <c r="G95" s="290" t="s">
        <v>1133</v>
      </c>
      <c r="H95" s="290" t="s">
        <v>1133</v>
      </c>
      <c r="I95" s="291">
        <v>32.06</v>
      </c>
      <c r="J95" s="290" t="s">
        <v>1698</v>
      </c>
      <c r="K95" s="291">
        <v>40.909999999999997</v>
      </c>
      <c r="L95" s="290" t="s">
        <v>1698</v>
      </c>
      <c r="M95" s="291">
        <v>40.909999999999997</v>
      </c>
      <c r="N95" s="291">
        <v>0</v>
      </c>
      <c r="O95" s="293">
        <v>0.27604491578290707</v>
      </c>
      <c r="P95" s="291">
        <v>8.85</v>
      </c>
      <c r="Q95" s="291">
        <v>40.909999999999997</v>
      </c>
      <c r="R95" s="293">
        <v>2.2939776615472084E-5</v>
      </c>
      <c r="S95" t="str">
        <f ca="1">Calc!H63</f>
        <v>MVERWE</v>
      </c>
      <c r="T95" s="1308" t="s">
        <v>1242</v>
      </c>
      <c r="V95" s="295"/>
      <c r="W95" s="87">
        <f ca="1">IFERROR(_xlfn.XLOOKUP(S95,Calc!H$55:H$65,Calc!G$55:G$65),"")</f>
        <v>1</v>
      </c>
      <c r="X95" s="87">
        <f t="shared" si="7"/>
        <v>1</v>
      </c>
      <c r="Y95" t="str">
        <f t="shared" ca="1" si="5"/>
        <v/>
      </c>
    </row>
    <row r="96" spans="2:26">
      <c r="B96" s="290" t="s">
        <v>1244</v>
      </c>
      <c r="C96" s="290" t="s">
        <v>1245</v>
      </c>
      <c r="D96" s="294">
        <v>401</v>
      </c>
      <c r="E96" s="290" t="s">
        <v>1135</v>
      </c>
      <c r="F96" s="290" t="s">
        <v>1135</v>
      </c>
      <c r="G96" s="290" t="s">
        <v>1133</v>
      </c>
      <c r="H96" s="290" t="s">
        <v>1133</v>
      </c>
      <c r="I96" s="291">
        <v>255.64900249376558</v>
      </c>
      <c r="J96" s="290" t="s">
        <v>1698</v>
      </c>
      <c r="K96" s="291">
        <v>230.95</v>
      </c>
      <c r="L96" s="290" t="s">
        <v>1698</v>
      </c>
      <c r="M96" s="291">
        <v>92610.95</v>
      </c>
      <c r="N96" s="291">
        <v>0</v>
      </c>
      <c r="O96" s="293">
        <v>-9.6612942952390007E-2</v>
      </c>
      <c r="P96" s="291">
        <v>-9904.2999999999993</v>
      </c>
      <c r="Q96" s="291">
        <v>92610.95</v>
      </c>
      <c r="R96" s="293">
        <v>5.1930445004807008E-2</v>
      </c>
      <c r="S96" t="str">
        <f ca="1">Calc!H64</f>
        <v>MVESAP</v>
      </c>
      <c r="T96" s="1308" t="s">
        <v>1244</v>
      </c>
      <c r="V96" s="295"/>
      <c r="W96" s="87">
        <f ca="1">IFERROR(_xlfn.XLOOKUP(S96,Calc!H$55:H$65,Calc!G$55:G$65),"")</f>
        <v>401</v>
      </c>
      <c r="X96" s="87">
        <f t="shared" si="7"/>
        <v>401</v>
      </c>
      <c r="Y96" t="str">
        <f t="shared" ca="1" si="5"/>
        <v/>
      </c>
    </row>
    <row r="97" spans="2:26">
      <c r="B97" s="290" t="s">
        <v>1281</v>
      </c>
      <c r="C97" s="290" t="s">
        <v>1874</v>
      </c>
      <c r="D97" s="294">
        <v>3000</v>
      </c>
      <c r="E97" s="290" t="s">
        <v>1135</v>
      </c>
      <c r="F97" s="290" t="s">
        <v>1135</v>
      </c>
      <c r="G97" s="290" t="s">
        <v>1133</v>
      </c>
      <c r="H97" s="290" t="s">
        <v>1133</v>
      </c>
      <c r="I97" s="291">
        <v>57.650709999999997</v>
      </c>
      <c r="J97" s="290" t="s">
        <v>1698</v>
      </c>
      <c r="K97" s="291">
        <v>53.64</v>
      </c>
      <c r="L97" s="290" t="s">
        <v>1698</v>
      </c>
      <c r="M97" s="291">
        <v>160920</v>
      </c>
      <c r="N97" s="291">
        <v>0</v>
      </c>
      <c r="O97" s="293">
        <v>-6.9569134534509636E-2</v>
      </c>
      <c r="P97" s="291">
        <v>-12032.13</v>
      </c>
      <c r="Q97" s="291">
        <v>160920</v>
      </c>
      <c r="R97" s="293">
        <v>9.0233900096841069E-2</v>
      </c>
      <c r="S97" t="str">
        <f ca="1">Calc!H65</f>
        <v>MVEUN0</v>
      </c>
      <c r="T97" s="1308" t="s">
        <v>1262</v>
      </c>
      <c r="U97" s="197"/>
      <c r="V97" s="635"/>
      <c r="W97" s="87">
        <f ca="1">IFERROR(_xlfn.XLOOKUP(S97,Calc!H$55:H$65,Calc!G$55:G$65),"")</f>
        <v>560</v>
      </c>
      <c r="X97" s="87">
        <f t="shared" si="7"/>
        <v>560</v>
      </c>
      <c r="Y97" t="str">
        <f t="shared" ca="1" si="5"/>
        <v/>
      </c>
    </row>
    <row r="98" spans="2:26">
      <c r="B98" s="290" t="s">
        <v>1262</v>
      </c>
      <c r="C98" s="290" t="s">
        <v>1263</v>
      </c>
      <c r="D98" s="294">
        <v>560</v>
      </c>
      <c r="E98" s="290" t="s">
        <v>1135</v>
      </c>
      <c r="F98" s="290" t="s">
        <v>1135</v>
      </c>
      <c r="G98" s="290" t="s">
        <v>1133</v>
      </c>
      <c r="H98" s="290" t="s">
        <v>1133</v>
      </c>
      <c r="I98" s="291">
        <v>44.868321428571427</v>
      </c>
      <c r="J98" s="290" t="s">
        <v>1698</v>
      </c>
      <c r="K98" s="291">
        <v>31.95</v>
      </c>
      <c r="L98" s="290" t="s">
        <v>1698</v>
      </c>
      <c r="M98" s="291">
        <v>17892</v>
      </c>
      <c r="N98" s="291">
        <v>0</v>
      </c>
      <c r="O98" s="293">
        <v>-0.28791630748069946</v>
      </c>
      <c r="P98" s="291">
        <v>-7234.26</v>
      </c>
      <c r="Q98" s="291">
        <v>17892</v>
      </c>
      <c r="R98" s="293">
        <v>1.0032717751259513E-2</v>
      </c>
      <c r="S98" t="s">
        <v>32</v>
      </c>
      <c r="T98" s="1308" t="s">
        <v>1162</v>
      </c>
      <c r="U98" s="197"/>
      <c r="V98" s="635"/>
      <c r="W98" s="87" t="str">
        <f ca="1">IFERROR(_xlfn.XLOOKUP(S98,Calc!H$55:H$65,Calc!G$55:G$65),"")</f>
        <v/>
      </c>
      <c r="X98" s="87">
        <f t="shared" si="7"/>
        <v>200</v>
      </c>
      <c r="Y98" s="166" t="str">
        <f t="shared" ca="1" si="5"/>
        <v/>
      </c>
      <c r="Z98" t="s">
        <v>2667</v>
      </c>
    </row>
    <row r="99" spans="2:26">
      <c r="G99" t="s">
        <v>2136</v>
      </c>
      <c r="H99" s="87">
        <f>SUM(H87:H98)</f>
        <v>0</v>
      </c>
      <c r="I99" s="291"/>
      <c r="P99" t="s">
        <v>2135</v>
      </c>
      <c r="Q99" s="82">
        <f>SUM(Q87:Q98)</f>
        <v>1749392.2799999998</v>
      </c>
      <c r="R99" s="82">
        <v>1602981.61</v>
      </c>
      <c r="W99" s="87"/>
      <c r="X99" s="87"/>
    </row>
    <row r="100" spans="2:26">
      <c r="P100" t="s">
        <v>1087</v>
      </c>
      <c r="Q100" s="82">
        <f>SUM(Q84:Q98)</f>
        <v>1783365.23</v>
      </c>
      <c r="R100" s="82">
        <v>1752669.7900000003</v>
      </c>
    </row>
    <row r="101" spans="2:26">
      <c r="P101" t="s">
        <v>1005</v>
      </c>
      <c r="Q101" s="93">
        <f>SUMIF(P87:P98,"&gt;=0",P87:P98)</f>
        <v>122561.03000000001</v>
      </c>
      <c r="R101" s="93">
        <v>77366.640000000014</v>
      </c>
    </row>
    <row r="102" spans="2:26">
      <c r="P102" t="s">
        <v>2280</v>
      </c>
      <c r="Q102" s="93">
        <f>SUMIF(P87:P98,"&lt;0",P87:P98)</f>
        <v>-205674.22999999998</v>
      </c>
      <c r="R102" s="93">
        <v>-183783.58000000005</v>
      </c>
    </row>
    <row r="103" spans="2:26">
      <c r="R103" s="870">
        <v>45883</v>
      </c>
    </row>
  </sheetData>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0445D8-C29D-BF4E-9E77-BF24544ECB03}">
  <sheetPr codeName="Sheet2"/>
  <dimension ref="A1:AG62"/>
  <sheetViews>
    <sheetView topLeftCell="G1" workbookViewId="0">
      <selection activeCell="F40" sqref="F40"/>
    </sheetView>
  </sheetViews>
  <sheetFormatPr baseColWidth="10" defaultRowHeight="22"/>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0.87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6:33" ht="48" thickBot="1">
      <c r="F1" t="str">
        <f>[0]!ChaRSITicker&amp;" (All Trades Info)"</f>
        <v>NFLX (All Trades Info)</v>
      </c>
      <c r="M1" t="str">
        <f>[0]!ChaRSITicker&amp;" (Last Trades Zoom)"</f>
        <v>NFLX (Last Trades Zoom)</v>
      </c>
      <c r="R1" s="321" t="str">
        <f>IDTICKER</f>
        <v>NFLX</v>
      </c>
      <c r="S1" s="321"/>
      <c r="V1" s="411"/>
      <c r="Z1" t="str">
        <f>[0]!ChaRSITicker&amp;" (2 Week Movement RSI:Agio)"</f>
        <v>NFLX (2 Week Movement RSI:Agio)</v>
      </c>
      <c r="AG1" t="str">
        <f ca="1">A51&amp;" "&amp;TRUNC(B51,2)</f>
        <v>Effective Cost/Share 51</v>
      </c>
    </row>
    <row r="31" spans="1:28">
      <c r="A31" s="197" t="s">
        <v>1667</v>
      </c>
      <c r="B31" s="197"/>
      <c r="C31" s="197"/>
      <c r="D31" s="197" t="s">
        <v>1395</v>
      </c>
      <c r="E31" s="197" t="s">
        <v>547</v>
      </c>
      <c r="F31" s="197"/>
      <c r="G31" s="197"/>
      <c r="H31" s="197"/>
      <c r="I31" s="197"/>
      <c r="J31" s="197"/>
      <c r="K31" s="197"/>
      <c r="L31" s="197"/>
      <c r="M31" s="197"/>
      <c r="N31" s="197"/>
      <c r="O31" s="197"/>
      <c r="P31" s="197"/>
      <c r="Q31" s="197"/>
      <c r="R31" s="197"/>
      <c r="S31" s="197"/>
      <c r="T31" s="197"/>
      <c r="U31" s="197"/>
      <c r="V31" s="197"/>
      <c r="W31" s="197"/>
      <c r="X31" s="197"/>
      <c r="Y31" s="197"/>
      <c r="Z31" s="197"/>
    </row>
    <row r="32" spans="1:28">
      <c r="A32" s="488" t="s">
        <v>1393</v>
      </c>
      <c r="B32" s="488"/>
      <c r="C32" s="488"/>
      <c r="D32" s="488"/>
      <c r="E32" s="488"/>
      <c r="F32" s="168">
        <f ca="1">DataShift!F3</f>
        <v>45929</v>
      </c>
      <c r="G32" s="168">
        <f ca="1">DataShift!G3</f>
        <v>45930</v>
      </c>
      <c r="H32" s="168">
        <f ca="1">DataShift!H3</f>
        <v>45931</v>
      </c>
      <c r="I32" s="168">
        <f ca="1">DataShift!I3</f>
        <v>45932</v>
      </c>
      <c r="J32" s="168">
        <f ca="1">DataShift!J3</f>
        <v>45933</v>
      </c>
      <c r="K32" s="168">
        <f ca="1">DataShift!K3</f>
        <v>45936</v>
      </c>
      <c r="L32" s="168">
        <f ca="1">DataShift!L3</f>
        <v>45937</v>
      </c>
      <c r="M32" s="168">
        <f ca="1">DataShift!M3</f>
        <v>45938</v>
      </c>
      <c r="N32" s="168">
        <f ca="1">DataShift!N3</f>
        <v>45939</v>
      </c>
      <c r="O32" s="168">
        <f ca="1">DataShift!O3</f>
        <v>45940</v>
      </c>
      <c r="P32" s="168">
        <f ca="1">DataShift!P3</f>
        <v>45943</v>
      </c>
      <c r="Q32" s="168">
        <f ca="1">DataShift!Q3</f>
        <v>45944</v>
      </c>
      <c r="R32" s="168">
        <f ca="1">DataShift!R3</f>
        <v>45945</v>
      </c>
      <c r="S32" s="168">
        <f ca="1">DataShift!S3</f>
        <v>45946</v>
      </c>
      <c r="T32" s="168">
        <f ca="1">DataShift!T3</f>
        <v>45947</v>
      </c>
      <c r="U32" s="168">
        <f ca="1">DataShift!U3</f>
        <v>45950</v>
      </c>
      <c r="V32" s="168">
        <f ca="1">DataShift!V3</f>
        <v>45951</v>
      </c>
      <c r="W32" s="168">
        <f ca="1">DataShift!W3</f>
        <v>45952</v>
      </c>
      <c r="X32" s="168">
        <f ca="1">DataShift!X3</f>
        <v>45953</v>
      </c>
      <c r="Y32" s="168">
        <f ca="1">DataShift!Y3</f>
        <v>45954</v>
      </c>
      <c r="Z32" s="168">
        <f ca="1">DataShift!Z3</f>
        <v>45956</v>
      </c>
      <c r="AA32" s="62"/>
      <c r="AB32" s="62"/>
    </row>
    <row r="33" spans="1:26">
      <c r="A33" s="488" t="s">
        <v>1394</v>
      </c>
      <c r="B33" s="488"/>
      <c r="C33" s="488"/>
      <c r="D33" s="488"/>
      <c r="E33" s="488"/>
      <c r="F33" s="168">
        <f ca="1">F32</f>
        <v>45929</v>
      </c>
      <c r="G33" s="168"/>
      <c r="H33" s="168"/>
      <c r="I33" s="168"/>
      <c r="J33" s="168"/>
      <c r="K33" s="168"/>
      <c r="L33" s="168"/>
      <c r="M33" s="168"/>
      <c r="N33" s="168"/>
      <c r="O33" s="168"/>
      <c r="P33" s="168">
        <f ca="1">P32</f>
        <v>45943</v>
      </c>
      <c r="Q33" s="168"/>
      <c r="R33" s="168"/>
      <c r="S33" s="168"/>
      <c r="T33" s="168"/>
      <c r="U33" s="168"/>
      <c r="V33" s="168"/>
      <c r="W33" s="168"/>
      <c r="X33" s="168"/>
      <c r="Y33" s="168"/>
      <c r="Z33" s="168">
        <f ca="1">Z32</f>
        <v>45956</v>
      </c>
    </row>
    <row r="34" spans="1:26">
      <c r="A34" s="488"/>
      <c r="B34" s="489" t="s">
        <v>1670</v>
      </c>
      <c r="C34" s="489" t="s">
        <v>1671</v>
      </c>
      <c r="D34" s="489" t="s">
        <v>1672</v>
      </c>
      <c r="E34" s="488"/>
    </row>
    <row r="35" spans="1:26">
      <c r="A35" s="488" t="s">
        <v>662</v>
      </c>
      <c r="B35" s="490">
        <f ca="1">MIN(F35:Z35)</f>
        <v>28</v>
      </c>
      <c r="C35" s="490">
        <f ca="1">MAX(P35:Z35)</f>
        <v>56</v>
      </c>
      <c r="D35" s="488"/>
      <c r="E35" s="488"/>
      <c r="F35" s="94">
        <f ca="1">F57</f>
        <v>49</v>
      </c>
      <c r="G35" s="94">
        <f t="shared" ref="G35:Z35" ca="1" si="0">G57</f>
        <v>48</v>
      </c>
      <c r="H35" s="94">
        <f t="shared" ca="1" si="0"/>
        <v>41</v>
      </c>
      <c r="I35" s="94">
        <f t="shared" ca="1" si="0"/>
        <v>33</v>
      </c>
      <c r="J35" s="94">
        <f t="shared" ca="1" si="0"/>
        <v>31</v>
      </c>
      <c r="K35" s="94">
        <f t="shared" ca="1" si="0"/>
        <v>34</v>
      </c>
      <c r="L35" s="94">
        <f t="shared" ca="1" si="0"/>
        <v>41</v>
      </c>
      <c r="M35" s="94">
        <f t="shared" ca="1" si="0"/>
        <v>52</v>
      </c>
      <c r="N35" s="94">
        <f t="shared" ca="1" si="0"/>
        <v>58</v>
      </c>
      <c r="O35" s="94">
        <f t="shared" ca="1" si="0"/>
        <v>57</v>
      </c>
      <c r="P35" s="94">
        <f t="shared" ca="1" si="0"/>
        <v>53</v>
      </c>
      <c r="Q35" s="94">
        <f t="shared" ca="1" si="0"/>
        <v>52</v>
      </c>
      <c r="R35" s="94">
        <f t="shared" ca="1" si="0"/>
        <v>52</v>
      </c>
      <c r="S35" s="94">
        <f t="shared" ca="1" si="0"/>
        <v>51</v>
      </c>
      <c r="T35" s="94">
        <f t="shared" ca="1" si="0"/>
        <v>55</v>
      </c>
      <c r="U35" s="94">
        <f t="shared" ca="1" si="0"/>
        <v>56</v>
      </c>
      <c r="V35" s="94">
        <f t="shared" ca="1" si="0"/>
        <v>39</v>
      </c>
      <c r="W35" s="94">
        <f t="shared" ca="1" si="0"/>
        <v>30</v>
      </c>
      <c r="X35" s="94">
        <f t="shared" ca="1" si="0"/>
        <v>29</v>
      </c>
      <c r="Y35" s="94">
        <f t="shared" ca="1" si="0"/>
        <v>28</v>
      </c>
      <c r="Z35" s="94">
        <f t="shared" ca="1" si="0"/>
        <v>28</v>
      </c>
    </row>
    <row r="36" spans="1:26">
      <c r="A36" s="488" t="s">
        <v>544</v>
      </c>
      <c r="B36" s="490">
        <f ca="1">MIN(F36:Z36)</f>
        <v>1.5541500376295659E-3</v>
      </c>
      <c r="C36" s="490">
        <f ca="1">MAX(P36:Z36)</f>
        <v>1.6389004097376347</v>
      </c>
      <c r="D36" s="488"/>
      <c r="E36" s="488"/>
      <c r="F36" s="90">
        <f ca="1">F58</f>
        <v>0.67557803367489599</v>
      </c>
      <c r="G36" s="90">
        <f t="shared" ref="G36:Z36" ca="1" si="1">G58</f>
        <v>1.1183310007836755</v>
      </c>
      <c r="H36" s="90">
        <f t="shared" ca="1" si="1"/>
        <v>0.94815969694291125</v>
      </c>
      <c r="I36" s="90">
        <f t="shared" ca="1" si="1"/>
        <v>1.0146735398758842</v>
      </c>
      <c r="J36" s="90">
        <f t="shared" ca="1" si="1"/>
        <v>0.64566621491984777</v>
      </c>
      <c r="K36" s="90">
        <f t="shared" ca="1" si="1"/>
        <v>0.74442744603141142</v>
      </c>
      <c r="L36" s="90">
        <f t="shared" ca="1" si="1"/>
        <v>0.85436339304225273</v>
      </c>
      <c r="M36" s="90">
        <f t="shared" ca="1" si="1"/>
        <v>0.89063494650373998</v>
      </c>
      <c r="N36" s="90">
        <f t="shared" ca="1" si="1"/>
        <v>1.5541500376295659E-3</v>
      </c>
      <c r="O36" s="90">
        <f t="shared" ca="1" si="1"/>
        <v>0.79505362312829442</v>
      </c>
      <c r="P36" s="90">
        <f t="shared" ca="1" si="1"/>
        <v>0.73614304363528482</v>
      </c>
      <c r="Q36" s="90">
        <f t="shared" ca="1" si="1"/>
        <v>0.58182048030769118</v>
      </c>
      <c r="R36" s="90">
        <f t="shared" ca="1" si="1"/>
        <v>1.0799935463894499</v>
      </c>
      <c r="S36" s="90">
        <f t="shared" ca="1" si="1"/>
        <v>1.6389004097376347</v>
      </c>
      <c r="T36" s="90">
        <f t="shared" ca="1" si="1"/>
        <v>0.94729675777519262</v>
      </c>
      <c r="U36" s="90">
        <f t="shared" ca="1" si="1"/>
        <v>1.3575846715291022</v>
      </c>
      <c r="V36" s="90">
        <f t="shared" ca="1" si="1"/>
        <v>1.1985824101588962</v>
      </c>
      <c r="W36" s="90">
        <f t="shared" ca="1" si="1"/>
        <v>1.1985872034550706</v>
      </c>
      <c r="X36" s="90">
        <f t="shared" ca="1" si="1"/>
        <v>1.1193396111995468</v>
      </c>
      <c r="Y36" s="90">
        <f t="shared" ca="1" si="1"/>
        <v>1.626865193587236</v>
      </c>
      <c r="Z36" s="90">
        <f t="shared" ca="1" si="1"/>
        <v>1.5614994580883679</v>
      </c>
    </row>
    <row r="37" spans="1:26">
      <c r="A37" s="153" t="s">
        <v>1728</v>
      </c>
      <c r="B37" s="484">
        <v>1</v>
      </c>
      <c r="C37" s="153"/>
      <c r="D37" s="153"/>
      <c r="E37" s="153"/>
      <c r="F37" s="87">
        <f>B37</f>
        <v>1</v>
      </c>
      <c r="G37" s="87"/>
      <c r="H37" s="87"/>
      <c r="I37" s="87"/>
      <c r="J37" s="87"/>
      <c r="K37" s="87"/>
      <c r="L37" s="87"/>
      <c r="M37" s="87"/>
      <c r="N37" s="87"/>
      <c r="O37" s="87"/>
      <c r="P37" s="87">
        <f>F37</f>
        <v>1</v>
      </c>
      <c r="Q37" s="87"/>
      <c r="R37" s="87"/>
      <c r="S37" s="87"/>
      <c r="T37" s="87"/>
      <c r="U37" s="87"/>
      <c r="V37" s="87"/>
      <c r="W37" s="87"/>
      <c r="X37" s="87"/>
      <c r="Y37" s="87"/>
      <c r="Z37" s="87">
        <f>B37</f>
        <v>1</v>
      </c>
    </row>
    <row r="38" spans="1:26">
      <c r="A38" s="488" t="s">
        <v>662</v>
      </c>
      <c r="B38" s="488"/>
      <c r="C38" s="488"/>
      <c r="D38" s="488"/>
      <c r="E38" s="488"/>
      <c r="F38" s="492">
        <f ca="1">MIN(F44:F45,F50:F51)</f>
        <v>51.007316666666668</v>
      </c>
      <c r="P38">
        <f ca="1">MIN(P44:P45,P50:P51)</f>
        <v>51.007316666666668</v>
      </c>
      <c r="Z38">
        <f ca="1">MAX(Z44:Z45,Z50:Z51)</f>
        <v>1233.56</v>
      </c>
    </row>
    <row r="39" spans="1:26">
      <c r="A39" s="484"/>
      <c r="B39" s="153"/>
      <c r="C39" s="153"/>
      <c r="D39" s="153"/>
      <c r="E39" s="153"/>
      <c r="F39" s="94"/>
      <c r="P39" s="94"/>
      <c r="Z39" s="94"/>
    </row>
    <row r="40" spans="1:26">
      <c r="A40" s="153" t="s">
        <v>2091</v>
      </c>
      <c r="B40" s="484">
        <v>1.4</v>
      </c>
      <c r="C40" s="153"/>
      <c r="D40" s="153"/>
      <c r="E40" s="153"/>
      <c r="F40" s="94">
        <f ca="1">B40*MAX(C$35:C$36)</f>
        <v>78.399999999999991</v>
      </c>
      <c r="P40" s="94">
        <f t="shared" ref="P40:P41" ca="1" si="2">F40</f>
        <v>78.399999999999991</v>
      </c>
      <c r="Z40" s="94">
        <v>0</v>
      </c>
    </row>
    <row r="41" spans="1:26">
      <c r="A41" s="153" t="s">
        <v>1673</v>
      </c>
      <c r="B41" s="484">
        <v>1.3</v>
      </c>
      <c r="C41" s="153"/>
      <c r="D41" s="153"/>
      <c r="E41" s="153"/>
      <c r="F41" s="94">
        <f t="shared" ref="F41" ca="1" si="3">B41*MAX(C$35:C$36)</f>
        <v>72.8</v>
      </c>
      <c r="P41" s="94">
        <f t="shared" ca="1" si="2"/>
        <v>72.8</v>
      </c>
      <c r="Z41" s="94">
        <f t="shared" ref="Z41:Z43" ca="1" si="4">0.9*P41</f>
        <v>65.52</v>
      </c>
    </row>
    <row r="42" spans="1:26">
      <c r="A42" s="153" t="s">
        <v>1674</v>
      </c>
      <c r="B42" s="484">
        <v>1.2</v>
      </c>
      <c r="C42" s="153"/>
      <c r="D42" s="153"/>
      <c r="E42" s="153"/>
      <c r="F42" s="94">
        <f t="shared" ref="F42:F43" ca="1" si="5">B42*MAX(C$35:C$36)</f>
        <v>67.2</v>
      </c>
      <c r="P42" s="94">
        <f t="shared" ref="P42:P43" ca="1" si="6">F42</f>
        <v>67.2</v>
      </c>
      <c r="Z42" s="94">
        <f t="shared" ca="1" si="4"/>
        <v>60.480000000000004</v>
      </c>
    </row>
    <row r="43" spans="1:26">
      <c r="A43" s="153" t="s">
        <v>1675</v>
      </c>
      <c r="B43" s="484">
        <v>1.1000000000000001</v>
      </c>
      <c r="C43" s="153"/>
      <c r="D43" s="153"/>
      <c r="E43" s="153"/>
      <c r="F43" s="94">
        <f t="shared" ca="1" si="5"/>
        <v>61.600000000000009</v>
      </c>
      <c r="P43" s="94">
        <f t="shared" ca="1" si="6"/>
        <v>61.600000000000009</v>
      </c>
      <c r="Z43" s="94">
        <f t="shared" ca="1" si="4"/>
        <v>55.440000000000012</v>
      </c>
    </row>
    <row r="44" spans="1:26">
      <c r="A44" s="488" t="s">
        <v>1676</v>
      </c>
      <c r="B44" s="491">
        <f ca="1">_xlfn.XLOOKUP(_xlfn.SINGLE(ChaRSITicker),TabCalc[Ticker],TabCalc[L_Sp])</f>
        <v>1233.56</v>
      </c>
      <c r="C44" s="488"/>
      <c r="D44" s="488"/>
      <c r="E44" s="488"/>
      <c r="F44" s="492">
        <f ca="1">_xlfn.XLOOKUP(_xlfn.SINGLE(ChaRSITicker),TabCalc[Ticker],TabCalc[L_Sp])</f>
        <v>1233.56</v>
      </c>
      <c r="P44">
        <f ca="1">F44</f>
        <v>1233.56</v>
      </c>
      <c r="Z44">
        <f ca="1">P44</f>
        <v>1233.56</v>
      </c>
    </row>
    <row r="45" spans="1:26">
      <c r="A45" s="488" t="s">
        <v>1677</v>
      </c>
      <c r="B45" s="491">
        <f ca="1">ABS(_xlfn.XLOOKUP(_xlfn.SINGLE(ChaRSITicker),TabCalc[Ticker],TabCalc[L_Bp]))</f>
        <v>1096.8800000000001</v>
      </c>
      <c r="C45" s="488"/>
      <c r="D45" s="488"/>
      <c r="E45" s="488"/>
      <c r="F45" s="492">
        <f ca="1">ABS(_xlfn.XLOOKUP(_xlfn.SINGLE(ChaRSITicker),TabCalc[Ticker],TabCalc[L_Bp]))</f>
        <v>1096.8800000000001</v>
      </c>
      <c r="P45">
        <f ca="1">F45</f>
        <v>1096.8800000000001</v>
      </c>
      <c r="Z45">
        <f ca="1">P45</f>
        <v>1096.8800000000001</v>
      </c>
    </row>
    <row r="46" spans="1:26">
      <c r="A46" s="488" t="s">
        <v>1678</v>
      </c>
      <c r="B46" s="491">
        <f ca="1">_xlfn.XLOOKUP(_xlfn.SINGLE(ChaRSITicker),TabCalc[Ticker],TabCalc[Min_SP])</f>
        <v>608.69060000000002</v>
      </c>
      <c r="C46" s="488"/>
      <c r="D46" s="488"/>
      <c r="E46" s="488"/>
      <c r="F46" s="492">
        <f ca="1">_xlfn.XLOOKUP(_xlfn.SINGLE(ChaRSITicker),TabCalc[Ticker],TabCalc[Min_SP])</f>
        <v>608.69060000000002</v>
      </c>
      <c r="P46">
        <f t="shared" ref="P46:P49" ca="1" si="7">F46</f>
        <v>608.69060000000002</v>
      </c>
      <c r="Z46">
        <f t="shared" ref="Z46:Z49" ca="1" si="8">P46</f>
        <v>608.69060000000002</v>
      </c>
    </row>
    <row r="47" spans="1:26">
      <c r="A47" s="488" t="s">
        <v>1679</v>
      </c>
      <c r="B47" s="491">
        <f ca="1">ABS(_xlfn.XLOOKUP(_xlfn.SINGLE(ChaRSITicker),TabCalc[Ticker],TabCalc[Min_PP]))</f>
        <v>1208.99</v>
      </c>
      <c r="C47" s="488"/>
      <c r="D47" s="488"/>
      <c r="E47" s="488"/>
      <c r="F47" s="492">
        <f ca="1">ABS(_xlfn.XLOOKUP(_xlfn.SINGLE(ChaRSITicker),TabCalc[Ticker],TabCalc[Min_PP]))</f>
        <v>1208.99</v>
      </c>
      <c r="P47">
        <f t="shared" ca="1" si="7"/>
        <v>1208.99</v>
      </c>
      <c r="Z47">
        <f t="shared" ca="1" si="8"/>
        <v>1208.99</v>
      </c>
    </row>
    <row r="48" spans="1:26">
      <c r="A48" s="488" t="s">
        <v>1680</v>
      </c>
      <c r="B48" s="491">
        <f ca="1">_xlfn.XLOOKUP(_xlfn.SINGLE(ChaRSITicker),TabCalc[Ticker],TabCalc[Max_SP])</f>
        <v>1235.33</v>
      </c>
      <c r="C48" s="488"/>
      <c r="D48" s="488"/>
      <c r="E48" s="488"/>
      <c r="F48" s="492">
        <f ca="1">_xlfn.XLOOKUP(_xlfn.SINGLE(ChaRSITicker),TabCalc[Ticker],TabCalc[Max_SP])</f>
        <v>1235.33</v>
      </c>
      <c r="P48">
        <f t="shared" ca="1" si="7"/>
        <v>1235.33</v>
      </c>
      <c r="Z48">
        <f t="shared" ca="1" si="8"/>
        <v>1235.33</v>
      </c>
    </row>
    <row r="49" spans="1:26">
      <c r="A49" s="488" t="s">
        <v>1681</v>
      </c>
      <c r="B49" s="491">
        <f ca="1">ABS(_xlfn.XLOOKUP(_xlfn.SINGLE(ChaRSITicker),TabCalc[Ticker],TabCalc[Max_PP]))</f>
        <v>393.15</v>
      </c>
      <c r="C49" s="488"/>
      <c r="D49" s="488"/>
      <c r="E49" s="488"/>
      <c r="F49" s="492">
        <f ca="1">ABS(_xlfn.XLOOKUP(_xlfn.SINGLE(ChaRSITicker),TabCalc[Ticker],TabCalc[Max_PP]))</f>
        <v>393.15</v>
      </c>
      <c r="P49">
        <f t="shared" ca="1" si="7"/>
        <v>393.15</v>
      </c>
      <c r="Z49">
        <f t="shared" ca="1" si="8"/>
        <v>393.15</v>
      </c>
    </row>
    <row r="50" spans="1:26">
      <c r="A50" s="197" t="s">
        <v>131</v>
      </c>
      <c r="B50" s="197">
        <f ca="1">_xlfn.XLOOKUP(_xlfn.SINGLE(ChaRSITicker),TabCalc[Ticker],TabCalc[M])</f>
        <v>1094.69</v>
      </c>
      <c r="C50" s="197"/>
      <c r="D50" s="197"/>
      <c r="E50" s="197"/>
      <c r="F50" s="492">
        <f ca="1">_xlfn.XLOOKUP(_xlfn.SINGLE(ChaRSITicker),TabCalc[Ticker],TabCalc[M])</f>
        <v>1094.69</v>
      </c>
      <c r="P50">
        <f ca="1">F50</f>
        <v>1094.69</v>
      </c>
      <c r="Z50">
        <f ca="1">P50</f>
        <v>1094.69</v>
      </c>
    </row>
    <row r="51" spans="1:26">
      <c r="A51" s="197" t="s">
        <v>1852</v>
      </c>
      <c r="B51" s="529">
        <f ca="1">ABS(_xlfn.XLOOKUP(ChaRSITicker,TabCalc[Ticker],TabCalc[A]))</f>
        <v>51.007316666666668</v>
      </c>
      <c r="C51" s="197"/>
      <c r="D51" s="197"/>
      <c r="E51" s="197"/>
      <c r="F51" s="492">
        <f ca="1">B51</f>
        <v>51.007316666666668</v>
      </c>
      <c r="P51" s="492">
        <f ca="1">F51</f>
        <v>51.007316666666668</v>
      </c>
      <c r="Z51" s="86">
        <f ca="1">P51</f>
        <v>51.007316666666668</v>
      </c>
    </row>
    <row r="52" spans="1:26">
      <c r="A52" s="493" t="s">
        <v>1725</v>
      </c>
      <c r="B52" s="494">
        <f ca="1">MIN(B51,B44:B49,F56:Z56)</f>
        <v>51.007316666666668</v>
      </c>
      <c r="C52" s="494">
        <f ca="1">MAX(B51,B44:B49,F56:Z56)</f>
        <v>1235.33</v>
      </c>
      <c r="D52" t="s">
        <v>1729</v>
      </c>
    </row>
    <row r="53" spans="1:26" ht="23" customHeight="1">
      <c r="A53" s="493" t="s">
        <v>1726</v>
      </c>
      <c r="B53" s="494">
        <f ca="1">MIN(B51,B44:B45,P56:Z56)</f>
        <v>51.007316666666668</v>
      </c>
      <c r="C53" s="494">
        <f ca="1">MAX(B51,B44:B45,P56:Z56)</f>
        <v>1233.56</v>
      </c>
      <c r="D53" t="s">
        <v>1729</v>
      </c>
    </row>
    <row r="54" spans="1:26">
      <c r="A54" s="493" t="s">
        <v>1727</v>
      </c>
      <c r="B54" s="493">
        <f ca="1">MIN(P56:Z56)</f>
        <v>83.33</v>
      </c>
      <c r="C54" s="494">
        <f ca="1">MAX(F56:Z56)</f>
        <v>1094.69</v>
      </c>
      <c r="D54" t="s">
        <v>1729</v>
      </c>
    </row>
    <row r="55" spans="1:26">
      <c r="A55" s="483" t="s">
        <v>1666</v>
      </c>
      <c r="B55" s="483"/>
      <c r="C55" s="483"/>
      <c r="D55" s="483"/>
      <c r="E55" s="483"/>
      <c r="F55" s="487">
        <v>45705</v>
      </c>
      <c r="G55" s="487">
        <v>45706</v>
      </c>
      <c r="H55" s="487">
        <v>45707</v>
      </c>
      <c r="I55" s="487">
        <v>45708</v>
      </c>
      <c r="J55" s="487">
        <v>45709</v>
      </c>
      <c r="K55" s="487">
        <v>45712</v>
      </c>
      <c r="L55" s="487">
        <v>45713</v>
      </c>
      <c r="M55" s="487">
        <v>45714</v>
      </c>
      <c r="N55" s="487">
        <v>45715</v>
      </c>
      <c r="O55" s="487">
        <v>45716</v>
      </c>
      <c r="P55" s="487">
        <v>45719</v>
      </c>
      <c r="Q55" s="487">
        <v>45720</v>
      </c>
      <c r="R55" s="487">
        <v>45721</v>
      </c>
      <c r="S55" s="487">
        <v>45722</v>
      </c>
      <c r="T55" s="487">
        <v>45723</v>
      </c>
      <c r="U55" s="487">
        <v>45726</v>
      </c>
      <c r="V55" s="487">
        <v>45727</v>
      </c>
      <c r="W55" s="487">
        <v>45728</v>
      </c>
      <c r="X55" s="487">
        <v>45729</v>
      </c>
      <c r="Y55" s="487">
        <v>45730</v>
      </c>
      <c r="Z55" s="487">
        <v>45732</v>
      </c>
    </row>
    <row r="56" spans="1:26">
      <c r="A56" s="153" t="s">
        <v>139</v>
      </c>
      <c r="B56" s="153">
        <f ca="1">MIN(F56:Z56)</f>
        <v>83.33</v>
      </c>
      <c r="C56" s="153">
        <f ca="1">MAX(F56:Z56)</f>
        <v>1094.69</v>
      </c>
      <c r="D56" s="486">
        <f ca="1">AVERAGE(F56:Y56)</f>
        <v>88.215154999999996</v>
      </c>
      <c r="E56" s="153"/>
      <c r="F56" cm="1">
        <f t="array" aca="1" ref="F56" ca="1">_xlfn.XLOOKUP(_xlfn.SINGLE(ChaRSITicker),ListTickers,Tab1Price[Price0])</f>
        <v>84.993099999999998</v>
      </c>
      <c r="G56" cm="1">
        <f t="array" aca="1" ref="G56" ca="1">_xlfn.XLOOKUP(_xlfn.SINGLE(ChaRSITicker),ListTickers,Tab1Price[Price1])</f>
        <v>84.29</v>
      </c>
      <c r="H56" cm="1">
        <f t="array" aca="1" ref="H56" ca="1">_xlfn.XLOOKUP(_xlfn.SINGLE(ChaRSITicker),ListTickers,Tab1Price[Price2])</f>
        <v>85.94</v>
      </c>
      <c r="I56" cm="1">
        <f t="array" aca="1" ref="I56" ca="1">_xlfn.XLOOKUP(_xlfn.SINGLE(ChaRSITicker),ListTickers,Tab1Price[Price3])</f>
        <v>86.424999999999997</v>
      </c>
      <c r="J56" cm="1">
        <f t="array" aca="1" ref="J56" ca="1">_xlfn.XLOOKUP(_xlfn.SINGLE(ChaRSITicker),ListTickers,Tab1Price[Price4])</f>
        <v>86.855000000000004</v>
      </c>
      <c r="K56" cm="1">
        <f t="array" aca="1" ref="K56" ca="1">_xlfn.XLOOKUP(_xlfn.SINGLE(ChaRSITicker),ListTickers,Tab1Price[Price5])</f>
        <v>86.96</v>
      </c>
      <c r="L56" cm="1">
        <f t="array" aca="1" ref="L56" ca="1">_xlfn.XLOOKUP(_xlfn.SINGLE(ChaRSITicker),ListTickers,Tab1Price[Price6])</f>
        <v>88.41</v>
      </c>
      <c r="M56" cm="1">
        <f t="array" aca="1" ref="M56" ca="1">_xlfn.XLOOKUP(_xlfn.SINGLE(ChaRSITicker),ListTickers,Tab1Price[Price7])</f>
        <v>85.23</v>
      </c>
      <c r="N56" cm="1">
        <f t="array" aca="1" ref="N56" ca="1">_xlfn.XLOOKUP(_xlfn.SINGLE(ChaRSITicker),ListTickers,Tab1Price[Price8])</f>
        <v>85.21</v>
      </c>
      <c r="O56" cm="1">
        <f t="array" aca="1" ref="O56" ca="1">_xlfn.XLOOKUP(_xlfn.SINGLE(ChaRSITicker),ListTickers,Tab1Price[Price9])</f>
        <v>89.4</v>
      </c>
      <c r="P56" cm="1">
        <f t="array" aca="1" ref="P56" ca="1">_xlfn.XLOOKUP(_xlfn.SINGLE(ChaRSITicker),ListTickers,Tab1Price[Price10])</f>
        <v>90.54</v>
      </c>
      <c r="Q56" cm="1">
        <f t="array" aca="1" ref="Q56" ca="1">_xlfn.XLOOKUP(_xlfn.SINGLE(ChaRSITicker),ListTickers,Tab1Price[Price11])</f>
        <v>93.64</v>
      </c>
      <c r="R56" cm="1">
        <f t="array" aca="1" ref="R56" ca="1">_xlfn.XLOOKUP(_xlfn.SINGLE(ChaRSITicker),ListTickers,Tab1Price[Price12])</f>
        <v>98.25</v>
      </c>
      <c r="S56" cm="1">
        <f t="array" aca="1" ref="S56" ca="1">_xlfn.XLOOKUP(_xlfn.SINGLE(ChaRSITicker),ListTickers,Tab1Price[Price13])</f>
        <v>90.77</v>
      </c>
      <c r="T56" cm="1">
        <f t="array" aca="1" ref="T56" ca="1">_xlfn.XLOOKUP(_xlfn.SINGLE(ChaRSITicker),ListTickers,Tab1Price[Price14])</f>
        <v>94.894999999999996</v>
      </c>
      <c r="U56" cm="1">
        <f t="array" aca="1" ref="U56" ca="1">_xlfn.XLOOKUP(_xlfn.SINGLE(ChaRSITicker),ListTickers,Tab1Price[Price15])</f>
        <v>86.305000000000007</v>
      </c>
      <c r="V56" cm="1">
        <f t="array" aca="1" ref="V56" ca="1">_xlfn.XLOOKUP(_xlfn.SINGLE(ChaRSITicker),ListTickers,Tab1Price[Price16])</f>
        <v>87</v>
      </c>
      <c r="W56" cm="1">
        <f t="array" aca="1" ref="W56" ca="1">_xlfn.XLOOKUP(_xlfn.SINGLE(ChaRSITicker),ListTickers,Tab1Price[Price17])</f>
        <v>87</v>
      </c>
      <c r="X56" cm="1">
        <f t="array" aca="1" ref="X56" ca="1">_xlfn.XLOOKUP(_xlfn.SINGLE(ChaRSITicker),ListTickers,Tab1Price[Price18])</f>
        <v>88.86</v>
      </c>
      <c r="Y56" cm="1">
        <f t="array" aca="1" ref="Y56" ca="1">_xlfn.XLOOKUP(_xlfn.SINGLE(ChaRSITicker),ListTickers,Tab1Price[Price19])</f>
        <v>83.33</v>
      </c>
      <c r="Z56" cm="1">
        <f t="array" aca="1" ref="Z56" ca="1">_xlfn.XLOOKUP(_xlfn.SINGLE(ChaRSITicker),ListTickers,Tab1Price[Price20])</f>
        <v>1094.69</v>
      </c>
    </row>
    <row r="57" spans="1:26">
      <c r="A57" s="153" t="s">
        <v>662</v>
      </c>
      <c r="B57" s="498">
        <f t="shared" ref="B57:B58" ca="1" si="9">MIN(F57:Z57)</f>
        <v>28</v>
      </c>
      <c r="C57" s="498">
        <v>100</v>
      </c>
      <c r="D57" s="486">
        <f ca="1">IFERROR(AVERAGEIF(F57:Y57, "&gt;0"), "")</f>
        <v>44.45</v>
      </c>
      <c r="E57" s="484">
        <v>1</v>
      </c>
      <c r="F57" s="87" cm="1">
        <f t="array" aca="1" ref="F57" ca="1">_xlfn.XLOOKUP(ChaRSITicker,ListTickers,Tab2RSI[RSI0])</f>
        <v>49</v>
      </c>
      <c r="G57" s="87" cm="1">
        <f t="array" aca="1" ref="G57" ca="1">_xlfn.XLOOKUP(ChaRSITicker,ListTickers,Tab2RSI[RSI1])</f>
        <v>48</v>
      </c>
      <c r="H57" s="87" cm="1">
        <f t="array" aca="1" ref="H57" ca="1">_xlfn.XLOOKUP(ChaRSITicker,ListTickers,Tab2RSI[RSI2])</f>
        <v>41</v>
      </c>
      <c r="I57" s="87" cm="1">
        <f t="array" aca="1" ref="I57" ca="1">_xlfn.XLOOKUP(ChaRSITicker,ListTickers,Tab2RSI[RSI3])</f>
        <v>33</v>
      </c>
      <c r="J57" s="87" cm="1">
        <f t="array" aca="1" ref="J57" ca="1">_xlfn.XLOOKUP(ChaRSITicker,ListTickers,Tab2RSI[RSI4])</f>
        <v>31</v>
      </c>
      <c r="K57" s="87" cm="1">
        <f t="array" aca="1" ref="K57" ca="1">_xlfn.XLOOKUP(ChaRSITicker,ListTickers,Tab2RSI[RSI5])</f>
        <v>34</v>
      </c>
      <c r="L57" s="87" cm="1">
        <f t="array" aca="1" ref="L57" ca="1">_xlfn.XLOOKUP(ChaRSITicker,ListTickers,Tab2RSI[RSI6])</f>
        <v>41</v>
      </c>
      <c r="M57" s="87" cm="1">
        <f t="array" aca="1" ref="M57" ca="1">_xlfn.XLOOKUP(ChaRSITicker,ListTickers,Tab2RSI[RSI7])</f>
        <v>52</v>
      </c>
      <c r="N57" s="87" cm="1">
        <f t="array" aca="1" ref="N57" ca="1">_xlfn.XLOOKUP(ChaRSITicker,ListTickers,Tab2RSI[RSI8])</f>
        <v>58</v>
      </c>
      <c r="O57" s="87" cm="1">
        <f t="array" aca="1" ref="O57" ca="1">_xlfn.XLOOKUP(ChaRSITicker,ListTickers,Tab2RSI[RSI9])</f>
        <v>57</v>
      </c>
      <c r="P57" s="87" cm="1">
        <f t="array" aca="1" ref="P57" ca="1">_xlfn.XLOOKUP(ChaRSITicker,ListTickers,Tab2RSI[RSI10])</f>
        <v>53</v>
      </c>
      <c r="Q57" s="87" cm="1">
        <f t="array" aca="1" ref="Q57" ca="1">_xlfn.XLOOKUP(ChaRSITicker,ListTickers,Tab2RSI[RSI11])</f>
        <v>52</v>
      </c>
      <c r="R57" s="87" cm="1">
        <f t="array" aca="1" ref="R57" ca="1">_xlfn.XLOOKUP(ChaRSITicker,ListTickers,Tab2RSI[RSI12])</f>
        <v>52</v>
      </c>
      <c r="S57" s="87" cm="1">
        <f t="array" aca="1" ref="S57" ca="1">_xlfn.XLOOKUP(ChaRSITicker,ListTickers,Tab2RSI[RSI13])</f>
        <v>51</v>
      </c>
      <c r="T57" s="87" cm="1">
        <f t="array" aca="1" ref="T57" ca="1">_xlfn.XLOOKUP(ChaRSITicker,ListTickers,Tab2RSI[RSI14])</f>
        <v>55</v>
      </c>
      <c r="U57" s="87" cm="1">
        <f t="array" aca="1" ref="U57" ca="1">_xlfn.XLOOKUP(ChaRSITicker,ListTickers,Tab2RSI[RSI15])</f>
        <v>56</v>
      </c>
      <c r="V57" s="87" cm="1">
        <f t="array" aca="1" ref="V57" ca="1">_xlfn.XLOOKUP(ChaRSITicker,ListTickers,Tab2RSI[RSI16])</f>
        <v>39</v>
      </c>
      <c r="W57" s="87" cm="1">
        <f t="array" aca="1" ref="W57" ca="1">_xlfn.XLOOKUP(ChaRSITicker,ListTickers,Tab2RSI[RSI17])</f>
        <v>30</v>
      </c>
      <c r="X57" s="87" cm="1">
        <f t="array" aca="1" ref="X57" ca="1">_xlfn.XLOOKUP(ChaRSITicker,ListTickers,Tab2RSI[RSI18])</f>
        <v>29</v>
      </c>
      <c r="Y57" s="87" cm="1">
        <f t="array" aca="1" ref="Y57" ca="1">_xlfn.XLOOKUP(ChaRSITicker,ListTickers,Tab2RSI[RSI19])</f>
        <v>28</v>
      </c>
      <c r="Z57" s="87" cm="1">
        <f t="array" aca="1" ref="Z57" ca="1">_xlfn.XLOOKUP(ChaRSITicker,ListTickers,Tab2RSI[RSI20])</f>
        <v>28</v>
      </c>
    </row>
    <row r="58" spans="1:26">
      <c r="A58" s="153" t="s">
        <v>544</v>
      </c>
      <c r="B58" s="485">
        <f t="shared" ca="1" si="9"/>
        <v>1.5541500376295659E-3</v>
      </c>
      <c r="C58" s="485">
        <f t="shared" ref="C58" ca="1" si="10">MAX(F58:Z58)</f>
        <v>1.6389004097376347</v>
      </c>
      <c r="D58" s="486">
        <f ca="1">IFERROR(AVERAGEIF(F58:Y58, "&gt;0"), "")</f>
        <v>0.95867776863578213</v>
      </c>
      <c r="E58" s="153">
        <f ca="1">INT(C57/D58)</f>
        <v>104</v>
      </c>
      <c r="F58" s="90" cm="1">
        <f t="array" aca="1" ref="F58" ca="1">_xlfn.XLOOKUP(ChaRSITicker,ListTickers,Tab2Agiotage[XAgio0])</f>
        <v>0.67557803367489599</v>
      </c>
      <c r="G58" s="90" cm="1">
        <f t="array" aca="1" ref="G58" ca="1">_xlfn.XLOOKUP(ChaRSITicker,ListTickers,Tab2Agiotage[XAgio1])</f>
        <v>1.1183310007836755</v>
      </c>
      <c r="H58" s="90" cm="1">
        <f t="array" aca="1" ref="H58" ca="1">_xlfn.XLOOKUP(ChaRSITicker,ListTickers,Tab2Agiotage[XAgio2])</f>
        <v>0.94815969694291125</v>
      </c>
      <c r="I58" s="90" cm="1">
        <f t="array" aca="1" ref="I58" ca="1">_xlfn.XLOOKUP(ChaRSITicker,ListTickers,Tab2Agiotage[XAgio3])</f>
        <v>1.0146735398758842</v>
      </c>
      <c r="J58" s="90" cm="1">
        <f t="array" aca="1" ref="J58" ca="1">_xlfn.XLOOKUP(ChaRSITicker,ListTickers,Tab2Agiotage[XAgio4])</f>
        <v>0.64566621491984777</v>
      </c>
      <c r="K58" s="90" cm="1">
        <f t="array" aca="1" ref="K58" ca="1">_xlfn.XLOOKUP(ChaRSITicker,ListTickers,Tab2Agiotage[XAgio5])</f>
        <v>0.74442744603141142</v>
      </c>
      <c r="L58" s="90" cm="1">
        <f t="array" aca="1" ref="L58" ca="1">_xlfn.XLOOKUP(ChaRSITicker,ListTickers,Tab2Agiotage[XAgio6])</f>
        <v>0.85436339304225273</v>
      </c>
      <c r="M58" s="90" cm="1">
        <f t="array" aca="1" ref="M58" ca="1">_xlfn.XLOOKUP(ChaRSITicker,ListTickers,Tab2Agiotage[XAgio7])</f>
        <v>0.89063494650373998</v>
      </c>
      <c r="N58" s="90" cm="1">
        <f t="array" aca="1" ref="N58" ca="1">_xlfn.XLOOKUP(ChaRSITicker,ListTickers,Tab2Agiotage[XAgio8])</f>
        <v>1.5541500376295659E-3</v>
      </c>
      <c r="O58" s="90" cm="1">
        <f t="array" aca="1" ref="O58" ca="1">_xlfn.XLOOKUP(ChaRSITicker,ListTickers,Tab2Agiotage[XAgio9])</f>
        <v>0.79505362312829442</v>
      </c>
      <c r="P58" s="90" cm="1">
        <f t="array" aca="1" ref="P58" ca="1">_xlfn.XLOOKUP(ChaRSITicker,ListTickers,Tab2Agiotage[XAgio10])</f>
        <v>0.73614304363528482</v>
      </c>
      <c r="Q58" s="90" cm="1">
        <f t="array" aca="1" ref="Q58" ca="1">_xlfn.XLOOKUP(ChaRSITicker,ListTickers,Tab2Agiotage[XAgio11])</f>
        <v>0.58182048030769118</v>
      </c>
      <c r="R58" s="90" cm="1">
        <f t="array" aca="1" ref="R58" ca="1">_xlfn.XLOOKUP(ChaRSITicker,ListTickers,Tab2Agiotage[XAgio12])</f>
        <v>1.0799935463894499</v>
      </c>
      <c r="S58" s="90" cm="1">
        <f t="array" aca="1" ref="S58" ca="1">_xlfn.XLOOKUP(ChaRSITicker,ListTickers,Tab2Agiotage[XAgio13])</f>
        <v>1.6389004097376347</v>
      </c>
      <c r="T58" s="90" cm="1">
        <f t="array" aca="1" ref="T58" ca="1">_xlfn.XLOOKUP(ChaRSITicker,ListTickers,Tab2Agiotage[XAgio14])</f>
        <v>0.94729675777519262</v>
      </c>
      <c r="U58" s="90" cm="1">
        <f t="array" aca="1" ref="U58" ca="1">_xlfn.XLOOKUP(ChaRSITicker,ListTickers,Tab2Agiotage[XAgio15])</f>
        <v>1.3575846715291022</v>
      </c>
      <c r="V58" s="90" cm="1">
        <f t="array" aca="1" ref="V58" ca="1">_xlfn.XLOOKUP(ChaRSITicker,ListTickers,Tab2Agiotage[XAgio16])</f>
        <v>1.1985824101588962</v>
      </c>
      <c r="W58" s="90" cm="1">
        <f t="array" aca="1" ref="W58" ca="1">_xlfn.XLOOKUP(ChaRSITicker,ListTickers,Tab2Agiotage[XAgio17])</f>
        <v>1.1985872034550706</v>
      </c>
      <c r="X58" s="90" cm="1">
        <f t="array" aca="1" ref="X58" ca="1">_xlfn.XLOOKUP(ChaRSITicker,ListTickers,Tab2Agiotage[XAgio18])</f>
        <v>1.1193396111995468</v>
      </c>
      <c r="Y58" s="90" cm="1">
        <f t="array" aca="1" ref="Y58" ca="1">_xlfn.XLOOKUP(ChaRSITicker,ListTickers,Tab2Agiotage[XAgio19])</f>
        <v>1.626865193587236</v>
      </c>
      <c r="Z58" s="90" cm="1">
        <f t="array" aca="1" ref="Z58" ca="1">_xlfn.XLOOKUP(ChaRSITicker,ListTickers,Tab2Agiotage[XAgio20])</f>
        <v>1.5614994580883679</v>
      </c>
    </row>
    <row r="59" spans="1:26">
      <c r="A59" s="153" t="s">
        <v>662</v>
      </c>
      <c r="B59" s="153"/>
      <c r="C59" s="153"/>
      <c r="D59" s="153"/>
      <c r="E59" s="153"/>
      <c r="F59" cm="1">
        <f t="array" aca="1" ref="F59" ca="1">_xlfn.XLOOKUP(ChaRSITicker,ListTickers,Tab2RSIConventional[RSIConv0])</f>
        <v>36</v>
      </c>
      <c r="G59" cm="1">
        <f t="array" aca="1" ref="G59" ca="1">_xlfn.XLOOKUP(ChaRSITicker,ListTickers,Tab2RSIConventional[RSIConv1])</f>
        <v>46</v>
      </c>
      <c r="H59" cm="1">
        <f t="array" aca="1" ref="H59" ca="1">_xlfn.XLOOKUP(ChaRSITicker,ListTickers,Tab2RSIConventional[RSIConv2])</f>
        <v>41</v>
      </c>
      <c r="I59" cm="1">
        <f t="array" aca="1" ref="I59" ca="1">_xlfn.XLOOKUP(ChaRSITicker,ListTickers,Tab2RSIConventional[RSIConv3])</f>
        <v>37</v>
      </c>
      <c r="J59" cm="1">
        <f t="array" aca="1" ref="J59" ca="1">_xlfn.XLOOKUP(ChaRSITicker,ListTickers,Tab2RSIConventional[RSIConv4])</f>
        <v>29</v>
      </c>
      <c r="K59" cm="1">
        <f t="array" aca="1" ref="K59" ca="1">_xlfn.XLOOKUP(ChaRSITicker,ListTickers,Tab2RSIConventional[RSIConv5])</f>
        <v>41</v>
      </c>
      <c r="L59" cm="1">
        <f t="array" aca="1" ref="L59" ca="1">_xlfn.XLOOKUP(ChaRSITicker,ListTickers,Tab2RSIConventional[RSIConv6])</f>
        <v>53</v>
      </c>
      <c r="M59" cm="1">
        <f t="array" aca="1" ref="M59" ca="1">_xlfn.XLOOKUP(ChaRSITicker,ListTickers,Tab2RSIConventional[RSIConv7])</f>
        <v>53</v>
      </c>
      <c r="N59" cm="1">
        <f t="array" aca="1" ref="N59" ca="1">_xlfn.XLOOKUP(ChaRSITicker,ListTickers,Tab2RSIConventional[RSIConv8])</f>
        <v>52</v>
      </c>
      <c r="O59" cm="1">
        <f t="array" aca="1" ref="O59" ca="1">_xlfn.XLOOKUP(ChaRSITicker,ListTickers,Tab2RSIConventional[RSIConv9])</f>
        <v>52</v>
      </c>
      <c r="P59" cm="1">
        <f t="array" aca="1" ref="P59" ca="1">_xlfn.XLOOKUP(ChaRSITicker,ListTickers,Tab2RSIConventional[RSIConv10])</f>
        <v>53</v>
      </c>
      <c r="Q59" cm="1">
        <f t="array" aca="1" ref="Q59" ca="1">_xlfn.XLOOKUP(ChaRSITicker,ListTickers,Tab2RSIConventional[RSIConv11])</f>
        <v>55</v>
      </c>
      <c r="R59" cm="1">
        <f t="array" aca="1" ref="R59" ca="1">_xlfn.XLOOKUP(ChaRSITicker,ListTickers,Tab2RSIConventional[RSIConv12])</f>
        <v>48</v>
      </c>
      <c r="S59" cm="1">
        <f t="array" aca="1" ref="S59" ca="1">_xlfn.XLOOKUP(ChaRSITicker,ListTickers,Tab2RSIConventional[RSIConv13])</f>
        <v>52</v>
      </c>
      <c r="T59" cm="1">
        <f t="array" aca="1" ref="T59" ca="1">_xlfn.XLOOKUP(ChaRSITicker,ListTickers,Tab2RSIConventional[RSIConv14])</f>
        <v>62</v>
      </c>
      <c r="U59" cm="1">
        <f t="array" aca="1" ref="U59" ca="1">_xlfn.XLOOKUP(ChaRSITicker,ListTickers,Tab2RSIConventional[RSIConv15])</f>
        <v>64</v>
      </c>
      <c r="V59" cm="1">
        <f t="array" aca="1" ref="V59" ca="1">_xlfn.XLOOKUP(ChaRSITicker,ListTickers,Tab2RSIConventional[RSIConv16])</f>
        <v>43</v>
      </c>
      <c r="W59" cm="1">
        <f t="array" aca="1" ref="W59" ca="1">_xlfn.XLOOKUP(ChaRSITicker,ListTickers,Tab2RSIConventional[RSIConv17])</f>
        <v>32</v>
      </c>
      <c r="X59" cm="1">
        <f t="array" aca="1" ref="X59" ca="1">_xlfn.XLOOKUP(ChaRSITicker,ListTickers,Tab2RSIConventional[RSIConv18])</f>
        <v>33</v>
      </c>
      <c r="Y59" cm="1">
        <f t="array" aca="1" ref="Y59" ca="1">_xlfn.XLOOKUP(ChaRSITicker,ListTickers,Tab2RSIConventional[RSIConv19])</f>
        <v>27</v>
      </c>
      <c r="Z59" cm="1">
        <f t="array" aca="1" ref="Z59" ca="1">_xlfn.XLOOKUP(ChaRSITicker,ListTickers,Tab2RSIConventional[RSIConv20])</f>
        <v>27</v>
      </c>
    </row>
    <row r="61" spans="1:26">
      <c r="A61" s="153"/>
    </row>
    <row r="62" spans="1:26">
      <c r="A62" s="153"/>
    </row>
  </sheetData>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A51EE4B7-A998-AE4C-95F8-7393D8345963}">
          <x14:formula1>
            <xm:f>Calc!$H$3:$H$96</xm:f>
          </x14:formula1>
          <xm:sqref>R1</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7F439-A403-8C42-AAF6-37A5383D86A0}">
  <sheetPr codeName="Sheet11">
    <tabColor theme="3" tint="0.89999084444715716"/>
  </sheetPr>
  <dimension ref="A1:AB63"/>
  <sheetViews>
    <sheetView topLeftCell="E1" zoomScale="80" zoomScaleNormal="80" workbookViewId="0">
      <selection activeCell="F37" sqref="F37"/>
    </sheetView>
  </sheetViews>
  <sheetFormatPr baseColWidth="10" defaultRowHeight="22"/>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2.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5:23" ht="57" thickBot="1">
      <c r="E1" t="str">
        <f>ChaChaTicker&amp;" History"</f>
        <v>NFLX History</v>
      </c>
      <c r="M1" t="str">
        <f>[0]!ChaRSITicker&amp;" (Last Trades Zoom)"</f>
        <v>NFLX (Last Trades Zoom)</v>
      </c>
      <c r="O1" s="1" t="str">
        <f ca="1">_xlfn.XLOOKUP(ChaChaTicker,TabCalc[Ticker],TabCalc[NAfter])&amp;" x "&amp;"A="&amp;TRUNC(B51,2)</f>
        <v>3000 x A=51</v>
      </c>
      <c r="R1" s="552" t="str">
        <f>IDTICKER</f>
        <v>NFLX</v>
      </c>
      <c r="S1" s="552"/>
      <c r="T1" s="553" t="s">
        <v>1782</v>
      </c>
      <c r="U1" s="554" t="s">
        <v>1783</v>
      </c>
      <c r="W1">
        <f ca="1">_xlfn.XLOOKUP(ChaChaTicker,TabCalc[Ticker],TabCalc[NAfter])</f>
        <v>3000</v>
      </c>
    </row>
    <row r="2" spans="5:23" ht="24" thickTop="1" thickBot="1">
      <c r="R2" s="548">
        <f ca="1">TODAY()</f>
        <v>45956</v>
      </c>
      <c r="S2" s="549">
        <f ca="1">_xlfn.XLOOKUP(ChaChaTicker,TabCalc[Ticker],TabCalc[NAfter])</f>
        <v>3000</v>
      </c>
      <c r="T2" s="550">
        <f ca="1">_xlfn.XLOOKUP(ChaChaTicker,TabCalc[Ticker],TabCalc[L_Sn])</f>
        <v>100</v>
      </c>
      <c r="U2" s="551">
        <f ca="1">_xlfn.XLOOKUP(ChaChaTicker,TabCalc[Ticker],TabCalc[L_Bn])</f>
        <v>500</v>
      </c>
    </row>
    <row r="3" spans="5:23" ht="23" thickBot="1">
      <c r="R3" s="19"/>
      <c r="S3" s="20"/>
      <c r="T3" s="20"/>
      <c r="U3" s="80"/>
    </row>
    <row r="31" spans="1:28">
      <c r="A31" s="197" t="s">
        <v>1667</v>
      </c>
      <c r="B31" s="197"/>
      <c r="C31" s="197"/>
      <c r="D31" s="197" t="s">
        <v>1395</v>
      </c>
      <c r="E31" s="197" t="s">
        <v>547</v>
      </c>
      <c r="F31" s="197"/>
      <c r="G31" s="197"/>
      <c r="H31" s="197"/>
      <c r="I31" s="197"/>
      <c r="J31" s="197"/>
      <c r="K31" s="197"/>
      <c r="L31" s="197"/>
      <c r="M31" s="197"/>
      <c r="N31" s="197"/>
      <c r="O31" s="197"/>
      <c r="P31" s="197"/>
      <c r="Q31" s="197"/>
      <c r="R31" s="197"/>
      <c r="S31" s="197"/>
      <c r="T31" s="197"/>
      <c r="U31" s="197"/>
      <c r="V31" s="197"/>
      <c r="W31" s="197"/>
      <c r="X31" s="197"/>
      <c r="Y31" s="197"/>
      <c r="Z31" s="197"/>
    </row>
    <row r="32" spans="1:28">
      <c r="A32" s="488" t="s">
        <v>1393</v>
      </c>
      <c r="B32" s="488"/>
      <c r="C32" s="488"/>
      <c r="D32" s="488"/>
      <c r="E32" s="488"/>
      <c r="F32" s="168">
        <f ca="1">DataShift!F3</f>
        <v>45929</v>
      </c>
      <c r="G32" s="168">
        <f ca="1">DataShift!G3</f>
        <v>45930</v>
      </c>
      <c r="H32" s="168">
        <f ca="1">DataShift!H3</f>
        <v>45931</v>
      </c>
      <c r="I32" s="168">
        <f ca="1">DataShift!I3</f>
        <v>45932</v>
      </c>
      <c r="J32" s="168">
        <f ca="1">DataShift!J3</f>
        <v>45933</v>
      </c>
      <c r="K32" s="168">
        <f ca="1">DataShift!K3</f>
        <v>45936</v>
      </c>
      <c r="L32" s="168">
        <f ca="1">DataShift!L3</f>
        <v>45937</v>
      </c>
      <c r="M32" s="168">
        <f ca="1">DataShift!M3</f>
        <v>45938</v>
      </c>
      <c r="N32" s="168">
        <f ca="1">DataShift!N3</f>
        <v>45939</v>
      </c>
      <c r="O32" s="168">
        <f ca="1">DataShift!O3</f>
        <v>45940</v>
      </c>
      <c r="P32" s="168">
        <f ca="1">DataShift!P3</f>
        <v>45943</v>
      </c>
      <c r="Q32" s="168">
        <f ca="1">DataShift!Q3</f>
        <v>45944</v>
      </c>
      <c r="R32" s="168">
        <f ca="1">DataShift!R3</f>
        <v>45945</v>
      </c>
      <c r="S32" s="168">
        <f ca="1">DataShift!S3</f>
        <v>45946</v>
      </c>
      <c r="T32" s="168">
        <f ca="1">DataShift!T3</f>
        <v>45947</v>
      </c>
      <c r="U32" s="168">
        <f ca="1">DataShift!U3</f>
        <v>45950</v>
      </c>
      <c r="V32" s="168">
        <f ca="1">DataShift!V3</f>
        <v>45951</v>
      </c>
      <c r="W32" s="168">
        <f ca="1">DataShift!W3</f>
        <v>45952</v>
      </c>
      <c r="X32" s="168">
        <f ca="1">DataShift!X3</f>
        <v>45953</v>
      </c>
      <c r="Y32" s="168">
        <f ca="1">DataShift!Y3</f>
        <v>45954</v>
      </c>
      <c r="Z32" s="168">
        <f ca="1">DataShift!Z3</f>
        <v>45956</v>
      </c>
      <c r="AA32" s="62"/>
      <c r="AB32" s="62"/>
    </row>
    <row r="33" spans="1:26">
      <c r="A33" s="488" t="s">
        <v>1394</v>
      </c>
      <c r="B33" s="488"/>
      <c r="C33" s="488"/>
      <c r="D33" s="488"/>
      <c r="E33" s="488"/>
      <c r="F33" s="168">
        <f ca="1">F32</f>
        <v>45929</v>
      </c>
      <c r="G33" s="168"/>
      <c r="H33" s="168"/>
      <c r="I33" s="168"/>
      <c r="J33" s="168"/>
      <c r="K33" s="168"/>
      <c r="L33" s="168"/>
      <c r="M33" s="168"/>
      <c r="N33" s="168"/>
      <c r="O33" s="168"/>
      <c r="P33" s="168">
        <f ca="1">P32</f>
        <v>45943</v>
      </c>
      <c r="Q33" s="168"/>
      <c r="R33" s="168"/>
      <c r="S33" s="168"/>
      <c r="T33" s="168"/>
      <c r="U33" s="168"/>
      <c r="V33" s="168"/>
      <c r="W33" s="168"/>
      <c r="X33" s="168"/>
      <c r="Y33" s="168"/>
      <c r="Z33" s="168">
        <f ca="1">Z32</f>
        <v>45956</v>
      </c>
    </row>
    <row r="34" spans="1:26">
      <c r="A34" s="488"/>
      <c r="B34" s="489" t="s">
        <v>1670</v>
      </c>
      <c r="C34" s="489" t="s">
        <v>1671</v>
      </c>
      <c r="D34" s="489" t="s">
        <v>1672</v>
      </c>
      <c r="E34" s="488"/>
    </row>
    <row r="35" spans="1:26">
      <c r="A35" s="488" t="s">
        <v>1668</v>
      </c>
      <c r="B35" s="490">
        <f ca="1">MIN(F35:Z35)</f>
        <v>-3254.749675227341</v>
      </c>
      <c r="C35" s="490">
        <f ca="1">MAX(F35:Z35)</f>
        <v>1800</v>
      </c>
      <c r="D35" s="488"/>
      <c r="E35" s="488"/>
      <c r="F35" s="94">
        <f ca="1">100*F57*$E57</f>
        <v>-108.3921255121415</v>
      </c>
      <c r="G35" s="94">
        <f t="shared" ref="G35:Z35" ca="1" si="0">100*G57*$E57</f>
        <v>-106.37753572499251</v>
      </c>
      <c r="H35" s="94">
        <f t="shared" ca="1" si="0"/>
        <v>695.50114919556313</v>
      </c>
      <c r="I35" s="94">
        <f t="shared" ca="1" si="0"/>
        <v>198.7968422104527</v>
      </c>
      <c r="J35" s="94">
        <f t="shared" ca="1" si="0"/>
        <v>176.88817827520737</v>
      </c>
      <c r="K35" s="94">
        <f t="shared" ca="1" si="0"/>
        <v>-629.99100629559302</v>
      </c>
      <c r="L35" s="94">
        <f t="shared" ca="1" si="0"/>
        <v>604.05316278604982</v>
      </c>
      <c r="M35" s="94">
        <f t="shared" ca="1" si="0"/>
        <v>-1290.0569601279103</v>
      </c>
      <c r="N35" s="94">
        <f t="shared" ca="1" si="0"/>
        <v>-1298.1872689117617</v>
      </c>
      <c r="O35" s="94">
        <f t="shared" ca="1" si="0"/>
        <v>1800</v>
      </c>
      <c r="P35" s="94">
        <f t="shared" ca="1" si="0"/>
        <v>458.75087438792843</v>
      </c>
      <c r="Q35" s="94">
        <f t="shared" ca="1" si="0"/>
        <v>1231.7417807534725</v>
      </c>
      <c r="R35" s="94">
        <f t="shared" ca="1" si="0"/>
        <v>1795.2872988907766</v>
      </c>
      <c r="S35" s="94">
        <f t="shared" ca="1" si="0"/>
        <v>-2745.5980813430597</v>
      </c>
      <c r="T35" s="94">
        <f t="shared" ca="1" si="0"/>
        <v>1634.8755870890377</v>
      </c>
      <c r="U35" s="94">
        <f t="shared" ca="1" si="0"/>
        <v>-3254.749675227341</v>
      </c>
      <c r="V35" s="94">
        <f t="shared" ca="1" si="0"/>
        <v>283.40961327071051</v>
      </c>
      <c r="W35" s="94">
        <f t="shared" ca="1" si="0"/>
        <v>283.40961327071051</v>
      </c>
      <c r="X35" s="94">
        <f t="shared" ca="1" si="0"/>
        <v>764.89657239932046</v>
      </c>
      <c r="Y35" s="94">
        <f t="shared" ca="1" si="0"/>
        <v>-2257.7795543119814</v>
      </c>
      <c r="Z35" s="94">
        <f t="shared" ca="1" si="0"/>
        <v>-610.56460477665632</v>
      </c>
    </row>
    <row r="36" spans="1:26">
      <c r="A36" s="488" t="s">
        <v>1669</v>
      </c>
      <c r="B36" s="490">
        <f ca="1">MIN(F36:Z36)</f>
        <v>0.55910264169745549</v>
      </c>
      <c r="C36" s="490">
        <f ca="1">MAX(F36:Z36)</f>
        <v>6475.4671729789152</v>
      </c>
      <c r="D36" s="488"/>
      <c r="E36" s="488"/>
      <c r="F36" s="94">
        <f ca="1">F58*$E58</f>
        <v>243.03796554707961</v>
      </c>
      <c r="G36" s="94">
        <f t="shared" ref="G36:Z36" ca="1" si="1">G58*$E58</f>
        <v>6475.4671729789152</v>
      </c>
      <c r="H36" s="94">
        <f t="shared" ca="1" si="1"/>
        <v>341.0987217941921</v>
      </c>
      <c r="I36" s="94">
        <f t="shared" ca="1" si="1"/>
        <v>365.02695548647779</v>
      </c>
      <c r="J36" s="94">
        <f t="shared" ca="1" si="1"/>
        <v>232.27724330083461</v>
      </c>
      <c r="K36" s="94">
        <f t="shared" ca="1" si="1"/>
        <v>267.80641608005209</v>
      </c>
      <c r="L36" s="94">
        <f t="shared" ca="1" si="1"/>
        <v>307.35567252444389</v>
      </c>
      <c r="M36" s="94">
        <f t="shared" ca="1" si="1"/>
        <v>320.40429773293334</v>
      </c>
      <c r="N36" s="94">
        <f t="shared" ca="1" si="1"/>
        <v>0.55910264169745549</v>
      </c>
      <c r="O36" s="94">
        <f t="shared" ca="1" si="1"/>
        <v>286.01909096251222</v>
      </c>
      <c r="P36" s="94">
        <f t="shared" ca="1" si="1"/>
        <v>264.82611742650397</v>
      </c>
      <c r="Q36" s="94">
        <f t="shared" ca="1" si="1"/>
        <v>209.30885671107109</v>
      </c>
      <c r="R36" s="94">
        <f t="shared" ca="1" si="1"/>
        <v>388.52570870410909</v>
      </c>
      <c r="S36" s="94">
        <f t="shared" ca="1" si="1"/>
        <v>589.59143350209706</v>
      </c>
      <c r="T36" s="94">
        <f t="shared" ca="1" si="1"/>
        <v>340.78828100236768</v>
      </c>
      <c r="U36" s="94">
        <f t="shared" ca="1" si="1"/>
        <v>488.38860972367024</v>
      </c>
      <c r="V36" s="94">
        <f t="shared" ca="1" si="1"/>
        <v>431.18783617188234</v>
      </c>
      <c r="W36" s="94">
        <f t="shared" ca="1" si="1"/>
        <v>431.18956055143946</v>
      </c>
      <c r="X36" s="94">
        <f t="shared" ca="1" si="1"/>
        <v>402.68038376320266</v>
      </c>
      <c r="Y36" s="94">
        <f t="shared" ca="1" si="1"/>
        <v>585.26178644089634</v>
      </c>
      <c r="Z36" s="94">
        <f t="shared" ca="1" si="1"/>
        <v>561.74658230419948</v>
      </c>
    </row>
    <row r="37" spans="1:26">
      <c r="A37" s="488" t="s">
        <v>1730</v>
      </c>
      <c r="B37" s="532">
        <v>1</v>
      </c>
      <c r="C37" s="488"/>
      <c r="D37" s="488"/>
      <c r="E37" s="488"/>
      <c r="F37" s="132">
        <v>100</v>
      </c>
      <c r="P37">
        <v>100</v>
      </c>
      <c r="Z37">
        <v>100</v>
      </c>
    </row>
    <row r="38" spans="1:26">
      <c r="A38" s="484" t="s">
        <v>1731</v>
      </c>
      <c r="B38" s="153"/>
      <c r="C38" s="153"/>
      <c r="D38" s="153"/>
      <c r="E38" s="153"/>
      <c r="F38">
        <f ca="1">MIN(F56:Z56)</f>
        <v>83.33</v>
      </c>
      <c r="P38">
        <f ca="1">F38</f>
        <v>83.33</v>
      </c>
      <c r="Z38">
        <f ca="1">MAX(P56:Z56)</f>
        <v>1094.69</v>
      </c>
    </row>
    <row r="39" spans="1:26">
      <c r="A39" s="484"/>
      <c r="B39" s="153"/>
      <c r="C39" s="153"/>
      <c r="D39" s="153"/>
      <c r="E39" s="153"/>
    </row>
    <row r="40" spans="1:26">
      <c r="A40" s="484" t="s">
        <v>2092</v>
      </c>
      <c r="B40" s="484">
        <v>1.4</v>
      </c>
      <c r="C40" s="153"/>
      <c r="D40" s="153"/>
      <c r="E40" s="153"/>
      <c r="F40" s="492">
        <f ca="1">B40*MAX(C$35:C$36)</f>
        <v>9065.6540421704813</v>
      </c>
      <c r="P40" s="492">
        <f ca="1">F40</f>
        <v>9065.6540421704813</v>
      </c>
      <c r="Z40">
        <v>0</v>
      </c>
    </row>
    <row r="41" spans="1:26">
      <c r="A41" s="153" t="s">
        <v>1673</v>
      </c>
      <c r="B41" s="484">
        <v>1.3</v>
      </c>
      <c r="C41" s="153"/>
      <c r="D41" s="153"/>
      <c r="E41" s="153"/>
      <c r="F41" s="94">
        <f ca="1">B41*MAX(C$35:C$36)</f>
        <v>8418.1073248725897</v>
      </c>
      <c r="P41" s="94">
        <f ca="1">F41</f>
        <v>8418.1073248725897</v>
      </c>
      <c r="Z41" s="94">
        <f ca="1">B41*MIN(B$35:B$36)</f>
        <v>-4231.174577795543</v>
      </c>
    </row>
    <row r="42" spans="1:26">
      <c r="A42" s="153" t="s">
        <v>1674</v>
      </c>
      <c r="B42" s="484">
        <v>1.2</v>
      </c>
      <c r="C42" s="153"/>
      <c r="D42" s="153"/>
      <c r="E42" s="153"/>
      <c r="F42" s="94">
        <f t="shared" ref="F42:F43" ca="1" si="2">B42*MAX(C$35:C$36)</f>
        <v>7770.5606075746982</v>
      </c>
      <c r="P42" s="94">
        <f t="shared" ref="P42:P43" ca="1" si="3">F42</f>
        <v>7770.5606075746982</v>
      </c>
      <c r="Z42" s="94">
        <f t="shared" ref="Z42:Z43" ca="1" si="4">B42*MIN(B$35:B$36)</f>
        <v>-3905.699610272809</v>
      </c>
    </row>
    <row r="43" spans="1:26">
      <c r="A43" s="153" t="s">
        <v>1675</v>
      </c>
      <c r="B43" s="484">
        <v>1.1000000000000001</v>
      </c>
      <c r="C43" s="153"/>
      <c r="D43" s="153"/>
      <c r="E43" s="153"/>
      <c r="F43" s="94">
        <f t="shared" ca="1" si="2"/>
        <v>7123.0138902768076</v>
      </c>
      <c r="P43" s="94">
        <f t="shared" ca="1" si="3"/>
        <v>7123.0138902768076</v>
      </c>
      <c r="Z43" s="94">
        <f t="shared" ca="1" si="4"/>
        <v>-3580.2246427500754</v>
      </c>
    </row>
    <row r="44" spans="1:26">
      <c r="A44" s="488" t="s">
        <v>1676</v>
      </c>
      <c r="B44" s="491">
        <f ca="1">_xlfn.XLOOKUP(ChaChaTicker,TabCalc[Ticker],TabCalc[L_Sp])</f>
        <v>1233.56</v>
      </c>
      <c r="C44" s="488"/>
      <c r="D44" s="488"/>
      <c r="E44" s="488"/>
      <c r="F44" s="492">
        <f ca="1">_xlfn.XLOOKUP(ChaChaTicker,TabCalc[Ticker],TabCalc[L_Sp])</f>
        <v>1233.56</v>
      </c>
      <c r="P44">
        <f ca="1">F44</f>
        <v>1233.56</v>
      </c>
      <c r="Z44">
        <f ca="1">P44</f>
        <v>1233.56</v>
      </c>
    </row>
    <row r="45" spans="1:26">
      <c r="A45" s="488" t="s">
        <v>1677</v>
      </c>
      <c r="B45" s="491">
        <f ca="1">ABS(_xlfn.XLOOKUP(ChaChaTicker,TabCalc[Ticker],TabCalc[L_Bp]))</f>
        <v>1096.8800000000001</v>
      </c>
      <c r="C45" s="488"/>
      <c r="D45" s="488"/>
      <c r="E45" s="488"/>
      <c r="F45" s="492">
        <f ca="1">ABS(_xlfn.XLOOKUP(ChaChaTicker,TabCalc[Ticker],TabCalc[L_Bp]))</f>
        <v>1096.8800000000001</v>
      </c>
      <c r="P45">
        <f ca="1">F45</f>
        <v>1096.8800000000001</v>
      </c>
      <c r="Z45">
        <f ca="1">P45</f>
        <v>1096.8800000000001</v>
      </c>
    </row>
    <row r="46" spans="1:26">
      <c r="A46" s="488" t="s">
        <v>1678</v>
      </c>
      <c r="B46" s="491">
        <f ca="1">_xlfn.XLOOKUP(ChaChaTicker,TabCalc[Ticker],TabCalc[Min_SP])</f>
        <v>608.69060000000002</v>
      </c>
      <c r="C46" s="488"/>
      <c r="D46" s="488"/>
      <c r="E46" s="488"/>
      <c r="F46" s="492">
        <f ca="1">_xlfn.XLOOKUP(ChaChaTicker,TabCalc[Ticker],TabCalc[Min_SP])</f>
        <v>608.69060000000002</v>
      </c>
      <c r="P46">
        <f t="shared" ref="P46:P49" ca="1" si="5">F46</f>
        <v>608.69060000000002</v>
      </c>
      <c r="Z46">
        <f t="shared" ref="Z46:Z49" ca="1" si="6">P46</f>
        <v>608.69060000000002</v>
      </c>
    </row>
    <row r="47" spans="1:26">
      <c r="A47" s="488" t="s">
        <v>1679</v>
      </c>
      <c r="B47" s="491">
        <f ca="1">ABS(_xlfn.XLOOKUP(ChaChaTicker,TabCalc[Ticker],TabCalc[Min_PP]))</f>
        <v>1208.99</v>
      </c>
      <c r="C47" s="488"/>
      <c r="D47" s="488"/>
      <c r="E47" s="488"/>
      <c r="F47" s="492">
        <f ca="1">ABS(_xlfn.XLOOKUP(ChaChaTicker,TabCalc[Ticker],TabCalc[Min_PP]))</f>
        <v>1208.99</v>
      </c>
      <c r="P47">
        <f t="shared" ca="1" si="5"/>
        <v>1208.99</v>
      </c>
      <c r="Z47">
        <f t="shared" ca="1" si="6"/>
        <v>1208.99</v>
      </c>
    </row>
    <row r="48" spans="1:26">
      <c r="A48" s="488" t="s">
        <v>1680</v>
      </c>
      <c r="B48" s="491">
        <f ca="1">_xlfn.XLOOKUP(ChaChaTicker,TabCalc[Ticker],TabCalc[Max_SP])</f>
        <v>1235.33</v>
      </c>
      <c r="C48" s="488"/>
      <c r="D48" s="488"/>
      <c r="E48" s="488"/>
      <c r="F48" s="492">
        <f ca="1">_xlfn.XLOOKUP(ChaChaTicker,TabCalc[Ticker],TabCalc[Max_SP])</f>
        <v>1235.33</v>
      </c>
      <c r="P48">
        <f t="shared" ca="1" si="5"/>
        <v>1235.33</v>
      </c>
      <c r="Z48">
        <f t="shared" ca="1" si="6"/>
        <v>1235.33</v>
      </c>
    </row>
    <row r="49" spans="1:26">
      <c r="A49" s="488" t="s">
        <v>1681</v>
      </c>
      <c r="B49" s="491">
        <f ca="1">ABS(_xlfn.XLOOKUP(ChaChaTicker,TabCalc[Ticker],TabCalc[Max_PP]))</f>
        <v>393.15</v>
      </c>
      <c r="C49" s="488"/>
      <c r="D49" s="488"/>
      <c r="E49" s="488"/>
      <c r="F49" s="492">
        <f ca="1">ABS(_xlfn.XLOOKUP(ChaChaTicker,TabCalc[Ticker],TabCalc[Max_PP]))</f>
        <v>393.15</v>
      </c>
      <c r="P49">
        <f t="shared" ca="1" si="5"/>
        <v>393.15</v>
      </c>
      <c r="Z49">
        <f t="shared" ca="1" si="6"/>
        <v>393.15</v>
      </c>
    </row>
    <row r="50" spans="1:26">
      <c r="A50" s="197" t="s">
        <v>131</v>
      </c>
      <c r="B50" s="197">
        <f ca="1">_xlfn.XLOOKUP(ChaChaTicker,TabCalc[Ticker],TabCalc[M])</f>
        <v>1094.69</v>
      </c>
      <c r="C50" s="197"/>
      <c r="D50" s="197"/>
      <c r="E50" s="197"/>
      <c r="F50" s="492">
        <f ca="1">_xlfn.XLOOKUP(ChaChaTicker,TabCalc[Ticker],TabCalc[M])</f>
        <v>1094.69</v>
      </c>
      <c r="P50">
        <f ca="1">F50</f>
        <v>1094.69</v>
      </c>
      <c r="Z50">
        <f ca="1">P50</f>
        <v>1094.69</v>
      </c>
    </row>
    <row r="51" spans="1:26">
      <c r="A51" s="197" t="s">
        <v>1852</v>
      </c>
      <c r="B51" s="529">
        <f ca="1">ChaRSI!B51</f>
        <v>51.007316666666668</v>
      </c>
      <c r="C51" s="197"/>
      <c r="D51" s="197"/>
      <c r="E51" s="197"/>
      <c r="F51" s="529">
        <f ca="1">ChaRSI!F51</f>
        <v>51.007316666666668</v>
      </c>
      <c r="G51" s="197"/>
      <c r="H51" s="197"/>
      <c r="I51" s="197"/>
      <c r="J51" s="197"/>
      <c r="K51" s="197"/>
      <c r="L51" s="197"/>
      <c r="M51" s="197"/>
      <c r="N51" s="197"/>
      <c r="O51" s="197"/>
      <c r="P51" s="529">
        <f ca="1">ChaRSI!P51</f>
        <v>51.007316666666668</v>
      </c>
      <c r="Q51" s="197"/>
      <c r="R51" s="197"/>
      <c r="S51" s="197"/>
      <c r="T51" s="197"/>
      <c r="U51" s="197"/>
      <c r="V51" s="197"/>
      <c r="W51" s="197"/>
      <c r="X51" s="197"/>
      <c r="Y51" s="197"/>
      <c r="Z51" s="529">
        <f ca="1">ChaRSI!Z51</f>
        <v>51.007316666666668</v>
      </c>
    </row>
    <row r="52" spans="1:26">
      <c r="A52" s="493" t="s">
        <v>1683</v>
      </c>
      <c r="B52" s="494">
        <f ca="1">MIN(B44:B45,P56:Z56)</f>
        <v>83.33</v>
      </c>
      <c r="C52" s="494">
        <f ca="1">MAX(B44:B45,P56:Z56)</f>
        <v>1233.56</v>
      </c>
    </row>
    <row r="53" spans="1:26">
      <c r="A53" s="493" t="s">
        <v>1684</v>
      </c>
      <c r="B53" s="494">
        <f ca="1">MIN(B44:B49,F56:Z56)</f>
        <v>83.33</v>
      </c>
      <c r="C53" s="494">
        <f ca="1">MAX(B44:B49,F56:Z56)</f>
        <v>1235.33</v>
      </c>
    </row>
    <row r="54" spans="1:26">
      <c r="A54" s="493" t="s">
        <v>1682</v>
      </c>
      <c r="B54" s="493">
        <f ca="1">MIN(B44:B48,F56:Z56)</f>
        <v>83.33</v>
      </c>
      <c r="C54" s="494">
        <f ca="1">MAX(B44:B48,F56:Z56)</f>
        <v>1235.33</v>
      </c>
    </row>
    <row r="55" spans="1:26">
      <c r="A55" s="483" t="s">
        <v>1666</v>
      </c>
      <c r="B55" s="483"/>
      <c r="C55" s="483"/>
      <c r="D55" s="483"/>
      <c r="E55" s="483"/>
      <c r="F55" s="487">
        <f ca="1">DataShift!F203</f>
        <v>45929</v>
      </c>
      <c r="G55" s="487">
        <f ca="1">DataShift!G203</f>
        <v>45930</v>
      </c>
      <c r="H55" s="487">
        <f ca="1">DataShift!H203</f>
        <v>45931</v>
      </c>
      <c r="I55" s="487">
        <f ca="1">DataShift!I203</f>
        <v>45932</v>
      </c>
      <c r="J55" s="487">
        <f ca="1">DataShift!J203</f>
        <v>45933</v>
      </c>
      <c r="K55" s="487">
        <f ca="1">DataShift!K203</f>
        <v>45936</v>
      </c>
      <c r="L55" s="487">
        <f ca="1">DataShift!L203</f>
        <v>45937</v>
      </c>
      <c r="M55" s="487">
        <f ca="1">DataShift!M203</f>
        <v>45938</v>
      </c>
      <c r="N55" s="487">
        <f ca="1">DataShift!N203</f>
        <v>45939</v>
      </c>
      <c r="O55" s="487">
        <f ca="1">DataShift!O203</f>
        <v>45940</v>
      </c>
      <c r="P55" s="487">
        <f ca="1">DataShift!P203</f>
        <v>45943</v>
      </c>
      <c r="Q55" s="487">
        <f ca="1">DataShift!Q203</f>
        <v>45944</v>
      </c>
      <c r="R55" s="487">
        <f ca="1">DataShift!R203</f>
        <v>45945</v>
      </c>
      <c r="S55" s="487">
        <f ca="1">DataShift!S203</f>
        <v>45946</v>
      </c>
      <c r="T55" s="487">
        <f ca="1">DataShift!T203</f>
        <v>45947</v>
      </c>
      <c r="U55" s="487">
        <f ca="1">DataShift!U203</f>
        <v>45950</v>
      </c>
      <c r="V55" s="487">
        <f ca="1">DataShift!V203</f>
        <v>45951</v>
      </c>
      <c r="W55" s="487">
        <f ca="1">DataShift!W203</f>
        <v>45952</v>
      </c>
      <c r="X55" s="487">
        <f ca="1">DataShift!X203</f>
        <v>45953</v>
      </c>
      <c r="Y55" s="487">
        <f ca="1">DataShift!Y203</f>
        <v>45954</v>
      </c>
      <c r="Z55" s="487">
        <f ca="1">DataShift!Z203</f>
        <v>45956</v>
      </c>
    </row>
    <row r="56" spans="1:26">
      <c r="A56" s="153" t="s">
        <v>139</v>
      </c>
      <c r="B56" s="153">
        <f ca="1">MIN(F56:Z56)</f>
        <v>83.33</v>
      </c>
      <c r="C56" s="153">
        <f ca="1">MAX(F56:Z56)</f>
        <v>1094.69</v>
      </c>
      <c r="D56" s="486">
        <f ca="1">AVERAGE(F56:Y56)</f>
        <v>88.215154999999996</v>
      </c>
      <c r="E56" s="153"/>
      <c r="F56" cm="1">
        <f t="array" aca="1" ref="F56" ca="1">_xlfn.XLOOKUP(ChaChaTicker,ListTickers,Tab1Price[Price0])</f>
        <v>84.993099999999998</v>
      </c>
      <c r="G56" cm="1">
        <f t="array" aca="1" ref="G56" ca="1">_xlfn.XLOOKUP(ChaRSITicker,ListTickers,Tab1Price[Price1])</f>
        <v>84.29</v>
      </c>
      <c r="H56" cm="1">
        <f t="array" aca="1" ref="H56" ca="1">_xlfn.XLOOKUP(ChaRSITicker,ListTickers,Tab1Price[Price2])</f>
        <v>85.94</v>
      </c>
      <c r="I56" cm="1">
        <f t="array" aca="1" ref="I56" ca="1">_xlfn.XLOOKUP(ChaRSITicker,ListTickers,Tab1Price[Price3])</f>
        <v>86.424999999999997</v>
      </c>
      <c r="J56" cm="1">
        <f t="array" aca="1" ref="J56" ca="1">_xlfn.XLOOKUP(ChaRSITicker,ListTickers,Tab1Price[Price4])</f>
        <v>86.855000000000004</v>
      </c>
      <c r="K56" cm="1">
        <f t="array" aca="1" ref="K56" ca="1">_xlfn.XLOOKUP(ChaRSITicker,ListTickers,Tab1Price[Price5])</f>
        <v>86.96</v>
      </c>
      <c r="L56" cm="1">
        <f t="array" aca="1" ref="L56" ca="1">_xlfn.XLOOKUP(ChaRSITicker,ListTickers,Tab1Price[Price6])</f>
        <v>88.41</v>
      </c>
      <c r="M56" cm="1">
        <f t="array" aca="1" ref="M56" ca="1">_xlfn.XLOOKUP(ChaRSITicker,ListTickers,Tab1Price[Price7])</f>
        <v>85.23</v>
      </c>
      <c r="N56" cm="1">
        <f t="array" aca="1" ref="N56" ca="1">_xlfn.XLOOKUP(ChaRSITicker,ListTickers,Tab1Price[Price8])</f>
        <v>85.21</v>
      </c>
      <c r="O56" cm="1">
        <f t="array" aca="1" ref="O56" ca="1">_xlfn.XLOOKUP(ChaRSITicker,ListTickers,Tab1Price[Price9])</f>
        <v>89.4</v>
      </c>
      <c r="P56" cm="1">
        <f t="array" aca="1" ref="P56" ca="1">_xlfn.XLOOKUP(ChaRSITicker,ListTickers,Tab1Price[Price10])</f>
        <v>90.54</v>
      </c>
      <c r="Q56" cm="1">
        <f t="array" aca="1" ref="Q56" ca="1">_xlfn.XLOOKUP(ChaRSITicker,ListTickers,Tab1Price[Price11])</f>
        <v>93.64</v>
      </c>
      <c r="R56" cm="1">
        <f t="array" aca="1" ref="R56" ca="1">_xlfn.XLOOKUP(ChaRSITicker,ListTickers,Tab1Price[Price12])</f>
        <v>98.25</v>
      </c>
      <c r="S56" cm="1">
        <f t="array" aca="1" ref="S56" ca="1">_xlfn.XLOOKUP(ChaRSITicker,ListTickers,Tab1Price[Price13])</f>
        <v>90.77</v>
      </c>
      <c r="T56" cm="1">
        <f t="array" aca="1" ref="T56" ca="1">_xlfn.XLOOKUP(ChaRSITicker,ListTickers,Tab1Price[Price14])</f>
        <v>94.894999999999996</v>
      </c>
      <c r="U56" cm="1">
        <f t="array" aca="1" ref="U56" ca="1">_xlfn.XLOOKUP(ChaRSITicker,ListTickers,Tab1Price[Price15])</f>
        <v>86.305000000000007</v>
      </c>
      <c r="V56" cm="1">
        <f t="array" aca="1" ref="V56" ca="1">_xlfn.XLOOKUP(ChaRSITicker,ListTickers,Tab1Price[Price16])</f>
        <v>87</v>
      </c>
      <c r="W56" cm="1">
        <f t="array" aca="1" ref="W56" ca="1">_xlfn.XLOOKUP(ChaRSITicker,ListTickers,Tab1Price[Price17])</f>
        <v>87</v>
      </c>
      <c r="X56" cm="1">
        <f t="array" aca="1" ref="X56" ca="1">_xlfn.XLOOKUP(ChaRSITicker,ListTickers,Tab1Price[Price18])</f>
        <v>88.86</v>
      </c>
      <c r="Y56" cm="1">
        <f t="array" aca="1" ref="Y56" ca="1">_xlfn.XLOOKUP(ChaRSITicker,ListTickers,Tab1Price[Price19])</f>
        <v>83.33</v>
      </c>
      <c r="Z56" cm="1">
        <f t="array" aca="1" ref="Z56" ca="1">_xlfn.XLOOKUP(ChaRSITicker,ListTickers,Tab1Price[Price20])</f>
        <v>1094.69</v>
      </c>
    </row>
    <row r="57" spans="1:26">
      <c r="A57" s="153" t="s">
        <v>195</v>
      </c>
      <c r="B57" s="485">
        <f t="shared" ref="B57" ca="1" si="7">MIN(F57:Z57)</f>
        <v>-9.0472999999999998E-2</v>
      </c>
      <c r="C57" s="485">
        <f t="shared" ref="C57" ca="1" si="8">MAX(F57:Z57)</f>
        <v>5.0034999999999996E-2</v>
      </c>
      <c r="D57" s="486">
        <f ca="1">IFERROR(AVERAGEIF(F57:Y57, "&gt;0"), "")</f>
        <v>2.2996666666666665E-2</v>
      </c>
      <c r="E57" s="153">
        <f ca="1">E58</f>
        <v>359.74817627660639</v>
      </c>
      <c r="F57" s="312" cm="1">
        <f t="array" aca="1" ref="F57" ca="1">_xlfn.XLOOKUP(ChaChaTicker,ListTickers,Tab1ChangePercent[Change%0])</f>
        <v>-3.0130000000000001E-3</v>
      </c>
      <c r="G57" s="312" cm="1">
        <f t="array" aca="1" ref="G57" ca="1">_xlfn.XLOOKUP(ChaChaTicker,ListTickers,Tab1ChangePercent[Change%1])</f>
        <v>-2.957E-3</v>
      </c>
      <c r="H57" s="312" cm="1">
        <f t="array" aca="1" ref="H57" ca="1">_xlfn.XLOOKUP(ChaChaTicker,ListTickers,Tab1ChangePercent[Change%2])</f>
        <v>1.9332999999999999E-2</v>
      </c>
      <c r="I57" s="312" cm="1">
        <f t="array" aca="1" ref="I57" ca="1">_xlfn.XLOOKUP(ChaChaTicker,ListTickers,Tab1ChangePercent[Change%3])</f>
        <v>5.5259999999999997E-3</v>
      </c>
      <c r="J57" s="312" cm="1">
        <f t="array" aca="1" ref="J57" ca="1">_xlfn.XLOOKUP(ChaChaTicker,ListTickers,Tab1ChangePercent[Change%4])</f>
        <v>4.9170000000000004E-3</v>
      </c>
      <c r="K57" s="312" cm="1">
        <f t="array" aca="1" ref="K57" ca="1">_xlfn.XLOOKUP(ChaChaTicker,ListTickers,Tab1ChangePercent[Change%5])</f>
        <v>-1.7512E-2</v>
      </c>
      <c r="L57" s="312" cm="1">
        <f t="array" aca="1" ref="L57" ca="1">_xlfn.XLOOKUP(ChaChaTicker,ListTickers,Tab1ChangePercent[Change%6])</f>
        <v>1.6791E-2</v>
      </c>
      <c r="M57" s="312" cm="1">
        <f t="array" aca="1" ref="M57" ca="1">_xlfn.XLOOKUP(ChaChaTicker,ListTickers,Tab1ChangePercent[Change%7])</f>
        <v>-3.5859999999999996E-2</v>
      </c>
      <c r="N57" s="312" cm="1">
        <f t="array" aca="1" ref="N57" ca="1">_xlfn.XLOOKUP(ChaChaTicker,ListTickers,Tab1ChangePercent[Change%8])</f>
        <v>-3.6086E-2</v>
      </c>
      <c r="O57" s="312" cm="1">
        <f t="array" aca="1" ref="O57" ca="1">_xlfn.XLOOKUP(ChaChaTicker,ListTickers,Tab1ChangePercent[Change%9])</f>
        <v>5.0034999999999996E-2</v>
      </c>
      <c r="P57" s="312" cm="1">
        <f t="array" aca="1" ref="P57" ca="1">_xlfn.XLOOKUP(ChaChaTicker,ListTickers,Tab1ChangePercent[Change%10])</f>
        <v>1.2751999999999999E-2</v>
      </c>
      <c r="Q57" s="312" cm="1">
        <f t="array" aca="1" ref="Q57" ca="1">_xlfn.XLOOKUP(ChaChaTicker,ListTickers,Tab1ChangePercent[Change%11])</f>
        <v>3.4238999999999999E-2</v>
      </c>
      <c r="R57" s="312" cm="1">
        <f t="array" aca="1" ref="R57" ca="1">_xlfn.XLOOKUP(ChaChaTicker,ListTickers,Tab1ChangePercent[Change%12])</f>
        <v>4.9904000000000004E-2</v>
      </c>
      <c r="S57" s="312" cm="1">
        <f t="array" aca="1" ref="S57" ca="1">_xlfn.XLOOKUP(ChaChaTicker,ListTickers,Tab1ChangePercent[Change%13])</f>
        <v>-7.6319999999999999E-2</v>
      </c>
      <c r="T57" s="312" cm="1">
        <f t="array" aca="1" ref="T57" ca="1">_xlfn.XLOOKUP(ChaChaTicker,ListTickers,Tab1ChangePercent[Change%14])</f>
        <v>4.5444999999999999E-2</v>
      </c>
      <c r="U57" s="312" cm="1">
        <f t="array" aca="1" ref="U57" ca="1">_xlfn.XLOOKUP(ChaChaTicker,ListTickers,Tab1ChangePercent[Change%15])</f>
        <v>-9.0472999999999998E-2</v>
      </c>
      <c r="V57" s="312" cm="1">
        <f t="array" aca="1" ref="V57" ca="1">_xlfn.XLOOKUP(ChaChaTicker,ListTickers,Tab1ChangePercent[Change%16])</f>
        <v>7.8779999999999996E-3</v>
      </c>
      <c r="W57" s="312" cm="1">
        <f t="array" aca="1" ref="W57" ca="1">_xlfn.XLOOKUP(ChaChaTicker,ListTickers,Tab1ChangePercent[Change%17])</f>
        <v>7.8779999999999996E-3</v>
      </c>
      <c r="X57" s="312" cm="1">
        <f t="array" aca="1" ref="X57" ca="1">_xlfn.XLOOKUP(ChaChaTicker,ListTickers,Tab1ChangePercent[Change%18])</f>
        <v>2.1262E-2</v>
      </c>
      <c r="Y57" s="312" cm="1">
        <f t="array" aca="1" ref="Y57" ca="1">_xlfn.XLOOKUP(ChaChaTicker,ListTickers,Tab1ChangePercent[Change%19])</f>
        <v>-6.2759999999999996E-2</v>
      </c>
      <c r="Z57" s="312" cm="1">
        <f t="array" aca="1" ref="Z57" ca="1">_xlfn.XLOOKUP(ChaChaTicker,ListTickers,Tab1ChangePercent[Change%20])</f>
        <v>-1.6972000000000001E-2</v>
      </c>
    </row>
    <row r="58" spans="1:26">
      <c r="A58" s="153" t="s">
        <v>544</v>
      </c>
      <c r="B58" s="485">
        <f t="shared" ref="B58" ca="1" si="9">MIN(F58:Z58)</f>
        <v>1.5541500376295659E-3</v>
      </c>
      <c r="C58" s="485">
        <f t="shared" ref="C58" ca="1" si="10">MAX(F58:Z58)</f>
        <v>18</v>
      </c>
      <c r="D58" s="486">
        <f ca="1">IFERROR(AVERAGEIF(F58:Y58, "&gt;0"), "")</f>
        <v>1.8027612185965989</v>
      </c>
      <c r="E58" s="153">
        <f ca="1">C58/C57</f>
        <v>359.74817627660639</v>
      </c>
      <c r="F58" s="90" cm="1">
        <f t="array" aca="1" ref="F58" ca="1">_xlfn.XLOOKUP(ChaChaTicker,ListTickers,Tab2Agiotage[XAgio0])</f>
        <v>0.67557803367489599</v>
      </c>
      <c r="G58" s="90" cm="1">
        <f t="array" aca="1" ref="G58" ca="1">_xlfn.XLOOKUP(ChaRSITicker,ListTickers,Tab2Free2[Price_R_1])</f>
        <v>18</v>
      </c>
      <c r="H58" s="90" cm="1">
        <f t="array" aca="1" ref="H58" ca="1">_xlfn.XLOOKUP(ChaRSITicker,ListTickers,Tab2Agiotage[XAgio2])</f>
        <v>0.94815969694291125</v>
      </c>
      <c r="I58" s="90" cm="1">
        <f t="array" aca="1" ref="I58" ca="1">_xlfn.XLOOKUP(ChaRSITicker,ListTickers,Tab2Agiotage[XAgio3])</f>
        <v>1.0146735398758842</v>
      </c>
      <c r="J58" s="90" cm="1">
        <f t="array" aca="1" ref="J58" ca="1">_xlfn.XLOOKUP(ChaRSITicker,ListTickers,Tab2Agiotage[XAgio4])</f>
        <v>0.64566621491984777</v>
      </c>
      <c r="K58" s="90" cm="1">
        <f t="array" aca="1" ref="K58" ca="1">_xlfn.XLOOKUP(ChaRSITicker,ListTickers,Tab2Agiotage[XAgio5])</f>
        <v>0.74442744603141142</v>
      </c>
      <c r="L58" s="90" cm="1">
        <f t="array" aca="1" ref="L58" ca="1">_xlfn.XLOOKUP(ChaRSITicker,ListTickers,Tab2Agiotage[XAgio6])</f>
        <v>0.85436339304225273</v>
      </c>
      <c r="M58" s="90" cm="1">
        <f t="array" aca="1" ref="M58" ca="1">_xlfn.XLOOKUP(ChaRSITicker,ListTickers,Tab2Agiotage[XAgio7])</f>
        <v>0.89063494650373998</v>
      </c>
      <c r="N58" s="90" cm="1">
        <f t="array" aca="1" ref="N58" ca="1">_xlfn.XLOOKUP(ChaRSITicker,ListTickers,Tab2Agiotage[XAgio8])</f>
        <v>1.5541500376295659E-3</v>
      </c>
      <c r="O58" s="90" cm="1">
        <f t="array" aca="1" ref="O58" ca="1">_xlfn.XLOOKUP(ChaRSITicker,ListTickers,Tab2Agiotage[XAgio9])</f>
        <v>0.79505362312829442</v>
      </c>
      <c r="P58" s="90" cm="1">
        <f t="array" aca="1" ref="P58" ca="1">_xlfn.XLOOKUP(ChaRSITicker,ListTickers,Tab2Agiotage[XAgio10])</f>
        <v>0.73614304363528482</v>
      </c>
      <c r="Q58" s="90" cm="1">
        <f t="array" aca="1" ref="Q58" ca="1">_xlfn.XLOOKUP(ChaRSITicker,ListTickers,Tab2Agiotage[XAgio11])</f>
        <v>0.58182048030769118</v>
      </c>
      <c r="R58" s="90" cm="1">
        <f t="array" aca="1" ref="R58" ca="1">_xlfn.XLOOKUP(ChaRSITicker,ListTickers,Tab2Agiotage[XAgio12])</f>
        <v>1.0799935463894499</v>
      </c>
      <c r="S58" s="90" cm="1">
        <f t="array" aca="1" ref="S58" ca="1">_xlfn.XLOOKUP(ChaRSITicker,ListTickers,Tab2Agiotage[XAgio13])</f>
        <v>1.6389004097376347</v>
      </c>
      <c r="T58" s="90" cm="1">
        <f t="array" aca="1" ref="T58" ca="1">_xlfn.XLOOKUP(ChaRSITicker,ListTickers,Tab2Agiotage[XAgio14])</f>
        <v>0.94729675777519262</v>
      </c>
      <c r="U58" s="90" cm="1">
        <f t="array" aca="1" ref="U58" ca="1">_xlfn.XLOOKUP(ChaRSITicker,ListTickers,Tab2Agiotage[XAgio15])</f>
        <v>1.3575846715291022</v>
      </c>
      <c r="V58" s="90" cm="1">
        <f t="array" aca="1" ref="V58" ca="1">_xlfn.XLOOKUP(ChaRSITicker,ListTickers,Tab2Agiotage[XAgio16])</f>
        <v>1.1985824101588962</v>
      </c>
      <c r="W58" s="90" cm="1">
        <f t="array" aca="1" ref="W58" ca="1">_xlfn.XLOOKUP(ChaRSITicker,ListTickers,Tab2Agiotage[XAgio17])</f>
        <v>1.1985872034550706</v>
      </c>
      <c r="X58" s="90" cm="1">
        <f t="array" aca="1" ref="X58" ca="1">_xlfn.XLOOKUP(ChaRSITicker,ListTickers,Tab2Agiotage[XAgio18])</f>
        <v>1.1193396111995468</v>
      </c>
      <c r="Y58" s="90" cm="1">
        <f t="array" aca="1" ref="Y58" ca="1">_xlfn.XLOOKUP(ChaRSITicker,ListTickers,Tab2Agiotage[XAgio19])</f>
        <v>1.626865193587236</v>
      </c>
      <c r="Z58" s="90" cm="1">
        <f t="array" aca="1" ref="Z58" ca="1">_xlfn.XLOOKUP(ChaRSITicker,ListTickers,Tab2Agiotage[XAgio20])</f>
        <v>1.5614994580883679</v>
      </c>
    </row>
    <row r="59" spans="1:26">
      <c r="A59" s="153" t="s">
        <v>662</v>
      </c>
      <c r="B59" s="153"/>
      <c r="C59" s="153"/>
      <c r="D59" s="153"/>
      <c r="E59" s="153"/>
      <c r="F59" cm="1">
        <f t="array" aca="1" ref="F59" ca="1">_xlfn.XLOOKUP(ChaChaTicker,ListTickers,Tab2RSIConventional[RSIConv0])</f>
        <v>36</v>
      </c>
      <c r="G59" cm="1">
        <f t="array" aca="1" ref="G59" ca="1">_xlfn.XLOOKUP(ChaRSITicker,ListTickers,Tab2RSIConventional[RSIConv1])</f>
        <v>46</v>
      </c>
      <c r="H59" cm="1">
        <f t="array" aca="1" ref="H59" ca="1">_xlfn.XLOOKUP(ChaRSITicker,ListTickers,Tab2RSIConventional[RSIConv2])</f>
        <v>41</v>
      </c>
      <c r="I59" cm="1">
        <f t="array" aca="1" ref="I59" ca="1">_xlfn.XLOOKUP(ChaRSITicker,ListTickers,Tab2RSIConventional[RSIConv3])</f>
        <v>37</v>
      </c>
      <c r="J59" cm="1">
        <f t="array" aca="1" ref="J59" ca="1">_xlfn.XLOOKUP(ChaRSITicker,ListTickers,Tab2RSIConventional[RSIConv4])</f>
        <v>29</v>
      </c>
      <c r="K59" cm="1">
        <f t="array" aca="1" ref="K59" ca="1">_xlfn.XLOOKUP(ChaRSITicker,ListTickers,Tab2RSIConventional[RSIConv5])</f>
        <v>41</v>
      </c>
      <c r="L59" cm="1">
        <f t="array" aca="1" ref="L59" ca="1">_xlfn.XLOOKUP(ChaRSITicker,ListTickers,Tab2RSIConventional[RSIConv6])</f>
        <v>53</v>
      </c>
      <c r="M59" cm="1">
        <f t="array" aca="1" ref="M59" ca="1">_xlfn.XLOOKUP(ChaRSITicker,ListTickers,Tab2RSIConventional[RSIConv7])</f>
        <v>53</v>
      </c>
      <c r="N59" cm="1">
        <f t="array" aca="1" ref="N59" ca="1">_xlfn.XLOOKUP(ChaRSITicker,ListTickers,Tab2RSIConventional[RSIConv8])</f>
        <v>52</v>
      </c>
      <c r="O59" cm="1">
        <f t="array" aca="1" ref="O59" ca="1">_xlfn.XLOOKUP(ChaRSITicker,ListTickers,Tab2RSIConventional[RSIConv9])</f>
        <v>52</v>
      </c>
      <c r="P59" cm="1">
        <f t="array" aca="1" ref="P59" ca="1">_xlfn.XLOOKUP(ChaRSITicker,ListTickers,Tab2RSIConventional[RSIConv10])</f>
        <v>53</v>
      </c>
      <c r="Q59" cm="1">
        <f t="array" aca="1" ref="Q59" ca="1">_xlfn.XLOOKUP(ChaRSITicker,ListTickers,Tab2RSIConventional[RSIConv11])</f>
        <v>55</v>
      </c>
      <c r="R59" cm="1">
        <f t="array" aca="1" ref="R59" ca="1">_xlfn.XLOOKUP(ChaRSITicker,ListTickers,Tab2RSIConventional[RSIConv12])</f>
        <v>48</v>
      </c>
      <c r="S59" cm="1">
        <f t="array" aca="1" ref="S59" ca="1">_xlfn.XLOOKUP(ChaRSITicker,ListTickers,Tab2RSIConventional[RSIConv13])</f>
        <v>52</v>
      </c>
      <c r="T59" cm="1">
        <f t="array" aca="1" ref="T59" ca="1">_xlfn.XLOOKUP(ChaRSITicker,ListTickers,Tab2RSIConventional[RSIConv14])</f>
        <v>62</v>
      </c>
      <c r="U59" cm="1">
        <f t="array" aca="1" ref="U59" ca="1">_xlfn.XLOOKUP(ChaRSITicker,ListTickers,Tab2RSIConventional[RSIConv15])</f>
        <v>64</v>
      </c>
      <c r="V59" cm="1">
        <f t="array" aca="1" ref="V59" ca="1">_xlfn.XLOOKUP(ChaRSITicker,ListTickers,Tab2RSIConventional[RSIConv16])</f>
        <v>43</v>
      </c>
      <c r="W59" cm="1">
        <f t="array" aca="1" ref="W59" ca="1">_xlfn.XLOOKUP(ChaRSITicker,ListTickers,Tab2RSIConventional[RSIConv17])</f>
        <v>32</v>
      </c>
      <c r="X59" cm="1">
        <f t="array" aca="1" ref="X59" ca="1">_xlfn.XLOOKUP(ChaRSITicker,ListTickers,Tab2RSIConventional[RSIConv18])</f>
        <v>33</v>
      </c>
      <c r="Y59" cm="1">
        <f t="array" aca="1" ref="Y59" ca="1">_xlfn.XLOOKUP(ChaRSITicker,ListTickers,Tab2RSIConventional[RSIConv19])</f>
        <v>27</v>
      </c>
      <c r="Z59" cm="1">
        <f t="array" aca="1" ref="Z59" ca="1">_xlfn.XLOOKUP(ChaRSITicker,ListTickers,Tab2RSIConventional[RSIConv20])</f>
        <v>27</v>
      </c>
    </row>
    <row r="60" spans="1:26">
      <c r="A60" s="153"/>
      <c r="B60" s="153"/>
      <c r="C60" s="153"/>
      <c r="D60" s="153"/>
      <c r="E60" s="484">
        <v>1</v>
      </c>
      <c r="F60" s="223">
        <f t="shared" ref="F60:Z60" ca="1" si="11">$E58</f>
        <v>359.74817627660639</v>
      </c>
      <c r="G60" s="223">
        <f t="shared" ca="1" si="11"/>
        <v>359.74817627660639</v>
      </c>
      <c r="H60" s="223">
        <f t="shared" ca="1" si="11"/>
        <v>359.74817627660639</v>
      </c>
      <c r="I60" s="223">
        <f t="shared" ca="1" si="11"/>
        <v>359.74817627660639</v>
      </c>
      <c r="J60" s="223">
        <f t="shared" ca="1" si="11"/>
        <v>359.74817627660639</v>
      </c>
      <c r="K60" s="223">
        <f t="shared" ca="1" si="11"/>
        <v>359.74817627660639</v>
      </c>
      <c r="L60" s="223">
        <f t="shared" ca="1" si="11"/>
        <v>359.74817627660639</v>
      </c>
      <c r="M60" s="223">
        <f t="shared" ca="1" si="11"/>
        <v>359.74817627660639</v>
      </c>
      <c r="N60" s="223">
        <f t="shared" ca="1" si="11"/>
        <v>359.74817627660639</v>
      </c>
      <c r="O60" s="223">
        <f t="shared" ca="1" si="11"/>
        <v>359.74817627660639</v>
      </c>
      <c r="P60" s="223">
        <f t="shared" ca="1" si="11"/>
        <v>359.74817627660639</v>
      </c>
      <c r="Q60" s="223">
        <f t="shared" ca="1" si="11"/>
        <v>359.74817627660639</v>
      </c>
      <c r="R60" s="223">
        <f t="shared" ca="1" si="11"/>
        <v>359.74817627660639</v>
      </c>
      <c r="S60" s="223">
        <f t="shared" ca="1" si="11"/>
        <v>359.74817627660639</v>
      </c>
      <c r="T60" s="223">
        <f t="shared" ca="1" si="11"/>
        <v>359.74817627660639</v>
      </c>
      <c r="U60" s="223">
        <f t="shared" ca="1" si="11"/>
        <v>359.74817627660639</v>
      </c>
      <c r="V60" s="223">
        <f t="shared" ca="1" si="11"/>
        <v>359.74817627660639</v>
      </c>
      <c r="W60" s="223">
        <f t="shared" ca="1" si="11"/>
        <v>359.74817627660639</v>
      </c>
      <c r="X60" s="223">
        <f t="shared" ca="1" si="11"/>
        <v>359.74817627660639</v>
      </c>
      <c r="Y60" s="223">
        <f t="shared" ca="1" si="11"/>
        <v>359.74817627660639</v>
      </c>
      <c r="Z60" s="223">
        <f t="shared" ca="1" si="11"/>
        <v>359.74817627660639</v>
      </c>
    </row>
    <row r="62" spans="1:26">
      <c r="A62" s="153"/>
    </row>
    <row r="63" spans="1:26">
      <c r="A63" s="153"/>
    </row>
  </sheetData>
  <phoneticPr fontId="47" type="noConversion"/>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79D1BA3A-BEDB-8B43-B60C-BF41780F72EF}">
          <x14:formula1>
            <xm:f>Calc!$H$3:$H$96</xm:f>
          </x14:formula1>
          <xm:sqref>R1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5F959-6285-284B-A9F3-D6494F074D23}">
  <sheetPr codeName="Sheet3"/>
  <dimension ref="A1:P61"/>
  <sheetViews>
    <sheetView workbookViewId="0"/>
  </sheetViews>
  <sheetFormatPr baseColWidth="10" defaultRowHeight="22"/>
  <cols>
    <col min="4" max="4" width="10" customWidth="1"/>
  </cols>
  <sheetData>
    <row r="1" spans="1:16">
      <c r="B1" t="b">
        <f ca="1">ISNUMBER(B2)</f>
        <v>1</v>
      </c>
    </row>
    <row r="2" spans="1:16" ht="23" thickBot="1">
      <c r="B2" s="67">
        <f ca="1">TODAY()</f>
        <v>45956</v>
      </c>
    </row>
    <row r="3" spans="1:16">
      <c r="A3" s="62">
        <f ca="1">TODAY()</f>
        <v>45956</v>
      </c>
      <c r="B3" s="68" t="str" cm="1">
        <f t="array" aca="1" ref="B3" ca="1">IFERROR(_xlfn.TEXTJOIN(", ", TRUE, _xlfn._xlws.FILTER(MSG!C$5:C$98, MSG!B$5:B$98=A3)),"")</f>
        <v/>
      </c>
      <c r="C3" s="13"/>
      <c r="D3" s="69"/>
      <c r="E3" s="68"/>
      <c r="F3" s="13"/>
      <c r="G3" s="69"/>
      <c r="H3" s="68"/>
      <c r="I3" s="13"/>
      <c r="J3" s="69"/>
      <c r="K3" s="68"/>
      <c r="L3" s="13"/>
      <c r="M3" s="69"/>
      <c r="N3" s="68"/>
      <c r="O3" s="13"/>
      <c r="P3" s="69"/>
    </row>
    <row r="4" spans="1:16">
      <c r="A4" s="62">
        <f ca="1">A3-1</f>
        <v>45955</v>
      </c>
      <c r="B4" s="70" t="str" cm="1">
        <f t="array" aca="1" ref="B4" ca="1">IFERROR(_xlfn.TEXTJOIN(", ", TRUE, _xlfn._xlws.FILTER(MSG!C$5:C$98, MSG!B$5:B$98=A4)),"")</f>
        <v/>
      </c>
      <c r="D4" s="71"/>
      <c r="E4" s="70"/>
      <c r="G4" s="71"/>
      <c r="H4" s="70"/>
      <c r="J4" s="71"/>
      <c r="K4" s="70"/>
      <c r="M4" s="71"/>
      <c r="N4" s="70"/>
      <c r="P4" s="71"/>
    </row>
    <row r="5" spans="1:16">
      <c r="A5" s="62">
        <f t="shared" ref="A5:A61" ca="1" si="0">A4-1</f>
        <v>45954</v>
      </c>
      <c r="B5" s="72" t="str" cm="1">
        <f t="array" aca="1" ref="B5" ca="1">IFERROR(_xlfn.TEXTJOIN(", ", TRUE, _xlfn._xlws.FILTER(MSG!C$5:C$98, MSG!B$5:B$98=A5)),"")</f>
        <v>4000(begin 250): HOLD; V^33%, Earning report 10/29, ^^=, Earning report 10/29, ^^^38%, Earning report 10/29, ^^^42%</v>
      </c>
      <c r="D5" s="71"/>
      <c r="E5" s="72"/>
      <c r="G5" s="71"/>
      <c r="H5" s="72"/>
      <c r="J5" s="71"/>
      <c r="K5" s="72"/>
      <c r="M5" s="71"/>
      <c r="N5" s="72"/>
      <c r="P5" s="71"/>
    </row>
    <row r="6" spans="1:16">
      <c r="A6" s="62">
        <f t="shared" ca="1" si="0"/>
        <v>45953</v>
      </c>
      <c r="B6" s="73" t="str" cm="1">
        <f t="array" aca="1" ref="B6" ca="1">IFERROR(_xlfn.TEXTJOIN(", ", TRUE, _xlfn._xlws.FILTER(MSG!C$5:C$98, MSG!B$5:B$98=A6)),"")</f>
        <v>C^A^U33%?, SAFASML: Re-Purchase (888, going do</v>
      </c>
      <c r="D6" s="71"/>
      <c r="E6" s="73"/>
      <c r="G6" s="71"/>
      <c r="H6" s="73"/>
      <c r="J6" s="71"/>
      <c r="K6" s="73"/>
      <c r="M6" s="71"/>
      <c r="N6" s="73"/>
      <c r="P6" s="71"/>
    </row>
    <row r="7" spans="1:16">
      <c r="A7" s="62">
        <f t="shared" ca="1" si="0"/>
        <v>45952</v>
      </c>
      <c r="B7" s="74" t="str" cm="1">
        <f t="array" aca="1" ref="B7" ca="1">IFERROR(_xlfn.TEXTJOIN(", ", TRUE, _xlfn._xlws.FILTER(MSG!C$5:C$98, MSG!B$5:B$98=A7)),"")</f>
        <v/>
      </c>
      <c r="D7" s="71"/>
      <c r="E7" s="74"/>
      <c r="G7" s="71"/>
      <c r="H7" s="74"/>
      <c r="J7" s="71"/>
      <c r="K7" s="74"/>
      <c r="M7" s="71"/>
      <c r="N7" s="74"/>
      <c r="P7" s="71"/>
    </row>
    <row r="8" spans="1:16">
      <c r="A8" s="62">
        <f t="shared" ca="1" si="0"/>
        <v>45951</v>
      </c>
      <c r="B8" s="75" t="str" cm="1">
        <f t="array" aca="1" ref="B8" ca="1">IFERROR(_xlfn.TEXTJOIN(", ", TRUE, _xlfn._xlws.FILTER(MSG!C$5:C$98, MSG!B$5:B$98=A8)),"")</f>
        <v/>
      </c>
      <c r="D8" s="71"/>
      <c r="E8" s="75"/>
      <c r="G8" s="71"/>
      <c r="H8" s="75"/>
      <c r="J8" s="71"/>
      <c r="K8" s="75"/>
      <c r="M8" s="71"/>
      <c r="N8" s="75"/>
      <c r="P8" s="71"/>
    </row>
    <row r="9" spans="1:16">
      <c r="A9" s="62">
        <f t="shared" ca="1" si="0"/>
        <v>45950</v>
      </c>
      <c r="B9" s="76" t="str" cm="1">
        <f t="array" aca="1" ref="B9" ca="1">IFERROR(_xlfn.TEXTJOIN(", ", TRUE, _xlfn._xlws.FILTER(MSG!C$5:C$98, MSG!B$5:B$98=A9)),"")</f>
        <v/>
      </c>
      <c r="D9" s="71"/>
      <c r="E9" s="76"/>
      <c r="G9" s="71"/>
      <c r="H9" s="76"/>
      <c r="J9" s="71"/>
      <c r="K9" s="76"/>
      <c r="M9" s="71"/>
      <c r="N9" s="76"/>
      <c r="P9" s="71"/>
    </row>
    <row r="10" spans="1:16">
      <c r="A10" s="62">
        <f t="shared" ca="1" si="0"/>
        <v>45949</v>
      </c>
      <c r="B10" s="77" t="str" cm="1">
        <f t="array" aca="1" ref="B10" ca="1">IFERROR(_xlfn.TEXTJOIN(", ", TRUE, _xlfn._xlws.FILTER(MSG!C$5:C$98, MSG!B$5:B$98=A10)),"")</f>
        <v/>
      </c>
      <c r="D10" s="71"/>
      <c r="E10" s="77"/>
      <c r="G10" s="71"/>
      <c r="H10" s="77"/>
      <c r="J10" s="71"/>
      <c r="K10" s="77"/>
      <c r="M10" s="71"/>
      <c r="N10" s="77"/>
      <c r="P10" s="71"/>
    </row>
    <row r="11" spans="1:16">
      <c r="A11" s="62">
        <f t="shared" ca="1" si="0"/>
        <v>45948</v>
      </c>
      <c r="B11" s="78" t="str" cm="1">
        <f t="array" aca="1" ref="B11" ca="1">IFERROR(_xlfn.TEXTJOIN(", ", TRUE, _xlfn._xlws.FILTER(MSG!C$5:C$98, MSG!B$5:B$98=A11)),"")</f>
        <v/>
      </c>
      <c r="D11" s="71"/>
      <c r="E11" s="78"/>
      <c r="G11" s="71"/>
      <c r="H11" s="78"/>
      <c r="J11" s="71"/>
      <c r="K11" s="78"/>
      <c r="M11" s="71"/>
      <c r="N11" s="78"/>
      <c r="P11" s="71"/>
    </row>
    <row r="12" spans="1:16">
      <c r="A12" s="62">
        <f t="shared" ca="1" si="0"/>
        <v>45947</v>
      </c>
      <c r="B12" s="78" t="str" cm="1">
        <f t="array" aca="1" ref="B12" ca="1">IFERROR(_xlfn.TEXTJOIN(", ", TRUE, _xlfn._xlws.FILTER(MSG!C$5:C$98, MSG!B$5:B$98=A12)),"")</f>
        <v/>
      </c>
      <c r="D12" s="71"/>
      <c r="E12" s="78"/>
      <c r="G12" s="71"/>
      <c r="H12" s="78"/>
      <c r="J12" s="71"/>
      <c r="K12" s="78"/>
      <c r="M12" s="71"/>
      <c r="N12" s="78"/>
      <c r="P12" s="71"/>
    </row>
    <row r="13" spans="1:16">
      <c r="A13" s="62">
        <f t="shared" ca="1" si="0"/>
        <v>45946</v>
      </c>
      <c r="B13" s="78" t="str" cm="1">
        <f t="array" aca="1" ref="B13" ca="1">IFERROR(_xlfn.TEXTJOIN(", ", TRUE, _xlfn._xlws.FILTER(MSG!C$5:C$98, MSG!B$5:B$98=A13)),"")</f>
        <v>FROM 61.30 to 60.60 to 60.10 VV</v>
      </c>
      <c r="D13" s="71"/>
      <c r="E13" s="78"/>
      <c r="G13" s="71"/>
      <c r="H13" s="78"/>
      <c r="J13" s="71"/>
      <c r="K13" s="78"/>
      <c r="M13" s="71"/>
      <c r="N13" s="78"/>
      <c r="P13" s="71"/>
    </row>
    <row r="14" spans="1:16">
      <c r="A14" s="62">
        <f t="shared" ca="1" si="0"/>
        <v>45945</v>
      </c>
      <c r="B14" s="78" t="str" cm="1">
        <f t="array" aca="1" ref="B14" ca="1">IFERROR(_xlfn.TEXTJOIN(", ", TRUE, _xlfn._xlws.FILTER(MSG!C$5:C$98, MSG!B$5:B$98=A14)),"")</f>
        <v/>
      </c>
      <c r="D14" s="71"/>
      <c r="E14" s="78"/>
      <c r="G14" s="71"/>
      <c r="H14" s="78"/>
      <c r="J14" s="71"/>
      <c r="K14" s="78"/>
      <c r="M14" s="71"/>
      <c r="N14" s="78"/>
      <c r="P14" s="71"/>
    </row>
    <row r="15" spans="1:16">
      <c r="A15" s="62">
        <f t="shared" ca="1" si="0"/>
        <v>45944</v>
      </c>
      <c r="B15" s="78" t="str" cm="1">
        <f t="array" aca="1" ref="B15" ca="1">IFERROR(_xlfn.TEXTJOIN(", ", TRUE, _xlfn._xlws.FILTER(MSG!C$5:C$98, MSG!B$5:B$98=A15)),"")</f>
        <v>(0.5%:78%)@257.75:(96=24,744@M: 257.745)&gt;UpMark 57%: CONTINUE V</v>
      </c>
      <c r="D15" s="71"/>
      <c r="E15" s="78"/>
      <c r="G15" s="71"/>
      <c r="H15" s="78"/>
      <c r="J15" s="71"/>
      <c r="K15" s="78"/>
      <c r="M15" s="71"/>
      <c r="N15" s="78"/>
      <c r="P15" s="71"/>
    </row>
    <row r="16" spans="1:16">
      <c r="A16" s="62">
        <f t="shared" ca="1" si="0"/>
        <v>45943</v>
      </c>
      <c r="B16" s="78" t="str" cm="1">
        <f t="array" aca="1" ref="B16" ca="1">IFERROR(_xlfn.TEXTJOIN(", ", TRUE, _xlfn._xlws.FILTER(MSG!C$5:C$98, MSG!B$5:B$98=A16)),"")</f>
        <v/>
      </c>
      <c r="D16" s="71"/>
      <c r="E16" s="78"/>
      <c r="G16" s="71"/>
      <c r="H16" s="78"/>
      <c r="J16" s="71"/>
      <c r="K16" s="78"/>
      <c r="M16" s="71"/>
      <c r="N16" s="78"/>
      <c r="P16" s="71"/>
    </row>
    <row r="17" spans="1:16">
      <c r="A17" s="62">
        <f t="shared" ca="1" si="0"/>
        <v>45942</v>
      </c>
      <c r="B17" s="78" t="str" cm="1">
        <f t="array" aca="1" ref="B17" ca="1">IFERROR(_xlfn.TEXTJOIN(", ", TRUE, _xlfn._xlws.FILTER(MSG!C$5:C$98, MSG!B$5:B$98=A17)),"")</f>
        <v/>
      </c>
      <c r="D17" s="71"/>
      <c r="E17" s="78"/>
      <c r="G17" s="71"/>
      <c r="H17" s="78"/>
      <c r="J17" s="71"/>
      <c r="K17" s="78"/>
      <c r="M17" s="71"/>
      <c r="N17" s="78"/>
      <c r="P17" s="71"/>
    </row>
    <row r="18" spans="1:16">
      <c r="A18" s="62">
        <f t="shared" ca="1" si="0"/>
        <v>45941</v>
      </c>
      <c r="B18" s="78" t="str" cm="1">
        <f t="array" aca="1" ref="B18" ca="1">IFERROR(_xlfn.TEXTJOIN(", ", TRUE, _xlfn._xlws.FILTER(MSG!C$5:C$98, MSG!B$5:B$98=A18)),"")</f>
        <v/>
      </c>
      <c r="D18" s="71"/>
      <c r="E18" s="78"/>
      <c r="G18" s="71"/>
      <c r="H18" s="78"/>
      <c r="J18" s="71"/>
      <c r="K18" s="78"/>
      <c r="M18" s="71"/>
      <c r="N18" s="78"/>
      <c r="P18" s="71"/>
    </row>
    <row r="19" spans="1:16">
      <c r="A19" s="62">
        <f t="shared" ca="1" si="0"/>
        <v>45940</v>
      </c>
      <c r="B19" s="78" t="str" cm="1">
        <f t="array" aca="1" ref="B19" ca="1">IFERROR(_xlfn.TEXTJOIN(", ", TRUE, _xlfn._xlws.FILTER(MSG!C$5:C$98, MSG!B$5:B$98=A19)),"")</f>
        <v/>
      </c>
      <c r="D19" s="71"/>
      <c r="E19" s="78"/>
      <c r="G19" s="71"/>
      <c r="H19" s="78"/>
      <c r="J19" s="71"/>
      <c r="K19" s="78"/>
      <c r="M19" s="71"/>
      <c r="N19" s="78"/>
      <c r="P19" s="71"/>
    </row>
    <row r="20" spans="1:16">
      <c r="A20" s="62">
        <f t="shared" ca="1" si="0"/>
        <v>45939</v>
      </c>
      <c r="B20" s="78" t="str" cm="1">
        <f t="array" aca="1" ref="B20" ca="1">IFERROR(_xlfn.TEXTJOIN(", ", TRUE, _xlfn._xlws.FILTER(MSG!C$5:C$98, MSG!B$5:B$98=A20)),"")</f>
        <v>C^A^, C^A^(C^A^)2-Oct-25, GL+;C^A^^;58%M^, Completed BuyBack program, ^V;, M&gt;A;53%M^, ^^43%</v>
      </c>
      <c r="D20" s="71"/>
      <c r="E20" s="78"/>
      <c r="G20" s="71"/>
      <c r="H20" s="78"/>
      <c r="J20" s="71"/>
      <c r="K20" s="78"/>
      <c r="M20" s="71"/>
      <c r="N20" s="78"/>
      <c r="P20" s="71"/>
    </row>
    <row r="21" spans="1:16">
      <c r="A21" s="62">
        <f t="shared" ca="1" si="0"/>
        <v>45938</v>
      </c>
      <c r="B21" s="78" t="str" cm="1">
        <f t="array" aca="1" ref="B21" ca="1">IFERROR(_xlfn.TEXTJOIN(", ", TRUE, _xlfn._xlws.FILTER(MSG!C$5:C$98, MSG!B$5:B$98=A21)),"")</f>
        <v>46, C=(23% -2.3%, 1.1%) A=1,400%=&gt;158%, C^A^, 10KX397 (L=405, -391), 62%M^, %M^, Report Nov-6, uptrend               , Low A, H M^, Up37%: wait further fall to buy (530x112.98 bought), C^A^; HOLD, A=2.28; 57%M^, 52High, At loss; buymore at low price (A=24.54), Very high Entry 290 (GL -167K$)</v>
      </c>
      <c r="D21" s="71"/>
      <c r="E21" s="78"/>
      <c r="G21" s="71"/>
      <c r="H21" s="78"/>
      <c r="J21" s="71"/>
      <c r="K21" s="78"/>
      <c r="M21" s="71"/>
      <c r="N21" s="78"/>
      <c r="P21" s="71"/>
    </row>
    <row r="22" spans="1:16">
      <c r="A22" s="62">
        <f t="shared" ca="1" si="0"/>
        <v>45937</v>
      </c>
      <c r="B22" s="78" t="str" cm="1">
        <f t="array" aca="1" ref="B22" ca="1">IFERROR(_xlfn.TEXTJOIN(", ", TRUE, _xlfn._xlws.FILTER(MSG!C$5:C$98, MSG!B$5:B$98=A22)),"")</f>
        <v/>
      </c>
      <c r="D22" s="71"/>
      <c r="E22" s="78"/>
      <c r="G22" s="71"/>
      <c r="H22" s="78"/>
      <c r="J22" s="71"/>
      <c r="K22" s="78"/>
      <c r="M22" s="71"/>
      <c r="N22" s="78"/>
      <c r="P22" s="71"/>
    </row>
    <row r="23" spans="1:16">
      <c r="A23" s="62">
        <f t="shared" ca="1" si="0"/>
        <v>45936</v>
      </c>
      <c r="B23" s="78" t="str" cm="1">
        <f t="array" aca="1" ref="B23" ca="1">IFERROR(_xlfn.TEXTJOIN(", ", TRUE, _xlfn._xlws.FILTER(MSG!C$5:C$98, MSG!B$5:B$98=A23)),"")</f>
        <v/>
      </c>
      <c r="D23" s="71"/>
      <c r="E23" s="78"/>
      <c r="G23" s="71"/>
      <c r="H23" s="78"/>
      <c r="J23" s="71"/>
      <c r="K23" s="78"/>
      <c r="M23" s="71"/>
      <c r="N23" s="78"/>
      <c r="P23" s="71"/>
    </row>
    <row r="24" spans="1:16">
      <c r="A24" s="62">
        <f t="shared" ca="1" si="0"/>
        <v>45935</v>
      </c>
      <c r="B24" s="78" t="str" cm="1">
        <f t="array" aca="1" ref="B24" ca="1">IFERROR(_xlfn.TEXTJOIN(", ", TRUE, _xlfn._xlws.FILTER(MSG!C$5:C$98, MSG!B$5:B$98=A24)),"")</f>
        <v/>
      </c>
      <c r="D24" s="71"/>
      <c r="E24" s="78"/>
      <c r="G24" s="71"/>
      <c r="H24" s="78"/>
      <c r="J24" s="71"/>
      <c r="K24" s="78"/>
      <c r="M24" s="71"/>
      <c r="N24" s="78"/>
      <c r="P24" s="71"/>
    </row>
    <row r="25" spans="1:16">
      <c r="A25" s="62">
        <f t="shared" ca="1" si="0"/>
        <v>45934</v>
      </c>
      <c r="B25" s="78" t="str" cm="1">
        <f t="array" aca="1" ref="B25" ca="1">IFERROR(_xlfn.TEXTJOIN(", ", TRUE, _xlfn._xlws.FILTER(MSG!C$5:C$98, MSG!B$5:B$98=A25)),"")</f>
        <v/>
      </c>
      <c r="D25" s="71"/>
      <c r="E25" s="78"/>
      <c r="G25" s="71"/>
      <c r="H25" s="78"/>
      <c r="J25" s="71"/>
      <c r="K25" s="78"/>
      <c r="M25" s="71"/>
      <c r="N25" s="78"/>
      <c r="P25" s="71"/>
    </row>
    <row r="26" spans="1:16">
      <c r="A26" s="62">
        <f t="shared" ca="1" si="0"/>
        <v>45933</v>
      </c>
      <c r="B26" s="78" t="str" cm="1">
        <f t="array" aca="1" ref="B26" ca="1">IFERROR(_xlfn.TEXTJOIN(", ", TRUE, _xlfn._xlws.FILTER(MSG!C$5:C$98, MSG!B$5:B$98=A26)),"")</f>
        <v>See 1YT, High 1YT, Keep climbing, To climb because of the new product, high volatility, keeps 3/10</v>
      </c>
      <c r="D26" s="71"/>
      <c r="E26" s="78"/>
      <c r="G26" s="71"/>
      <c r="H26" s="78"/>
      <c r="J26" s="71"/>
      <c r="K26" s="78"/>
      <c r="M26" s="71"/>
      <c r="N26" s="78"/>
      <c r="P26" s="71"/>
    </row>
    <row r="27" spans="1:16">
      <c r="A27" s="62">
        <f t="shared" ca="1" si="0"/>
        <v>45932</v>
      </c>
      <c r="B27" s="78" t="str" cm="1">
        <f t="array" aca="1" ref="B27" ca="1">IFERROR(_xlfn.TEXTJOIN(", ", TRUE, _xlfn._xlws.FILTER(MSG!C$5:C$98, MSG!B$5:B$98=A27)),"")</f>
        <v xml:space="preserve">To climb because of the new product, high volatility, keeps 3/10, RWE: Wait re-purchase for gain GT  , ENI: Sell 2,000 from .002,wait 15.2, GS: 0                              , JBEOAN: 0                          </v>
      </c>
      <c r="D27" s="71"/>
      <c r="E27" s="78"/>
      <c r="G27" s="71"/>
      <c r="H27" s="78"/>
      <c r="J27" s="71"/>
      <c r="K27" s="78"/>
      <c r="M27" s="71"/>
      <c r="N27" s="78"/>
      <c r="P27" s="71"/>
    </row>
    <row r="28" spans="1:16">
      <c r="A28" s="62">
        <f t="shared" ca="1" si="0"/>
        <v>45931</v>
      </c>
      <c r="B28" s="78" t="str" cm="1">
        <f t="array" aca="1" ref="B28" ca="1">IFERROR(_xlfn.TEXTJOIN(", ", TRUE, _xlfn._xlws.FILTER(MSG!C$5:C$98, MSG!B$5:B$98=A28)),"")</f>
        <v/>
      </c>
      <c r="D28" s="71"/>
      <c r="E28" s="78"/>
      <c r="G28" s="71"/>
      <c r="H28" s="78"/>
      <c r="J28" s="71"/>
      <c r="K28" s="78"/>
      <c r="M28" s="71"/>
      <c r="N28" s="78"/>
      <c r="P28" s="71"/>
    </row>
    <row r="29" spans="1:16">
      <c r="A29" s="62">
        <f t="shared" ca="1" si="0"/>
        <v>45930</v>
      </c>
      <c r="B29" s="78" t="str" cm="1">
        <f t="array" aca="1" ref="B29" ca="1">IFERROR(_xlfn.TEXTJOIN(", ", TRUE, _xlfn._xlws.FILTER(MSG!C$5:C$98, MSG!B$5:B$98=A29)),"")</f>
        <v/>
      </c>
      <c r="D29" s="71"/>
      <c r="E29" s="78"/>
      <c r="G29" s="71"/>
      <c r="H29" s="78"/>
      <c r="J29" s="71"/>
      <c r="K29" s="78"/>
      <c r="M29" s="71"/>
      <c r="N29" s="78"/>
      <c r="P29" s="71"/>
    </row>
    <row r="30" spans="1:16">
      <c r="A30" s="62">
        <f t="shared" ca="1" si="0"/>
        <v>45929</v>
      </c>
      <c r="B30" s="78" t="str" cm="1">
        <f t="array" aca="1" ref="B30" ca="1">IFERROR(_xlfn.TEXTJOIN(", ", TRUE, _xlfn._xlws.FILTER(MSG!C$5:C$98, MSG!B$5:B$98=A30)),"")</f>
        <v/>
      </c>
      <c r="D30" s="71"/>
      <c r="E30" s="78"/>
      <c r="G30" s="71"/>
      <c r="H30" s="78"/>
      <c r="J30" s="71"/>
      <c r="K30" s="78"/>
      <c r="M30" s="71"/>
      <c r="N30" s="78"/>
      <c r="P30" s="71"/>
    </row>
    <row r="31" spans="1:16">
      <c r="A31" s="62">
        <f t="shared" ca="1" si="0"/>
        <v>45928</v>
      </c>
      <c r="B31" s="78" t="str" cm="1">
        <f t="array" aca="1" ref="B31" ca="1">IFERROR(_xlfn.TEXTJOIN(", ", TRUE, _xlfn._xlws.FILTER(MSG!C$5:C$98, MSG!B$5:B$98=A31)),"")</f>
        <v/>
      </c>
      <c r="D31" s="71"/>
      <c r="E31" s="78"/>
      <c r="G31" s="71"/>
      <c r="H31" s="78"/>
      <c r="J31" s="71"/>
      <c r="K31" s="78"/>
      <c r="M31" s="71"/>
      <c r="N31" s="78"/>
      <c r="P31" s="71"/>
    </row>
    <row r="32" spans="1:16">
      <c r="A32" s="62">
        <f t="shared" ca="1" si="0"/>
        <v>45927</v>
      </c>
      <c r="B32" s="78" t="str" cm="1">
        <f t="array" aca="1" ref="B32" ca="1">IFERROR(_xlfn.TEXTJOIN(", ", TRUE, _xlfn._xlws.FILTER(MSG!C$5:C$98, MSG!B$5:B$98=A32)),"")</f>
        <v/>
      </c>
      <c r="D32" s="71"/>
      <c r="E32" s="78"/>
      <c r="G32" s="71"/>
      <c r="H32" s="78"/>
      <c r="J32" s="71"/>
      <c r="K32" s="78"/>
      <c r="M32" s="71"/>
      <c r="N32" s="78"/>
      <c r="P32" s="71"/>
    </row>
    <row r="33" spans="1:16">
      <c r="A33" s="62">
        <f t="shared" ca="1" si="0"/>
        <v>45926</v>
      </c>
      <c r="B33" s="78" t="str" cm="1">
        <f t="array" aca="1" ref="B33" ca="1">IFERROR(_xlfn.TEXTJOIN(", ", TRUE, _xlfn._xlws.FILTER(MSG!C$5:C$98, MSG!B$5:B$98=A33)),"")</f>
        <v>Low Agio: trend down?, -1%/65%@28.49:(508=14472); RSI shows inflexion point +2k bought, Stable Climbing, very low Agio, LAZR: 0                            , RRC: Wait further fall ti buy back/</v>
      </c>
      <c r="D33" s="71"/>
      <c r="E33" s="78"/>
      <c r="G33" s="71"/>
      <c r="H33" s="78"/>
      <c r="J33" s="71"/>
      <c r="K33" s="78"/>
      <c r="M33" s="71"/>
      <c r="N33" s="78"/>
      <c r="P33" s="71"/>
    </row>
    <row r="34" spans="1:16">
      <c r="A34" s="62">
        <f t="shared" ca="1" si="0"/>
        <v>45925</v>
      </c>
      <c r="B34" s="78" t="str" cm="1">
        <f t="array" aca="1" ref="B34" ca="1">IFERROR(_xlfn.TEXTJOIN(", ", TRUE, _xlfn._xlws.FILTER(MSG!C$5:C$98, MSG!B$5:B$98=A34)),"")</f>
        <v/>
      </c>
      <c r="D34" s="71"/>
      <c r="E34" s="78"/>
      <c r="G34" s="71"/>
      <c r="H34" s="78"/>
      <c r="J34" s="71"/>
      <c r="K34" s="78"/>
      <c r="M34" s="71"/>
      <c r="N34" s="78"/>
      <c r="P34" s="71"/>
    </row>
    <row r="35" spans="1:16">
      <c r="A35" s="62">
        <f t="shared" ca="1" si="0"/>
        <v>45924</v>
      </c>
      <c r="B35" s="78" t="str" cm="1">
        <f t="array" aca="1" ref="B35" ca="1">IFERROR(_xlfn.TEXTJOIN(", ", TRUE, _xlfn._xlws.FILTER(MSG!C$5:C$98, MSG!B$5:B$98=A35)),"")</f>
        <v/>
      </c>
      <c r="D35" s="71"/>
      <c r="E35" s="78"/>
      <c r="G35" s="71"/>
      <c r="H35" s="78"/>
      <c r="J35" s="71"/>
      <c r="K35" s="78"/>
      <c r="M35" s="71"/>
      <c r="N35" s="78"/>
      <c r="P35" s="71"/>
    </row>
    <row r="36" spans="1:16">
      <c r="A36" s="62">
        <f t="shared" ca="1" si="0"/>
        <v>45923</v>
      </c>
      <c r="B36" s="78" t="str" cm="1">
        <f t="array" aca="1" ref="B36" ca="1">IFERROR(_xlfn.TEXTJOIN(", ", TRUE, _xlfn._xlws.FILTER(MSG!C$5:C$98, MSG!B$5:B$98=A36)),"")</f>
        <v/>
      </c>
      <c r="D36" s="71"/>
      <c r="E36" s="78"/>
      <c r="G36" s="71"/>
      <c r="H36" s="78"/>
      <c r="J36" s="71"/>
      <c r="K36" s="78"/>
      <c r="M36" s="71"/>
      <c r="N36" s="78"/>
      <c r="P36" s="71"/>
    </row>
    <row r="37" spans="1:16">
      <c r="A37" s="62">
        <f t="shared" ca="1" si="0"/>
        <v>45922</v>
      </c>
      <c r="B37" s="78" t="str" cm="1">
        <f t="array" aca="1" ref="B37" ca="1">IFERROR(_xlfn.TEXTJOIN(", ", TRUE, _xlfn._xlws.FILTER(MSG!C$5:C$98, MSG!B$5:B$98=A37)),"")</f>
        <v/>
      </c>
      <c r="D37" s="71"/>
      <c r="E37" s="78"/>
      <c r="G37" s="71"/>
      <c r="H37" s="78"/>
      <c r="J37" s="71"/>
      <c r="K37" s="78"/>
      <c r="M37" s="71"/>
      <c r="N37" s="78"/>
      <c r="P37" s="71"/>
    </row>
    <row r="38" spans="1:16">
      <c r="A38" s="62">
        <f t="shared" ca="1" si="0"/>
        <v>45921</v>
      </c>
      <c r="B38" s="78" t="str" cm="1">
        <f t="array" aca="1" ref="B38" ca="1">IFERROR(_xlfn.TEXTJOIN(", ", TRUE, _xlfn._xlws.FILTER(MSG!C$5:C$98, MSG!B$5:B$98=A38)),"")</f>
        <v/>
      </c>
      <c r="D38" s="71"/>
      <c r="E38" s="78"/>
      <c r="G38" s="71"/>
      <c r="H38" s="78"/>
      <c r="J38" s="71"/>
      <c r="K38" s="78"/>
      <c r="M38" s="71"/>
      <c r="N38" s="78"/>
      <c r="P38" s="71"/>
    </row>
    <row r="39" spans="1:16">
      <c r="A39" s="62">
        <f t="shared" ca="1" si="0"/>
        <v>45920</v>
      </c>
      <c r="B39" s="78" t="str" cm="1">
        <f t="array" aca="1" ref="B39" ca="1">IFERROR(_xlfn.TEXTJOIN(", ", TRUE, _xlfn._xlws.FILTER(MSG!C$5:C$98, MSG!B$5:B$98=A39)),"")</f>
        <v/>
      </c>
      <c r="D39" s="71"/>
      <c r="E39" s="78"/>
      <c r="G39" s="71"/>
      <c r="H39" s="78"/>
      <c r="J39" s="71"/>
      <c r="K39" s="78"/>
      <c r="M39" s="71"/>
      <c r="N39" s="78"/>
      <c r="P39" s="71"/>
    </row>
    <row r="40" spans="1:16">
      <c r="A40" s="62">
        <f t="shared" ca="1" si="0"/>
        <v>45919</v>
      </c>
      <c r="B40" s="78" t="str" cm="1">
        <f t="array" aca="1" ref="B40" ca="1">IFERROR(_xlfn.TEXTJOIN(", ", TRUE, _xlfn._xlws.FILTER(MSG!C$5:C$98, MSG!B$5:B$98=A40)),"")</f>
        <v xml:space="preserve">AAPL: Apple Test                   , Change flattening, Agio 91, Up43: time to sell?, DSY: Watch Effective Price in Calc; Agio 193, MUP62, MVEALDNE: 0                        , MVEDSY: Watch Effective Price      </v>
      </c>
      <c r="D40" s="71"/>
      <c r="E40" s="78"/>
      <c r="G40" s="71"/>
      <c r="H40" s="78"/>
      <c r="J40" s="71"/>
      <c r="K40" s="78"/>
      <c r="M40" s="71"/>
      <c r="N40" s="78"/>
      <c r="P40" s="71"/>
    </row>
    <row r="41" spans="1:16">
      <c r="A41" s="62">
        <f t="shared" ca="1" si="0"/>
        <v>45918</v>
      </c>
      <c r="B41" s="78" t="str" cm="1">
        <f t="array" aca="1" ref="B41" ca="1">IFERROR(_xlfn.TEXTJOIN(", ", TRUE, _xlfn._xlws.FILTER(MSG!C$5:C$98, MSG!B$5:B$98=A41)),"")</f>
        <v/>
      </c>
      <c r="D41" s="71"/>
      <c r="E41" s="78"/>
      <c r="G41" s="71"/>
      <c r="H41" s="78"/>
      <c r="J41" s="71"/>
      <c r="K41" s="78"/>
      <c r="M41" s="71"/>
      <c r="N41" s="78"/>
      <c r="P41" s="71"/>
    </row>
    <row r="42" spans="1:16">
      <c r="A42" s="62">
        <f t="shared" ca="1" si="0"/>
        <v>45917</v>
      </c>
      <c r="B42" s="78" t="str" cm="1">
        <f t="array" aca="1" ref="B42" ca="1">IFERROR(_xlfn.TEXTJOIN(", ", TRUE, _xlfn._xlws.FILTER(MSG!C$5:C$98, MSG!B$5:B$98=A42)),"")</f>
        <v/>
      </c>
      <c r="D42" s="71"/>
      <c r="E42" s="78"/>
      <c r="G42" s="71"/>
      <c r="H42" s="78"/>
      <c r="J42" s="71"/>
      <c r="K42" s="78"/>
      <c r="M42" s="71"/>
      <c r="N42" s="78"/>
      <c r="P42" s="71"/>
    </row>
    <row r="43" spans="1:16">
      <c r="A43" s="62">
        <f t="shared" ca="1" si="0"/>
        <v>45916</v>
      </c>
      <c r="B43" s="78" t="str" cm="1">
        <f t="array" aca="1" ref="B43" ca="1">IFERROR(_xlfn.TEXTJOIN(", ", TRUE, _xlfn._xlws.FILTER(MSG!C$5:C$98, MSG!B$5:B$98=A43)),"")</f>
        <v/>
      </c>
      <c r="D43" s="71"/>
      <c r="E43" s="78"/>
      <c r="G43" s="71"/>
      <c r="H43" s="78"/>
      <c r="J43" s="71"/>
      <c r="K43" s="78"/>
      <c r="M43" s="71"/>
      <c r="N43" s="78"/>
      <c r="P43" s="71"/>
    </row>
    <row r="44" spans="1:16">
      <c r="A44" s="62">
        <f t="shared" ca="1" si="0"/>
        <v>45915</v>
      </c>
      <c r="B44" s="78" t="str" cm="1">
        <f t="array" aca="1" ref="B44" ca="1">IFERROR(_xlfn.TEXTJOIN(", ", TRUE, _xlfn._xlws.FILTER(MSG!C$5:C$98, MSG!B$5:B$98=A44)),"")</f>
        <v/>
      </c>
      <c r="D44" s="71"/>
      <c r="E44" s="78"/>
      <c r="G44" s="71"/>
      <c r="H44" s="78"/>
      <c r="J44" s="71"/>
      <c r="K44" s="78"/>
      <c r="M44" s="71"/>
      <c r="N44" s="78"/>
      <c r="P44" s="71"/>
    </row>
    <row r="45" spans="1:16">
      <c r="A45" s="62">
        <f t="shared" ca="1" si="0"/>
        <v>45914</v>
      </c>
      <c r="B45" s="78" t="str" cm="1">
        <f t="array" aca="1" ref="B45" ca="1">IFERROR(_xlfn.TEXTJOIN(", ", TRUE, _xlfn._xlws.FILTER(MSG!C$5:C$98, MSG!B$5:B$98=A45)),"")</f>
        <v/>
      </c>
      <c r="D45" s="71"/>
      <c r="E45" s="78"/>
      <c r="G45" s="71"/>
      <c r="H45" s="78"/>
      <c r="J45" s="71"/>
      <c r="K45" s="78"/>
      <c r="M45" s="71"/>
      <c r="N45" s="78"/>
      <c r="P45" s="71"/>
    </row>
    <row r="46" spans="1:16">
      <c r="A46" s="62">
        <f t="shared" ca="1" si="0"/>
        <v>45913</v>
      </c>
      <c r="B46" s="78" t="str" cm="1">
        <f t="array" aca="1" ref="B46" ca="1">IFERROR(_xlfn.TEXTJOIN(", ", TRUE, _xlfn._xlws.FILTER(MSG!C$5:C$98, MSG!B$5:B$98=A46)),"")</f>
        <v/>
      </c>
      <c r="D46" s="71"/>
      <c r="E46" s="78"/>
      <c r="G46" s="71"/>
      <c r="H46" s="78"/>
      <c r="J46" s="71"/>
      <c r="K46" s="78"/>
      <c r="M46" s="71"/>
      <c r="N46" s="78"/>
      <c r="P46" s="71"/>
    </row>
    <row r="47" spans="1:16">
      <c r="A47" s="62">
        <f t="shared" ca="1" si="0"/>
        <v>45912</v>
      </c>
      <c r="B47" s="78" t="str" cm="1">
        <f t="array" aca="1" ref="B47" ca="1">IFERROR(_xlfn.TEXTJOIN(", ", TRUE, _xlfn._xlws.FILTER(MSG!C$5:C$98, MSG!B$5:B$98=A47)),"")</f>
        <v/>
      </c>
      <c r="D47" s="71"/>
      <c r="E47" s="78"/>
      <c r="G47" s="71"/>
      <c r="H47" s="78"/>
      <c r="J47" s="71"/>
      <c r="K47" s="78"/>
      <c r="M47" s="71"/>
      <c r="N47" s="78"/>
      <c r="P47" s="71"/>
    </row>
    <row r="48" spans="1:16">
      <c r="A48" s="62">
        <f t="shared" ca="1" si="0"/>
        <v>45911</v>
      </c>
      <c r="B48" s="78" t="str" cm="1">
        <f t="array" aca="1" ref="B48" ca="1">IFERROR(_xlfn.TEXTJOIN(", ", TRUE, _xlfn._xlws.FILTER(MSG!C$5:C$98, MSG!B$5:B$98=A48)),"")</f>
        <v/>
      </c>
      <c r="D48" s="71"/>
      <c r="E48" s="78"/>
      <c r="G48" s="71"/>
      <c r="H48" s="78"/>
      <c r="J48" s="71"/>
      <c r="K48" s="78"/>
      <c r="M48" s="71"/>
      <c r="N48" s="78"/>
      <c r="P48" s="71"/>
    </row>
    <row r="49" spans="1:16">
      <c r="A49" s="62">
        <f t="shared" ca="1" si="0"/>
        <v>45910</v>
      </c>
      <c r="B49" s="78" t="str" cm="1">
        <f t="array" aca="1" ref="B49" ca="1">IFERROR(_xlfn.TEXTJOIN(", ", TRUE, _xlfn._xlws.FILTER(MSG!C$5:C$98, MSG!B$5:B$98=A49)),"")</f>
        <v/>
      </c>
      <c r="D49" s="71"/>
      <c r="E49" s="78"/>
      <c r="G49" s="71"/>
      <c r="H49" s="78"/>
      <c r="J49" s="71"/>
      <c r="K49" s="78"/>
      <c r="M49" s="71"/>
      <c r="N49" s="78"/>
      <c r="P49" s="71"/>
    </row>
    <row r="50" spans="1:16">
      <c r="A50" s="62">
        <f t="shared" ca="1" si="0"/>
        <v>45909</v>
      </c>
      <c r="B50" s="78" t="str" cm="1">
        <f t="array" aca="1" ref="B50" ca="1">IFERROR(_xlfn.TEXTJOIN(", ", TRUE, _xlfn._xlws.FILTER(MSG!C$5:C$98, MSG!B$5:B$98=A50)),"")</f>
        <v/>
      </c>
      <c r="D50" s="71"/>
      <c r="E50" s="78"/>
      <c r="G50" s="71"/>
      <c r="H50" s="78"/>
      <c r="J50" s="71"/>
      <c r="K50" s="78"/>
      <c r="M50" s="71"/>
      <c r="N50" s="78"/>
      <c r="P50" s="71"/>
    </row>
    <row r="51" spans="1:16">
      <c r="A51" s="62">
        <f t="shared" ca="1" si="0"/>
        <v>45908</v>
      </c>
      <c r="B51" s="78" t="str" cm="1">
        <f t="array" aca="1" ref="B51" ca="1">IFERROR(_xlfn.TEXTJOIN(", ", TRUE, _xlfn._xlws.FILTER(MSG!C$5:C$98, MSG!B$5:B$98=A51)),"")</f>
        <v/>
      </c>
      <c r="D51" s="71"/>
      <c r="E51" s="78"/>
      <c r="G51" s="71"/>
      <c r="H51" s="78"/>
      <c r="J51" s="71"/>
      <c r="K51" s="78"/>
      <c r="M51" s="71"/>
      <c r="N51" s="78"/>
      <c r="P51" s="71"/>
    </row>
    <row r="52" spans="1:16">
      <c r="A52" s="62">
        <f t="shared" ca="1" si="0"/>
        <v>45907</v>
      </c>
      <c r="B52" s="78" t="str" cm="1">
        <f t="array" aca="1" ref="B52" ca="1">IFERROR(_xlfn.TEXTJOIN(", ", TRUE, _xlfn._xlws.FILTER(MSG!C$5:C$98, MSG!B$5:B$98=A52)),"")</f>
        <v/>
      </c>
      <c r="D52" s="71"/>
      <c r="E52" s="78"/>
      <c r="G52" s="71"/>
      <c r="H52" s="78"/>
      <c r="J52" s="71"/>
      <c r="K52" s="78"/>
      <c r="M52" s="71"/>
      <c r="N52" s="78"/>
      <c r="P52" s="71"/>
    </row>
    <row r="53" spans="1:16">
      <c r="A53" s="62">
        <f t="shared" ca="1" si="0"/>
        <v>45906</v>
      </c>
      <c r="B53" s="78" t="str" cm="1">
        <f t="array" aca="1" ref="B53" ca="1">IFERROR(_xlfn.TEXTJOIN(", ", TRUE, _xlfn._xlws.FILTER(MSG!C$5:C$98, MSG!B$5:B$98=A53)),"")</f>
        <v/>
      </c>
      <c r="D53" s="71"/>
      <c r="E53" s="78"/>
      <c r="G53" s="71"/>
      <c r="H53" s="78"/>
      <c r="J53" s="71"/>
      <c r="K53" s="78"/>
      <c r="M53" s="71"/>
      <c r="N53" s="78"/>
      <c r="P53" s="71"/>
    </row>
    <row r="54" spans="1:16">
      <c r="A54" s="62">
        <f t="shared" ca="1" si="0"/>
        <v>45905</v>
      </c>
      <c r="B54" s="78" t="str" cm="1">
        <f t="array" aca="1" ref="B54" ca="1">IFERROR(_xlfn.TEXTJOIN(", ", TRUE, _xlfn._xlws.FILTER(MSG!C$5:C$98, MSG!B$5:B$98=A54)),"")</f>
        <v/>
      </c>
      <c r="D54" s="71"/>
      <c r="E54" s="78"/>
      <c r="G54" s="71"/>
      <c r="H54" s="78"/>
      <c r="J54" s="71"/>
      <c r="K54" s="78"/>
      <c r="M54" s="71"/>
      <c r="N54" s="78"/>
      <c r="P54" s="71"/>
    </row>
    <row r="55" spans="1:16">
      <c r="A55" s="62">
        <f t="shared" ca="1" si="0"/>
        <v>45904</v>
      </c>
      <c r="B55" s="78" t="str" cm="1">
        <f t="array" aca="1" ref="B55" ca="1">IFERROR(_xlfn.TEXTJOIN(", ", TRUE, _xlfn._xlws.FILTER(MSG!C$5:C$98, MSG!B$5:B$98=A55)),"")</f>
        <v/>
      </c>
      <c r="D55" s="71"/>
      <c r="E55" s="78"/>
      <c r="G55" s="71"/>
      <c r="H55" s="78"/>
      <c r="J55" s="71"/>
      <c r="K55" s="78"/>
      <c r="M55" s="71"/>
      <c r="N55" s="78"/>
      <c r="P55" s="71"/>
    </row>
    <row r="56" spans="1:16">
      <c r="A56" s="62">
        <f t="shared" ca="1" si="0"/>
        <v>45903</v>
      </c>
      <c r="B56" s="78" t="str" cm="1">
        <f t="array" aca="1" ref="B56" ca="1">IFERROR(_xlfn.TEXTJOIN(", ", TRUE, _xlfn._xlws.FILTER(MSG!C$5:C$98, MSG!B$5:B$98=A56)),"")</f>
        <v/>
      </c>
      <c r="D56" s="71"/>
      <c r="E56" s="78"/>
      <c r="G56" s="71"/>
      <c r="H56" s="78"/>
      <c r="J56" s="71"/>
      <c r="K56" s="78"/>
      <c r="M56" s="71"/>
      <c r="N56" s="78"/>
      <c r="P56" s="71"/>
    </row>
    <row r="57" spans="1:16">
      <c r="A57" s="62">
        <f t="shared" ca="1" si="0"/>
        <v>45902</v>
      </c>
      <c r="B57" s="78" t="str" cm="1">
        <f t="array" aca="1" ref="B57" ca="1">IFERROR(_xlfn.TEXTJOIN(", ", TRUE, _xlfn._xlws.FILTER(MSG!C$5:C$98, MSG!B$5:B$98=A57)),"")</f>
        <v/>
      </c>
      <c r="D57" s="71"/>
      <c r="E57" s="78"/>
      <c r="G57" s="71"/>
      <c r="H57" s="78"/>
      <c r="J57" s="71"/>
      <c r="K57" s="78"/>
      <c r="M57" s="71"/>
      <c r="N57" s="78"/>
      <c r="P57" s="71"/>
    </row>
    <row r="58" spans="1:16">
      <c r="A58" s="62">
        <f t="shared" ca="1" si="0"/>
        <v>45901</v>
      </c>
      <c r="B58" s="78" t="str" cm="1">
        <f t="array" aca="1" ref="B58" ca="1">IFERROR(_xlfn.TEXTJOIN(", ", TRUE, _xlfn._xlws.FILTER(MSG!C$5:C$98, MSG!B$5:B$98=A58)),"")</f>
        <v/>
      </c>
      <c r="D58" s="71"/>
      <c r="E58" s="78"/>
      <c r="G58" s="71"/>
      <c r="H58" s="78"/>
      <c r="J58" s="71"/>
      <c r="K58" s="78"/>
      <c r="M58" s="71"/>
      <c r="N58" s="78"/>
      <c r="P58" s="71"/>
    </row>
    <row r="59" spans="1:16">
      <c r="A59" s="62">
        <f t="shared" ca="1" si="0"/>
        <v>45900</v>
      </c>
      <c r="B59" s="78" t="str" cm="1">
        <f t="array" aca="1" ref="B59" ca="1">IFERROR(_xlfn.TEXTJOIN(", ", TRUE, _xlfn._xlws.FILTER(MSG!C$5:C$98, MSG!B$5:B$98=A59)),"")</f>
        <v/>
      </c>
      <c r="D59" s="71"/>
      <c r="E59" s="78"/>
      <c r="G59" s="71"/>
      <c r="H59" s="78"/>
      <c r="J59" s="71"/>
      <c r="K59" s="78"/>
      <c r="M59" s="71"/>
      <c r="N59" s="78"/>
      <c r="P59" s="71"/>
    </row>
    <row r="60" spans="1:16">
      <c r="A60" s="62">
        <f t="shared" ca="1" si="0"/>
        <v>45899</v>
      </c>
      <c r="B60" s="78" t="str" cm="1">
        <f t="array" aca="1" ref="B60" ca="1">IFERROR(_xlfn.TEXTJOIN(", ", TRUE, _xlfn._xlws.FILTER(MSG!C$5:C$98, MSG!B$5:B$98=A60)),"")</f>
        <v/>
      </c>
      <c r="D60" s="71"/>
      <c r="E60" s="78"/>
      <c r="G60" s="71"/>
      <c r="H60" s="78"/>
      <c r="J60" s="71"/>
      <c r="K60" s="78"/>
      <c r="M60" s="71"/>
      <c r="N60" s="78"/>
      <c r="P60" s="71"/>
    </row>
    <row r="61" spans="1:16" ht="23" thickBot="1">
      <c r="A61" s="62">
        <f t="shared" ca="1" si="0"/>
        <v>45898</v>
      </c>
      <c r="B61" s="79" t="str" cm="1">
        <f t="array" aca="1" ref="B61" ca="1">IFERROR(_xlfn.TEXTJOIN(", ", TRUE, _xlfn._xlws.FILTER(MSG!C$5:C$98, MSG!B$5:B$98=A61)),"")</f>
        <v/>
      </c>
      <c r="C61" s="20"/>
      <c r="D61" s="80"/>
      <c r="E61" s="79"/>
      <c r="F61" s="20"/>
      <c r="G61" s="80"/>
      <c r="H61" s="79"/>
      <c r="I61" s="20"/>
      <c r="J61" s="80"/>
      <c r="K61" s="79"/>
      <c r="L61" s="20"/>
      <c r="M61" s="80"/>
      <c r="N61" s="79"/>
      <c r="O61" s="20"/>
      <c r="P61" s="80"/>
    </row>
  </sheetData>
  <pageMargins left="0.7" right="0.7" top="0.75" bottom="0.75" header="0.3" footer="0.3"/>
  <ignoredErrors>
    <ignoredError sqref="B3:B61" emptyCellReference="1"/>
  </ignoredError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929F3-2904-334D-8A2B-A71A8EF0394B}">
  <sheetPr codeName="Sheet7"/>
  <dimension ref="A2:H30"/>
  <sheetViews>
    <sheetView workbookViewId="0">
      <selection activeCell="F26" sqref="F26"/>
    </sheetView>
  </sheetViews>
  <sheetFormatPr baseColWidth="10" defaultColWidth="11.125" defaultRowHeight="22"/>
  <cols>
    <col min="1" max="1" width="31.125" customWidth="1"/>
    <col min="2" max="2" width="17.75" customWidth="1"/>
    <col min="3" max="3" width="34.375" customWidth="1"/>
    <col min="4" max="4" width="18" customWidth="1"/>
    <col min="5" max="5" width="13.875" style="1" customWidth="1"/>
    <col min="6" max="6" width="18.375" style="1" customWidth="1"/>
    <col min="7" max="7" width="22" style="1" customWidth="1"/>
  </cols>
  <sheetData>
    <row r="2" spans="1:8" ht="23" thickBot="1">
      <c r="D2" t="s">
        <v>90</v>
      </c>
    </row>
    <row r="3" spans="1:8" ht="23" thickBot="1">
      <c r="A3" t="s">
        <v>91</v>
      </c>
      <c r="B3" s="2">
        <v>4.1666666666666664E-2</v>
      </c>
      <c r="D3" s="1310">
        <v>0</v>
      </c>
      <c r="F3" s="3"/>
    </row>
    <row r="4" spans="1:8" ht="23" thickBot="1">
      <c r="A4" t="s">
        <v>92</v>
      </c>
      <c r="B4" s="4">
        <f ca="1">NOW()</f>
        <v>45956.550112731478</v>
      </c>
      <c r="D4" s="5"/>
      <c r="F4" s="3"/>
    </row>
    <row r="5" spans="1:8">
      <c r="A5" t="s">
        <v>93</v>
      </c>
      <c r="B5" s="6">
        <f ca="1">TODAY()</f>
        <v>45956</v>
      </c>
      <c r="F5" s="7" t="s">
        <v>94</v>
      </c>
      <c r="G5" s="7" t="str">
        <f ca="1">IF((NOW()-TODAY()-TIME(9,0,0))-ACETZoneShift&lt;0,"Yesterday",NOW()-TODAY()-TIME(9,0,0)-ACETZoneShift)&amp;" CET"</f>
        <v>0.133446064811627 CET</v>
      </c>
    </row>
    <row r="6" spans="1:8" ht="23" thickBot="1">
      <c r="A6" t="s">
        <v>652</v>
      </c>
      <c r="B6" s="8">
        <f ca="1">NOW()-TODAY()</f>
        <v>0.55011273147829343</v>
      </c>
      <c r="C6" t="s">
        <v>95</v>
      </c>
      <c r="E6" t="s">
        <v>96</v>
      </c>
      <c r="F6" s="9">
        <f ca="1">NOW()</f>
        <v>45956.550112731478</v>
      </c>
      <c r="G6" s="9">
        <f ca="1">NOW()-TODAY()-ACETZoneShift+1</f>
        <v>1.5084460648116269</v>
      </c>
    </row>
    <row r="7" spans="1:8">
      <c r="A7" t="s">
        <v>97</v>
      </c>
      <c r="B7" s="8">
        <f ca="1">IF(NOW()-TODAY()-ACETZoneShift&lt;0,NOW()-TODAY()-ACETZoneShift+1,NOW()-TODAY()-ACETZoneShift)</f>
        <v>0.5084460648116268</v>
      </c>
      <c r="C7" t="s">
        <v>98</v>
      </c>
      <c r="D7" s="10">
        <f ca="1">[1]ExtEntry!$E$22</f>
        <v>45954.999809594534</v>
      </c>
      <c r="E7"/>
      <c r="F7" s="3"/>
    </row>
    <row r="8" spans="1:8">
      <c r="A8" t="s">
        <v>99</v>
      </c>
      <c r="B8" s="8">
        <f ca="1">IF(ACET-TIME(1,0,0)&lt;0,ACET-TIME(1,0,0)+TIME(23,0,0),ACET-TIME(1,0,0))</f>
        <v>0.46677939814496011</v>
      </c>
      <c r="C8" t="s">
        <v>100</v>
      </c>
      <c r="D8" s="10">
        <f ca="1">NOW()-ALastTimeEoan-ACETZoneShift</f>
        <v>1.5086365860236886</v>
      </c>
    </row>
    <row r="9" spans="1:8">
      <c r="C9" s="11" t="s">
        <v>101</v>
      </c>
      <c r="D9" s="1" t="str">
        <f ca="1">IF(WEEKDAY(TODAY(),2)&lt;=5, "Working Day", "Weekend")</f>
        <v>Weekend</v>
      </c>
    </row>
    <row r="10" spans="1:8" ht="23" thickBot="1"/>
    <row r="11" spans="1:8">
      <c r="A11" s="12" t="s">
        <v>102</v>
      </c>
      <c r="B11" s="13"/>
      <c r="C11" s="13" t="s">
        <v>103</v>
      </c>
      <c r="D11" s="14">
        <f ca="1">TODAY()+TIME(9,0,0)</f>
        <v>45956.375</v>
      </c>
      <c r="E11" s="15"/>
      <c r="F11" s="7"/>
      <c r="G11" s="15"/>
      <c r="H11" s="13"/>
    </row>
    <row r="12" spans="1:8">
      <c r="A12" s="16" t="s">
        <v>104</v>
      </c>
      <c r="B12" s="8"/>
      <c r="C12" t="s">
        <v>105</v>
      </c>
      <c r="D12" s="17">
        <f ca="1">B4-D11</f>
        <v>0.17511273147829343</v>
      </c>
      <c r="F12" s="18" t="str">
        <f ca="1">IFERROR(IF(ANonWorkingDayCriteria&gt;1,"None-Working Day",IF(OR(D12/D13&lt;0,D12&gt;D13),"Closed",D12/D13)),"Closed")</f>
        <v>None-Working Day</v>
      </c>
    </row>
    <row r="13" spans="1:8" ht="23" thickBot="1">
      <c r="A13" s="19"/>
      <c r="B13" s="20"/>
      <c r="C13" s="20" t="s">
        <v>653</v>
      </c>
      <c r="D13" s="21">
        <f>TIME(8,30,0)</f>
        <v>0.35416666666666669</v>
      </c>
      <c r="E13" s="22"/>
      <c r="F13" s="23"/>
      <c r="G13" s="22"/>
      <c r="H13" s="20"/>
    </row>
    <row r="14" spans="1:8">
      <c r="D14" s="1"/>
    </row>
    <row r="15" spans="1:8">
      <c r="D15" s="1"/>
      <c r="F15" s="1" t="s">
        <v>106</v>
      </c>
    </row>
    <row r="16" spans="1:8" ht="23" thickBot="1">
      <c r="D16" s="1"/>
      <c r="F16" s="24">
        <f ca="1">ActTime-CETZoneShift</f>
        <v>0.5084460648116268</v>
      </c>
    </row>
    <row r="17" spans="1:8">
      <c r="A17" s="12" t="s">
        <v>107</v>
      </c>
      <c r="B17" s="13"/>
      <c r="C17" s="13" t="s">
        <v>108</v>
      </c>
      <c r="D17" s="14">
        <f ca="1">TODAY()+TIME(9,0,0)</f>
        <v>45956.375</v>
      </c>
      <c r="E17" s="15"/>
      <c r="F17" s="7"/>
      <c r="G17" s="15"/>
      <c r="H17" s="13"/>
    </row>
    <row r="18" spans="1:8">
      <c r="A18" s="16" t="s">
        <v>109</v>
      </c>
      <c r="C18" t="s">
        <v>105</v>
      </c>
      <c r="D18" s="17">
        <f ca="1">D12</f>
        <v>0.17511273147829343</v>
      </c>
      <c r="F18" s="18" t="str">
        <f ca="1">IFERROR(IF(ANonWorkingDayCriteria&gt;1,"None-Working Day",IF(OR(D18/D19&lt;0,D18&gt;D19),"Closed",D18/D19)),"Closed")</f>
        <v>None-Working Day</v>
      </c>
    </row>
    <row r="19" spans="1:8" ht="23" thickBot="1">
      <c r="A19" s="19"/>
      <c r="B19" s="20"/>
      <c r="C19" s="20" t="s">
        <v>653</v>
      </c>
      <c r="D19" s="21">
        <v>0.35416666666666669</v>
      </c>
      <c r="E19" s="22"/>
      <c r="F19" s="23"/>
      <c r="G19" s="22"/>
      <c r="H19" s="20"/>
    </row>
    <row r="20" spans="1:8" ht="23" thickBot="1">
      <c r="C20" s="12" t="s">
        <v>110</v>
      </c>
      <c r="D20" s="25">
        <f ca="1">ABS(NOW()-G22)</f>
        <v>0.36655393518594792</v>
      </c>
      <c r="F20" s="7" t="s">
        <v>111</v>
      </c>
      <c r="H20" s="26">
        <f ca="1">ABS(NOW()-F22)</f>
        <v>45955.904279398143</v>
      </c>
    </row>
    <row r="21" spans="1:8" ht="23" thickBot="1">
      <c r="C21" s="27" t="s">
        <v>112</v>
      </c>
      <c r="D21" s="28" t="str">
        <f ca="1">TEXT(D20,"HH:MM")</f>
        <v>08:47</v>
      </c>
      <c r="E21" s="29" t="s">
        <v>113</v>
      </c>
      <c r="F21" s="30">
        <f ca="1">IF(ActTime-CETZoneShift&lt;0,ActTime-TIME(6,0,0)-CETZoneShift+1,ActTime-TIME(6,0,0)-CETZoneShift)</f>
        <v>0.25844606481162674</v>
      </c>
      <c r="G21" s="29" t="s">
        <v>114</v>
      </c>
      <c r="H21" s="23" t="str">
        <f ca="1">TEXT(H20,"HH:MM")</f>
        <v>21:42</v>
      </c>
    </row>
    <row r="22" spans="1:8">
      <c r="A22" s="12" t="s">
        <v>115</v>
      </c>
      <c r="B22" s="13"/>
      <c r="C22" s="129" t="s">
        <v>116</v>
      </c>
      <c r="D22" s="31" t="s">
        <v>654</v>
      </c>
      <c r="E22" s="17">
        <f>TIME(4,0,0)+TIME(5,0,0)+ACETZoneShift-ASummerTimeShift</f>
        <v>0.41666666666666669</v>
      </c>
      <c r="F22" s="17">
        <f>TIME(9,30,0)+TIME(5,0,0)+ACETZoneShift-ASummerTimeShift</f>
        <v>0.64583333333333326</v>
      </c>
      <c r="G22" s="17">
        <f ca="1">TODAY()+TIME(16,0,0)+TIME(5,0,0)+ACETZoneShift-ASummerTimeShift</f>
        <v>45956.916666666664</v>
      </c>
      <c r="H22" s="13"/>
    </row>
    <row r="23" spans="1:8">
      <c r="A23" s="16" t="s">
        <v>117</v>
      </c>
      <c r="C23" s="130" t="s">
        <v>118</v>
      </c>
      <c r="D23" t="s">
        <v>655</v>
      </c>
      <c r="E23" s="32">
        <f ca="1">ActTime</f>
        <v>0.55011273147829343</v>
      </c>
      <c r="F23" s="32">
        <f ca="1">ActTime</f>
        <v>0.55011273147829343</v>
      </c>
      <c r="G23" s="32">
        <f ca="1">ActTime</f>
        <v>0.55011273147829343</v>
      </c>
    </row>
    <row r="24" spans="1:8" ht="23" thickBot="1">
      <c r="A24" s="16"/>
      <c r="B24" s="11" t="s">
        <v>119</v>
      </c>
      <c r="C24" s="131" t="s">
        <v>120</v>
      </c>
      <c r="D24" t="s">
        <v>656</v>
      </c>
      <c r="E24" s="17">
        <f>TIME(15,30,0)</f>
        <v>0.64583333333333337</v>
      </c>
      <c r="F24" s="17">
        <f>TIME(22,0,0)</f>
        <v>0.91666666666666663</v>
      </c>
      <c r="G24" s="17">
        <f ca="1">TODAY()+1+AOpenPost+TIME(4,0,0)</f>
        <v>91914.083333333328</v>
      </c>
    </row>
    <row r="25" spans="1:8" ht="23" thickBot="1">
      <c r="A25" s="19" t="s">
        <v>121</v>
      </c>
      <c r="B25" s="20"/>
      <c r="C25" s="20"/>
      <c r="D25" s="20" t="s">
        <v>657</v>
      </c>
      <c r="E25" s="128">
        <f>E24-AOpenPre</f>
        <v>0.22916666666666669</v>
      </c>
      <c r="F25" s="128">
        <f>F24-AOpenTrade</f>
        <v>0.27083333333333337</v>
      </c>
      <c r="G25" s="128">
        <f ca="1">G24-AOpenPost</f>
        <v>45957.166666666664</v>
      </c>
      <c r="H25" s="20"/>
    </row>
    <row r="26" spans="1:8">
      <c r="E26" s="18">
        <f ca="1">IF(OR(E23&lt;E22,E23&gt;E24),"Closed",E23/E24)</f>
        <v>0.85178745519219623</v>
      </c>
      <c r="F26" s="18" t="str">
        <f ca="1">IF(OR(ActTimeCET&lt;AOpenTrade,ActTimeCET&gt;AcloseTrade),"Closed",(ActTimeCET-AOpenTrade)/Duration)</f>
        <v>Closed</v>
      </c>
      <c r="G26" s="18" t="str">
        <f ca="1">IF(OR(G23&lt;G22,G23&gt;G24),"Closed",G23/G24)</f>
        <v>Closed</v>
      </c>
    </row>
    <row r="27" spans="1:8">
      <c r="E27" s="33">
        <f ca="1">IF(AND(E23&gt;E22,E23&lt;E24),(E23-AOpenPre)/E25,"CLOSED")</f>
        <v>0.58231010099618941</v>
      </c>
      <c r="F27" s="18" t="str">
        <f ca="1">IFERROR(IF(D9="Weekend","None-Working Day",IF(OR(ActTimeCET&lt;AOpenTrade,ActTimeCET&gt;AcloseTrade),"Closed",(ActTimeCET-AOpenTrade)/Duration)),"Closed")</f>
        <v>None-Working Day</v>
      </c>
      <c r="G27" s="33" t="str">
        <f ca="1">IF(AND(G23&gt;G22,G23&lt;G24),(G23-AOpenPost)/G25,"CLOSED")</f>
        <v>CLOSED</v>
      </c>
    </row>
    <row r="30" spans="1:8">
      <c r="F30" s="33"/>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22</vt:i4>
      </vt:variant>
      <vt:variant>
        <vt:lpstr>Named Ranges</vt:lpstr>
      </vt:variant>
      <vt:variant>
        <vt:i4>160</vt:i4>
      </vt:variant>
    </vt:vector>
  </HeadingPairs>
  <TitlesOfParts>
    <vt:vector size="182" baseType="lpstr">
      <vt:lpstr>Research</vt:lpstr>
      <vt:lpstr>DocComments</vt:lpstr>
      <vt:lpstr>Doc</vt:lpstr>
      <vt:lpstr>Ranks</vt:lpstr>
      <vt:lpstr>StrategySummary</vt:lpstr>
      <vt:lpstr>Markov</vt:lpstr>
      <vt:lpstr>SORTING</vt:lpstr>
      <vt:lpstr>ID</vt:lpstr>
      <vt:lpstr>Trader</vt:lpstr>
      <vt:lpstr>Calc</vt:lpstr>
      <vt:lpstr>MSG</vt:lpstr>
      <vt:lpstr>DataShift</vt:lpstr>
      <vt:lpstr>Reg</vt:lpstr>
      <vt:lpstr>Entries</vt:lpstr>
      <vt:lpstr>Mail</vt:lpstr>
      <vt:lpstr>TraceMatrix_FIFO</vt:lpstr>
      <vt:lpstr>Consolid</vt:lpstr>
      <vt:lpstr>BankCheck</vt:lpstr>
      <vt:lpstr>ChaRSI</vt:lpstr>
      <vt:lpstr>ChaCha</vt:lpstr>
      <vt:lpstr>MessUpd</vt:lpstr>
      <vt:lpstr>Timer</vt:lpstr>
      <vt:lpstr>ABS_A</vt:lpstr>
      <vt:lpstr>Acct2</vt:lpstr>
      <vt:lpstr>AcctJB</vt:lpstr>
      <vt:lpstr>AcctMVE</vt:lpstr>
      <vt:lpstr>AcctSAF</vt:lpstr>
      <vt:lpstr>ACET</vt:lpstr>
      <vt:lpstr>ACETZoneShift</vt:lpstr>
      <vt:lpstr>AcloseTrade</vt:lpstr>
      <vt:lpstr>ActTime</vt:lpstr>
      <vt:lpstr>ActTimeCET</vt:lpstr>
      <vt:lpstr>ACurrencyList</vt:lpstr>
      <vt:lpstr>ADeltaMinus</vt:lpstr>
      <vt:lpstr>ADeltaPlus</vt:lpstr>
      <vt:lpstr>ALastTimeEoan</vt:lpstr>
      <vt:lpstr>ANonWorkingDayCriteria</vt:lpstr>
      <vt:lpstr>AOpenPost</vt:lpstr>
      <vt:lpstr>AOpenPre</vt:lpstr>
      <vt:lpstr>AOpenTrade</vt:lpstr>
      <vt:lpstr>ArraySortedBy</vt:lpstr>
      <vt:lpstr>ASummerTimeShift</vt:lpstr>
      <vt:lpstr>AtMarket</vt:lpstr>
      <vt:lpstr>AtPrice</vt:lpstr>
      <vt:lpstr>AZ</vt:lpstr>
      <vt:lpstr>BdeltaMinus</vt:lpstr>
      <vt:lpstr>BdeltaPlus</vt:lpstr>
      <vt:lpstr>BeginCost</vt:lpstr>
      <vt:lpstr>BoundMax</vt:lpstr>
      <vt:lpstr>BoundMaxRSI</vt:lpstr>
      <vt:lpstr>BoundMin</vt:lpstr>
      <vt:lpstr>BoundMinRSI</vt:lpstr>
      <vt:lpstr>BZ</vt:lpstr>
      <vt:lpstr>CalcComments</vt:lpstr>
      <vt:lpstr>CashGain</vt:lpstr>
      <vt:lpstr>CET</vt:lpstr>
      <vt:lpstr>CETZoneShift</vt:lpstr>
      <vt:lpstr>ChaChaTicker</vt:lpstr>
      <vt:lpstr>ChaRSITicker</vt:lpstr>
      <vt:lpstr>ComContent</vt:lpstr>
      <vt:lpstr>ComFactor</vt:lpstr>
      <vt:lpstr>Commission</vt:lpstr>
      <vt:lpstr>CurrentValue</vt:lpstr>
      <vt:lpstr>DataShiftChartTicker</vt:lpstr>
      <vt:lpstr>DeltaP</vt:lpstr>
      <vt:lpstr>DeltaPercent</vt:lpstr>
      <vt:lpstr>DesiredBuyGain</vt:lpstr>
      <vt:lpstr>DesiredSaleGain</vt:lpstr>
      <vt:lpstr>DivPercent</vt:lpstr>
      <vt:lpstr>DMinusPercent</vt:lpstr>
      <vt:lpstr>DregN</vt:lpstr>
      <vt:lpstr>DregP</vt:lpstr>
      <vt:lpstr>DregPSSorted</vt:lpstr>
      <vt:lpstr>Duration</vt:lpstr>
      <vt:lpstr>EntryList</vt:lpstr>
      <vt:lpstr>FirstLot</vt:lpstr>
      <vt:lpstr>GBpScale</vt:lpstr>
      <vt:lpstr>GL_Now</vt:lpstr>
      <vt:lpstr>GLperShare</vt:lpstr>
      <vt:lpstr>ID_A</vt:lpstr>
      <vt:lpstr>ID_Currency</vt:lpstr>
      <vt:lpstr>ID_Down150</vt:lpstr>
      <vt:lpstr>ID_Down20</vt:lpstr>
      <vt:lpstr>ID_M</vt:lpstr>
      <vt:lpstr>ID_M_Value</vt:lpstr>
      <vt:lpstr>ID_Up150</vt:lpstr>
      <vt:lpstr>ID_Up20</vt:lpstr>
      <vt:lpstr>IDASort</vt:lpstr>
      <vt:lpstr>IDBarChartTitle</vt:lpstr>
      <vt:lpstr>IDMSort</vt:lpstr>
      <vt:lpstr>IDNSort</vt:lpstr>
      <vt:lpstr>IDPSort</vt:lpstr>
      <vt:lpstr>IDTick1</vt:lpstr>
      <vt:lpstr>IDTick2</vt:lpstr>
      <vt:lpstr>IDTICKER</vt:lpstr>
      <vt:lpstr>Last2Days</vt:lpstr>
      <vt:lpstr>LastMark3</vt:lpstr>
      <vt:lpstr>LastSaleMax</vt:lpstr>
      <vt:lpstr>LastSaleMaxRSI</vt:lpstr>
      <vt:lpstr>LastSaleMin</vt:lpstr>
      <vt:lpstr>LastSaleMinRSI</vt:lpstr>
      <vt:lpstr>LastShift</vt:lpstr>
      <vt:lpstr>LastT</vt:lpstr>
      <vt:lpstr>LastTradeTimeEOAN</vt:lpstr>
      <vt:lpstr>ListAct</vt:lpstr>
      <vt:lpstr>ListAgio</vt:lpstr>
      <vt:lpstr>ListAuxRevBuy2</vt:lpstr>
      <vt:lpstr>ListAuxRevSale2</vt:lpstr>
      <vt:lpstr>ListCur</vt:lpstr>
      <vt:lpstr>ListE</vt:lpstr>
      <vt:lpstr>ListExtra_n</vt:lpstr>
      <vt:lpstr>ListGL</vt:lpstr>
      <vt:lpstr>ListGravity</vt:lpstr>
      <vt:lpstr>ListLastBuyn</vt:lpstr>
      <vt:lpstr>ListLastBuyp</vt:lpstr>
      <vt:lpstr>ListLastSalen</vt:lpstr>
      <vt:lpstr>ListLastSalep</vt:lpstr>
      <vt:lpstr>ListM</vt:lpstr>
      <vt:lpstr>ListMinStock</vt:lpstr>
      <vt:lpstr>ListN</vt:lpstr>
      <vt:lpstr>ListntoBuy</vt:lpstr>
      <vt:lpstr>ListntoSell</vt:lpstr>
      <vt:lpstr>ListPile</vt:lpstr>
      <vt:lpstr>ListRefill</vt:lpstr>
      <vt:lpstr>ListResale</vt:lpstr>
      <vt:lpstr>ListReverseB</vt:lpstr>
      <vt:lpstr>ListReverseS</vt:lpstr>
      <vt:lpstr>ListScale</vt:lpstr>
      <vt:lpstr>ListSortedAgio</vt:lpstr>
      <vt:lpstr>ListSortedGL</vt:lpstr>
      <vt:lpstr>ListSortedXChaange</vt:lpstr>
      <vt:lpstr>ListTickers</vt:lpstr>
      <vt:lpstr>ListY</vt:lpstr>
      <vt:lpstr>MDown</vt:lpstr>
      <vt:lpstr>MgtY</vt:lpstr>
      <vt:lpstr>MinCost</vt:lpstr>
      <vt:lpstr>MinLot</vt:lpstr>
      <vt:lpstr>MUp</vt:lpstr>
      <vt:lpstr>NetCash</vt:lpstr>
      <vt:lpstr>NeutralZoneM</vt:lpstr>
      <vt:lpstr>NONWORKINGDAYCRITERIA</vt:lpstr>
      <vt:lpstr>NoOriMax</vt:lpstr>
      <vt:lpstr>NoOriMaxRSI</vt:lpstr>
      <vt:lpstr>NoOriMin</vt:lpstr>
      <vt:lpstr>NoOriMinRSI</vt:lpstr>
      <vt:lpstr>NoStock</vt:lpstr>
      <vt:lpstr>NZ</vt:lpstr>
      <vt:lpstr>OpenPost</vt:lpstr>
      <vt:lpstr>OpenPre</vt:lpstr>
      <vt:lpstr>OpenTrade</vt:lpstr>
      <vt:lpstr>PP</vt:lpstr>
      <vt:lpstr>PPPP</vt:lpstr>
      <vt:lpstr>QQQ</vt:lpstr>
      <vt:lpstr>QQQQ</vt:lpstr>
      <vt:lpstr>QQQQ1</vt:lpstr>
      <vt:lpstr>QQQQQ</vt:lpstr>
      <vt:lpstr>ReBuy5K</vt:lpstr>
      <vt:lpstr>RePurchaseGain</vt:lpstr>
      <vt:lpstr>ReSale5K</vt:lpstr>
      <vt:lpstr>ReSaleGain</vt:lpstr>
      <vt:lpstr>SeeDelta</vt:lpstr>
      <vt:lpstr>Sell</vt:lpstr>
      <vt:lpstr>SellMorePercentGain</vt:lpstr>
      <vt:lpstr>StockNow</vt:lpstr>
      <vt:lpstr>SummerTimeShift</vt:lpstr>
      <vt:lpstr>TextBuy</vt:lpstr>
      <vt:lpstr>TotalCost</vt:lpstr>
      <vt:lpstr>TradeArchive</vt:lpstr>
      <vt:lpstr>TradeDatan</vt:lpstr>
      <vt:lpstr>TradeDatap</vt:lpstr>
      <vt:lpstr>TradeIncome</vt:lpstr>
      <vt:lpstr>TranParam</vt:lpstr>
      <vt:lpstr>Transaction</vt:lpstr>
      <vt:lpstr>UpPercent</vt:lpstr>
      <vt:lpstr>ValidNames</vt:lpstr>
      <vt:lpstr>Xvals</vt:lpstr>
      <vt:lpstr>Y1T</vt:lpstr>
      <vt:lpstr>YY</vt:lpstr>
      <vt:lpstr>YYYY</vt:lpstr>
      <vt:lpstr>ZPercent</vt:lpstr>
      <vt:lpstr>ZZ</vt:lpstr>
      <vt:lpstr>ZZZZ</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2024-09-24T12:00:52Z</dcterms:created>
  <dcterms:modified xsi:type="dcterms:W3CDTF">2025-10-26T12:12:09Z</dcterms:modified>
  <cp:category/>
</cp:coreProperties>
</file>